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emf" ContentType="image/x-emf"/>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drawings/drawing19.xml" ContentType="application/vnd.openxmlformats-officedocument.drawing+xml"/>
  <Override PartName="/xl/drawings/drawing18.xml" ContentType="application/vnd.openxmlformats-officedocument.drawing+xml"/>
  <Override PartName="/xl/drawings/drawing17.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3.xml" ContentType="application/vnd.openxmlformats-officedocument.drawing+xml"/>
  <Override PartName="/xl/drawings/drawing22.xml" ContentType="application/vnd.openxmlformats-officedocument.drawing+xml"/>
  <Override PartName="/xl/drawings/drawing16.xml" ContentType="application/vnd.openxmlformats-officedocument.drawing+xml"/>
  <Override PartName="/xl/drawings/drawing15.xml" ContentType="application/vnd.openxmlformats-officedocument.drawing+xml"/>
  <Override PartName="/xl/drawings/drawing11.xml" ContentType="application/vnd.openxmlformats-officedocument.drawing+xml"/>
  <Override PartName="/xl/drawings/drawing10.xml" ContentType="application/vnd.openxmlformats-officedocument.drawing+xml"/>
  <Override PartName="/xl/drawings/drawing9.xml" ContentType="application/vnd.openxmlformats-officedocument.drawing+xml"/>
  <Override PartName="/xl/drawings/drawing8.xml" ContentType="application/vnd.openxmlformats-officedocument.drawing+xml"/>
  <Override PartName="/xl/drawings/drawing12.xml" ContentType="application/vnd.openxmlformats-officedocument.drawing+xml"/>
  <Override PartName="/xl/drawings/drawing14.xml" ContentType="application/vnd.openxmlformats-officedocument.drawing+xml"/>
  <Override PartName="/xl/drawings/drawing1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7.xml" ContentType="application/vnd.openxmlformats-officedocument.drawing+xml"/>
  <Override PartName="/xl/worksheets/sheet1.xml" ContentType="application/vnd.openxmlformats-officedocument.spreadsheetml.worksheet+xml"/>
  <Override PartName="/xl/sharedStrings.xml" ContentType="application/vnd.openxmlformats-officedocument.spreadsheetml.sharedStrings+xml"/>
  <Override PartName="/xl/worksheets/sheet20.xml" ContentType="application/vnd.openxmlformats-officedocument.spreadsheetml.worksheet+xml"/>
  <Override PartName="/xl/worksheets/sheet19.xml" ContentType="application/vnd.openxmlformats-officedocument.spreadsheetml.worksheet+xml"/>
  <Override PartName="/xl/drawings/drawing3.xml" ContentType="application/vnd.openxmlformats-officedocument.drawing+xml"/>
  <Override PartName="/xl/worksheets/sheet18.xml" ContentType="application/vnd.openxmlformats-officedocument.spreadsheetml.worksheet+xml"/>
  <Override PartName="/xl/styles.xml" ContentType="application/vnd.openxmlformats-officedocument.spreadsheetml.styles+xml"/>
  <Override PartName="/xl/worksheets/sheet16.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drawings/drawing1.xml" ContentType="application/vnd.openxmlformats-officedocument.drawing+xml"/>
  <Override PartName="/xl/worksheets/sheet25.xml" ContentType="application/vnd.openxmlformats-officedocument.spreadsheetml.worksheet+xml"/>
  <Override PartName="/xl/drawings/drawing2.xml" ContentType="application/vnd.openxmlformats-officedocument.drawing+xml"/>
  <Override PartName="/xl/worksheets/sheet24.xml" ContentType="application/vnd.openxmlformats-officedocument.spreadsheetml.worksheet+xml"/>
  <Override PartName="/xl/worksheets/sheet23.xml" ContentType="application/vnd.openxmlformats-officedocument.spreadsheetml.worksheet+xml"/>
  <Override PartName="/xl/drawings/drawing4.xml" ContentType="application/vnd.openxmlformats-officedocument.drawing+xml"/>
  <Override PartName="/xl/worksheets/sheet17.xml" ContentType="application/vnd.openxmlformats-officedocument.spreadsheetml.worksheet+xml"/>
  <Override PartName="/xl/worksheets/sheet14.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drawings/drawing6.xml" ContentType="application/vnd.openxmlformats-officedocument.drawing+xml"/>
  <Override PartName="/xl/worksheets/sheet8.xml" ContentType="application/vnd.openxmlformats-officedocument.spreadsheetml.worksheet+xml"/>
  <Override PartName="/xl/worksheets/sheet15.xml" ContentType="application/vnd.openxmlformats-officedocument.spreadsheetml.worksheet+xml"/>
  <Override PartName="/xl/drawings/drawing5.xml" ContentType="application/vnd.openxmlformats-officedocument.drawing+xml"/>
  <Override PartName="/xl/worksheets/sheet9.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calcChain.xml" ContentType="application/vnd.openxmlformats-officedocument.spreadsheetml.calcChain+xml"/>
  <Override PartName="/xl/externalLinks/externalLink7.xml" ContentType="application/vnd.openxmlformats-officedocument.spreadsheetml.externalLink+xml"/>
  <Override PartName="/xl/externalLinks/externalLink6.xml" ContentType="application/vnd.openxmlformats-officedocument.spreadsheetml.externalLink+xml"/>
  <Override PartName="/xl/externalLinks/externalLink8.xml" ContentType="application/vnd.openxmlformats-officedocument.spreadsheetml.externalLink+xml"/>
  <Override PartName="/xl/externalLinks/externalLink3.xml" ContentType="application/vnd.openxmlformats-officedocument.spreadsheetml.externalLink+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comments14.xml" ContentType="application/vnd.openxmlformats-officedocument.spreadsheetml.comments+xml"/>
  <Override PartName="/xl/comments15.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1.xml" ContentType="application/vnd.openxmlformats-officedocument.spreadsheetml.comments+xml"/>
  <Override PartName="/xl/comments9.xml" ContentType="application/vnd.openxmlformats-officedocument.spreadsheetml.comments+xml"/>
  <Override PartName="/xl/comments6.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10.xml" ContentType="application/vnd.openxmlformats-officedocument.spreadsheetml.comments+xml"/>
  <Override PartName="/xl/activeX/activeX1.xml" ContentType="application/vnd.ms-office.activeX+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activeX/activeX1.bin" ContentType="application/vnd.ms-office.activeX"/>
  <Override PartName="/xl/externalLinks/externalLink11.xml" ContentType="application/vnd.openxmlformats-officedocument.spreadsheetml.externalLink+xml"/>
  <Override PartName="/xl/externalLinks/externalLink10.xml" ContentType="application/vnd.openxmlformats-officedocument.spreadsheetml.externalLink+xml"/>
  <Override PartName="/xl/externalLinks/externalLink9.xml" ContentType="application/vnd.openxmlformats-officedocument.spreadsheetml.externalLink+xml"/>
  <Override PartName="/xl/comments13.xml" ContentType="application/vnd.openxmlformats-officedocument.spreadsheetml.comments+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comments11.xml" ContentType="application/vnd.openxmlformats-officedocument.spreadsheetml.comments+xml"/>
  <Override PartName="/xl/externalLinks/externalLink17.xml" ContentType="application/vnd.openxmlformats-officedocument.spreadsheetml.externalLink+xml"/>
  <Override PartName="/xl/externalLinks/externalLink16.xml" ContentType="application/vnd.openxmlformats-officedocument.spreadsheetml.externalLink+xml"/>
  <Override PartName="/xl/comments12.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8595" yWindow="-15" windowWidth="8640" windowHeight="10020" tabRatio="918"/>
  </bookViews>
  <sheets>
    <sheet name="Summ GHG Rpt Expanded" sheetId="93" r:id="rId1"/>
    <sheet name="EGU_By_Fuel_Type" sheetId="67" r:id="rId2"/>
    <sheet name="Severstal" sheetId="98" r:id="rId3"/>
    <sheet name="Luke" sheetId="97" r:id="rId4"/>
    <sheet name="EGU Details" sheetId="96" r:id="rId5"/>
    <sheet name="Imported Electricity " sheetId="103" r:id="rId6"/>
    <sheet name="Non_Road_Transportation" sheetId="108" r:id="rId7"/>
    <sheet name="On_Road_Transportation" sheetId="109" r:id="rId8"/>
    <sheet name="Others_Transportation" sheetId="110" r:id="rId9"/>
    <sheet name="Residential" sheetId="71" r:id="rId10"/>
    <sheet name="Commercial" sheetId="70" r:id="rId11"/>
    <sheet name="Industrial" sheetId="69" r:id="rId12"/>
    <sheet name="LimeT&amp;DSodaODS" sheetId="85" r:id="rId13"/>
    <sheet name="Cement" sheetId="75" r:id="rId14"/>
    <sheet name="Ammonia &amp; Urea Consumption" sheetId="91" r:id="rId15"/>
    <sheet name="Iron And Steel" sheetId="74" r:id="rId16"/>
    <sheet name="Landfills" sheetId="87" r:id="rId17"/>
    <sheet name="LFGTE" sheetId="104" r:id="rId18"/>
    <sheet name="Incinerators" sheetId="72" r:id="rId19"/>
    <sheet name="OpenBurn" sheetId="94" r:id="rId20"/>
    <sheet name="Natural Gas and Oil" sheetId="86" r:id="rId21"/>
    <sheet name="Mining" sheetId="78" r:id="rId22"/>
    <sheet name="Wastewater" sheetId="88" r:id="rId23"/>
    <sheet name="Agricultural" sheetId="92" r:id="rId24"/>
    <sheet name="Land Use" sheetId="82" r:id="rId25"/>
  </sheets>
  <externalReferences>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s>
  <definedNames>
    <definedName name="_Key1" hidden="1">#REF!</definedName>
    <definedName name="_Order1" hidden="1">255</definedName>
    <definedName name="_Sort" hidden="1">#REF!</definedName>
    <definedName name="a">'[1]Enteric Fermentation'!$B$12</definedName>
    <definedName name="AlFactorBlock">[2]EF!$A$40:$E$70</definedName>
    <definedName name="AmmoniaDefaults">'[3]Ammonia Defaults'!$B$59:$AF$60</definedName>
    <definedName name="animaldata">'[1]MD Projected Animal Pop'!$C$9:$T$129</definedName>
    <definedName name="AnimalData2">'[1]MD Projected Animal Pop'!$X$9:$AH$1079</definedName>
    <definedName name="AvGasCC">[4]Control!$D$19</definedName>
    <definedName name="BasinNum">[5]constants!$M$1</definedName>
    <definedName name="BeefbullEF">[6]Control!$C$25</definedName>
    <definedName name="BeefcowEF">[6]Control!$C$17</definedName>
    <definedName name="BeefCows_EF">'[6]enteric EFsNEW'!$A$211:$AF$261</definedName>
    <definedName name="BeefRep">[6]Control!$C$18</definedName>
    <definedName name="BeefRep0_12">[6]Control!$C$19</definedName>
    <definedName name="BeefRep12_24">[6]Control!$C$20</definedName>
    <definedName name="BeefRepl_12_24_EF">'[6]enteric EFsNEW'!$A$315:$AF$365</definedName>
    <definedName name="BeefRepl_7_11_EF">'[6]enteric EFsNEW'!$A$263:$AF$313</definedName>
    <definedName name="BeefRepl_Total_EF">'[6]enteric EFsNEW'!$A$367:$AF$417</definedName>
    <definedName name="BroilerMCF">[6]MCF!$P$6</definedName>
    <definedName name="C_CO2">'[7]List Data'!$K$6</definedName>
    <definedName name="C_CO2pipeline">'[4]List Data'!$K$6</definedName>
    <definedName name="CementCorrectionFactor">#REF!</definedName>
    <definedName name="CH4GWP">#REF!</definedName>
    <definedName name="CHGWP">[8]constants!$B$12</definedName>
    <definedName name="CO2_C">[9]Control!$D$51</definedName>
    <definedName name="CO2_Carbon">[10]Lookups!$B$28</definedName>
    <definedName name="coalbasins">'[5]Coal codes'!$A$3:$F$53</definedName>
    <definedName name="CoalCCs">#REF!</definedName>
    <definedName name="CoalCoeffBlock">'[7]Coal CC'!$E$6:$U$527</definedName>
    <definedName name="coaldata">'[5]Coal data'!$C$4:$K$905</definedName>
    <definedName name="CoalEff">[7]Control!$D$11</definedName>
    <definedName name="CoalGrowth">#REF!</definedName>
    <definedName name="ConsumeBlock1">'[11]Default State Energy Data Table'!$A$6:$AH$67</definedName>
    <definedName name="ControlInputRange">[12]Control!$D$13:$D$18,[12]Control!$D$20:$D$22,[12]Control!$D$24:$D$25,[12]Control!$D$31:$D$32,[12]Control!$D$48:$D$55,[12]Control!$D$36:$D$46,[12]Control!$D$58:$D$63</definedName>
    <definedName name="cropdata">'[6]crop data'!$C$4:$W$1585</definedName>
    <definedName name="DairycowEF">[6]Control!$C$12</definedName>
    <definedName name="DairyCows_EF">'[6]enteric EFsNEW'!$A$3:$AF$53</definedName>
    <definedName name="DairyRep">[6]Control!$C$13</definedName>
    <definedName name="DairyRep0_12">[6]Control!$C$14</definedName>
    <definedName name="DairyRep12_24">[6]Control!$C$15</definedName>
    <definedName name="DairyRepl12_24_EF">'[6]enteric EFsNEW'!$A$107:$AF$157</definedName>
    <definedName name="DairyRepl7_11_EF">'[6]enteric EFsNEW'!$A$55:$AF$105</definedName>
    <definedName name="DairyReplTotal_EF">'[6]enteric EFsNEW'!$A$159:$AF$209</definedName>
    <definedName name="data">#REF!</definedName>
    <definedName name="DataBlock">[2]Data!$D$2:$AI$471</definedName>
    <definedName name="days_yr">[6]constants!$B$10</definedName>
    <definedName name="DistillCC">[7]Control!$D$20</definedName>
    <definedName name="EF.Dir">[6]constants!$B$23</definedName>
    <definedName name="ElecProj">#REF!</definedName>
    <definedName name="EntFermEFs">#REF!</definedName>
    <definedName name="EntFermEFs2">#REF!</definedName>
    <definedName name="EPS">#REF!</definedName>
    <definedName name="EPSFraction">#REF!</definedName>
    <definedName name="FCFchoice">#REF!</definedName>
    <definedName name="FE_H_EF">[6]Control!$C$23</definedName>
    <definedName name="FE_St_EF">[6]Control!$C$24</definedName>
    <definedName name="FertData">#REF!</definedName>
    <definedName name="FertTypes">#REF!</definedName>
    <definedName name="FFFactors">#REF!</definedName>
    <definedName name="ft3_g">[5]constants!$B$19</definedName>
    <definedName name="FuelCode">'[7]Code Key'!$E$6:$F$58</definedName>
    <definedName name="FullName">'Ammonia &amp; Urea Consumption'!#REF!</definedName>
    <definedName name="g_lbs">'[4]List Data'!$K$7</definedName>
    <definedName name="g_mt">[5]constants!$B$20</definedName>
    <definedName name="GasProj">#REF!</definedName>
    <definedName name="GoatEF">[6]Control!$C$28</definedName>
    <definedName name="GWP">#REF!</definedName>
    <definedName name="GWPCH4">#REF!</definedName>
    <definedName name="GWPN2O">#REF!</definedName>
    <definedName name="H_Stock_EF">[6]Control!$C$21</definedName>
    <definedName name="HeiferFeedlot_EF">'[6]enteric EFsNEW'!$A$575:$AF$625</definedName>
    <definedName name="HeiferStockers_EF">'[6]enteric EFsNEW'!$A$471:$AF$521</definedName>
    <definedName name="HorseEF">[6]Control!$C$30</definedName>
    <definedName name="HTML1_1" hidden="1">#N/A</definedName>
    <definedName name="HTML1_10" hidden="1">""</definedName>
    <definedName name="HTML1_11" hidden="1">1</definedName>
    <definedName name="HTML1_12" hidden="1">#N/A</definedName>
    <definedName name="HTML1_2" hidden="1">1</definedName>
    <definedName name="HTML1_3" hidden="1">#N/A</definedName>
    <definedName name="HTML1_4" hidden="1">#N/A</definedName>
    <definedName name="HTML1_5" hidden="1">""</definedName>
    <definedName name="HTML1_6" hidden="1">1</definedName>
    <definedName name="HTML1_7" hidden="1">1</definedName>
    <definedName name="HTML1_8" hidden="1">"3/14/96"</definedName>
    <definedName name="HTML1_9" hidden="1">"Lloyd E Phillips"</definedName>
    <definedName name="HTMLCount" hidden="1">1</definedName>
    <definedName name="IndusLimestoneRatios">'[2]Industrial Limestone Ratios'!$A$29:$AF$31</definedName>
    <definedName name="IndustrialPercent">#REF!</definedName>
    <definedName name="JFKeroCC">[4]Control!$D$21</definedName>
    <definedName name="JFNaphCC">[4]Control!$D$22</definedName>
    <definedName name="JFNaphCC2">[11]Control!$D$22</definedName>
    <definedName name="KeroCC">[7]Control!$D$23</definedName>
    <definedName name="kg.MT">#REF!</definedName>
    <definedName name="kg_lb">[6]constants!$B$5</definedName>
    <definedName name="kg_m3">'[1]Enteric Fermentation'!$B$8</definedName>
    <definedName name="lbs.ton">[6]constants!$B$4</definedName>
    <definedName name="lbs_shortt">'[4]List Data'!$K$5</definedName>
    <definedName name="LeachEF">[6]constants!$G$21</definedName>
    <definedName name="LeachEF2">[6]constants!$G$22</definedName>
    <definedName name="LiquidEF">#REF!</definedName>
    <definedName name="LPGEff">[7]Control!$D$14</definedName>
    <definedName name="LPGEUCC">[7]Control!$D$25</definedName>
    <definedName name="LubeCC">[4]Control!$D$26</definedName>
    <definedName name="LubeStore">[4]Control!$D$54</definedName>
    <definedName name="manure_broilers">'[6]manure%'!$AH$4:$AI$56</definedName>
    <definedName name="manure_dairyheifers">'[6]manure%'!$J$4:$M$1554</definedName>
    <definedName name="manure_feedlotbeef">'[6]manure%'!$O$4:$P$55</definedName>
    <definedName name="manure_goats">'[6]manure%'!$AS$4:$AT$55</definedName>
    <definedName name="manure_horses">'[6]manure%'!$AV$4:$AW$55</definedName>
    <definedName name="manure_nofbeef">'[6]manure%'!$R$4:$S$55</definedName>
    <definedName name="manure_sheep">'[6]manure%'!$AO$4:$AQ$54</definedName>
    <definedName name="manure_swine">'[6]manure%'!$U$4:$Z$1554</definedName>
    <definedName name="manure_turkeys">'[6]manure%'!$AK$4:$AM$56</definedName>
    <definedName name="MCF">[6]MCF!$B$3:$D$53</definedName>
    <definedName name="MCFs">#REF!</definedName>
    <definedName name="MethGWP">[9]Control!$D$50</definedName>
    <definedName name="MMFactors">#REF!</definedName>
    <definedName name="mms_dairy">'[6]manure%'!$B$4:$H$1554</definedName>
    <definedName name="mms_layers">'[6]manure%'!$AB$4:$AF$1554</definedName>
    <definedName name="MotorGasCC">[4]Control!$D$27</definedName>
    <definedName name="MT_per_T">#REF!</definedName>
    <definedName name="MT_ton">[6]constants!$B$3</definedName>
    <definedName name="N20GWP">#REF!</definedName>
    <definedName name="N2O_N2">[6]constants!$B$11</definedName>
    <definedName name="N2OGWP">#REF!</definedName>
    <definedName name="NetOutElecExports">#REF!</definedName>
    <definedName name="NEU">#REF!</definedName>
    <definedName name="NGCC">[7]Control!$D$43</definedName>
    <definedName name="NGCH4meth">#REF!</definedName>
    <definedName name="NGEff">[7]Control!$D$12</definedName>
    <definedName name="NH3_NOxEF">[6]constants!$G$23</definedName>
    <definedName name="nobedEF">#REF!</definedName>
    <definedName name="NonEPercent">'[11]Non-Energy Consump.'!$A$63:$AF$88</definedName>
    <definedName name="NonVolEF">[6]constants!$G$19</definedName>
    <definedName name="NOrg">[6]constants!$B$20</definedName>
    <definedName name="open">'[13]REFUSE IN PLACE'!#REF!</definedName>
    <definedName name="OpenYear">'[1]Manure Mgmt'!$D$5</definedName>
    <definedName name="OxidationFactor">#REF!</definedName>
    <definedName name="PetroEff">[7]Control!$D$13</definedName>
    <definedName name="PopGrid">#REF!</definedName>
    <definedName name="PoultryNotManaged">[6]constants!$G$28</definedName>
    <definedName name="_xlnm.Print_Area" localSheetId="4">'EGU Details'!$A$3:$N$359</definedName>
    <definedName name="_xlnm.Print_Area" localSheetId="15">'Iron And Steel'!$A$1:$H$21</definedName>
    <definedName name="_xlnm.Print_Area" localSheetId="24">'Land Use'!$A$1:$AE$48</definedName>
    <definedName name="_xlnm.Print_Area" localSheetId="7">On_Road_Transportation!$A$1:$S$57</definedName>
    <definedName name="_xlnm.Print_Area" localSheetId="0">'Summ GHG Rpt Expanded'!$A$1:$D$185</definedName>
    <definedName name="_xlnm.Print_Titles" localSheetId="4">'EGU Details'!$3:$5</definedName>
    <definedName name="prpEF">[6]constants!$G$20</definedName>
    <definedName name="RedMeatProduction">'[14]Red Meat Data'!$B$7:$AG$51</definedName>
    <definedName name="RegionCode">[15]ListData!$E$2</definedName>
    <definedName name="ResCoalCC">[7]Control!$D$38</definedName>
    <definedName name="ResidCC">[4]Control!$D$28</definedName>
    <definedName name="SectorCode">'[7]Code Key'!$A$4:$B$14</definedName>
    <definedName name="SelectedState">#REF!</definedName>
    <definedName name="SheepEF">[6]Control!$C$27</definedName>
    <definedName name="Short_metric">#REF!</definedName>
    <definedName name="SodaAshConsumption">'[2]Soda Ash Method'!$A$10:$AG$11</definedName>
    <definedName name="SodaAshProduction">'[2]Soda Ash Method'!$A$4:$AG$5</definedName>
    <definedName name="SolidEF">#REF!</definedName>
    <definedName name="St_Stock_EF">[6]Control!$C$22</definedName>
    <definedName name="State">#REF!</definedName>
    <definedName name="StateChoice">#REF!</definedName>
    <definedName name="StateID">'[1]Livestock Growth Factors'!$D$1</definedName>
    <definedName name="StateList">#REF!</definedName>
    <definedName name="StateName">[16]Constants!$G$2</definedName>
    <definedName name="StateNum">'[1]Livestock Growth Factors'!$E$1</definedName>
    <definedName name="StatePopRatio">'[2]state population'!$B$61:$AG$112</definedName>
    <definedName name="States">#REF!</definedName>
    <definedName name="StatFactors">#REF!</definedName>
    <definedName name="SteerFeedlot_EF">'[6]enteric EFsNEW'!$A$523:$AF$573</definedName>
    <definedName name="SteerStockers_EF">'[6]enteric EFsNEW'!$A$419:$AF$469</definedName>
    <definedName name="StorageFactors">#REF!</definedName>
    <definedName name="SwineEF">[6]Control!$C$29</definedName>
    <definedName name="SynRubberFraction">[17]Control!$G$76</definedName>
    <definedName name="Tg_Gram">[10]Lookups!$B$27</definedName>
    <definedName name="TransData">#REF!</definedName>
    <definedName name="TransProj">#REF!</definedName>
    <definedName name="TurkeyMCF">[6]MCF!$P$7</definedName>
    <definedName name="UFactor">#REF!</definedName>
    <definedName name="Units">#REF!</definedName>
    <definedName name="UreaDataRange">'[3]Ammonia Defaults'!$A$67:$AF$117</definedName>
    <definedName name="VariableCCs">'[7]Variable CC''s'!$A$8:$Q$17</definedName>
    <definedName name="VersionDate">#REF!</definedName>
    <definedName name="VersionNumber">#REF!</definedName>
    <definedName name="Vol.EF">[6]constants!$B$24</definedName>
    <definedName name="VolOrg">[6]constants!$B$21</definedName>
    <definedName name="VolPercent">#REF!</definedName>
    <definedName name="VolPercent_Indirect">[6]constants!$B$16</definedName>
    <definedName name="VolSyn">[6]constants!$B$22</definedName>
    <definedName name="VS_BeefReplace">#REF!</definedName>
    <definedName name="VS_BeefReplace2">#REF!</definedName>
    <definedName name="VS_BeefReplace3">'[6]VS-CattleNEW'!$A$159:$AF$209</definedName>
    <definedName name="VS_dairycow">[6]Control!$F$39</definedName>
    <definedName name="VS_dairycow3">'[6]VS-CattleNEW'!$A$3:$AF$53</definedName>
    <definedName name="VS_dairyheifer">[6]Control!$F$40</definedName>
    <definedName name="VS_dairyheifer3">'[6]VS-CattleNEW'!$A$55:$AF$105</definedName>
    <definedName name="VS_feedlotheifer">#REF!</definedName>
    <definedName name="VS_feedlotheifer2">#REF!</definedName>
    <definedName name="VS_feedlotheifer3">'[6]VS-CattleNEW'!$A$367:$AF$417</definedName>
    <definedName name="VS_feedlotsteer">#REF!</definedName>
    <definedName name="VS_feedlotsteer2">#REF!</definedName>
    <definedName name="VS_feedlotsteer3">'[6]VS-CattleNEW'!$A$315:$AF$365</definedName>
    <definedName name="VS_NOFcows">#REF!</definedName>
    <definedName name="VS_NOFcows2">#REF!</definedName>
    <definedName name="VS_NOFcows3">'[6]VS-CattleNEW'!$A$107:$AF$157</definedName>
    <definedName name="VS_NOFheifers">#REF!</definedName>
    <definedName name="VS_NOFheifers2">#REF!</definedName>
    <definedName name="VS_NOFheifers3">'[6]VS-CattleNEW'!$A$263:$AF$313</definedName>
    <definedName name="VS_NOFsteers">#REF!</definedName>
    <definedName name="VS_NOFsteers2">#REF!</definedName>
    <definedName name="VS_NOFsteers3">'[6]VS-CattleNEW'!$A$211:$AF$261</definedName>
    <definedName name="VT_mix">#REF!</definedName>
    <definedName name="WasteCapacity">'[1]Manure Mgmt'!$D$8</definedName>
    <definedName name="WellEF">[15]ListData!$H$3:$I$5</definedName>
  </definedNames>
  <calcPr calcId="125725"/>
</workbook>
</file>

<file path=xl/calcChain.xml><?xml version="1.0" encoding="utf-8"?>
<calcChain xmlns="http://schemas.openxmlformats.org/spreadsheetml/2006/main">
  <c r="D143" i="93"/>
  <c r="D171"/>
  <c r="D170"/>
  <c r="D168"/>
  <c r="D167"/>
  <c r="D166"/>
  <c r="AA28" i="82"/>
  <c r="Z28"/>
  <c r="Y28"/>
  <c r="X28"/>
  <c r="W28"/>
  <c r="V28"/>
  <c r="AE24"/>
  <c r="AB24"/>
  <c r="AE19"/>
  <c r="AB19"/>
  <c r="AE14"/>
  <c r="AB14"/>
  <c r="AE7"/>
  <c r="D452" i="67"/>
  <c r="D449"/>
  <c r="D440"/>
  <c r="D437"/>
  <c r="D427"/>
  <c r="D424"/>
  <c r="C427"/>
  <c r="C452" s="1"/>
  <c r="C426"/>
  <c r="C451" s="1"/>
  <c r="C425"/>
  <c r="C450" s="1"/>
  <c r="C424"/>
  <c r="C449" s="1"/>
  <c r="C463" s="1"/>
  <c r="AE28" i="82" l="1"/>
  <c r="AB28"/>
  <c r="C437" i="67"/>
  <c r="C440"/>
  <c r="C439"/>
  <c r="C438"/>
  <c r="I45" i="110"/>
  <c r="K56" i="109" l="1"/>
  <c r="K55"/>
  <c r="D78" i="93"/>
  <c r="D54"/>
  <c r="C86" i="86"/>
  <c r="C69"/>
  <c r="F101" i="69"/>
  <c r="H101"/>
  <c r="E109"/>
  <c r="E78"/>
  <c r="J8"/>
  <c r="E117"/>
  <c r="E86"/>
  <c r="E55"/>
  <c r="E24"/>
  <c r="G24" s="1"/>
  <c r="E112"/>
  <c r="E81"/>
  <c r="E50"/>
  <c r="E19"/>
  <c r="G19" s="1"/>
  <c r="E16"/>
  <c r="E47"/>
  <c r="G40"/>
  <c r="G39"/>
  <c r="I40"/>
  <c r="K8"/>
  <c r="J9"/>
  <c r="G10"/>
  <c r="G11"/>
  <c r="G12"/>
  <c r="G13"/>
  <c r="G14"/>
  <c r="G15"/>
  <c r="G16"/>
  <c r="G17"/>
  <c r="G18"/>
  <c r="G20"/>
  <c r="G21"/>
  <c r="G22"/>
  <c r="G23"/>
  <c r="G25"/>
  <c r="G26"/>
  <c r="G27"/>
  <c r="G28"/>
  <c r="G29"/>
  <c r="G9"/>
  <c r="E122"/>
  <c r="E121"/>
  <c r="E119"/>
  <c r="E114"/>
  <c r="E111"/>
  <c r="E110"/>
  <c r="E106"/>
  <c r="E103"/>
  <c r="E102"/>
  <c r="E91"/>
  <c r="E90"/>
  <c r="E88"/>
  <c r="E83"/>
  <c r="E80"/>
  <c r="E79"/>
  <c r="E75"/>
  <c r="E72"/>
  <c r="E71"/>
  <c r="E60"/>
  <c r="E59"/>
  <c r="E57"/>
  <c r="E52"/>
  <c r="E49"/>
  <c r="E48"/>
  <c r="E44"/>
  <c r="E41"/>
  <c r="E40"/>
  <c r="E29"/>
  <c r="E28"/>
  <c r="E26"/>
  <c r="E21"/>
  <c r="E18"/>
  <c r="E17"/>
  <c r="E13"/>
  <c r="E10"/>
  <c r="E9"/>
  <c r="C53" i="110"/>
  <c r="C45"/>
  <c r="K22"/>
  <c r="C35"/>
  <c r="C34"/>
  <c r="E24"/>
  <c r="C9"/>
  <c r="C8"/>
  <c r="C24"/>
  <c r="C23"/>
  <c r="C22"/>
  <c r="E6"/>
  <c r="G101" i="69"/>
  <c r="G57" i="70"/>
  <c r="G56"/>
  <c r="G55"/>
  <c r="G54"/>
  <c r="E61"/>
  <c r="E60"/>
  <c r="E59"/>
  <c r="E58"/>
  <c r="E57"/>
  <c r="E56"/>
  <c r="E55"/>
  <c r="E54"/>
  <c r="D56"/>
  <c r="D55"/>
  <c r="D54"/>
  <c r="E46" i="71"/>
  <c r="D51"/>
  <c r="D50"/>
  <c r="D49"/>
  <c r="D48"/>
  <c r="D47"/>
  <c r="D46"/>
  <c r="C46"/>
  <c r="C50"/>
  <c r="C49"/>
  <c r="C48"/>
  <c r="C47"/>
  <c r="I101" i="69"/>
  <c r="F123"/>
  <c r="AM16" i="88"/>
  <c r="AI16"/>
  <c r="AG16"/>
  <c r="Y16"/>
  <c r="O16"/>
  <c r="M16"/>
  <c r="W162" i="92" l="1"/>
  <c r="W159"/>
  <c r="W157"/>
  <c r="W5" i="88" l="1"/>
  <c r="D24" i="93"/>
  <c r="C70" i="103"/>
  <c r="I64"/>
  <c r="H84"/>
  <c r="S84"/>
  <c r="J28" i="85"/>
  <c r="M124" i="92" l="1"/>
  <c r="K125" l="1"/>
  <c r="E134"/>
  <c r="C125"/>
  <c r="Q124"/>
  <c r="O124"/>
  <c r="M125"/>
  <c r="K124"/>
  <c r="W199"/>
  <c r="I157" l="1"/>
  <c r="E125"/>
  <c r="E124"/>
  <c r="E128"/>
  <c r="C135"/>
  <c r="Q68"/>
  <c r="O89"/>
  <c r="O88"/>
  <c r="O85"/>
  <c r="O84"/>
  <c r="O83"/>
  <c r="O82"/>
  <c r="O81"/>
  <c r="O78"/>
  <c r="O77"/>
  <c r="O76"/>
  <c r="O75"/>
  <c r="O74"/>
  <c r="O72"/>
  <c r="O71"/>
  <c r="O69"/>
  <c r="O68"/>
  <c r="M89"/>
  <c r="M88"/>
  <c r="M85"/>
  <c r="M84"/>
  <c r="M83"/>
  <c r="M82"/>
  <c r="M81"/>
  <c r="M78"/>
  <c r="M77"/>
  <c r="M76"/>
  <c r="M75"/>
  <c r="M74"/>
  <c r="M72"/>
  <c r="M71"/>
  <c r="M69"/>
  <c r="M68"/>
  <c r="K89"/>
  <c r="K82"/>
  <c r="K81"/>
  <c r="K78"/>
  <c r="K77"/>
  <c r="K76"/>
  <c r="K75"/>
  <c r="K74"/>
  <c r="K69"/>
  <c r="K68"/>
  <c r="I88"/>
  <c r="I89"/>
  <c r="I85"/>
  <c r="I84"/>
  <c r="I83"/>
  <c r="I82"/>
  <c r="I81"/>
  <c r="I78"/>
  <c r="I77"/>
  <c r="I76"/>
  <c r="I75"/>
  <c r="I74"/>
  <c r="I72"/>
  <c r="I71"/>
  <c r="I69"/>
  <c r="I68"/>
  <c r="G89"/>
  <c r="G83"/>
  <c r="G82"/>
  <c r="G81"/>
  <c r="G78"/>
  <c r="G77"/>
  <c r="G76"/>
  <c r="G75"/>
  <c r="G74"/>
  <c r="G69"/>
  <c r="G68"/>
  <c r="E88"/>
  <c r="E85"/>
  <c r="E84"/>
  <c r="E83"/>
  <c r="E82"/>
  <c r="E81"/>
  <c r="E78"/>
  <c r="E77"/>
  <c r="E76"/>
  <c r="E75"/>
  <c r="E74"/>
  <c r="E72"/>
  <c r="E69"/>
  <c r="E68"/>
  <c r="I32"/>
  <c r="C35" i="78" l="1"/>
  <c r="D22"/>
  <c r="D21"/>
  <c r="D19"/>
  <c r="L9"/>
  <c r="H9"/>
  <c r="J9"/>
  <c r="J15"/>
  <c r="H15"/>
  <c r="J13"/>
  <c r="F30" i="86" l="1"/>
  <c r="D44" i="93"/>
  <c r="D94"/>
  <c r="C124" i="92"/>
  <c r="D44" i="85"/>
  <c r="D41"/>
  <c r="D23"/>
  <c r="D13"/>
  <c r="D6"/>
  <c r="D15" i="78"/>
  <c r="D13"/>
  <c r="D9"/>
  <c r="D49" i="93"/>
  <c r="D48"/>
  <c r="D46"/>
  <c r="D70"/>
  <c r="D69"/>
  <c r="D62"/>
  <c r="D61"/>
  <c r="D53"/>
  <c r="D45"/>
  <c r="D52"/>
  <c r="E55" i="110"/>
  <c r="E54"/>
  <c r="G55"/>
  <c r="C54"/>
  <c r="D43" i="93" l="1"/>
  <c r="D169"/>
  <c r="D165" s="1"/>
  <c r="E35" i="110"/>
  <c r="K35" s="1"/>
  <c r="M35" s="1"/>
  <c r="O35" s="1"/>
  <c r="C57" s="1"/>
  <c r="E34"/>
  <c r="K34" s="1"/>
  <c r="M34" s="1"/>
  <c r="O34" s="1"/>
  <c r="C56" s="1"/>
  <c r="E23"/>
  <c r="T23" s="1"/>
  <c r="E22"/>
  <c r="D34" i="109"/>
  <c r="C41"/>
  <c r="C40"/>
  <c r="L36"/>
  <c r="C54" s="1"/>
  <c r="G54" s="1"/>
  <c r="K36"/>
  <c r="C55" s="1"/>
  <c r="G55" s="1"/>
  <c r="C34"/>
  <c r="G34"/>
  <c r="F34"/>
  <c r="E34"/>
  <c r="O45" i="110"/>
  <c r="Q45" s="1"/>
  <c r="S45" s="1"/>
  <c r="C58" s="1"/>
  <c r="D68" i="93" s="1"/>
  <c r="O40" i="110"/>
  <c r="AA34"/>
  <c r="AC34" s="1"/>
  <c r="AE34" s="1"/>
  <c r="E56" s="1"/>
  <c r="AA24"/>
  <c r="AC24" s="1"/>
  <c r="AE24" s="1"/>
  <c r="E10"/>
  <c r="E7"/>
  <c r="E5"/>
  <c r="D57" i="93"/>
  <c r="D56"/>
  <c r="D64" l="1"/>
  <c r="T22" i="110"/>
  <c r="V22" s="1"/>
  <c r="X22" s="1"/>
  <c r="G53" s="1"/>
  <c r="D74" i="93" s="1"/>
  <c r="T34" i="110"/>
  <c r="V34" s="1"/>
  <c r="X34" s="1"/>
  <c r="G56" s="1"/>
  <c r="K23"/>
  <c r="M23" s="1"/>
  <c r="O23" s="1"/>
  <c r="K24"/>
  <c r="M24" s="1"/>
  <c r="O24" s="1"/>
  <c r="M22"/>
  <c r="O22" s="1"/>
  <c r="D72" i="93" s="1"/>
  <c r="T24" i="110"/>
  <c r="V24" s="1"/>
  <c r="X24" s="1"/>
  <c r="O36"/>
  <c r="AA22"/>
  <c r="AC22" s="1"/>
  <c r="AE22" s="1"/>
  <c r="E53" s="1"/>
  <c r="D73" i="93" s="1"/>
  <c r="AA35" i="110"/>
  <c r="AC35" s="1"/>
  <c r="AE35" s="1"/>
  <c r="T35"/>
  <c r="V35" s="1"/>
  <c r="X35" s="1"/>
  <c r="G57" s="1"/>
  <c r="D66" i="93" s="1"/>
  <c r="V23" i="110"/>
  <c r="X23" s="1"/>
  <c r="G54" s="1"/>
  <c r="AA23"/>
  <c r="AC23" s="1"/>
  <c r="AE23" s="1"/>
  <c r="N54" i="109"/>
  <c r="P54" s="1"/>
  <c r="R54" s="1"/>
  <c r="I54"/>
  <c r="K54" s="1"/>
  <c r="I55"/>
  <c r="N55"/>
  <c r="P55" s="1"/>
  <c r="R55" s="1"/>
  <c r="J4784" i="108"/>
  <c r="D12" s="1"/>
  <c r="F12" s="1"/>
  <c r="I4784"/>
  <c r="C12" s="1"/>
  <c r="E12" s="1"/>
  <c r="J4783"/>
  <c r="D11" s="1"/>
  <c r="F11" s="1"/>
  <c r="I4783"/>
  <c r="C11" s="1"/>
  <c r="E11" s="1"/>
  <c r="J4782"/>
  <c r="D10" s="1"/>
  <c r="F10" s="1"/>
  <c r="I4782"/>
  <c r="C10" s="1"/>
  <c r="E10" s="1"/>
  <c r="J4781"/>
  <c r="D9" s="1"/>
  <c r="F9" s="1"/>
  <c r="I4781"/>
  <c r="C9" s="1"/>
  <c r="E9" s="1"/>
  <c r="J4780"/>
  <c r="D8" s="1"/>
  <c r="I4780"/>
  <c r="C8" s="1"/>
  <c r="E8" s="1"/>
  <c r="J4777"/>
  <c r="I4777"/>
  <c r="J4776"/>
  <c r="J4778" s="1"/>
  <c r="H4776"/>
  <c r="H4778" s="1"/>
  <c r="E4776"/>
  <c r="E4778" s="1"/>
  <c r="AE36" i="110" l="1"/>
  <c r="E57"/>
  <c r="D65" i="93" s="1"/>
  <c r="C55" i="110"/>
  <c r="D60" i="93" s="1"/>
  <c r="X36" i="110"/>
  <c r="O25"/>
  <c r="I54"/>
  <c r="I53"/>
  <c r="AE25"/>
  <c r="X25"/>
  <c r="R56" i="109"/>
  <c r="E13" i="108"/>
  <c r="D13"/>
  <c r="F8"/>
  <c r="F13" s="1"/>
  <c r="D148" i="93"/>
  <c r="C60" i="110" l="1"/>
  <c r="I55"/>
  <c r="G60"/>
  <c r="I57"/>
  <c r="E60"/>
  <c r="J70" i="87"/>
  <c r="U92"/>
  <c r="U86"/>
  <c r="M57" i="104"/>
  <c r="O74" i="87"/>
  <c r="O76" s="1"/>
  <c r="W57" i="104"/>
  <c r="X57"/>
  <c r="Y57"/>
  <c r="Z57"/>
  <c r="AA57"/>
  <c r="U57"/>
  <c r="V57"/>
  <c r="U80" i="87"/>
  <c r="U82"/>
  <c r="K74"/>
  <c r="U74"/>
  <c r="U76" s="1"/>
  <c r="O57" i="104"/>
  <c r="K76" i="87"/>
  <c r="F36" i="97"/>
  <c r="T19" i="87"/>
  <c r="R19"/>
  <c r="Q19"/>
  <c r="U19" s="1"/>
  <c r="V19" s="1"/>
  <c r="W19" s="1"/>
  <c r="P19"/>
  <c r="O19"/>
  <c r="M19"/>
  <c r="C54" i="104"/>
  <c r="P52"/>
  <c r="C52"/>
  <c r="P50"/>
  <c r="C50"/>
  <c r="P48"/>
  <c r="C48"/>
  <c r="I60" i="110" l="1"/>
  <c r="O80" i="87"/>
  <c r="U90" s="1"/>
  <c r="U98" s="1"/>
  <c r="P44" i="104"/>
  <c r="D44"/>
  <c r="C44"/>
  <c r="T44" s="1"/>
  <c r="P42"/>
  <c r="E42"/>
  <c r="C42"/>
  <c r="P40"/>
  <c r="E40"/>
  <c r="C40"/>
  <c r="P38"/>
  <c r="E38"/>
  <c r="C38"/>
  <c r="P36"/>
  <c r="E36"/>
  <c r="C36"/>
  <c r="T36" s="1"/>
  <c r="P34"/>
  <c r="E34"/>
  <c r="C34"/>
  <c r="P32"/>
  <c r="V54"/>
  <c r="V52"/>
  <c r="V50"/>
  <c r="V48"/>
  <c r="V44"/>
  <c r="V42"/>
  <c r="V40"/>
  <c r="V38"/>
  <c r="V36"/>
  <c r="V34"/>
  <c r="V32"/>
  <c r="V30"/>
  <c r="V28"/>
  <c r="U54"/>
  <c r="U52"/>
  <c r="U50"/>
  <c r="U48"/>
  <c r="U44"/>
  <c r="U42"/>
  <c r="U40"/>
  <c r="U38"/>
  <c r="U36"/>
  <c r="U34"/>
  <c r="U32"/>
  <c r="U28"/>
  <c r="T54"/>
  <c r="T52"/>
  <c r="T50"/>
  <c r="T48"/>
  <c r="T42"/>
  <c r="T40"/>
  <c r="T38"/>
  <c r="T34"/>
  <c r="T32"/>
  <c r="T26"/>
  <c r="T28"/>
  <c r="U30"/>
  <c r="T30"/>
  <c r="P30"/>
  <c r="AA28" l="1"/>
  <c r="X28"/>
  <c r="W28"/>
  <c r="S28"/>
  <c r="R28"/>
  <c r="P28"/>
  <c r="O28"/>
  <c r="N28"/>
  <c r="M28"/>
  <c r="E28"/>
  <c r="D28"/>
  <c r="F26"/>
  <c r="Z54"/>
  <c r="AA54" s="1"/>
  <c r="P54"/>
  <c r="K54"/>
  <c r="J54"/>
  <c r="F54"/>
  <c r="Z52"/>
  <c r="Y52" s="1"/>
  <c r="K52"/>
  <c r="J52"/>
  <c r="I52"/>
  <c r="F52"/>
  <c r="AA50"/>
  <c r="Z50"/>
  <c r="Y50" s="1"/>
  <c r="K50"/>
  <c r="J50"/>
  <c r="I50"/>
  <c r="F50"/>
  <c r="Z48"/>
  <c r="AA48" s="1"/>
  <c r="K48"/>
  <c r="J48"/>
  <c r="I48"/>
  <c r="F48"/>
  <c r="Z44"/>
  <c r="Y44" s="1"/>
  <c r="K44"/>
  <c r="J44"/>
  <c r="I44"/>
  <c r="F44"/>
  <c r="Z42"/>
  <c r="AA42" s="1"/>
  <c r="K42"/>
  <c r="J42"/>
  <c r="I42"/>
  <c r="F42"/>
  <c r="Z40"/>
  <c r="Y40" s="1"/>
  <c r="K40"/>
  <c r="J40"/>
  <c r="Z38"/>
  <c r="AA38" s="1"/>
  <c r="K38"/>
  <c r="J38"/>
  <c r="I38"/>
  <c r="F38"/>
  <c r="Z36"/>
  <c r="Y36" s="1"/>
  <c r="J36"/>
  <c r="Z34"/>
  <c r="AA34" s="1"/>
  <c r="K34"/>
  <c r="J34"/>
  <c r="F34"/>
  <c r="Z32"/>
  <c r="Y32" s="1"/>
  <c r="K32"/>
  <c r="J32"/>
  <c r="I32"/>
  <c r="F32"/>
  <c r="Z30"/>
  <c r="AA30" s="1"/>
  <c r="K30"/>
  <c r="J30"/>
  <c r="I30"/>
  <c r="F30"/>
  <c r="Z28"/>
  <c r="K28"/>
  <c r="I28"/>
  <c r="Y28"/>
  <c r="Z26"/>
  <c r="Y26" s="1"/>
  <c r="K26"/>
  <c r="J26"/>
  <c r="N26" s="1"/>
  <c r="I26"/>
  <c r="G7"/>
  <c r="L50" l="1"/>
  <c r="R50"/>
  <c r="S50" s="1"/>
  <c r="W50"/>
  <c r="M26"/>
  <c r="X26"/>
  <c r="I34"/>
  <c r="L34" s="1"/>
  <c r="Q34" s="1"/>
  <c r="W34" s="1"/>
  <c r="Y54"/>
  <c r="R26"/>
  <c r="S26" s="1"/>
  <c r="U26"/>
  <c r="AA36"/>
  <c r="Y30"/>
  <c r="F28"/>
  <c r="F36"/>
  <c r="I54"/>
  <c r="L54" s="1"/>
  <c r="R54" s="1"/>
  <c r="Y42"/>
  <c r="L44"/>
  <c r="W44" s="1"/>
  <c r="L26"/>
  <c r="Q26" s="1"/>
  <c r="W26" s="1"/>
  <c r="O30"/>
  <c r="N32"/>
  <c r="O34"/>
  <c r="N38"/>
  <c r="X40"/>
  <c r="O42"/>
  <c r="O44"/>
  <c r="N50"/>
  <c r="M52"/>
  <c r="O54"/>
  <c r="V26"/>
  <c r="N30"/>
  <c r="M32"/>
  <c r="N34"/>
  <c r="L38"/>
  <c r="Q38" s="1"/>
  <c r="W38" s="1"/>
  <c r="L42"/>
  <c r="Q42" s="1"/>
  <c r="R42" s="1"/>
  <c r="S42" s="1"/>
  <c r="N44"/>
  <c r="AA44"/>
  <c r="O48"/>
  <c r="M50"/>
  <c r="N54"/>
  <c r="O26"/>
  <c r="M30"/>
  <c r="N36"/>
  <c r="O40"/>
  <c r="M42"/>
  <c r="N48"/>
  <c r="O52"/>
  <c r="L30"/>
  <c r="Q30" s="1"/>
  <c r="R30" s="1"/>
  <c r="O32"/>
  <c r="O38"/>
  <c r="N40"/>
  <c r="L48"/>
  <c r="Q48" s="1"/>
  <c r="W48" s="1"/>
  <c r="O50"/>
  <c r="N52"/>
  <c r="AA26"/>
  <c r="J28"/>
  <c r="X30"/>
  <c r="L32"/>
  <c r="Q32" s="1"/>
  <c r="R32" s="1"/>
  <c r="AA32"/>
  <c r="Y34"/>
  <c r="K36"/>
  <c r="O36" s="1"/>
  <c r="Y38"/>
  <c r="F40"/>
  <c r="AA40"/>
  <c r="Y48"/>
  <c r="X50"/>
  <c r="L52"/>
  <c r="Q52" s="1"/>
  <c r="W52" s="1"/>
  <c r="AA52"/>
  <c r="X34"/>
  <c r="M38"/>
  <c r="X38"/>
  <c r="N42"/>
  <c r="M44"/>
  <c r="M48"/>
  <c r="X48"/>
  <c r="X54"/>
  <c r="I36"/>
  <c r="X36"/>
  <c r="X42"/>
  <c r="X44"/>
  <c r="X32"/>
  <c r="I40"/>
  <c r="X52"/>
  <c r="R44" l="1"/>
  <c r="S44" s="1"/>
  <c r="R38"/>
  <c r="M34"/>
  <c r="R34"/>
  <c r="S34" s="1"/>
  <c r="W30"/>
  <c r="M54"/>
  <c r="W42"/>
  <c r="R48"/>
  <c r="S48" s="1"/>
  <c r="W54"/>
  <c r="R52"/>
  <c r="S52" s="1"/>
  <c r="W32"/>
  <c r="S30"/>
  <c r="N57"/>
  <c r="S32"/>
  <c r="S38"/>
  <c r="L28"/>
  <c r="Q28" s="1"/>
  <c r="L36"/>
  <c r="Q36" s="1"/>
  <c r="R36" s="1"/>
  <c r="M36"/>
  <c r="S54"/>
  <c r="M40"/>
  <c r="L40"/>
  <c r="Q40" s="1"/>
  <c r="R40" s="1"/>
  <c r="T57"/>
  <c r="W40" l="1"/>
  <c r="W36"/>
  <c r="S40"/>
  <c r="S36"/>
  <c r="D49" i="75" l="1"/>
  <c r="D51"/>
  <c r="D47"/>
  <c r="AC23" i="72" l="1"/>
  <c r="E35"/>
  <c r="D35"/>
  <c r="C35"/>
  <c r="E29"/>
  <c r="D29"/>
  <c r="C29"/>
  <c r="C27"/>
  <c r="C23"/>
  <c r="Q35"/>
  <c r="T29"/>
  <c r="S29"/>
  <c r="R29"/>
  <c r="Q29"/>
  <c r="T23"/>
  <c r="S23"/>
  <c r="R23"/>
  <c r="Q21"/>
  <c r="T9"/>
  <c r="S9"/>
  <c r="R9"/>
  <c r="Q9"/>
  <c r="J21"/>
  <c r="J19"/>
  <c r="J13"/>
  <c r="S27" i="103"/>
  <c r="C465" i="67"/>
  <c r="E427"/>
  <c r="F427" s="1"/>
  <c r="D12" i="93" s="1"/>
  <c r="M413" i="67"/>
  <c r="E452" s="1"/>
  <c r="G452" s="1"/>
  <c r="D14" i="93" s="1"/>
  <c r="L413" i="67"/>
  <c r="E440" s="1"/>
  <c r="G440" s="1"/>
  <c r="D13" i="93" s="1"/>
  <c r="K413" i="67"/>
  <c r="J413"/>
  <c r="C466" s="1"/>
  <c r="F413"/>
  <c r="M300"/>
  <c r="D451" s="1"/>
  <c r="E451" s="1"/>
  <c r="G451" s="1"/>
  <c r="E465" s="1"/>
  <c r="L300"/>
  <c r="D439" s="1"/>
  <c r="E439" s="1"/>
  <c r="G439" s="1"/>
  <c r="F465" s="1"/>
  <c r="K300"/>
  <c r="D426" s="1"/>
  <c r="E426" s="1"/>
  <c r="F426" s="1"/>
  <c r="J300"/>
  <c r="F300"/>
  <c r="M252"/>
  <c r="D450" s="1"/>
  <c r="E450" s="1"/>
  <c r="G450" s="1"/>
  <c r="L252"/>
  <c r="D438" s="1"/>
  <c r="E438" s="1"/>
  <c r="G438" s="1"/>
  <c r="K252"/>
  <c r="D425" s="1"/>
  <c r="E425" s="1"/>
  <c r="F425" s="1"/>
  <c r="J252"/>
  <c r="C464" s="1"/>
  <c r="F252"/>
  <c r="M58"/>
  <c r="L58"/>
  <c r="K58"/>
  <c r="J58"/>
  <c r="F58"/>
  <c r="M38" i="96"/>
  <c r="L42"/>
  <c r="L38"/>
  <c r="M140"/>
  <c r="M139"/>
  <c r="L140"/>
  <c r="L139"/>
  <c r="K140"/>
  <c r="K139"/>
  <c r="M136"/>
  <c r="M135"/>
  <c r="L136"/>
  <c r="L135"/>
  <c r="L123"/>
  <c r="S50" i="103"/>
  <c r="N68"/>
  <c r="R50"/>
  <c r="Q50"/>
  <c r="Q57" s="1"/>
  <c r="Q84" s="1"/>
  <c r="P50"/>
  <c r="O50"/>
  <c r="N50"/>
  <c r="M50"/>
  <c r="M57" s="1"/>
  <c r="M84" s="1"/>
  <c r="L50"/>
  <c r="L57" s="1"/>
  <c r="L84" s="1"/>
  <c r="D50"/>
  <c r="D57" s="1"/>
  <c r="D84" s="1"/>
  <c r="L49"/>
  <c r="K49"/>
  <c r="K50" s="1"/>
  <c r="K57" s="1"/>
  <c r="K84" s="1"/>
  <c r="J49"/>
  <c r="J50" s="1"/>
  <c r="J57" s="1"/>
  <c r="J84" s="1"/>
  <c r="I49"/>
  <c r="I50" s="1"/>
  <c r="I57" s="1"/>
  <c r="I84" s="1"/>
  <c r="H49"/>
  <c r="H50" s="1"/>
  <c r="H57" s="1"/>
  <c r="G49"/>
  <c r="G50" s="1"/>
  <c r="G57" s="1"/>
  <c r="G84" s="1"/>
  <c r="F49"/>
  <c r="F50" s="1"/>
  <c r="F57" s="1"/>
  <c r="F84" s="1"/>
  <c r="E49"/>
  <c r="E50" s="1"/>
  <c r="E57" s="1"/>
  <c r="E84" s="1"/>
  <c r="D49"/>
  <c r="C49"/>
  <c r="C50" s="1"/>
  <c r="C57" s="1"/>
  <c r="C84" s="1"/>
  <c r="L32"/>
  <c r="L38" s="1"/>
  <c r="J32"/>
  <c r="J38" s="1"/>
  <c r="I32"/>
  <c r="I38" s="1"/>
  <c r="H32"/>
  <c r="H38" s="1"/>
  <c r="G32"/>
  <c r="G38" s="1"/>
  <c r="F32"/>
  <c r="F38" s="1"/>
  <c r="E32"/>
  <c r="E38" s="1"/>
  <c r="D32"/>
  <c r="D38" s="1"/>
  <c r="C32"/>
  <c r="C38" s="1"/>
  <c r="R27"/>
  <c r="R32" s="1"/>
  <c r="Q27"/>
  <c r="P27"/>
  <c r="O27"/>
  <c r="N27"/>
  <c r="M27"/>
  <c r="K27"/>
  <c r="J324" i="96"/>
  <c r="J323"/>
  <c r="J322"/>
  <c r="J321"/>
  <c r="J320"/>
  <c r="J309"/>
  <c r="S344"/>
  <c r="S343"/>
  <c r="S342"/>
  <c r="S341"/>
  <c r="S340"/>
  <c r="S333"/>
  <c r="S334"/>
  <c r="S335"/>
  <c r="S332"/>
  <c r="G28" i="75"/>
  <c r="G39"/>
  <c r="G37"/>
  <c r="G33"/>
  <c r="I10"/>
  <c r="H10"/>
  <c r="G18"/>
  <c r="G12"/>
  <c r="G22" s="1"/>
  <c r="F464" i="67" l="1"/>
  <c r="D17" i="93"/>
  <c r="D16"/>
  <c r="E464" i="67"/>
  <c r="D18" i="93"/>
  <c r="E466" i="67"/>
  <c r="F466"/>
  <c r="S57" i="103"/>
  <c r="S32"/>
  <c r="S38" s="1"/>
  <c r="E449" i="67"/>
  <c r="G449" s="1"/>
  <c r="D10" i="93" s="1"/>
  <c r="D453" i="67"/>
  <c r="G426"/>
  <c r="D465"/>
  <c r="G465" s="1"/>
  <c r="D466"/>
  <c r="G427"/>
  <c r="D441"/>
  <c r="E437"/>
  <c r="G437" s="1"/>
  <c r="D9" i="93" s="1"/>
  <c r="G425" i="67"/>
  <c r="D464"/>
  <c r="D428"/>
  <c r="E424"/>
  <c r="O57" i="103"/>
  <c r="O84" s="1"/>
  <c r="N57"/>
  <c r="N84" s="1"/>
  <c r="R57"/>
  <c r="C74" s="1"/>
  <c r="P57"/>
  <c r="P84" s="1"/>
  <c r="P38"/>
  <c r="N32"/>
  <c r="N38" s="1"/>
  <c r="K32"/>
  <c r="K38" s="1"/>
  <c r="O32"/>
  <c r="O38" s="1"/>
  <c r="R38"/>
  <c r="M32"/>
  <c r="M38" s="1"/>
  <c r="Q32"/>
  <c r="Q38" s="1"/>
  <c r="P32"/>
  <c r="G466" i="67" l="1"/>
  <c r="G464"/>
  <c r="E428"/>
  <c r="F428" s="1"/>
  <c r="F424"/>
  <c r="D8" i="93" s="1"/>
  <c r="G441" i="67"/>
  <c r="F463"/>
  <c r="F467" s="1"/>
  <c r="E463"/>
  <c r="E467" s="1"/>
  <c r="G453"/>
  <c r="K70" i="103"/>
  <c r="B65" s="1"/>
  <c r="E70"/>
  <c r="E74" s="1"/>
  <c r="E76" s="1"/>
  <c r="I70"/>
  <c r="H70"/>
  <c r="H74" s="1"/>
  <c r="H76" s="1"/>
  <c r="F70"/>
  <c r="F74" s="1"/>
  <c r="F76" s="1"/>
  <c r="L70"/>
  <c r="R84"/>
  <c r="D70"/>
  <c r="G70"/>
  <c r="N70"/>
  <c r="J70"/>
  <c r="J74" s="1"/>
  <c r="J76" s="1"/>
  <c r="M70"/>
  <c r="C76"/>
  <c r="G424" i="67" l="1"/>
  <c r="G428" s="1"/>
  <c r="D463"/>
  <c r="N74" i="103"/>
  <c r="N76"/>
  <c r="E63" i="97"/>
  <c r="E50"/>
  <c r="H18"/>
  <c r="E40"/>
  <c r="E36"/>
  <c r="D36"/>
  <c r="D20"/>
  <c r="D19"/>
  <c r="D18"/>
  <c r="I15"/>
  <c r="K26"/>
  <c r="K19"/>
  <c r="H13"/>
  <c r="F258" i="96"/>
  <c r="J211"/>
  <c r="J206"/>
  <c r="J214"/>
  <c r="J180"/>
  <c r="L180" s="1"/>
  <c r="O198"/>
  <c r="N195"/>
  <c r="F169"/>
  <c r="F153"/>
  <c r="F151"/>
  <c r="F147"/>
  <c r="J147" s="1"/>
  <c r="F149"/>
  <c r="F253"/>
  <c r="F252"/>
  <c r="F251"/>
  <c r="J251" s="1"/>
  <c r="F250"/>
  <c r="F140"/>
  <c r="F139"/>
  <c r="F136"/>
  <c r="F135"/>
  <c r="J140"/>
  <c r="J139"/>
  <c r="J136"/>
  <c r="J135"/>
  <c r="F124"/>
  <c r="J124" s="1"/>
  <c r="F123"/>
  <c r="F133"/>
  <c r="J133" s="1"/>
  <c r="F131"/>
  <c r="F129"/>
  <c r="F127"/>
  <c r="F245"/>
  <c r="F244"/>
  <c r="F243"/>
  <c r="F242"/>
  <c r="F241"/>
  <c r="F240"/>
  <c r="F239"/>
  <c r="F238"/>
  <c r="F341"/>
  <c r="J341" s="1"/>
  <c r="M24"/>
  <c r="M20"/>
  <c r="L24"/>
  <c r="L20"/>
  <c r="G70" i="75"/>
  <c r="K18" i="97"/>
  <c r="D15"/>
  <c r="E15"/>
  <c r="H15"/>
  <c r="F15"/>
  <c r="I70" i="75"/>
  <c r="H70"/>
  <c r="H65"/>
  <c r="G65"/>
  <c r="G53"/>
  <c r="G72" s="1"/>
  <c r="I18"/>
  <c r="I33" s="1"/>
  <c r="H18"/>
  <c r="H28" s="1"/>
  <c r="G35"/>
  <c r="U9" i="72"/>
  <c r="F21"/>
  <c r="J310" i="96"/>
  <c r="F259"/>
  <c r="F261"/>
  <c r="F260"/>
  <c r="J262"/>
  <c r="F227"/>
  <c r="K227"/>
  <c r="M187"/>
  <c r="L187"/>
  <c r="J102"/>
  <c r="J284"/>
  <c r="J283"/>
  <c r="J282"/>
  <c r="J281"/>
  <c r="J288"/>
  <c r="J287"/>
  <c r="J285"/>
  <c r="M36"/>
  <c r="M31"/>
  <c r="L36"/>
  <c r="L31"/>
  <c r="J34"/>
  <c r="J35"/>
  <c r="J30"/>
  <c r="J29"/>
  <c r="J162"/>
  <c r="G6" i="92"/>
  <c r="I6" s="1"/>
  <c r="G7"/>
  <c r="I7" s="1"/>
  <c r="K7" s="1"/>
  <c r="M7" s="1"/>
  <c r="G8"/>
  <c r="I8" s="1"/>
  <c r="K8" s="1"/>
  <c r="M8" s="1"/>
  <c r="G9"/>
  <c r="I9" s="1"/>
  <c r="K9" s="1"/>
  <c r="M9" s="1"/>
  <c r="G11"/>
  <c r="I11" s="1"/>
  <c r="K11" s="1"/>
  <c r="M11" s="1"/>
  <c r="G12"/>
  <c r="I12" s="1"/>
  <c r="K12" s="1"/>
  <c r="M12" s="1"/>
  <c r="G13"/>
  <c r="I13" s="1"/>
  <c r="K13" s="1"/>
  <c r="M13" s="1"/>
  <c r="G14"/>
  <c r="I14" s="1"/>
  <c r="K14" s="1"/>
  <c r="M14" s="1"/>
  <c r="G15"/>
  <c r="I15" s="1"/>
  <c r="K15" s="1"/>
  <c r="M15" s="1"/>
  <c r="G16"/>
  <c r="I16" s="1"/>
  <c r="K16" s="1"/>
  <c r="M16" s="1"/>
  <c r="G17"/>
  <c r="I17" s="1"/>
  <c r="K17" s="1"/>
  <c r="M17" s="1"/>
  <c r="G18"/>
  <c r="I18" s="1"/>
  <c r="K18" s="1"/>
  <c r="M18" s="1"/>
  <c r="G19"/>
  <c r="I19" s="1"/>
  <c r="K19" s="1"/>
  <c r="M19" s="1"/>
  <c r="G21"/>
  <c r="I21" s="1"/>
  <c r="K21" s="1"/>
  <c r="M21" s="1"/>
  <c r="G22"/>
  <c r="I22" s="1"/>
  <c r="K22" s="1"/>
  <c r="M22" s="1"/>
  <c r="G23"/>
  <c r="I23" s="1"/>
  <c r="K23" s="1"/>
  <c r="M23" s="1"/>
  <c r="G24"/>
  <c r="I24" s="1"/>
  <c r="K24" s="1"/>
  <c r="M24" s="1"/>
  <c r="O32"/>
  <c r="I33"/>
  <c r="O33" s="1"/>
  <c r="Q33" s="1"/>
  <c r="S33" s="1"/>
  <c r="U33" s="1"/>
  <c r="W33" s="1"/>
  <c r="I35"/>
  <c r="O35" s="1"/>
  <c r="Q35" s="1"/>
  <c r="S35" s="1"/>
  <c r="U35" s="1"/>
  <c r="W35" s="1"/>
  <c r="I36"/>
  <c r="O36" s="1"/>
  <c r="Q36" s="1"/>
  <c r="S36" s="1"/>
  <c r="U36" s="1"/>
  <c r="W36" s="1"/>
  <c r="I37"/>
  <c r="O37" s="1"/>
  <c r="Q37" s="1"/>
  <c r="S37" s="1"/>
  <c r="U37" s="1"/>
  <c r="W37" s="1"/>
  <c r="I38"/>
  <c r="O38" s="1"/>
  <c r="Q38" s="1"/>
  <c r="S38" s="1"/>
  <c r="U38" s="1"/>
  <c r="W38" s="1"/>
  <c r="I39"/>
  <c r="O39" s="1"/>
  <c r="Q39" s="1"/>
  <c r="S39" s="1"/>
  <c r="U39" s="1"/>
  <c r="W39" s="1"/>
  <c r="I40"/>
  <c r="O40" s="1"/>
  <c r="Q40" s="1"/>
  <c r="S40" s="1"/>
  <c r="U40" s="1"/>
  <c r="W40" s="1"/>
  <c r="I41"/>
  <c r="O41" s="1"/>
  <c r="Q41" s="1"/>
  <c r="S41" s="1"/>
  <c r="U41" s="1"/>
  <c r="W41" s="1"/>
  <c r="I42"/>
  <c r="O42" s="1"/>
  <c r="Q42" s="1"/>
  <c r="S42" s="1"/>
  <c r="U42" s="1"/>
  <c r="W42" s="1"/>
  <c r="I44"/>
  <c r="O44" s="1"/>
  <c r="Q44" s="1"/>
  <c r="S44" s="1"/>
  <c r="U44" s="1"/>
  <c r="W44" s="1"/>
  <c r="I45"/>
  <c r="O45" s="1"/>
  <c r="Q45" s="1"/>
  <c r="S45" s="1"/>
  <c r="U45" s="1"/>
  <c r="W45" s="1"/>
  <c r="I46"/>
  <c r="O46" s="1"/>
  <c r="Q46" s="1"/>
  <c r="S46" s="1"/>
  <c r="U46" s="1"/>
  <c r="W46" s="1"/>
  <c r="I47"/>
  <c r="O47" s="1"/>
  <c r="Q47" s="1"/>
  <c r="S47" s="1"/>
  <c r="U47" s="1"/>
  <c r="W47" s="1"/>
  <c r="I48"/>
  <c r="O48" s="1"/>
  <c r="Q48" s="1"/>
  <c r="S48" s="1"/>
  <c r="U48" s="1"/>
  <c r="W48" s="1"/>
  <c r="I51"/>
  <c r="O51" s="1"/>
  <c r="Q51" s="1"/>
  <c r="S51" s="1"/>
  <c r="U51" s="1"/>
  <c r="W51" s="1"/>
  <c r="I52"/>
  <c r="O52" s="1"/>
  <c r="Q52" s="1"/>
  <c r="S52" s="1"/>
  <c r="U52" s="1"/>
  <c r="W52" s="1"/>
  <c r="I53"/>
  <c r="O53" s="1"/>
  <c r="Q53" s="1"/>
  <c r="S53" s="1"/>
  <c r="U53" s="1"/>
  <c r="W53" s="1"/>
  <c r="I54"/>
  <c r="O54" s="1"/>
  <c r="Q54" s="1"/>
  <c r="S54" s="1"/>
  <c r="U54" s="1"/>
  <c r="W54" s="1"/>
  <c r="I55"/>
  <c r="O55" s="1"/>
  <c r="Q55" s="1"/>
  <c r="S55" s="1"/>
  <c r="U55" s="1"/>
  <c r="W55" s="1"/>
  <c r="I57"/>
  <c r="O57" s="1"/>
  <c r="Q57" s="1"/>
  <c r="S57" s="1"/>
  <c r="U57" s="1"/>
  <c r="W57" s="1"/>
  <c r="I58"/>
  <c r="O58" s="1"/>
  <c r="Q58" s="1"/>
  <c r="S58" s="1"/>
  <c r="U58" s="1"/>
  <c r="W58" s="1"/>
  <c r="I59"/>
  <c r="O59" s="1"/>
  <c r="Q59" s="1"/>
  <c r="S59" s="1"/>
  <c r="U59" s="1"/>
  <c r="W59" s="1"/>
  <c r="I60"/>
  <c r="O60" s="1"/>
  <c r="Q60" s="1"/>
  <c r="S60" s="1"/>
  <c r="U60" s="1"/>
  <c r="W60" s="1"/>
  <c r="S68"/>
  <c r="U68" s="1"/>
  <c r="Q69"/>
  <c r="S69" s="1"/>
  <c r="U69" s="1"/>
  <c r="Q71"/>
  <c r="S71" s="1"/>
  <c r="U71" s="1"/>
  <c r="Q72"/>
  <c r="S72" s="1"/>
  <c r="U72" s="1"/>
  <c r="Q74"/>
  <c r="S74" s="1"/>
  <c r="U74" s="1"/>
  <c r="Q75"/>
  <c r="S75" s="1"/>
  <c r="U75" s="1"/>
  <c r="Q76"/>
  <c r="S76"/>
  <c r="U76" s="1"/>
  <c r="Q77"/>
  <c r="S77" s="1"/>
  <c r="U77" s="1"/>
  <c r="Q78"/>
  <c r="S78" s="1"/>
  <c r="U78" s="1"/>
  <c r="Q81"/>
  <c r="S81" s="1"/>
  <c r="U81" s="1"/>
  <c r="Q82"/>
  <c r="S82" s="1"/>
  <c r="U82" s="1"/>
  <c r="Q83"/>
  <c r="S83" s="1"/>
  <c r="U83" s="1"/>
  <c r="Q84"/>
  <c r="S84" s="1"/>
  <c r="U84" s="1"/>
  <c r="Q85"/>
  <c r="S85" s="1"/>
  <c r="U85" s="1"/>
  <c r="Q87"/>
  <c r="S87"/>
  <c r="U87" s="1"/>
  <c r="Q88"/>
  <c r="S88" s="1"/>
  <c r="U88" s="1"/>
  <c r="K96"/>
  <c r="K117" s="1"/>
  <c r="K97"/>
  <c r="S97"/>
  <c r="K98"/>
  <c r="S98" s="1"/>
  <c r="K99"/>
  <c r="S99" s="1"/>
  <c r="K100"/>
  <c r="S100" s="1"/>
  <c r="K101"/>
  <c r="S101" s="1"/>
  <c r="K102"/>
  <c r="S102" s="1"/>
  <c r="K103"/>
  <c r="S103" s="1"/>
  <c r="K104"/>
  <c r="S104" s="1"/>
  <c r="K105"/>
  <c r="S105" s="1"/>
  <c r="W105"/>
  <c r="K106"/>
  <c r="S106"/>
  <c r="W106"/>
  <c r="K107"/>
  <c r="S107" s="1"/>
  <c r="K108"/>
  <c r="W108" s="1"/>
  <c r="S108"/>
  <c r="K109"/>
  <c r="S109" s="1"/>
  <c r="W109"/>
  <c r="K110"/>
  <c r="S110"/>
  <c r="W110"/>
  <c r="K111"/>
  <c r="S111" s="1"/>
  <c r="K112"/>
  <c r="W112"/>
  <c r="K113"/>
  <c r="W113"/>
  <c r="K114"/>
  <c r="W114"/>
  <c r="K115"/>
  <c r="W115"/>
  <c r="K116"/>
  <c r="W116"/>
  <c r="U124"/>
  <c r="Y124" s="1"/>
  <c r="E126"/>
  <c r="E127"/>
  <c r="E129"/>
  <c r="E130"/>
  <c r="E131"/>
  <c r="E132"/>
  <c r="K157"/>
  <c r="M157"/>
  <c r="O157"/>
  <c r="U157" s="1"/>
  <c r="Q157"/>
  <c r="S157"/>
  <c r="AQ157"/>
  <c r="I158"/>
  <c r="K158" s="1"/>
  <c r="M158"/>
  <c r="S158" s="1"/>
  <c r="O158"/>
  <c r="Q158"/>
  <c r="U158"/>
  <c r="I160"/>
  <c r="K160"/>
  <c r="M160"/>
  <c r="S160"/>
  <c r="I161"/>
  <c r="K161"/>
  <c r="M161"/>
  <c r="S161"/>
  <c r="I162"/>
  <c r="K162" s="1"/>
  <c r="O162"/>
  <c r="U162" s="1"/>
  <c r="I163"/>
  <c r="K163"/>
  <c r="O163"/>
  <c r="U163"/>
  <c r="I164"/>
  <c r="K164"/>
  <c r="O164"/>
  <c r="U164"/>
  <c r="I165"/>
  <c r="K165" s="1"/>
  <c r="O165"/>
  <c r="U165" s="1"/>
  <c r="I166"/>
  <c r="K166" s="1"/>
  <c r="O166"/>
  <c r="U166" s="1"/>
  <c r="I168"/>
  <c r="K168" s="1"/>
  <c r="M168"/>
  <c r="O168"/>
  <c r="U168" s="1"/>
  <c r="S168"/>
  <c r="I169"/>
  <c r="K169" s="1"/>
  <c r="M169"/>
  <c r="S169" s="1"/>
  <c r="O169"/>
  <c r="U169"/>
  <c r="I170"/>
  <c r="K170" s="1"/>
  <c r="M170"/>
  <c r="O170"/>
  <c r="U170" s="1"/>
  <c r="S170"/>
  <c r="I171"/>
  <c r="K171" s="1"/>
  <c r="M171"/>
  <c r="S171" s="1"/>
  <c r="O171"/>
  <c r="U171"/>
  <c r="I172"/>
  <c r="K172" s="1"/>
  <c r="M172"/>
  <c r="O172"/>
  <c r="U172" s="1"/>
  <c r="S172"/>
  <c r="I175"/>
  <c r="K175" s="1"/>
  <c r="M175"/>
  <c r="S175" s="1"/>
  <c r="I176"/>
  <c r="K176" s="1"/>
  <c r="M176"/>
  <c r="S176" s="1"/>
  <c r="I177"/>
  <c r="K177" s="1"/>
  <c r="M177"/>
  <c r="S177" s="1"/>
  <c r="I178"/>
  <c r="K178" s="1"/>
  <c r="M178"/>
  <c r="S178" s="1"/>
  <c r="I179"/>
  <c r="K179" s="1"/>
  <c r="M179"/>
  <c r="S179" s="1"/>
  <c r="O179"/>
  <c r="U179"/>
  <c r="I181"/>
  <c r="K181" s="1"/>
  <c r="M181"/>
  <c r="O181"/>
  <c r="U181" s="1"/>
  <c r="S181"/>
  <c r="I182"/>
  <c r="K182" s="1"/>
  <c r="M182"/>
  <c r="S182" s="1"/>
  <c r="O182"/>
  <c r="U182"/>
  <c r="I183"/>
  <c r="K183" s="1"/>
  <c r="O183"/>
  <c r="U183" s="1"/>
  <c r="I184"/>
  <c r="K184" s="1"/>
  <c r="O184"/>
  <c r="U184" s="1"/>
  <c r="I185"/>
  <c r="W161" s="1"/>
  <c r="O191" s="1"/>
  <c r="Q185"/>
  <c r="I199"/>
  <c r="I200"/>
  <c r="W200"/>
  <c r="Y200" s="1"/>
  <c r="AA200" s="1"/>
  <c r="AC200" s="1"/>
  <c r="I201"/>
  <c r="W201" s="1"/>
  <c r="Y201" s="1"/>
  <c r="AA201" s="1"/>
  <c r="AC201" s="1"/>
  <c r="W202"/>
  <c r="Y202"/>
  <c r="AA202" s="1"/>
  <c r="AC202" s="1"/>
  <c r="I203"/>
  <c r="W203"/>
  <c r="Y203" s="1"/>
  <c r="AA203" s="1"/>
  <c r="AC203" s="1"/>
  <c r="I204"/>
  <c r="W204" s="1"/>
  <c r="Y204" s="1"/>
  <c r="AA204" s="1"/>
  <c r="AC204" s="1"/>
  <c r="I205"/>
  <c r="W205"/>
  <c r="Y205" s="1"/>
  <c r="AA205" s="1"/>
  <c r="AC205" s="1"/>
  <c r="I206"/>
  <c r="W206" s="1"/>
  <c r="Y206" s="1"/>
  <c r="AA206" s="1"/>
  <c r="AC206" s="1"/>
  <c r="I207"/>
  <c r="W207"/>
  <c r="Y207" s="1"/>
  <c r="AA207" s="1"/>
  <c r="AC207" s="1"/>
  <c r="I214"/>
  <c r="W214" s="1"/>
  <c r="I215"/>
  <c r="W215"/>
  <c r="Y215" s="1"/>
  <c r="AA215" s="1"/>
  <c r="AC215" s="1"/>
  <c r="I216"/>
  <c r="W216" s="1"/>
  <c r="Y216" s="1"/>
  <c r="AA216" s="1"/>
  <c r="AC216" s="1"/>
  <c r="W217"/>
  <c r="Y217"/>
  <c r="AA217" s="1"/>
  <c r="AC217" s="1"/>
  <c r="I218"/>
  <c r="W218"/>
  <c r="Y218" s="1"/>
  <c r="AA218" s="1"/>
  <c r="AC218" s="1"/>
  <c r="I219"/>
  <c r="W219" s="1"/>
  <c r="Y219" s="1"/>
  <c r="AA219" s="1"/>
  <c r="AC219" s="1"/>
  <c r="I220"/>
  <c r="W220"/>
  <c r="Y220" s="1"/>
  <c r="AA220" s="1"/>
  <c r="AC220" s="1"/>
  <c r="I221"/>
  <c r="W221" s="1"/>
  <c r="Y221" s="1"/>
  <c r="AA221" s="1"/>
  <c r="AC221" s="1"/>
  <c r="I222"/>
  <c r="W222"/>
  <c r="Y222" s="1"/>
  <c r="AA222" s="1"/>
  <c r="AC222" s="1"/>
  <c r="E234"/>
  <c r="E242"/>
  <c r="C245"/>
  <c r="E245" s="1"/>
  <c r="O5" i="88"/>
  <c r="Y5" s="1"/>
  <c r="C31" s="1"/>
  <c r="U5"/>
  <c r="K10"/>
  <c r="S10" s="1"/>
  <c r="U10" s="1"/>
  <c r="O10"/>
  <c r="Q10"/>
  <c r="Q16"/>
  <c r="W16"/>
  <c r="AC16"/>
  <c r="AE16"/>
  <c r="O22"/>
  <c r="S22" s="1"/>
  <c r="Y22" s="1"/>
  <c r="AA22" s="1"/>
  <c r="C35" s="1"/>
  <c r="C33" s="1"/>
  <c r="D157" i="93" s="1"/>
  <c r="W22" i="88"/>
  <c r="C32"/>
  <c r="J6" i="78"/>
  <c r="L6" s="1"/>
  <c r="N6" s="1"/>
  <c r="D20" s="1"/>
  <c r="H13"/>
  <c r="L13" s="1"/>
  <c r="H27"/>
  <c r="C54" s="1"/>
  <c r="J27"/>
  <c r="L27"/>
  <c r="H28"/>
  <c r="C55" s="1"/>
  <c r="J28"/>
  <c r="C62" s="1"/>
  <c r="L28"/>
  <c r="H29"/>
  <c r="C56" s="1"/>
  <c r="J29"/>
  <c r="C63" s="1"/>
  <c r="L29"/>
  <c r="C39" s="1"/>
  <c r="C38"/>
  <c r="C48"/>
  <c r="C49"/>
  <c r="C61"/>
  <c r="E8" i="86"/>
  <c r="F8" s="1"/>
  <c r="F9"/>
  <c r="E24"/>
  <c r="E25"/>
  <c r="F25"/>
  <c r="E26"/>
  <c r="F26" s="1"/>
  <c r="E27"/>
  <c r="F27" s="1"/>
  <c r="E30"/>
  <c r="E31"/>
  <c r="F31" s="1"/>
  <c r="E32"/>
  <c r="F32" s="1"/>
  <c r="E47"/>
  <c r="F47" s="1"/>
  <c r="C48"/>
  <c r="E48" s="1"/>
  <c r="F48" s="1"/>
  <c r="C49"/>
  <c r="E49" s="1"/>
  <c r="F49" s="1"/>
  <c r="H69"/>
  <c r="I69"/>
  <c r="J69"/>
  <c r="C71"/>
  <c r="F9" i="72"/>
  <c r="M9"/>
  <c r="S13"/>
  <c r="C13"/>
  <c r="C26" s="1"/>
  <c r="D13"/>
  <c r="D32"/>
  <c r="D33" s="1"/>
  <c r="E13"/>
  <c r="J17"/>
  <c r="K13"/>
  <c r="K26" s="1"/>
  <c r="L13"/>
  <c r="L32" s="1"/>
  <c r="L33" s="1"/>
  <c r="T13"/>
  <c r="T32" s="1"/>
  <c r="T33" s="1"/>
  <c r="Y13"/>
  <c r="Y17" s="1"/>
  <c r="Y19" s="1"/>
  <c r="K21"/>
  <c r="L21"/>
  <c r="R21"/>
  <c r="S21"/>
  <c r="T21"/>
  <c r="Y21"/>
  <c r="D23"/>
  <c r="F23" s="1"/>
  <c r="M23"/>
  <c r="U23"/>
  <c r="D26"/>
  <c r="D27" s="1"/>
  <c r="F29"/>
  <c r="M29"/>
  <c r="U29"/>
  <c r="C32"/>
  <c r="Y32"/>
  <c r="Y33" s="1"/>
  <c r="Y29" s="1"/>
  <c r="C33"/>
  <c r="F35"/>
  <c r="M35"/>
  <c r="U35"/>
  <c r="E11" i="87"/>
  <c r="G11"/>
  <c r="M11"/>
  <c r="O11" s="1"/>
  <c r="R11"/>
  <c r="T11" s="1"/>
  <c r="E12"/>
  <c r="G12"/>
  <c r="R12"/>
  <c r="T12" s="1"/>
  <c r="U12" s="1"/>
  <c r="V12" s="1"/>
  <c r="W12" s="1"/>
  <c r="E14"/>
  <c r="G14"/>
  <c r="R14"/>
  <c r="T14" s="1"/>
  <c r="U14" s="1"/>
  <c r="V14" s="1"/>
  <c r="W14" s="1"/>
  <c r="E15"/>
  <c r="G15"/>
  <c r="R15"/>
  <c r="T15" s="1"/>
  <c r="U15" s="1"/>
  <c r="V15" s="1"/>
  <c r="W15" s="1"/>
  <c r="E16"/>
  <c r="G16"/>
  <c r="M16"/>
  <c r="Q16" s="1"/>
  <c r="R16"/>
  <c r="T16" s="1"/>
  <c r="E17"/>
  <c r="G17"/>
  <c r="R17"/>
  <c r="T17" s="1"/>
  <c r="U17" s="1"/>
  <c r="V17" s="1"/>
  <c r="W17" s="1"/>
  <c r="E19"/>
  <c r="G19"/>
  <c r="E20"/>
  <c r="G20"/>
  <c r="E21"/>
  <c r="G21"/>
  <c r="M21"/>
  <c r="R21"/>
  <c r="T21" s="1"/>
  <c r="E23"/>
  <c r="G23"/>
  <c r="R23"/>
  <c r="T23" s="1"/>
  <c r="U23" s="1"/>
  <c r="V23" s="1"/>
  <c r="W23" s="1"/>
  <c r="E24"/>
  <c r="G24"/>
  <c r="R24"/>
  <c r="T24" s="1"/>
  <c r="U24" s="1"/>
  <c r="V24" s="1"/>
  <c r="W24" s="1"/>
  <c r="E26"/>
  <c r="G26"/>
  <c r="R26"/>
  <c r="T26"/>
  <c r="U26" s="1"/>
  <c r="V26" s="1"/>
  <c r="W26" s="1"/>
  <c r="E27"/>
  <c r="G27"/>
  <c r="M27"/>
  <c r="R27"/>
  <c r="T27" s="1"/>
  <c r="U27" s="1"/>
  <c r="V27" s="1"/>
  <c r="W27" s="1"/>
  <c r="E29"/>
  <c r="M29"/>
  <c r="Q29" s="1"/>
  <c r="R29"/>
  <c r="T29" s="1"/>
  <c r="U29" s="1"/>
  <c r="V29" s="1"/>
  <c r="E31"/>
  <c r="G31"/>
  <c r="R31"/>
  <c r="T31" s="1"/>
  <c r="U31" s="1"/>
  <c r="V31" s="1"/>
  <c r="W31" s="1"/>
  <c r="E32"/>
  <c r="G32"/>
  <c r="R32"/>
  <c r="T32" s="1"/>
  <c r="U32" s="1"/>
  <c r="V32" s="1"/>
  <c r="W32" s="1"/>
  <c r="E34"/>
  <c r="G34"/>
  <c r="R34"/>
  <c r="T34" s="1"/>
  <c r="U34" s="1"/>
  <c r="V34" s="1"/>
  <c r="W34" s="1"/>
  <c r="E35"/>
  <c r="R35"/>
  <c r="T35"/>
  <c r="U35" s="1"/>
  <c r="V35" s="1"/>
  <c r="W35" s="1"/>
  <c r="E37"/>
  <c r="G37"/>
  <c r="R37"/>
  <c r="T37" s="1"/>
  <c r="U37" s="1"/>
  <c r="V37" s="1"/>
  <c r="W37" s="1"/>
  <c r="E38"/>
  <c r="G38"/>
  <c r="M38"/>
  <c r="O38" s="1"/>
  <c r="P38" s="1"/>
  <c r="R38"/>
  <c r="T38" s="1"/>
  <c r="E39"/>
  <c r="G39"/>
  <c r="R39"/>
  <c r="T39" s="1"/>
  <c r="U39" s="1"/>
  <c r="V39" s="1"/>
  <c r="W39" s="1"/>
  <c r="E41"/>
  <c r="G41"/>
  <c r="R41"/>
  <c r="T41" s="1"/>
  <c r="U41" s="1"/>
  <c r="V41" s="1"/>
  <c r="W41" s="1"/>
  <c r="E42"/>
  <c r="G42"/>
  <c r="R42"/>
  <c r="T42" s="1"/>
  <c r="U42" s="1"/>
  <c r="V42" s="1"/>
  <c r="W42" s="1"/>
  <c r="E44"/>
  <c r="G44"/>
  <c r="R44"/>
  <c r="T44" s="1"/>
  <c r="U44" s="1"/>
  <c r="V44" s="1"/>
  <c r="W44" s="1"/>
  <c r="E46"/>
  <c r="G46"/>
  <c r="M46"/>
  <c r="R46"/>
  <c r="T46" s="1"/>
  <c r="E48"/>
  <c r="G48"/>
  <c r="R48"/>
  <c r="T48" s="1"/>
  <c r="U48" s="1"/>
  <c r="V48" s="1"/>
  <c r="W48" s="1"/>
  <c r="E49"/>
  <c r="G49"/>
  <c r="R49"/>
  <c r="T49" s="1"/>
  <c r="U49" s="1"/>
  <c r="V49" s="1"/>
  <c r="W49" s="1"/>
  <c r="E51"/>
  <c r="G51"/>
  <c r="M51"/>
  <c r="Q51" s="1"/>
  <c r="R51"/>
  <c r="T51" s="1"/>
  <c r="E52"/>
  <c r="G52"/>
  <c r="M52"/>
  <c r="R52"/>
  <c r="T52" s="1"/>
  <c r="E53"/>
  <c r="G53"/>
  <c r="M53"/>
  <c r="Q53" s="1"/>
  <c r="R53"/>
  <c r="T53"/>
  <c r="E54"/>
  <c r="G54"/>
  <c r="R54"/>
  <c r="T54" s="1"/>
  <c r="U54" s="1"/>
  <c r="V54" s="1"/>
  <c r="W54" s="1"/>
  <c r="G56"/>
  <c r="R56"/>
  <c r="T56" s="1"/>
  <c r="U56" s="1"/>
  <c r="V56" s="1"/>
  <c r="W56" s="1"/>
  <c r="G57"/>
  <c r="R57"/>
  <c r="T57" s="1"/>
  <c r="U57" s="1"/>
  <c r="V57" s="1"/>
  <c r="W57" s="1"/>
  <c r="E58"/>
  <c r="E59"/>
  <c r="G59"/>
  <c r="R59"/>
  <c r="T59" s="1"/>
  <c r="U59" s="1"/>
  <c r="V59" s="1"/>
  <c r="W59" s="1"/>
  <c r="G61"/>
  <c r="R61"/>
  <c r="T61" s="1"/>
  <c r="U61"/>
  <c r="V61" s="1"/>
  <c r="W61" s="1"/>
  <c r="E62"/>
  <c r="G62"/>
  <c r="R62"/>
  <c r="T62"/>
  <c r="U62" s="1"/>
  <c r="V62" s="1"/>
  <c r="W62" s="1"/>
  <c r="E63"/>
  <c r="G63"/>
  <c r="R63"/>
  <c r="T63" s="1"/>
  <c r="U63" s="1"/>
  <c r="V63" s="1"/>
  <c r="W63" s="1"/>
  <c r="E65"/>
  <c r="G65"/>
  <c r="M65"/>
  <c r="O65" s="1"/>
  <c r="P65" s="1"/>
  <c r="R65"/>
  <c r="T65"/>
  <c r="U65" s="1"/>
  <c r="V65" s="1"/>
  <c r="W65" s="1"/>
  <c r="E67"/>
  <c r="G67"/>
  <c r="M67"/>
  <c r="R67"/>
  <c r="T67" s="1"/>
  <c r="K77"/>
  <c r="K80" s="1"/>
  <c r="G9" i="74"/>
  <c r="G19"/>
  <c r="G10"/>
  <c r="G14"/>
  <c r="G16"/>
  <c r="F19"/>
  <c r="F20"/>
  <c r="G20"/>
  <c r="G7" i="91"/>
  <c r="I7"/>
  <c r="I8"/>
  <c r="J8" s="1"/>
  <c r="H53" i="75"/>
  <c r="I53"/>
  <c r="H74"/>
  <c r="I74"/>
  <c r="G76"/>
  <c r="H76"/>
  <c r="J6" i="85"/>
  <c r="H7"/>
  <c r="J7"/>
  <c r="H8"/>
  <c r="J8"/>
  <c r="H12"/>
  <c r="J12"/>
  <c r="J13"/>
  <c r="H17"/>
  <c r="L17"/>
  <c r="J17" s="1"/>
  <c r="L18"/>
  <c r="D46" s="1"/>
  <c r="D118" i="93" s="1"/>
  <c r="D117" s="1"/>
  <c r="L23" i="85"/>
  <c r="H28"/>
  <c r="L28" s="1"/>
  <c r="J33"/>
  <c r="L33"/>
  <c r="D57" s="1"/>
  <c r="D48"/>
  <c r="G8" i="69"/>
  <c r="K9"/>
  <c r="F102" s="1"/>
  <c r="J10"/>
  <c r="K10" s="1"/>
  <c r="F103" s="1"/>
  <c r="J11"/>
  <c r="K11" s="1"/>
  <c r="F104" s="1"/>
  <c r="J12"/>
  <c r="K12" s="1"/>
  <c r="F105" s="1"/>
  <c r="J13"/>
  <c r="K13" s="1"/>
  <c r="F106" s="1"/>
  <c r="J14"/>
  <c r="K14" s="1"/>
  <c r="F107" s="1"/>
  <c r="I107" s="1"/>
  <c r="J15"/>
  <c r="K15" s="1"/>
  <c r="F108" s="1"/>
  <c r="J16"/>
  <c r="K16" s="1"/>
  <c r="F109" s="1"/>
  <c r="J17"/>
  <c r="K17" s="1"/>
  <c r="F110" s="1"/>
  <c r="J19"/>
  <c r="K19" s="1"/>
  <c r="F112" s="1"/>
  <c r="J20"/>
  <c r="K20" s="1"/>
  <c r="F113" s="1"/>
  <c r="J21"/>
  <c r="K21" s="1"/>
  <c r="F114" s="1"/>
  <c r="J22"/>
  <c r="K22" s="1"/>
  <c r="F115" s="1"/>
  <c r="J23"/>
  <c r="K23" s="1"/>
  <c r="F116" s="1"/>
  <c r="J24"/>
  <c r="K24" s="1"/>
  <c r="F117" s="1"/>
  <c r="J25"/>
  <c r="K25" s="1"/>
  <c r="F118" s="1"/>
  <c r="J26"/>
  <c r="K26" s="1"/>
  <c r="F119" s="1"/>
  <c r="J27"/>
  <c r="K27" s="1"/>
  <c r="F120" s="1"/>
  <c r="J28"/>
  <c r="K28" s="1"/>
  <c r="F121" s="1"/>
  <c r="J29"/>
  <c r="K29" s="1"/>
  <c r="F122" s="1"/>
  <c r="I39"/>
  <c r="H102"/>
  <c r="G41"/>
  <c r="I41" s="1"/>
  <c r="H103" s="1"/>
  <c r="G42"/>
  <c r="I42"/>
  <c r="H104" s="1"/>
  <c r="G43"/>
  <c r="I43"/>
  <c r="H105" s="1"/>
  <c r="G44"/>
  <c r="I44" s="1"/>
  <c r="H106" s="1"/>
  <c r="G45"/>
  <c r="I45" s="1"/>
  <c r="H107" s="1"/>
  <c r="G46"/>
  <c r="I46" s="1"/>
  <c r="H108" s="1"/>
  <c r="I108" s="1"/>
  <c r="G47"/>
  <c r="I47" s="1"/>
  <c r="H109" s="1"/>
  <c r="G48"/>
  <c r="I48" s="1"/>
  <c r="H110" s="1"/>
  <c r="G49"/>
  <c r="I49" s="1"/>
  <c r="H111" s="1"/>
  <c r="G50"/>
  <c r="I50" s="1"/>
  <c r="H112" s="1"/>
  <c r="G51"/>
  <c r="I51" s="1"/>
  <c r="H113" s="1"/>
  <c r="G52"/>
  <c r="I52" s="1"/>
  <c r="H114" s="1"/>
  <c r="G53"/>
  <c r="I53" s="1"/>
  <c r="H115" s="1"/>
  <c r="G54"/>
  <c r="I54"/>
  <c r="H116" s="1"/>
  <c r="G55"/>
  <c r="I55" s="1"/>
  <c r="H117" s="1"/>
  <c r="G56"/>
  <c r="I56" s="1"/>
  <c r="H118" s="1"/>
  <c r="G57"/>
  <c r="I57" s="1"/>
  <c r="H119" s="1"/>
  <c r="G58"/>
  <c r="I58"/>
  <c r="H120" s="1"/>
  <c r="G59"/>
  <c r="I59" s="1"/>
  <c r="H121" s="1"/>
  <c r="G60"/>
  <c r="I60" s="1"/>
  <c r="H122" s="1"/>
  <c r="G61"/>
  <c r="I61" s="1"/>
  <c r="H123" s="1"/>
  <c r="G70"/>
  <c r="I70" s="1"/>
  <c r="G71"/>
  <c r="I71" s="1"/>
  <c r="G102" s="1"/>
  <c r="G72"/>
  <c r="I72" s="1"/>
  <c r="G103" s="1"/>
  <c r="G73"/>
  <c r="I73" s="1"/>
  <c r="G104" s="1"/>
  <c r="G74"/>
  <c r="I74" s="1"/>
  <c r="G105" s="1"/>
  <c r="G75"/>
  <c r="I75" s="1"/>
  <c r="G106" s="1"/>
  <c r="G76"/>
  <c r="I76"/>
  <c r="G107" s="1"/>
  <c r="G77"/>
  <c r="I77" s="1"/>
  <c r="G108" s="1"/>
  <c r="G78"/>
  <c r="I78" s="1"/>
  <c r="G109" s="1"/>
  <c r="G79"/>
  <c r="I79" s="1"/>
  <c r="G110" s="1"/>
  <c r="G80"/>
  <c r="I80" s="1"/>
  <c r="G111" s="1"/>
  <c r="G81"/>
  <c r="I81" s="1"/>
  <c r="G112" s="1"/>
  <c r="G82"/>
  <c r="I82" s="1"/>
  <c r="G113" s="1"/>
  <c r="G83"/>
  <c r="I83" s="1"/>
  <c r="G114" s="1"/>
  <c r="G84"/>
  <c r="I84" s="1"/>
  <c r="G115" s="1"/>
  <c r="G85"/>
  <c r="I85" s="1"/>
  <c r="G116" s="1"/>
  <c r="G86"/>
  <c r="I86" s="1"/>
  <c r="G117" s="1"/>
  <c r="G87"/>
  <c r="I87" s="1"/>
  <c r="G118" s="1"/>
  <c r="G88"/>
  <c r="I88" s="1"/>
  <c r="G119" s="1"/>
  <c r="G89"/>
  <c r="I89" s="1"/>
  <c r="G120" s="1"/>
  <c r="G90"/>
  <c r="I90" s="1"/>
  <c r="G121" s="1"/>
  <c r="I121" s="1"/>
  <c r="G91"/>
  <c r="I91" s="1"/>
  <c r="G122" s="1"/>
  <c r="G92"/>
  <c r="I92" s="1"/>
  <c r="G123" s="1"/>
  <c r="I104"/>
  <c r="I105"/>
  <c r="I113"/>
  <c r="F8" i="70"/>
  <c r="G8" s="1"/>
  <c r="F9"/>
  <c r="G9" s="1"/>
  <c r="F10"/>
  <c r="G10" s="1"/>
  <c r="F11"/>
  <c r="G11" s="1"/>
  <c r="D57" s="1"/>
  <c r="F12"/>
  <c r="G12" s="1"/>
  <c r="D58" s="1"/>
  <c r="F13"/>
  <c r="G13" s="1"/>
  <c r="D59" s="1"/>
  <c r="F14"/>
  <c r="G14" s="1"/>
  <c r="D60" s="1"/>
  <c r="E22"/>
  <c r="G22" s="1"/>
  <c r="F54" s="1"/>
  <c r="E23"/>
  <c r="G23" s="1"/>
  <c r="F55" s="1"/>
  <c r="E24"/>
  <c r="G24" s="1"/>
  <c r="F56" s="1"/>
  <c r="E25"/>
  <c r="G25" s="1"/>
  <c r="F57" s="1"/>
  <c r="E26"/>
  <c r="G26" s="1"/>
  <c r="F58" s="1"/>
  <c r="E27"/>
  <c r="G27" s="1"/>
  <c r="F59" s="1"/>
  <c r="E28"/>
  <c r="G28" s="1"/>
  <c r="F60" s="1"/>
  <c r="E29"/>
  <c r="G29" s="1"/>
  <c r="F61" s="1"/>
  <c r="E37"/>
  <c r="G37" s="1"/>
  <c r="E38"/>
  <c r="G38" s="1"/>
  <c r="E39"/>
  <c r="G39" s="1"/>
  <c r="E40"/>
  <c r="G40" s="1"/>
  <c r="E41"/>
  <c r="G41" s="1"/>
  <c r="E42"/>
  <c r="G42" s="1"/>
  <c r="E43"/>
  <c r="G43" s="1"/>
  <c r="E44"/>
  <c r="G44" s="1"/>
  <c r="F7" i="71"/>
  <c r="G7" s="1"/>
  <c r="F8"/>
  <c r="G8" s="1"/>
  <c r="F9"/>
  <c r="G9" s="1"/>
  <c r="F10"/>
  <c r="G10" s="1"/>
  <c r="F11"/>
  <c r="G11" s="1"/>
  <c r="E18"/>
  <c r="G18" s="1"/>
  <c r="E19"/>
  <c r="G19" s="1"/>
  <c r="E20"/>
  <c r="G20" s="1"/>
  <c r="E21"/>
  <c r="G21" s="1"/>
  <c r="E22"/>
  <c r="G22" s="1"/>
  <c r="E23"/>
  <c r="G23" s="1"/>
  <c r="E31"/>
  <c r="G31" s="1"/>
  <c r="E32"/>
  <c r="G32" s="1"/>
  <c r="E47" s="1"/>
  <c r="E33"/>
  <c r="G33" s="1"/>
  <c r="E48" s="1"/>
  <c r="E34"/>
  <c r="G34" s="1"/>
  <c r="E49" s="1"/>
  <c r="E35"/>
  <c r="G35" s="1"/>
  <c r="E50" s="1"/>
  <c r="E36"/>
  <c r="G36" s="1"/>
  <c r="E51" s="1"/>
  <c r="M8" i="96"/>
  <c r="J11"/>
  <c r="J13"/>
  <c r="J18"/>
  <c r="J20" s="1"/>
  <c r="J19"/>
  <c r="J22"/>
  <c r="K23" s="1"/>
  <c r="J23"/>
  <c r="J28"/>
  <c r="J33"/>
  <c r="J38"/>
  <c r="J40"/>
  <c r="J42"/>
  <c r="J46"/>
  <c r="J47"/>
  <c r="M47" s="1"/>
  <c r="J48"/>
  <c r="M48" s="1"/>
  <c r="J49"/>
  <c r="L49" s="1"/>
  <c r="J52"/>
  <c r="J53"/>
  <c r="K52" s="1"/>
  <c r="J54"/>
  <c r="L54" s="1"/>
  <c r="J55"/>
  <c r="J58"/>
  <c r="M58" s="1"/>
  <c r="J59"/>
  <c r="M59" s="1"/>
  <c r="J60"/>
  <c r="J63"/>
  <c r="M63" s="1"/>
  <c r="J64"/>
  <c r="J65"/>
  <c r="L65" s="1"/>
  <c r="J68"/>
  <c r="M68" s="1"/>
  <c r="L70"/>
  <c r="M70"/>
  <c r="J72"/>
  <c r="L72" s="1"/>
  <c r="J73"/>
  <c r="M73" s="1"/>
  <c r="J76"/>
  <c r="J77"/>
  <c r="J80"/>
  <c r="K80" s="1"/>
  <c r="J81"/>
  <c r="L81" s="1"/>
  <c r="J84"/>
  <c r="K84" s="1"/>
  <c r="J85"/>
  <c r="L85" s="1"/>
  <c r="J88"/>
  <c r="L88" s="1"/>
  <c r="J89"/>
  <c r="L89" s="1"/>
  <c r="J90"/>
  <c r="M90" s="1"/>
  <c r="J95"/>
  <c r="L95" s="1"/>
  <c r="J96"/>
  <c r="M96" s="1"/>
  <c r="J103"/>
  <c r="L104"/>
  <c r="M104"/>
  <c r="J106"/>
  <c r="J108" s="1"/>
  <c r="J107"/>
  <c r="L108"/>
  <c r="M108"/>
  <c r="J110"/>
  <c r="J111"/>
  <c r="L112"/>
  <c r="M112"/>
  <c r="J114"/>
  <c r="K115" s="1"/>
  <c r="J115"/>
  <c r="L116"/>
  <c r="M116"/>
  <c r="J118"/>
  <c r="J123"/>
  <c r="J127"/>
  <c r="J129"/>
  <c r="J131"/>
  <c r="J149"/>
  <c r="J151"/>
  <c r="J153"/>
  <c r="J158"/>
  <c r="J159"/>
  <c r="L160"/>
  <c r="M160"/>
  <c r="J164"/>
  <c r="J169"/>
  <c r="J174"/>
  <c r="L174" s="1"/>
  <c r="J175"/>
  <c r="L175" s="1"/>
  <c r="J178"/>
  <c r="M178" s="1"/>
  <c r="J179"/>
  <c r="M179" s="1"/>
  <c r="J183"/>
  <c r="M183" s="1"/>
  <c r="J184"/>
  <c r="M184" s="1"/>
  <c r="J187"/>
  <c r="J192"/>
  <c r="M192" s="1"/>
  <c r="J193"/>
  <c r="M193" s="1"/>
  <c r="J196"/>
  <c r="M196" s="1"/>
  <c r="J197"/>
  <c r="M197" s="1"/>
  <c r="J204"/>
  <c r="J205"/>
  <c r="J209"/>
  <c r="J212" s="1"/>
  <c r="M209" s="1"/>
  <c r="J210"/>
  <c r="J215"/>
  <c r="J216"/>
  <c r="J217"/>
  <c r="J218"/>
  <c r="J219"/>
  <c r="J220"/>
  <c r="J221"/>
  <c r="F228"/>
  <c r="K228"/>
  <c r="L228" s="1"/>
  <c r="J229"/>
  <c r="F231"/>
  <c r="K231"/>
  <c r="F232"/>
  <c r="K232"/>
  <c r="J233"/>
  <c r="J238"/>
  <c r="J239"/>
  <c r="J240"/>
  <c r="J241"/>
  <c r="J242"/>
  <c r="J243"/>
  <c r="J244"/>
  <c r="J245"/>
  <c r="J250"/>
  <c r="J252"/>
  <c r="J253"/>
  <c r="J267"/>
  <c r="J268"/>
  <c r="J269"/>
  <c r="J270"/>
  <c r="J271"/>
  <c r="J272"/>
  <c r="J273"/>
  <c r="J274"/>
  <c r="J275"/>
  <c r="J276"/>
  <c r="J286"/>
  <c r="J294"/>
  <c r="J293"/>
  <c r="J295"/>
  <c r="J296"/>
  <c r="J301"/>
  <c r="J302"/>
  <c r="O305" s="1"/>
  <c r="J303"/>
  <c r="J304"/>
  <c r="J311"/>
  <c r="J312"/>
  <c r="J313"/>
  <c r="J314"/>
  <c r="J315"/>
  <c r="J316"/>
  <c r="J337"/>
  <c r="G15" i="97"/>
  <c r="K20"/>
  <c r="K22"/>
  <c r="K23"/>
  <c r="K24"/>
  <c r="K27"/>
  <c r="K28"/>
  <c r="G9" i="98"/>
  <c r="G11"/>
  <c r="H11" s="1"/>
  <c r="G12"/>
  <c r="H12" s="1"/>
  <c r="G13"/>
  <c r="H13" s="1"/>
  <c r="G19"/>
  <c r="G21"/>
  <c r="H21" s="1"/>
  <c r="G22"/>
  <c r="H22" s="1"/>
  <c r="G23"/>
  <c r="H23" s="1"/>
  <c r="G29"/>
  <c r="G31"/>
  <c r="H31" s="1"/>
  <c r="G32"/>
  <c r="H32" s="1"/>
  <c r="G33"/>
  <c r="H33" s="1"/>
  <c r="G39"/>
  <c r="G41"/>
  <c r="H41" s="1"/>
  <c r="G42"/>
  <c r="H42" s="1"/>
  <c r="G43"/>
  <c r="H43" s="1"/>
  <c r="D48"/>
  <c r="E48"/>
  <c r="F48"/>
  <c r="C56"/>
  <c r="D56"/>
  <c r="E56"/>
  <c r="F56"/>
  <c r="C58"/>
  <c r="E58"/>
  <c r="F58" s="1"/>
  <c r="C60"/>
  <c r="E60"/>
  <c r="F60" s="1"/>
  <c r="D70"/>
  <c r="E70"/>
  <c r="F70"/>
  <c r="E72"/>
  <c r="D72" s="1"/>
  <c r="F72"/>
  <c r="E74"/>
  <c r="F74" s="1"/>
  <c r="D83"/>
  <c r="E83"/>
  <c r="F83"/>
  <c r="E85"/>
  <c r="D85" s="1"/>
  <c r="F85"/>
  <c r="E87"/>
  <c r="F87" s="1"/>
  <c r="D39" i="93"/>
  <c r="D77"/>
  <c r="D79"/>
  <c r="D80"/>
  <c r="D102"/>
  <c r="D101" s="1"/>
  <c r="D113"/>
  <c r="D121"/>
  <c r="D142"/>
  <c r="D158"/>
  <c r="D160"/>
  <c r="D159" s="1"/>
  <c r="C181"/>
  <c r="C182"/>
  <c r="C183"/>
  <c r="C184"/>
  <c r="J97" i="96"/>
  <c r="J9"/>
  <c r="K85"/>
  <c r="M85" s="1"/>
  <c r="L59"/>
  <c r="L58"/>
  <c r="K29"/>
  <c r="M81"/>
  <c r="L76"/>
  <c r="M55"/>
  <c r="M54"/>
  <c r="L47"/>
  <c r="M77"/>
  <c r="K111"/>
  <c r="L63"/>
  <c r="K110"/>
  <c r="M76"/>
  <c r="M78" s="1"/>
  <c r="J176"/>
  <c r="K174" s="1"/>
  <c r="J160"/>
  <c r="K158" s="1"/>
  <c r="J24"/>
  <c r="K19"/>
  <c r="M89"/>
  <c r="M95"/>
  <c r="K77"/>
  <c r="L52"/>
  <c r="M175"/>
  <c r="K33"/>
  <c r="L64"/>
  <c r="M52"/>
  <c r="M64"/>
  <c r="L231"/>
  <c r="K102"/>
  <c r="L197"/>
  <c r="L77"/>
  <c r="K35"/>
  <c r="K47"/>
  <c r="L68"/>
  <c r="L55"/>
  <c r="L196"/>
  <c r="J36"/>
  <c r="L48"/>
  <c r="J56"/>
  <c r="K63"/>
  <c r="L73"/>
  <c r="M84"/>
  <c r="L84"/>
  <c r="M60"/>
  <c r="J207"/>
  <c r="K205" s="1"/>
  <c r="K34"/>
  <c r="K76"/>
  <c r="K65"/>
  <c r="L60"/>
  <c r="J194"/>
  <c r="K193" s="1"/>
  <c r="K32" i="72"/>
  <c r="K33" s="1"/>
  <c r="K17"/>
  <c r="K19" s="1"/>
  <c r="J32"/>
  <c r="J33" s="1"/>
  <c r="J26"/>
  <c r="S26"/>
  <c r="S27"/>
  <c r="S32"/>
  <c r="S33" s="1"/>
  <c r="S17"/>
  <c r="S19" s="1"/>
  <c r="T26"/>
  <c r="T27" s="1"/>
  <c r="L26"/>
  <c r="T17"/>
  <c r="T19" s="1"/>
  <c r="L17"/>
  <c r="L19" s="1"/>
  <c r="C17"/>
  <c r="C19" s="1"/>
  <c r="R13"/>
  <c r="R17" s="1"/>
  <c r="R19" s="1"/>
  <c r="E26"/>
  <c r="E27" s="1"/>
  <c r="D17"/>
  <c r="D19" s="1"/>
  <c r="M49" i="96"/>
  <c r="J104"/>
  <c r="K103" s="1"/>
  <c r="R26" i="72"/>
  <c r="R27" s="1"/>
  <c r="I28" i="75"/>
  <c r="I39" s="1"/>
  <c r="I35"/>
  <c r="H33"/>
  <c r="H35"/>
  <c r="H39"/>
  <c r="D54" i="97"/>
  <c r="D38"/>
  <c r="D50"/>
  <c r="D63"/>
  <c r="D67"/>
  <c r="D40"/>
  <c r="D65"/>
  <c r="D52"/>
  <c r="G18" i="74"/>
  <c r="J141" i="96"/>
  <c r="J137"/>
  <c r="J86"/>
  <c r="J78"/>
  <c r="K73"/>
  <c r="K49"/>
  <c r="L46"/>
  <c r="M46"/>
  <c r="J112"/>
  <c r="K18"/>
  <c r="K8"/>
  <c r="M7"/>
  <c r="L8"/>
  <c r="L7"/>
  <c r="K7"/>
  <c r="I118" i="69" l="1"/>
  <c r="I117"/>
  <c r="I120"/>
  <c r="I116"/>
  <c r="I112"/>
  <c r="I123"/>
  <c r="I109"/>
  <c r="I103"/>
  <c r="I119"/>
  <c r="I114"/>
  <c r="I110"/>
  <c r="I102"/>
  <c r="I122"/>
  <c r="I106"/>
  <c r="G124"/>
  <c r="I115"/>
  <c r="H124"/>
  <c r="J18"/>
  <c r="K18" s="1"/>
  <c r="F111" s="1"/>
  <c r="I111" s="1"/>
  <c r="AK16" i="88"/>
  <c r="C257" i="92"/>
  <c r="G25"/>
  <c r="K69" i="86"/>
  <c r="F10"/>
  <c r="C83" s="1"/>
  <c r="D55" i="85"/>
  <c r="J23"/>
  <c r="J18"/>
  <c r="H13"/>
  <c r="H6"/>
  <c r="C60" i="78"/>
  <c r="F46" i="71"/>
  <c r="I93" i="69"/>
  <c r="D40" i="93"/>
  <c r="G58" i="70"/>
  <c r="G61"/>
  <c r="G59"/>
  <c r="G60"/>
  <c r="D33" i="93"/>
  <c r="D52" i="85"/>
  <c r="D108" i="93" s="1"/>
  <c r="D105" s="1"/>
  <c r="D93"/>
  <c r="D45" i="85"/>
  <c r="D98" i="93" s="1"/>
  <c r="D97" s="1"/>
  <c r="Q65" i="87"/>
  <c r="O53"/>
  <c r="P53" s="1"/>
  <c r="U53"/>
  <c r="V53" s="1"/>
  <c r="W53" s="1"/>
  <c r="O51"/>
  <c r="P51" s="1"/>
  <c r="Q38"/>
  <c r="U38" s="1"/>
  <c r="V38" s="1"/>
  <c r="W38" s="1"/>
  <c r="U16"/>
  <c r="V16" s="1"/>
  <c r="W16" s="1"/>
  <c r="O16"/>
  <c r="P16" s="1"/>
  <c r="Q11"/>
  <c r="U11" s="1"/>
  <c r="V11" s="1"/>
  <c r="D74" i="98"/>
  <c r="D87"/>
  <c r="D58"/>
  <c r="E62"/>
  <c r="F62" s="1"/>
  <c r="C62"/>
  <c r="D89"/>
  <c r="E89" s="1"/>
  <c r="F89" s="1"/>
  <c r="D76"/>
  <c r="E76" s="1"/>
  <c r="F76" s="1"/>
  <c r="D60"/>
  <c r="D155" i="93"/>
  <c r="U88" i="87"/>
  <c r="F27" i="72"/>
  <c r="AC35"/>
  <c r="D150" i="93" s="1"/>
  <c r="R32" i="72"/>
  <c r="R33" s="1"/>
  <c r="M33"/>
  <c r="AC9"/>
  <c r="AC13" s="1"/>
  <c r="AC17" s="1"/>
  <c r="AC19" s="1"/>
  <c r="F50" i="86"/>
  <c r="E33"/>
  <c r="F24"/>
  <c r="D467" i="67"/>
  <c r="G467" s="1"/>
  <c r="G463"/>
  <c r="K28" i="96"/>
  <c r="K107"/>
  <c r="J185"/>
  <c r="K183" s="1"/>
  <c r="L96"/>
  <c r="L78"/>
  <c r="K53"/>
  <c r="M72"/>
  <c r="M74" s="1"/>
  <c r="J82"/>
  <c r="M88"/>
  <c r="K48"/>
  <c r="M53"/>
  <c r="J50"/>
  <c r="K95"/>
  <c r="K96"/>
  <c r="K55"/>
  <c r="J61"/>
  <c r="M82"/>
  <c r="J116"/>
  <c r="J31"/>
  <c r="K114"/>
  <c r="K72"/>
  <c r="K60"/>
  <c r="K22"/>
  <c r="L184"/>
  <c r="J74"/>
  <c r="L227"/>
  <c r="K46"/>
  <c r="K81"/>
  <c r="L53"/>
  <c r="L56" s="1"/>
  <c r="L179"/>
  <c r="K64"/>
  <c r="K54"/>
  <c r="K106"/>
  <c r="M80"/>
  <c r="L90"/>
  <c r="M65"/>
  <c r="L50"/>
  <c r="J66"/>
  <c r="L80"/>
  <c r="L82" s="1"/>
  <c r="K59"/>
  <c r="K58"/>
  <c r="J198"/>
  <c r="K196" s="1"/>
  <c r="K30"/>
  <c r="H26" i="97"/>
  <c r="G28"/>
  <c r="E19"/>
  <c r="G23"/>
  <c r="E24"/>
  <c r="D28"/>
  <c r="H19"/>
  <c r="G26"/>
  <c r="G18"/>
  <c r="H23"/>
  <c r="H20"/>
  <c r="G27"/>
  <c r="F19"/>
  <c r="G22"/>
  <c r="D69"/>
  <c r="H27"/>
  <c r="G20"/>
  <c r="F27"/>
  <c r="D23"/>
  <c r="E28"/>
  <c r="F28"/>
  <c r="F24"/>
  <c r="E26"/>
  <c r="H24"/>
  <c r="E20"/>
  <c r="D24"/>
  <c r="F20"/>
  <c r="L232" i="96"/>
  <c r="M231" s="1"/>
  <c r="L124"/>
  <c r="K136"/>
  <c r="M124"/>
  <c r="K123"/>
  <c r="K135"/>
  <c r="J125"/>
  <c r="M123"/>
  <c r="K124"/>
  <c r="M86"/>
  <c r="L74"/>
  <c r="J181"/>
  <c r="K179" s="1"/>
  <c r="M50"/>
  <c r="L97"/>
  <c r="L86"/>
  <c r="M97"/>
  <c r="M56"/>
  <c r="M232"/>
  <c r="M61"/>
  <c r="M66"/>
  <c r="F51" i="71"/>
  <c r="D41" i="93"/>
  <c r="G24" i="71"/>
  <c r="D29" i="93"/>
  <c r="K82" i="87"/>
  <c r="D36" i="93"/>
  <c r="F48" i="71"/>
  <c r="D28" i="93"/>
  <c r="G37" i="71"/>
  <c r="G12"/>
  <c r="G15" i="70"/>
  <c r="C84" i="86"/>
  <c r="D31" i="93"/>
  <c r="F49" i="71"/>
  <c r="F47"/>
  <c r="D112" i="93"/>
  <c r="D109" s="1"/>
  <c r="D51" i="85"/>
  <c r="D58" s="1"/>
  <c r="D67" i="93"/>
  <c r="D32"/>
  <c r="D37"/>
  <c r="F50" i="71"/>
  <c r="Q46" i="87"/>
  <c r="U46" s="1"/>
  <c r="V46" s="1"/>
  <c r="O46"/>
  <c r="P46" s="1"/>
  <c r="O27"/>
  <c r="P27" s="1"/>
  <c r="Q27"/>
  <c r="W158" i="92"/>
  <c r="K159" i="96"/>
  <c r="E27" i="97"/>
  <c r="E22"/>
  <c r="H28"/>
  <c r="D26"/>
  <c r="F22"/>
  <c r="G24"/>
  <c r="G19"/>
  <c r="D27"/>
  <c r="F23"/>
  <c r="F18"/>
  <c r="D56"/>
  <c r="G30" i="70"/>
  <c r="I62" i="69"/>
  <c r="U185" i="92"/>
  <c r="Q67" i="87"/>
  <c r="U67" s="1"/>
  <c r="V67" s="1"/>
  <c r="O67"/>
  <c r="P67" s="1"/>
  <c r="Q52"/>
  <c r="U52" s="1"/>
  <c r="V52" s="1"/>
  <c r="O52"/>
  <c r="W209" i="92"/>
  <c r="Y199"/>
  <c r="E133"/>
  <c r="Q32"/>
  <c r="O61"/>
  <c r="L61" i="96"/>
  <c r="U51" i="87"/>
  <c r="V51" s="1"/>
  <c r="W51" s="1"/>
  <c r="C53" i="78"/>
  <c r="H61" i="75"/>
  <c r="H72"/>
  <c r="O21" i="87"/>
  <c r="P21" s="1"/>
  <c r="Q21"/>
  <c r="H17" i="78"/>
  <c r="S39" i="88"/>
  <c r="C38"/>
  <c r="G45" i="70"/>
  <c r="AC29" i="72"/>
  <c r="D149" i="93" s="1"/>
  <c r="F33" i="86"/>
  <c r="C85" s="1"/>
  <c r="S185" i="92"/>
  <c r="K185"/>
  <c r="G189" s="1"/>
  <c r="I72" i="75"/>
  <c r="I61"/>
  <c r="I65" s="1"/>
  <c r="I76" s="1"/>
  <c r="E17" i="72"/>
  <c r="E19" s="1"/>
  <c r="F19" s="1"/>
  <c r="E32"/>
  <c r="E33" s="1"/>
  <c r="F33" s="1"/>
  <c r="C37" i="78"/>
  <c r="C36" s="1"/>
  <c r="C47"/>
  <c r="C46" s="1"/>
  <c r="W224" i="92"/>
  <c r="Y214"/>
  <c r="Q191"/>
  <c r="S191" s="1"/>
  <c r="C261"/>
  <c r="K6"/>
  <c r="I25"/>
  <c r="C240" s="1"/>
  <c r="E23" i="97"/>
  <c r="E18"/>
  <c r="F26"/>
  <c r="H22"/>
  <c r="L66" i="96"/>
  <c r="U21" i="87"/>
  <c r="V21" s="1"/>
  <c r="S117" i="92"/>
  <c r="AA96" s="1"/>
  <c r="M185"/>
  <c r="W111"/>
  <c r="W107"/>
  <c r="G61" i="75"/>
  <c r="G63" s="1"/>
  <c r="G74" s="1"/>
  <c r="D42" i="97"/>
  <c r="O29" i="87"/>
  <c r="P29" s="1"/>
  <c r="W29" s="1"/>
  <c r="P11"/>
  <c r="Q13" i="72"/>
  <c r="E50" i="86"/>
  <c r="O185" i="92"/>
  <c r="W96"/>
  <c r="Q89"/>
  <c r="S89" s="1"/>
  <c r="U89" s="1"/>
  <c r="D133" i="93" s="1"/>
  <c r="D22" i="97"/>
  <c r="K210" i="96"/>
  <c r="L209"/>
  <c r="M211"/>
  <c r="M210"/>
  <c r="L210"/>
  <c r="L211"/>
  <c r="K211"/>
  <c r="K209"/>
  <c r="K204"/>
  <c r="M206"/>
  <c r="L206"/>
  <c r="L205"/>
  <c r="K206"/>
  <c r="L204"/>
  <c r="M205"/>
  <c r="M204"/>
  <c r="M228"/>
  <c r="M227"/>
  <c r="L178"/>
  <c r="L181" s="1"/>
  <c r="K180"/>
  <c r="K175"/>
  <c r="M185"/>
  <c r="L183"/>
  <c r="L185" s="1"/>
  <c r="M180"/>
  <c r="M181"/>
  <c r="L198"/>
  <c r="M198"/>
  <c r="K197"/>
  <c r="L193"/>
  <c r="L192"/>
  <c r="M194"/>
  <c r="K192"/>
  <c r="L176"/>
  <c r="M174"/>
  <c r="M176" s="1"/>
  <c r="J31" i="69" l="1"/>
  <c r="K31"/>
  <c r="C82" i="86"/>
  <c r="D35" i="93"/>
  <c r="D34" s="1"/>
  <c r="D38"/>
  <c r="G62" i="70"/>
  <c r="W46" i="87"/>
  <c r="U84"/>
  <c r="D62" i="98"/>
  <c r="G80" i="75"/>
  <c r="G82" s="1"/>
  <c r="G84" s="1"/>
  <c r="D90" i="93" s="1"/>
  <c r="D89" s="1"/>
  <c r="D88" s="1"/>
  <c r="D182" s="1"/>
  <c r="D147"/>
  <c r="AC32" i="72"/>
  <c r="AC33" s="1"/>
  <c r="AC26"/>
  <c r="AC27" s="1"/>
  <c r="K184" i="96"/>
  <c r="F50" i="97"/>
  <c r="E52"/>
  <c r="F52" s="1"/>
  <c r="G52" s="1"/>
  <c r="E54"/>
  <c r="F54" s="1"/>
  <c r="G54" s="1"/>
  <c r="E65"/>
  <c r="F65" s="1"/>
  <c r="G65" s="1"/>
  <c r="O195" i="96"/>
  <c r="K178"/>
  <c r="L194"/>
  <c r="Q32" i="72"/>
  <c r="Q33" s="1"/>
  <c r="Q26"/>
  <c r="Q27" s="1"/>
  <c r="U27" s="1"/>
  <c r="Q17"/>
  <c r="Q19" s="1"/>
  <c r="U19" s="1"/>
  <c r="Y224" i="92"/>
  <c r="C247" s="1"/>
  <c r="E247" s="1"/>
  <c r="D141" i="93" s="1"/>
  <c r="AA214" i="92"/>
  <c r="I189"/>
  <c r="K189" s="1"/>
  <c r="C258"/>
  <c r="W11" i="87"/>
  <c r="E38" i="97"/>
  <c r="F38" s="1"/>
  <c r="G38" s="1"/>
  <c r="U78" i="87"/>
  <c r="P52"/>
  <c r="W52" s="1"/>
  <c r="G190" i="92"/>
  <c r="G191"/>
  <c r="I191" s="1"/>
  <c r="K191" s="1"/>
  <c r="F40" i="97"/>
  <c r="G40" s="1"/>
  <c r="W117" i="92"/>
  <c r="AA97" s="1"/>
  <c r="E135"/>
  <c r="D71" i="93"/>
  <c r="E67" i="97"/>
  <c r="F67" s="1"/>
  <c r="G67" s="1"/>
  <c r="M6" i="92"/>
  <c r="M25" s="1"/>
  <c r="K25"/>
  <c r="L15" i="78"/>
  <c r="L17" s="1"/>
  <c r="J17"/>
  <c r="D55" i="93"/>
  <c r="D63"/>
  <c r="D30"/>
  <c r="E240" i="92"/>
  <c r="D59" i="93"/>
  <c r="Y209" i="92"/>
  <c r="C243" s="1"/>
  <c r="E243" s="1"/>
  <c r="D140" i="93" s="1"/>
  <c r="AA199" i="92"/>
  <c r="W67" i="87"/>
  <c r="AC96" i="92"/>
  <c r="AE96" s="1"/>
  <c r="C252"/>
  <c r="S32"/>
  <c r="Q61"/>
  <c r="D27" i="93"/>
  <c r="D26" s="1"/>
  <c r="F52" i="71"/>
  <c r="W21" i="87"/>
  <c r="D76" i="93"/>
  <c r="D51"/>
  <c r="D179" s="1"/>
  <c r="F124" i="69" l="1"/>
  <c r="I124" s="1"/>
  <c r="C251" i="92"/>
  <c r="W164"/>
  <c r="O189" s="1"/>
  <c r="O82" i="87"/>
  <c r="D19" i="93"/>
  <c r="E56" i="97"/>
  <c r="S61" i="92"/>
  <c r="C241" s="1"/>
  <c r="U32"/>
  <c r="G50" i="97"/>
  <c r="G56" s="1"/>
  <c r="F56"/>
  <c r="AC214" i="92"/>
  <c r="AC224" s="1"/>
  <c r="AA224"/>
  <c r="S124"/>
  <c r="W124" s="1"/>
  <c r="AC199"/>
  <c r="AC209" s="1"/>
  <c r="C235" s="1"/>
  <c r="E235" s="1"/>
  <c r="AA209"/>
  <c r="D86" i="93"/>
  <c r="D84" s="1"/>
  <c r="D75" s="1"/>
  <c r="D181" s="1"/>
  <c r="C45" i="78"/>
  <c r="F63" i="97"/>
  <c r="E69"/>
  <c r="C253" i="92"/>
  <c r="AC97"/>
  <c r="AE97" s="1"/>
  <c r="E42" i="97"/>
  <c r="D138" i="93"/>
  <c r="P70" i="87"/>
  <c r="U94" s="1"/>
  <c r="D25" i="93"/>
  <c r="D178" s="1"/>
  <c r="D47"/>
  <c r="C231" i="92"/>
  <c r="D128" i="93"/>
  <c r="D126" s="1"/>
  <c r="G192" i="92"/>
  <c r="I190"/>
  <c r="K190" s="1"/>
  <c r="D180" i="93" l="1"/>
  <c r="D42"/>
  <c r="O190" i="92"/>
  <c r="Q190" s="1"/>
  <c r="S190" s="1"/>
  <c r="D152" i="93"/>
  <c r="U96" i="87"/>
  <c r="D153" i="93"/>
  <c r="D11"/>
  <c r="D7"/>
  <c r="C255" i="92"/>
  <c r="I192"/>
  <c r="K192" s="1"/>
  <c r="F42" i="97"/>
  <c r="G36"/>
  <c r="G42" s="1"/>
  <c r="G63"/>
  <c r="G69" s="1"/>
  <c r="F69"/>
  <c r="E231" i="92"/>
  <c r="Q189"/>
  <c r="S189" s="1"/>
  <c r="C259"/>
  <c r="C256" s="1"/>
  <c r="C52" i="78"/>
  <c r="C59"/>
  <c r="E241" i="92"/>
  <c r="C239"/>
  <c r="E239" s="1"/>
  <c r="C250"/>
  <c r="D15" i="93"/>
  <c r="C246" i="92"/>
  <c r="U61"/>
  <c r="W32"/>
  <c r="W61" s="1"/>
  <c r="D6" i="93" l="1"/>
  <c r="D5" s="1"/>
  <c r="D177" s="1"/>
  <c r="C260" i="92"/>
  <c r="C262"/>
  <c r="C233" s="1"/>
  <c r="E233" s="1"/>
  <c r="D137" i="93" s="1"/>
  <c r="D134" s="1"/>
  <c r="D151"/>
  <c r="D146" s="1"/>
  <c r="D184" s="1"/>
  <c r="E246" i="92"/>
  <c r="C244"/>
  <c r="E244" s="1"/>
  <c r="C232"/>
  <c r="D132" i="93"/>
  <c r="D130" s="1"/>
  <c r="D4" l="1"/>
  <c r="D125"/>
  <c r="E232" i="92"/>
  <c r="C236"/>
  <c r="E236" s="1"/>
  <c r="D163" i="93" l="1"/>
  <c r="D183"/>
  <c r="D185" s="1"/>
  <c r="D172" l="1"/>
</calcChain>
</file>

<file path=xl/comments1.xml><?xml version="1.0" encoding="utf-8"?>
<comments xmlns="http://schemas.openxmlformats.org/spreadsheetml/2006/main">
  <authors>
    <author>amohammed</author>
    <author>sal</author>
    <author>Philip Groth</author>
  </authors>
  <commentList>
    <comment ref="K95" authorId="0">
      <text>
        <r>
          <rPr>
            <b/>
            <sz val="9"/>
            <color indexed="81"/>
            <rFont val="Tahoma"/>
            <family val="2"/>
          </rPr>
          <t>amohammed:</t>
        </r>
        <r>
          <rPr>
            <sz val="9"/>
            <color indexed="81"/>
            <rFont val="Tahoma"/>
            <family val="2"/>
          </rPr>
          <t xml:space="preserve">
40 CFR 98</t>
        </r>
      </text>
    </comment>
    <comment ref="L95" authorId="0">
      <text>
        <r>
          <rPr>
            <b/>
            <sz val="9"/>
            <color indexed="81"/>
            <rFont val="Tahoma"/>
            <family val="2"/>
          </rPr>
          <t>amohammed:</t>
        </r>
        <r>
          <rPr>
            <sz val="9"/>
            <color indexed="81"/>
            <rFont val="Tahoma"/>
            <family val="2"/>
          </rPr>
          <t xml:space="preserve">
40 CFR 98</t>
        </r>
      </text>
    </comment>
    <comment ref="M95" authorId="0">
      <text>
        <r>
          <rPr>
            <b/>
            <sz val="9"/>
            <color indexed="81"/>
            <rFont val="Tahoma"/>
            <family val="2"/>
          </rPr>
          <t>amohammed:</t>
        </r>
        <r>
          <rPr>
            <sz val="9"/>
            <color indexed="81"/>
            <rFont val="Tahoma"/>
            <family val="2"/>
          </rPr>
          <t xml:space="preserve">
40 CFR 98</t>
        </r>
      </text>
    </comment>
    <comment ref="K97" authorId="0">
      <text>
        <r>
          <rPr>
            <b/>
            <sz val="9"/>
            <color indexed="81"/>
            <rFont val="Tahoma"/>
            <family val="2"/>
          </rPr>
          <t>amohammed:</t>
        </r>
        <r>
          <rPr>
            <sz val="9"/>
            <color indexed="81"/>
            <rFont val="Tahoma"/>
            <family val="2"/>
          </rPr>
          <t xml:space="preserve">
40 CFR 98</t>
        </r>
      </text>
    </comment>
    <comment ref="L97" authorId="0">
      <text>
        <r>
          <rPr>
            <b/>
            <sz val="9"/>
            <color indexed="81"/>
            <rFont val="Tahoma"/>
            <family val="2"/>
          </rPr>
          <t>amohammed:</t>
        </r>
        <r>
          <rPr>
            <sz val="9"/>
            <color indexed="81"/>
            <rFont val="Tahoma"/>
            <family val="2"/>
          </rPr>
          <t xml:space="preserve">
40 CFR 98</t>
        </r>
      </text>
    </comment>
    <comment ref="M97" authorId="0">
      <text>
        <r>
          <rPr>
            <b/>
            <sz val="9"/>
            <color indexed="81"/>
            <rFont val="Tahoma"/>
            <family val="2"/>
          </rPr>
          <t>amohammed:</t>
        </r>
        <r>
          <rPr>
            <sz val="9"/>
            <color indexed="81"/>
            <rFont val="Tahoma"/>
            <family val="2"/>
          </rPr>
          <t xml:space="preserve">
40 CFR 98</t>
        </r>
      </text>
    </comment>
    <comment ref="K107" authorId="0">
      <text>
        <r>
          <rPr>
            <b/>
            <sz val="9"/>
            <color indexed="81"/>
            <rFont val="Tahoma"/>
            <family val="2"/>
          </rPr>
          <t>amohammed:</t>
        </r>
        <r>
          <rPr>
            <sz val="9"/>
            <color indexed="81"/>
            <rFont val="Tahoma"/>
            <family val="2"/>
          </rPr>
          <t xml:space="preserve">
40 CFR 98</t>
        </r>
      </text>
    </comment>
    <comment ref="L107" authorId="0">
      <text>
        <r>
          <rPr>
            <b/>
            <sz val="9"/>
            <color indexed="81"/>
            <rFont val="Tahoma"/>
            <family val="2"/>
          </rPr>
          <t>amohammed:</t>
        </r>
        <r>
          <rPr>
            <sz val="9"/>
            <color indexed="81"/>
            <rFont val="Tahoma"/>
            <family val="2"/>
          </rPr>
          <t xml:space="preserve">
40 CFR 98</t>
        </r>
      </text>
    </comment>
    <comment ref="M107" authorId="0">
      <text>
        <r>
          <rPr>
            <b/>
            <sz val="9"/>
            <color indexed="81"/>
            <rFont val="Tahoma"/>
            <family val="2"/>
          </rPr>
          <t>amohammed:</t>
        </r>
        <r>
          <rPr>
            <sz val="9"/>
            <color indexed="81"/>
            <rFont val="Tahoma"/>
            <family val="2"/>
          </rPr>
          <t xml:space="preserve">
40 CFR 98</t>
        </r>
      </text>
    </comment>
    <comment ref="K108" authorId="0">
      <text>
        <r>
          <rPr>
            <b/>
            <sz val="9"/>
            <color indexed="81"/>
            <rFont val="Tahoma"/>
            <family val="2"/>
          </rPr>
          <t>amohammed:</t>
        </r>
        <r>
          <rPr>
            <sz val="9"/>
            <color indexed="81"/>
            <rFont val="Tahoma"/>
            <family val="2"/>
          </rPr>
          <t xml:space="preserve">
40 CFR 98</t>
        </r>
      </text>
    </comment>
    <comment ref="L108" authorId="0">
      <text>
        <r>
          <rPr>
            <b/>
            <sz val="9"/>
            <color indexed="81"/>
            <rFont val="Tahoma"/>
            <family val="2"/>
          </rPr>
          <t>amohammed:</t>
        </r>
        <r>
          <rPr>
            <sz val="9"/>
            <color indexed="81"/>
            <rFont val="Tahoma"/>
            <family val="2"/>
          </rPr>
          <t xml:space="preserve">
40 CFR 98</t>
        </r>
      </text>
    </comment>
    <comment ref="M108" authorId="0">
      <text>
        <r>
          <rPr>
            <b/>
            <sz val="9"/>
            <color indexed="81"/>
            <rFont val="Tahoma"/>
            <family val="2"/>
          </rPr>
          <t>amohammed:</t>
        </r>
        <r>
          <rPr>
            <sz val="9"/>
            <color indexed="81"/>
            <rFont val="Tahoma"/>
            <family val="2"/>
          </rPr>
          <t xml:space="preserve">
40 CFR 98</t>
        </r>
      </text>
    </comment>
    <comment ref="K109" authorId="0">
      <text>
        <r>
          <rPr>
            <b/>
            <sz val="9"/>
            <color indexed="81"/>
            <rFont val="Tahoma"/>
            <family val="2"/>
          </rPr>
          <t>amohammed:</t>
        </r>
        <r>
          <rPr>
            <sz val="9"/>
            <color indexed="81"/>
            <rFont val="Tahoma"/>
            <family val="2"/>
          </rPr>
          <t xml:space="preserve">
40 CFR 98</t>
        </r>
      </text>
    </comment>
    <comment ref="L109" authorId="0">
      <text>
        <r>
          <rPr>
            <b/>
            <sz val="9"/>
            <color indexed="81"/>
            <rFont val="Tahoma"/>
            <family val="2"/>
          </rPr>
          <t>amohammed:</t>
        </r>
        <r>
          <rPr>
            <sz val="9"/>
            <color indexed="81"/>
            <rFont val="Tahoma"/>
            <family val="2"/>
          </rPr>
          <t xml:space="preserve">
40 CFR 98</t>
        </r>
      </text>
    </comment>
    <comment ref="M109" authorId="0">
      <text>
        <r>
          <rPr>
            <b/>
            <sz val="9"/>
            <color indexed="81"/>
            <rFont val="Tahoma"/>
            <family val="2"/>
          </rPr>
          <t>amohammed:</t>
        </r>
        <r>
          <rPr>
            <sz val="9"/>
            <color indexed="81"/>
            <rFont val="Tahoma"/>
            <family val="2"/>
          </rPr>
          <t xml:space="preserve">
40 CFR 98</t>
        </r>
      </text>
    </comment>
    <comment ref="J372" authorId="0">
      <text>
        <r>
          <rPr>
            <b/>
            <sz val="9"/>
            <color indexed="81"/>
            <rFont val="Tahoma"/>
            <family val="2"/>
          </rPr>
          <t>amohammed:</t>
        </r>
        <r>
          <rPr>
            <sz val="9"/>
            <color indexed="81"/>
            <rFont val="Tahoma"/>
            <family val="2"/>
          </rPr>
          <t xml:space="preserve">
MMBTU Reported and used to Backcalculate Qty</t>
        </r>
      </text>
    </comment>
    <comment ref="F390" authorId="1">
      <text>
        <r>
          <rPr>
            <b/>
            <sz val="9"/>
            <color indexed="81"/>
            <rFont val="Tahoma"/>
            <family val="2"/>
          </rPr>
          <t>Back Caclulation from MMBTU</t>
        </r>
      </text>
    </comment>
    <comment ref="F391" authorId="1">
      <text>
        <r>
          <rPr>
            <b/>
            <sz val="9"/>
            <color indexed="81"/>
            <rFont val="Tahoma"/>
            <family val="2"/>
          </rPr>
          <t>Back Caclulation from MMBTU</t>
        </r>
      </text>
    </comment>
    <comment ref="F392" authorId="1">
      <text>
        <r>
          <rPr>
            <b/>
            <sz val="9"/>
            <color indexed="81"/>
            <rFont val="Tahoma"/>
            <family val="2"/>
          </rPr>
          <t>Back Caclulation from MMBTU</t>
        </r>
      </text>
    </comment>
    <comment ref="F393" authorId="1">
      <text>
        <r>
          <rPr>
            <b/>
            <sz val="9"/>
            <color indexed="81"/>
            <rFont val="Tahoma"/>
            <family val="2"/>
          </rPr>
          <t>Back Caclulation from MMBTU</t>
        </r>
      </text>
    </comment>
    <comment ref="B424" authorId="0">
      <text>
        <r>
          <rPr>
            <b/>
            <sz val="9"/>
            <color indexed="81"/>
            <rFont val="Tahoma"/>
            <family val="2"/>
          </rPr>
          <t>amohammed:</t>
        </r>
        <r>
          <rPr>
            <sz val="9"/>
            <color indexed="81"/>
            <rFont val="Tahoma"/>
            <family val="2"/>
          </rPr>
          <t xml:space="preserve">
Luke MMBTU Added</t>
        </r>
      </text>
    </comment>
    <comment ref="B427" authorId="0">
      <text>
        <r>
          <rPr>
            <b/>
            <sz val="9"/>
            <color indexed="81"/>
            <rFont val="Tahoma"/>
            <family val="2"/>
          </rPr>
          <t>amohammed:</t>
        </r>
        <r>
          <rPr>
            <sz val="9"/>
            <color indexed="81"/>
            <rFont val="Tahoma"/>
            <family val="2"/>
          </rPr>
          <t xml:space="preserve">
Luke MMBTU Added</t>
        </r>
      </text>
    </comment>
    <comment ref="G435" authorId="2">
      <text>
        <r>
          <rPr>
            <sz val="8"/>
            <color indexed="81"/>
            <rFont val="Tahoma"/>
            <family val="2"/>
          </rPr>
          <t>MMTCE is converted to MMTCO</t>
        </r>
        <r>
          <rPr>
            <vertAlign val="subscript"/>
            <sz val="8"/>
            <color indexed="81"/>
            <rFont val="Tahoma"/>
            <family val="2"/>
          </rPr>
          <t>2</t>
        </r>
        <r>
          <rPr>
            <sz val="8"/>
            <color indexed="81"/>
            <rFont val="Tahoma"/>
            <family val="2"/>
          </rPr>
          <t>E by multiplying by 44/12.</t>
        </r>
      </text>
    </comment>
    <comment ref="G447" authorId="2">
      <text>
        <r>
          <rPr>
            <sz val="8"/>
            <color indexed="81"/>
            <rFont val="Tahoma"/>
            <family val="2"/>
          </rPr>
          <t>MMTCE is converted to MMTCO</t>
        </r>
        <r>
          <rPr>
            <vertAlign val="subscript"/>
            <sz val="8"/>
            <color indexed="81"/>
            <rFont val="Tahoma"/>
            <family val="2"/>
          </rPr>
          <t>2</t>
        </r>
        <r>
          <rPr>
            <sz val="8"/>
            <color indexed="81"/>
            <rFont val="Tahoma"/>
            <family val="2"/>
          </rPr>
          <t>E by multiplying by 44/12.</t>
        </r>
      </text>
    </comment>
  </commentList>
</comments>
</file>

<file path=xl/comments10.xml><?xml version="1.0" encoding="utf-8"?>
<comments xmlns="http://schemas.openxmlformats.org/spreadsheetml/2006/main">
  <authors>
    <author>Amohammed</author>
    <author>wsimms</author>
    <author>Walter A. Simms</author>
    <author>amohammed</author>
  </authors>
  <commentList>
    <comment ref="P9" authorId="0">
      <text>
        <r>
          <rPr>
            <sz val="8"/>
            <color indexed="81"/>
            <rFont val="Tahoma"/>
            <family val="2"/>
          </rPr>
          <t>Assuming Complete Combustion:
CH</t>
        </r>
        <r>
          <rPr>
            <vertAlign val="subscript"/>
            <sz val="8"/>
            <color indexed="81"/>
            <rFont val="Tahoma"/>
            <family val="2"/>
          </rPr>
          <t>4</t>
        </r>
        <r>
          <rPr>
            <sz val="8"/>
            <color indexed="81"/>
            <rFont val="Tahoma"/>
            <family val="2"/>
          </rPr>
          <t xml:space="preserve">  +   2O</t>
        </r>
        <r>
          <rPr>
            <vertAlign val="subscript"/>
            <sz val="8"/>
            <color indexed="81"/>
            <rFont val="Tahoma"/>
            <family val="2"/>
          </rPr>
          <t>2</t>
        </r>
        <r>
          <rPr>
            <sz val="8"/>
            <color indexed="81"/>
            <rFont val="Tahoma"/>
            <family val="2"/>
          </rPr>
          <t xml:space="preserve">  = CO</t>
        </r>
        <r>
          <rPr>
            <vertAlign val="subscript"/>
            <sz val="8"/>
            <color indexed="81"/>
            <rFont val="Tahoma"/>
            <family val="2"/>
          </rPr>
          <t>2</t>
        </r>
        <r>
          <rPr>
            <sz val="8"/>
            <color indexed="81"/>
            <rFont val="Tahoma"/>
            <family val="2"/>
          </rPr>
          <t xml:space="preserve"> + 2H</t>
        </r>
        <r>
          <rPr>
            <vertAlign val="subscript"/>
            <sz val="8"/>
            <color indexed="81"/>
            <rFont val="Tahoma"/>
            <family val="2"/>
          </rPr>
          <t>2</t>
        </r>
        <r>
          <rPr>
            <sz val="8"/>
            <color indexed="81"/>
            <rFont val="Tahoma"/>
            <family val="2"/>
          </rPr>
          <t xml:space="preserve">O
1 kmole CH4 (16 kg) yield 1 kmole CO2(44kg)
</t>
        </r>
      </text>
    </comment>
    <comment ref="Q9" authorId="0">
      <text>
        <r>
          <rPr>
            <sz val="8"/>
            <color indexed="81"/>
            <rFont val="Tahoma"/>
            <family val="2"/>
          </rPr>
          <t xml:space="preserve">Uncombusted Flare Emission of CH4 =
mass flow of CH4 (short tons/yr) x (normalized collection Efficiency) x (1 - flare control efficiency)
</t>
        </r>
      </text>
    </comment>
    <comment ref="R9" authorId="0">
      <text>
        <r>
          <rPr>
            <sz val="8"/>
            <color indexed="81"/>
            <rFont val="Tahoma"/>
            <family val="2"/>
          </rPr>
          <t xml:space="preserve">Fugitive Emission of CH4 =
(mass flow of CH4, tons/yr) x (1- normalized collection efiiciency) x (1- surface oxidation factor)
</t>
        </r>
      </text>
    </comment>
    <comment ref="V9" authorId="0">
      <text>
        <r>
          <rPr>
            <sz val="8"/>
            <color indexed="81"/>
            <rFont val="Tahoma"/>
            <family val="2"/>
          </rPr>
          <t xml:space="preserve">CO2E, tons = CH4 emissions x 21
</t>
        </r>
      </text>
    </comment>
    <comment ref="D16" authorId="1">
      <text>
        <r>
          <rPr>
            <b/>
            <sz val="8"/>
            <color indexed="81"/>
            <rFont val="Tahoma"/>
            <family val="2"/>
          </rPr>
          <t>wsimms:</t>
        </r>
        <r>
          <rPr>
            <sz val="8"/>
            <color indexed="81"/>
            <rFont val="Tahoma"/>
            <family val="2"/>
          </rPr>
          <t xml:space="preserve">
CHANGED 2008 FROM 10.7 TO 14.3 MILLION.</t>
        </r>
      </text>
    </comment>
    <comment ref="D19" authorId="1">
      <text>
        <r>
          <rPr>
            <b/>
            <sz val="8"/>
            <color indexed="81"/>
            <rFont val="Tahoma"/>
            <family val="2"/>
          </rPr>
          <t>wsimms:</t>
        </r>
        <r>
          <rPr>
            <sz val="8"/>
            <color indexed="81"/>
            <rFont val="Tahoma"/>
            <family val="2"/>
          </rPr>
          <t xml:space="preserve">
CHANGED 2008 FROM 13.8 TO 18.320622 MILLION.</t>
        </r>
      </text>
    </comment>
    <comment ref="D21" authorId="1">
      <text>
        <r>
          <rPr>
            <b/>
            <sz val="8"/>
            <color indexed="81"/>
            <rFont val="Tahoma"/>
            <family val="2"/>
          </rPr>
          <t>wsimms:</t>
        </r>
        <r>
          <rPr>
            <sz val="8"/>
            <color indexed="81"/>
            <rFont val="Tahoma"/>
            <family val="2"/>
          </rPr>
          <t xml:space="preserve">
CHANGED 2008 FROM 7.8 TO 22.813 MILLION.</t>
        </r>
      </text>
    </comment>
    <comment ref="D23" authorId="1">
      <text>
        <r>
          <rPr>
            <b/>
            <sz val="8"/>
            <color indexed="81"/>
            <rFont val="Tahoma"/>
            <family val="2"/>
          </rPr>
          <t>wsimms:</t>
        </r>
        <r>
          <rPr>
            <sz val="8"/>
            <color indexed="81"/>
            <rFont val="Tahoma"/>
            <family val="2"/>
          </rPr>
          <t xml:space="preserve">
CHANGED 2008 2.1 TO 2.79929</t>
        </r>
      </text>
    </comment>
    <comment ref="D27" authorId="1">
      <text>
        <r>
          <rPr>
            <b/>
            <sz val="8"/>
            <color indexed="81"/>
            <rFont val="Tahoma"/>
            <family val="2"/>
          </rPr>
          <t>wsimms:</t>
        </r>
        <r>
          <rPr>
            <sz val="8"/>
            <color indexed="81"/>
            <rFont val="Tahoma"/>
            <family val="2"/>
          </rPr>
          <t xml:space="preserve">
CHANGED 2008 FROM 2.6 TO 3.504187 MILLION.</t>
        </r>
      </text>
    </comment>
    <comment ref="D29" authorId="1">
      <text>
        <r>
          <rPr>
            <b/>
            <sz val="8"/>
            <color indexed="81"/>
            <rFont val="Tahoma"/>
            <family val="2"/>
          </rPr>
          <t>wsimms:</t>
        </r>
        <r>
          <rPr>
            <sz val="8"/>
            <color indexed="81"/>
            <rFont val="Tahoma"/>
            <family val="2"/>
          </rPr>
          <t xml:space="preserve">
CHANGED 2008 FROM 3.0 TO 4.505 MILLION.
</t>
        </r>
      </text>
    </comment>
    <comment ref="D31" authorId="1">
      <text>
        <r>
          <rPr>
            <b/>
            <sz val="8"/>
            <color indexed="81"/>
            <rFont val="Tahoma"/>
            <family val="2"/>
          </rPr>
          <t>wsimms:</t>
        </r>
        <r>
          <rPr>
            <sz val="8"/>
            <color indexed="81"/>
            <rFont val="Tahoma"/>
            <family val="2"/>
          </rPr>
          <t xml:space="preserve">
CHANGED 2008 FROM 3.2 TO 4.3747 MILLION.</t>
        </r>
      </text>
    </comment>
    <comment ref="D35" authorId="1">
      <text>
        <r>
          <rPr>
            <b/>
            <sz val="8"/>
            <color indexed="81"/>
            <rFont val="Tahoma"/>
            <family val="2"/>
          </rPr>
          <t>wsimms:</t>
        </r>
        <r>
          <rPr>
            <sz val="8"/>
            <color indexed="81"/>
            <rFont val="Tahoma"/>
            <family val="2"/>
          </rPr>
          <t xml:space="preserve">
2005 CAPACITY 4.1 MILLION WAS NOT CHANGED EVEN THOUGH 2008 WAS LISTED AS 1.483205.
</t>
        </r>
      </text>
    </comment>
    <comment ref="D37" authorId="1">
      <text>
        <r>
          <rPr>
            <b/>
            <sz val="8"/>
            <color indexed="81"/>
            <rFont val="Tahoma"/>
            <family val="2"/>
          </rPr>
          <t>wsimms:</t>
        </r>
        <r>
          <rPr>
            <sz val="8"/>
            <color indexed="81"/>
            <rFont val="Tahoma"/>
            <family val="2"/>
          </rPr>
          <t xml:space="preserve">
CHANGED 2008 FROM 0.75 TO 1.0009 MILLION.</t>
        </r>
      </text>
    </comment>
    <comment ref="D39" authorId="1">
      <text>
        <r>
          <rPr>
            <b/>
            <sz val="8"/>
            <color indexed="81"/>
            <rFont val="Tahoma"/>
            <family val="2"/>
          </rPr>
          <t>wsimms:</t>
        </r>
        <r>
          <rPr>
            <sz val="8"/>
            <color indexed="81"/>
            <rFont val="Tahoma"/>
            <family val="2"/>
          </rPr>
          <t xml:space="preserve">
CHANGED 2008 FROM 3.2 TO 4.226188 MILLION.</t>
        </r>
      </text>
    </comment>
    <comment ref="C41" authorId="2">
      <text>
        <r>
          <rPr>
            <b/>
            <sz val="8"/>
            <color indexed="81"/>
            <rFont val="Tahoma"/>
            <family val="2"/>
          </rPr>
          <t>Walter A. Simms:</t>
        </r>
        <r>
          <rPr>
            <sz val="8"/>
            <color indexed="81"/>
            <rFont val="Tahoma"/>
            <family val="2"/>
          </rPr>
          <t xml:space="preserve">
This landfill was known by the name Del Signiore, but it is now Garrett Co. SWD&amp;RF
</t>
        </r>
      </text>
    </comment>
    <comment ref="D41" authorId="1">
      <text>
        <r>
          <rPr>
            <b/>
            <sz val="8"/>
            <color indexed="81"/>
            <rFont val="Tahoma"/>
            <family val="2"/>
          </rPr>
          <t>wsimms:</t>
        </r>
        <r>
          <rPr>
            <sz val="8"/>
            <color indexed="81"/>
            <rFont val="Tahoma"/>
            <family val="2"/>
          </rPr>
          <t xml:space="preserve">
CHANGED 2008 FROM 1.5 TO 1.537185 MILLION.</t>
        </r>
      </text>
    </comment>
    <comment ref="D44" authorId="1">
      <text>
        <r>
          <rPr>
            <b/>
            <sz val="8"/>
            <color indexed="81"/>
            <rFont val="Tahoma"/>
            <family val="2"/>
          </rPr>
          <t>wsimms:</t>
        </r>
        <r>
          <rPr>
            <sz val="8"/>
            <color indexed="81"/>
            <rFont val="Tahoma"/>
            <family val="2"/>
          </rPr>
          <t xml:space="preserve">
CHANGED 2008 FROM 2.3 TO 2.98 MILLION.</t>
        </r>
      </text>
    </comment>
    <comment ref="D46" authorId="1">
      <text>
        <r>
          <rPr>
            <b/>
            <sz val="8"/>
            <color indexed="81"/>
            <rFont val="Tahoma"/>
            <family val="2"/>
          </rPr>
          <t>wsimms:</t>
        </r>
        <r>
          <rPr>
            <sz val="8"/>
            <color indexed="81"/>
            <rFont val="Tahoma"/>
            <family val="2"/>
          </rPr>
          <t xml:space="preserve">
CHANGED 2008 7.1 TO 9.978 MILLION TONS.</t>
        </r>
      </text>
    </comment>
    <comment ref="C49" authorId="2">
      <text>
        <r>
          <rPr>
            <b/>
            <sz val="8"/>
            <color indexed="81"/>
            <rFont val="Tahoma"/>
            <family val="2"/>
          </rPr>
          <t>Walter A. Simms:</t>
        </r>
        <r>
          <rPr>
            <sz val="8"/>
            <color indexed="81"/>
            <rFont val="Tahoma"/>
            <family val="2"/>
          </rPr>
          <t xml:space="preserve">
CLOSED 6-2-00</t>
        </r>
      </text>
    </comment>
    <comment ref="D52" authorId="1">
      <text>
        <r>
          <rPr>
            <b/>
            <sz val="8"/>
            <color indexed="81"/>
            <rFont val="Tahoma"/>
            <family val="2"/>
          </rPr>
          <t>wsimms:</t>
        </r>
        <r>
          <rPr>
            <sz val="8"/>
            <color indexed="81"/>
            <rFont val="Tahoma"/>
            <family val="2"/>
          </rPr>
          <t xml:space="preserve">
CHANGED 2008 FROM 12.4 TO 16.0</t>
        </r>
      </text>
    </comment>
    <comment ref="I53" authorId="2">
      <text>
        <r>
          <rPr>
            <b/>
            <sz val="8"/>
            <color indexed="81"/>
            <rFont val="Tahoma"/>
            <family val="2"/>
          </rPr>
          <t>Walter A. Simms:</t>
        </r>
        <r>
          <rPr>
            <sz val="8"/>
            <color indexed="81"/>
            <rFont val="Tahoma"/>
            <family val="2"/>
          </rPr>
          <t xml:space="preserve">
CLOSED JUNE 2000</t>
        </r>
      </text>
    </comment>
    <comment ref="C54" authorId="2">
      <text>
        <r>
          <rPr>
            <b/>
            <sz val="8"/>
            <color indexed="81"/>
            <rFont val="Tahoma"/>
            <family val="2"/>
          </rPr>
          <t>Walter A. Simms:</t>
        </r>
        <r>
          <rPr>
            <sz val="8"/>
            <color indexed="81"/>
            <rFont val="Tahoma"/>
            <family val="2"/>
          </rPr>
          <t xml:space="preserve">
Both Area #1 and #2 are calculated on this row.
</t>
        </r>
      </text>
    </comment>
    <comment ref="C56" authorId="2">
      <text>
        <r>
          <rPr>
            <b/>
            <sz val="8"/>
            <color indexed="81"/>
            <rFont val="Tahoma"/>
            <family val="2"/>
          </rPr>
          <t>Walter A. Simms:</t>
        </r>
        <r>
          <rPr>
            <sz val="8"/>
            <color indexed="81"/>
            <rFont val="Tahoma"/>
            <family val="2"/>
          </rPr>
          <t xml:space="preserve">
Somerset County MLF was also known as Fairmount Rd MLF.
</t>
        </r>
      </text>
    </comment>
    <comment ref="D56" authorId="1">
      <text>
        <r>
          <rPr>
            <b/>
            <sz val="8"/>
            <color indexed="81"/>
            <rFont val="Tahoma"/>
            <family val="2"/>
          </rPr>
          <t>wsimms:</t>
        </r>
        <r>
          <rPr>
            <sz val="8"/>
            <color indexed="81"/>
            <rFont val="Tahoma"/>
            <family val="2"/>
          </rPr>
          <t xml:space="preserve">
CHANGED 2008 FROM 1.5 TO 1.610 MILLION.</t>
        </r>
      </text>
    </comment>
    <comment ref="D59" authorId="1">
      <text>
        <r>
          <rPr>
            <b/>
            <sz val="8"/>
            <color indexed="81"/>
            <rFont val="Tahoma"/>
            <family val="2"/>
          </rPr>
          <t>wsimms:</t>
        </r>
        <r>
          <rPr>
            <sz val="8"/>
            <color indexed="81"/>
            <rFont val="Tahoma"/>
            <family val="2"/>
          </rPr>
          <t xml:space="preserve">
CHANGED 2008 FROM 2.2 TO 3.751244 MILLION.</t>
        </r>
      </text>
    </comment>
    <comment ref="C62" authorId="2">
      <text>
        <r>
          <rPr>
            <b/>
            <sz val="8"/>
            <color indexed="81"/>
            <rFont val="Tahoma"/>
            <family val="2"/>
          </rPr>
          <t>Walter A. Simms:</t>
        </r>
        <r>
          <rPr>
            <sz val="8"/>
            <color indexed="81"/>
            <rFont val="Tahoma"/>
            <family val="2"/>
          </rPr>
          <t xml:space="preserve">
OPENED 1982 CLOSED IN1998; REOPENED IN 1998 AND CLOSED IN 2000.</t>
        </r>
      </text>
    </comment>
    <comment ref="C63" authorId="2">
      <text>
        <r>
          <rPr>
            <b/>
            <sz val="8"/>
            <color indexed="81"/>
            <rFont val="Tahoma"/>
            <family val="2"/>
          </rPr>
          <t>Walter A. Simms:</t>
        </r>
        <r>
          <rPr>
            <sz val="8"/>
            <color indexed="81"/>
            <rFont val="Tahoma"/>
            <family val="2"/>
          </rPr>
          <t xml:space="preserve">
NEW, OPENED 2000</t>
        </r>
      </text>
    </comment>
    <comment ref="D63" authorId="1">
      <text>
        <r>
          <rPr>
            <b/>
            <sz val="8"/>
            <color indexed="81"/>
            <rFont val="Tahoma"/>
            <family val="2"/>
          </rPr>
          <t>wsimms:</t>
        </r>
        <r>
          <rPr>
            <sz val="8"/>
            <color indexed="81"/>
            <rFont val="Tahoma"/>
            <family val="2"/>
          </rPr>
          <t xml:space="preserve">
CHANGED 2008 FROM 11.8 TO 20.273 MILLION.</t>
        </r>
      </text>
    </comment>
    <comment ref="D65" authorId="1">
      <text>
        <r>
          <rPr>
            <b/>
            <sz val="8"/>
            <color indexed="81"/>
            <rFont val="Tahoma"/>
            <family val="2"/>
          </rPr>
          <t>wsimms:</t>
        </r>
        <r>
          <rPr>
            <sz val="8"/>
            <color indexed="81"/>
            <rFont val="Tahoma"/>
            <family val="2"/>
          </rPr>
          <t xml:space="preserve">
CHANGED 2008 FROM 5.4 TO 7.2 MILLION.</t>
        </r>
      </text>
    </comment>
    <comment ref="D67" authorId="1">
      <text>
        <r>
          <rPr>
            <b/>
            <sz val="8"/>
            <color indexed="81"/>
            <rFont val="Tahoma"/>
            <family val="2"/>
          </rPr>
          <t>wsimms:</t>
        </r>
        <r>
          <rPr>
            <sz val="8"/>
            <color indexed="81"/>
            <rFont val="Tahoma"/>
            <family val="2"/>
          </rPr>
          <t xml:space="preserve">
CHANGED 2008 FROM 8.6 TO 4.8 MILLION.</t>
        </r>
      </text>
    </comment>
    <comment ref="J77" authorId="0">
      <text>
        <r>
          <rPr>
            <sz val="8"/>
            <color indexed="81"/>
            <rFont val="Tahoma"/>
            <family val="2"/>
          </rPr>
          <t xml:space="preserve">Assume 7 % of MSW)
</t>
        </r>
      </text>
    </comment>
    <comment ref="M80" authorId="3">
      <text>
        <r>
          <rPr>
            <sz val="8"/>
            <color indexed="81"/>
            <rFont val="Tahoma"/>
            <family val="2"/>
          </rPr>
          <t xml:space="preserve">Flared CH4 + Landill Gas-to-Energy CH4
</t>
        </r>
      </text>
    </comment>
    <comment ref="U86" authorId="0">
      <text>
        <r>
          <rPr>
            <sz val="8"/>
            <color indexed="81"/>
            <rFont val="Tahoma"/>
            <family val="2"/>
          </rPr>
          <t xml:space="preserve">Assumed 7% of MSW
</t>
        </r>
      </text>
    </comment>
    <comment ref="U88" authorId="0">
      <text>
        <r>
          <rPr>
            <sz val="8"/>
            <color indexed="81"/>
            <rFont val="Tahoma"/>
            <family val="2"/>
          </rPr>
          <t xml:space="preserve">Assumed 7% of MSW
</t>
        </r>
      </text>
    </comment>
  </commentList>
</comments>
</file>

<file path=xl/comments11.xml><?xml version="1.0" encoding="utf-8"?>
<comments xmlns="http://schemas.openxmlformats.org/spreadsheetml/2006/main">
  <authors>
    <author>sal</author>
  </authors>
  <commentList>
    <comment ref="Z29" authorId="0">
      <text>
        <r>
          <rPr>
            <b/>
            <sz val="9"/>
            <color indexed="81"/>
            <rFont val="Tahoma"/>
            <family val="2"/>
          </rPr>
          <t>NO CH4 Emission Reported</t>
        </r>
      </text>
    </comment>
  </commentList>
</comments>
</file>

<file path=xl/comments12.xml><?xml version="1.0" encoding="utf-8"?>
<comments xmlns="http://schemas.openxmlformats.org/spreadsheetml/2006/main">
  <authors>
    <author>Beth Moore</author>
    <author>sal</author>
  </authors>
  <commentList>
    <comment ref="F6" authorId="0">
      <text>
        <r>
          <rPr>
            <sz val="8"/>
            <color indexed="81"/>
            <rFont val="Tahoma"/>
            <family val="2"/>
          </rPr>
          <t>MTCH</t>
        </r>
        <r>
          <rPr>
            <vertAlign val="subscript"/>
            <sz val="8"/>
            <color indexed="81"/>
            <rFont val="Tahoma"/>
            <family val="2"/>
          </rPr>
          <t>4</t>
        </r>
        <r>
          <rPr>
            <sz val="8"/>
            <color indexed="81"/>
            <rFont val="Tahoma"/>
            <family val="2"/>
          </rPr>
          <t xml:space="preserve"> are converted to MMTCO</t>
        </r>
        <r>
          <rPr>
            <vertAlign val="subscript"/>
            <sz val="8"/>
            <color indexed="81"/>
            <rFont val="Tahoma"/>
            <family val="2"/>
          </rPr>
          <t>2</t>
        </r>
        <r>
          <rPr>
            <sz val="8"/>
            <color indexed="81"/>
            <rFont val="Tahoma"/>
            <family val="2"/>
          </rPr>
          <t>E by multiplying by the GWP of CH</t>
        </r>
        <r>
          <rPr>
            <vertAlign val="subscript"/>
            <sz val="8"/>
            <color indexed="81"/>
            <rFont val="Tahoma"/>
            <family val="2"/>
          </rPr>
          <t>4</t>
        </r>
        <r>
          <rPr>
            <sz val="8"/>
            <color indexed="81"/>
            <rFont val="Tahoma"/>
            <family val="2"/>
          </rPr>
          <t>, or 21, and then dividing by 1,000,000</t>
        </r>
      </text>
    </comment>
    <comment ref="F21" authorId="0">
      <text>
        <r>
          <rPr>
            <sz val="8"/>
            <color indexed="81"/>
            <rFont val="Tahoma"/>
            <family val="2"/>
          </rPr>
          <t>MTCH</t>
        </r>
        <r>
          <rPr>
            <vertAlign val="subscript"/>
            <sz val="8"/>
            <color indexed="81"/>
            <rFont val="Tahoma"/>
            <family val="2"/>
          </rPr>
          <t>4</t>
        </r>
        <r>
          <rPr>
            <sz val="8"/>
            <color indexed="81"/>
            <rFont val="Tahoma"/>
            <family val="2"/>
          </rPr>
          <t xml:space="preserve"> are converted to MMTCO</t>
        </r>
        <r>
          <rPr>
            <vertAlign val="subscript"/>
            <sz val="8"/>
            <color indexed="81"/>
            <rFont val="Tahoma"/>
            <family val="2"/>
          </rPr>
          <t>2</t>
        </r>
        <r>
          <rPr>
            <sz val="8"/>
            <color indexed="81"/>
            <rFont val="Tahoma"/>
            <family val="2"/>
          </rPr>
          <t>E by multiplying by the GWP of CH</t>
        </r>
        <r>
          <rPr>
            <vertAlign val="subscript"/>
            <sz val="8"/>
            <color indexed="81"/>
            <rFont val="Tahoma"/>
            <family val="2"/>
          </rPr>
          <t>4</t>
        </r>
        <r>
          <rPr>
            <sz val="8"/>
            <color indexed="81"/>
            <rFont val="Tahoma"/>
            <family val="2"/>
          </rPr>
          <t>, or 21, and then dividing by 1,000,000</t>
        </r>
      </text>
    </comment>
    <comment ref="C69" authorId="1">
      <text>
        <r>
          <rPr>
            <b/>
            <sz val="9"/>
            <color indexed="81"/>
            <rFont val="Tahoma"/>
            <family val="2"/>
          </rPr>
          <t xml:space="preserve">SED 2017 Data(MMcf) *State Heat Content </t>
        </r>
      </text>
    </comment>
  </commentList>
</comments>
</file>

<file path=xl/comments13.xml><?xml version="1.0" encoding="utf-8"?>
<comments xmlns="http://schemas.openxmlformats.org/spreadsheetml/2006/main">
  <authors>
    <author>Beth Moore</author>
    <author>sal</author>
    <author>amohammed</author>
  </authors>
  <commentList>
    <comment ref="L4" authorId="0">
      <text>
        <r>
          <rPr>
            <sz val="8"/>
            <color indexed="81"/>
            <rFont val="Tahoma"/>
            <family val="2"/>
          </rPr>
          <t>Million cubic feet are converted to MTCH</t>
        </r>
        <r>
          <rPr>
            <vertAlign val="subscript"/>
            <sz val="8"/>
            <color indexed="81"/>
            <rFont val="Tahoma"/>
            <family val="2"/>
          </rPr>
          <t>4</t>
        </r>
        <r>
          <rPr>
            <sz val="8"/>
            <color indexed="81"/>
            <rFont val="Tahoma"/>
            <family val="2"/>
          </rPr>
          <t xml:space="preserve"> by multiplying by 19.2 grams/cubic feet of CH</t>
        </r>
        <r>
          <rPr>
            <vertAlign val="subscript"/>
            <sz val="8"/>
            <color indexed="81"/>
            <rFont val="Tahoma"/>
            <family val="2"/>
          </rPr>
          <t>4</t>
        </r>
        <r>
          <rPr>
            <sz val="8"/>
            <color indexed="81"/>
            <rFont val="Tahoma"/>
            <family val="2"/>
          </rPr>
          <t>.</t>
        </r>
      </text>
    </comment>
    <comment ref="N4" authorId="0">
      <text>
        <r>
          <rPr>
            <sz val="8"/>
            <color indexed="81"/>
            <rFont val="Tahoma"/>
            <family val="2"/>
          </rPr>
          <t>MTCH</t>
        </r>
        <r>
          <rPr>
            <vertAlign val="subscript"/>
            <sz val="8"/>
            <color indexed="81"/>
            <rFont val="Tahoma"/>
            <family val="2"/>
          </rPr>
          <t>4</t>
        </r>
        <r>
          <rPr>
            <sz val="8"/>
            <color indexed="81"/>
            <rFont val="Tahoma"/>
            <family val="2"/>
          </rPr>
          <t xml:space="preserve"> are converted to MTCO</t>
        </r>
        <r>
          <rPr>
            <vertAlign val="subscript"/>
            <sz val="8"/>
            <color indexed="81"/>
            <rFont val="Tahoma"/>
            <family val="2"/>
          </rPr>
          <t>2</t>
        </r>
        <r>
          <rPr>
            <sz val="8"/>
            <color indexed="81"/>
            <rFont val="Tahoma"/>
            <family val="2"/>
          </rPr>
          <t>E by multiplying first by the GWP of CH</t>
        </r>
        <r>
          <rPr>
            <vertAlign val="subscript"/>
            <sz val="8"/>
            <color indexed="81"/>
            <rFont val="Tahoma"/>
            <family val="2"/>
          </rPr>
          <t>4</t>
        </r>
        <r>
          <rPr>
            <sz val="8"/>
            <color indexed="81"/>
            <rFont val="Tahoma"/>
            <family val="2"/>
          </rPr>
          <t>, or 21.</t>
        </r>
      </text>
    </comment>
    <comment ref="J8" authorId="0">
      <text>
        <r>
          <rPr>
            <sz val="8"/>
            <color indexed="81"/>
            <rFont val="Tahoma"/>
            <family val="2"/>
          </rPr>
          <t>Thousand cubic feet are converted to MTCH</t>
        </r>
        <r>
          <rPr>
            <vertAlign val="subscript"/>
            <sz val="8"/>
            <color indexed="81"/>
            <rFont val="Tahoma"/>
            <family val="2"/>
          </rPr>
          <t>4</t>
        </r>
        <r>
          <rPr>
            <sz val="8"/>
            <color indexed="81"/>
            <rFont val="Tahoma"/>
            <family val="2"/>
          </rPr>
          <t xml:space="preserve"> by dividing by 1,000, then by 19.2 grams/cubic feet of CH</t>
        </r>
        <r>
          <rPr>
            <vertAlign val="subscript"/>
            <sz val="8"/>
            <color indexed="81"/>
            <rFont val="Tahoma"/>
            <family val="2"/>
          </rPr>
          <t>4</t>
        </r>
        <r>
          <rPr>
            <sz val="8"/>
            <color indexed="81"/>
            <rFont val="Tahoma"/>
            <family val="2"/>
          </rPr>
          <t>.</t>
        </r>
      </text>
    </comment>
    <comment ref="L8" authorId="0">
      <text>
        <r>
          <rPr>
            <sz val="8"/>
            <color indexed="81"/>
            <rFont val="Tahoma"/>
            <family val="2"/>
          </rPr>
          <t>MTCH</t>
        </r>
        <r>
          <rPr>
            <vertAlign val="subscript"/>
            <sz val="8"/>
            <color indexed="81"/>
            <rFont val="Tahoma"/>
            <family val="2"/>
          </rPr>
          <t>4</t>
        </r>
        <r>
          <rPr>
            <sz val="8"/>
            <color indexed="81"/>
            <rFont val="Tahoma"/>
            <family val="2"/>
          </rPr>
          <t xml:space="preserve"> are converted to MTCO</t>
        </r>
        <r>
          <rPr>
            <vertAlign val="subscript"/>
            <sz val="8"/>
            <color indexed="81"/>
            <rFont val="Tahoma"/>
            <family val="2"/>
          </rPr>
          <t>2</t>
        </r>
        <r>
          <rPr>
            <sz val="8"/>
            <color indexed="81"/>
            <rFont val="Tahoma"/>
            <family val="2"/>
          </rPr>
          <t>E by multiplying first by the GWP of CH</t>
        </r>
        <r>
          <rPr>
            <vertAlign val="subscript"/>
            <sz val="8"/>
            <color indexed="81"/>
            <rFont val="Tahoma"/>
            <family val="2"/>
          </rPr>
          <t>4</t>
        </r>
        <r>
          <rPr>
            <sz val="8"/>
            <color indexed="81"/>
            <rFont val="Tahoma"/>
            <family val="2"/>
          </rPr>
          <t>, or 21.</t>
        </r>
      </text>
    </comment>
    <comment ref="D9" authorId="1">
      <text>
        <r>
          <rPr>
            <sz val="9"/>
            <color indexed="81"/>
            <rFont val="Tahoma"/>
            <family val="2"/>
          </rPr>
          <t xml:space="preserve">2017 Production Data. MD Bureau of Mines
</t>
        </r>
      </text>
    </comment>
    <comment ref="J12" authorId="0">
      <text>
        <r>
          <rPr>
            <sz val="8"/>
            <color indexed="81"/>
            <rFont val="Tahoma"/>
            <family val="2"/>
          </rPr>
          <t>Thousand cubic feet are converted to MTCH</t>
        </r>
        <r>
          <rPr>
            <vertAlign val="subscript"/>
            <sz val="8"/>
            <color indexed="81"/>
            <rFont val="Tahoma"/>
            <family val="2"/>
          </rPr>
          <t>4</t>
        </r>
        <r>
          <rPr>
            <sz val="8"/>
            <color indexed="81"/>
            <rFont val="Tahoma"/>
            <family val="2"/>
          </rPr>
          <t xml:space="preserve"> by dividing by 1,000, then by 19.2 grams/cubic feet of CH</t>
        </r>
        <r>
          <rPr>
            <vertAlign val="subscript"/>
            <sz val="8"/>
            <color indexed="81"/>
            <rFont val="Tahoma"/>
            <family val="2"/>
          </rPr>
          <t>4</t>
        </r>
        <r>
          <rPr>
            <sz val="8"/>
            <color indexed="81"/>
            <rFont val="Tahoma"/>
            <family val="2"/>
          </rPr>
          <t>.</t>
        </r>
      </text>
    </comment>
    <comment ref="L12" authorId="0">
      <text>
        <r>
          <rPr>
            <sz val="8"/>
            <color indexed="81"/>
            <rFont val="Tahoma"/>
            <family val="2"/>
          </rPr>
          <t>MTCH</t>
        </r>
        <r>
          <rPr>
            <vertAlign val="subscript"/>
            <sz val="8"/>
            <color indexed="81"/>
            <rFont val="Tahoma"/>
            <family val="2"/>
          </rPr>
          <t>4</t>
        </r>
        <r>
          <rPr>
            <sz val="8"/>
            <color indexed="81"/>
            <rFont val="Tahoma"/>
            <family val="2"/>
          </rPr>
          <t xml:space="preserve"> are converted to MTCO</t>
        </r>
        <r>
          <rPr>
            <vertAlign val="subscript"/>
            <sz val="8"/>
            <color indexed="81"/>
            <rFont val="Tahoma"/>
            <family val="2"/>
          </rPr>
          <t>2</t>
        </r>
        <r>
          <rPr>
            <sz val="8"/>
            <color indexed="81"/>
            <rFont val="Tahoma"/>
            <family val="2"/>
          </rPr>
          <t>E by multiplying first by the GWP of CH</t>
        </r>
        <r>
          <rPr>
            <vertAlign val="subscript"/>
            <sz val="8"/>
            <color indexed="81"/>
            <rFont val="Tahoma"/>
            <family val="2"/>
          </rPr>
          <t>4</t>
        </r>
        <r>
          <rPr>
            <sz val="8"/>
            <color indexed="81"/>
            <rFont val="Tahoma"/>
            <family val="2"/>
          </rPr>
          <t>, or 21.</t>
        </r>
      </text>
    </comment>
    <comment ref="D13" authorId="2">
      <text>
        <r>
          <rPr>
            <b/>
            <sz val="9"/>
            <color indexed="81"/>
            <rFont val="Tahoma"/>
            <family val="2"/>
          </rPr>
          <t>amohammed:</t>
        </r>
        <r>
          <rPr>
            <sz val="9"/>
            <color indexed="81"/>
            <rFont val="Tahoma"/>
            <family val="2"/>
          </rPr>
          <t xml:space="preserve">
2017 Surface Mine Production</t>
        </r>
      </text>
    </comment>
    <comment ref="D15" authorId="1">
      <text>
        <r>
          <rPr>
            <b/>
            <sz val="9"/>
            <color indexed="81"/>
            <rFont val="Tahoma"/>
            <family val="2"/>
          </rPr>
          <t>2016 Surface Coal Production Data</t>
        </r>
      </text>
    </comment>
  </commentList>
</comments>
</file>

<file path=xl/comments14.xml><?xml version="1.0" encoding="utf-8"?>
<comments xmlns="http://schemas.openxmlformats.org/spreadsheetml/2006/main">
  <authors>
    <author>sal</author>
  </authors>
  <commentList>
    <comment ref="E10" authorId="0">
      <text>
        <r>
          <rPr>
            <b/>
            <sz val="9"/>
            <color indexed="81"/>
            <rFont val="Tahoma"/>
            <family val="2"/>
          </rPr>
          <t>Based on 2011 Pop.</t>
        </r>
      </text>
    </comment>
    <comment ref="E16" authorId="0">
      <text>
        <r>
          <rPr>
            <sz val="9"/>
            <color indexed="81"/>
            <rFont val="Tahoma"/>
            <family val="2"/>
          </rPr>
          <t xml:space="preserve">2015 Available data.
</t>
        </r>
      </text>
    </comment>
    <comment ref="C22" authorId="0">
      <text>
        <r>
          <rPr>
            <sz val="9"/>
            <color indexed="81"/>
            <rFont val="Tahoma"/>
            <family val="2"/>
          </rPr>
          <t xml:space="preserve">2017 SIT Default
</t>
        </r>
      </text>
    </comment>
  </commentList>
</comments>
</file>

<file path=xl/comments15.xml><?xml version="1.0" encoding="utf-8"?>
<comments xmlns="http://schemas.openxmlformats.org/spreadsheetml/2006/main">
  <authors>
    <author>Philip Groth</author>
    <author>sal</author>
    <author>DLekas</author>
    <author>Katrin Peterson</author>
    <author>J Casola</author>
    <author>amohammed</author>
    <author>rthunell</author>
    <author>12796</author>
  </authors>
  <commentList>
    <comment ref="I4" authorId="0">
      <text>
        <r>
          <rPr>
            <sz val="8"/>
            <color indexed="81"/>
            <rFont val="Tahoma"/>
            <family val="2"/>
          </rPr>
          <t>Kg of methane are converted to metric tons by dividing by 1000. This is then converted to MMTCH</t>
        </r>
        <r>
          <rPr>
            <vertAlign val="subscript"/>
            <sz val="8"/>
            <color indexed="81"/>
            <rFont val="Tahoma"/>
            <family val="2"/>
          </rPr>
          <t>4</t>
        </r>
        <r>
          <rPr>
            <sz val="8"/>
            <color indexed="81"/>
            <rFont val="Tahoma"/>
            <family val="2"/>
          </rPr>
          <t xml:space="preserve"> by dividing by 1,000,000.</t>
        </r>
      </text>
    </comment>
    <comment ref="K4" authorId="0">
      <text>
        <r>
          <rPr>
            <sz val="8"/>
            <color indexed="81"/>
            <rFont val="Tahoma"/>
            <family val="2"/>
          </rPr>
          <t>MMTCH</t>
        </r>
        <r>
          <rPr>
            <vertAlign val="subscript"/>
            <sz val="8"/>
            <color indexed="81"/>
            <rFont val="Tahoma"/>
            <family val="2"/>
          </rPr>
          <t>4</t>
        </r>
        <r>
          <rPr>
            <sz val="8"/>
            <color indexed="81"/>
            <rFont val="Tahoma"/>
            <family val="2"/>
          </rPr>
          <t xml:space="preserve"> are converted to MMTCE by multiply by methane's global warming potential (21) and then 12/44 (to convert from CO</t>
        </r>
        <r>
          <rPr>
            <vertAlign val="subscript"/>
            <sz val="8"/>
            <color indexed="81"/>
            <rFont val="Tahoma"/>
            <family val="2"/>
          </rPr>
          <t>2</t>
        </r>
        <r>
          <rPr>
            <sz val="8"/>
            <color indexed="81"/>
            <rFont val="Tahoma"/>
            <family val="2"/>
          </rPr>
          <t xml:space="preserve"> to C).</t>
        </r>
      </text>
    </comment>
    <comment ref="M4" authorId="0">
      <text>
        <r>
          <rPr>
            <sz val="8"/>
            <color indexed="81"/>
            <rFont val="Tahoma"/>
            <family val="2"/>
          </rPr>
          <t>MMTCE are converted to MMTCO</t>
        </r>
        <r>
          <rPr>
            <vertAlign val="subscript"/>
            <sz val="8"/>
            <color indexed="81"/>
            <rFont val="Tahoma"/>
            <family val="2"/>
          </rPr>
          <t>2</t>
        </r>
        <r>
          <rPr>
            <sz val="8"/>
            <color indexed="81"/>
            <rFont val="Tahoma"/>
            <family val="2"/>
          </rPr>
          <t>E by dividing by 12/44 (to convert from C to CO</t>
        </r>
        <r>
          <rPr>
            <vertAlign val="subscript"/>
            <sz val="8"/>
            <color indexed="81"/>
            <rFont val="Tahoma"/>
            <family val="2"/>
          </rPr>
          <t>2</t>
        </r>
        <r>
          <rPr>
            <sz val="8"/>
            <color indexed="81"/>
            <rFont val="Tahoma"/>
            <family val="2"/>
          </rPr>
          <t>).</t>
        </r>
      </text>
    </comment>
    <comment ref="C17" authorId="1">
      <text>
        <r>
          <rPr>
            <sz val="9"/>
            <color indexed="81"/>
            <rFont val="Tahoma"/>
            <family val="2"/>
          </rPr>
          <t>SIT 2009 default</t>
        </r>
      </text>
    </comment>
    <comment ref="C18" authorId="1">
      <text>
        <r>
          <rPr>
            <sz val="9"/>
            <color indexed="81"/>
            <rFont val="Tahoma"/>
            <family val="2"/>
          </rPr>
          <t xml:space="preserve">SIT 2009 Default </t>
        </r>
      </text>
    </comment>
    <comment ref="C21" authorId="1">
      <text>
        <r>
          <rPr>
            <b/>
            <sz val="9"/>
            <color indexed="81"/>
            <rFont val="Tahoma"/>
            <family val="2"/>
          </rPr>
          <t>USDA 2009 data</t>
        </r>
      </text>
    </comment>
    <comment ref="C24" authorId="1">
      <text>
        <r>
          <rPr>
            <sz val="9"/>
            <color indexed="81"/>
            <rFont val="Tahoma"/>
            <family val="2"/>
          </rPr>
          <t xml:space="preserve">2010 Maryland Equine Census,march 03,11; 2010 data
</t>
        </r>
      </text>
    </comment>
    <comment ref="M30" authorId="2">
      <text>
        <r>
          <rPr>
            <sz val="8"/>
            <color indexed="81"/>
            <rFont val="Tahoma"/>
            <family val="2"/>
          </rPr>
          <t>Sum of MCF for each animal's management system x Percent of Manure Managed in that system</t>
        </r>
      </text>
    </comment>
    <comment ref="C35" authorId="1">
      <text>
        <r>
          <rPr>
            <sz val="9"/>
            <color indexed="81"/>
            <rFont val="Tahoma"/>
            <family val="2"/>
          </rPr>
          <t xml:space="preserve">not yet updated with 2011
</t>
        </r>
      </text>
    </comment>
    <comment ref="C36" authorId="1">
      <text>
        <r>
          <rPr>
            <sz val="9"/>
            <color indexed="81"/>
            <rFont val="Tahoma"/>
            <family val="2"/>
          </rPr>
          <t xml:space="preserve">not yet updated
</t>
        </r>
      </text>
    </comment>
    <comment ref="C46" authorId="1">
      <text>
        <r>
          <rPr>
            <b/>
            <sz val="9"/>
            <color indexed="81"/>
            <rFont val="Tahoma"/>
            <family val="2"/>
          </rPr>
          <t>USDA 2007 data</t>
        </r>
      </text>
    </comment>
    <comment ref="C51" authorId="1">
      <text>
        <r>
          <rPr>
            <b/>
            <sz val="9"/>
            <color indexed="81"/>
            <rFont val="Tahoma"/>
            <family val="2"/>
          </rPr>
          <t>SIT 2009 Default data</t>
        </r>
      </text>
    </comment>
    <comment ref="B52" authorId="2">
      <text>
        <r>
          <rPr>
            <sz val="8"/>
            <color indexed="81"/>
            <rFont val="Tahoma"/>
            <family val="2"/>
          </rPr>
          <t>Includes:  Pullets laying, Pullets &gt; 3 mo., and Pullets &lt; 3 mo.</t>
        </r>
      </text>
    </comment>
    <comment ref="C52" authorId="1">
      <text>
        <r>
          <rPr>
            <sz val="9"/>
            <color indexed="81"/>
            <rFont val="Tahoma"/>
            <family val="2"/>
          </rPr>
          <t xml:space="preserve">SIT 2009 Default data
</t>
        </r>
      </text>
    </comment>
    <comment ref="C53" authorId="1">
      <text>
        <r>
          <rPr>
            <sz val="9"/>
            <color indexed="81"/>
            <rFont val="Tahoma"/>
            <family val="2"/>
          </rPr>
          <t xml:space="preserve">SIT 2009 Default data
</t>
        </r>
      </text>
    </comment>
    <comment ref="B54" authorId="2">
      <text>
        <r>
          <rPr>
            <sz val="8"/>
            <color indexed="81"/>
            <rFont val="Tahoma"/>
            <family val="2"/>
          </rPr>
          <t>Includes: Regular Broilers, Other (Lost), and Other (Sold)</t>
        </r>
      </text>
    </comment>
    <comment ref="C54" authorId="1">
      <text>
        <r>
          <rPr>
            <sz val="9"/>
            <color indexed="81"/>
            <rFont val="Tahoma"/>
            <family val="2"/>
          </rPr>
          <t xml:space="preserve">SIT 2009 Default data
</t>
        </r>
      </text>
    </comment>
    <comment ref="C55" authorId="1">
      <text>
        <r>
          <rPr>
            <sz val="9"/>
            <color indexed="81"/>
            <rFont val="Tahoma"/>
            <family val="2"/>
          </rPr>
          <t xml:space="preserve">SIT 2009 Default data
</t>
        </r>
      </text>
    </comment>
    <comment ref="B57" authorId="3">
      <text>
        <r>
          <rPr>
            <sz val="8"/>
            <color indexed="81"/>
            <rFont val="Tahoma"/>
            <family val="2"/>
          </rPr>
          <t>Sheep on feed that are in feedlots were assumed to be manged using a dry lot system, all others were assumed to be PRP.</t>
        </r>
      </text>
    </comment>
    <comment ref="C58" authorId="1">
      <text>
        <r>
          <rPr>
            <b/>
            <sz val="9"/>
            <color indexed="81"/>
            <rFont val="Tahoma"/>
            <family val="2"/>
          </rPr>
          <t>USDA 2009 data</t>
        </r>
      </text>
    </comment>
    <comment ref="C60" authorId="1">
      <text>
        <r>
          <rPr>
            <sz val="9"/>
            <color indexed="81"/>
            <rFont val="Tahoma"/>
            <family val="2"/>
          </rPr>
          <t xml:space="preserve">2010 Maryland Equine Census,march 03,11; 2010 data
</t>
        </r>
      </text>
    </comment>
    <comment ref="S66" authorId="0">
      <text>
        <r>
          <rPr>
            <sz val="8"/>
            <color indexed="81"/>
            <rFont val="Tahoma"/>
            <family val="2"/>
          </rPr>
          <t>MTCE are converted to MMTCE by dividing by 1,000,000.</t>
        </r>
      </text>
    </comment>
    <comment ref="C71" authorId="1">
      <text>
        <r>
          <rPr>
            <sz val="9"/>
            <color indexed="81"/>
            <rFont val="Tahoma"/>
            <family val="2"/>
          </rPr>
          <t>SIT 2009 default</t>
        </r>
      </text>
    </comment>
    <comment ref="C72" authorId="1">
      <text>
        <r>
          <rPr>
            <sz val="9"/>
            <color indexed="81"/>
            <rFont val="Tahoma"/>
            <family val="2"/>
          </rPr>
          <t xml:space="preserve">SIT 2009 Default </t>
        </r>
      </text>
    </comment>
    <comment ref="C76" authorId="1">
      <text>
        <r>
          <rPr>
            <b/>
            <sz val="9"/>
            <color indexed="81"/>
            <rFont val="Tahoma"/>
            <family val="2"/>
          </rPr>
          <t>USDA 2007 data</t>
        </r>
      </text>
    </comment>
    <comment ref="B81" authorId="2">
      <text>
        <r>
          <rPr>
            <sz val="8"/>
            <color indexed="81"/>
            <rFont val="Tahoma"/>
            <family val="2"/>
          </rPr>
          <t>Includes: Regular Broilers, Other (Lost), and Other (Sold)</t>
        </r>
      </text>
    </comment>
    <comment ref="C81" authorId="1">
      <text>
        <r>
          <rPr>
            <b/>
            <sz val="9"/>
            <color indexed="81"/>
            <rFont val="Tahoma"/>
            <family val="2"/>
          </rPr>
          <t>SIT 2009 Default data</t>
        </r>
      </text>
    </comment>
    <comment ref="C82" authorId="1">
      <text>
        <r>
          <rPr>
            <sz val="9"/>
            <color indexed="81"/>
            <rFont val="Tahoma"/>
            <family val="2"/>
          </rPr>
          <t xml:space="preserve">SIT 2009 Default data
</t>
        </r>
      </text>
    </comment>
    <comment ref="C83" authorId="1">
      <text>
        <r>
          <rPr>
            <sz val="9"/>
            <color indexed="81"/>
            <rFont val="Tahoma"/>
            <family val="2"/>
          </rPr>
          <t xml:space="preserve">SIT 2009 Default data
</t>
        </r>
      </text>
    </comment>
    <comment ref="C84" authorId="1">
      <text>
        <r>
          <rPr>
            <sz val="9"/>
            <color indexed="81"/>
            <rFont val="Tahoma"/>
            <family val="2"/>
          </rPr>
          <t xml:space="preserve">SIT 2009 Default data
</t>
        </r>
      </text>
    </comment>
    <comment ref="C85" authorId="1">
      <text>
        <r>
          <rPr>
            <sz val="9"/>
            <color indexed="81"/>
            <rFont val="Tahoma"/>
            <family val="2"/>
          </rPr>
          <t xml:space="preserve">SIT 2009 Default data
</t>
        </r>
      </text>
    </comment>
    <comment ref="C88" authorId="1">
      <text>
        <r>
          <rPr>
            <b/>
            <sz val="9"/>
            <color indexed="81"/>
            <rFont val="Tahoma"/>
            <family val="2"/>
          </rPr>
          <t>USDA 2009 data</t>
        </r>
      </text>
    </comment>
    <comment ref="E95" authorId="2">
      <text>
        <r>
          <rPr>
            <sz val="8"/>
            <color indexed="81"/>
            <rFont val="Tahoma"/>
            <family val="2"/>
          </rPr>
          <t>This data can be obtained departments in each state responsible for agricultural research.  USDA: http://www.nass.usda.gov/Data_and_Statistics/index.asp</t>
        </r>
      </text>
    </comment>
    <comment ref="G95" authorId="4">
      <text>
        <r>
          <rPr>
            <b/>
            <sz val="8"/>
            <color indexed="81"/>
            <rFont val="Tahoma"/>
            <family val="2"/>
          </rPr>
          <t>J Casola:</t>
        </r>
        <r>
          <rPr>
            <sz val="8"/>
            <color indexed="81"/>
            <rFont val="Tahoma"/>
            <family val="2"/>
          </rPr>
          <t xml:space="preserve">
Corn for Grain, All Wheat, Barley, Sorghum, Oats, Rye, and Soybeans back-calculated from bushel and tonnage values found in "Field Crops, Final Estimates, 1992-1997" SB 947a USDA/NASS. Other crops assumed conversion 0.027215</t>
        </r>
      </text>
    </comment>
    <comment ref="I95" authorId="2">
      <text>
        <r>
          <rPr>
            <b/>
            <sz val="8"/>
            <color indexed="81"/>
            <rFont val="Tahoma"/>
            <family val="2"/>
          </rPr>
          <t>DLekas:</t>
        </r>
        <r>
          <rPr>
            <sz val="8"/>
            <color indexed="81"/>
            <rFont val="Tahoma"/>
            <family val="2"/>
          </rPr>
          <t xml:space="preserve">
EIIP 1999 &amp; EPA 2001</t>
        </r>
      </text>
    </comment>
    <comment ref="AC95" authorId="0">
      <text>
        <r>
          <rPr>
            <sz val="8"/>
            <color indexed="81"/>
            <rFont val="Tahoma"/>
            <family val="2"/>
          </rPr>
          <t>Metric tons N</t>
        </r>
        <r>
          <rPr>
            <vertAlign val="subscript"/>
            <sz val="8"/>
            <color indexed="81"/>
            <rFont val="Tahoma"/>
            <family val="2"/>
          </rPr>
          <t>2</t>
        </r>
        <r>
          <rPr>
            <sz val="8"/>
            <color indexed="81"/>
            <rFont val="Tahoma"/>
            <family val="2"/>
          </rPr>
          <t>O are converted to MMTCE by multiplying by the N</t>
        </r>
        <r>
          <rPr>
            <vertAlign val="subscript"/>
            <sz val="8"/>
            <color indexed="81"/>
            <rFont val="Tahoma"/>
            <family val="2"/>
          </rPr>
          <t>2</t>
        </r>
        <r>
          <rPr>
            <sz val="8"/>
            <color indexed="81"/>
            <rFont val="Tahoma"/>
            <family val="2"/>
          </rPr>
          <t>O global warming potential (310 N</t>
        </r>
        <r>
          <rPr>
            <vertAlign val="subscript"/>
            <sz val="8"/>
            <color indexed="81"/>
            <rFont val="Tahoma"/>
            <family val="2"/>
          </rPr>
          <t>2</t>
        </r>
        <r>
          <rPr>
            <sz val="8"/>
            <color indexed="81"/>
            <rFont val="Tahoma"/>
            <family val="2"/>
          </rPr>
          <t>O/CO</t>
        </r>
        <r>
          <rPr>
            <vertAlign val="subscript"/>
            <sz val="8"/>
            <color indexed="81"/>
            <rFont val="Tahoma"/>
            <family val="2"/>
          </rPr>
          <t>2</t>
        </r>
        <r>
          <rPr>
            <sz val="8"/>
            <color indexed="81"/>
            <rFont val="Tahoma"/>
            <family val="2"/>
          </rPr>
          <t>). multiplying by 12/44 (to convert from CO</t>
        </r>
        <r>
          <rPr>
            <vertAlign val="subscript"/>
            <sz val="8"/>
            <color indexed="81"/>
            <rFont val="Tahoma"/>
            <family val="2"/>
          </rPr>
          <t>2</t>
        </r>
        <r>
          <rPr>
            <sz val="8"/>
            <color indexed="81"/>
            <rFont val="Tahoma"/>
            <family val="2"/>
          </rPr>
          <t xml:space="preserve"> to C), and then dividing by 1,000,000.
</t>
        </r>
      </text>
    </comment>
    <comment ref="AE95" authorId="0">
      <text>
        <r>
          <rPr>
            <sz val="8"/>
            <color indexed="81"/>
            <rFont val="Tahoma"/>
            <family val="2"/>
          </rPr>
          <t>MMTCE are converted to MMTCO</t>
        </r>
        <r>
          <rPr>
            <vertAlign val="subscript"/>
            <sz val="8"/>
            <color indexed="81"/>
            <rFont val="Tahoma"/>
            <family val="2"/>
          </rPr>
          <t>2</t>
        </r>
        <r>
          <rPr>
            <sz val="8"/>
            <color indexed="81"/>
            <rFont val="Tahoma"/>
            <family val="2"/>
          </rPr>
          <t>E by dividing by 12/44 (to convert from C to CO</t>
        </r>
        <r>
          <rPr>
            <vertAlign val="subscript"/>
            <sz val="8"/>
            <color indexed="81"/>
            <rFont val="Tahoma"/>
            <family val="2"/>
          </rPr>
          <t>2</t>
        </r>
        <r>
          <rPr>
            <sz val="8"/>
            <color indexed="81"/>
            <rFont val="Tahoma"/>
            <family val="2"/>
          </rPr>
          <t>).</t>
        </r>
      </text>
    </comment>
    <comment ref="E123" authorId="2">
      <text>
        <r>
          <rPr>
            <sz val="7"/>
            <color indexed="81"/>
            <rFont val="Tahoma"/>
            <family val="2"/>
          </rPr>
          <t>According to the US Inventory, 65% of the fertilizer consumption takes place from Jan-June and 35% from July-Dec.</t>
        </r>
      </text>
    </comment>
    <comment ref="S123" authorId="0">
      <text>
        <r>
          <rPr>
            <sz val="8"/>
            <color indexed="81"/>
            <rFont val="Tahoma"/>
            <family val="2"/>
          </rPr>
          <t>Metric tons N</t>
        </r>
        <r>
          <rPr>
            <vertAlign val="subscript"/>
            <sz val="8"/>
            <color indexed="81"/>
            <rFont val="Tahoma"/>
            <family val="2"/>
          </rPr>
          <t>2</t>
        </r>
        <r>
          <rPr>
            <sz val="8"/>
            <color indexed="81"/>
            <rFont val="Tahoma"/>
            <family val="2"/>
          </rPr>
          <t>O are converted to MMTCE by multiplying by the N</t>
        </r>
        <r>
          <rPr>
            <vertAlign val="subscript"/>
            <sz val="8"/>
            <color indexed="81"/>
            <rFont val="Tahoma"/>
            <family val="2"/>
          </rPr>
          <t>2</t>
        </r>
        <r>
          <rPr>
            <sz val="8"/>
            <color indexed="81"/>
            <rFont val="Tahoma"/>
            <family val="2"/>
          </rPr>
          <t>O global warming potential (310 N</t>
        </r>
        <r>
          <rPr>
            <vertAlign val="subscript"/>
            <sz val="8"/>
            <color indexed="81"/>
            <rFont val="Tahoma"/>
            <family val="2"/>
          </rPr>
          <t>2</t>
        </r>
        <r>
          <rPr>
            <sz val="8"/>
            <color indexed="81"/>
            <rFont val="Tahoma"/>
            <family val="2"/>
          </rPr>
          <t>O/CO</t>
        </r>
        <r>
          <rPr>
            <vertAlign val="subscript"/>
            <sz val="8"/>
            <color indexed="81"/>
            <rFont val="Tahoma"/>
            <family val="2"/>
          </rPr>
          <t>2</t>
        </r>
        <r>
          <rPr>
            <sz val="8"/>
            <color indexed="81"/>
            <rFont val="Tahoma"/>
            <family val="2"/>
          </rPr>
          <t>). multiplying by 12/44 (to convert from CO</t>
        </r>
        <r>
          <rPr>
            <vertAlign val="subscript"/>
            <sz val="8"/>
            <color indexed="81"/>
            <rFont val="Tahoma"/>
            <family val="2"/>
          </rPr>
          <t>2</t>
        </r>
        <r>
          <rPr>
            <sz val="8"/>
            <color indexed="81"/>
            <rFont val="Tahoma"/>
            <family val="2"/>
          </rPr>
          <t xml:space="preserve"> to C), and then dividing by 1,000,000.
</t>
        </r>
      </text>
    </comment>
    <comment ref="U123" authorId="0">
      <text>
        <r>
          <rPr>
            <sz val="8"/>
            <color indexed="81"/>
            <rFont val="Tahoma"/>
            <family val="2"/>
          </rPr>
          <t>Metric tons N</t>
        </r>
        <r>
          <rPr>
            <vertAlign val="subscript"/>
            <sz val="8"/>
            <color indexed="81"/>
            <rFont val="Tahoma"/>
            <family val="2"/>
          </rPr>
          <t>2</t>
        </r>
        <r>
          <rPr>
            <sz val="8"/>
            <color indexed="81"/>
            <rFont val="Tahoma"/>
            <family val="2"/>
          </rPr>
          <t>O are converted to MMTCE by multiplying by the N</t>
        </r>
        <r>
          <rPr>
            <vertAlign val="subscript"/>
            <sz val="8"/>
            <color indexed="81"/>
            <rFont val="Tahoma"/>
            <family val="2"/>
          </rPr>
          <t>2</t>
        </r>
        <r>
          <rPr>
            <sz val="8"/>
            <color indexed="81"/>
            <rFont val="Tahoma"/>
            <family val="2"/>
          </rPr>
          <t>O global warming potential (310 N</t>
        </r>
        <r>
          <rPr>
            <vertAlign val="subscript"/>
            <sz val="8"/>
            <color indexed="81"/>
            <rFont val="Tahoma"/>
            <family val="2"/>
          </rPr>
          <t>2</t>
        </r>
        <r>
          <rPr>
            <sz val="8"/>
            <color indexed="81"/>
            <rFont val="Tahoma"/>
            <family val="2"/>
          </rPr>
          <t>O/CO</t>
        </r>
        <r>
          <rPr>
            <vertAlign val="subscript"/>
            <sz val="8"/>
            <color indexed="81"/>
            <rFont val="Tahoma"/>
            <family val="2"/>
          </rPr>
          <t>2</t>
        </r>
        <r>
          <rPr>
            <sz val="8"/>
            <color indexed="81"/>
            <rFont val="Tahoma"/>
            <family val="2"/>
          </rPr>
          <t>). multiplying by 12/44 (to convert from CO</t>
        </r>
        <r>
          <rPr>
            <vertAlign val="subscript"/>
            <sz val="8"/>
            <color indexed="81"/>
            <rFont val="Tahoma"/>
            <family val="2"/>
          </rPr>
          <t>2</t>
        </r>
        <r>
          <rPr>
            <sz val="8"/>
            <color indexed="81"/>
            <rFont val="Tahoma"/>
            <family val="2"/>
          </rPr>
          <t xml:space="preserve"> to C), and then dividing by 1,000,000.
</t>
        </r>
      </text>
    </comment>
    <comment ref="W123" authorId="0">
      <text>
        <r>
          <rPr>
            <sz val="8"/>
            <color indexed="81"/>
            <rFont val="Tahoma"/>
            <family val="2"/>
          </rPr>
          <t>MMTCE are converted to MMTCO</t>
        </r>
        <r>
          <rPr>
            <vertAlign val="subscript"/>
            <sz val="8"/>
            <color indexed="81"/>
            <rFont val="Tahoma"/>
            <family val="2"/>
          </rPr>
          <t>2</t>
        </r>
        <r>
          <rPr>
            <sz val="8"/>
            <color indexed="81"/>
            <rFont val="Tahoma"/>
            <family val="2"/>
          </rPr>
          <t>E by dividing by 12/44 (to convert from C to CO</t>
        </r>
        <r>
          <rPr>
            <vertAlign val="subscript"/>
            <sz val="8"/>
            <color indexed="81"/>
            <rFont val="Tahoma"/>
            <family val="2"/>
          </rPr>
          <t>2</t>
        </r>
        <r>
          <rPr>
            <sz val="8"/>
            <color indexed="81"/>
            <rFont val="Tahoma"/>
            <family val="2"/>
          </rPr>
          <t>).</t>
        </r>
      </text>
    </comment>
    <comment ref="Y123" authorId="0">
      <text>
        <r>
          <rPr>
            <sz val="8"/>
            <color indexed="81"/>
            <rFont val="Tahoma"/>
            <family val="2"/>
          </rPr>
          <t>MMTCE are converted to MMTCO</t>
        </r>
        <r>
          <rPr>
            <vertAlign val="subscript"/>
            <sz val="8"/>
            <color indexed="81"/>
            <rFont val="Tahoma"/>
            <family val="2"/>
          </rPr>
          <t>2</t>
        </r>
        <r>
          <rPr>
            <sz val="8"/>
            <color indexed="81"/>
            <rFont val="Tahoma"/>
            <family val="2"/>
          </rPr>
          <t>E by dividing by 12/44 (to convert from C to CO</t>
        </r>
        <r>
          <rPr>
            <vertAlign val="subscript"/>
            <sz val="8"/>
            <color indexed="81"/>
            <rFont val="Tahoma"/>
            <family val="2"/>
          </rPr>
          <t>2</t>
        </r>
        <r>
          <rPr>
            <sz val="8"/>
            <color indexed="81"/>
            <rFont val="Tahoma"/>
            <family val="2"/>
          </rPr>
          <t>).</t>
        </r>
      </text>
    </comment>
    <comment ref="C124" authorId="1">
      <text>
        <r>
          <rPr>
            <sz val="9"/>
            <color indexed="81"/>
            <rFont val="Tahoma"/>
            <family val="2"/>
          </rPr>
          <t>2016 SIT Default DATA</t>
        </r>
      </text>
    </comment>
    <comment ref="E124" authorId="5">
      <text>
        <r>
          <rPr>
            <b/>
            <sz val="9"/>
            <color indexed="81"/>
            <rFont val="Tahoma"/>
            <family val="2"/>
          </rPr>
          <t>amohammed:</t>
        </r>
        <r>
          <rPr>
            <sz val="9"/>
            <color indexed="81"/>
            <rFont val="Tahoma"/>
            <family val="2"/>
          </rPr>
          <t xml:space="preserve">
2016 SIT Defaults</t>
        </r>
      </text>
    </comment>
    <comment ref="O124" authorId="6">
      <text>
        <r>
          <rPr>
            <b/>
            <sz val="8"/>
            <color indexed="81"/>
            <rFont val="Tahoma"/>
            <family val="2"/>
          </rPr>
          <t>rthunell:</t>
        </r>
        <r>
          <rPr>
            <sz val="8"/>
            <color indexed="81"/>
            <rFont val="Tahoma"/>
            <family val="2"/>
          </rPr>
          <t xml:space="preserve">
Emissions = 
(Activity/kg_ MT CF) x EF_Dir x N2O_N2 CF
kg_MT CF = 1000
EF_DIR = 0.01
N2O_N2 CF = 44/28</t>
        </r>
      </text>
    </comment>
    <comment ref="Q124" authorId="6">
      <text>
        <r>
          <rPr>
            <b/>
            <sz val="8"/>
            <color indexed="81"/>
            <rFont val="Tahoma"/>
            <family val="2"/>
          </rPr>
          <t>rthunell:</t>
        </r>
        <r>
          <rPr>
            <sz val="8"/>
            <color indexed="81"/>
            <rFont val="Tahoma"/>
            <family val="2"/>
          </rPr>
          <t xml:space="preserve">
rthunell:
Emissions = 
(Activity/kg_ MT CF) x EF_VOL x N2O_N2 CF
kg_MT CF = 1000
EF_VOL = 0.01
N2O_N2 CF = 44/28</t>
        </r>
      </text>
    </comment>
    <comment ref="K125" authorId="2">
      <text>
        <r>
          <rPr>
            <sz val="8"/>
            <color indexed="81"/>
            <rFont val="Tahoma"/>
            <family val="2"/>
          </rPr>
          <t xml:space="preserve">According to the IPCC Good Practice Guidance, the manure portion of organic fertilizers is subtracted from the total of organic fertilizers. </t>
        </r>
        <r>
          <rPr>
            <sz val="8"/>
            <color indexed="81"/>
            <rFont val="Tahoma"/>
            <family val="2"/>
          </rPr>
          <t xml:space="preserve">
</t>
        </r>
      </text>
    </comment>
    <comment ref="M125" authorId="2">
      <text>
        <r>
          <rPr>
            <sz val="8"/>
            <color indexed="81"/>
            <rFont val="Tahoma"/>
            <family val="2"/>
          </rPr>
          <t xml:space="preserve">According to the IPCC Good Practice Guidance, the manure portion of organic fertilizers is subtracted from the total of organic fertilizers. </t>
        </r>
        <r>
          <rPr>
            <sz val="8"/>
            <color indexed="81"/>
            <rFont val="Tahoma"/>
            <family val="2"/>
          </rPr>
          <t xml:space="preserve">
</t>
        </r>
      </text>
    </comment>
    <comment ref="B135" authorId="2">
      <text>
        <r>
          <rPr>
            <sz val="8"/>
            <color indexed="81"/>
            <rFont val="Tahoma"/>
            <family val="2"/>
          </rPr>
          <t xml:space="preserve">According to the IPCC Good Practice Guidance, the manure portion of organic fertilizers is subtracted from the total of organic fertilizers. </t>
        </r>
        <r>
          <rPr>
            <sz val="8"/>
            <color indexed="81"/>
            <rFont val="Tahoma"/>
            <family val="2"/>
          </rPr>
          <t xml:space="preserve">
</t>
        </r>
      </text>
    </comment>
    <comment ref="B151" authorId="2">
      <text>
        <r>
          <rPr>
            <sz val="8"/>
            <color indexed="81"/>
            <rFont val="Tahoma"/>
            <family val="2"/>
          </rPr>
          <t xml:space="preserve">According to the IPCC Good Practice Guidance, the manure portion of organic fertilizers is subtracted from the total of organic fertilizers. </t>
        </r>
        <r>
          <rPr>
            <sz val="8"/>
            <color indexed="81"/>
            <rFont val="Tahoma"/>
            <family val="2"/>
          </rPr>
          <t xml:space="preserve">
</t>
        </r>
      </text>
    </comment>
    <comment ref="E155" authorId="6">
      <text>
        <r>
          <rPr>
            <b/>
            <sz val="8"/>
            <color indexed="81"/>
            <rFont val="Tahoma"/>
            <family val="2"/>
          </rPr>
          <t>rthunell:</t>
        </r>
        <r>
          <rPr>
            <sz val="8"/>
            <color indexed="81"/>
            <rFont val="Tahoma"/>
            <family val="2"/>
          </rPr>
          <t xml:space="preserve">
TAM: Typical Animal Mass</t>
        </r>
      </text>
    </comment>
    <comment ref="K155" authorId="2">
      <text>
        <r>
          <rPr>
            <sz val="8"/>
            <color indexed="81"/>
            <rFont val="Tahoma"/>
            <family val="2"/>
          </rPr>
          <t>Volatilization = 20%; 
NH3-NOx EF (kg N2O/kg N) = 0.01</t>
        </r>
      </text>
    </comment>
    <comment ref="S155" authorId="6">
      <text>
        <r>
          <rPr>
            <b/>
            <sz val="8"/>
            <color indexed="81"/>
            <rFont val="Tahoma"/>
            <family val="2"/>
          </rPr>
          <t>rthunell:</t>
        </r>
        <r>
          <rPr>
            <sz val="8"/>
            <color indexed="81"/>
            <rFont val="Tahoma"/>
            <family val="2"/>
          </rPr>
          <t xml:space="preserve">
Volatilization = 20%; 
NonVOL EF (kg N2O/kg N) = 0.0125
Poultry Not Managed = 0.042
</t>
        </r>
      </text>
    </comment>
    <comment ref="U155" authorId="6">
      <text>
        <r>
          <rPr>
            <b/>
            <sz val="8"/>
            <color indexed="81"/>
            <rFont val="Tahoma"/>
            <family val="2"/>
          </rPr>
          <t>rthunell:</t>
        </r>
        <r>
          <rPr>
            <sz val="8"/>
            <color indexed="81"/>
            <rFont val="Tahoma"/>
            <family val="2"/>
          </rPr>
          <t xml:space="preserve">
prtEF = 0.02</t>
        </r>
      </text>
    </comment>
    <comment ref="W155" authorId="6">
      <text>
        <r>
          <rPr>
            <b/>
            <sz val="8"/>
            <color indexed="81"/>
            <rFont val="Tahoma"/>
            <family val="2"/>
          </rPr>
          <t>rthunell:</t>
        </r>
        <r>
          <rPr>
            <sz val="8"/>
            <color indexed="81"/>
            <rFont val="Tahoma"/>
            <family val="2"/>
          </rPr>
          <t xml:space="preserve">
Leach EF = 0.30
Runoff/Leach EF = 0.0075</t>
        </r>
      </text>
    </comment>
    <comment ref="BN155" authorId="2">
      <text>
        <r>
          <rPr>
            <b/>
            <sz val="8"/>
            <color indexed="81"/>
            <rFont val="Tahoma"/>
            <family val="2"/>
          </rPr>
          <t>DLekas:</t>
        </r>
        <r>
          <rPr>
            <sz val="8"/>
            <color indexed="81"/>
            <rFont val="Tahoma"/>
            <family val="2"/>
          </rPr>
          <t xml:space="preserve">
Source: EIIP Table 7.4.6</t>
        </r>
      </text>
    </comment>
    <comment ref="BQ155" authorId="2">
      <text>
        <r>
          <rPr>
            <b/>
            <sz val="8"/>
            <color indexed="81"/>
            <rFont val="Tahoma"/>
            <family val="2"/>
          </rPr>
          <t>DLekas:</t>
        </r>
        <r>
          <rPr>
            <sz val="8"/>
            <color indexed="81"/>
            <rFont val="Tahoma"/>
            <family val="2"/>
          </rPr>
          <t xml:space="preserve">
Source: EIIP Table 7.4.7
</t>
        </r>
      </text>
    </comment>
    <comment ref="BU155" authorId="2">
      <text>
        <r>
          <rPr>
            <b/>
            <sz val="8"/>
            <color indexed="81"/>
            <rFont val="Tahoma"/>
            <family val="2"/>
          </rPr>
          <t>DLekas:</t>
        </r>
        <r>
          <rPr>
            <sz val="8"/>
            <color indexed="81"/>
            <rFont val="Tahoma"/>
            <family val="2"/>
          </rPr>
          <t xml:space="preserve">
US Inventory
0% was assumed for both on feed and not on feed sheep for states without sheep data</t>
        </r>
      </text>
    </comment>
    <comment ref="BY155" authorId="2">
      <text>
        <r>
          <rPr>
            <b/>
            <sz val="8"/>
            <color indexed="81"/>
            <rFont val="Tahoma"/>
            <family val="2"/>
          </rPr>
          <t xml:space="preserve">Pgroth: </t>
        </r>
        <r>
          <rPr>
            <sz val="8"/>
            <color indexed="81"/>
            <rFont val="Tahoma"/>
            <family val="2"/>
          </rPr>
          <t>Changed to 100% PRP in 1/03 per discussion w/Joe Mangino.</t>
        </r>
      </text>
    </comment>
    <comment ref="CB155" authorId="2">
      <text>
        <r>
          <rPr>
            <b/>
            <sz val="8"/>
            <color indexed="81"/>
            <rFont val="Tahoma"/>
            <family val="2"/>
          </rPr>
          <t xml:space="preserve">Pgroth: </t>
        </r>
        <r>
          <rPr>
            <sz val="8"/>
            <color indexed="81"/>
            <rFont val="Tahoma"/>
            <family val="2"/>
          </rPr>
          <t>Changed to 100% PRP in 1/03 per discussion w/Joe Mangino.</t>
        </r>
      </text>
    </comment>
    <comment ref="BI156" authorId="0">
      <text>
        <r>
          <rPr>
            <b/>
            <sz val="8"/>
            <color indexed="81"/>
            <rFont val="Tahoma"/>
            <family val="2"/>
          </rPr>
          <t>Philip Groth:</t>
        </r>
        <r>
          <rPr>
            <sz val="8"/>
            <color indexed="81"/>
            <rFont val="Tahoma"/>
            <family val="2"/>
          </rPr>
          <t xml:space="preserve">
ERG:
Assumed "Other" Systems fall into a category with an emission factor similar to solid storage.</t>
        </r>
      </text>
    </comment>
    <comment ref="C160" authorId="1">
      <text>
        <r>
          <rPr>
            <sz val="9"/>
            <color indexed="81"/>
            <rFont val="Tahoma"/>
            <family val="2"/>
          </rPr>
          <t>SIT 2009 default</t>
        </r>
      </text>
    </comment>
    <comment ref="C161" authorId="1">
      <text>
        <r>
          <rPr>
            <sz val="9"/>
            <color indexed="81"/>
            <rFont val="Tahoma"/>
            <family val="2"/>
          </rPr>
          <t xml:space="preserve">SIT 2009 Default </t>
        </r>
      </text>
    </comment>
    <comment ref="B166" authorId="7">
      <text>
        <r>
          <rPr>
            <sz val="8"/>
            <color indexed="81"/>
            <rFont val="Tahoma"/>
            <family val="2"/>
          </rPr>
          <t>Includes Heifer Stockers and Beef Replacement Heifers.</t>
        </r>
      </text>
    </comment>
    <comment ref="C166" authorId="1">
      <text>
        <r>
          <rPr>
            <sz val="9"/>
            <color indexed="81"/>
            <rFont val="Tahoma"/>
            <family val="2"/>
          </rPr>
          <t xml:space="preserve">Total Beef Heifers = Heifer Stockers + Beef Replacement Heifer
</t>
        </r>
      </text>
    </comment>
    <comment ref="C170" authorId="1">
      <text>
        <r>
          <rPr>
            <b/>
            <sz val="9"/>
            <color indexed="81"/>
            <rFont val="Tahoma"/>
            <family val="2"/>
          </rPr>
          <t>USDA 2007 data</t>
        </r>
      </text>
    </comment>
    <comment ref="C175" authorId="1">
      <text>
        <r>
          <rPr>
            <b/>
            <sz val="9"/>
            <color indexed="81"/>
            <rFont val="Tahoma"/>
            <family val="2"/>
          </rPr>
          <t>SIT 2009 Default data</t>
        </r>
      </text>
    </comment>
    <comment ref="C176" authorId="1">
      <text>
        <r>
          <rPr>
            <sz val="9"/>
            <color indexed="81"/>
            <rFont val="Tahoma"/>
            <family val="2"/>
          </rPr>
          <t xml:space="preserve">SIT 2009 Default data
</t>
        </r>
      </text>
    </comment>
    <comment ref="C177" authorId="1">
      <text>
        <r>
          <rPr>
            <sz val="9"/>
            <color indexed="81"/>
            <rFont val="Tahoma"/>
            <family val="2"/>
          </rPr>
          <t xml:space="preserve">SIT 2009 Default data
</t>
        </r>
      </text>
    </comment>
    <comment ref="B178" authorId="2">
      <text>
        <r>
          <rPr>
            <sz val="8"/>
            <color indexed="81"/>
            <rFont val="Tahoma"/>
            <family val="2"/>
          </rPr>
          <t>Includes: Regular Broilers, Other (Lost), and Other (Sold)</t>
        </r>
      </text>
    </comment>
    <comment ref="C178" authorId="1">
      <text>
        <r>
          <rPr>
            <sz val="9"/>
            <color indexed="81"/>
            <rFont val="Tahoma"/>
            <family val="2"/>
          </rPr>
          <t xml:space="preserve">SIT 2009 Default data
</t>
        </r>
      </text>
    </comment>
    <comment ref="C179" authorId="1">
      <text>
        <r>
          <rPr>
            <sz val="9"/>
            <color indexed="81"/>
            <rFont val="Tahoma"/>
            <family val="2"/>
          </rPr>
          <t xml:space="preserve">SIT 2009 Default data
</t>
        </r>
      </text>
    </comment>
    <comment ref="C182" authorId="1">
      <text>
        <r>
          <rPr>
            <b/>
            <sz val="9"/>
            <color indexed="81"/>
            <rFont val="Tahoma"/>
            <family val="2"/>
          </rPr>
          <t>USDA 2009 data</t>
        </r>
      </text>
    </comment>
    <comment ref="C184" authorId="1">
      <text>
        <r>
          <rPr>
            <sz val="9"/>
            <color indexed="81"/>
            <rFont val="Tahoma"/>
            <family val="2"/>
          </rPr>
          <t xml:space="preserve">2010 Maryland Equine Census,march 03,11; 2010 data
</t>
        </r>
      </text>
    </comment>
    <comment ref="G197" authorId="4">
      <text>
        <r>
          <rPr>
            <b/>
            <sz val="8"/>
            <color indexed="81"/>
            <rFont val="Tahoma"/>
            <family val="2"/>
          </rPr>
          <t>J Casola:</t>
        </r>
        <r>
          <rPr>
            <sz val="8"/>
            <color indexed="81"/>
            <rFont val="Tahoma"/>
            <family val="2"/>
          </rPr>
          <t xml:space="preserve">
Corn for Grain, All Wheat, Barley, Sorghum, Oats, Rye, and Soybeans back-calculated from bushel and tonnage values found in "Field Crops, Final Estimates, 1992-1997" SB 947a USDA/NASS. Other crops assumed conversion 0.027215</t>
        </r>
      </text>
    </comment>
    <comment ref="Y197" authorId="1">
      <text>
        <r>
          <rPr>
            <b/>
            <sz val="9"/>
            <color indexed="81"/>
            <rFont val="Tahoma"/>
            <family val="2"/>
          </rPr>
          <t>CH</t>
        </r>
        <r>
          <rPr>
            <b/>
            <vertAlign val="subscript"/>
            <sz val="9"/>
            <color indexed="81"/>
            <rFont val="Tahoma"/>
            <family val="2"/>
          </rPr>
          <t>4</t>
        </r>
        <r>
          <rPr>
            <b/>
            <sz val="9"/>
            <color indexed="81"/>
            <rFont val="Tahoma"/>
            <family val="2"/>
          </rPr>
          <t xml:space="preserve"> Emission = Total C Released (metric tons C) *CH</t>
        </r>
        <r>
          <rPr>
            <b/>
            <vertAlign val="subscript"/>
            <sz val="9"/>
            <color indexed="81"/>
            <rFont val="Tahoma"/>
            <family val="2"/>
          </rPr>
          <t>4</t>
        </r>
        <r>
          <rPr>
            <b/>
            <sz val="9"/>
            <color indexed="81"/>
            <rFont val="Tahoma"/>
            <family val="2"/>
          </rPr>
          <t>-C Emission Ratio (0.005) * CH</t>
        </r>
        <r>
          <rPr>
            <b/>
            <vertAlign val="subscript"/>
            <sz val="9"/>
            <color indexed="81"/>
            <rFont val="Tahoma"/>
            <family val="2"/>
          </rPr>
          <t>4</t>
        </r>
        <r>
          <rPr>
            <b/>
            <sz val="9"/>
            <color indexed="81"/>
            <rFont val="Tahoma"/>
            <family val="2"/>
          </rPr>
          <t xml:space="preserve">- C Conversion factor (16/12)
</t>
        </r>
      </text>
    </comment>
    <comment ref="Y212" authorId="1">
      <text>
        <r>
          <rPr>
            <b/>
            <sz val="9"/>
            <color indexed="81"/>
            <rFont val="Tahoma"/>
            <family val="2"/>
          </rPr>
          <t>N</t>
        </r>
        <r>
          <rPr>
            <b/>
            <vertAlign val="subscript"/>
            <sz val="9"/>
            <color indexed="81"/>
            <rFont val="Tahoma"/>
            <family val="2"/>
          </rPr>
          <t>2</t>
        </r>
        <r>
          <rPr>
            <b/>
            <sz val="9"/>
            <color indexed="81"/>
            <rFont val="Tahoma"/>
            <family val="2"/>
          </rPr>
          <t>O Emission = Total N Released (metric tons C) *N</t>
        </r>
        <r>
          <rPr>
            <b/>
            <vertAlign val="subscript"/>
            <sz val="9"/>
            <color indexed="81"/>
            <rFont val="Tahoma"/>
            <family val="2"/>
          </rPr>
          <t>2</t>
        </r>
        <r>
          <rPr>
            <b/>
            <sz val="9"/>
            <color indexed="81"/>
            <rFont val="Tahoma"/>
            <family val="2"/>
          </rPr>
          <t>O-N Emission Ratio (0.007) * N</t>
        </r>
        <r>
          <rPr>
            <b/>
            <vertAlign val="subscript"/>
            <sz val="9"/>
            <color indexed="81"/>
            <rFont val="Tahoma"/>
            <family val="2"/>
          </rPr>
          <t>2</t>
        </r>
        <r>
          <rPr>
            <b/>
            <sz val="9"/>
            <color indexed="81"/>
            <rFont val="Tahoma"/>
            <family val="2"/>
          </rPr>
          <t>O- N Conversion factor (1.57)</t>
        </r>
      </text>
    </comment>
  </commentList>
</comments>
</file>

<file path=xl/comments2.xml><?xml version="1.0" encoding="utf-8"?>
<comments xmlns="http://schemas.openxmlformats.org/spreadsheetml/2006/main">
  <authors>
    <author>amohammed</author>
  </authors>
  <commentList>
    <comment ref="D14" authorId="0">
      <text>
        <r>
          <rPr>
            <b/>
            <sz val="8"/>
            <color indexed="81"/>
            <rFont val="Tahoma"/>
            <family val="2"/>
          </rPr>
          <t>Back Calculation from MMBTU gives11,374
VS 10,887 Btu/lb HHV</t>
        </r>
      </text>
    </comment>
    <comment ref="E14" authorId="0">
      <text>
        <r>
          <rPr>
            <sz val="8"/>
            <color indexed="81"/>
            <rFont val="Tahoma"/>
            <family val="2"/>
          </rPr>
          <t xml:space="preserve">141,324 Btu/gal
</t>
        </r>
      </text>
    </comment>
    <comment ref="F14" authorId="0">
      <text>
        <r>
          <rPr>
            <b/>
            <sz val="8"/>
            <color indexed="81"/>
            <rFont val="Tahoma"/>
            <family val="2"/>
          </rPr>
          <t>139,000 Btu/gal</t>
        </r>
      </text>
    </comment>
    <comment ref="G14" authorId="0">
      <text>
        <r>
          <rPr>
            <b/>
            <sz val="8"/>
            <color indexed="81"/>
            <rFont val="Tahoma"/>
            <family val="2"/>
          </rPr>
          <t>4,643 Btu/lbs HHV.</t>
        </r>
      </text>
    </comment>
    <comment ref="H14" authorId="0">
      <text>
        <r>
          <rPr>
            <sz val="8"/>
            <color indexed="81"/>
            <rFont val="Tahoma"/>
            <family val="2"/>
          </rPr>
          <t xml:space="preserve">1,053 Btu/scf
</t>
        </r>
      </text>
    </comment>
    <comment ref="I18" authorId="0">
      <text>
        <r>
          <rPr>
            <b/>
            <sz val="8"/>
            <color indexed="81"/>
            <rFont val="Tahoma"/>
            <family val="2"/>
          </rPr>
          <t>CEM Measurement.</t>
        </r>
      </text>
    </comment>
    <comment ref="I22" authorId="0">
      <text>
        <r>
          <rPr>
            <b/>
            <sz val="8"/>
            <color indexed="81"/>
            <rFont val="Tahoma"/>
            <family val="2"/>
          </rPr>
          <t>CEM Measurement.</t>
        </r>
      </text>
    </comment>
    <comment ref="I26" authorId="0">
      <text>
        <r>
          <rPr>
            <b/>
            <sz val="8"/>
            <color indexed="81"/>
            <rFont val="Tahoma"/>
            <family val="2"/>
          </rPr>
          <t>CEM Measurement.</t>
        </r>
      </text>
    </comment>
  </commentList>
</comments>
</file>

<file path=xl/comments3.xml><?xml version="1.0" encoding="utf-8"?>
<comments xmlns="http://schemas.openxmlformats.org/spreadsheetml/2006/main">
  <authors>
    <author>amohammed</author>
    <author>sal</author>
  </authors>
  <commentList>
    <comment ref="K50" authorId="0">
      <text>
        <r>
          <rPr>
            <b/>
            <sz val="9"/>
            <color indexed="81"/>
            <rFont val="Tahoma"/>
            <family val="2"/>
          </rPr>
          <t>amohammed:</t>
        </r>
        <r>
          <rPr>
            <sz val="9"/>
            <color indexed="81"/>
            <rFont val="Tahoma"/>
            <family val="2"/>
          </rPr>
          <t xml:space="preserve">
CEM</t>
        </r>
      </text>
    </comment>
    <comment ref="L50" authorId="0">
      <text>
        <r>
          <rPr>
            <b/>
            <sz val="9"/>
            <color indexed="81"/>
            <rFont val="Tahoma"/>
            <family val="2"/>
          </rPr>
          <t>amohammed:</t>
        </r>
        <r>
          <rPr>
            <sz val="9"/>
            <color indexed="81"/>
            <rFont val="Tahoma"/>
            <family val="2"/>
          </rPr>
          <t xml:space="preserve">
40 CFR 98</t>
        </r>
      </text>
    </comment>
    <comment ref="M50" authorId="0">
      <text>
        <r>
          <rPr>
            <b/>
            <sz val="9"/>
            <color indexed="81"/>
            <rFont val="Tahoma"/>
            <family val="2"/>
          </rPr>
          <t>amohammed
40 CFR 98</t>
        </r>
      </text>
    </comment>
    <comment ref="K56" authorId="0">
      <text>
        <r>
          <rPr>
            <b/>
            <sz val="9"/>
            <color indexed="81"/>
            <rFont val="Tahoma"/>
            <family val="2"/>
          </rPr>
          <t>amohammed:</t>
        </r>
        <r>
          <rPr>
            <sz val="9"/>
            <color indexed="81"/>
            <rFont val="Tahoma"/>
            <family val="2"/>
          </rPr>
          <t xml:space="preserve">
CEM</t>
        </r>
      </text>
    </comment>
    <comment ref="L56" authorId="0">
      <text>
        <r>
          <rPr>
            <b/>
            <sz val="9"/>
            <color indexed="81"/>
            <rFont val="Tahoma"/>
            <family val="2"/>
          </rPr>
          <t>amohammed:</t>
        </r>
        <r>
          <rPr>
            <sz val="9"/>
            <color indexed="81"/>
            <rFont val="Tahoma"/>
            <family val="2"/>
          </rPr>
          <t xml:space="preserve">
40 CFR 98</t>
        </r>
      </text>
    </comment>
    <comment ref="M56" authorId="0">
      <text>
        <r>
          <rPr>
            <b/>
            <sz val="9"/>
            <color indexed="81"/>
            <rFont val="Tahoma"/>
            <family val="2"/>
          </rPr>
          <t>amohammed:</t>
        </r>
        <r>
          <rPr>
            <sz val="9"/>
            <color indexed="81"/>
            <rFont val="Tahoma"/>
            <family val="2"/>
          </rPr>
          <t xml:space="preserve">
40 CFR 98</t>
        </r>
      </text>
    </comment>
    <comment ref="K61" authorId="0">
      <text>
        <r>
          <rPr>
            <b/>
            <sz val="9"/>
            <color indexed="81"/>
            <rFont val="Tahoma"/>
            <family val="2"/>
          </rPr>
          <t>amohammed:</t>
        </r>
        <r>
          <rPr>
            <sz val="9"/>
            <color indexed="81"/>
            <rFont val="Tahoma"/>
            <family val="2"/>
          </rPr>
          <t xml:space="preserve">
CEM</t>
        </r>
      </text>
    </comment>
    <comment ref="L61" authorId="0">
      <text>
        <r>
          <rPr>
            <b/>
            <sz val="9"/>
            <color indexed="81"/>
            <rFont val="Tahoma"/>
            <family val="2"/>
          </rPr>
          <t>amohammed:</t>
        </r>
        <r>
          <rPr>
            <sz val="9"/>
            <color indexed="81"/>
            <rFont val="Tahoma"/>
            <family val="2"/>
          </rPr>
          <t xml:space="preserve">
40 CFR 98</t>
        </r>
      </text>
    </comment>
    <comment ref="M61" authorId="0">
      <text>
        <r>
          <rPr>
            <b/>
            <sz val="9"/>
            <color indexed="81"/>
            <rFont val="Tahoma"/>
            <family val="2"/>
          </rPr>
          <t>amohammed:</t>
        </r>
        <r>
          <rPr>
            <sz val="9"/>
            <color indexed="81"/>
            <rFont val="Tahoma"/>
            <family val="2"/>
          </rPr>
          <t xml:space="preserve">
40 CFR 98</t>
        </r>
      </text>
    </comment>
    <comment ref="K68" authorId="0">
      <text>
        <r>
          <rPr>
            <b/>
            <sz val="9"/>
            <color indexed="81"/>
            <rFont val="Tahoma"/>
            <family val="2"/>
          </rPr>
          <t>amohammed:</t>
        </r>
        <r>
          <rPr>
            <sz val="9"/>
            <color indexed="81"/>
            <rFont val="Tahoma"/>
            <family val="2"/>
          </rPr>
          <t xml:space="preserve">
40 CFR 98</t>
        </r>
      </text>
    </comment>
    <comment ref="L68" authorId="0">
      <text>
        <r>
          <rPr>
            <b/>
            <sz val="9"/>
            <color indexed="81"/>
            <rFont val="Tahoma"/>
            <family val="2"/>
          </rPr>
          <t>amohammed:</t>
        </r>
        <r>
          <rPr>
            <sz val="9"/>
            <color indexed="81"/>
            <rFont val="Tahoma"/>
            <family val="2"/>
          </rPr>
          <t xml:space="preserve">
40 CFR 98</t>
        </r>
      </text>
    </comment>
    <comment ref="M68" authorId="0">
      <text>
        <r>
          <rPr>
            <b/>
            <sz val="9"/>
            <color indexed="81"/>
            <rFont val="Tahoma"/>
            <family val="2"/>
          </rPr>
          <t>amohammed:</t>
        </r>
        <r>
          <rPr>
            <sz val="9"/>
            <color indexed="81"/>
            <rFont val="Tahoma"/>
            <family val="2"/>
          </rPr>
          <t xml:space="preserve">
40 CFR 98</t>
        </r>
      </text>
    </comment>
    <comment ref="K70" authorId="0">
      <text>
        <r>
          <rPr>
            <b/>
            <sz val="9"/>
            <color indexed="81"/>
            <rFont val="Tahoma"/>
            <family val="2"/>
          </rPr>
          <t>amohammed:</t>
        </r>
        <r>
          <rPr>
            <sz val="9"/>
            <color indexed="81"/>
            <rFont val="Tahoma"/>
            <family val="2"/>
          </rPr>
          <t xml:space="preserve">
40 CFR 98</t>
        </r>
      </text>
    </comment>
    <comment ref="L70" authorId="0">
      <text>
        <r>
          <rPr>
            <b/>
            <sz val="9"/>
            <color indexed="81"/>
            <rFont val="Tahoma"/>
            <family val="2"/>
          </rPr>
          <t>amohammed:</t>
        </r>
        <r>
          <rPr>
            <sz val="9"/>
            <color indexed="81"/>
            <rFont val="Tahoma"/>
            <family val="2"/>
          </rPr>
          <t xml:space="preserve">
40 CFR 98</t>
        </r>
      </text>
    </comment>
    <comment ref="M70" authorId="0">
      <text>
        <r>
          <rPr>
            <b/>
            <sz val="9"/>
            <color indexed="81"/>
            <rFont val="Tahoma"/>
            <family val="2"/>
          </rPr>
          <t>amohammed:</t>
        </r>
        <r>
          <rPr>
            <sz val="9"/>
            <color indexed="81"/>
            <rFont val="Tahoma"/>
            <family val="2"/>
          </rPr>
          <t xml:space="preserve">
40 CFR 98</t>
        </r>
      </text>
    </comment>
    <comment ref="K74" authorId="0">
      <text>
        <r>
          <rPr>
            <b/>
            <sz val="9"/>
            <color indexed="81"/>
            <rFont val="Tahoma"/>
            <family val="2"/>
          </rPr>
          <t>amohammed:</t>
        </r>
        <r>
          <rPr>
            <sz val="9"/>
            <color indexed="81"/>
            <rFont val="Tahoma"/>
            <family val="2"/>
          </rPr>
          <t xml:space="preserve">
CEM</t>
        </r>
      </text>
    </comment>
    <comment ref="L74" authorId="0">
      <text>
        <r>
          <rPr>
            <b/>
            <sz val="9"/>
            <color indexed="81"/>
            <rFont val="Tahoma"/>
            <family val="2"/>
          </rPr>
          <t>amohammed:</t>
        </r>
        <r>
          <rPr>
            <sz val="9"/>
            <color indexed="81"/>
            <rFont val="Tahoma"/>
            <family val="2"/>
          </rPr>
          <t xml:space="preserve">
40 CFR 98</t>
        </r>
      </text>
    </comment>
    <comment ref="M74" authorId="0">
      <text>
        <r>
          <rPr>
            <b/>
            <sz val="9"/>
            <color indexed="81"/>
            <rFont val="Tahoma"/>
            <family val="2"/>
          </rPr>
          <t>amohammed:</t>
        </r>
        <r>
          <rPr>
            <sz val="9"/>
            <color indexed="81"/>
            <rFont val="Tahoma"/>
            <family val="2"/>
          </rPr>
          <t xml:space="preserve">
40 CFR 98</t>
        </r>
      </text>
    </comment>
    <comment ref="K78" authorId="0">
      <text>
        <r>
          <rPr>
            <b/>
            <sz val="9"/>
            <color indexed="81"/>
            <rFont val="Tahoma"/>
            <family val="2"/>
          </rPr>
          <t>amohammed:</t>
        </r>
        <r>
          <rPr>
            <sz val="9"/>
            <color indexed="81"/>
            <rFont val="Tahoma"/>
            <family val="2"/>
          </rPr>
          <t xml:space="preserve">
CEM</t>
        </r>
      </text>
    </comment>
    <comment ref="L78" authorId="0">
      <text>
        <r>
          <rPr>
            <b/>
            <sz val="9"/>
            <color indexed="81"/>
            <rFont val="Tahoma"/>
            <family val="2"/>
          </rPr>
          <t>amohammed:</t>
        </r>
        <r>
          <rPr>
            <sz val="9"/>
            <color indexed="81"/>
            <rFont val="Tahoma"/>
            <family val="2"/>
          </rPr>
          <t xml:space="preserve">
40 CFR 98</t>
        </r>
      </text>
    </comment>
    <comment ref="K82" authorId="0">
      <text>
        <r>
          <rPr>
            <b/>
            <sz val="9"/>
            <color indexed="81"/>
            <rFont val="Tahoma"/>
            <family val="2"/>
          </rPr>
          <t>amohammed:</t>
        </r>
        <r>
          <rPr>
            <sz val="9"/>
            <color indexed="81"/>
            <rFont val="Tahoma"/>
            <family val="2"/>
          </rPr>
          <t xml:space="preserve">
CEM</t>
        </r>
      </text>
    </comment>
    <comment ref="L82" authorId="0">
      <text>
        <r>
          <rPr>
            <b/>
            <sz val="9"/>
            <color indexed="81"/>
            <rFont val="Tahoma"/>
            <family val="2"/>
          </rPr>
          <t>amohammed:</t>
        </r>
        <r>
          <rPr>
            <sz val="9"/>
            <color indexed="81"/>
            <rFont val="Tahoma"/>
            <family val="2"/>
          </rPr>
          <t xml:space="preserve">
40 CFR 98</t>
        </r>
      </text>
    </comment>
    <comment ref="K86" authorId="0">
      <text>
        <r>
          <rPr>
            <b/>
            <sz val="9"/>
            <color indexed="81"/>
            <rFont val="Tahoma"/>
            <family val="2"/>
          </rPr>
          <t>amohammed:</t>
        </r>
        <r>
          <rPr>
            <sz val="9"/>
            <color indexed="81"/>
            <rFont val="Tahoma"/>
            <family val="2"/>
          </rPr>
          <t xml:space="preserve">
CEM</t>
        </r>
      </text>
    </comment>
    <comment ref="L86" authorId="0">
      <text>
        <r>
          <rPr>
            <b/>
            <sz val="9"/>
            <color indexed="81"/>
            <rFont val="Tahoma"/>
            <family val="2"/>
          </rPr>
          <t>amohammed:</t>
        </r>
        <r>
          <rPr>
            <sz val="9"/>
            <color indexed="81"/>
            <rFont val="Tahoma"/>
            <family val="2"/>
          </rPr>
          <t xml:space="preserve">
40 CFR 98</t>
        </r>
      </text>
    </comment>
    <comment ref="M86" authorId="0">
      <text>
        <r>
          <rPr>
            <b/>
            <sz val="9"/>
            <color indexed="81"/>
            <rFont val="Tahoma"/>
            <family val="2"/>
          </rPr>
          <t>amohammed:</t>
        </r>
        <r>
          <rPr>
            <sz val="9"/>
            <color indexed="81"/>
            <rFont val="Tahoma"/>
            <family val="2"/>
          </rPr>
          <t xml:space="preserve">
40 CFR 98</t>
        </r>
      </text>
    </comment>
    <comment ref="K88" authorId="0">
      <text>
        <r>
          <rPr>
            <b/>
            <sz val="9"/>
            <color indexed="81"/>
            <rFont val="Tahoma"/>
            <family val="2"/>
          </rPr>
          <t>amohammed:</t>
        </r>
        <r>
          <rPr>
            <sz val="9"/>
            <color indexed="81"/>
            <rFont val="Tahoma"/>
            <family val="2"/>
          </rPr>
          <t xml:space="preserve">
40 CFR 98</t>
        </r>
      </text>
    </comment>
    <comment ref="L88" authorId="0">
      <text>
        <r>
          <rPr>
            <b/>
            <sz val="9"/>
            <color indexed="81"/>
            <rFont val="Tahoma"/>
            <family val="2"/>
          </rPr>
          <t>amohammed:</t>
        </r>
        <r>
          <rPr>
            <sz val="9"/>
            <color indexed="81"/>
            <rFont val="Tahoma"/>
            <family val="2"/>
          </rPr>
          <t xml:space="preserve">
40 CFR 98</t>
        </r>
      </text>
    </comment>
    <comment ref="M88" authorId="0">
      <text>
        <r>
          <rPr>
            <b/>
            <sz val="9"/>
            <color indexed="81"/>
            <rFont val="Tahoma"/>
            <family val="2"/>
          </rPr>
          <t>amohammed:</t>
        </r>
        <r>
          <rPr>
            <sz val="9"/>
            <color indexed="81"/>
            <rFont val="Tahoma"/>
            <family val="2"/>
          </rPr>
          <t xml:space="preserve">
40 CFR 98</t>
        </r>
      </text>
    </comment>
    <comment ref="K89" authorId="0">
      <text>
        <r>
          <rPr>
            <b/>
            <sz val="9"/>
            <color indexed="81"/>
            <rFont val="Tahoma"/>
            <family val="2"/>
          </rPr>
          <t>amohammed:</t>
        </r>
        <r>
          <rPr>
            <sz val="9"/>
            <color indexed="81"/>
            <rFont val="Tahoma"/>
            <family val="2"/>
          </rPr>
          <t xml:space="preserve">
40 CFR 98</t>
        </r>
      </text>
    </comment>
    <comment ref="L89" authorId="0">
      <text>
        <r>
          <rPr>
            <b/>
            <sz val="9"/>
            <color indexed="81"/>
            <rFont val="Tahoma"/>
            <family val="2"/>
          </rPr>
          <t>amohammed:</t>
        </r>
        <r>
          <rPr>
            <sz val="9"/>
            <color indexed="81"/>
            <rFont val="Tahoma"/>
            <family val="2"/>
          </rPr>
          <t xml:space="preserve">
40 CFR 98</t>
        </r>
      </text>
    </comment>
    <comment ref="M89" authorId="0">
      <text>
        <r>
          <rPr>
            <b/>
            <sz val="9"/>
            <color indexed="81"/>
            <rFont val="Tahoma"/>
            <family val="2"/>
          </rPr>
          <t>amohammed:</t>
        </r>
        <r>
          <rPr>
            <sz val="9"/>
            <color indexed="81"/>
            <rFont val="Tahoma"/>
            <family val="2"/>
          </rPr>
          <t xml:space="preserve">
40 CFR 98</t>
        </r>
      </text>
    </comment>
    <comment ref="K90" authorId="0">
      <text>
        <r>
          <rPr>
            <b/>
            <sz val="9"/>
            <color indexed="81"/>
            <rFont val="Tahoma"/>
            <family val="2"/>
          </rPr>
          <t>amohammed:</t>
        </r>
        <r>
          <rPr>
            <sz val="9"/>
            <color indexed="81"/>
            <rFont val="Tahoma"/>
            <family val="2"/>
          </rPr>
          <t xml:space="preserve">
40 CFR 98</t>
        </r>
      </text>
    </comment>
    <comment ref="L90" authorId="0">
      <text>
        <r>
          <rPr>
            <b/>
            <sz val="9"/>
            <color indexed="81"/>
            <rFont val="Tahoma"/>
            <family val="2"/>
          </rPr>
          <t>amohammed:</t>
        </r>
        <r>
          <rPr>
            <sz val="9"/>
            <color indexed="81"/>
            <rFont val="Tahoma"/>
            <family val="2"/>
          </rPr>
          <t xml:space="preserve">
40 CFR 98</t>
        </r>
      </text>
    </comment>
    <comment ref="M90" authorId="0">
      <text>
        <r>
          <rPr>
            <b/>
            <sz val="9"/>
            <color indexed="81"/>
            <rFont val="Tahoma"/>
            <family val="2"/>
          </rPr>
          <t>amohammed:</t>
        </r>
        <r>
          <rPr>
            <sz val="9"/>
            <color indexed="81"/>
            <rFont val="Tahoma"/>
            <family val="2"/>
          </rPr>
          <t xml:space="preserve">
40 CFR 98</t>
        </r>
      </text>
    </comment>
    <comment ref="J227" authorId="0">
      <text>
        <r>
          <rPr>
            <b/>
            <sz val="9"/>
            <color indexed="81"/>
            <rFont val="Tahoma"/>
            <family val="2"/>
          </rPr>
          <t>amohammed:</t>
        </r>
        <r>
          <rPr>
            <sz val="9"/>
            <color indexed="81"/>
            <rFont val="Tahoma"/>
            <family val="2"/>
          </rPr>
          <t xml:space="preserve">
MMBTU Reported and used to Backcalculate Qty</t>
        </r>
      </text>
    </comment>
    <comment ref="F258" authorId="1">
      <text>
        <r>
          <rPr>
            <b/>
            <sz val="9"/>
            <color indexed="81"/>
            <rFont val="Tahoma"/>
            <family val="2"/>
          </rPr>
          <t>Back Caclulation from MMBTU</t>
        </r>
      </text>
    </comment>
    <comment ref="F259" authorId="1">
      <text>
        <r>
          <rPr>
            <b/>
            <sz val="9"/>
            <color indexed="81"/>
            <rFont val="Tahoma"/>
            <family val="2"/>
          </rPr>
          <t>Back Caclulation from MMBTU</t>
        </r>
      </text>
    </comment>
    <comment ref="F260" authorId="1">
      <text>
        <r>
          <rPr>
            <b/>
            <sz val="9"/>
            <color indexed="81"/>
            <rFont val="Tahoma"/>
            <family val="2"/>
          </rPr>
          <t>Back Caclulation from MMBTU</t>
        </r>
      </text>
    </comment>
    <comment ref="F261" authorId="1">
      <text>
        <r>
          <rPr>
            <b/>
            <sz val="9"/>
            <color indexed="81"/>
            <rFont val="Tahoma"/>
            <family val="2"/>
          </rPr>
          <t>Back Caclulation from MMBTU</t>
        </r>
      </text>
    </comment>
    <comment ref="S331" authorId="0">
      <text>
        <r>
          <rPr>
            <b/>
            <sz val="9"/>
            <color indexed="81"/>
            <rFont val="Tahoma"/>
            <family val="2"/>
          </rPr>
          <t>amohammed:</t>
        </r>
        <r>
          <rPr>
            <sz val="9"/>
            <color indexed="81"/>
            <rFont val="Tahoma"/>
            <family val="2"/>
          </rPr>
          <t xml:space="preserve">
Tons/Yr= ((Annual Run Hours) X GHG Emissions Factors (lb/hr))) /2000</t>
        </r>
      </text>
    </comment>
    <comment ref="S339" authorId="0">
      <text>
        <r>
          <rPr>
            <b/>
            <sz val="9"/>
            <color indexed="81"/>
            <rFont val="Tahoma"/>
            <family val="2"/>
          </rPr>
          <t>amohammed:</t>
        </r>
        <r>
          <rPr>
            <sz val="9"/>
            <color indexed="81"/>
            <rFont val="Tahoma"/>
            <family val="2"/>
          </rPr>
          <t xml:space="preserve">
Tons/Yr= ((Annual Run Hours) X GHG Emissions Factors (lb/hr))) /2000</t>
        </r>
      </text>
    </comment>
  </commentList>
</comments>
</file>

<file path=xl/comments4.xml><?xml version="1.0" encoding="utf-8"?>
<comments xmlns="http://schemas.openxmlformats.org/spreadsheetml/2006/main">
  <authors>
    <author>Beth Moore</author>
    <author>LP</author>
    <author>Philip Groth</author>
  </authors>
  <commentList>
    <comment ref="F5" authorId="0">
      <text>
        <r>
          <rPr>
            <sz val="8"/>
            <color indexed="81"/>
            <rFont val="Tahoma"/>
            <family val="2"/>
          </rPr>
          <t xml:space="preserve">Billion Btus are converted to short tons of carbon by multiplying by the emission factor, combustion efficiency, 1,000 million/billion, and 0.0005 lbs/short ton.
</t>
        </r>
      </text>
    </comment>
    <comment ref="B23" authorId="1">
      <text>
        <r>
          <rPr>
            <sz val="8"/>
            <color indexed="81"/>
            <rFont val="Tahoma"/>
            <family val="2"/>
          </rPr>
          <t>The biomass portion of mixed municipal solid waste (MSW) (which may include wood waste arriving at waste to energy (WTE) facilities) should be considered separate from the stationary combustion of wood fuel in the Residential, Commercial, Industrial, and Electric Power sectors in the Stationary combustion module. The assumption is that there are dedicated combustion facilities that burn wood fuels to generate energy that are separate from mixed MSW WTE facilities, which is calculated in the Solid Waste module.</t>
        </r>
      </text>
    </comment>
    <comment ref="G29" authorId="2">
      <text>
        <r>
          <rPr>
            <sz val="8"/>
            <color indexed="81"/>
            <rFont val="Tahoma"/>
            <family val="2"/>
          </rPr>
          <t>MMTCE is converted to MMTCO</t>
        </r>
        <r>
          <rPr>
            <vertAlign val="subscript"/>
            <sz val="8"/>
            <color indexed="81"/>
            <rFont val="Tahoma"/>
            <family val="2"/>
          </rPr>
          <t>2</t>
        </r>
        <r>
          <rPr>
            <sz val="8"/>
            <color indexed="81"/>
            <rFont val="Tahoma"/>
            <family val="2"/>
          </rPr>
          <t>E by multiplying by 44/12.</t>
        </r>
      </text>
    </comment>
    <comment ref="B36" authorId="1">
      <text>
        <r>
          <rPr>
            <sz val="8"/>
            <color indexed="81"/>
            <rFont val="Tahoma"/>
            <family val="2"/>
          </rPr>
          <t>The biomass portion of mixed municipal solid waste (MSW) (which may include wood waste arriving at waste to energy (WTE) facilities) should be considered separate from the stationary combustion of wood fuel in the Residential, Commercial, Industrial, and Electric Power sectors in the Stationary combustion module. The assumption is that there are dedicated combustion facilities that burn wood fuels to generate energy that are separate from mixed MSW WTE facilities, which is calculated in the Solid Waste module.</t>
        </r>
      </text>
    </comment>
    <comment ref="B51" authorId="1">
      <text>
        <r>
          <rPr>
            <sz val="8"/>
            <color indexed="81"/>
            <rFont val="Tahoma"/>
            <family val="2"/>
          </rPr>
          <t>The biomass portion of mixed municipal solid waste (MSW) (which may include wood waste arriving at waste to energy (WTE) facilities) should be considered separate from the stationary combustion of wood fuel in the Residential, Commercial, Industrial, and Electric Power sectors in the Stationary combustion module. The assumption is that there are dedicated combustion facilities that burn wood fuels to generate energy that are separate from mixed MSW WTE facilities, which is calculated in the Solid Waste module.</t>
        </r>
      </text>
    </comment>
  </commentList>
</comments>
</file>

<file path=xl/comments5.xml><?xml version="1.0" encoding="utf-8"?>
<comments xmlns="http://schemas.openxmlformats.org/spreadsheetml/2006/main">
  <authors>
    <author>Beth Moore</author>
    <author>Philip Groth</author>
    <author>LP</author>
  </authors>
  <commentList>
    <comment ref="F6" authorId="0">
      <text>
        <r>
          <rPr>
            <sz val="8"/>
            <color indexed="81"/>
            <rFont val="Tahoma"/>
            <family val="2"/>
          </rPr>
          <t xml:space="preserve">Billion Btus are converted to short tons of carbon by multiplying by the emission factor, combustion efficiency, 1,000 million/billion, and 0.0005 lbs/short ton.
</t>
        </r>
      </text>
    </comment>
    <comment ref="G6" authorId="1">
      <text>
        <r>
          <rPr>
            <sz val="8"/>
            <color indexed="81"/>
            <rFont val="Tahoma"/>
            <family val="2"/>
          </rPr>
          <t>MMTCE is converted to MMTCO</t>
        </r>
        <r>
          <rPr>
            <vertAlign val="subscript"/>
            <sz val="8"/>
            <color indexed="81"/>
            <rFont val="Tahoma"/>
            <family val="2"/>
          </rPr>
          <t>2</t>
        </r>
        <r>
          <rPr>
            <sz val="8"/>
            <color indexed="81"/>
            <rFont val="Tahoma"/>
            <family val="2"/>
          </rPr>
          <t>E by multiplying by 44/12.</t>
        </r>
      </text>
    </comment>
    <comment ref="G20" authorId="1">
      <text>
        <r>
          <rPr>
            <sz val="8"/>
            <color indexed="81"/>
            <rFont val="Tahoma"/>
            <family val="2"/>
          </rPr>
          <t>MMTCE is converted to MMTCO</t>
        </r>
        <r>
          <rPr>
            <vertAlign val="subscript"/>
            <sz val="8"/>
            <color indexed="81"/>
            <rFont val="Tahoma"/>
            <family val="2"/>
          </rPr>
          <t>2</t>
        </r>
        <r>
          <rPr>
            <sz val="8"/>
            <color indexed="81"/>
            <rFont val="Tahoma"/>
            <family val="2"/>
          </rPr>
          <t>E by multiplying by 44/12.</t>
        </r>
      </text>
    </comment>
    <comment ref="B29" authorId="2">
      <text>
        <r>
          <rPr>
            <sz val="8"/>
            <color indexed="81"/>
            <rFont val="Tahoma"/>
            <family val="2"/>
          </rPr>
          <t>The biomass portion of mixed municipal solid waste (MSW) (which may include wood waste arriving at waste to energy (WTE) facilities) should be considered separate from the stationary combustion of wood fuel in the Residential, Commercial, Industrial, and Electric Power sectors in the Stationary combustion module. The assumption is that there are dedicated combustion facilities that burn wood fuels to generate energy that are separate from mixed MSW WTE facilities, which is calculated in the Solid Waste module.</t>
        </r>
      </text>
    </comment>
    <comment ref="G35" authorId="1">
      <text>
        <r>
          <rPr>
            <sz val="8"/>
            <color indexed="81"/>
            <rFont val="Tahoma"/>
            <family val="2"/>
          </rPr>
          <t>MMTCE is converted to MMTCO</t>
        </r>
        <r>
          <rPr>
            <vertAlign val="subscript"/>
            <sz val="8"/>
            <color indexed="81"/>
            <rFont val="Tahoma"/>
            <family val="2"/>
          </rPr>
          <t>2</t>
        </r>
        <r>
          <rPr>
            <sz val="8"/>
            <color indexed="81"/>
            <rFont val="Tahoma"/>
            <family val="2"/>
          </rPr>
          <t>E by multiplying by 44/12.</t>
        </r>
      </text>
    </comment>
    <comment ref="B44" authorId="2">
      <text>
        <r>
          <rPr>
            <sz val="8"/>
            <color indexed="81"/>
            <rFont val="Tahoma"/>
            <family val="2"/>
          </rPr>
          <t>The biomass portion of mixed municipal solid waste (MSW) (which may include wood waste arriving at waste to energy (WTE) facilities) should be considered separate from the stationary combustion of wood fuel in the Residential, Commercial, Industrial, and Electric Power sectors in the Stationary combustion module. The assumption is that there are dedicated combustion facilities that burn wood fuels to generate energy that are separate from mixed MSW WTE facilities, which is calculated in the Solid Waste module.</t>
        </r>
      </text>
    </comment>
    <comment ref="G52" authorId="1">
      <text>
        <r>
          <rPr>
            <sz val="8"/>
            <color indexed="81"/>
            <rFont val="Tahoma"/>
            <family val="2"/>
          </rPr>
          <t>MMTCE is converted to MMTCO</t>
        </r>
        <r>
          <rPr>
            <vertAlign val="subscript"/>
            <sz val="8"/>
            <color indexed="81"/>
            <rFont val="Tahoma"/>
            <family val="2"/>
          </rPr>
          <t>2</t>
        </r>
        <r>
          <rPr>
            <sz val="8"/>
            <color indexed="81"/>
            <rFont val="Tahoma"/>
            <family val="2"/>
          </rPr>
          <t>E by multiplying by 44/12.</t>
        </r>
      </text>
    </comment>
    <comment ref="B61" authorId="2">
      <text>
        <r>
          <rPr>
            <sz val="8"/>
            <color indexed="81"/>
            <rFont val="Tahoma"/>
            <family val="2"/>
          </rPr>
          <t>The biomass portion of mixed municipal solid waste (MSW) (which may include wood waste arriving at waste to energy (WTE) facilities) should be considered separate from the stationary combustion of wood fuel in the Residential, Commercial, Industrial, and Electric Power sectors in the Stationary combustion module. The assumption is that there are dedicated combustion facilities that burn wood fuels to generate energy that are separate from mixed MSW WTE facilities, which is calculated in the Solid Waste module.</t>
        </r>
      </text>
    </comment>
  </commentList>
</comments>
</file>

<file path=xl/comments6.xml><?xml version="1.0" encoding="utf-8"?>
<comments xmlns="http://schemas.openxmlformats.org/spreadsheetml/2006/main">
  <authors>
    <author>amohammed</author>
    <author>Beth Moore</author>
    <author>Philip Groth</author>
    <author>J Casola</author>
    <author>LP</author>
  </authors>
  <commentList>
    <comment ref="D5" authorId="0">
      <text>
        <r>
          <rPr>
            <b/>
            <sz val="9"/>
            <color indexed="81"/>
            <rFont val="Tahoma"/>
            <family val="2"/>
          </rPr>
          <t>amohammed:</t>
        </r>
        <r>
          <rPr>
            <sz val="9"/>
            <color indexed="81"/>
            <rFont val="Tahoma"/>
            <family val="2"/>
          </rPr>
          <t xml:space="preserve">
SIT 2016 Defaults</t>
        </r>
      </text>
    </comment>
    <comment ref="J6" authorId="1">
      <text>
        <r>
          <rPr>
            <sz val="8"/>
            <color indexed="81"/>
            <rFont val="Tahoma"/>
            <family val="2"/>
          </rPr>
          <t xml:space="preserve">Billion Btus are converted to short tons of carbon by multiplying by the emission factor, combustion efficiency, 1,000 million/billion, and 0.0005 lbs/short ton.
</t>
        </r>
      </text>
    </comment>
    <comment ref="K6" authorId="2">
      <text>
        <r>
          <rPr>
            <sz val="8"/>
            <color indexed="81"/>
            <rFont val="Tahoma"/>
            <family val="2"/>
          </rPr>
          <t>MMTCE is converted to MMTCO</t>
        </r>
        <r>
          <rPr>
            <vertAlign val="subscript"/>
            <sz val="8"/>
            <color indexed="81"/>
            <rFont val="Tahoma"/>
            <family val="2"/>
          </rPr>
          <t>2</t>
        </r>
        <r>
          <rPr>
            <sz val="8"/>
            <color indexed="81"/>
            <rFont val="Tahoma"/>
            <family val="2"/>
          </rPr>
          <t>E by multiplying by 44/12.</t>
        </r>
      </text>
    </comment>
    <comment ref="O6" authorId="2">
      <text>
        <r>
          <rPr>
            <sz val="8"/>
            <color indexed="81"/>
            <rFont val="Tahoma"/>
            <family val="2"/>
          </rPr>
          <t>Short tons carbon are converted to MMTCE by multiplying by a conversion factor (0.9072 metric tons/short ton) and dividing by 1,000,000.</t>
        </r>
      </text>
    </comment>
    <comment ref="B27" authorId="3">
      <text>
        <r>
          <rPr>
            <sz val="8"/>
            <color indexed="81"/>
            <rFont val="Tahoma"/>
            <family val="2"/>
          </rPr>
          <t>SEDR data show negative values for consumption.  Represents storage of energy, since oils are manufactured from other fuels.  "Negative" emissions serve to correct the overestimation of emissions attributed to the parent fuel.</t>
        </r>
      </text>
    </comment>
    <comment ref="B30" authorId="4">
      <text>
        <r>
          <rPr>
            <sz val="8"/>
            <color indexed="81"/>
            <rFont val="Tahoma"/>
            <family val="2"/>
          </rPr>
          <t>The biomass portion of mixed municipal solid waste (MSW) (which may include wood waste arriving at waste to energy (WTE) facilities) should be considered separate from the stationary combustion of wood fuel in the Residential, Commercial, Industrial, and Electric Power sectors in the Stationary combustion module. The assumption is that there are dedicated combustion facilities that burn wood fuels to generate energy that are separate from mixed MSW WTE facilities, which is calculated in the Solid Waste module.</t>
        </r>
      </text>
    </comment>
    <comment ref="I37" authorId="2">
      <text>
        <r>
          <rPr>
            <sz val="8"/>
            <color indexed="81"/>
            <rFont val="Tahoma"/>
            <family val="2"/>
          </rPr>
          <t>metric tons N2O  converted to MMTCO</t>
        </r>
        <r>
          <rPr>
            <vertAlign val="subscript"/>
            <sz val="8"/>
            <color indexed="81"/>
            <rFont val="Tahoma"/>
            <family val="2"/>
          </rPr>
          <t>2</t>
        </r>
        <r>
          <rPr>
            <sz val="8"/>
            <color indexed="81"/>
            <rFont val="Tahoma"/>
            <family val="2"/>
          </rPr>
          <t>E by multiplying by GWP and diving by 10</t>
        </r>
        <r>
          <rPr>
            <b/>
            <vertAlign val="superscript"/>
            <sz val="8"/>
            <color indexed="81"/>
            <rFont val="Tahoma"/>
            <family val="2"/>
          </rPr>
          <t>6</t>
        </r>
        <r>
          <rPr>
            <sz val="8"/>
            <color indexed="81"/>
            <rFont val="Tahoma"/>
            <family val="2"/>
          </rPr>
          <t>.</t>
        </r>
      </text>
    </comment>
    <comment ref="B58" authorId="3">
      <text>
        <r>
          <rPr>
            <sz val="8"/>
            <color indexed="81"/>
            <rFont val="Tahoma"/>
            <family val="2"/>
          </rPr>
          <t>SEDR data show negative values for consumption.  Represents storage of energy, since oils are manufactured from other fuels.  "Negative" emissions serve to correct the overestimation of emissions attributed to the parent fuel.</t>
        </r>
      </text>
    </comment>
    <comment ref="B61" authorId="4">
      <text>
        <r>
          <rPr>
            <sz val="8"/>
            <color indexed="81"/>
            <rFont val="Tahoma"/>
            <family val="2"/>
          </rPr>
          <t>The biomass portion of mixed municipal solid waste (MSW) (which may include wood waste arriving at waste to energy (WTE) facilities) should be considered separate from the stationary combustion of wood fuel in the Residential, Commercial, Industrial, and Electric Power sectors in the Stationary combustion module. The assumption is that there are dedicated combustion facilities that burn wood fuels to generate energy that are separate from mixed MSW WTE facilities, which is calculated in the Solid Waste module.</t>
        </r>
      </text>
    </comment>
    <comment ref="I68" authorId="2">
      <text>
        <r>
          <rPr>
            <sz val="8"/>
            <color indexed="81"/>
            <rFont val="Tahoma"/>
            <family val="2"/>
          </rPr>
          <t>metric tons CH4 converted to MMTCO</t>
        </r>
        <r>
          <rPr>
            <vertAlign val="subscript"/>
            <sz val="8"/>
            <color indexed="81"/>
            <rFont val="Tahoma"/>
            <family val="2"/>
          </rPr>
          <t>2</t>
        </r>
        <r>
          <rPr>
            <sz val="8"/>
            <color indexed="81"/>
            <rFont val="Tahoma"/>
            <family val="2"/>
          </rPr>
          <t>E by multiplying by GWP. and Dividing by 10</t>
        </r>
        <r>
          <rPr>
            <b/>
            <vertAlign val="superscript"/>
            <sz val="8"/>
            <color indexed="81"/>
            <rFont val="Tahoma"/>
            <family val="2"/>
          </rPr>
          <t>6</t>
        </r>
      </text>
    </comment>
    <comment ref="B89" authorId="3">
      <text>
        <r>
          <rPr>
            <sz val="8"/>
            <color indexed="81"/>
            <rFont val="Tahoma"/>
            <family val="2"/>
          </rPr>
          <t>SEDR data show negative values for consumption.  Represents storage of energy, since oils are manufactured from other fuels.  "Negative" emissions serve to correct the overestimation of emissions attributed to the parent fuel.</t>
        </r>
      </text>
    </comment>
    <comment ref="B92" authorId="4">
      <text>
        <r>
          <rPr>
            <sz val="8"/>
            <color indexed="81"/>
            <rFont val="Tahoma"/>
            <family val="2"/>
          </rPr>
          <t>The biomass portion of mixed municipal solid waste (MSW) (which may include wood waste arriving at waste to energy (WTE) facilities) should be considered separate from the stationary combustion of wood fuel in the Residential, Commercial, Industrial, and Electric Power sectors in the Stationary combustion module. The assumption is that there are dedicated combustion facilities that burn wood fuels to generate energy that are separate from mixed MSW WTE facilities, which is calculated in the Solid Waste module.</t>
        </r>
      </text>
    </comment>
    <comment ref="F99" authorId="2">
      <text>
        <r>
          <rPr>
            <sz val="8"/>
            <color indexed="81"/>
            <rFont val="Tahoma"/>
            <family val="2"/>
          </rPr>
          <t>metric tons CH4 converted to MMTCO</t>
        </r>
        <r>
          <rPr>
            <vertAlign val="subscript"/>
            <sz val="8"/>
            <color indexed="81"/>
            <rFont val="Tahoma"/>
            <family val="2"/>
          </rPr>
          <t>2</t>
        </r>
        <r>
          <rPr>
            <sz val="8"/>
            <color indexed="81"/>
            <rFont val="Tahoma"/>
            <family val="2"/>
          </rPr>
          <t>E by multiplying by GWP. and Dividing by 10</t>
        </r>
        <r>
          <rPr>
            <b/>
            <vertAlign val="superscript"/>
            <sz val="8"/>
            <color indexed="81"/>
            <rFont val="Tahoma"/>
            <family val="2"/>
          </rPr>
          <t>6</t>
        </r>
      </text>
    </comment>
    <comment ref="G99" authorId="2">
      <text>
        <r>
          <rPr>
            <sz val="8"/>
            <color indexed="81"/>
            <rFont val="Tahoma"/>
            <family val="2"/>
          </rPr>
          <t>metric tons CH4 converted to MMTCO</t>
        </r>
        <r>
          <rPr>
            <vertAlign val="subscript"/>
            <sz val="8"/>
            <color indexed="81"/>
            <rFont val="Tahoma"/>
            <family val="2"/>
          </rPr>
          <t>2</t>
        </r>
        <r>
          <rPr>
            <sz val="8"/>
            <color indexed="81"/>
            <rFont val="Tahoma"/>
            <family val="2"/>
          </rPr>
          <t>E by multiplying by GWP. and Dividing by 10</t>
        </r>
        <r>
          <rPr>
            <b/>
            <vertAlign val="superscript"/>
            <sz val="8"/>
            <color indexed="81"/>
            <rFont val="Tahoma"/>
            <family val="2"/>
          </rPr>
          <t>6</t>
        </r>
      </text>
    </comment>
    <comment ref="H99" authorId="2">
      <text>
        <r>
          <rPr>
            <sz val="8"/>
            <color indexed="81"/>
            <rFont val="Tahoma"/>
            <family val="2"/>
          </rPr>
          <t>metric tons CH4 converted to MMTCO</t>
        </r>
        <r>
          <rPr>
            <vertAlign val="subscript"/>
            <sz val="8"/>
            <color indexed="81"/>
            <rFont val="Tahoma"/>
            <family val="2"/>
          </rPr>
          <t>2</t>
        </r>
        <r>
          <rPr>
            <sz val="8"/>
            <color indexed="81"/>
            <rFont val="Tahoma"/>
            <family val="2"/>
          </rPr>
          <t>E by multiplying by GWP. and Dividing by 10</t>
        </r>
        <r>
          <rPr>
            <b/>
            <vertAlign val="superscript"/>
            <sz val="8"/>
            <color indexed="81"/>
            <rFont val="Tahoma"/>
            <family val="2"/>
          </rPr>
          <t>6</t>
        </r>
      </text>
    </comment>
    <comment ref="I99" authorId="2">
      <text>
        <r>
          <rPr>
            <sz val="8"/>
            <color indexed="81"/>
            <rFont val="Tahoma"/>
            <family val="2"/>
          </rPr>
          <t>metric tons CH4 converted to MMTCO</t>
        </r>
        <r>
          <rPr>
            <vertAlign val="subscript"/>
            <sz val="8"/>
            <color indexed="81"/>
            <rFont val="Tahoma"/>
            <family val="2"/>
          </rPr>
          <t>2</t>
        </r>
        <r>
          <rPr>
            <sz val="8"/>
            <color indexed="81"/>
            <rFont val="Tahoma"/>
            <family val="2"/>
          </rPr>
          <t>E by multiplying by GWP. and Dividing by 10</t>
        </r>
        <r>
          <rPr>
            <b/>
            <vertAlign val="superscript"/>
            <sz val="8"/>
            <color indexed="81"/>
            <rFont val="Tahoma"/>
            <family val="2"/>
          </rPr>
          <t>6</t>
        </r>
      </text>
    </comment>
    <comment ref="B120" authorId="3">
      <text>
        <r>
          <rPr>
            <sz val="8"/>
            <color indexed="81"/>
            <rFont val="Tahoma"/>
            <family val="2"/>
          </rPr>
          <t>SEDR data show negative values for consumption.  Represents storage of energy, since oils are manufactured from other fuels.  "Negative" emissions serve to correct the overestimation of emissions attributed to the parent fuel.</t>
        </r>
      </text>
    </comment>
    <comment ref="B123" authorId="4">
      <text>
        <r>
          <rPr>
            <sz val="8"/>
            <color indexed="81"/>
            <rFont val="Tahoma"/>
            <family val="2"/>
          </rPr>
          <t>The biomass portion of mixed municipal solid waste (MSW) (which may include wood waste arriving at waste to energy (WTE) facilities) should be considered separate from the stationary combustion of wood fuel in the Residential, Commercial, Industrial, and Electric Power sectors in the Stationary combustion module. The assumption is that there are dedicated combustion facilities that burn wood fuels to generate energy that are separate from mixed MSW WTE facilities, which is calculated in the Solid Waste module.</t>
        </r>
      </text>
    </comment>
  </commentList>
</comments>
</file>

<file path=xl/comments7.xml><?xml version="1.0" encoding="utf-8"?>
<comments xmlns="http://schemas.openxmlformats.org/spreadsheetml/2006/main">
  <authors>
    <author>Beth Moore</author>
    <author>amohammed</author>
    <author>sal</author>
    <author>rthunell</author>
  </authors>
  <commentList>
    <comment ref="H5" authorId="0">
      <text>
        <r>
          <rPr>
            <sz val="8"/>
            <color indexed="81"/>
            <rFont val="Tahoma"/>
            <family val="2"/>
          </rPr>
          <t>Metric Tons CO</t>
        </r>
        <r>
          <rPr>
            <vertAlign val="subscript"/>
            <sz val="8"/>
            <color indexed="81"/>
            <rFont val="Tahoma"/>
            <family val="2"/>
          </rPr>
          <t>2</t>
        </r>
        <r>
          <rPr>
            <sz val="8"/>
            <color indexed="81"/>
            <rFont val="Tahoma"/>
            <family val="2"/>
          </rPr>
          <t xml:space="preserve"> are converted into Metric Tons Carbon Equivalent by multiplying by the molecular weight ratio of carbon to carbon dioxide, or (12/44).
</t>
        </r>
      </text>
    </comment>
    <comment ref="D6" authorId="1">
      <text>
        <r>
          <rPr>
            <b/>
            <sz val="9"/>
            <color indexed="81"/>
            <rFont val="Tahoma"/>
            <family val="2"/>
          </rPr>
          <t>amohammed:</t>
        </r>
        <r>
          <rPr>
            <sz val="9"/>
            <color indexed="81"/>
            <rFont val="Tahoma"/>
            <family val="2"/>
          </rPr>
          <t xml:space="preserve">
2016 SIT Defaults</t>
        </r>
      </text>
    </comment>
    <comment ref="C7" authorId="0">
      <text>
        <r>
          <rPr>
            <sz val="8"/>
            <color indexed="81"/>
            <rFont val="Tahoma"/>
            <family val="2"/>
          </rPr>
          <t>Do not include dolomite used in magnesium production.</t>
        </r>
      </text>
    </comment>
    <comment ref="H11" authorId="0">
      <text>
        <r>
          <rPr>
            <sz val="8"/>
            <color indexed="81"/>
            <rFont val="Tahoma"/>
            <family val="2"/>
          </rPr>
          <t>Metric Tons CO</t>
        </r>
        <r>
          <rPr>
            <vertAlign val="subscript"/>
            <sz val="8"/>
            <color indexed="81"/>
            <rFont val="Tahoma"/>
            <family val="2"/>
          </rPr>
          <t>2</t>
        </r>
        <r>
          <rPr>
            <sz val="8"/>
            <color indexed="81"/>
            <rFont val="Tahoma"/>
            <family val="2"/>
          </rPr>
          <t xml:space="preserve"> are converted into Metric Tons Carbon Equivalent by multiplying by the molecular weight ratio of carbon to carbon dioxide, or (12/44).
</t>
        </r>
      </text>
    </comment>
    <comment ref="D13" authorId="1">
      <text>
        <r>
          <rPr>
            <b/>
            <sz val="9"/>
            <color indexed="81"/>
            <rFont val="Tahoma"/>
            <family val="2"/>
          </rPr>
          <t>amohammed:</t>
        </r>
        <r>
          <rPr>
            <sz val="9"/>
            <color indexed="81"/>
            <rFont val="Tahoma"/>
            <family val="2"/>
          </rPr>
          <t xml:space="preserve">
2017 Consumption</t>
        </r>
      </text>
    </comment>
    <comment ref="D18" authorId="2">
      <text>
        <r>
          <rPr>
            <b/>
            <sz val="9"/>
            <color indexed="81"/>
            <rFont val="Tahoma"/>
            <family val="2"/>
          </rPr>
          <t>2016 SIT Default data</t>
        </r>
      </text>
    </comment>
    <comment ref="J22" authorId="0">
      <text>
        <r>
          <rPr>
            <sz val="8"/>
            <color indexed="81"/>
            <rFont val="Tahoma"/>
            <family val="2"/>
          </rPr>
          <t>Metric Tons CO</t>
        </r>
        <r>
          <rPr>
            <vertAlign val="subscript"/>
            <sz val="8"/>
            <color indexed="81"/>
            <rFont val="Tahoma"/>
            <family val="2"/>
          </rPr>
          <t>2</t>
        </r>
        <r>
          <rPr>
            <sz val="8"/>
            <color indexed="81"/>
            <rFont val="Tahoma"/>
            <family val="2"/>
          </rPr>
          <t xml:space="preserve"> are converted into Metric Tons Carbon Equivalent by multiplying by the molecular weight ratio of carbon to carbon dioxide, or (12/44).
</t>
        </r>
      </text>
    </comment>
    <comment ref="D23" authorId="2">
      <text>
        <r>
          <rPr>
            <b/>
            <sz val="9"/>
            <color indexed="81"/>
            <rFont val="Tahoma"/>
            <family val="2"/>
          </rPr>
          <t>2016 SIT Default data</t>
        </r>
      </text>
    </comment>
    <comment ref="H27" authorId="3">
      <text>
        <r>
          <rPr>
            <b/>
            <sz val="8"/>
            <color indexed="81"/>
            <rFont val="Tahoma"/>
            <family val="2"/>
          </rPr>
          <t>rthunell:</t>
        </r>
        <r>
          <rPr>
            <sz val="8"/>
            <color indexed="81"/>
            <rFont val="Tahoma"/>
            <family val="2"/>
          </rPr>
          <t xml:space="preserve">
GWP SF6 = 23,900</t>
        </r>
      </text>
    </comment>
    <comment ref="J27" authorId="0">
      <text>
        <r>
          <rPr>
            <sz val="8"/>
            <color indexed="81"/>
            <rFont val="Tahoma"/>
            <family val="2"/>
          </rPr>
          <t>Metric Tons CO</t>
        </r>
        <r>
          <rPr>
            <vertAlign val="subscript"/>
            <sz val="8"/>
            <color indexed="81"/>
            <rFont val="Tahoma"/>
            <family val="2"/>
          </rPr>
          <t>2</t>
        </r>
        <r>
          <rPr>
            <sz val="8"/>
            <color indexed="81"/>
            <rFont val="Tahoma"/>
            <family val="2"/>
          </rPr>
          <t xml:space="preserve"> are converted into Metric Tons Carbon Equivalent by multiplying by the GWP of SF</t>
        </r>
        <r>
          <rPr>
            <vertAlign val="subscript"/>
            <sz val="8"/>
            <color indexed="81"/>
            <rFont val="Tahoma"/>
            <family val="2"/>
          </rPr>
          <t>6</t>
        </r>
        <r>
          <rPr>
            <sz val="8"/>
            <color indexed="81"/>
            <rFont val="Tahoma"/>
            <family val="2"/>
          </rPr>
          <t xml:space="preserve"> (23,900) and the molecular weight ratio of carbon to carbon dioxide (12/44).
</t>
        </r>
      </text>
    </comment>
    <comment ref="L27" authorId="0">
      <text>
        <r>
          <rPr>
            <sz val="8"/>
            <color indexed="81"/>
            <rFont val="Tahoma"/>
            <family val="2"/>
          </rPr>
          <t>Metric Tons CO</t>
        </r>
        <r>
          <rPr>
            <vertAlign val="subscript"/>
            <sz val="8"/>
            <color indexed="81"/>
            <rFont val="Tahoma"/>
            <family val="2"/>
          </rPr>
          <t>2</t>
        </r>
        <r>
          <rPr>
            <sz val="8"/>
            <color indexed="81"/>
            <rFont val="Tahoma"/>
            <family val="2"/>
          </rPr>
          <t xml:space="preserve"> are converted into Metric Tons Carbon Equivalent by multiplying by the GWP of SF</t>
        </r>
        <r>
          <rPr>
            <vertAlign val="subscript"/>
            <sz val="8"/>
            <color indexed="81"/>
            <rFont val="Tahoma"/>
            <family val="2"/>
          </rPr>
          <t>6</t>
        </r>
        <r>
          <rPr>
            <sz val="8"/>
            <color indexed="81"/>
            <rFont val="Tahoma"/>
            <family val="2"/>
          </rPr>
          <t xml:space="preserve"> (23,900) and the molecular weight ratio of carbon to carbon dioxide (12/44).
</t>
        </r>
      </text>
    </comment>
    <comment ref="D28" authorId="2">
      <text>
        <r>
          <rPr>
            <sz val="9"/>
            <color indexed="81"/>
            <rFont val="Tahoma"/>
            <family val="2"/>
          </rPr>
          <t xml:space="preserve">2017 SIT Default data
</t>
        </r>
      </text>
    </comment>
    <comment ref="J32" authorId="3">
      <text>
        <r>
          <rPr>
            <sz val="8"/>
            <color indexed="81"/>
            <rFont val="Tahoma"/>
            <family val="2"/>
          </rPr>
          <t>Metric Tons CO2 are converted into Metric Tons Carbon Equivalent by multiplying by the molecular weight ratio of carbon to carbon dioxide, or (12/44).</t>
        </r>
        <r>
          <rPr>
            <b/>
            <sz val="8"/>
            <color indexed="81"/>
            <rFont val="Tahoma"/>
            <family val="2"/>
          </rPr>
          <t xml:space="preserve">
</t>
        </r>
      </text>
    </comment>
    <comment ref="L32" authorId="0">
      <text>
        <r>
          <rPr>
            <sz val="8"/>
            <color indexed="81"/>
            <rFont val="Tahoma"/>
            <family val="2"/>
          </rPr>
          <t xml:space="preserve">Metric Tons CO2 are converted into Metric Tons Carbon Equivalent by multiplying by the molecular weight ratio of carbon to carbon dioxide, or (12/44).
</t>
        </r>
      </text>
    </comment>
  </commentList>
</comments>
</file>

<file path=xl/comments8.xml><?xml version="1.0" encoding="utf-8"?>
<comments xmlns="http://schemas.openxmlformats.org/spreadsheetml/2006/main">
  <authors>
    <author>amohammed</author>
    <author>sal</author>
  </authors>
  <commentList>
    <comment ref="F12" authorId="0">
      <text>
        <r>
          <rPr>
            <b/>
            <sz val="8"/>
            <color indexed="81"/>
            <rFont val="Tahoma"/>
            <family val="2"/>
          </rPr>
          <t>amohammed:</t>
        </r>
        <r>
          <rPr>
            <sz val="8"/>
            <color indexed="81"/>
            <rFont val="Tahoma"/>
            <family val="2"/>
          </rPr>
          <t xml:space="preserve">
Biogenic</t>
        </r>
      </text>
    </comment>
    <comment ref="G12" authorId="0">
      <text>
        <r>
          <rPr>
            <b/>
            <sz val="8"/>
            <color indexed="81"/>
            <rFont val="Tahoma"/>
            <family val="2"/>
          </rPr>
          <t>Measured Biomass :
1 % of Total CO</t>
        </r>
        <r>
          <rPr>
            <b/>
            <vertAlign val="subscript"/>
            <sz val="8"/>
            <color indexed="81"/>
            <rFont val="Tahoma"/>
            <family val="2"/>
          </rPr>
          <t>2</t>
        </r>
        <r>
          <rPr>
            <b/>
            <sz val="8"/>
            <color indexed="81"/>
            <rFont val="Tahoma"/>
            <family val="2"/>
          </rPr>
          <t xml:space="preserve"> (CEM). 2017 Emission Certification Report.</t>
        </r>
      </text>
    </comment>
    <comment ref="E30" authorId="1">
      <text>
        <r>
          <rPr>
            <b/>
            <sz val="9"/>
            <color indexed="81"/>
            <rFont val="Tahoma"/>
            <family val="2"/>
          </rPr>
          <t>1.10249937 Conversion factor used in ECR (metric to short ton)</t>
        </r>
      </text>
    </comment>
  </commentList>
</comments>
</file>

<file path=xl/comments9.xml><?xml version="1.0" encoding="utf-8"?>
<comments xmlns="http://schemas.openxmlformats.org/spreadsheetml/2006/main">
  <authors>
    <author>sal</author>
  </authors>
  <commentList>
    <comment ref="D8" authorId="0">
      <text>
        <r>
          <rPr>
            <b/>
            <sz val="9"/>
            <color indexed="81"/>
            <rFont val="Tahoma"/>
            <family val="2"/>
          </rPr>
          <t>2016 default data</t>
        </r>
      </text>
    </comment>
  </commentList>
</comments>
</file>

<file path=xl/sharedStrings.xml><?xml version="1.0" encoding="utf-8"?>
<sst xmlns="http://schemas.openxmlformats.org/spreadsheetml/2006/main" count="43130" uniqueCount="1765">
  <si>
    <t>031-0019</t>
  </si>
  <si>
    <t>Mirant Dickerson</t>
  </si>
  <si>
    <t>1500-19-30001</t>
  </si>
  <si>
    <t>Boiler 1</t>
  </si>
  <si>
    <t>1500-19-30002</t>
  </si>
  <si>
    <t>Boiler 2</t>
  </si>
  <si>
    <t>1500-19-30003</t>
  </si>
  <si>
    <t>Boiler 3</t>
  </si>
  <si>
    <t>017-0014</t>
  </si>
  <si>
    <t>Mirant Morgantown</t>
  </si>
  <si>
    <t>0800-14-30002</t>
  </si>
  <si>
    <t>080-14-30003</t>
  </si>
  <si>
    <t>Btu/gal</t>
  </si>
  <si>
    <t>Emergency Engine (Boiler Feed Pump)</t>
  </si>
  <si>
    <t>3-0015</t>
  </si>
  <si>
    <t>S-No. 2 Oil</t>
  </si>
  <si>
    <t>MMBtu/ 1E+03 gal</t>
  </si>
  <si>
    <t>3-0016</t>
  </si>
  <si>
    <t>#2 Oli</t>
  </si>
  <si>
    <t>1600-14-40998</t>
  </si>
  <si>
    <t>Unit 4</t>
  </si>
  <si>
    <t>1600-14-40999</t>
  </si>
  <si>
    <t xml:space="preserve"> CT 1</t>
  </si>
  <si>
    <t>1600-14-41145</t>
  </si>
  <si>
    <t>CT2</t>
  </si>
  <si>
    <r>
      <t>Nitrous Oxide Emissions from Ag Soils (metric tons N</t>
    </r>
    <r>
      <rPr>
        <b/>
        <vertAlign val="subscript"/>
        <sz val="9"/>
        <rFont val="Calibri"/>
        <family val="2"/>
      </rPr>
      <t>2</t>
    </r>
    <r>
      <rPr>
        <b/>
        <sz val="9"/>
        <rFont val="Calibri"/>
        <family val="2"/>
      </rPr>
      <t>O)</t>
    </r>
  </si>
  <si>
    <t>1600-14-90752</t>
  </si>
  <si>
    <t>CT3**</t>
  </si>
  <si>
    <t>1600-14-90753</t>
  </si>
  <si>
    <t>CT4**</t>
  </si>
  <si>
    <t>1600-14-90755</t>
  </si>
  <si>
    <t>CT6**</t>
  </si>
  <si>
    <t>4-0007</t>
  </si>
  <si>
    <t>No.2 Oil</t>
  </si>
  <si>
    <t>MMBTU/10E+03 gallons</t>
  </si>
  <si>
    <t>024-025-0024</t>
  </si>
  <si>
    <t xml:space="preserve">Perryman </t>
  </si>
  <si>
    <t>5-0088</t>
  </si>
  <si>
    <t>Unit 51 CT</t>
  </si>
  <si>
    <t>4-0081</t>
  </si>
  <si>
    <t>Unit 1 CT</t>
  </si>
  <si>
    <t>4-0082</t>
  </si>
  <si>
    <t>Unit 2 CT</t>
  </si>
  <si>
    <t>4-0083</t>
  </si>
  <si>
    <t>Unit 3 CT</t>
  </si>
  <si>
    <t>4-0084</t>
  </si>
  <si>
    <t>Unit 4 CT</t>
  </si>
  <si>
    <t>#2 Oil</t>
  </si>
  <si>
    <t>005-0078</t>
  </si>
  <si>
    <t>Riverside</t>
  </si>
  <si>
    <t>4-0658</t>
  </si>
  <si>
    <t>Combustion Turbine # 7</t>
  </si>
  <si>
    <t>4-0659</t>
  </si>
  <si>
    <t xml:space="preserve">Combustion Turbine #8 </t>
  </si>
  <si>
    <t>019-0013</t>
  </si>
  <si>
    <t>Vienna Generating Station</t>
  </si>
  <si>
    <t>Unit 8</t>
  </si>
  <si>
    <t>Btu/gallons</t>
  </si>
  <si>
    <t>031-1822</t>
  </si>
  <si>
    <t>Mirant Station H</t>
  </si>
  <si>
    <t>1518-22-90362</t>
  </si>
  <si>
    <t>0800-14-4-0070</t>
  </si>
  <si>
    <t>0800-14-4-0074</t>
  </si>
  <si>
    <t>0800-14-4-0075</t>
  </si>
  <si>
    <t>4-1363</t>
  </si>
  <si>
    <t xml:space="preserve">Combustion Turbine # 6 </t>
  </si>
  <si>
    <t>#6 Oil</t>
  </si>
  <si>
    <t>gallons</t>
  </si>
  <si>
    <t>4-0307</t>
  </si>
  <si>
    <t>4-0017</t>
  </si>
  <si>
    <t>Boiler 2  (Unit 4)</t>
  </si>
  <si>
    <t>P-No.6 Oil</t>
  </si>
  <si>
    <t>001-6-0136</t>
  </si>
  <si>
    <t>Limestone Dryer</t>
  </si>
  <si>
    <t>Btu/scf</t>
  </si>
  <si>
    <t>S-Gas</t>
  </si>
  <si>
    <t>MMBtu/1E+06 scf</t>
  </si>
  <si>
    <t>Gas</t>
  </si>
  <si>
    <t>033-01827</t>
  </si>
  <si>
    <t xml:space="preserve">Chalkpoint -SMECO </t>
  </si>
  <si>
    <t>Combustion Turbine</t>
  </si>
  <si>
    <t>MMBTU/ 10E+06 scf</t>
  </si>
  <si>
    <t>MMBTU/10E+06 scf</t>
  </si>
  <si>
    <t>4-1082</t>
  </si>
  <si>
    <t xml:space="preserve"> Boiler #4</t>
  </si>
  <si>
    <t>510-0006</t>
  </si>
  <si>
    <t>5-0005</t>
  </si>
  <si>
    <t>033-2200</t>
  </si>
  <si>
    <t>Panda Brandywine</t>
  </si>
  <si>
    <t>5-0844</t>
  </si>
  <si>
    <t>5-0845</t>
  </si>
  <si>
    <t>015-0202</t>
  </si>
  <si>
    <t>5-0076</t>
  </si>
  <si>
    <t>Turbine 1</t>
  </si>
  <si>
    <t>5-0077</t>
  </si>
  <si>
    <t>Turbine 2</t>
  </si>
  <si>
    <t>5-0078</t>
  </si>
  <si>
    <t>Turbine 3</t>
  </si>
  <si>
    <t>5-0079</t>
  </si>
  <si>
    <t>Turbine 4</t>
  </si>
  <si>
    <t>MMBTU</t>
  </si>
  <si>
    <r>
      <t>CO</t>
    </r>
    <r>
      <rPr>
        <b/>
        <vertAlign val="subscript"/>
        <sz val="10"/>
        <rFont val="Arial"/>
        <family val="2"/>
      </rPr>
      <t>2</t>
    </r>
    <r>
      <rPr>
        <b/>
        <sz val="10"/>
        <rFont val="Arial"/>
        <family val="2"/>
      </rPr>
      <t xml:space="preserve"> Emission </t>
    </r>
  </si>
  <si>
    <t>(short tons)</t>
  </si>
  <si>
    <t>(metric tons)</t>
  </si>
  <si>
    <t>(MMTC)</t>
  </si>
  <si>
    <r>
      <t>Electric Power Sector CH</t>
    </r>
    <r>
      <rPr>
        <vertAlign val="subscript"/>
        <sz val="14"/>
        <color indexed="8"/>
        <rFont val="Comic Sans MS"/>
        <family val="4"/>
      </rPr>
      <t>4</t>
    </r>
  </si>
  <si>
    <t>Consumption</t>
  </si>
  <si>
    <t>Emission Factor</t>
  </si>
  <si>
    <t xml:space="preserve">Emissions </t>
  </si>
  <si>
    <t>GWP</t>
  </si>
  <si>
    <t>(Billion Btu)</t>
  </si>
  <si>
    <t>(metric tons CH4 /BBtu)</t>
  </si>
  <si>
    <t>(metric tons CH4)</t>
  </si>
  <si>
    <r>
      <t>Electric Power Sector N</t>
    </r>
    <r>
      <rPr>
        <vertAlign val="subscript"/>
        <sz val="14"/>
        <rFont val="Comic Sans MS"/>
        <family val="4"/>
      </rPr>
      <t>2</t>
    </r>
    <r>
      <rPr>
        <sz val="14"/>
        <rFont val="Comic Sans MS"/>
        <family val="4"/>
      </rPr>
      <t>O</t>
    </r>
  </si>
  <si>
    <t>Emissions</t>
  </si>
  <si>
    <t>Electric Power Sector GHG</t>
  </si>
  <si>
    <t>4-0091</t>
  </si>
  <si>
    <t>Aux Boiler # 2</t>
  </si>
  <si>
    <t>4-1107</t>
  </si>
  <si>
    <t>Aux Boiler # 3</t>
  </si>
  <si>
    <t>4-0089</t>
  </si>
  <si>
    <t>CT (14 MW)</t>
  </si>
  <si>
    <t>CPSG- Philadelphia Road Power</t>
  </si>
  <si>
    <t>4-0431</t>
  </si>
  <si>
    <t>4-0432</t>
  </si>
  <si>
    <t>4-0433</t>
  </si>
  <si>
    <t>4-0434</t>
  </si>
  <si>
    <t>Easton Utility</t>
  </si>
  <si>
    <t>Activity Data (Consumption)</t>
  </si>
  <si>
    <t xml:space="preserve">Aviation Gasoline </t>
  </si>
  <si>
    <t xml:space="preserve">Lubricant </t>
  </si>
  <si>
    <t>Summary Fossil Fuel Combustion</t>
  </si>
  <si>
    <t>CONSTANTS</t>
  </si>
  <si>
    <t>Btu/Gallon</t>
  </si>
  <si>
    <t>(gallon)</t>
  </si>
  <si>
    <t>Distillate Fuel - Locomotive</t>
  </si>
  <si>
    <r>
      <t>Indirect N</t>
    </r>
    <r>
      <rPr>
        <b/>
        <vertAlign val="subscript"/>
        <sz val="8"/>
        <color indexed="10"/>
        <rFont val="Calibri"/>
        <family val="2"/>
      </rPr>
      <t>2</t>
    </r>
    <r>
      <rPr>
        <b/>
        <sz val="8"/>
        <color indexed="10"/>
        <rFont val="Calibri"/>
        <family val="2"/>
      </rPr>
      <t>O Emissions</t>
    </r>
  </si>
  <si>
    <r>
      <t>Direct N</t>
    </r>
    <r>
      <rPr>
        <b/>
        <vertAlign val="subscript"/>
        <sz val="8"/>
        <color indexed="10"/>
        <rFont val="Calibri"/>
        <family val="2"/>
      </rPr>
      <t>2</t>
    </r>
    <r>
      <rPr>
        <b/>
        <sz val="8"/>
        <color indexed="10"/>
        <rFont val="Calibri"/>
        <family val="2"/>
      </rPr>
      <t>O Emissions</t>
    </r>
  </si>
  <si>
    <r>
      <t>Agricultural Residue Burning -  CH</t>
    </r>
    <r>
      <rPr>
        <vertAlign val="subscript"/>
        <sz val="14"/>
        <rFont val="Comic Sans MS"/>
        <family val="4"/>
      </rPr>
      <t>4</t>
    </r>
    <r>
      <rPr>
        <sz val="14"/>
        <rFont val="Comic Sans MS"/>
        <family val="4"/>
      </rPr>
      <t xml:space="preserve"> Emissions</t>
    </r>
  </si>
  <si>
    <r>
      <t>Agricultural Residue Burning -  N</t>
    </r>
    <r>
      <rPr>
        <vertAlign val="subscript"/>
        <sz val="14"/>
        <rFont val="Comic Sans MS"/>
        <family val="4"/>
      </rPr>
      <t>2</t>
    </r>
    <r>
      <rPr>
        <sz val="14"/>
        <rFont val="Comic Sans MS"/>
        <family val="4"/>
      </rPr>
      <t>O Emissions</t>
    </r>
  </si>
  <si>
    <t>Btu/gallon</t>
  </si>
  <si>
    <t>Berlin Town Power Plant</t>
  </si>
  <si>
    <t>9-0028</t>
  </si>
  <si>
    <t>9-0029</t>
  </si>
  <si>
    <t>9-0031</t>
  </si>
  <si>
    <t>9-0032</t>
  </si>
  <si>
    <t>9-0033</t>
  </si>
  <si>
    <t>scf</t>
  </si>
  <si>
    <t>Unit 5 CT</t>
  </si>
  <si>
    <t>Unit 6 CT</t>
  </si>
  <si>
    <t>Unit 7 CT</t>
  </si>
  <si>
    <t>Unit 8 CT</t>
  </si>
  <si>
    <t>Combustion</t>
  </si>
  <si>
    <t>(lbs C/Million Btu)</t>
  </si>
  <si>
    <t>Efficiency (%)</t>
  </si>
  <si>
    <t>(short tons carbon)</t>
  </si>
  <si>
    <r>
      <t>CO</t>
    </r>
    <r>
      <rPr>
        <b/>
        <vertAlign val="subscript"/>
        <sz val="10"/>
        <rFont val="Arial"/>
        <family val="2"/>
      </rPr>
      <t>2</t>
    </r>
  </si>
  <si>
    <r>
      <t>N</t>
    </r>
    <r>
      <rPr>
        <b/>
        <vertAlign val="subscript"/>
        <sz val="10"/>
        <rFont val="Arial"/>
        <family val="2"/>
      </rPr>
      <t>2</t>
    </r>
    <r>
      <rPr>
        <b/>
        <sz val="10"/>
        <rFont val="Arial"/>
        <family val="2"/>
      </rPr>
      <t>O</t>
    </r>
  </si>
  <si>
    <r>
      <t>CH</t>
    </r>
    <r>
      <rPr>
        <b/>
        <vertAlign val="subscript"/>
        <sz val="10"/>
        <rFont val="Arial"/>
        <family val="2"/>
      </rPr>
      <t>4</t>
    </r>
  </si>
  <si>
    <t>Fuel Consumption For Electricity Generation</t>
  </si>
  <si>
    <t>Coal (Short Tons)</t>
  </si>
  <si>
    <t>Petroleum (Barrels)</t>
  </si>
  <si>
    <t>Natural Gas (Mcf)</t>
  </si>
  <si>
    <t>Other Gases (MMBTU)</t>
  </si>
  <si>
    <t>Other Gases</t>
  </si>
  <si>
    <t>Nuclear</t>
  </si>
  <si>
    <t>Hydroelectric Conventional</t>
  </si>
  <si>
    <t>Wood and Wood Derived Fuels</t>
  </si>
  <si>
    <t>Other Biomass</t>
  </si>
  <si>
    <t>T &amp;D Losses</t>
  </si>
  <si>
    <t>Net In -State Generated Electricity</t>
  </si>
  <si>
    <t>Electricity Consumption (MWh) (MD Retail Sales)</t>
  </si>
  <si>
    <t>Others</t>
  </si>
  <si>
    <t>(Thousand Barrels)</t>
  </si>
  <si>
    <t>Solar Thermal and Photovoltaic</t>
  </si>
  <si>
    <t>GHG Associated with Imported Electricity</t>
  </si>
  <si>
    <t>Hydroelectric</t>
  </si>
  <si>
    <t>Solid Waste</t>
  </si>
  <si>
    <t>Wind</t>
  </si>
  <si>
    <t>Transportation</t>
  </si>
  <si>
    <t>TOTAL</t>
  </si>
  <si>
    <t>Year</t>
  </si>
  <si>
    <t>Wood</t>
  </si>
  <si>
    <t>Other</t>
  </si>
  <si>
    <t>Oil</t>
  </si>
  <si>
    <t>Production</t>
  </si>
  <si>
    <t xml:space="preserve">Transportation </t>
  </si>
  <si>
    <t>Fossil Fuel Industry</t>
  </si>
  <si>
    <t>Carbon</t>
  </si>
  <si>
    <t>CT</t>
  </si>
  <si>
    <t>Total</t>
  </si>
  <si>
    <t>LFTGE Landfills</t>
  </si>
  <si>
    <t>Agricultural Burning</t>
  </si>
  <si>
    <t>Agriculture</t>
  </si>
  <si>
    <t>Industrial Processes</t>
  </si>
  <si>
    <t>Waste Management</t>
  </si>
  <si>
    <t>Wastewater Management</t>
  </si>
  <si>
    <t xml:space="preserve"> Coal</t>
  </si>
  <si>
    <t>Enteric Fermentation</t>
  </si>
  <si>
    <t>Manure Management</t>
  </si>
  <si>
    <t>Ag Soils</t>
  </si>
  <si>
    <t>Methane</t>
  </si>
  <si>
    <t>Agricultural Residue Burning</t>
  </si>
  <si>
    <t>Nitrous Oxide</t>
  </si>
  <si>
    <t>Direct</t>
  </si>
  <si>
    <t>Fertilizers</t>
  </si>
  <si>
    <t>Crop Residues</t>
  </si>
  <si>
    <t>N-Fixing Crops</t>
  </si>
  <si>
    <t>Histosols</t>
  </si>
  <si>
    <t>Livestock</t>
  </si>
  <si>
    <t>Indirect</t>
  </si>
  <si>
    <t>Leaching/Runoff</t>
  </si>
  <si>
    <t>Agricultural Soils</t>
  </si>
  <si>
    <t>Gasoline</t>
  </si>
  <si>
    <t>Liming of Agricultural Soils</t>
  </si>
  <si>
    <t>Diesel</t>
  </si>
  <si>
    <t>Cement Manufacture</t>
  </si>
  <si>
    <t>Lime Manufacture</t>
  </si>
  <si>
    <t>Limestone and Dolomite Use</t>
  </si>
  <si>
    <t>Soda Ash</t>
  </si>
  <si>
    <t>Ammonia &amp; Urea</t>
  </si>
  <si>
    <t>Iron &amp; Steel Production</t>
  </si>
  <si>
    <t>Nitric Acid Production</t>
  </si>
  <si>
    <t>Adipic Acid Production</t>
  </si>
  <si>
    <t>ODS Substitutes</t>
  </si>
  <si>
    <t>Semiconductor Manufacturing</t>
  </si>
  <si>
    <t>Magnesium Production</t>
  </si>
  <si>
    <t>Electric Power Transmission and Distribution Systems</t>
  </si>
  <si>
    <t>HCFC-22 Production</t>
  </si>
  <si>
    <t>Aluminum Production</t>
  </si>
  <si>
    <t>Total Emissions</t>
  </si>
  <si>
    <t>L Blast Furnace</t>
  </si>
  <si>
    <r>
      <t>Direct N</t>
    </r>
    <r>
      <rPr>
        <b/>
        <vertAlign val="subscript"/>
        <sz val="8"/>
        <rFont val="Calibri"/>
        <family val="2"/>
      </rPr>
      <t>2</t>
    </r>
    <r>
      <rPr>
        <b/>
        <sz val="8"/>
        <rFont val="Calibri"/>
        <family val="2"/>
      </rPr>
      <t>O Emissions - Manure Applied to Soils (including Daily Spread)</t>
    </r>
  </si>
  <si>
    <r>
      <t>Direct N</t>
    </r>
    <r>
      <rPr>
        <b/>
        <vertAlign val="subscript"/>
        <sz val="8"/>
        <rFont val="Calibri"/>
        <family val="2"/>
      </rPr>
      <t>2</t>
    </r>
    <r>
      <rPr>
        <b/>
        <sz val="8"/>
        <rFont val="Calibri"/>
        <family val="2"/>
      </rPr>
      <t>O Emissions - Pasture, Range, and Paddock</t>
    </r>
  </si>
  <si>
    <r>
      <t>Emission factor from US EP</t>
    </r>
    <r>
      <rPr>
        <sz val="10"/>
        <rFont val="Arial"/>
        <family val="2"/>
      </rPr>
      <t>A, Emissions Inventory Improvements Program,</t>
    </r>
    <r>
      <rPr>
        <i/>
        <sz val="10"/>
        <rFont val="Arial"/>
        <family val="2"/>
      </rPr>
      <t xml:space="preserve"> Volume VII: Chpater 5. Methods for Estimating Methane Emissions from Natural Gas and Oil Systems. </t>
    </r>
    <r>
      <rPr>
        <sz val="10"/>
        <rFont val="Arial"/>
        <family val="2"/>
      </rPr>
      <t>This factor represents emissions not just from wells but also from pneumatic devices, dehydrator vents, Kimray pumps, gas engines, and well clean-ups</t>
    </r>
  </si>
  <si>
    <r>
      <t>All emission factors from US EP</t>
    </r>
    <r>
      <rPr>
        <sz val="10"/>
        <rFont val="Arial"/>
        <family val="2"/>
      </rPr>
      <t>A, Emissions Inventory Improvements Program,</t>
    </r>
    <r>
      <rPr>
        <i/>
        <sz val="10"/>
        <rFont val="Arial"/>
        <family val="2"/>
      </rPr>
      <t xml:space="preserve"> Volume VII: Chapter 5. Methods for Estimating Methane Emissions from Natural Gas and Oil Systems. </t>
    </r>
  </si>
  <si>
    <t>Natural Gas - Consumption as Pipeline Fuel</t>
  </si>
  <si>
    <t xml:space="preserve">                         Emission Factors:</t>
  </si>
  <si>
    <t xml:space="preserve"> Combustion</t>
  </si>
  <si>
    <t>GHG Emissions</t>
  </si>
  <si>
    <t>NG Consumption</t>
  </si>
  <si>
    <t>(Billion Btus)</t>
  </si>
  <si>
    <t>(lbs/MMBtu)</t>
  </si>
  <si>
    <t>(Mt/BBtu)</t>
  </si>
  <si>
    <t>NGPZB (Billion Btus)</t>
  </si>
  <si>
    <t>NGPZB (Million Btus)</t>
  </si>
  <si>
    <t>Transmission</t>
  </si>
  <si>
    <t>Distribution</t>
  </si>
  <si>
    <t>Pipeline Fuel</t>
  </si>
  <si>
    <t>Imported Electricity to Meet MD Demand (MWh)</t>
  </si>
  <si>
    <r>
      <t xml:space="preserve"> CO</t>
    </r>
    <r>
      <rPr>
        <b/>
        <vertAlign val="subscript"/>
        <sz val="10"/>
        <color indexed="53"/>
        <rFont val="Arial"/>
        <family val="2"/>
      </rPr>
      <t>2</t>
    </r>
    <r>
      <rPr>
        <b/>
        <sz val="10"/>
        <color indexed="53"/>
        <rFont val="Arial"/>
        <family val="2"/>
      </rPr>
      <t xml:space="preserve"> Emission from (Flaring + LFGTE) (MTCO</t>
    </r>
    <r>
      <rPr>
        <b/>
        <vertAlign val="subscript"/>
        <sz val="10"/>
        <color indexed="53"/>
        <rFont val="Arial"/>
        <family val="2"/>
      </rPr>
      <t>2</t>
    </r>
    <r>
      <rPr>
        <b/>
        <sz val="10"/>
        <color indexed="53"/>
        <rFont val="Arial"/>
        <family val="2"/>
      </rPr>
      <t>E)</t>
    </r>
  </si>
  <si>
    <r>
      <t>CO</t>
    </r>
    <r>
      <rPr>
        <b/>
        <vertAlign val="subscript"/>
        <sz val="10"/>
        <rFont val="Arial"/>
        <family val="2"/>
      </rPr>
      <t>2</t>
    </r>
    <r>
      <rPr>
        <b/>
        <sz val="10"/>
        <rFont val="Arial"/>
        <family val="2"/>
      </rPr>
      <t xml:space="preserve"> Emission from (Flaring + LFGTE) (MMTCO</t>
    </r>
    <r>
      <rPr>
        <b/>
        <vertAlign val="subscript"/>
        <sz val="10"/>
        <rFont val="Arial"/>
        <family val="2"/>
      </rPr>
      <t>2</t>
    </r>
    <r>
      <rPr>
        <b/>
        <sz val="10"/>
        <rFont val="Arial"/>
        <family val="2"/>
      </rPr>
      <t>E)</t>
    </r>
  </si>
  <si>
    <r>
      <t>Total CH</t>
    </r>
    <r>
      <rPr>
        <b/>
        <vertAlign val="subscript"/>
        <sz val="10"/>
        <color indexed="10"/>
        <rFont val="Arial"/>
        <family val="2"/>
      </rPr>
      <t>4</t>
    </r>
    <r>
      <rPr>
        <b/>
        <sz val="10"/>
        <color indexed="10"/>
        <rFont val="Arial"/>
        <family val="2"/>
      </rPr>
      <t xml:space="preserve"> Emissions (MMTCO</t>
    </r>
    <r>
      <rPr>
        <b/>
        <vertAlign val="subscript"/>
        <sz val="10"/>
        <color indexed="10"/>
        <rFont val="Arial"/>
        <family val="2"/>
      </rPr>
      <t>2</t>
    </r>
    <r>
      <rPr>
        <b/>
        <sz val="10"/>
        <color indexed="10"/>
        <rFont val="Arial"/>
        <family val="2"/>
      </rPr>
      <t>E)</t>
    </r>
  </si>
  <si>
    <t>Emissions were not calculated for the following sources: Industrial fruits &amp; vegetables, Industrial poultry, and Industrial pulp &amp; paper.</t>
  </si>
  <si>
    <t>Fruits &amp; Vegetables</t>
  </si>
  <si>
    <t>Red Meat</t>
  </si>
  <si>
    <t>Poultry</t>
  </si>
  <si>
    <t>Pulp &amp; Paper</t>
  </si>
  <si>
    <r>
      <t xml:space="preserve"> Imported Electricity Emissions  (MMTCO</t>
    </r>
    <r>
      <rPr>
        <b/>
        <vertAlign val="subscript"/>
        <sz val="10"/>
        <rFont val="MS Sans Serif"/>
        <family val="2"/>
      </rPr>
      <t>2</t>
    </r>
    <r>
      <rPr>
        <b/>
        <sz val="10"/>
        <rFont val="MS Sans Serif"/>
        <family val="2"/>
      </rPr>
      <t>E)</t>
    </r>
  </si>
  <si>
    <t>Production &amp; Consumption</t>
  </si>
  <si>
    <t>Subract emissions</t>
  </si>
  <si>
    <t xml:space="preserve"> from Urea</t>
  </si>
  <si>
    <t xml:space="preserve">Ammonia Production </t>
  </si>
  <si>
    <t>Urea Consumption</t>
  </si>
  <si>
    <r>
      <t>(mt CO</t>
    </r>
    <r>
      <rPr>
        <b/>
        <vertAlign val="subscript"/>
        <sz val="10"/>
        <rFont val="Times New Roman"/>
        <family val="1"/>
      </rPr>
      <t>2</t>
    </r>
    <r>
      <rPr>
        <b/>
        <sz val="10"/>
        <rFont val="Times New Roman"/>
        <family val="1"/>
      </rPr>
      <t>/mt activity)</t>
    </r>
  </si>
  <si>
    <r>
      <t>(MTCO</t>
    </r>
    <r>
      <rPr>
        <b/>
        <vertAlign val="subscript"/>
        <sz val="10"/>
        <rFont val="Times New Roman"/>
        <family val="1"/>
      </rPr>
      <t>2</t>
    </r>
    <r>
      <rPr>
        <b/>
        <sz val="10"/>
        <rFont val="Times New Roman"/>
        <family val="1"/>
      </rPr>
      <t>E)</t>
    </r>
  </si>
  <si>
    <r>
      <t>(MMTCO</t>
    </r>
    <r>
      <rPr>
        <b/>
        <vertAlign val="subscript"/>
        <sz val="10"/>
        <rFont val="Times New Roman"/>
        <family val="1"/>
      </rPr>
      <t>2</t>
    </r>
    <r>
      <rPr>
        <b/>
        <sz val="10"/>
        <rFont val="Times New Roman"/>
        <family val="1"/>
      </rPr>
      <t>E)</t>
    </r>
  </si>
  <si>
    <t>GHG EMISSION SUMMARY</t>
  </si>
  <si>
    <t>Residential Consumption and CO2 Emissions in Maryland</t>
  </si>
  <si>
    <t>Commercial Consumption and CO2 Emissions in Maryland</t>
  </si>
  <si>
    <t>Industrial Consumption and CO2 Emissions in Maryland</t>
  </si>
  <si>
    <t>tons</t>
  </si>
  <si>
    <t>Biomass</t>
  </si>
  <si>
    <t xml:space="preserve"> COAL COMBUSTION BY UNIT</t>
  </si>
  <si>
    <r>
      <t>CO</t>
    </r>
    <r>
      <rPr>
        <b/>
        <vertAlign val="subscript"/>
        <sz val="10"/>
        <rFont val="Arial"/>
        <family val="2"/>
      </rPr>
      <t xml:space="preserve">2 </t>
    </r>
    <r>
      <rPr>
        <b/>
        <sz val="10"/>
        <rFont val="Arial"/>
        <family val="2"/>
      </rPr>
      <t>Emmission</t>
    </r>
  </si>
  <si>
    <r>
      <t>CH</t>
    </r>
    <r>
      <rPr>
        <b/>
        <vertAlign val="subscript"/>
        <sz val="10"/>
        <rFont val="Arial"/>
        <family val="2"/>
      </rPr>
      <t>4</t>
    </r>
    <r>
      <rPr>
        <b/>
        <sz val="10"/>
        <rFont val="Arial"/>
        <family val="2"/>
      </rPr>
      <t xml:space="preserve"> </t>
    </r>
    <r>
      <rPr>
        <b/>
        <vertAlign val="subscript"/>
        <sz val="10"/>
        <rFont val="Arial"/>
        <family val="2"/>
      </rPr>
      <t xml:space="preserve"> </t>
    </r>
    <r>
      <rPr>
        <b/>
        <sz val="10"/>
        <rFont val="Arial"/>
        <family val="2"/>
      </rPr>
      <t>Emission</t>
    </r>
  </si>
  <si>
    <r>
      <t>N</t>
    </r>
    <r>
      <rPr>
        <b/>
        <vertAlign val="subscript"/>
        <sz val="10"/>
        <rFont val="Arial"/>
        <family val="2"/>
      </rPr>
      <t>2</t>
    </r>
    <r>
      <rPr>
        <b/>
        <sz val="10"/>
        <rFont val="Arial"/>
        <family val="2"/>
      </rPr>
      <t xml:space="preserve">O </t>
    </r>
    <r>
      <rPr>
        <b/>
        <vertAlign val="subscript"/>
        <sz val="10"/>
        <rFont val="Arial"/>
        <family val="2"/>
      </rPr>
      <t xml:space="preserve"> </t>
    </r>
    <r>
      <rPr>
        <b/>
        <sz val="10"/>
        <rFont val="Arial"/>
        <family val="2"/>
      </rPr>
      <t>Emission</t>
    </r>
  </si>
  <si>
    <t>001-9-0081</t>
  </si>
  <si>
    <t>1600-14-40778</t>
  </si>
  <si>
    <t>1600-14-41156</t>
  </si>
  <si>
    <t>CE  Aux. Boiler 5</t>
  </si>
  <si>
    <t>1600-14-41157</t>
  </si>
  <si>
    <t>CE  Aux. Boiler 6</t>
  </si>
  <si>
    <t>1600-14-41158</t>
  </si>
  <si>
    <t>CE   Aux. Boiler 7</t>
  </si>
  <si>
    <t>1827-5-074990</t>
  </si>
  <si>
    <t>4-0065-70</t>
  </si>
  <si>
    <t>4-0020-69</t>
  </si>
  <si>
    <t>4-0114-79</t>
  </si>
  <si>
    <t>1500-19-40907</t>
  </si>
  <si>
    <t>0800-14-40016</t>
  </si>
  <si>
    <t>Aux 2</t>
  </si>
  <si>
    <t>0800-14-40018</t>
  </si>
  <si>
    <t>Aux 4</t>
  </si>
  <si>
    <t>0800-14-4-0068</t>
  </si>
  <si>
    <t>0800-14-4-0069</t>
  </si>
  <si>
    <t>0800-14-4-0071</t>
  </si>
  <si>
    <t>Fuel Oil</t>
  </si>
  <si>
    <t>510-265</t>
  </si>
  <si>
    <t>041-0029</t>
  </si>
  <si>
    <t>9-0023</t>
  </si>
  <si>
    <t>9-0024</t>
  </si>
  <si>
    <t>9-0025</t>
  </si>
  <si>
    <t>9-0026</t>
  </si>
  <si>
    <t>9-0027</t>
  </si>
  <si>
    <t>9-0030</t>
  </si>
  <si>
    <t>041-0069</t>
  </si>
  <si>
    <t>20-4-0101</t>
  </si>
  <si>
    <t>20-4-0102</t>
  </si>
  <si>
    <t>20-9-0037</t>
  </si>
  <si>
    <t>20-9-0038</t>
  </si>
  <si>
    <t>047-0044</t>
  </si>
  <si>
    <t>039-0017</t>
  </si>
  <si>
    <t>4-0024</t>
  </si>
  <si>
    <t>4-0025</t>
  </si>
  <si>
    <t>4-0026</t>
  </si>
  <si>
    <t>4-0027</t>
  </si>
  <si>
    <t>009-0012</t>
  </si>
  <si>
    <t>Calvert Cliffs Parkway Nuclear PP</t>
  </si>
  <si>
    <t>4-0014</t>
  </si>
  <si>
    <t>Agriculture Soils -  Plant Fertilizer Emissions in Maryland</t>
  </si>
  <si>
    <t>Agriculture  Soils- Plant Residues &amp; Legumes in Maryland</t>
  </si>
  <si>
    <t>4-0016</t>
  </si>
  <si>
    <t>4-0018</t>
  </si>
  <si>
    <t>9-0019</t>
  </si>
  <si>
    <t xml:space="preserve"> NATURAL GAS COMBUSTION BY UNIT</t>
  </si>
  <si>
    <t>5-0006</t>
  </si>
  <si>
    <t>5-0007</t>
  </si>
  <si>
    <t>5-0008</t>
  </si>
  <si>
    <t>5-0009</t>
  </si>
  <si>
    <t>5-0010</t>
  </si>
  <si>
    <t>5-0011</t>
  </si>
  <si>
    <t>5-0012</t>
  </si>
  <si>
    <t>6-0205</t>
  </si>
  <si>
    <t>NG Fuel Gas Heater</t>
  </si>
  <si>
    <t>510-0007</t>
  </si>
  <si>
    <t>4-0536</t>
  </si>
  <si>
    <t xml:space="preserve"> ALL UNITS</t>
  </si>
  <si>
    <t>ALL UNITS</t>
  </si>
  <si>
    <t>EPA- Mandatory GHG Rule Reporting Methodology used in Emission Certification Reports.</t>
  </si>
  <si>
    <t>% Biomass</t>
  </si>
  <si>
    <r>
      <t>CO</t>
    </r>
    <r>
      <rPr>
        <b/>
        <vertAlign val="subscript"/>
        <sz val="8"/>
        <rFont val="Arial"/>
        <family val="2"/>
      </rPr>
      <t>2</t>
    </r>
    <r>
      <rPr>
        <b/>
        <sz val="8"/>
        <rFont val="Arial"/>
        <family val="2"/>
      </rPr>
      <t xml:space="preserve"> Emissions (metric tons)</t>
    </r>
  </si>
  <si>
    <r>
      <t>CH</t>
    </r>
    <r>
      <rPr>
        <b/>
        <vertAlign val="subscript"/>
        <sz val="8"/>
        <rFont val="Arial"/>
        <family val="2"/>
      </rPr>
      <t>4</t>
    </r>
    <r>
      <rPr>
        <b/>
        <sz val="8"/>
        <rFont val="Arial"/>
        <family val="2"/>
      </rPr>
      <t xml:space="preserve"> Emissions (metric tons CH</t>
    </r>
    <r>
      <rPr>
        <b/>
        <vertAlign val="subscript"/>
        <sz val="8"/>
        <rFont val="Arial"/>
        <family val="2"/>
      </rPr>
      <t>4</t>
    </r>
    <r>
      <rPr>
        <b/>
        <sz val="8"/>
        <rFont val="Arial"/>
        <family val="2"/>
      </rPr>
      <t>)</t>
    </r>
  </si>
  <si>
    <r>
      <t>N</t>
    </r>
    <r>
      <rPr>
        <b/>
        <vertAlign val="subscript"/>
        <sz val="8"/>
        <rFont val="Arial"/>
        <family val="2"/>
      </rPr>
      <t>2</t>
    </r>
    <r>
      <rPr>
        <b/>
        <sz val="8"/>
        <rFont val="Arial"/>
        <family val="2"/>
      </rPr>
      <t>O Emissions (metric tons CH</t>
    </r>
    <r>
      <rPr>
        <b/>
        <vertAlign val="subscript"/>
        <sz val="8"/>
        <rFont val="Arial"/>
        <family val="2"/>
      </rPr>
      <t>4</t>
    </r>
    <r>
      <rPr>
        <b/>
        <sz val="8"/>
        <rFont val="Arial"/>
        <family val="2"/>
      </rPr>
      <t>)</t>
    </r>
  </si>
  <si>
    <t xml:space="preserve"> Lehigh Kiln System </t>
  </si>
  <si>
    <t xml:space="preserve"> -Coal</t>
  </si>
  <si>
    <t>metric  tons</t>
  </si>
  <si>
    <t xml:space="preserve"> - DBS (Preheater/Precalciner Kiln)</t>
  </si>
  <si>
    <t xml:space="preserve"> - #2 Oil</t>
  </si>
  <si>
    <t>Gallons</t>
  </si>
  <si>
    <t xml:space="preserve"> - Fly Ash</t>
  </si>
  <si>
    <t>Kiln Fossil Fuel Combustion (Calculation)</t>
  </si>
  <si>
    <r>
      <t>Kiln System Total CO</t>
    </r>
    <r>
      <rPr>
        <b/>
        <vertAlign val="subscript"/>
        <sz val="8"/>
        <rFont val="Arial"/>
        <family val="2"/>
      </rPr>
      <t>2</t>
    </r>
    <r>
      <rPr>
        <b/>
        <sz val="8"/>
        <rFont val="Arial"/>
        <family val="2"/>
      </rPr>
      <t xml:space="preserve"> (CEM Measured)</t>
    </r>
  </si>
  <si>
    <t>Non Kiln</t>
  </si>
  <si>
    <t xml:space="preserve"> Finish Mill (#2 Oil)</t>
  </si>
  <si>
    <t>Kiln Fossil Fuel Combustion (short tons)</t>
  </si>
  <si>
    <r>
      <t>Kiln System Total CO</t>
    </r>
    <r>
      <rPr>
        <b/>
        <vertAlign val="subscript"/>
        <sz val="8"/>
        <rFont val="Arial"/>
        <family val="2"/>
      </rPr>
      <t>2</t>
    </r>
    <r>
      <rPr>
        <b/>
        <sz val="8"/>
        <rFont val="Arial"/>
        <family val="2"/>
      </rPr>
      <t xml:space="preserve"> (CEM Measured) (short tons)</t>
    </r>
  </si>
  <si>
    <r>
      <t>Manure Management N</t>
    </r>
    <r>
      <rPr>
        <vertAlign val="subscript"/>
        <sz val="12"/>
        <rFont val="Comic Sans MS"/>
        <family val="4"/>
      </rPr>
      <t>2</t>
    </r>
    <r>
      <rPr>
        <sz val="12"/>
        <rFont val="Comic Sans MS"/>
        <family val="4"/>
      </rPr>
      <t>0 Emissions</t>
    </r>
  </si>
  <si>
    <r>
      <t>Emissions by Gas 
(MMTCH</t>
    </r>
    <r>
      <rPr>
        <b/>
        <vertAlign val="subscript"/>
        <sz val="9"/>
        <rFont val="Calibri"/>
        <family val="2"/>
      </rPr>
      <t>4</t>
    </r>
    <r>
      <rPr>
        <b/>
        <sz val="9"/>
        <rFont val="Calibri"/>
        <family val="2"/>
      </rPr>
      <t xml:space="preserve"> or MMTN</t>
    </r>
    <r>
      <rPr>
        <b/>
        <vertAlign val="subscript"/>
        <sz val="9"/>
        <rFont val="Calibri"/>
        <family val="2"/>
      </rPr>
      <t>2</t>
    </r>
    <r>
      <rPr>
        <b/>
        <sz val="9"/>
        <rFont val="Calibri"/>
        <family val="2"/>
      </rPr>
      <t>O)</t>
    </r>
  </si>
  <si>
    <r>
      <t>Cement Production-Process CO</t>
    </r>
    <r>
      <rPr>
        <b/>
        <vertAlign val="subscript"/>
        <sz val="8"/>
        <rFont val="Arial"/>
        <family val="2"/>
      </rPr>
      <t xml:space="preserve">2 </t>
    </r>
    <r>
      <rPr>
        <b/>
        <sz val="8"/>
        <rFont val="Arial"/>
        <family val="2"/>
      </rPr>
      <t>(short tons)</t>
    </r>
    <r>
      <rPr>
        <b/>
        <vertAlign val="subscript"/>
        <sz val="8"/>
        <rFont val="Arial"/>
        <family val="2"/>
      </rPr>
      <t xml:space="preserve">  </t>
    </r>
    <r>
      <rPr>
        <b/>
        <sz val="8"/>
        <rFont val="Arial"/>
        <family val="2"/>
      </rPr>
      <t>= Kiln System Total CO</t>
    </r>
    <r>
      <rPr>
        <b/>
        <vertAlign val="subscript"/>
        <sz val="8"/>
        <rFont val="Arial"/>
        <family val="2"/>
      </rPr>
      <t>2</t>
    </r>
    <r>
      <rPr>
        <b/>
        <sz val="8"/>
        <rFont val="Arial"/>
        <family val="2"/>
      </rPr>
      <t xml:space="preserve"> - Kiln Fossil Fuel Combustion CO</t>
    </r>
    <r>
      <rPr>
        <b/>
        <vertAlign val="subscript"/>
        <sz val="8"/>
        <rFont val="Arial"/>
        <family val="2"/>
      </rPr>
      <t>2</t>
    </r>
  </si>
  <si>
    <r>
      <t>Total Facility CO</t>
    </r>
    <r>
      <rPr>
        <b/>
        <vertAlign val="subscript"/>
        <sz val="8"/>
        <rFont val="Arial"/>
        <family val="2"/>
      </rPr>
      <t>2</t>
    </r>
    <r>
      <rPr>
        <b/>
        <sz val="8"/>
        <rFont val="Arial"/>
        <family val="2"/>
      </rPr>
      <t xml:space="preserve"> (short tons)</t>
    </r>
    <r>
      <rPr>
        <b/>
        <vertAlign val="subscript"/>
        <sz val="8"/>
        <rFont val="Arial"/>
        <family val="2"/>
      </rPr>
      <t xml:space="preserve"> </t>
    </r>
    <r>
      <rPr>
        <b/>
        <sz val="8"/>
        <rFont val="Arial"/>
        <family val="2"/>
      </rPr>
      <t>= Kiln System CO</t>
    </r>
    <r>
      <rPr>
        <b/>
        <vertAlign val="subscript"/>
        <sz val="8"/>
        <rFont val="Arial"/>
        <family val="2"/>
      </rPr>
      <t>2</t>
    </r>
    <r>
      <rPr>
        <b/>
        <sz val="8"/>
        <rFont val="Arial"/>
        <family val="2"/>
      </rPr>
      <t xml:space="preserve"> + Non-Kiln CO</t>
    </r>
    <r>
      <rPr>
        <b/>
        <vertAlign val="subscript"/>
        <sz val="8"/>
        <rFont val="Arial"/>
        <family val="2"/>
      </rPr>
      <t>2</t>
    </r>
  </si>
  <si>
    <r>
      <t>N</t>
    </r>
    <r>
      <rPr>
        <b/>
        <vertAlign val="subscript"/>
        <sz val="8"/>
        <rFont val="Arial"/>
        <family val="2"/>
      </rPr>
      <t>2</t>
    </r>
    <r>
      <rPr>
        <b/>
        <sz val="8"/>
        <rFont val="Arial"/>
        <family val="2"/>
      </rPr>
      <t>O  Emissions   (metric tons N</t>
    </r>
    <r>
      <rPr>
        <b/>
        <vertAlign val="subscript"/>
        <sz val="8"/>
        <rFont val="Arial"/>
        <family val="2"/>
      </rPr>
      <t>2</t>
    </r>
    <r>
      <rPr>
        <b/>
        <sz val="8"/>
        <rFont val="Arial"/>
        <family val="2"/>
      </rPr>
      <t>O)</t>
    </r>
  </si>
  <si>
    <t>Kiln System</t>
  </si>
  <si>
    <t>short  tons</t>
  </si>
  <si>
    <t xml:space="preserve"> - Tire</t>
  </si>
  <si>
    <r>
      <t>Kiln Fossil Fuel Alone CO</t>
    </r>
    <r>
      <rPr>
        <b/>
        <vertAlign val="subscript"/>
        <sz val="8"/>
        <rFont val="Arial"/>
        <family val="2"/>
      </rPr>
      <t>2</t>
    </r>
    <r>
      <rPr>
        <b/>
        <sz val="8"/>
        <rFont val="Arial"/>
        <family val="2"/>
      </rPr>
      <t xml:space="preserve"> (Calculation)</t>
    </r>
  </si>
  <si>
    <t xml:space="preserve">Non Kiln </t>
  </si>
  <si>
    <t>Raw Meal - # 2 Oil</t>
  </si>
  <si>
    <r>
      <t>Kiln System Total CO</t>
    </r>
    <r>
      <rPr>
        <b/>
        <vertAlign val="subscript"/>
        <sz val="8"/>
        <rFont val="Arial"/>
        <family val="2"/>
      </rPr>
      <t>2</t>
    </r>
    <r>
      <rPr>
        <b/>
        <sz val="8"/>
        <rFont val="Arial"/>
        <family val="2"/>
      </rPr>
      <t xml:space="preserve"> (CEM Measured).</t>
    </r>
  </si>
  <si>
    <r>
      <t>Total Facility CO</t>
    </r>
    <r>
      <rPr>
        <b/>
        <vertAlign val="subscript"/>
        <sz val="8"/>
        <rFont val="Arial"/>
        <family val="2"/>
      </rPr>
      <t>2</t>
    </r>
    <r>
      <rPr>
        <b/>
        <sz val="8"/>
        <rFont val="Arial"/>
        <family val="2"/>
      </rPr>
      <t xml:space="preserve"> Emission = (Kiln System Total CO</t>
    </r>
    <r>
      <rPr>
        <b/>
        <vertAlign val="subscript"/>
        <sz val="8"/>
        <rFont val="Arial"/>
        <family val="2"/>
      </rPr>
      <t>2</t>
    </r>
    <r>
      <rPr>
        <b/>
        <sz val="8"/>
        <rFont val="Arial"/>
        <family val="2"/>
      </rPr>
      <t>) + (Non Kiln CO</t>
    </r>
    <r>
      <rPr>
        <b/>
        <vertAlign val="subscript"/>
        <sz val="8"/>
        <rFont val="Arial"/>
        <family val="2"/>
      </rPr>
      <t>2</t>
    </r>
    <r>
      <rPr>
        <b/>
        <sz val="8"/>
        <rFont val="Arial"/>
        <family val="2"/>
      </rPr>
      <t>)</t>
    </r>
  </si>
  <si>
    <r>
      <t>Kiln Fossil Fuel Alone CO</t>
    </r>
    <r>
      <rPr>
        <b/>
        <vertAlign val="subscript"/>
        <sz val="8"/>
        <rFont val="Arial"/>
        <family val="2"/>
      </rPr>
      <t>2</t>
    </r>
    <r>
      <rPr>
        <b/>
        <sz val="8"/>
        <rFont val="Arial"/>
        <family val="2"/>
      </rPr>
      <t xml:space="preserve"> (Calculated) (short tons)</t>
    </r>
  </si>
  <si>
    <r>
      <t>Cement Process CO</t>
    </r>
    <r>
      <rPr>
        <b/>
        <vertAlign val="subscript"/>
        <sz val="8"/>
        <rFont val="Arial"/>
        <family val="2"/>
      </rPr>
      <t>2</t>
    </r>
    <r>
      <rPr>
        <b/>
        <sz val="8"/>
        <rFont val="Arial"/>
        <family val="2"/>
      </rPr>
      <t xml:space="preserve"> (short tons) = (Total Kiln CO</t>
    </r>
    <r>
      <rPr>
        <b/>
        <vertAlign val="subscript"/>
        <sz val="8"/>
        <rFont val="Arial"/>
        <family val="2"/>
      </rPr>
      <t>2</t>
    </r>
    <r>
      <rPr>
        <b/>
        <sz val="8"/>
        <rFont val="Arial"/>
        <family val="2"/>
      </rPr>
      <t>)  - (Kiln Fossil Fuel Alone CO</t>
    </r>
    <r>
      <rPr>
        <b/>
        <vertAlign val="subscript"/>
        <sz val="8"/>
        <rFont val="Arial"/>
        <family val="2"/>
      </rPr>
      <t>2</t>
    </r>
    <r>
      <rPr>
        <b/>
        <sz val="8"/>
        <rFont val="Arial"/>
        <family val="2"/>
      </rPr>
      <t>)</t>
    </r>
  </si>
  <si>
    <r>
      <t>Total Facility CO</t>
    </r>
    <r>
      <rPr>
        <b/>
        <vertAlign val="subscript"/>
        <sz val="8"/>
        <rFont val="Arial"/>
        <family val="2"/>
      </rPr>
      <t>2</t>
    </r>
    <r>
      <rPr>
        <b/>
        <sz val="8"/>
        <rFont val="Arial"/>
        <family val="2"/>
      </rPr>
      <t xml:space="preserve"> Emission(short tons) = (Kiln System Total CO</t>
    </r>
    <r>
      <rPr>
        <b/>
        <vertAlign val="subscript"/>
        <sz val="8"/>
        <rFont val="Arial"/>
        <family val="2"/>
      </rPr>
      <t>2</t>
    </r>
    <r>
      <rPr>
        <b/>
        <sz val="8"/>
        <rFont val="Arial"/>
        <family val="2"/>
      </rPr>
      <t>) + (Non Kiln CO</t>
    </r>
    <r>
      <rPr>
        <b/>
        <vertAlign val="subscript"/>
        <sz val="8"/>
        <rFont val="Arial"/>
        <family val="2"/>
      </rPr>
      <t>2</t>
    </r>
    <r>
      <rPr>
        <b/>
        <sz val="8"/>
        <rFont val="Arial"/>
        <family val="2"/>
      </rPr>
      <t>)</t>
    </r>
  </si>
  <si>
    <r>
      <t>MD Summmary Cement Process CO</t>
    </r>
    <r>
      <rPr>
        <b/>
        <vertAlign val="subscript"/>
        <sz val="8"/>
        <rFont val="Arial"/>
        <family val="2"/>
      </rPr>
      <t>2</t>
    </r>
    <r>
      <rPr>
        <b/>
        <sz val="8"/>
        <rFont val="Arial"/>
        <family val="2"/>
      </rPr>
      <t xml:space="preserve"> Emissions (short tons) </t>
    </r>
  </si>
  <si>
    <r>
      <t>Cement Process CO</t>
    </r>
    <r>
      <rPr>
        <b/>
        <vertAlign val="subscript"/>
        <sz val="8"/>
        <rFont val="Arial"/>
        <family val="2"/>
      </rPr>
      <t xml:space="preserve">2 </t>
    </r>
    <r>
      <rPr>
        <b/>
        <sz val="8"/>
        <rFont val="Arial"/>
        <family val="2"/>
      </rPr>
      <t>(metric tons)</t>
    </r>
    <r>
      <rPr>
        <b/>
        <vertAlign val="subscript"/>
        <sz val="8"/>
        <rFont val="Arial"/>
        <family val="2"/>
      </rPr>
      <t xml:space="preserve"> </t>
    </r>
    <r>
      <rPr>
        <b/>
        <sz val="8"/>
        <rFont val="Arial"/>
        <family val="2"/>
      </rPr>
      <t xml:space="preserve"> = (Total Kiln CO</t>
    </r>
    <r>
      <rPr>
        <b/>
        <vertAlign val="subscript"/>
        <sz val="8"/>
        <rFont val="Arial"/>
        <family val="2"/>
      </rPr>
      <t>2</t>
    </r>
    <r>
      <rPr>
        <b/>
        <sz val="8"/>
        <rFont val="Arial"/>
        <family val="2"/>
      </rPr>
      <t>)  - (Kiln Fossil Fuel Alone CO</t>
    </r>
    <r>
      <rPr>
        <b/>
        <vertAlign val="subscript"/>
        <sz val="8"/>
        <rFont val="Arial"/>
        <family val="2"/>
      </rPr>
      <t>2</t>
    </r>
    <r>
      <rPr>
        <b/>
        <sz val="8"/>
        <rFont val="Arial"/>
        <family val="2"/>
      </rPr>
      <t>)</t>
    </r>
  </si>
  <si>
    <r>
      <t>Cement Production-Process CO</t>
    </r>
    <r>
      <rPr>
        <b/>
        <vertAlign val="subscript"/>
        <sz val="8"/>
        <rFont val="Arial"/>
        <family val="2"/>
      </rPr>
      <t xml:space="preserve">2 </t>
    </r>
    <r>
      <rPr>
        <b/>
        <sz val="8"/>
        <rFont val="Arial"/>
        <family val="2"/>
      </rPr>
      <t>(metric tons)</t>
    </r>
    <r>
      <rPr>
        <b/>
        <vertAlign val="subscript"/>
        <sz val="8"/>
        <rFont val="Arial"/>
        <family val="2"/>
      </rPr>
      <t xml:space="preserve">  </t>
    </r>
    <r>
      <rPr>
        <b/>
        <sz val="8"/>
        <rFont val="Arial"/>
        <family val="2"/>
      </rPr>
      <t>= Kiln System Total CO</t>
    </r>
    <r>
      <rPr>
        <b/>
        <vertAlign val="subscript"/>
        <sz val="8"/>
        <rFont val="Arial"/>
        <family val="2"/>
      </rPr>
      <t>2</t>
    </r>
    <r>
      <rPr>
        <b/>
        <sz val="8"/>
        <rFont val="Arial"/>
        <family val="2"/>
      </rPr>
      <t xml:space="preserve"> - Kiln Fossil Fuel Combustion CO</t>
    </r>
    <r>
      <rPr>
        <b/>
        <vertAlign val="subscript"/>
        <sz val="8"/>
        <rFont val="Arial"/>
        <family val="2"/>
      </rPr>
      <t>2</t>
    </r>
  </si>
  <si>
    <r>
      <t>CO</t>
    </r>
    <r>
      <rPr>
        <b/>
        <vertAlign val="subscript"/>
        <sz val="10"/>
        <rFont val="Arial"/>
        <family val="2"/>
      </rPr>
      <t>2</t>
    </r>
    <r>
      <rPr>
        <b/>
        <sz val="10"/>
        <rFont val="Arial"/>
        <family val="2"/>
      </rPr>
      <t xml:space="preserve"> Emissions (metric tons)</t>
    </r>
  </si>
  <si>
    <t xml:space="preserve"> MD In-State Gross Generation (MWh)</t>
  </si>
  <si>
    <r>
      <t>CO</t>
    </r>
    <r>
      <rPr>
        <b/>
        <vertAlign val="subscript"/>
        <sz val="10"/>
        <rFont val="Arial"/>
        <family val="2"/>
      </rPr>
      <t>2</t>
    </r>
    <r>
      <rPr>
        <b/>
        <sz val="10"/>
        <rFont val="Arial"/>
        <family val="2"/>
      </rPr>
      <t xml:space="preserve"> Emissions (short tons)</t>
    </r>
  </si>
  <si>
    <r>
      <t>CO</t>
    </r>
    <r>
      <rPr>
        <vertAlign val="subscript"/>
        <sz val="10"/>
        <rFont val="Arial"/>
        <family val="2"/>
      </rPr>
      <t>2</t>
    </r>
  </si>
  <si>
    <t>Bleeders</t>
  </si>
  <si>
    <r>
      <t>CH</t>
    </r>
    <r>
      <rPr>
        <vertAlign val="subscript"/>
        <sz val="10"/>
        <rFont val="Arial"/>
        <family val="2"/>
      </rPr>
      <t>4</t>
    </r>
  </si>
  <si>
    <r>
      <t>N</t>
    </r>
    <r>
      <rPr>
        <vertAlign val="subscript"/>
        <sz val="10"/>
        <rFont val="Arial"/>
        <family val="2"/>
      </rPr>
      <t>2</t>
    </r>
    <r>
      <rPr>
        <sz val="8"/>
        <rFont val="Arial"/>
        <family val="2"/>
      </rPr>
      <t>O</t>
    </r>
  </si>
  <si>
    <t>Sinter Plant</t>
  </si>
  <si>
    <r>
      <t>CH</t>
    </r>
    <r>
      <rPr>
        <vertAlign val="subscript"/>
        <sz val="9"/>
        <rFont val="Arial"/>
        <family val="2"/>
      </rPr>
      <t>4</t>
    </r>
    <r>
      <rPr>
        <b/>
        <sz val="9"/>
        <rFont val="Arial"/>
        <family val="2"/>
      </rPr>
      <t xml:space="preserve"> Collected (tons)</t>
    </r>
  </si>
  <si>
    <r>
      <t>Amount of CH</t>
    </r>
    <r>
      <rPr>
        <b/>
        <vertAlign val="subscript"/>
        <sz val="9"/>
        <rFont val="Arial"/>
        <family val="2"/>
      </rPr>
      <t>4</t>
    </r>
    <r>
      <rPr>
        <b/>
        <sz val="9"/>
        <rFont val="Arial"/>
        <family val="2"/>
      </rPr>
      <t xml:space="preserve"> Flared ,tons</t>
    </r>
  </si>
  <si>
    <r>
      <t xml:space="preserve">Reich's Ford </t>
    </r>
    <r>
      <rPr>
        <b/>
        <sz val="10"/>
        <rFont val="Arial"/>
        <family val="2"/>
      </rPr>
      <t>A &amp; B</t>
    </r>
    <r>
      <rPr>
        <sz val="8"/>
        <rFont val="Arial"/>
        <family val="2"/>
      </rPr>
      <t xml:space="preserve">   Municpal Landfill</t>
    </r>
  </si>
  <si>
    <r>
      <t xml:space="preserve">Reich's Ford Site </t>
    </r>
    <r>
      <rPr>
        <b/>
        <sz val="10"/>
        <rFont val="Arial"/>
        <family val="2"/>
      </rPr>
      <t>B-Cell 3</t>
    </r>
    <r>
      <rPr>
        <sz val="8"/>
        <rFont val="Arial"/>
        <family val="2"/>
      </rPr>
      <t xml:space="preserve"> Municpal Landfill</t>
    </r>
  </si>
  <si>
    <t>Brown Station Landfill A</t>
  </si>
  <si>
    <r>
      <t>Resh Road</t>
    </r>
    <r>
      <rPr>
        <sz val="8"/>
        <rFont val="Arial"/>
        <family val="2"/>
      </rPr>
      <t xml:space="preserve"> 1 &amp; 2 Municipal LF</t>
    </r>
  </si>
  <si>
    <r>
      <t>MSW CH</t>
    </r>
    <r>
      <rPr>
        <b/>
        <vertAlign val="subscript"/>
        <sz val="10"/>
        <rFont val="Arial"/>
        <family val="2"/>
      </rPr>
      <t>4</t>
    </r>
    <r>
      <rPr>
        <b/>
        <sz val="10"/>
        <rFont val="Arial"/>
        <family val="2"/>
      </rPr>
      <t xml:space="preserve"> Generation ( short ton CH</t>
    </r>
    <r>
      <rPr>
        <b/>
        <vertAlign val="subscript"/>
        <sz val="10"/>
        <rFont val="Arial"/>
        <family val="2"/>
      </rPr>
      <t>4</t>
    </r>
    <r>
      <rPr>
        <b/>
        <sz val="10"/>
        <rFont val="Arial"/>
        <family val="2"/>
      </rPr>
      <t>)</t>
    </r>
  </si>
  <si>
    <t xml:space="preserve">MD Summary </t>
  </si>
  <si>
    <t>Montgomery</t>
  </si>
  <si>
    <t>MSW HHV (mmbtu/short tons)</t>
  </si>
  <si>
    <t>EPA factor</t>
  </si>
  <si>
    <t>MSW Heat Input (mmbtu)</t>
  </si>
  <si>
    <t>CEM</t>
  </si>
  <si>
    <t>CEM/ECR</t>
  </si>
  <si>
    <r>
      <t>CH</t>
    </r>
    <r>
      <rPr>
        <vertAlign val="subscript"/>
        <sz val="8"/>
        <rFont val="Arial"/>
        <family val="2"/>
      </rPr>
      <t>4</t>
    </r>
    <r>
      <rPr>
        <sz val="8"/>
        <rFont val="Arial"/>
        <family val="2"/>
      </rPr>
      <t xml:space="preserve"> Emission Factor (kg/mmbtu)</t>
    </r>
  </si>
  <si>
    <r>
      <t>CH</t>
    </r>
    <r>
      <rPr>
        <vertAlign val="subscript"/>
        <sz val="8"/>
        <rFont val="Arial"/>
        <family val="2"/>
      </rPr>
      <t>4</t>
    </r>
    <r>
      <rPr>
        <sz val="8"/>
        <rFont val="Arial"/>
        <family val="2"/>
      </rPr>
      <t xml:space="preserve"> Emissions (kg)</t>
    </r>
  </si>
  <si>
    <r>
      <t>CH</t>
    </r>
    <r>
      <rPr>
        <vertAlign val="subscript"/>
        <sz val="8"/>
        <rFont val="Arial"/>
        <family val="2"/>
      </rPr>
      <t>4</t>
    </r>
    <r>
      <rPr>
        <sz val="8"/>
        <rFont val="Arial"/>
        <family val="2"/>
      </rPr>
      <t xml:space="preserve"> Emissions (short tons)</t>
    </r>
  </si>
  <si>
    <r>
      <t>N</t>
    </r>
    <r>
      <rPr>
        <vertAlign val="subscript"/>
        <sz val="8"/>
        <rFont val="Arial"/>
        <family val="2"/>
      </rPr>
      <t>2</t>
    </r>
    <r>
      <rPr>
        <sz val="8"/>
        <rFont val="Arial"/>
        <family val="2"/>
      </rPr>
      <t>O Emission Factor (kg/mmbtu)</t>
    </r>
  </si>
  <si>
    <r>
      <t>N</t>
    </r>
    <r>
      <rPr>
        <vertAlign val="subscript"/>
        <sz val="8"/>
        <rFont val="Arial"/>
        <family val="2"/>
      </rPr>
      <t>2</t>
    </r>
    <r>
      <rPr>
        <sz val="8"/>
        <rFont val="Arial"/>
        <family val="2"/>
      </rPr>
      <t>O Emissions (kg)</t>
    </r>
  </si>
  <si>
    <r>
      <t>N</t>
    </r>
    <r>
      <rPr>
        <vertAlign val="subscript"/>
        <sz val="8"/>
        <rFont val="Arial"/>
        <family val="2"/>
      </rPr>
      <t>2</t>
    </r>
    <r>
      <rPr>
        <sz val="8"/>
        <rFont val="Arial"/>
        <family val="2"/>
      </rPr>
      <t>O Emissions (short tons)</t>
    </r>
  </si>
  <si>
    <r>
      <t>(MMTCO</t>
    </r>
    <r>
      <rPr>
        <b/>
        <vertAlign val="subscript"/>
        <sz val="10"/>
        <rFont val="Calibri"/>
        <family val="2"/>
      </rPr>
      <t>2</t>
    </r>
    <r>
      <rPr>
        <b/>
        <sz val="10"/>
        <rFont val="Calibri"/>
        <family val="2"/>
      </rPr>
      <t>E)</t>
    </r>
  </si>
  <si>
    <t># 6 Oil</t>
  </si>
  <si>
    <t>BFG</t>
  </si>
  <si>
    <t>NG</t>
  </si>
  <si>
    <t>Pennwood #1</t>
  </si>
  <si>
    <t>(gal)</t>
  </si>
  <si>
    <t>(scf)</t>
  </si>
  <si>
    <t>(mcf)</t>
  </si>
  <si>
    <t>Qty</t>
  </si>
  <si>
    <t>btus/unit</t>
  </si>
  <si>
    <t>mmbtus</t>
  </si>
  <si>
    <r>
      <t>CO</t>
    </r>
    <r>
      <rPr>
        <b/>
        <vertAlign val="subscript"/>
        <sz val="10"/>
        <rFont val="Arial"/>
        <family val="2"/>
      </rPr>
      <t>2</t>
    </r>
    <r>
      <rPr>
        <b/>
        <sz val="10"/>
        <rFont val="Arial"/>
        <family val="2"/>
      </rPr>
      <t xml:space="preserve"> emissions in metric tons</t>
    </r>
  </si>
  <si>
    <r>
      <t>CH</t>
    </r>
    <r>
      <rPr>
        <b/>
        <vertAlign val="subscript"/>
        <sz val="10"/>
        <rFont val="Arial"/>
        <family val="2"/>
      </rPr>
      <t>4</t>
    </r>
    <r>
      <rPr>
        <b/>
        <sz val="10"/>
        <rFont val="Arial"/>
        <family val="2"/>
      </rPr>
      <t xml:space="preserve"> emissions in metric tons</t>
    </r>
  </si>
  <si>
    <t>ECMPS data</t>
  </si>
  <si>
    <t>EPA Emissions Collection and Monitoring Plan System (ECMPS) data in accordance to 40 CFR Part 75</t>
  </si>
  <si>
    <t>Calculation:</t>
  </si>
  <si>
    <t>Usage X Heat Content</t>
  </si>
  <si>
    <r>
      <t>N</t>
    </r>
    <r>
      <rPr>
        <b/>
        <vertAlign val="subscript"/>
        <sz val="10"/>
        <rFont val="Arial"/>
        <family val="2"/>
      </rPr>
      <t>2</t>
    </r>
    <r>
      <rPr>
        <b/>
        <sz val="10"/>
        <rFont val="Arial"/>
        <family val="2"/>
      </rPr>
      <t>O emissions  in metric tons</t>
    </r>
  </si>
  <si>
    <t>Pennwood #2</t>
  </si>
  <si>
    <r>
      <t>N</t>
    </r>
    <r>
      <rPr>
        <b/>
        <vertAlign val="subscript"/>
        <sz val="10"/>
        <rFont val="Arial"/>
        <family val="2"/>
      </rPr>
      <t>2</t>
    </r>
    <r>
      <rPr>
        <b/>
        <sz val="10"/>
        <rFont val="Arial"/>
        <family val="2"/>
      </rPr>
      <t>O emissions in metric tons</t>
    </r>
  </si>
  <si>
    <t>Pennwood #3</t>
  </si>
  <si>
    <t>Pennwood #4</t>
  </si>
  <si>
    <t>(MMTCO2)</t>
  </si>
  <si>
    <r>
      <t>CH</t>
    </r>
    <r>
      <rPr>
        <b/>
        <vertAlign val="subscript"/>
        <sz val="10"/>
        <rFont val="Arial"/>
        <family val="2"/>
      </rPr>
      <t>4</t>
    </r>
    <r>
      <rPr>
        <b/>
        <sz val="10"/>
        <rFont val="Arial"/>
        <family val="2"/>
      </rPr>
      <t xml:space="preserve"> Emission </t>
    </r>
  </si>
  <si>
    <r>
      <t>N</t>
    </r>
    <r>
      <rPr>
        <b/>
        <vertAlign val="subscript"/>
        <sz val="10"/>
        <rFont val="Arial"/>
        <family val="2"/>
      </rPr>
      <t>2</t>
    </r>
    <r>
      <rPr>
        <b/>
        <sz val="10"/>
        <rFont val="Arial"/>
        <family val="2"/>
      </rPr>
      <t xml:space="preserve">O Emission </t>
    </r>
  </si>
  <si>
    <t>kg/mmBTU</t>
  </si>
  <si>
    <t>Oil(2,4)</t>
  </si>
  <si>
    <t>Oil(6)</t>
  </si>
  <si>
    <t xml:space="preserve">% of Heat </t>
  </si>
  <si>
    <t>Share</t>
  </si>
  <si>
    <t># 2 Oil</t>
  </si>
  <si>
    <t># 4 Oil</t>
  </si>
  <si>
    <t>No. 24</t>
  </si>
  <si>
    <t>No. 25</t>
  </si>
  <si>
    <t>No. 26</t>
  </si>
  <si>
    <t>Emissions from Natural Gas Activities in MD</t>
  </si>
  <si>
    <t>Emissions from Mining in MD</t>
  </si>
  <si>
    <t>Emissions from:</t>
  </si>
  <si>
    <t>Mines</t>
  </si>
  <si>
    <t>Underground Mines</t>
  </si>
  <si>
    <t>-</t>
  </si>
  <si>
    <t>Surface Mines</t>
  </si>
  <si>
    <t>Post-Mining Activity</t>
  </si>
  <si>
    <t>Post-Mining Total</t>
  </si>
  <si>
    <t>Total Coal Mining</t>
  </si>
  <si>
    <t>---</t>
  </si>
  <si>
    <t>Methane Recovered from Degasification Systems and Usef for Energy
(mcf)</t>
  </si>
  <si>
    <t>Degasification System Emissions
(mcf)</t>
  </si>
  <si>
    <t>Measured Ventilation Emissions
(mcf)</t>
  </si>
  <si>
    <t>Surface Coal Production
('000 short tons)</t>
  </si>
  <si>
    <t>Coal Production
('000 short tons)</t>
  </si>
  <si>
    <t>Maryland Abandoned Coal Mines Emissions Summary</t>
  </si>
  <si>
    <r>
      <t>Emissions
(mcf CH</t>
    </r>
    <r>
      <rPr>
        <b/>
        <vertAlign val="subscript"/>
        <sz val="7"/>
        <rFont val="Calibri"/>
        <family val="2"/>
      </rPr>
      <t>4</t>
    </r>
    <r>
      <rPr>
        <b/>
        <sz val="7"/>
        <rFont val="Calibri"/>
        <family val="2"/>
      </rPr>
      <t>)</t>
    </r>
  </si>
  <si>
    <r>
      <t>Emissions
(MTCH</t>
    </r>
    <r>
      <rPr>
        <b/>
        <vertAlign val="subscript"/>
        <sz val="7"/>
        <rFont val="Calibri"/>
        <family val="2"/>
      </rPr>
      <t>4</t>
    </r>
    <r>
      <rPr>
        <b/>
        <sz val="7"/>
        <rFont val="Calibri"/>
        <family val="2"/>
      </rPr>
      <t>)</t>
    </r>
  </si>
  <si>
    <r>
      <t>Emissions
(MTCO</t>
    </r>
    <r>
      <rPr>
        <b/>
        <vertAlign val="subscript"/>
        <sz val="7"/>
        <rFont val="Calibri"/>
        <family val="2"/>
      </rPr>
      <t>2</t>
    </r>
    <r>
      <rPr>
        <b/>
        <sz val="7"/>
        <rFont val="Calibri"/>
        <family val="2"/>
      </rPr>
      <t>E)</t>
    </r>
  </si>
  <si>
    <r>
      <t>Basin-specific EF
(ft</t>
    </r>
    <r>
      <rPr>
        <b/>
        <vertAlign val="superscript"/>
        <sz val="7"/>
        <rFont val="Calibri"/>
        <family val="2"/>
      </rPr>
      <t>3</t>
    </r>
    <r>
      <rPr>
        <b/>
        <sz val="7"/>
        <rFont val="Calibri"/>
        <family val="2"/>
      </rPr>
      <t>/short ton)</t>
    </r>
  </si>
  <si>
    <r>
      <t>Emissions
('000 ft</t>
    </r>
    <r>
      <rPr>
        <b/>
        <vertAlign val="superscript"/>
        <sz val="7"/>
        <rFont val="Calibri"/>
        <family val="2"/>
      </rPr>
      <t>3</t>
    </r>
    <r>
      <rPr>
        <b/>
        <sz val="7"/>
        <rFont val="Calibri"/>
        <family val="2"/>
      </rPr>
      <t xml:space="preserve"> CH</t>
    </r>
    <r>
      <rPr>
        <b/>
        <vertAlign val="subscript"/>
        <sz val="7"/>
        <rFont val="Calibri"/>
        <family val="2"/>
      </rPr>
      <t>4</t>
    </r>
    <r>
      <rPr>
        <b/>
        <sz val="7"/>
        <rFont val="Calibri"/>
        <family val="2"/>
      </rPr>
      <t>)</t>
    </r>
  </si>
  <si>
    <r>
      <t>Basin- &amp; Mine-specific EF
(ft</t>
    </r>
    <r>
      <rPr>
        <b/>
        <vertAlign val="superscript"/>
        <sz val="7"/>
        <rFont val="Calibri"/>
        <family val="2"/>
      </rPr>
      <t>3</t>
    </r>
    <r>
      <rPr>
        <b/>
        <sz val="7"/>
        <rFont val="Calibri"/>
        <family val="2"/>
      </rPr>
      <t>/short ton)</t>
    </r>
  </si>
  <si>
    <r>
      <t>(MTCO</t>
    </r>
    <r>
      <rPr>
        <b/>
        <vertAlign val="subscript"/>
        <sz val="7"/>
        <rFont val="Calibri"/>
        <family val="2"/>
      </rPr>
      <t>2</t>
    </r>
    <r>
      <rPr>
        <b/>
        <sz val="7"/>
        <rFont val="Calibri"/>
        <family val="2"/>
      </rPr>
      <t>E)</t>
    </r>
  </si>
  <si>
    <t>Emissions
(MTCE)</t>
  </si>
  <si>
    <t>Maryland Coal Mines Emissions Summary</t>
  </si>
  <si>
    <r>
      <t>Emission Factor
(Gg CH</t>
    </r>
    <r>
      <rPr>
        <b/>
        <vertAlign val="subscript"/>
        <sz val="7"/>
        <rFont val="Calibri"/>
        <family val="2"/>
      </rPr>
      <t>4</t>
    </r>
    <r>
      <rPr>
        <b/>
        <sz val="7"/>
        <rFont val="Calibri"/>
        <family val="2"/>
      </rPr>
      <t>/Gg BOD</t>
    </r>
    <r>
      <rPr>
        <b/>
        <vertAlign val="subscript"/>
        <sz val="7"/>
        <rFont val="Calibri"/>
        <family val="2"/>
      </rPr>
      <t>5</t>
    </r>
    <r>
      <rPr>
        <b/>
        <sz val="7"/>
        <rFont val="Calibri"/>
        <family val="2"/>
      </rPr>
      <t>)</t>
    </r>
  </si>
  <si>
    <r>
      <t>Emissions
(metric tons CH</t>
    </r>
    <r>
      <rPr>
        <b/>
        <vertAlign val="subscript"/>
        <sz val="7"/>
        <rFont val="Calibri"/>
        <family val="2"/>
      </rPr>
      <t>4</t>
    </r>
    <r>
      <rPr>
        <b/>
        <sz val="7"/>
        <rFont val="Calibri"/>
        <family val="2"/>
      </rPr>
      <t>)</t>
    </r>
  </si>
  <si>
    <r>
      <t>CH</t>
    </r>
    <r>
      <rPr>
        <b/>
        <vertAlign val="subscript"/>
        <sz val="7"/>
        <rFont val="Calibri"/>
        <family val="2"/>
      </rPr>
      <t xml:space="preserve">4 </t>
    </r>
    <r>
      <rPr>
        <b/>
        <sz val="7"/>
        <rFont val="Calibri"/>
        <family val="2"/>
      </rPr>
      <t>GWP
(CO</t>
    </r>
    <r>
      <rPr>
        <b/>
        <vertAlign val="subscript"/>
        <sz val="7"/>
        <rFont val="Calibri"/>
        <family val="2"/>
      </rPr>
      <t>2</t>
    </r>
    <r>
      <rPr>
        <b/>
        <sz val="7"/>
        <rFont val="Calibri"/>
        <family val="2"/>
      </rPr>
      <t xml:space="preserve"> Eq.)</t>
    </r>
  </si>
  <si>
    <r>
      <t>Emissions
(MMTCO</t>
    </r>
    <r>
      <rPr>
        <b/>
        <vertAlign val="subscript"/>
        <sz val="7"/>
        <rFont val="Calibri"/>
        <family val="2"/>
      </rPr>
      <t>2</t>
    </r>
    <r>
      <rPr>
        <b/>
        <sz val="7"/>
        <rFont val="Calibri"/>
        <family val="2"/>
      </rPr>
      <t>E)</t>
    </r>
  </si>
  <si>
    <r>
      <t>Emissions 
(metric tons N</t>
    </r>
    <r>
      <rPr>
        <b/>
        <vertAlign val="subscript"/>
        <sz val="7"/>
        <rFont val="Comic Sans MS"/>
        <family val="4"/>
      </rPr>
      <t>2</t>
    </r>
    <r>
      <rPr>
        <b/>
        <sz val="7"/>
        <rFont val="Comic Sans MS"/>
        <family val="4"/>
      </rPr>
      <t>O)</t>
    </r>
  </si>
  <si>
    <r>
      <t>Emission Factor
(kg N</t>
    </r>
    <r>
      <rPr>
        <b/>
        <vertAlign val="subscript"/>
        <sz val="7"/>
        <rFont val="Comic Sans MS"/>
        <family val="4"/>
      </rPr>
      <t>2</t>
    </r>
    <r>
      <rPr>
        <b/>
        <sz val="7"/>
        <rFont val="Comic Sans MS"/>
        <family val="4"/>
      </rPr>
      <t xml:space="preserve">O-N/ kg sewage N-produced) </t>
    </r>
  </si>
  <si>
    <r>
      <t>N</t>
    </r>
    <r>
      <rPr>
        <b/>
        <vertAlign val="subscript"/>
        <sz val="7"/>
        <rFont val="Calibri"/>
        <family val="2"/>
      </rPr>
      <t>2</t>
    </r>
    <r>
      <rPr>
        <b/>
        <sz val="7"/>
        <rFont val="Calibri"/>
        <family val="2"/>
      </rPr>
      <t>O GWP
(CO</t>
    </r>
    <r>
      <rPr>
        <b/>
        <vertAlign val="subscript"/>
        <sz val="7"/>
        <rFont val="Calibri"/>
        <family val="2"/>
      </rPr>
      <t>2</t>
    </r>
    <r>
      <rPr>
        <b/>
        <sz val="7"/>
        <rFont val="Calibri"/>
        <family val="2"/>
      </rPr>
      <t xml:space="preserve"> Eq.)</t>
    </r>
  </si>
  <si>
    <r>
      <t>Emissions
(Metric Tons N</t>
    </r>
    <r>
      <rPr>
        <b/>
        <vertAlign val="subscript"/>
        <sz val="7"/>
        <rFont val="Calibri"/>
        <family val="2"/>
      </rPr>
      <t>2</t>
    </r>
    <r>
      <rPr>
        <b/>
        <sz val="7"/>
        <rFont val="Calibri"/>
        <family val="2"/>
      </rPr>
      <t>O)</t>
    </r>
  </si>
  <si>
    <r>
      <t>Direct N</t>
    </r>
    <r>
      <rPr>
        <b/>
        <vertAlign val="subscript"/>
        <sz val="7"/>
        <rFont val="Calibri"/>
        <family val="2"/>
      </rPr>
      <t>2</t>
    </r>
    <r>
      <rPr>
        <b/>
        <sz val="7"/>
        <rFont val="Calibri"/>
        <family val="2"/>
      </rPr>
      <t>O Emissions from Wastewater Treatment
 (g N</t>
    </r>
    <r>
      <rPr>
        <b/>
        <vertAlign val="subscript"/>
        <sz val="7"/>
        <rFont val="Calibri"/>
        <family val="2"/>
      </rPr>
      <t>2</t>
    </r>
    <r>
      <rPr>
        <b/>
        <sz val="7"/>
        <rFont val="Calibri"/>
        <family val="2"/>
      </rPr>
      <t>O/person/year)</t>
    </r>
  </si>
  <si>
    <t>Default MD Abandoned Mine Emissions
Gg/Year</t>
  </si>
  <si>
    <t xml:space="preserve">Mine Status
Percent </t>
  </si>
  <si>
    <t>State Population</t>
  </si>
  <si>
    <t>Days per Year
(days)</t>
  </si>
  <si>
    <t>Unit Conversion
(metric tons/kg)</t>
  </si>
  <si>
    <t>Unit Conversion
(MMT/MT)</t>
  </si>
  <si>
    <t>Emissions
(MMTCE)</t>
  </si>
  <si>
    <t>Maryland Municipal Wastewater Methane Emissions</t>
  </si>
  <si>
    <r>
      <t>Per Capita BOD</t>
    </r>
    <r>
      <rPr>
        <b/>
        <vertAlign val="subscript"/>
        <sz val="7"/>
        <rFont val="Calibri"/>
        <family val="2"/>
      </rPr>
      <t xml:space="preserve">5
</t>
    </r>
    <r>
      <rPr>
        <b/>
        <sz val="7"/>
        <rFont val="Calibri"/>
        <family val="2"/>
      </rPr>
      <t>(kg/day)</t>
    </r>
  </si>
  <si>
    <r>
      <t>WW BOD</t>
    </r>
    <r>
      <rPr>
        <b/>
        <vertAlign val="subscript"/>
        <sz val="7"/>
        <rFont val="Calibri"/>
        <family val="2"/>
      </rPr>
      <t>5</t>
    </r>
    <r>
      <rPr>
        <b/>
        <sz val="7"/>
        <rFont val="Calibri"/>
        <family val="2"/>
      </rPr>
      <t xml:space="preserve"> anaerobically digested
(percent)</t>
    </r>
  </si>
  <si>
    <r>
      <t>(MMTCO</t>
    </r>
    <r>
      <rPr>
        <b/>
        <vertAlign val="subscript"/>
        <sz val="11"/>
        <rFont val="Calibri"/>
        <family val="2"/>
      </rPr>
      <t>2</t>
    </r>
    <r>
      <rPr>
        <b/>
        <sz val="11"/>
        <rFont val="Calibri"/>
        <family val="2"/>
      </rPr>
      <t>E)</t>
    </r>
  </si>
  <si>
    <r>
      <t>C/CO</t>
    </r>
    <r>
      <rPr>
        <b/>
        <vertAlign val="subscript"/>
        <sz val="7"/>
        <rFont val="Calibri"/>
        <family val="2"/>
      </rPr>
      <t>2</t>
    </r>
  </si>
  <si>
    <t>Maryland Wastewater Emissions Summary</t>
  </si>
  <si>
    <t>Maryland Direct Nitrous Oxide Emissions from Municipal Wastewater Treatment</t>
  </si>
  <si>
    <t>Fraction of Population not on Septic</t>
  </si>
  <si>
    <t>Unit Conversion
(g/metric ton)</t>
  </si>
  <si>
    <t xml:space="preserve">Unit Conversion
(MMT/MT)
</t>
  </si>
  <si>
    <t>Maryland Effulent Nitrous Oxide Emissions from Municipal Wastewater Treatment</t>
  </si>
  <si>
    <t>Fraction Non-Consumption N</t>
  </si>
  <si>
    <t>Unit Conversion</t>
  </si>
  <si>
    <t>Percentage of Biosolids Used as Fertilizer</t>
  </si>
  <si>
    <r>
      <t>N</t>
    </r>
    <r>
      <rPr>
        <b/>
        <vertAlign val="subscript"/>
        <sz val="7"/>
        <rFont val="Comic Sans MS"/>
        <family val="4"/>
      </rPr>
      <t>2</t>
    </r>
    <r>
      <rPr>
        <b/>
        <sz val="7"/>
        <rFont val="Comic Sans MS"/>
        <family val="4"/>
      </rPr>
      <t>O/N</t>
    </r>
    <r>
      <rPr>
        <b/>
        <vertAlign val="subscript"/>
        <sz val="7"/>
        <rFont val="Comic Sans MS"/>
        <family val="4"/>
      </rPr>
      <t>2</t>
    </r>
  </si>
  <si>
    <r>
      <t>(CO</t>
    </r>
    <r>
      <rPr>
        <vertAlign val="subscript"/>
        <sz val="7"/>
        <rFont val="Comic Sans MS"/>
        <family val="4"/>
      </rPr>
      <t>2</t>
    </r>
    <r>
      <rPr>
        <sz val="7"/>
        <rFont val="Comic Sans MS"/>
        <family val="4"/>
      </rPr>
      <t xml:space="preserve"> Eq.)</t>
    </r>
  </si>
  <si>
    <t>(MMT/MT)</t>
  </si>
  <si>
    <r>
      <t>(MMTCO</t>
    </r>
    <r>
      <rPr>
        <vertAlign val="subscript"/>
        <sz val="7"/>
        <rFont val="Comic Sans MS"/>
        <family val="4"/>
      </rPr>
      <t>2</t>
    </r>
    <r>
      <rPr>
        <sz val="7"/>
        <rFont val="Comic Sans MS"/>
        <family val="4"/>
      </rPr>
      <t>E)</t>
    </r>
  </si>
  <si>
    <t>Protein
(kg/ person/ year)</t>
  </si>
  <si>
    <r>
      <t>Frac</t>
    </r>
    <r>
      <rPr>
        <b/>
        <vertAlign val="subscript"/>
        <sz val="7"/>
        <rFont val="Comic Sans MS"/>
        <family val="4"/>
      </rPr>
      <t xml:space="preserve">NPR 
</t>
    </r>
    <r>
      <rPr>
        <b/>
        <sz val="7"/>
        <rFont val="Comic Sans MS"/>
        <family val="4"/>
      </rPr>
      <t xml:space="preserve">(kg N/kg protein) </t>
    </r>
  </si>
  <si>
    <t>N in Domestic Wastewater
(metric tons)</t>
  </si>
  <si>
    <t>MD -Electricity Losses (MWh) (Transmission and Distribution) Assume 6.25 %</t>
  </si>
  <si>
    <t>Direct N Emissions from Domestic Wastewater
(metric tons)</t>
  </si>
  <si>
    <t>Biosolids Available N
(metric tons)</t>
  </si>
  <si>
    <r>
      <t>N</t>
    </r>
    <r>
      <rPr>
        <b/>
        <vertAlign val="subscript"/>
        <sz val="7"/>
        <rFont val="Comic Sans MS"/>
        <family val="4"/>
      </rPr>
      <t>2</t>
    </r>
    <r>
      <rPr>
        <b/>
        <sz val="7"/>
        <rFont val="Comic Sans MS"/>
        <family val="4"/>
      </rPr>
      <t>O GWP
(CO2 Eq.)</t>
    </r>
  </si>
  <si>
    <t>Emissions from Biosolids
(MMTCE)</t>
  </si>
  <si>
    <t>Direct Emissions
(MMTCE)</t>
  </si>
  <si>
    <t>Total Emissions
(MMTCE)</t>
  </si>
  <si>
    <t>Emission
(MMTCO2E)</t>
  </si>
  <si>
    <t>Production Processed</t>
  </si>
  <si>
    <t xml:space="preserve">WW Outflow </t>
  </si>
  <si>
    <t xml:space="preserve">COD </t>
  </si>
  <si>
    <t>COD Degraded</t>
  </si>
  <si>
    <r>
      <t>CH</t>
    </r>
    <r>
      <rPr>
        <b/>
        <vertAlign val="subscript"/>
        <sz val="7"/>
        <rFont val="Comic Sans MS"/>
        <family val="4"/>
      </rPr>
      <t>4</t>
    </r>
    <r>
      <rPr>
        <b/>
        <sz val="7"/>
        <rFont val="Comic Sans MS"/>
        <family val="4"/>
      </rPr>
      <t xml:space="preserve"> GWP</t>
    </r>
  </si>
  <si>
    <r>
      <t>(m</t>
    </r>
    <r>
      <rPr>
        <vertAlign val="superscript"/>
        <sz val="7"/>
        <rFont val="Comic Sans MS"/>
        <family val="4"/>
      </rPr>
      <t>3</t>
    </r>
    <r>
      <rPr>
        <sz val="7"/>
        <rFont val="Comic Sans MS"/>
        <family val="4"/>
      </rPr>
      <t>/metric ton)</t>
    </r>
  </si>
  <si>
    <r>
      <t>(l/m</t>
    </r>
    <r>
      <rPr>
        <vertAlign val="superscript"/>
        <sz val="7"/>
        <rFont val="Comic Sans MS"/>
        <family val="4"/>
      </rPr>
      <t>3</t>
    </r>
    <r>
      <rPr>
        <sz val="7"/>
        <rFont val="Comic Sans MS"/>
        <family val="4"/>
      </rPr>
      <t>)</t>
    </r>
  </si>
  <si>
    <t>(g COD/l)</t>
  </si>
  <si>
    <r>
      <t>(g CH</t>
    </r>
    <r>
      <rPr>
        <vertAlign val="subscript"/>
        <sz val="7"/>
        <rFont val="Comic Sans MS"/>
        <family val="4"/>
      </rPr>
      <t>4</t>
    </r>
    <r>
      <rPr>
        <sz val="7"/>
        <rFont val="Comic Sans MS"/>
        <family val="4"/>
      </rPr>
      <t>/g COD)</t>
    </r>
  </si>
  <si>
    <t>(percent)</t>
  </si>
  <si>
    <r>
      <t>(g CH</t>
    </r>
    <r>
      <rPr>
        <vertAlign val="subscript"/>
        <sz val="7"/>
        <rFont val="Comic Sans MS"/>
        <family val="4"/>
      </rPr>
      <t>4</t>
    </r>
    <r>
      <rPr>
        <sz val="7"/>
        <rFont val="Comic Sans MS"/>
        <family val="4"/>
      </rPr>
      <t>)</t>
    </r>
  </si>
  <si>
    <t>(g/Tg)</t>
  </si>
  <si>
    <r>
      <t>(Tg or MMT CH</t>
    </r>
    <r>
      <rPr>
        <vertAlign val="subscript"/>
        <sz val="7"/>
        <rFont val="Comic Sans MS"/>
        <family val="4"/>
      </rPr>
      <t>4</t>
    </r>
    <r>
      <rPr>
        <sz val="7"/>
        <rFont val="Comic Sans MS"/>
        <family val="4"/>
      </rPr>
      <t>)</t>
    </r>
  </si>
  <si>
    <t>Agricultural Emissions in Maryland</t>
  </si>
  <si>
    <t>Dairy Cattle</t>
  </si>
  <si>
    <t>Dairy Cows</t>
  </si>
  <si>
    <t>Dairy Replacement Heifers</t>
  </si>
  <si>
    <t xml:space="preserve">   Replacements 0-12 mos.</t>
  </si>
  <si>
    <t xml:space="preserve">   Replacements 12-24 mos.</t>
  </si>
  <si>
    <t>Magesium Production from Dolomite</t>
  </si>
  <si>
    <t>Soda Ash Use</t>
  </si>
  <si>
    <t>Manufacture</t>
  </si>
  <si>
    <t xml:space="preserve">   =</t>
  </si>
  <si>
    <t>Ammonia Production and Urea Consumption</t>
  </si>
  <si>
    <t>Consumption
(Metric Tons)</t>
  </si>
  <si>
    <t>Manufacture and Consumption
(Metric tons)</t>
  </si>
  <si>
    <t>Production &amp; Consumption
(Metric Tons)</t>
  </si>
  <si>
    <t>Subract emissions from Urea</t>
  </si>
  <si>
    <t>Ozone Depleting Substances (ODS) Substitutes</t>
  </si>
  <si>
    <t>Electric Power Transmission &amp; Distribution (T&amp;D)</t>
  </si>
  <si>
    <t>National Population</t>
  </si>
  <si>
    <t>Apportioned National Emissions
(MTCE)</t>
  </si>
  <si>
    <t>/</t>
  </si>
  <si>
    <r>
      <t>SF</t>
    </r>
    <r>
      <rPr>
        <b/>
        <vertAlign val="subscript"/>
        <sz val="9"/>
        <rFont val="Calibri"/>
        <family val="2"/>
      </rPr>
      <t>6</t>
    </r>
    <r>
      <rPr>
        <b/>
        <sz val="9"/>
        <rFont val="Calibri"/>
        <family val="2"/>
      </rPr>
      <t xml:space="preserve"> Consumption
(Metric Tons)</t>
    </r>
  </si>
  <si>
    <t>Production
(Metric Tons)</t>
  </si>
  <si>
    <t>Emission Factor
(t CE/t Production)</t>
  </si>
  <si>
    <t>Aluminum Production (EastAlCo Shut Down)</t>
  </si>
  <si>
    <r>
      <t>CO</t>
    </r>
    <r>
      <rPr>
        <b/>
        <vertAlign val="subscript"/>
        <sz val="8"/>
        <rFont val="Arial"/>
        <family val="2"/>
      </rPr>
      <t>2</t>
    </r>
  </si>
  <si>
    <r>
      <t>N</t>
    </r>
    <r>
      <rPr>
        <b/>
        <vertAlign val="subscript"/>
        <sz val="8"/>
        <rFont val="Arial"/>
        <family val="2"/>
      </rPr>
      <t>2</t>
    </r>
    <r>
      <rPr>
        <b/>
        <sz val="8"/>
        <rFont val="Arial"/>
        <family val="2"/>
      </rPr>
      <t>O</t>
    </r>
  </si>
  <si>
    <r>
      <t>CH</t>
    </r>
    <r>
      <rPr>
        <b/>
        <vertAlign val="subscript"/>
        <sz val="8"/>
        <rFont val="Arial"/>
        <family val="2"/>
      </rPr>
      <t>4</t>
    </r>
  </si>
  <si>
    <r>
      <t>Electric Power Production  and CO</t>
    </r>
    <r>
      <rPr>
        <vertAlign val="subscript"/>
        <sz val="14"/>
        <rFont val="Comic Sans MS"/>
        <family val="4"/>
      </rPr>
      <t>2</t>
    </r>
    <r>
      <rPr>
        <sz val="14"/>
        <rFont val="Comic Sans MS"/>
        <family val="4"/>
      </rPr>
      <t xml:space="preserve"> Emissions in Maryland</t>
    </r>
  </si>
  <si>
    <r>
      <t>(MMTCO</t>
    </r>
    <r>
      <rPr>
        <b/>
        <vertAlign val="subscript"/>
        <sz val="8"/>
        <rFont val="Arial"/>
        <family val="2"/>
      </rPr>
      <t>2</t>
    </r>
    <r>
      <rPr>
        <b/>
        <sz val="8"/>
        <rFont val="Arial"/>
        <family val="2"/>
      </rPr>
      <t>E)</t>
    </r>
  </si>
  <si>
    <t>Landfill Emissions</t>
  </si>
  <si>
    <t>Incinerator Emissions</t>
  </si>
  <si>
    <t>Cement Industry Production Emissions</t>
  </si>
  <si>
    <t>Iron &amp; Steel Industry Production Emissions</t>
  </si>
  <si>
    <t>Maryland  GHG Emissions by Sectors</t>
  </si>
  <si>
    <t>Residential Open Burning - Leaves, Brush, MSW</t>
  </si>
  <si>
    <t>Open Burning</t>
  </si>
  <si>
    <t>Land Use, Land-Use Change, and Forestry Emissions and Sequestration</t>
  </si>
  <si>
    <t>Beef Cattle</t>
  </si>
  <si>
    <t>Beef Cows</t>
  </si>
  <si>
    <t>2011MD</t>
  </si>
  <si>
    <t>Beef Replacement Heifers</t>
  </si>
  <si>
    <t>Heifer Stockers</t>
  </si>
  <si>
    <t>Steer Stockers</t>
  </si>
  <si>
    <t>Feedlot Heifers</t>
  </si>
  <si>
    <t>Feedlot Steer</t>
  </si>
  <si>
    <t>Bulls</t>
  </si>
  <si>
    <t>Sheep</t>
  </si>
  <si>
    <t>Goats</t>
  </si>
  <si>
    <t>Swine</t>
  </si>
  <si>
    <t>Horses</t>
  </si>
  <si>
    <t>Number of Animals
('000 head)</t>
  </si>
  <si>
    <r>
      <t>Emission Factor
(kg CH</t>
    </r>
    <r>
      <rPr>
        <b/>
        <vertAlign val="subscript"/>
        <sz val="7"/>
        <rFont val="Arial"/>
        <family val="2"/>
      </rPr>
      <t>4</t>
    </r>
    <r>
      <rPr>
        <b/>
        <sz val="7"/>
        <rFont val="Arial"/>
        <family val="2"/>
      </rPr>
      <t>/head)</t>
    </r>
  </si>
  <si>
    <r>
      <t>Emissions
(kg CH</t>
    </r>
    <r>
      <rPr>
        <b/>
        <vertAlign val="subscript"/>
        <sz val="7"/>
        <rFont val="Arial"/>
        <family val="2"/>
      </rPr>
      <t>4</t>
    </r>
    <r>
      <rPr>
        <b/>
        <sz val="7"/>
        <rFont val="Arial"/>
        <family val="2"/>
      </rPr>
      <t>)</t>
    </r>
  </si>
  <si>
    <r>
      <t>Emissions
(MMTCH</t>
    </r>
    <r>
      <rPr>
        <b/>
        <vertAlign val="subscript"/>
        <sz val="7"/>
        <rFont val="Arial"/>
        <family val="2"/>
      </rPr>
      <t>4</t>
    </r>
    <r>
      <rPr>
        <b/>
        <sz val="7"/>
        <rFont val="Arial"/>
        <family val="2"/>
      </rPr>
      <t>)</t>
    </r>
  </si>
  <si>
    <r>
      <t>Emissions
(MMTCO</t>
    </r>
    <r>
      <rPr>
        <b/>
        <vertAlign val="subscript"/>
        <sz val="7"/>
        <rFont val="Arial"/>
        <family val="2"/>
      </rPr>
      <t>2</t>
    </r>
    <r>
      <rPr>
        <b/>
        <sz val="7"/>
        <rFont val="Arial"/>
        <family val="2"/>
      </rPr>
      <t>E)</t>
    </r>
  </si>
  <si>
    <t>Manure Management Methane Emissions</t>
  </si>
  <si>
    <t>Enteric Fermentation Emissions</t>
  </si>
  <si>
    <t>Number of Animals ('000 head)</t>
  </si>
  <si>
    <t>Typical Animal Mass (TAM) (kg)</t>
  </si>
  <si>
    <t>Volatile Solids (VS)  [kg VS/1000 kg animal mass/day]</t>
  </si>
  <si>
    <t>Total VS (kg/yr)</t>
  </si>
  <si>
    <r>
      <t>Max Pot. Emissions (m</t>
    </r>
    <r>
      <rPr>
        <b/>
        <vertAlign val="superscript"/>
        <sz val="7"/>
        <rFont val="Comic Sans MS"/>
        <family val="4"/>
      </rPr>
      <t>3</t>
    </r>
    <r>
      <rPr>
        <b/>
        <sz val="7"/>
        <rFont val="Comic Sans MS"/>
        <family val="4"/>
      </rPr>
      <t xml:space="preserve"> CH</t>
    </r>
    <r>
      <rPr>
        <b/>
        <vertAlign val="subscript"/>
        <sz val="7"/>
        <rFont val="Comic Sans MS"/>
        <family val="4"/>
      </rPr>
      <t>4</t>
    </r>
    <r>
      <rPr>
        <b/>
        <sz val="7"/>
        <rFont val="Comic Sans MS"/>
        <family val="4"/>
      </rPr>
      <t>/ kg VS)</t>
    </r>
  </si>
  <si>
    <t>Weighted MCF</t>
  </si>
  <si>
    <r>
      <t>Emissions      (m</t>
    </r>
    <r>
      <rPr>
        <b/>
        <vertAlign val="superscript"/>
        <sz val="7"/>
        <rFont val="Comic Sans MS"/>
        <family val="4"/>
      </rPr>
      <t>3</t>
    </r>
    <r>
      <rPr>
        <b/>
        <sz val="7"/>
        <rFont val="Comic Sans MS"/>
        <family val="4"/>
      </rPr>
      <t xml:space="preserve"> CH</t>
    </r>
    <r>
      <rPr>
        <b/>
        <vertAlign val="subscript"/>
        <sz val="7"/>
        <rFont val="Comic Sans MS"/>
        <family val="4"/>
      </rPr>
      <t>4</t>
    </r>
    <r>
      <rPr>
        <b/>
        <sz val="7"/>
        <rFont val="Comic Sans MS"/>
        <family val="4"/>
      </rPr>
      <t>)</t>
    </r>
  </si>
  <si>
    <r>
      <t>Emissions (Metric Tons CH</t>
    </r>
    <r>
      <rPr>
        <b/>
        <vertAlign val="subscript"/>
        <sz val="7"/>
        <rFont val="Comic Sans MS"/>
        <family val="4"/>
      </rPr>
      <t>4</t>
    </r>
    <r>
      <rPr>
        <b/>
        <sz val="7"/>
        <rFont val="Comic Sans MS"/>
        <family val="4"/>
      </rPr>
      <t>)</t>
    </r>
  </si>
  <si>
    <r>
      <t>Emissions (MMTCH</t>
    </r>
    <r>
      <rPr>
        <b/>
        <vertAlign val="subscript"/>
        <sz val="7"/>
        <rFont val="Comic Sans MS"/>
        <family val="4"/>
      </rPr>
      <t>4</t>
    </r>
    <r>
      <rPr>
        <b/>
        <sz val="7"/>
        <rFont val="Comic Sans MS"/>
        <family val="4"/>
      </rPr>
      <t>)</t>
    </r>
  </si>
  <si>
    <t>Emissions (MMTCE)</t>
  </si>
  <si>
    <r>
      <t>Emissions  (MMTCO</t>
    </r>
    <r>
      <rPr>
        <b/>
        <vertAlign val="subscript"/>
        <sz val="7"/>
        <rFont val="Arial"/>
        <family val="2"/>
      </rPr>
      <t>2</t>
    </r>
    <r>
      <rPr>
        <b/>
        <sz val="7"/>
        <rFont val="Arial"/>
        <family val="2"/>
      </rPr>
      <t>E)</t>
    </r>
  </si>
  <si>
    <t>Calves</t>
  </si>
  <si>
    <t>Breeding Swine</t>
  </si>
  <si>
    <t>Market Under 60 lbs</t>
  </si>
  <si>
    <t>Market 60-119 lbs</t>
  </si>
  <si>
    <t>Market 120-179 lbs</t>
  </si>
  <si>
    <t>Market over 180 lbs</t>
  </si>
  <si>
    <t>Layers</t>
  </si>
  <si>
    <t>Hens &gt; 1 yr</t>
  </si>
  <si>
    <t>Pullets</t>
  </si>
  <si>
    <t>Chickens</t>
  </si>
  <si>
    <t>Broilers</t>
  </si>
  <si>
    <t>Turkeys</t>
  </si>
  <si>
    <t>Sheep on Feed</t>
  </si>
  <si>
    <t>Sheep Not on Feed</t>
  </si>
  <si>
    <t>Dairy</t>
  </si>
  <si>
    <t xml:space="preserve"> </t>
  </si>
  <si>
    <t>(A)</t>
  </si>
  <si>
    <t>(B)</t>
  </si>
  <si>
    <t>(A) +(B)</t>
  </si>
  <si>
    <t>Emissions (short tons)</t>
  </si>
  <si>
    <t>Unvolatilized N from Manure in Solid Storage, Drylot &amp; Other Systems
(kg)</t>
  </si>
  <si>
    <t>Unvolatilized N from Manure in Anaerobic Lagoons and Liquid Systems
(kg)</t>
  </si>
  <si>
    <t>Total K-Nitrogen Excreted
(kg)</t>
  </si>
  <si>
    <t>Emissions from Anaerobic Lagoons and Liquid Systems
(kg N2O-N)</t>
  </si>
  <si>
    <t>Emissions from Solid Storage, Drylot, &amp; Other Systems
(kg N2O-N)</t>
  </si>
  <si>
    <r>
      <t>Total N</t>
    </r>
    <r>
      <rPr>
        <b/>
        <vertAlign val="subscript"/>
        <sz val="7"/>
        <rFont val="Arial"/>
        <family val="2"/>
      </rPr>
      <t>2</t>
    </r>
    <r>
      <rPr>
        <b/>
        <sz val="7"/>
        <rFont val="Arial"/>
        <family val="2"/>
      </rPr>
      <t>O Emissions
(kg N</t>
    </r>
    <r>
      <rPr>
        <b/>
        <vertAlign val="subscript"/>
        <sz val="7"/>
        <rFont val="Arial"/>
        <family val="2"/>
      </rPr>
      <t>2</t>
    </r>
    <r>
      <rPr>
        <b/>
        <sz val="7"/>
        <rFont val="Arial"/>
        <family val="2"/>
      </rPr>
      <t>O)</t>
    </r>
  </si>
  <si>
    <t>Legumes and Crop Residue Calculations</t>
  </si>
  <si>
    <t xml:space="preserve">Crop Production </t>
  </si>
  <si>
    <t>Crop Production (metric tons)</t>
  </si>
  <si>
    <t>N-Fixed by Crops (kg)</t>
  </si>
  <si>
    <t xml:space="preserve">Alfalfa  </t>
  </si>
  <si>
    <t>'000 tons</t>
  </si>
  <si>
    <t>Residues</t>
  </si>
  <si>
    <t xml:space="preserve">Corn for Grain </t>
  </si>
  <si>
    <t>'000 bushels</t>
  </si>
  <si>
    <t>Legumes</t>
  </si>
  <si>
    <t xml:space="preserve">All Wheat </t>
  </si>
  <si>
    <t xml:space="preserve">Barley </t>
  </si>
  <si>
    <t>Sorghum for Grain</t>
  </si>
  <si>
    <t>Oats</t>
  </si>
  <si>
    <t>Rye</t>
  </si>
  <si>
    <t>Millet</t>
  </si>
  <si>
    <t>Rice</t>
  </si>
  <si>
    <t xml:space="preserve">Soybeans </t>
  </si>
  <si>
    <t>Peanuts</t>
  </si>
  <si>
    <t>'000 lbs</t>
  </si>
  <si>
    <t>Dry Edible Beans</t>
  </si>
  <si>
    <t>Dry Edible Peas</t>
  </si>
  <si>
    <t>Austrian Winter Peas</t>
  </si>
  <si>
    <t>Lentils</t>
  </si>
  <si>
    <t>Wrinkled Seed Peas</t>
  </si>
  <si>
    <t>Red Clover</t>
  </si>
  <si>
    <t>metric tons</t>
  </si>
  <si>
    <t>White Clover</t>
  </si>
  <si>
    <t>Birdsfoot Trefoil</t>
  </si>
  <si>
    <t>Arrowleaf Clover</t>
  </si>
  <si>
    <t>Crimson Clover</t>
  </si>
  <si>
    <t>Crop</t>
  </si>
  <si>
    <t>metric tons/bushel:</t>
  </si>
  <si>
    <t>Residue: Crop Mass Ratio</t>
  </si>
  <si>
    <t>Barley</t>
  </si>
  <si>
    <t>Soybeans</t>
  </si>
  <si>
    <r>
      <t>Direct N</t>
    </r>
    <r>
      <rPr>
        <b/>
        <vertAlign val="subscript"/>
        <sz val="8"/>
        <rFont val="Calibri"/>
        <family val="2"/>
      </rPr>
      <t>2</t>
    </r>
    <r>
      <rPr>
        <b/>
        <sz val="8"/>
        <rFont val="Calibri"/>
        <family val="2"/>
      </rPr>
      <t>O Emissions (metric tons N</t>
    </r>
    <r>
      <rPr>
        <b/>
        <vertAlign val="subscript"/>
        <sz val="8"/>
        <rFont val="Calibri"/>
        <family val="2"/>
      </rPr>
      <t>2</t>
    </r>
    <r>
      <rPr>
        <b/>
        <sz val="8"/>
        <rFont val="Calibri"/>
        <family val="2"/>
      </rPr>
      <t>O)</t>
    </r>
  </si>
  <si>
    <r>
      <t>Direct Emissions</t>
    </r>
    <r>
      <rPr>
        <sz val="8"/>
        <rFont val="Calibri"/>
        <family val="2"/>
      </rPr>
      <t xml:space="preserve"> (MMTCE)</t>
    </r>
  </si>
  <si>
    <r>
      <t>Direct Emissions  (MMTCO</t>
    </r>
    <r>
      <rPr>
        <b/>
        <vertAlign val="subscript"/>
        <sz val="8"/>
        <rFont val="Calibri"/>
        <family val="2"/>
      </rPr>
      <t>2</t>
    </r>
    <r>
      <rPr>
        <b/>
        <sz val="8"/>
        <rFont val="Calibri"/>
        <family val="2"/>
      </rPr>
      <t>E)</t>
    </r>
  </si>
  <si>
    <t>'000 hundred weight</t>
  </si>
  <si>
    <t>Residue Dry Matter Fraction</t>
  </si>
  <si>
    <t xml:space="preserve">Fraction Residue Applied </t>
  </si>
  <si>
    <t>Nitrogen Content of Residue</t>
  </si>
  <si>
    <t>Nitrogen Returned to Soil</t>
  </si>
  <si>
    <r>
      <t>CO</t>
    </r>
    <r>
      <rPr>
        <vertAlign val="subscript"/>
        <sz val="8"/>
        <rFont val="Arial"/>
        <family val="2"/>
      </rPr>
      <t>2</t>
    </r>
    <r>
      <rPr>
        <sz val="8"/>
        <rFont val="Arial"/>
        <family val="2"/>
      </rPr>
      <t xml:space="preserve"> Emission Factor-(kg CO</t>
    </r>
    <r>
      <rPr>
        <vertAlign val="subscript"/>
        <sz val="8"/>
        <rFont val="Arial"/>
        <family val="2"/>
      </rPr>
      <t>2</t>
    </r>
    <r>
      <rPr>
        <sz val="8"/>
        <rFont val="Arial"/>
        <family val="2"/>
      </rPr>
      <t>/mmbtu)</t>
    </r>
  </si>
  <si>
    <r>
      <t>CO</t>
    </r>
    <r>
      <rPr>
        <vertAlign val="subscript"/>
        <sz val="8"/>
        <rFont val="Arial"/>
        <family val="2"/>
      </rPr>
      <t>2</t>
    </r>
    <r>
      <rPr>
        <sz val="8"/>
        <rFont val="Arial"/>
        <family val="2"/>
      </rPr>
      <t xml:space="preserve"> Emission (kg CO</t>
    </r>
    <r>
      <rPr>
        <vertAlign val="subscript"/>
        <sz val="8"/>
        <rFont val="Arial"/>
        <family val="2"/>
      </rPr>
      <t>2</t>
    </r>
    <r>
      <rPr>
        <sz val="8"/>
        <rFont val="Arial"/>
        <family val="2"/>
      </rPr>
      <t>)</t>
    </r>
  </si>
  <si>
    <r>
      <t>CO</t>
    </r>
    <r>
      <rPr>
        <vertAlign val="subscript"/>
        <sz val="8"/>
        <rFont val="Arial"/>
        <family val="2"/>
      </rPr>
      <t>2</t>
    </r>
    <r>
      <rPr>
        <sz val="8"/>
        <rFont val="Arial"/>
        <family val="2"/>
      </rPr>
      <t xml:space="preserve"> Emission (metric tons CO</t>
    </r>
    <r>
      <rPr>
        <vertAlign val="subscript"/>
        <sz val="8"/>
        <rFont val="Arial"/>
        <family val="2"/>
      </rPr>
      <t>2</t>
    </r>
    <r>
      <rPr>
        <sz val="8"/>
        <rFont val="Arial"/>
        <family val="2"/>
      </rPr>
      <t>)</t>
    </r>
  </si>
  <si>
    <r>
      <t>CO</t>
    </r>
    <r>
      <rPr>
        <vertAlign val="subscript"/>
        <sz val="8"/>
        <rFont val="Arial"/>
        <family val="2"/>
      </rPr>
      <t>2</t>
    </r>
    <r>
      <rPr>
        <sz val="8"/>
        <rFont val="Arial"/>
        <family val="2"/>
      </rPr>
      <t xml:space="preserve"> Emission (short tons CO</t>
    </r>
    <r>
      <rPr>
        <vertAlign val="subscript"/>
        <sz val="8"/>
        <rFont val="Arial"/>
        <family val="2"/>
      </rPr>
      <t>2</t>
    </r>
    <r>
      <rPr>
        <sz val="8"/>
        <rFont val="Arial"/>
        <family val="2"/>
      </rPr>
      <t>)</t>
    </r>
  </si>
  <si>
    <r>
      <t>CO</t>
    </r>
    <r>
      <rPr>
        <vertAlign val="subscript"/>
        <sz val="8"/>
        <rFont val="Arial"/>
        <family val="2"/>
      </rPr>
      <t>2</t>
    </r>
    <r>
      <rPr>
        <sz val="8"/>
        <rFont val="Arial"/>
        <family val="2"/>
      </rPr>
      <t xml:space="preserve"> Emission Estimate (short tons CO</t>
    </r>
    <r>
      <rPr>
        <vertAlign val="subscript"/>
        <sz val="8"/>
        <rFont val="Arial"/>
        <family val="2"/>
      </rPr>
      <t>2</t>
    </r>
    <r>
      <rPr>
        <sz val="8"/>
        <rFont val="Arial"/>
        <family val="2"/>
      </rPr>
      <t>)</t>
    </r>
  </si>
  <si>
    <r>
      <t>CO</t>
    </r>
    <r>
      <rPr>
        <vertAlign val="subscript"/>
        <sz val="8"/>
        <rFont val="Arial"/>
        <family val="2"/>
      </rPr>
      <t>2</t>
    </r>
    <r>
      <rPr>
        <sz val="8"/>
        <rFont val="Arial"/>
        <family val="2"/>
      </rPr>
      <t xml:space="preserve"> Emission CEM Readings (short tons CO</t>
    </r>
    <r>
      <rPr>
        <vertAlign val="subscript"/>
        <sz val="8"/>
        <rFont val="Arial"/>
        <family val="2"/>
      </rPr>
      <t>2</t>
    </r>
    <r>
      <rPr>
        <sz val="8"/>
        <rFont val="Arial"/>
        <family val="2"/>
      </rPr>
      <t>)</t>
    </r>
  </si>
  <si>
    <t>Incinerator #6</t>
  </si>
  <si>
    <r>
      <t>MD Summmary Cement Process CO</t>
    </r>
    <r>
      <rPr>
        <b/>
        <vertAlign val="subscript"/>
        <sz val="8"/>
        <rFont val="Arial"/>
        <family val="2"/>
      </rPr>
      <t>2</t>
    </r>
    <r>
      <rPr>
        <b/>
        <sz val="8"/>
        <rFont val="Arial"/>
        <family val="2"/>
      </rPr>
      <t xml:space="preserve"> Emissions (metric tons) </t>
    </r>
  </si>
  <si>
    <r>
      <t>MD Summmary Cement Process CO</t>
    </r>
    <r>
      <rPr>
        <b/>
        <vertAlign val="subscript"/>
        <sz val="8"/>
        <rFont val="Arial"/>
        <family val="2"/>
      </rPr>
      <t>2</t>
    </r>
    <r>
      <rPr>
        <b/>
        <sz val="8"/>
        <rFont val="Arial"/>
        <family val="2"/>
      </rPr>
      <t xml:space="preserve"> Emissions (MMTCO</t>
    </r>
    <r>
      <rPr>
        <b/>
        <vertAlign val="subscript"/>
        <sz val="8"/>
        <rFont val="Arial"/>
        <family val="2"/>
      </rPr>
      <t>2</t>
    </r>
    <r>
      <rPr>
        <b/>
        <sz val="8"/>
        <rFont val="Arial"/>
        <family val="2"/>
      </rPr>
      <t xml:space="preserve">E) </t>
    </r>
  </si>
  <si>
    <r>
      <t>Emissions (MMTCO</t>
    </r>
    <r>
      <rPr>
        <b/>
        <vertAlign val="subscript"/>
        <sz val="8"/>
        <rFont val="Comic Sans MS"/>
        <family val="4"/>
      </rPr>
      <t>2</t>
    </r>
    <r>
      <rPr>
        <b/>
        <sz val="8"/>
        <rFont val="Comic Sans MS"/>
        <family val="4"/>
      </rPr>
      <t>E)</t>
    </r>
  </si>
  <si>
    <t>Number of Gas Producing Wells : http://www.eia.gov/dnav/ng/hist/na1170_smd_8a.htm.</t>
  </si>
  <si>
    <r>
      <t>CH</t>
    </r>
    <r>
      <rPr>
        <vertAlign val="subscript"/>
        <sz val="14"/>
        <rFont val="Calibri"/>
        <family val="2"/>
      </rPr>
      <t>4</t>
    </r>
    <r>
      <rPr>
        <sz val="14"/>
        <rFont val="Calibri"/>
        <family val="2"/>
      </rPr>
      <t xml:space="preserve"> from Coal Mining in MD</t>
    </r>
  </si>
  <si>
    <r>
      <t>Emissions (MMTCO</t>
    </r>
    <r>
      <rPr>
        <b/>
        <vertAlign val="subscript"/>
        <sz val="8"/>
        <rFont val="Calibri"/>
        <family val="2"/>
      </rPr>
      <t>2</t>
    </r>
    <r>
      <rPr>
        <b/>
        <sz val="8"/>
        <rFont val="Calibri"/>
        <family val="2"/>
      </rPr>
      <t>E)</t>
    </r>
  </si>
  <si>
    <r>
      <t>Emissions (MTCO</t>
    </r>
    <r>
      <rPr>
        <b/>
        <vertAlign val="subscript"/>
        <sz val="8"/>
        <rFont val="Calibri"/>
        <family val="2"/>
      </rPr>
      <t>2</t>
    </r>
    <r>
      <rPr>
        <b/>
        <sz val="8"/>
        <rFont val="Calibri"/>
        <family val="2"/>
      </rPr>
      <t>E)</t>
    </r>
  </si>
  <si>
    <r>
      <t>Emissions by Gas (MTCH</t>
    </r>
    <r>
      <rPr>
        <b/>
        <vertAlign val="subscript"/>
        <sz val="8"/>
        <rFont val="Calibri"/>
        <family val="2"/>
      </rPr>
      <t>4</t>
    </r>
    <r>
      <rPr>
        <b/>
        <sz val="8"/>
        <rFont val="Calibri"/>
        <family val="2"/>
      </rPr>
      <t>)</t>
    </r>
  </si>
  <si>
    <r>
      <t>Maryland Industrial Wastewater Methane Emissions - CH</t>
    </r>
    <r>
      <rPr>
        <b/>
        <vertAlign val="subscript"/>
        <sz val="12"/>
        <color indexed="8"/>
        <rFont val="Comic Sans MS"/>
        <family val="4"/>
      </rPr>
      <t>4</t>
    </r>
  </si>
  <si>
    <t>N content of Aboveground Biomass for N fixing</t>
  </si>
  <si>
    <t>EF Direct</t>
  </si>
  <si>
    <t>Fertilizer Calculations</t>
  </si>
  <si>
    <t>Growing Year Entry</t>
  </si>
  <si>
    <r>
      <t>Energy Use (CO</t>
    </r>
    <r>
      <rPr>
        <b/>
        <vertAlign val="subscript"/>
        <sz val="11"/>
        <rFont val="Calibri"/>
        <family val="2"/>
      </rPr>
      <t>2</t>
    </r>
    <r>
      <rPr>
        <b/>
        <sz val="11"/>
        <rFont val="Calibri"/>
        <family val="2"/>
      </rPr>
      <t>, CH</t>
    </r>
    <r>
      <rPr>
        <b/>
        <vertAlign val="subscript"/>
        <sz val="11"/>
        <rFont val="Calibri"/>
        <family val="2"/>
      </rPr>
      <t>4</t>
    </r>
    <r>
      <rPr>
        <b/>
        <sz val="11"/>
        <rFont val="Calibri"/>
        <family val="2"/>
      </rPr>
      <t>, N</t>
    </r>
    <r>
      <rPr>
        <b/>
        <vertAlign val="subscript"/>
        <sz val="11"/>
        <rFont val="Calibri"/>
        <family val="2"/>
      </rPr>
      <t>2</t>
    </r>
    <r>
      <rPr>
        <b/>
        <sz val="11"/>
        <rFont val="Calibri"/>
        <family val="2"/>
      </rPr>
      <t>O)</t>
    </r>
  </si>
  <si>
    <r>
      <t>Electricity Use (Consumption)</t>
    </r>
    <r>
      <rPr>
        <b/>
        <vertAlign val="superscript"/>
        <sz val="11"/>
        <rFont val="Calibri"/>
        <family val="2"/>
      </rPr>
      <t>b</t>
    </r>
  </si>
  <si>
    <t>Electricity Production (in-state)</t>
  </si>
  <si>
    <t xml:space="preserve">      Coal</t>
  </si>
  <si>
    <r>
      <t>CO</t>
    </r>
    <r>
      <rPr>
        <vertAlign val="subscript"/>
        <sz val="11"/>
        <rFont val="Calibri"/>
        <family val="2"/>
      </rPr>
      <t>2</t>
    </r>
  </si>
  <si>
    <r>
      <t>CH</t>
    </r>
    <r>
      <rPr>
        <vertAlign val="subscript"/>
        <sz val="11"/>
        <rFont val="Calibri"/>
        <family val="2"/>
      </rPr>
      <t>4</t>
    </r>
  </si>
  <si>
    <r>
      <t>N</t>
    </r>
    <r>
      <rPr>
        <vertAlign val="subscript"/>
        <sz val="11"/>
        <rFont val="Calibri"/>
        <family val="2"/>
      </rPr>
      <t>2</t>
    </r>
    <r>
      <rPr>
        <sz val="11"/>
        <rFont val="Calibri"/>
        <family val="2"/>
      </rPr>
      <t>O</t>
    </r>
  </si>
  <si>
    <t xml:space="preserve">      Natural Gas</t>
  </si>
  <si>
    <t xml:space="preserve">      Oil</t>
  </si>
  <si>
    <t xml:space="preserve">      Wood</t>
  </si>
  <si>
    <t xml:space="preserve">      MSW/LFG</t>
  </si>
  <si>
    <t xml:space="preserve">Net Imported Electricity </t>
  </si>
  <si>
    <t>Residential/Commercial/Industrial (RCI) Fuel Use</t>
  </si>
  <si>
    <t xml:space="preserve"> Natural Gas &amp; LPG</t>
  </si>
  <si>
    <t xml:space="preserve"> Petroleum</t>
  </si>
  <si>
    <t xml:space="preserve"> Wood </t>
  </si>
  <si>
    <t>Onroad Gasoline</t>
  </si>
  <si>
    <t>Energy Content
(kg/Mbtu)</t>
  </si>
  <si>
    <t>Density
(kg/gallon)</t>
  </si>
  <si>
    <r>
      <t>N</t>
    </r>
    <r>
      <rPr>
        <b/>
        <vertAlign val="subscript"/>
        <sz val="8"/>
        <rFont val="Arial"/>
        <family val="2"/>
      </rPr>
      <t>2</t>
    </r>
    <r>
      <rPr>
        <b/>
        <sz val="8"/>
        <rFont val="Arial"/>
        <family val="2"/>
      </rPr>
      <t>O EF
(g/kg fuel)</t>
    </r>
  </si>
  <si>
    <r>
      <t>N</t>
    </r>
    <r>
      <rPr>
        <b/>
        <vertAlign val="subscript"/>
        <sz val="8"/>
        <rFont val="Arial"/>
        <family val="2"/>
      </rPr>
      <t>2</t>
    </r>
    <r>
      <rPr>
        <b/>
        <sz val="8"/>
        <rFont val="Arial"/>
        <family val="2"/>
      </rPr>
      <t>O EM
(Gigagrams)</t>
    </r>
  </si>
  <si>
    <r>
      <t>N</t>
    </r>
    <r>
      <rPr>
        <b/>
        <vertAlign val="subscript"/>
        <sz val="8"/>
        <rFont val="Arial"/>
        <family val="2"/>
      </rPr>
      <t>2</t>
    </r>
    <r>
      <rPr>
        <b/>
        <sz val="8"/>
        <rFont val="Arial"/>
        <family val="2"/>
      </rPr>
      <t>O
(MTCE)</t>
    </r>
  </si>
  <si>
    <r>
      <t>CH</t>
    </r>
    <r>
      <rPr>
        <b/>
        <vertAlign val="subscript"/>
        <sz val="8"/>
        <rFont val="Arial"/>
        <family val="2"/>
      </rPr>
      <t>4</t>
    </r>
    <r>
      <rPr>
        <b/>
        <sz val="8"/>
        <rFont val="Arial"/>
        <family val="2"/>
      </rPr>
      <t xml:space="preserve"> EF
(g/kg fuel)</t>
    </r>
  </si>
  <si>
    <r>
      <t>CH</t>
    </r>
    <r>
      <rPr>
        <b/>
        <vertAlign val="subscript"/>
        <sz val="8"/>
        <rFont val="Arial"/>
        <family val="2"/>
      </rPr>
      <t>4</t>
    </r>
    <r>
      <rPr>
        <b/>
        <sz val="8"/>
        <rFont val="Arial"/>
        <family val="2"/>
      </rPr>
      <t xml:space="preserve"> EM
(Gigagrams)</t>
    </r>
  </si>
  <si>
    <t>Nonroad Gasoline</t>
  </si>
  <si>
    <t>Onroad Diesel</t>
  </si>
  <si>
    <t>Nonroad Diesel</t>
  </si>
  <si>
    <t>Rail</t>
  </si>
  <si>
    <t>Marine Vessels (Gas &amp; Oil)</t>
  </si>
  <si>
    <t xml:space="preserve">Lubricants, Natural Gas, and LPG </t>
  </si>
  <si>
    <t>Jet Fuel and Aviation Gasoline</t>
  </si>
  <si>
    <t xml:space="preserve"> Natural Gas Industry</t>
  </si>
  <si>
    <t xml:space="preserve"> Oil Industry</t>
  </si>
  <si>
    <t xml:space="preserve"> Coal Mining</t>
  </si>
  <si>
    <t xml:space="preserve"> Cement Manufacture</t>
  </si>
  <si>
    <t xml:space="preserve"> Limestone and Dolomite </t>
  </si>
  <si>
    <t xml:space="preserve"> Soda Ash </t>
  </si>
  <si>
    <t xml:space="preserve"> Iron and Steel</t>
  </si>
  <si>
    <t xml:space="preserve"> ODS Substitutes</t>
  </si>
  <si>
    <r>
      <t>HFC, PFC, SF</t>
    </r>
    <r>
      <rPr>
        <vertAlign val="subscript"/>
        <sz val="11"/>
        <rFont val="Calibri"/>
        <family val="2"/>
      </rPr>
      <t>6</t>
    </r>
  </si>
  <si>
    <t xml:space="preserve"> Electricity Transmission and Dist.</t>
  </si>
  <si>
    <t xml:space="preserve"> Semiconductor Manufacturing</t>
  </si>
  <si>
    <t xml:space="preserve"> Ammonia and Urea Production (Nonfertilizer Usage)</t>
  </si>
  <si>
    <t xml:space="preserve"> Aluminum Production</t>
  </si>
  <si>
    <t>Urea Fertilizer Usage</t>
  </si>
  <si>
    <t>Gross Emissions (Consumption Basis, Excludes Sinks)</t>
  </si>
  <si>
    <t>Emissions Sinks</t>
  </si>
  <si>
    <t>Agricultural Soils (Cultivation Practices)</t>
  </si>
  <si>
    <t>Net Emissions (Consumptions Basis) (Including forestry, land use, and ag sinks)</t>
  </si>
  <si>
    <t>Electricity Use (Consumption)</t>
  </si>
  <si>
    <t>RCI Fuel Use</t>
  </si>
  <si>
    <t>Transportation - Onroad</t>
  </si>
  <si>
    <t>Transportation - Nonroad</t>
  </si>
  <si>
    <r>
      <t>Emissions (MMTCO</t>
    </r>
    <r>
      <rPr>
        <b/>
        <vertAlign val="subscript"/>
        <sz val="9"/>
        <rFont val="Calibri"/>
        <family val="2"/>
      </rPr>
      <t xml:space="preserve">2 </t>
    </r>
    <r>
      <rPr>
        <b/>
        <sz val="9"/>
        <rFont val="Calibri"/>
        <family val="2"/>
      </rPr>
      <t>Eq.)</t>
    </r>
  </si>
  <si>
    <t xml:space="preserve">Synthetic </t>
  </si>
  <si>
    <t xml:space="preserve">Organic  </t>
  </si>
  <si>
    <t>Dried Blood</t>
  </si>
  <si>
    <t>Compost</t>
  </si>
  <si>
    <t>Dried Manure</t>
  </si>
  <si>
    <t>Activated Sewage Sludge</t>
  </si>
  <si>
    <t>Other Sewage Sludge</t>
  </si>
  <si>
    <t>Tankage</t>
  </si>
  <si>
    <t xml:space="preserve">Other </t>
  </si>
  <si>
    <t>Dried Manure %</t>
  </si>
  <si>
    <t>Non-Manure Organics</t>
  </si>
  <si>
    <t>Manure Organics</t>
  </si>
  <si>
    <t>Volatilzation
(Percent)</t>
  </si>
  <si>
    <r>
      <t>Total Fertilizer Use</t>
    </r>
    <r>
      <rPr>
        <sz val="8"/>
        <rFont val="Calibri"/>
        <family val="2"/>
      </rPr>
      <t xml:space="preserve"> (kg N)</t>
    </r>
  </si>
  <si>
    <r>
      <t xml:space="preserve">Total N in Fertilizers </t>
    </r>
    <r>
      <rPr>
        <sz val="8"/>
        <rFont val="Calibri"/>
        <family val="2"/>
      </rPr>
      <t>(Calendar Year)</t>
    </r>
  </si>
  <si>
    <r>
      <t xml:space="preserve">Volatized N
</t>
    </r>
    <r>
      <rPr>
        <sz val="8"/>
        <rFont val="Calibri"/>
        <family val="2"/>
      </rPr>
      <t>(kg)</t>
    </r>
  </si>
  <si>
    <r>
      <t>Direct N</t>
    </r>
    <r>
      <rPr>
        <b/>
        <vertAlign val="subscript"/>
        <sz val="8"/>
        <rFont val="Calibri"/>
        <family val="2"/>
      </rPr>
      <t>2</t>
    </r>
    <r>
      <rPr>
        <b/>
        <sz val="8"/>
        <rFont val="Calibri"/>
        <family val="2"/>
      </rPr>
      <t>O Emissions
(metric tons)</t>
    </r>
  </si>
  <si>
    <r>
      <t>Indirect N</t>
    </r>
    <r>
      <rPr>
        <b/>
        <vertAlign val="subscript"/>
        <sz val="8"/>
        <rFont val="Calibri"/>
        <family val="2"/>
      </rPr>
      <t>2</t>
    </r>
    <r>
      <rPr>
        <b/>
        <sz val="8"/>
        <rFont val="Calibri"/>
        <family val="2"/>
      </rPr>
      <t>O Emissions
(metric tons)</t>
    </r>
  </si>
  <si>
    <r>
      <t xml:space="preserve">Direct Emissions
</t>
    </r>
    <r>
      <rPr>
        <sz val="8"/>
        <rFont val="Calibri"/>
        <family val="2"/>
      </rPr>
      <t>(MMTCE)</t>
    </r>
  </si>
  <si>
    <r>
      <t xml:space="preserve">Indirect Emissions
</t>
    </r>
    <r>
      <rPr>
        <sz val="8"/>
        <rFont val="Calibri"/>
        <family val="2"/>
      </rPr>
      <t>(MMTCE)</t>
    </r>
  </si>
  <si>
    <t>Aux Boiler</t>
  </si>
  <si>
    <t>Combustion Turbine CT1</t>
  </si>
  <si>
    <t>Westport</t>
  </si>
  <si>
    <t>Combustion Turbine Unit 5</t>
  </si>
  <si>
    <t>MMBTU/10E+06 Scf</t>
  </si>
  <si>
    <t>CT1</t>
  </si>
  <si>
    <t>MMBTU/1E+06 scf</t>
  </si>
  <si>
    <t>CT3</t>
  </si>
  <si>
    <t>CT4</t>
  </si>
  <si>
    <t>CT5</t>
  </si>
  <si>
    <t>CT6</t>
  </si>
  <si>
    <t>MMBTU/scf</t>
  </si>
  <si>
    <t>005-0076</t>
  </si>
  <si>
    <t>CPSG- Notch Cliff</t>
  </si>
  <si>
    <t>MMBTU/1E+03 gallons</t>
  </si>
  <si>
    <t>Rock Spring</t>
  </si>
  <si>
    <t>Unit 101</t>
  </si>
  <si>
    <t>Unit 102</t>
  </si>
  <si>
    <t>Unit 7</t>
  </si>
  <si>
    <t>Unit 9</t>
  </si>
  <si>
    <t>Unit 10</t>
  </si>
  <si>
    <t>Unit 11</t>
  </si>
  <si>
    <t>Unit 12</t>
  </si>
  <si>
    <t>Unit 13</t>
  </si>
  <si>
    <t>Unit 14</t>
  </si>
  <si>
    <t>Easton Utility -Airport Park</t>
  </si>
  <si>
    <t>Unit 201</t>
  </si>
  <si>
    <t>Unit 202</t>
  </si>
  <si>
    <t>Unit 203</t>
  </si>
  <si>
    <t>Unit 204</t>
  </si>
  <si>
    <t>Unit 21</t>
  </si>
  <si>
    <t>Unit 22</t>
  </si>
  <si>
    <t>Unit 23</t>
  </si>
  <si>
    <t>Unit 24</t>
  </si>
  <si>
    <t>20-9-0033</t>
  </si>
  <si>
    <t>20-9-0034</t>
  </si>
  <si>
    <t>20-9-0035</t>
  </si>
  <si>
    <t>20-9-0036</t>
  </si>
  <si>
    <t>FM Diesel Gen</t>
  </si>
  <si>
    <t>EMD Diesel Gen</t>
  </si>
  <si>
    <t>Mitsu  Diesel Gen</t>
  </si>
  <si>
    <t>Connectiv -Crisfield Generation</t>
  </si>
  <si>
    <t xml:space="preserve">Unit 1 </t>
  </si>
  <si>
    <t>11 Aux Boiler</t>
  </si>
  <si>
    <t>1B Emergenvy Generator</t>
  </si>
  <si>
    <t>2A Emergency Generator</t>
  </si>
  <si>
    <t>2B Emergency Generator</t>
  </si>
  <si>
    <t>1A Emergency Generator</t>
  </si>
  <si>
    <t>OC Emergency Generator</t>
  </si>
  <si>
    <t>Security Diesel generator</t>
  </si>
  <si>
    <t>003-00529</t>
  </si>
  <si>
    <t>CPSG -Fort Smallwood Complex</t>
  </si>
  <si>
    <t>Propane</t>
  </si>
  <si>
    <t>Unit 3 Utility B</t>
  </si>
  <si>
    <t xml:space="preserve">Heat </t>
  </si>
  <si>
    <t>Content</t>
  </si>
  <si>
    <t xml:space="preserve">Heat Content </t>
  </si>
  <si>
    <t>Unit</t>
  </si>
  <si>
    <t>Heat Input</t>
  </si>
  <si>
    <r>
      <t>Direct Emissions
(MMTCO</t>
    </r>
    <r>
      <rPr>
        <b/>
        <vertAlign val="subscript"/>
        <sz val="8"/>
        <rFont val="Calibri"/>
        <family val="2"/>
      </rPr>
      <t>2</t>
    </r>
    <r>
      <rPr>
        <b/>
        <sz val="8"/>
        <rFont val="Calibri"/>
        <family val="2"/>
      </rPr>
      <t>E)</t>
    </r>
  </si>
  <si>
    <r>
      <t>Indirect Emissions
(MMTCO</t>
    </r>
    <r>
      <rPr>
        <b/>
        <vertAlign val="subscript"/>
        <sz val="8"/>
        <rFont val="Calibri"/>
        <family val="2"/>
      </rPr>
      <t>2</t>
    </r>
    <r>
      <rPr>
        <b/>
        <sz val="8"/>
        <rFont val="Calibri"/>
        <family val="2"/>
      </rPr>
      <t>E)</t>
    </r>
  </si>
  <si>
    <t>N Content of Non-Manure Organics</t>
  </si>
  <si>
    <t>Agriculture Soils - Emissions from Animals &amp; Runoff</t>
  </si>
  <si>
    <t>K-NITROGEN EXCRETED BY MANAGEMENT SYSTEM (kg):</t>
  </si>
  <si>
    <t>DIRECT EMISSIONS (MT N)</t>
  </si>
  <si>
    <t>Managed Systems</t>
  </si>
  <si>
    <t>Unmanaged Systems - Pasture, Range, and Paddock</t>
  </si>
  <si>
    <t>Unmanaged Systems - Daily Spread</t>
  </si>
  <si>
    <t>Manure Applied to Soils</t>
  </si>
  <si>
    <t>Pasture, Range and Paddock</t>
  </si>
  <si>
    <t>Unvolatilized N from Organic Fertilizers (kg)</t>
  </si>
  <si>
    <t>Unvolatilized N from Synthetic Fertilizers (kg)</t>
  </si>
  <si>
    <t>Total N excreted by Livestock (kg)</t>
  </si>
  <si>
    <t>Livestock
(MMTCE)</t>
  </si>
  <si>
    <t>Leaching and Runoff
(MMTCE)</t>
  </si>
  <si>
    <t>TOTAL Runoff/Leached</t>
  </si>
  <si>
    <t>Total Beef Heifers</t>
  </si>
  <si>
    <t>TAM
(kg)</t>
  </si>
  <si>
    <t>K-Nitrogen
(kg/day/1000kg)</t>
  </si>
  <si>
    <r>
      <t xml:space="preserve">Number of Animals
</t>
    </r>
    <r>
      <rPr>
        <sz val="8"/>
        <rFont val="Calibri"/>
        <family val="2"/>
      </rPr>
      <t>('000 head)</t>
    </r>
  </si>
  <si>
    <r>
      <t xml:space="preserve">Total K-Nitrogen Excreted
</t>
    </r>
    <r>
      <rPr>
        <sz val="8"/>
        <rFont val="Calibri"/>
        <family val="2"/>
      </rPr>
      <t>(kg)</t>
    </r>
  </si>
  <si>
    <r>
      <t>Indirect Animal N</t>
    </r>
    <r>
      <rPr>
        <b/>
        <vertAlign val="subscript"/>
        <sz val="8"/>
        <rFont val="Calibri"/>
        <family val="2"/>
      </rPr>
      <t>2</t>
    </r>
    <r>
      <rPr>
        <b/>
        <sz val="8"/>
        <rFont val="Calibri"/>
        <family val="2"/>
      </rPr>
      <t xml:space="preserve">O Emissions
</t>
    </r>
    <r>
      <rPr>
        <sz val="8"/>
        <rFont val="Calibri"/>
        <family val="2"/>
      </rPr>
      <t>(metric tons N)</t>
    </r>
  </si>
  <si>
    <r>
      <t>Fertilizer Runoff/Leached</t>
    </r>
    <r>
      <rPr>
        <sz val="8"/>
        <rFont val="Calibri"/>
        <family val="2"/>
      </rPr>
      <t xml:space="preserve"> (metric tons N)</t>
    </r>
  </si>
  <si>
    <r>
      <t xml:space="preserve">Manure Runoff/Leached </t>
    </r>
    <r>
      <rPr>
        <sz val="8"/>
        <rFont val="Calibri"/>
        <family val="2"/>
      </rPr>
      <t>(metric tons N)</t>
    </r>
  </si>
  <si>
    <r>
      <t xml:space="preserve">TOTAL Runoff/Leached </t>
    </r>
    <r>
      <rPr>
        <sz val="8"/>
        <rFont val="Calibri"/>
        <family val="2"/>
      </rPr>
      <t>(metric tons N</t>
    </r>
    <r>
      <rPr>
        <vertAlign val="subscript"/>
        <sz val="8"/>
        <rFont val="Calibri"/>
        <family val="2"/>
      </rPr>
      <t>2</t>
    </r>
    <r>
      <rPr>
        <sz val="8"/>
        <rFont val="Calibri"/>
        <family val="2"/>
      </rPr>
      <t>O-N)</t>
    </r>
  </si>
  <si>
    <r>
      <t>Livestock
(Metric Tons N</t>
    </r>
    <r>
      <rPr>
        <b/>
        <vertAlign val="subscript"/>
        <sz val="8"/>
        <rFont val="Calibri"/>
        <family val="2"/>
      </rPr>
      <t>2</t>
    </r>
    <r>
      <rPr>
        <b/>
        <sz val="8"/>
        <rFont val="Calibri"/>
        <family val="2"/>
      </rPr>
      <t>O)</t>
    </r>
  </si>
  <si>
    <r>
      <t>Livestock
(MMTCO</t>
    </r>
    <r>
      <rPr>
        <b/>
        <vertAlign val="subscript"/>
        <sz val="8"/>
        <rFont val="Calibri"/>
        <family val="2"/>
      </rPr>
      <t>2</t>
    </r>
    <r>
      <rPr>
        <b/>
        <sz val="8"/>
        <rFont val="Calibri"/>
        <family val="2"/>
      </rPr>
      <t>E)</t>
    </r>
  </si>
  <si>
    <r>
      <t>Leaching and Runoff
(Metric Tons N</t>
    </r>
    <r>
      <rPr>
        <b/>
        <vertAlign val="subscript"/>
        <sz val="8"/>
        <rFont val="Calibri"/>
        <family val="2"/>
      </rPr>
      <t>2</t>
    </r>
    <r>
      <rPr>
        <b/>
        <sz val="8"/>
        <rFont val="Calibri"/>
        <family val="2"/>
      </rPr>
      <t>O)</t>
    </r>
  </si>
  <si>
    <r>
      <t>Leaching and Runoff
(MMTCO</t>
    </r>
    <r>
      <rPr>
        <b/>
        <vertAlign val="subscript"/>
        <sz val="8"/>
        <rFont val="Calibri"/>
        <family val="2"/>
      </rPr>
      <t>2</t>
    </r>
    <r>
      <rPr>
        <b/>
        <sz val="8"/>
        <rFont val="Calibri"/>
        <family val="2"/>
      </rPr>
      <t>E)</t>
    </r>
  </si>
  <si>
    <t xml:space="preserve">Dairy Cows </t>
  </si>
  <si>
    <t>Dairy Heifers</t>
  </si>
  <si>
    <t>Feedlot Beef</t>
  </si>
  <si>
    <t>NOF Beef</t>
  </si>
  <si>
    <t>Year &amp; State</t>
  </si>
  <si>
    <t>Anaerobic Lagoon</t>
  </si>
  <si>
    <t>Liquid/ Slurry</t>
  </si>
  <si>
    <t>Daily Spread</t>
  </si>
  <si>
    <t>Solid Storage</t>
  </si>
  <si>
    <t>Pasture</t>
  </si>
  <si>
    <t>Deep Pit</t>
  </si>
  <si>
    <t>Managed</t>
  </si>
  <si>
    <t>PRP</t>
  </si>
  <si>
    <t>STATE</t>
  </si>
  <si>
    <t>Dry Lot</t>
  </si>
  <si>
    <t>Poultry without bedding</t>
  </si>
  <si>
    <t>State</t>
  </si>
  <si>
    <t>Range</t>
  </si>
  <si>
    <t>On Feed (PRP)</t>
  </si>
  <si>
    <t>Not on Feed (PRP)</t>
  </si>
  <si>
    <t>Northern Appalachian Basin</t>
  </si>
  <si>
    <t>Pasture, Range &amp; Paddock</t>
  </si>
  <si>
    <t xml:space="preserve">Percentage Breakdown of Manure Management Systems </t>
  </si>
  <si>
    <t>Source: US Inventory spreadsheets. See Manure-N2O.xls, WMS sheets.</t>
  </si>
  <si>
    <t>MD</t>
  </si>
  <si>
    <t>Leaching and Runoff</t>
  </si>
  <si>
    <t>TOTAL AGRICULTURE</t>
  </si>
  <si>
    <t xml:space="preserve">Crop Production        </t>
  </si>
  <si>
    <t>Crop Production     (metric tons)</t>
  </si>
  <si>
    <t>Residue/Crop Ratio</t>
  </si>
  <si>
    <t>Fraction   Residue Burned</t>
  </si>
  <si>
    <t>Dry Matter Fraction</t>
  </si>
  <si>
    <t>Burning Efficiency</t>
  </si>
  <si>
    <t>Combustion Efficiency</t>
  </si>
  <si>
    <t>Total C Released  (metric tons C)</t>
  </si>
  <si>
    <t>Corn</t>
  </si>
  <si>
    <t>'000 pounds</t>
  </si>
  <si>
    <t>'000 cwt</t>
  </si>
  <si>
    <t>Sugarcane</t>
  </si>
  <si>
    <t>Wheat</t>
  </si>
  <si>
    <t>metric tons/bushel</t>
  </si>
  <si>
    <r>
      <t>CH</t>
    </r>
    <r>
      <rPr>
        <b/>
        <vertAlign val="subscript"/>
        <sz val="8"/>
        <rFont val="Calibri"/>
        <family val="2"/>
      </rPr>
      <t>4</t>
    </r>
    <r>
      <rPr>
        <b/>
        <sz val="8"/>
        <rFont val="Calibri"/>
        <family val="2"/>
      </rPr>
      <t xml:space="preserve"> Emissions  (metric tons CH</t>
    </r>
    <r>
      <rPr>
        <b/>
        <vertAlign val="subscript"/>
        <sz val="8"/>
        <rFont val="Calibri"/>
        <family val="2"/>
      </rPr>
      <t>4</t>
    </r>
    <r>
      <rPr>
        <b/>
        <sz val="8"/>
        <rFont val="Calibri"/>
        <family val="2"/>
      </rPr>
      <t>)</t>
    </r>
  </si>
  <si>
    <r>
      <t>CH</t>
    </r>
    <r>
      <rPr>
        <b/>
        <vertAlign val="subscript"/>
        <sz val="8"/>
        <rFont val="Calibri"/>
        <family val="2"/>
      </rPr>
      <t>4</t>
    </r>
    <r>
      <rPr>
        <b/>
        <sz val="8"/>
        <rFont val="Calibri"/>
        <family val="2"/>
      </rPr>
      <t xml:space="preserve"> Emissions  (MMTCE)</t>
    </r>
  </si>
  <si>
    <r>
      <t>CH</t>
    </r>
    <r>
      <rPr>
        <b/>
        <vertAlign val="subscript"/>
        <sz val="8"/>
        <rFont val="Calibri"/>
        <family val="2"/>
      </rPr>
      <t>4</t>
    </r>
    <r>
      <rPr>
        <b/>
        <sz val="8"/>
        <rFont val="Calibri"/>
        <family val="2"/>
      </rPr>
      <t xml:space="preserve"> Emissions  (MMTCO</t>
    </r>
    <r>
      <rPr>
        <b/>
        <vertAlign val="subscript"/>
        <sz val="8"/>
        <rFont val="Calibri"/>
        <family val="2"/>
      </rPr>
      <t>2</t>
    </r>
    <r>
      <rPr>
        <b/>
        <sz val="8"/>
        <rFont val="Calibri"/>
        <family val="2"/>
      </rPr>
      <t>E)</t>
    </r>
  </si>
  <si>
    <t>Fraction Residue Burned</t>
  </si>
  <si>
    <t>Nitrogen Content</t>
  </si>
  <si>
    <t>Total N Released  (metric tons)</t>
  </si>
  <si>
    <r>
      <t>N</t>
    </r>
    <r>
      <rPr>
        <b/>
        <vertAlign val="subscript"/>
        <sz val="8"/>
        <rFont val="Calibri"/>
        <family val="2"/>
      </rPr>
      <t>2</t>
    </r>
    <r>
      <rPr>
        <b/>
        <sz val="8"/>
        <rFont val="Calibri"/>
        <family val="2"/>
      </rPr>
      <t>O Emissions  (metric tons)</t>
    </r>
  </si>
  <si>
    <r>
      <t>N</t>
    </r>
    <r>
      <rPr>
        <b/>
        <vertAlign val="subscript"/>
        <sz val="8"/>
        <rFont val="Calibri"/>
        <family val="2"/>
      </rPr>
      <t>2</t>
    </r>
    <r>
      <rPr>
        <b/>
        <sz val="8"/>
        <rFont val="Calibri"/>
        <family val="2"/>
      </rPr>
      <t>O Emissions  (MMTCE)</t>
    </r>
  </si>
  <si>
    <r>
      <t>N</t>
    </r>
    <r>
      <rPr>
        <b/>
        <vertAlign val="subscript"/>
        <sz val="8"/>
        <rFont val="Calibri"/>
        <family val="2"/>
      </rPr>
      <t>2</t>
    </r>
    <r>
      <rPr>
        <b/>
        <sz val="8"/>
        <rFont val="Calibri"/>
        <family val="2"/>
      </rPr>
      <t>O Emissions  (MMTCO</t>
    </r>
    <r>
      <rPr>
        <b/>
        <vertAlign val="subscript"/>
        <sz val="8"/>
        <rFont val="Calibri"/>
        <family val="2"/>
      </rPr>
      <t>2</t>
    </r>
    <r>
      <rPr>
        <b/>
        <sz val="8"/>
        <rFont val="Calibri"/>
        <family val="2"/>
      </rPr>
      <t>E)</t>
    </r>
  </si>
  <si>
    <t>Rice Cultivation</t>
  </si>
  <si>
    <t>Urea Fertilization</t>
  </si>
  <si>
    <t>Aviation Gasoline</t>
  </si>
  <si>
    <t>Distillate Fuel</t>
  </si>
  <si>
    <t>Jet Fuel, Kerosene</t>
  </si>
  <si>
    <t>LPG</t>
  </si>
  <si>
    <t>Motor Gasoline</t>
  </si>
  <si>
    <t>Residual Fuel</t>
  </si>
  <si>
    <t>Lubricants</t>
  </si>
  <si>
    <t>Uncontrolled Landfills</t>
  </si>
  <si>
    <t>Waste Combustion</t>
  </si>
  <si>
    <t>Landfills</t>
  </si>
  <si>
    <t>Coal Mining</t>
  </si>
  <si>
    <t>Forest Carbon Flux</t>
  </si>
  <si>
    <t>Limestone</t>
  </si>
  <si>
    <t>Dolomite</t>
  </si>
  <si>
    <t>Grass</t>
  </si>
  <si>
    <t>Leaves</t>
  </si>
  <si>
    <t>Branches</t>
  </si>
  <si>
    <t>Landfilled Food Scraps</t>
  </si>
  <si>
    <t>* Note that parentheses indicate net sequestration.</t>
  </si>
  <si>
    <t>Aboveground Biomass</t>
  </si>
  <si>
    <t>Belowground Biomass</t>
  </si>
  <si>
    <t>Dead Wood</t>
  </si>
  <si>
    <t>Litter</t>
  </si>
  <si>
    <t>Total wood products and landfills</t>
  </si>
  <si>
    <t>Fertilizer Runoff/Leached</t>
  </si>
  <si>
    <t xml:space="preserve">Manure Runoff/Leached </t>
  </si>
  <si>
    <t>Kerosene</t>
  </si>
  <si>
    <t>Coking Coal</t>
  </si>
  <si>
    <t>Other Coal</t>
  </si>
  <si>
    <t>Asphalt and Road Oil</t>
  </si>
  <si>
    <t>Aviation Gasoline Blending Components</t>
  </si>
  <si>
    <t>Crude Oil</t>
  </si>
  <si>
    <t>Feedstocks, Naphtha less than 401 F</t>
  </si>
  <si>
    <t>Feedstocks, Other Oils greater than 401 F</t>
  </si>
  <si>
    <t>Motor Gasoline Blending Components</t>
  </si>
  <si>
    <t>Misc. Petro Products</t>
  </si>
  <si>
    <t>Petroleum Coke</t>
  </si>
  <si>
    <t>Pentanes Plus</t>
  </si>
  <si>
    <t>Still Gas</t>
  </si>
  <si>
    <t>Special Naphthas</t>
  </si>
  <si>
    <t>Unfinished Oils</t>
  </si>
  <si>
    <t>Waxes</t>
  </si>
  <si>
    <t>Soil Organic Carbon</t>
  </si>
  <si>
    <r>
      <t>Residential Sector CO</t>
    </r>
    <r>
      <rPr>
        <vertAlign val="subscript"/>
        <sz val="14"/>
        <rFont val="Comic Sans MS"/>
        <family val="4"/>
      </rPr>
      <t>2</t>
    </r>
  </si>
  <si>
    <r>
      <t>Residential Sector N</t>
    </r>
    <r>
      <rPr>
        <vertAlign val="subscript"/>
        <sz val="14"/>
        <rFont val="Comic Sans MS"/>
        <family val="4"/>
      </rPr>
      <t>2</t>
    </r>
    <r>
      <rPr>
        <sz val="14"/>
        <rFont val="Comic Sans MS"/>
        <family val="4"/>
      </rPr>
      <t>0</t>
    </r>
  </si>
  <si>
    <r>
      <t>Residential Sector CH</t>
    </r>
    <r>
      <rPr>
        <vertAlign val="subscript"/>
        <sz val="14"/>
        <rFont val="Comic Sans MS"/>
        <family val="4"/>
      </rPr>
      <t>4</t>
    </r>
  </si>
  <si>
    <t>(MMTCO2E)</t>
  </si>
  <si>
    <t>- Default state synthetic natural gas data obtained from Table 12 of EIA’s Historical Natural Gas Annual (EIA 2009), and Table 8 for Natural Gas Annual publications from 2001-2007 http://www.eia.doe.gov/oil_gas/natural_gas/data_publications/natural_gas_annual/nga.html</t>
  </si>
  <si>
    <r>
      <t>Commercial Sector CO</t>
    </r>
    <r>
      <rPr>
        <vertAlign val="subscript"/>
        <sz val="14"/>
        <rFont val="Comic Sans MS"/>
        <family val="4"/>
      </rPr>
      <t>2</t>
    </r>
  </si>
  <si>
    <r>
      <t>Commercial Sector N</t>
    </r>
    <r>
      <rPr>
        <vertAlign val="subscript"/>
        <sz val="14"/>
        <rFont val="Comic Sans MS"/>
        <family val="4"/>
      </rPr>
      <t>2</t>
    </r>
    <r>
      <rPr>
        <sz val="14"/>
        <rFont val="Comic Sans MS"/>
        <family val="4"/>
      </rPr>
      <t>O</t>
    </r>
  </si>
  <si>
    <r>
      <t>Commercial Sector CH</t>
    </r>
    <r>
      <rPr>
        <vertAlign val="subscript"/>
        <sz val="14"/>
        <rFont val="Comic Sans MS"/>
        <family val="4"/>
      </rPr>
      <t>4</t>
    </r>
  </si>
  <si>
    <t>GHG</t>
  </si>
  <si>
    <t>Motor Gasoline (On Road)</t>
  </si>
  <si>
    <t>Motor Diesel  (On-Road)</t>
  </si>
  <si>
    <r>
      <t>CO</t>
    </r>
    <r>
      <rPr>
        <b/>
        <vertAlign val="subscript"/>
        <sz val="8"/>
        <color indexed="8"/>
        <rFont val="Arial"/>
        <family val="2"/>
      </rPr>
      <t>2</t>
    </r>
    <r>
      <rPr>
        <b/>
        <sz val="8"/>
        <color indexed="8"/>
        <rFont val="Arial"/>
        <family val="2"/>
      </rPr>
      <t xml:space="preserve"> Emissions</t>
    </r>
  </si>
  <si>
    <r>
      <t>N</t>
    </r>
    <r>
      <rPr>
        <b/>
        <vertAlign val="subscript"/>
        <sz val="8"/>
        <color indexed="8"/>
        <rFont val="Arial"/>
        <family val="2"/>
      </rPr>
      <t>2</t>
    </r>
    <r>
      <rPr>
        <b/>
        <sz val="8"/>
        <color indexed="8"/>
        <rFont val="Arial"/>
        <family val="2"/>
      </rPr>
      <t>O Emissions</t>
    </r>
  </si>
  <si>
    <r>
      <t>CH</t>
    </r>
    <r>
      <rPr>
        <b/>
        <vertAlign val="subscript"/>
        <sz val="8"/>
        <color indexed="8"/>
        <rFont val="Arial"/>
        <family val="2"/>
      </rPr>
      <t>4</t>
    </r>
    <r>
      <rPr>
        <b/>
        <sz val="8"/>
        <color indexed="8"/>
        <rFont val="Arial"/>
        <family val="2"/>
      </rPr>
      <t xml:space="preserve"> Emissions</t>
    </r>
  </si>
  <si>
    <r>
      <t>Emissions Data (MMTCO</t>
    </r>
    <r>
      <rPr>
        <vertAlign val="subscript"/>
        <sz val="14"/>
        <rFont val="Comic Sans MS"/>
        <family val="4"/>
      </rPr>
      <t>2</t>
    </r>
    <r>
      <rPr>
        <sz val="14"/>
        <rFont val="Comic Sans MS"/>
        <family val="4"/>
      </rPr>
      <t>e)</t>
    </r>
  </si>
  <si>
    <r>
      <t>N</t>
    </r>
    <r>
      <rPr>
        <b/>
        <vertAlign val="subscript"/>
        <sz val="8"/>
        <rFont val="Arial"/>
        <family val="2"/>
      </rPr>
      <t>2</t>
    </r>
    <r>
      <rPr>
        <b/>
        <sz val="8"/>
        <rFont val="Arial"/>
        <family val="2"/>
      </rPr>
      <t>O EM
Gigagrams</t>
    </r>
  </si>
  <si>
    <t xml:space="preserve">Total </t>
  </si>
  <si>
    <t xml:space="preserve">Non-Energy </t>
  </si>
  <si>
    <t xml:space="preserve">Net combustible </t>
  </si>
  <si>
    <t>Storage Factor (%)</t>
  </si>
  <si>
    <t>NA</t>
  </si>
  <si>
    <t>Industrial Sector GHG</t>
  </si>
  <si>
    <r>
      <t>CO</t>
    </r>
    <r>
      <rPr>
        <b/>
        <vertAlign val="subscript"/>
        <sz val="8"/>
        <color indexed="8"/>
        <rFont val="Arial"/>
        <family val="2"/>
      </rPr>
      <t>2</t>
    </r>
  </si>
  <si>
    <r>
      <t>CH</t>
    </r>
    <r>
      <rPr>
        <b/>
        <vertAlign val="subscript"/>
        <sz val="8"/>
        <color indexed="8"/>
        <rFont val="Arial"/>
        <family val="2"/>
      </rPr>
      <t>4</t>
    </r>
  </si>
  <si>
    <r>
      <t>N</t>
    </r>
    <r>
      <rPr>
        <b/>
        <vertAlign val="subscript"/>
        <sz val="8"/>
        <color indexed="8"/>
        <rFont val="Arial"/>
        <family val="2"/>
      </rPr>
      <t>2</t>
    </r>
    <r>
      <rPr>
        <b/>
        <sz val="8"/>
        <color indexed="8"/>
        <rFont val="Arial"/>
        <family val="2"/>
      </rPr>
      <t>O</t>
    </r>
  </si>
  <si>
    <t>(Metric Tons)</t>
  </si>
  <si>
    <t>x</t>
  </si>
  <si>
    <t>=</t>
  </si>
  <si>
    <t>+</t>
  </si>
  <si>
    <t>BOF</t>
  </si>
  <si>
    <t>Flared Landfills</t>
  </si>
  <si>
    <t>County</t>
  </si>
  <si>
    <t>Facility Name</t>
  </si>
  <si>
    <t>TOTAL Landfill Capacity (Million tons)</t>
  </si>
  <si>
    <t>Correct Capacity (MegaGrams)</t>
  </si>
  <si>
    <t>Average Acceptance / Yearly Disposal (tons/yr)</t>
  </si>
  <si>
    <t>Average Acceptance / Yearly Disposal ( Mg/yr)</t>
  </si>
  <si>
    <t>Year Opened</t>
  </si>
  <si>
    <t>Year Closed</t>
  </si>
  <si>
    <r>
      <t>CO</t>
    </r>
    <r>
      <rPr>
        <b/>
        <vertAlign val="subscript"/>
        <sz val="9"/>
        <rFont val="Arial"/>
        <family val="2"/>
      </rPr>
      <t>2</t>
    </r>
    <r>
      <rPr>
        <b/>
        <sz val="9"/>
        <rFont val="Arial"/>
        <family val="2"/>
      </rPr>
      <t xml:space="preserve"> Generation (short tons) LandGEM 3.0</t>
    </r>
  </si>
  <si>
    <r>
      <t>CH</t>
    </r>
    <r>
      <rPr>
        <b/>
        <vertAlign val="subscript"/>
        <sz val="9"/>
        <rFont val="Arial"/>
        <family val="2"/>
      </rPr>
      <t>4</t>
    </r>
    <r>
      <rPr>
        <b/>
        <sz val="9"/>
        <rFont val="Arial"/>
        <family val="2"/>
      </rPr>
      <t xml:space="preserve"> Generation (short tons/yr) LandGEM 3.0</t>
    </r>
  </si>
  <si>
    <r>
      <t xml:space="preserve"> CH</t>
    </r>
    <r>
      <rPr>
        <b/>
        <vertAlign val="subscript"/>
        <sz val="9"/>
        <rFont val="Arial"/>
        <family val="2"/>
      </rPr>
      <t>4</t>
    </r>
    <r>
      <rPr>
        <b/>
        <sz val="9"/>
        <rFont val="Arial"/>
        <family val="2"/>
      </rPr>
      <t xml:space="preserve"> Collection Efficiency (%)</t>
    </r>
  </si>
  <si>
    <t>Flare Control Efficeincy (%)</t>
  </si>
  <si>
    <r>
      <t>Limestone &amp; Dolomite; Soda Ash; Ammonia &amp; Urea; ODS; Electric Power T&amp;D Summary (MTCO</t>
    </r>
    <r>
      <rPr>
        <b/>
        <vertAlign val="subscript"/>
        <sz val="14"/>
        <rFont val="Comic Sans MS"/>
        <family val="4"/>
      </rPr>
      <t>2</t>
    </r>
    <r>
      <rPr>
        <b/>
        <sz val="14"/>
        <rFont val="Comic Sans MS"/>
        <family val="4"/>
      </rPr>
      <t>E)</t>
    </r>
  </si>
  <si>
    <r>
      <t xml:space="preserve"> National Emissions
(Metric Tons CO</t>
    </r>
    <r>
      <rPr>
        <b/>
        <vertAlign val="subscript"/>
        <sz val="9"/>
        <rFont val="Calibri"/>
        <family val="2"/>
      </rPr>
      <t>2</t>
    </r>
    <r>
      <rPr>
        <b/>
        <sz val="9"/>
        <rFont val="Calibri"/>
        <family val="2"/>
      </rPr>
      <t xml:space="preserve"> Eq.)</t>
    </r>
  </si>
  <si>
    <r>
      <t>CO</t>
    </r>
    <r>
      <rPr>
        <b/>
        <vertAlign val="subscript"/>
        <sz val="9"/>
        <rFont val="Arial"/>
        <family val="2"/>
      </rPr>
      <t>2</t>
    </r>
    <r>
      <rPr>
        <b/>
        <sz val="9"/>
        <rFont val="Arial"/>
        <family val="2"/>
      </rPr>
      <t xml:space="preserve"> Generated from CH4 Combustion, tons</t>
    </r>
  </si>
  <si>
    <r>
      <t>Uncombusted CH</t>
    </r>
    <r>
      <rPr>
        <b/>
        <vertAlign val="subscript"/>
        <sz val="9"/>
        <rFont val="Arial"/>
        <family val="2"/>
      </rPr>
      <t xml:space="preserve">4 </t>
    </r>
    <r>
      <rPr>
        <b/>
        <sz val="9"/>
        <rFont val="Arial"/>
        <family val="2"/>
      </rPr>
      <t xml:space="preserve"> (Flare Emission, tons)  </t>
    </r>
  </si>
  <si>
    <r>
      <t>Uncollected Landfill  CH</t>
    </r>
    <r>
      <rPr>
        <b/>
        <vertAlign val="subscript"/>
        <sz val="9"/>
        <rFont val="Arial"/>
        <family val="2"/>
      </rPr>
      <t>4</t>
    </r>
  </si>
  <si>
    <t>Surface Oxidation %</t>
  </si>
  <si>
    <r>
      <t>Fugitive Landfill CH</t>
    </r>
    <r>
      <rPr>
        <b/>
        <vertAlign val="subscript"/>
        <sz val="9"/>
        <rFont val="Arial"/>
        <family val="2"/>
      </rPr>
      <t>4</t>
    </r>
    <r>
      <rPr>
        <b/>
        <sz val="9"/>
        <rFont val="Arial"/>
        <family val="2"/>
      </rPr>
      <t xml:space="preserve"> Emission (tons)</t>
    </r>
  </si>
  <si>
    <t xml:space="preserve">Total  CH4 Emission, tons </t>
  </si>
  <si>
    <r>
      <t>CO</t>
    </r>
    <r>
      <rPr>
        <b/>
        <vertAlign val="subscript"/>
        <sz val="9"/>
        <rFont val="Arial"/>
        <family val="2"/>
      </rPr>
      <t>2</t>
    </r>
    <r>
      <rPr>
        <b/>
        <sz val="9"/>
        <rFont val="Arial"/>
        <family val="2"/>
      </rPr>
      <t xml:space="preserve">e Emissions </t>
    </r>
  </si>
  <si>
    <t>Tolat GHG Emissions (tons)</t>
  </si>
  <si>
    <t>Allegany</t>
  </si>
  <si>
    <t>Mountainview Municipal Landfill</t>
  </si>
  <si>
    <t>Vale Summit</t>
  </si>
  <si>
    <t>Anne Arundel</t>
  </si>
  <si>
    <t>Annapolis</t>
  </si>
  <si>
    <t>Fort G. Meade Municipal Landfill</t>
  </si>
  <si>
    <t>Millersville Municipal Landfill</t>
  </si>
  <si>
    <t>Sudley Road</t>
  </si>
  <si>
    <t>Baltimore City</t>
  </si>
  <si>
    <t>Quarrantine Road Municipal Landfill</t>
  </si>
  <si>
    <t>Millenium -- SCM-HPP</t>
  </si>
  <si>
    <t>Eastern Municiapl Landfill</t>
  </si>
  <si>
    <t>Calvert</t>
  </si>
  <si>
    <t>Appeal  Municiapl Landfill</t>
  </si>
  <si>
    <t>Barstow</t>
  </si>
  <si>
    <t>Carroll</t>
  </si>
  <si>
    <t>Hoods Mill</t>
  </si>
  <si>
    <t>Northern Municpal Landfill</t>
  </si>
  <si>
    <t>Cecil</t>
  </si>
  <si>
    <t>Cecil County Central Landfill - Hog Hill</t>
  </si>
  <si>
    <t>Charles</t>
  </si>
  <si>
    <t>Charles County Municipal LF #2</t>
  </si>
  <si>
    <t>Pisgah</t>
  </si>
  <si>
    <t xml:space="preserve">Dorchester </t>
  </si>
  <si>
    <t>Beulah HE #1</t>
  </si>
  <si>
    <t>Beulah HE #2</t>
  </si>
  <si>
    <t>Frederick</t>
  </si>
  <si>
    <t>Fort Detrick Municipal Landfill</t>
  </si>
  <si>
    <t>Garrett</t>
  </si>
  <si>
    <t>Garrett County SWD&amp;RF  or  Del Signiore</t>
  </si>
  <si>
    <t>Round Glade</t>
  </si>
  <si>
    <t>Harford</t>
  </si>
  <si>
    <t>Harford W.D. Center Municipal Landfill</t>
  </si>
  <si>
    <t>Howard</t>
  </si>
  <si>
    <t>Alpha Ridge</t>
  </si>
  <si>
    <t>Kent</t>
  </si>
  <si>
    <t>Nicholson</t>
  </si>
  <si>
    <t>The Oaks</t>
  </si>
  <si>
    <t>Prince Georges</t>
  </si>
  <si>
    <t>Brown Station Landfill B</t>
  </si>
  <si>
    <t>CDP/Sandy Hill</t>
  </si>
  <si>
    <t>Saint Andrews 1 &amp; 2 Municipal LF</t>
  </si>
  <si>
    <t>Somerset</t>
  </si>
  <si>
    <t>Somerset County Municipal LF or Fairmount Rd</t>
  </si>
  <si>
    <t>Westover/Ring</t>
  </si>
  <si>
    <t>Talbot</t>
  </si>
  <si>
    <t>Midshore Regional Municipal LF</t>
  </si>
  <si>
    <t>Washington</t>
  </si>
  <si>
    <t>Hancock Landfill</t>
  </si>
  <si>
    <t>Forty West</t>
  </si>
  <si>
    <t>Wicomico</t>
  </si>
  <si>
    <r>
      <t xml:space="preserve">Newland Park Municipal LF - </t>
    </r>
    <r>
      <rPr>
        <b/>
        <sz val="10"/>
        <rFont val="Arial"/>
        <family val="2"/>
      </rPr>
      <t>Wicomico County Landfill</t>
    </r>
  </si>
  <si>
    <t>Worcester</t>
  </si>
  <si>
    <t>Landfill Gas-to-Energy (tons)</t>
  </si>
  <si>
    <r>
      <t>CH</t>
    </r>
    <r>
      <rPr>
        <vertAlign val="subscript"/>
        <sz val="10"/>
        <rFont val="Arial"/>
        <family val="2"/>
      </rPr>
      <t>4</t>
    </r>
    <r>
      <rPr>
        <sz val="10"/>
        <rFont val="Arial"/>
        <family val="2"/>
      </rPr>
      <t xml:space="preserve"> GWP</t>
    </r>
  </si>
  <si>
    <r>
      <t>MSW Generation ( MTCO</t>
    </r>
    <r>
      <rPr>
        <b/>
        <vertAlign val="subscript"/>
        <sz val="10"/>
        <rFont val="Arial"/>
        <family val="2"/>
      </rPr>
      <t>2</t>
    </r>
    <r>
      <rPr>
        <b/>
        <sz val="10"/>
        <rFont val="Arial"/>
        <family val="2"/>
      </rPr>
      <t>E)</t>
    </r>
  </si>
  <si>
    <r>
      <t>Flared CH</t>
    </r>
    <r>
      <rPr>
        <b/>
        <vertAlign val="subscript"/>
        <sz val="10"/>
        <rFont val="Arial"/>
        <family val="2"/>
      </rPr>
      <t>4</t>
    </r>
    <r>
      <rPr>
        <b/>
        <sz val="10"/>
        <rFont val="Arial"/>
        <family val="2"/>
      </rPr>
      <t xml:space="preserve"> (MTCO</t>
    </r>
    <r>
      <rPr>
        <b/>
        <vertAlign val="subscript"/>
        <sz val="10"/>
        <rFont val="Arial"/>
        <family val="2"/>
      </rPr>
      <t>2</t>
    </r>
    <r>
      <rPr>
        <b/>
        <sz val="10"/>
        <rFont val="Arial"/>
        <family val="2"/>
      </rPr>
      <t>E)</t>
    </r>
  </si>
  <si>
    <r>
      <t>Landfill Gas-to-Energy (MTCO</t>
    </r>
    <r>
      <rPr>
        <b/>
        <vertAlign val="subscript"/>
        <sz val="10"/>
        <rFont val="Arial"/>
        <family val="2"/>
      </rPr>
      <t>2</t>
    </r>
    <r>
      <rPr>
        <b/>
        <sz val="10"/>
        <rFont val="Arial"/>
        <family val="2"/>
      </rPr>
      <t>E)</t>
    </r>
  </si>
  <si>
    <r>
      <t>Industrial  Generation (MTCO</t>
    </r>
    <r>
      <rPr>
        <b/>
        <vertAlign val="subscript"/>
        <sz val="10"/>
        <rFont val="Arial"/>
        <family val="2"/>
      </rPr>
      <t>2</t>
    </r>
    <r>
      <rPr>
        <b/>
        <sz val="10"/>
        <rFont val="Arial"/>
        <family val="2"/>
      </rPr>
      <t>E)</t>
    </r>
  </si>
  <si>
    <r>
      <t>Potential CH</t>
    </r>
    <r>
      <rPr>
        <b/>
        <vertAlign val="subscript"/>
        <sz val="10"/>
        <rFont val="Arial"/>
        <family val="2"/>
      </rPr>
      <t xml:space="preserve">4 </t>
    </r>
    <r>
      <rPr>
        <b/>
        <sz val="10"/>
        <rFont val="Arial"/>
        <family val="2"/>
      </rPr>
      <t>(MTCO</t>
    </r>
    <r>
      <rPr>
        <b/>
        <vertAlign val="subscript"/>
        <sz val="10"/>
        <rFont val="Arial"/>
        <family val="2"/>
      </rPr>
      <t>2</t>
    </r>
    <r>
      <rPr>
        <b/>
        <sz val="10"/>
        <rFont val="Arial"/>
        <family val="2"/>
      </rPr>
      <t>E)</t>
    </r>
  </si>
  <si>
    <r>
      <t>CH</t>
    </r>
    <r>
      <rPr>
        <b/>
        <vertAlign val="subscript"/>
        <sz val="10"/>
        <rFont val="Arial"/>
        <family val="2"/>
      </rPr>
      <t>4</t>
    </r>
    <r>
      <rPr>
        <b/>
        <sz val="10"/>
        <rFont val="Arial"/>
        <family val="2"/>
      </rPr>
      <t xml:space="preserve"> Avoided (MTCO</t>
    </r>
    <r>
      <rPr>
        <b/>
        <vertAlign val="subscript"/>
        <sz val="10"/>
        <rFont val="Arial"/>
        <family val="2"/>
      </rPr>
      <t>2</t>
    </r>
    <r>
      <rPr>
        <b/>
        <sz val="10"/>
        <rFont val="Arial"/>
        <family val="2"/>
      </rPr>
      <t>E)</t>
    </r>
  </si>
  <si>
    <r>
      <t>Landfill Gas-to-Energy (MTC</t>
    </r>
    <r>
      <rPr>
        <b/>
        <sz val="10"/>
        <rFont val="Arial"/>
        <family val="2"/>
      </rPr>
      <t>E)</t>
    </r>
  </si>
  <si>
    <r>
      <t>Potential CH</t>
    </r>
    <r>
      <rPr>
        <b/>
        <vertAlign val="subscript"/>
        <sz val="10"/>
        <rFont val="Arial"/>
        <family val="2"/>
      </rPr>
      <t xml:space="preserve">4 </t>
    </r>
    <r>
      <rPr>
        <b/>
        <sz val="10"/>
        <rFont val="Arial"/>
        <family val="2"/>
      </rPr>
      <t>(MTC</t>
    </r>
    <r>
      <rPr>
        <b/>
        <sz val="10"/>
        <rFont val="Arial"/>
        <family val="2"/>
      </rPr>
      <t>E)</t>
    </r>
  </si>
  <si>
    <r>
      <t>CH</t>
    </r>
    <r>
      <rPr>
        <b/>
        <vertAlign val="subscript"/>
        <sz val="10"/>
        <rFont val="Arial"/>
        <family val="2"/>
      </rPr>
      <t>4</t>
    </r>
    <r>
      <rPr>
        <b/>
        <sz val="10"/>
        <rFont val="Arial"/>
        <family val="2"/>
      </rPr>
      <t xml:space="preserve"> Avoided (MTC</t>
    </r>
    <r>
      <rPr>
        <b/>
        <sz val="10"/>
        <rFont val="Arial"/>
        <family val="2"/>
      </rPr>
      <t>E)</t>
    </r>
  </si>
  <si>
    <t>Oxidation at MSW Landfills (tons)</t>
  </si>
  <si>
    <r>
      <t>Oxidation at MSW Landfills (MTCO</t>
    </r>
    <r>
      <rPr>
        <b/>
        <vertAlign val="subscript"/>
        <sz val="10"/>
        <rFont val="Arial"/>
        <family val="2"/>
      </rPr>
      <t>2</t>
    </r>
    <r>
      <rPr>
        <b/>
        <sz val="10"/>
        <rFont val="Arial"/>
        <family val="2"/>
      </rPr>
      <t>E)</t>
    </r>
  </si>
  <si>
    <r>
      <t>Oxidation at MSW Landfills (MTC</t>
    </r>
    <r>
      <rPr>
        <b/>
        <sz val="10"/>
        <rFont val="Arial"/>
        <family val="2"/>
      </rPr>
      <t>E)</t>
    </r>
  </si>
  <si>
    <r>
      <t>Oxidation at Industrial Landfills (MTCO</t>
    </r>
    <r>
      <rPr>
        <b/>
        <vertAlign val="subscript"/>
        <sz val="10"/>
        <rFont val="Arial"/>
        <family val="2"/>
      </rPr>
      <t>2</t>
    </r>
    <r>
      <rPr>
        <b/>
        <sz val="10"/>
        <rFont val="Arial"/>
        <family val="2"/>
      </rPr>
      <t>E)</t>
    </r>
  </si>
  <si>
    <r>
      <t>Oxidation at Industrial Landfills (MTC</t>
    </r>
    <r>
      <rPr>
        <b/>
        <sz val="10"/>
        <rFont val="Arial"/>
        <family val="2"/>
      </rPr>
      <t>E)</t>
    </r>
  </si>
  <si>
    <t>Incinerator #1</t>
  </si>
  <si>
    <t>Incinerator #4</t>
  </si>
  <si>
    <t>Incinerator #5</t>
  </si>
  <si>
    <t>Fort Detrick</t>
  </si>
  <si>
    <t>MSW Processed (tons)</t>
  </si>
  <si>
    <t>Wheelabrator Baltimore</t>
  </si>
  <si>
    <r>
      <t>C/CO</t>
    </r>
    <r>
      <rPr>
        <b/>
        <vertAlign val="subscript"/>
        <sz val="7"/>
        <rFont val="Comic Sans MS"/>
        <family val="4"/>
      </rPr>
      <t>2</t>
    </r>
  </si>
  <si>
    <t>Emissions (MTCE)</t>
  </si>
  <si>
    <t>Carbon Content</t>
  </si>
  <si>
    <t>Construction</t>
  </si>
  <si>
    <t>(Gallons)</t>
  </si>
  <si>
    <t>(MMTCE)</t>
  </si>
  <si>
    <t>- (</t>
  </si>
  <si>
    <t>) =</t>
  </si>
  <si>
    <t>Natural Gas - Production</t>
  </si>
  <si>
    <t>Activity Data</t>
  </si>
  <si>
    <r>
      <t>Metric Tons CH</t>
    </r>
    <r>
      <rPr>
        <b/>
        <vertAlign val="subscript"/>
        <sz val="8"/>
        <rFont val="Comic Sans MS"/>
        <family val="4"/>
      </rPr>
      <t>4</t>
    </r>
  </si>
  <si>
    <r>
      <t>MMTCO</t>
    </r>
    <r>
      <rPr>
        <b/>
        <vertAlign val="subscript"/>
        <sz val="8"/>
        <rFont val="Comic Sans MS"/>
        <family val="4"/>
      </rPr>
      <t>2</t>
    </r>
    <r>
      <rPr>
        <b/>
        <sz val="8"/>
        <rFont val="Comic Sans MS"/>
        <family val="4"/>
      </rPr>
      <t>E</t>
    </r>
  </si>
  <si>
    <r>
      <t>metric tons CH</t>
    </r>
    <r>
      <rPr>
        <vertAlign val="subscript"/>
        <sz val="8"/>
        <rFont val="Comic Sans MS"/>
        <family val="4"/>
      </rPr>
      <t>4</t>
    </r>
    <r>
      <rPr>
        <sz val="8"/>
        <rFont val="Comic Sans MS"/>
        <family val="4"/>
      </rPr>
      <t xml:space="preserve"> per year per activity unit</t>
    </r>
  </si>
  <si>
    <t>Total number of wells</t>
  </si>
  <si>
    <t>Number of off-shore platforms not in the Gulf of Mexico</t>
  </si>
  <si>
    <t xml:space="preserve">Total  </t>
  </si>
  <si>
    <t>Natural Gas - Transmission</t>
  </si>
  <si>
    <t>Miles of transmission pipeline</t>
  </si>
  <si>
    <t>Number of gas transmission compressor stations</t>
  </si>
  <si>
    <t>Number of gas storage compressor stations</t>
  </si>
  <si>
    <t xml:space="preserve">Number of LNG storage compressor stations from EIA, US LNG Markets and Uses, http://www.eia.doe.gov/pub/oil_gas/natural_gas/feature_articles/2003/lng/lng2003.pdf </t>
  </si>
  <si>
    <t>Number of gas transmission compressor stations = miles of transmission pipeline x 0.006 -EIIP, Volume VII: Chapter 5,March 2005</t>
  </si>
  <si>
    <t>Number of gas storage compressor station  = miles of transmission pipeline x 0.0015 -EIIP, Volume VII: Chapter 5,March 2005</t>
  </si>
  <si>
    <t>Natural Gas - Distribution</t>
  </si>
  <si>
    <t>Distribution pipeline</t>
  </si>
  <si>
    <t>Miles of cast iron distribution pipeline</t>
  </si>
  <si>
    <t>Miles of unprotected steel distribution pipeline</t>
  </si>
  <si>
    <t>Miles of protected steel distribution pipeline</t>
  </si>
  <si>
    <t>Miles of plastic distribution pipeline</t>
  </si>
  <si>
    <t>Services</t>
  </si>
  <si>
    <t>Total number of services</t>
  </si>
  <si>
    <t>Number of unprotected steel services</t>
  </si>
  <si>
    <t>Number of protected steel services</t>
  </si>
  <si>
    <t>Abandoned Coal Mines</t>
  </si>
  <si>
    <t>Vented</t>
  </si>
  <si>
    <t>Sealed</t>
  </si>
  <si>
    <t>Flooded</t>
  </si>
  <si>
    <t>Urban Trees</t>
  </si>
  <si>
    <t>Landfilled Yard Trimmings and Food Scraps</t>
  </si>
  <si>
    <t>Forest Fires</t>
  </si>
  <si>
    <t>Urban Forestry and Land Use</t>
  </si>
  <si>
    <t>Solar</t>
  </si>
  <si>
    <t>Residential Open Burning</t>
  </si>
  <si>
    <t>Forested Landscape</t>
  </si>
  <si>
    <t>Residential</t>
  </si>
  <si>
    <t>Coal</t>
  </si>
  <si>
    <t>Petroleum</t>
  </si>
  <si>
    <t>Natural Gas</t>
  </si>
  <si>
    <t>Commercial</t>
  </si>
  <si>
    <t>Industrial</t>
  </si>
  <si>
    <t>Plant ID</t>
  </si>
  <si>
    <t xml:space="preserve">Plant Name </t>
  </si>
  <si>
    <t>Equipment Description</t>
  </si>
  <si>
    <t>Fuel Type</t>
  </si>
  <si>
    <t>Usage</t>
  </si>
  <si>
    <t>(tons)</t>
  </si>
  <si>
    <t>Units</t>
  </si>
  <si>
    <t>(MMBTU)</t>
  </si>
  <si>
    <t>001-0203</t>
  </si>
  <si>
    <t>AES WARRIOR RUN COGEN</t>
  </si>
  <si>
    <t>001-3-0127</t>
  </si>
  <si>
    <t xml:space="preserve">ACF Boiler </t>
  </si>
  <si>
    <t>Btu/lb</t>
  </si>
  <si>
    <t>003-0468</t>
  </si>
  <si>
    <r>
      <t>Emission Factor
(t CO</t>
    </r>
    <r>
      <rPr>
        <b/>
        <vertAlign val="subscript"/>
        <sz val="9"/>
        <rFont val="Calibri"/>
        <family val="2"/>
      </rPr>
      <t>2</t>
    </r>
    <r>
      <rPr>
        <b/>
        <sz val="9"/>
        <rFont val="Calibri"/>
        <family val="2"/>
      </rPr>
      <t>/t production)</t>
    </r>
  </si>
  <si>
    <r>
      <t>Emissions
(MTCO</t>
    </r>
    <r>
      <rPr>
        <b/>
        <vertAlign val="subscript"/>
        <sz val="9"/>
        <rFont val="Calibri"/>
        <family val="2"/>
      </rPr>
      <t>2</t>
    </r>
    <r>
      <rPr>
        <b/>
        <sz val="9"/>
        <rFont val="Calibri"/>
        <family val="2"/>
      </rPr>
      <t>E)</t>
    </r>
  </si>
  <si>
    <r>
      <t>Emission Factor
(mt CO</t>
    </r>
    <r>
      <rPr>
        <b/>
        <vertAlign val="subscript"/>
        <sz val="9"/>
        <rFont val="Calibri"/>
        <family val="2"/>
      </rPr>
      <t>2</t>
    </r>
    <r>
      <rPr>
        <b/>
        <sz val="9"/>
        <rFont val="Calibri"/>
        <family val="2"/>
      </rPr>
      <t>/mt activity)</t>
    </r>
  </si>
  <si>
    <r>
      <t>Apportioned National Emissions
(MTCO</t>
    </r>
    <r>
      <rPr>
        <b/>
        <vertAlign val="subscript"/>
        <sz val="9"/>
        <rFont val="Calibri"/>
        <family val="2"/>
      </rPr>
      <t>2</t>
    </r>
    <r>
      <rPr>
        <b/>
        <sz val="9"/>
        <rFont val="Calibri"/>
        <family val="2"/>
      </rPr>
      <t>E)</t>
    </r>
  </si>
  <si>
    <r>
      <t>Emission Factor
(t SF</t>
    </r>
    <r>
      <rPr>
        <b/>
        <vertAlign val="subscript"/>
        <sz val="9"/>
        <rFont val="Calibri"/>
        <family val="2"/>
      </rPr>
      <t>6</t>
    </r>
    <r>
      <rPr>
        <b/>
        <sz val="9"/>
        <rFont val="Calibri"/>
        <family val="2"/>
      </rPr>
      <t>/t Consumption)</t>
    </r>
  </si>
  <si>
    <r>
      <t>Emissions
(Metric Tons SF</t>
    </r>
    <r>
      <rPr>
        <b/>
        <vertAlign val="subscript"/>
        <sz val="9"/>
        <rFont val="Calibri"/>
        <family val="2"/>
      </rPr>
      <t>6</t>
    </r>
    <r>
      <rPr>
        <b/>
        <sz val="9"/>
        <rFont val="Calibri"/>
        <family val="2"/>
      </rPr>
      <t>)</t>
    </r>
  </si>
  <si>
    <t xml:space="preserve"> Brandon Shores </t>
  </si>
  <si>
    <t>Unit 1</t>
  </si>
  <si>
    <t>P-Coal</t>
  </si>
  <si>
    <t>Unit 2</t>
  </si>
  <si>
    <t>24-005-0079</t>
  </si>
  <si>
    <t xml:space="preserve">C.P.Crane </t>
  </si>
  <si>
    <t>3-0108</t>
  </si>
  <si>
    <t>Boiler Unit 1</t>
  </si>
  <si>
    <t>3-0109</t>
  </si>
  <si>
    <t>Boiler Unit 2</t>
  </si>
  <si>
    <t>033-00014</t>
  </si>
  <si>
    <t>Chalk Point</t>
  </si>
  <si>
    <t>1600-14-30004</t>
  </si>
  <si>
    <t>Btu/ lb</t>
  </si>
  <si>
    <t>1600-14-30005</t>
  </si>
  <si>
    <t>003-0014</t>
  </si>
  <si>
    <t>HERBERT A WAGNER</t>
  </si>
  <si>
    <t>4-0308</t>
  </si>
  <si>
    <t>MMBtu/ tons</t>
  </si>
  <si>
    <t>3-0003</t>
  </si>
  <si>
    <t>Unit 3</t>
  </si>
  <si>
    <t>MMBTU/ Gal</t>
  </si>
  <si>
    <t>MMBTU/ tons</t>
  </si>
  <si>
    <t>MMBTU/gallons</t>
  </si>
  <si>
    <t>MMBTU/ gallons</t>
  </si>
  <si>
    <t>Mcf</t>
  </si>
  <si>
    <t>MMBTU/ Mcf</t>
  </si>
  <si>
    <t>Used Oil</t>
  </si>
  <si>
    <t>40 CFR 98</t>
  </si>
  <si>
    <t>Fuel</t>
  </si>
  <si>
    <t>Bitumunious Coal</t>
  </si>
  <si>
    <t>Subbituminous Coal</t>
  </si>
  <si>
    <t>Distillate Fuel oil #2</t>
  </si>
  <si>
    <t>Distillate Fuel Oil #6</t>
  </si>
  <si>
    <t>Emission Factors (kg/MMBTU)</t>
  </si>
  <si>
    <t>Global Warming Potentials</t>
  </si>
  <si>
    <t>NC</t>
  </si>
  <si>
    <t>(lb/MMBTU)</t>
  </si>
  <si>
    <t>(lb/Mgal)</t>
  </si>
  <si>
    <t>Emission Factors</t>
  </si>
  <si>
    <t>CO2</t>
  </si>
  <si>
    <t>e-GGRT Subpart D</t>
  </si>
  <si>
    <t>e-GGRT Subpart C</t>
  </si>
  <si>
    <t>2014 ECMPS</t>
  </si>
  <si>
    <t>Unit 1 and Unit 2</t>
  </si>
  <si>
    <t>Aux 2,3 and CT</t>
  </si>
  <si>
    <t>Bit Coal</t>
  </si>
  <si>
    <t>Sub -Bit -Coal</t>
  </si>
  <si>
    <t>MMBTU/tons</t>
  </si>
  <si>
    <t>Sub Bit Coal</t>
  </si>
  <si>
    <t>CH4 (lb/MMBTU)</t>
  </si>
  <si>
    <t>N2O(lb/MMBTU)</t>
  </si>
  <si>
    <t>BTU for #2 Fuel Oil =137,000</t>
  </si>
  <si>
    <t>0.11 lbs/1,000 gal</t>
  </si>
  <si>
    <t>1.11 lbs/1,000 gallons of Fuel</t>
  </si>
  <si>
    <t>22,600 lbs/1,000 gallons</t>
  </si>
  <si>
    <t>Emission Certificate Report-Easton Utility</t>
  </si>
  <si>
    <t>Berlin Town</t>
  </si>
  <si>
    <t>Crisfield</t>
  </si>
  <si>
    <t>0.9 lbs/1,000 gal</t>
  </si>
  <si>
    <t>0.2 lbs/1,000 gal</t>
  </si>
  <si>
    <t>AP-42 Method</t>
  </si>
  <si>
    <r>
      <t>CH</t>
    </r>
    <r>
      <rPr>
        <vertAlign val="subscript"/>
        <sz val="10"/>
        <rFont val="Arial"/>
        <family val="2"/>
      </rPr>
      <t>4</t>
    </r>
    <r>
      <rPr>
        <sz val="10"/>
        <rFont val="Arial"/>
        <family val="2"/>
      </rPr>
      <t>(lb/MMBTU)</t>
    </r>
  </si>
  <si>
    <r>
      <t>N</t>
    </r>
    <r>
      <rPr>
        <vertAlign val="subscript"/>
        <sz val="10"/>
        <rFont val="Arial"/>
        <family val="2"/>
      </rPr>
      <t>2</t>
    </r>
    <r>
      <rPr>
        <sz val="10"/>
        <rFont val="Arial"/>
        <family val="2"/>
      </rPr>
      <t>O (lb/MMBTU)</t>
    </r>
  </si>
  <si>
    <r>
      <t>N</t>
    </r>
    <r>
      <rPr>
        <vertAlign val="subscript"/>
        <sz val="10"/>
        <rFont val="Arial"/>
        <family val="2"/>
      </rPr>
      <t>2</t>
    </r>
    <r>
      <rPr>
        <sz val="10"/>
        <rFont val="Arial"/>
        <family val="2"/>
      </rPr>
      <t>O</t>
    </r>
  </si>
  <si>
    <r>
      <t>N</t>
    </r>
    <r>
      <rPr>
        <vertAlign val="subscript"/>
        <sz val="10"/>
        <color indexed="10"/>
        <rFont val="Arial"/>
        <family val="2"/>
      </rPr>
      <t>2</t>
    </r>
    <r>
      <rPr>
        <sz val="10"/>
        <color indexed="10"/>
        <rFont val="Arial"/>
        <family val="2"/>
      </rPr>
      <t>O Emission Factor =</t>
    </r>
  </si>
  <si>
    <r>
      <t>CH</t>
    </r>
    <r>
      <rPr>
        <vertAlign val="subscript"/>
        <sz val="10"/>
        <color indexed="10"/>
        <rFont val="Arial"/>
        <family val="2"/>
      </rPr>
      <t>4</t>
    </r>
    <r>
      <rPr>
        <sz val="10"/>
        <color indexed="10"/>
        <rFont val="Arial"/>
        <family val="2"/>
      </rPr>
      <t xml:space="preserve"> Emission Factors =</t>
    </r>
  </si>
  <si>
    <r>
      <t>CO</t>
    </r>
    <r>
      <rPr>
        <vertAlign val="subscript"/>
        <sz val="10"/>
        <color indexed="10"/>
        <rFont val="Arial"/>
        <family val="2"/>
      </rPr>
      <t>2</t>
    </r>
    <r>
      <rPr>
        <sz val="10"/>
        <color indexed="10"/>
        <rFont val="Arial"/>
        <family val="2"/>
      </rPr>
      <t xml:space="preserve"> Emission Factor =</t>
    </r>
  </si>
  <si>
    <r>
      <t>CO</t>
    </r>
    <r>
      <rPr>
        <b/>
        <vertAlign val="subscript"/>
        <sz val="10"/>
        <color indexed="10"/>
        <rFont val="Arial"/>
        <family val="2"/>
      </rPr>
      <t xml:space="preserve">2 </t>
    </r>
    <r>
      <rPr>
        <b/>
        <sz val="10"/>
        <color indexed="10"/>
        <rFont val="Arial"/>
        <family val="2"/>
      </rPr>
      <t>Emission factor Sources ; 22.2 pounds/gallons . Http;www.epa.gov/oms/climate/420f05001.htm</t>
    </r>
  </si>
  <si>
    <r>
      <t>CH</t>
    </r>
    <r>
      <rPr>
        <b/>
        <vertAlign val="subscript"/>
        <sz val="10"/>
        <color indexed="10"/>
        <rFont val="Arial"/>
        <family val="2"/>
      </rPr>
      <t>4</t>
    </r>
    <r>
      <rPr>
        <b/>
        <sz val="10"/>
        <color indexed="10"/>
        <rFont val="Arial"/>
        <family val="2"/>
      </rPr>
      <t xml:space="preserve"> ;3g/MMBTU</t>
    </r>
  </si>
  <si>
    <r>
      <t>N</t>
    </r>
    <r>
      <rPr>
        <b/>
        <vertAlign val="subscript"/>
        <sz val="10"/>
        <color indexed="10"/>
        <rFont val="Arial"/>
        <family val="2"/>
      </rPr>
      <t>2</t>
    </r>
    <r>
      <rPr>
        <b/>
        <sz val="10"/>
        <color indexed="10"/>
        <rFont val="Arial"/>
        <family val="2"/>
      </rPr>
      <t>O ; 0.6 g/MMBTU</t>
    </r>
  </si>
  <si>
    <r>
      <t>CO</t>
    </r>
    <r>
      <rPr>
        <vertAlign val="subscript"/>
        <sz val="10"/>
        <rFont val="Arial"/>
        <family val="2"/>
      </rPr>
      <t>2</t>
    </r>
    <r>
      <rPr>
        <sz val="10"/>
        <rFont val="Arial"/>
        <family val="2"/>
      </rPr>
      <t xml:space="preserve"> Emission Factor</t>
    </r>
  </si>
  <si>
    <r>
      <t>CH</t>
    </r>
    <r>
      <rPr>
        <vertAlign val="subscript"/>
        <sz val="10"/>
        <rFont val="Arial"/>
        <family val="2"/>
      </rPr>
      <t>4</t>
    </r>
    <r>
      <rPr>
        <sz val="10"/>
        <rFont val="Arial"/>
        <family val="2"/>
      </rPr>
      <t xml:space="preserve"> Emission Factor</t>
    </r>
  </si>
  <si>
    <r>
      <t xml:space="preserve">CPSG - </t>
    </r>
    <r>
      <rPr>
        <b/>
        <sz val="10"/>
        <color indexed="10"/>
        <rFont val="Arial"/>
        <family val="2"/>
      </rPr>
      <t>Gould Street</t>
    </r>
  </si>
  <si>
    <t>22.2 lbs/gal</t>
  </si>
  <si>
    <r>
      <t>CO</t>
    </r>
    <r>
      <rPr>
        <vertAlign val="subscript"/>
        <sz val="10"/>
        <color indexed="10"/>
        <rFont val="Arial"/>
        <family val="2"/>
      </rPr>
      <t>2</t>
    </r>
    <r>
      <rPr>
        <sz val="10"/>
        <color indexed="10"/>
        <rFont val="Arial"/>
        <family val="2"/>
      </rPr>
      <t xml:space="preserve"> =</t>
    </r>
  </si>
  <si>
    <t>4-0015</t>
  </si>
  <si>
    <t>12 Aux Boiler</t>
  </si>
  <si>
    <t>9-0017   &amp;   9-0018</t>
  </si>
  <si>
    <t>9-0015  &amp;  9-0016</t>
  </si>
  <si>
    <t>Calvert Cliff</t>
  </si>
  <si>
    <t>CH4 Emission Factor for EDG ;Table 3.4-1 of AP-42 =1.00E-06 lbs/gal</t>
  </si>
  <si>
    <t>CH4 Emission Factor for Aux Boilers  ;Table 1.3-3 of AP-42 =1.00E+03 lbs/gal</t>
  </si>
  <si>
    <r>
      <t>N</t>
    </r>
    <r>
      <rPr>
        <vertAlign val="subscript"/>
        <sz val="10"/>
        <rFont val="Arial"/>
        <family val="2"/>
      </rPr>
      <t>2</t>
    </r>
    <r>
      <rPr>
        <sz val="10"/>
        <rFont val="Arial"/>
        <family val="2"/>
      </rPr>
      <t>O Emission Factor for EDG ;Table 1.3.8 of AP-42 =1.00E+03 lbs/gal</t>
    </r>
  </si>
  <si>
    <r>
      <t>CO</t>
    </r>
    <r>
      <rPr>
        <vertAlign val="subscript"/>
        <sz val="10"/>
        <rFont val="Arial"/>
        <family val="2"/>
      </rPr>
      <t>2</t>
    </r>
    <r>
      <rPr>
        <sz val="10"/>
        <rFont val="Arial"/>
        <family val="2"/>
      </rPr>
      <t xml:space="preserve"> Emission Factor for EDG ;Table 3.4-1 of AP-42 =165 lbs/MMBTU</t>
    </r>
  </si>
  <si>
    <r>
      <t>CO</t>
    </r>
    <r>
      <rPr>
        <vertAlign val="subscript"/>
        <sz val="10"/>
        <rFont val="Arial"/>
        <family val="2"/>
      </rPr>
      <t>2</t>
    </r>
    <r>
      <rPr>
        <sz val="10"/>
        <rFont val="Arial"/>
        <family val="2"/>
      </rPr>
      <t xml:space="preserve"> Emission Factor for Aux Boilers  ;Table 1.3-12 of AP-42 =2.23E+04 lbs/1,000gal</t>
    </r>
  </si>
  <si>
    <t>Table C-1 and C-2 Data</t>
  </si>
  <si>
    <t>MSW</t>
  </si>
  <si>
    <r>
      <t>CO</t>
    </r>
    <r>
      <rPr>
        <vertAlign val="subscript"/>
        <sz val="8"/>
        <rFont val="Arial"/>
        <family val="2"/>
      </rPr>
      <t>2</t>
    </r>
    <r>
      <rPr>
        <sz val="8"/>
        <rFont val="Arial"/>
        <family val="2"/>
      </rPr>
      <t xml:space="preserve"> EF</t>
    </r>
  </si>
  <si>
    <r>
      <t>CH</t>
    </r>
    <r>
      <rPr>
        <vertAlign val="subscript"/>
        <sz val="8"/>
        <rFont val="Arial"/>
        <family val="2"/>
      </rPr>
      <t>4</t>
    </r>
    <r>
      <rPr>
        <sz val="8"/>
        <rFont val="Arial"/>
        <family val="2"/>
      </rPr>
      <t xml:space="preserve"> EF</t>
    </r>
  </si>
  <si>
    <r>
      <t>N</t>
    </r>
    <r>
      <rPr>
        <vertAlign val="subscript"/>
        <sz val="8"/>
        <rFont val="Arial"/>
        <family val="2"/>
      </rPr>
      <t>2</t>
    </r>
    <r>
      <rPr>
        <sz val="8"/>
        <rFont val="Arial"/>
        <family val="2"/>
      </rPr>
      <t>O Ef</t>
    </r>
  </si>
  <si>
    <r>
      <t>kg CO</t>
    </r>
    <r>
      <rPr>
        <vertAlign val="subscript"/>
        <sz val="8"/>
        <rFont val="Arial"/>
        <family val="2"/>
      </rPr>
      <t>2</t>
    </r>
    <r>
      <rPr>
        <sz val="8"/>
        <rFont val="Arial"/>
        <family val="2"/>
      </rPr>
      <t>/MMBTU</t>
    </r>
  </si>
  <si>
    <r>
      <t>kg CH</t>
    </r>
    <r>
      <rPr>
        <vertAlign val="subscript"/>
        <sz val="8"/>
        <rFont val="Arial"/>
        <family val="2"/>
      </rPr>
      <t>4</t>
    </r>
    <r>
      <rPr>
        <sz val="8"/>
        <rFont val="Arial"/>
        <family val="2"/>
      </rPr>
      <t>/MMBTU</t>
    </r>
  </si>
  <si>
    <r>
      <t>kg N</t>
    </r>
    <r>
      <rPr>
        <vertAlign val="subscript"/>
        <sz val="8"/>
        <rFont val="Arial"/>
        <family val="2"/>
      </rPr>
      <t>2</t>
    </r>
    <r>
      <rPr>
        <sz val="8"/>
        <rFont val="Arial"/>
        <family val="2"/>
      </rPr>
      <t>O /MMBTU</t>
    </r>
  </si>
  <si>
    <t>Table A-1 Data</t>
  </si>
  <si>
    <r>
      <t>CO</t>
    </r>
    <r>
      <rPr>
        <vertAlign val="subscript"/>
        <sz val="8"/>
        <rFont val="Arial"/>
        <family val="2"/>
      </rPr>
      <t>2</t>
    </r>
    <r>
      <rPr>
        <sz val="8"/>
        <rFont val="Arial"/>
        <family val="2"/>
      </rPr>
      <t xml:space="preserve"> GWP</t>
    </r>
  </si>
  <si>
    <r>
      <t>CH</t>
    </r>
    <r>
      <rPr>
        <vertAlign val="subscript"/>
        <sz val="8"/>
        <rFont val="Arial"/>
        <family val="2"/>
      </rPr>
      <t>4</t>
    </r>
    <r>
      <rPr>
        <sz val="8"/>
        <rFont val="Arial"/>
        <family val="2"/>
      </rPr>
      <t xml:space="preserve"> GWP</t>
    </r>
  </si>
  <si>
    <r>
      <t>N</t>
    </r>
    <r>
      <rPr>
        <vertAlign val="subscript"/>
        <sz val="8"/>
        <rFont val="Arial"/>
        <family val="2"/>
      </rPr>
      <t>2</t>
    </r>
    <r>
      <rPr>
        <sz val="8"/>
        <rFont val="Arial"/>
        <family val="2"/>
      </rPr>
      <t>O GWP</t>
    </r>
  </si>
  <si>
    <t>updated beginning January 1,2014</t>
  </si>
  <si>
    <r>
      <t>CO</t>
    </r>
    <r>
      <rPr>
        <b/>
        <vertAlign val="subscript"/>
        <sz val="11"/>
        <rFont val="Calibri"/>
        <family val="2"/>
      </rPr>
      <t>2</t>
    </r>
  </si>
  <si>
    <r>
      <t>CH</t>
    </r>
    <r>
      <rPr>
        <b/>
        <vertAlign val="subscript"/>
        <sz val="11"/>
        <rFont val="Calibri"/>
        <family val="2"/>
      </rPr>
      <t>4</t>
    </r>
  </si>
  <si>
    <r>
      <t>N</t>
    </r>
    <r>
      <rPr>
        <b/>
        <vertAlign val="subscript"/>
        <sz val="11"/>
        <rFont val="Calibri"/>
        <family val="2"/>
      </rPr>
      <t>2</t>
    </r>
    <r>
      <rPr>
        <b/>
        <sz val="11"/>
        <rFont val="Calibri"/>
        <family val="2"/>
      </rPr>
      <t>O</t>
    </r>
  </si>
  <si>
    <r>
      <t>(ft</t>
    </r>
    <r>
      <rPr>
        <vertAlign val="superscript"/>
        <sz val="11"/>
        <rFont val="Calibri"/>
        <family val="2"/>
      </rPr>
      <t>3</t>
    </r>
    <r>
      <rPr>
        <sz val="11"/>
        <rFont val="Calibri"/>
        <family val="2"/>
      </rPr>
      <t>)</t>
    </r>
  </si>
  <si>
    <r>
      <t>CO</t>
    </r>
    <r>
      <rPr>
        <b/>
        <vertAlign val="subscript"/>
        <sz val="11"/>
        <rFont val="Calibri"/>
        <family val="2"/>
      </rPr>
      <t>2</t>
    </r>
    <r>
      <rPr>
        <b/>
        <sz val="11"/>
        <rFont val="Calibri"/>
        <family val="2"/>
      </rPr>
      <t xml:space="preserve"> emissions (short tons)</t>
    </r>
  </si>
  <si>
    <r>
      <t>CH</t>
    </r>
    <r>
      <rPr>
        <b/>
        <vertAlign val="subscript"/>
        <sz val="11"/>
        <rFont val="Calibri"/>
        <family val="2"/>
      </rPr>
      <t>4</t>
    </r>
    <r>
      <rPr>
        <b/>
        <sz val="11"/>
        <rFont val="Calibri"/>
        <family val="2"/>
      </rPr>
      <t xml:space="preserve"> emissions (short tons)</t>
    </r>
  </si>
  <si>
    <r>
      <t>N</t>
    </r>
    <r>
      <rPr>
        <b/>
        <vertAlign val="subscript"/>
        <sz val="11"/>
        <rFont val="Calibri"/>
        <family val="2"/>
      </rPr>
      <t>2</t>
    </r>
    <r>
      <rPr>
        <b/>
        <sz val="11"/>
        <rFont val="Calibri"/>
        <family val="2"/>
      </rPr>
      <t>O emissions  (short tons)</t>
    </r>
  </si>
  <si>
    <r>
      <t>N</t>
    </r>
    <r>
      <rPr>
        <b/>
        <vertAlign val="subscript"/>
        <sz val="11"/>
        <rFont val="Calibri"/>
        <family val="2"/>
      </rPr>
      <t>2</t>
    </r>
    <r>
      <rPr>
        <b/>
        <sz val="11"/>
        <rFont val="Calibri"/>
        <family val="2"/>
      </rPr>
      <t>O emissions (short tons)</t>
    </r>
  </si>
  <si>
    <r>
      <t>CO</t>
    </r>
    <r>
      <rPr>
        <b/>
        <vertAlign val="subscript"/>
        <sz val="11"/>
        <rFont val="Calibri"/>
        <family val="2"/>
      </rPr>
      <t>2</t>
    </r>
    <r>
      <rPr>
        <b/>
        <sz val="11"/>
        <rFont val="Calibri"/>
        <family val="2"/>
      </rPr>
      <t xml:space="preserve"> Emission </t>
    </r>
  </si>
  <si>
    <r>
      <t>CH</t>
    </r>
    <r>
      <rPr>
        <b/>
        <vertAlign val="subscript"/>
        <sz val="11"/>
        <rFont val="Calibri"/>
        <family val="2"/>
      </rPr>
      <t>4</t>
    </r>
    <r>
      <rPr>
        <b/>
        <sz val="11"/>
        <rFont val="Calibri"/>
        <family val="2"/>
      </rPr>
      <t xml:space="preserve"> Emission </t>
    </r>
  </si>
  <si>
    <r>
      <t>(MMTCO</t>
    </r>
    <r>
      <rPr>
        <b/>
        <vertAlign val="subscript"/>
        <sz val="11"/>
        <rFont val="Calibri"/>
        <family val="2"/>
      </rPr>
      <t>2</t>
    </r>
    <r>
      <rPr>
        <b/>
        <sz val="11"/>
        <rFont val="Calibri"/>
        <family val="2"/>
      </rPr>
      <t>)</t>
    </r>
  </si>
  <si>
    <r>
      <t>N</t>
    </r>
    <r>
      <rPr>
        <b/>
        <vertAlign val="subscript"/>
        <sz val="11"/>
        <rFont val="Calibri"/>
        <family val="2"/>
      </rPr>
      <t>2</t>
    </r>
    <r>
      <rPr>
        <b/>
        <sz val="11"/>
        <rFont val="Calibri"/>
        <family val="2"/>
      </rPr>
      <t xml:space="preserve">O Emission </t>
    </r>
  </si>
  <si>
    <r>
      <t>Electric Power Sector CO</t>
    </r>
    <r>
      <rPr>
        <vertAlign val="subscript"/>
        <sz val="14"/>
        <rFont val="Comic Sans MS"/>
        <family val="4"/>
      </rPr>
      <t>2</t>
    </r>
  </si>
  <si>
    <t>Unit 6A CT</t>
  </si>
  <si>
    <t>Unit 6A  CT</t>
  </si>
  <si>
    <t>Unit 6B CT</t>
  </si>
  <si>
    <t>Unit 6B  CT</t>
  </si>
  <si>
    <t>5-0353</t>
  </si>
  <si>
    <t>5-0354</t>
  </si>
  <si>
    <t>HCT1</t>
  </si>
  <si>
    <t>HCT2</t>
  </si>
  <si>
    <t>027-0661</t>
  </si>
  <si>
    <t>Constellation New Energy</t>
  </si>
  <si>
    <t>9-0394</t>
  </si>
  <si>
    <t>9-0395</t>
  </si>
  <si>
    <t>9-0396</t>
  </si>
  <si>
    <t>9-0397</t>
  </si>
  <si>
    <t>9-0398</t>
  </si>
  <si>
    <t>Generator 1</t>
  </si>
  <si>
    <t>Generator 2</t>
  </si>
  <si>
    <t>Generator 3</t>
  </si>
  <si>
    <t>Generator 4</t>
  </si>
  <si>
    <t>Generator 5</t>
  </si>
  <si>
    <t>017-0235</t>
  </si>
  <si>
    <t>CPV Maryland St. Charles Energy</t>
  </si>
  <si>
    <t>5-0013</t>
  </si>
  <si>
    <t>6-0151</t>
  </si>
  <si>
    <t>5-0016</t>
  </si>
  <si>
    <t>9-0158</t>
  </si>
  <si>
    <t>CT-11</t>
  </si>
  <si>
    <t>CT-12</t>
  </si>
  <si>
    <t>Fuel Gas Heater</t>
  </si>
  <si>
    <t>Auxilliary Boiler</t>
  </si>
  <si>
    <t>Emergency Generator</t>
  </si>
  <si>
    <t>Btu/Scf</t>
  </si>
  <si>
    <t>(Power Boiler)</t>
  </si>
  <si>
    <t>Projected Electric Consumption (Imported Electricity) Emissions for Maryland</t>
  </si>
  <si>
    <r>
      <t xml:space="preserve"> </t>
    </r>
    <r>
      <rPr>
        <b/>
        <sz val="10"/>
        <color indexed="57"/>
        <rFont val="MS Sans Serif"/>
        <family val="2"/>
      </rPr>
      <t>Net MD In-State Electricity Generated (MWh)</t>
    </r>
    <r>
      <rPr>
        <b/>
        <sz val="10"/>
        <rFont val="MS Sans Serif"/>
        <family val="2"/>
      </rPr>
      <t xml:space="preserve"> =</t>
    </r>
    <r>
      <rPr>
        <b/>
        <sz val="10"/>
        <color indexed="12"/>
        <rFont val="MS Sans Serif"/>
        <family val="2"/>
      </rPr>
      <t xml:space="preserve"> (MD Gross In-State Electricity Generated)</t>
    </r>
    <r>
      <rPr>
        <b/>
        <sz val="10"/>
        <rFont val="MS Sans Serif"/>
        <family val="2"/>
      </rPr>
      <t xml:space="preserve"> - (</t>
    </r>
    <r>
      <rPr>
        <b/>
        <sz val="10"/>
        <color indexed="10"/>
        <rFont val="MS Sans Serif"/>
        <family val="2"/>
      </rPr>
      <t>T &amp;D Losses)</t>
    </r>
  </si>
  <si>
    <t>Total Electric Consumption (Mwh) NET</t>
  </si>
  <si>
    <t>Total Electric Consumption (Mwh) GROSS</t>
  </si>
  <si>
    <r>
      <t xml:space="preserve">Electricity Imported (MWh) = </t>
    </r>
    <r>
      <rPr>
        <sz val="10"/>
        <color indexed="61"/>
        <rFont val="MS Sans Serif"/>
        <family val="2"/>
      </rPr>
      <t>MD Retail Sales</t>
    </r>
    <r>
      <rPr>
        <sz val="10"/>
        <rFont val="MS Sans Serif"/>
        <family val="2"/>
      </rPr>
      <t xml:space="preserve"> - </t>
    </r>
    <r>
      <rPr>
        <sz val="10"/>
        <color indexed="57"/>
        <rFont val="MS Sans Serif"/>
        <family val="2"/>
      </rPr>
      <t>Net In-state Generation</t>
    </r>
  </si>
  <si>
    <t>Gross Imported Electricity to Meet MD Demand (MWh)</t>
  </si>
  <si>
    <r>
      <t>PJM</t>
    </r>
    <r>
      <rPr>
        <sz val="10"/>
        <rFont val="Arial"/>
        <family val="2"/>
      </rPr>
      <t xml:space="preserve"> Average CO</t>
    </r>
    <r>
      <rPr>
        <vertAlign val="subscript"/>
        <sz val="10"/>
        <rFont val="MS Sans Serif"/>
        <family val="2"/>
      </rPr>
      <t>2</t>
    </r>
    <r>
      <rPr>
        <sz val="10"/>
        <rFont val="Arial"/>
        <family val="2"/>
      </rPr>
      <t xml:space="preserve"> Emission Rate (lbs/MWh)</t>
    </r>
  </si>
  <si>
    <r>
      <t>CO</t>
    </r>
    <r>
      <rPr>
        <vertAlign val="subscript"/>
        <sz val="10"/>
        <rFont val="MS Sans Serif"/>
        <family val="2"/>
      </rPr>
      <t>2</t>
    </r>
    <r>
      <rPr>
        <sz val="10"/>
        <rFont val="Arial"/>
        <family val="2"/>
      </rPr>
      <t xml:space="preserve"> Emission</t>
    </r>
  </si>
  <si>
    <r>
      <t>(CO</t>
    </r>
    <r>
      <rPr>
        <vertAlign val="subscript"/>
        <sz val="10"/>
        <rFont val="MS Sans Serif"/>
        <family val="2"/>
      </rPr>
      <t>2</t>
    </r>
    <r>
      <rPr>
        <sz val="10"/>
        <rFont val="Arial"/>
        <family val="2"/>
      </rPr>
      <t xml:space="preserve"> Emission Rate of Marginal Units)</t>
    </r>
  </si>
  <si>
    <r>
      <t>Captured CH</t>
    </r>
    <r>
      <rPr>
        <b/>
        <vertAlign val="subscript"/>
        <sz val="10"/>
        <rFont val="MS Sans Serif"/>
        <family val="2"/>
      </rPr>
      <t>4</t>
    </r>
  </si>
  <si>
    <r>
      <t>Imported Electric CO</t>
    </r>
    <r>
      <rPr>
        <vertAlign val="subscript"/>
        <sz val="10"/>
        <rFont val="MS Sans Serif"/>
        <family val="2"/>
      </rPr>
      <t>2</t>
    </r>
    <r>
      <rPr>
        <sz val="10"/>
        <rFont val="Arial"/>
        <family val="2"/>
      </rPr>
      <t xml:space="preserve"> Emissions Factors (tons/MWh)</t>
    </r>
  </si>
  <si>
    <r>
      <t>Imported Electric CO</t>
    </r>
    <r>
      <rPr>
        <vertAlign val="subscript"/>
        <sz val="10"/>
        <rFont val="MS Sans Serif"/>
        <family val="2"/>
      </rPr>
      <t>2</t>
    </r>
    <r>
      <rPr>
        <sz val="10"/>
        <rFont val="Arial"/>
        <family val="2"/>
      </rPr>
      <t xml:space="preserve"> Emissions (metric tons)</t>
    </r>
  </si>
  <si>
    <r>
      <t>Imported Electric CO</t>
    </r>
    <r>
      <rPr>
        <vertAlign val="subscript"/>
        <sz val="10"/>
        <rFont val="MS Sans Serif"/>
        <family val="2"/>
      </rPr>
      <t>2</t>
    </r>
    <r>
      <rPr>
        <sz val="10"/>
        <rFont val="Arial"/>
        <family val="2"/>
      </rPr>
      <t xml:space="preserve"> Emissions (MMTCO</t>
    </r>
    <r>
      <rPr>
        <vertAlign val="subscript"/>
        <sz val="10"/>
        <rFont val="MS Sans Serif"/>
        <family val="2"/>
      </rPr>
      <t>2</t>
    </r>
    <r>
      <rPr>
        <sz val="10"/>
        <rFont val="Arial"/>
        <family val="2"/>
      </rPr>
      <t>)</t>
    </r>
  </si>
  <si>
    <r>
      <t>Total Facility CO</t>
    </r>
    <r>
      <rPr>
        <b/>
        <vertAlign val="subscript"/>
        <sz val="8"/>
        <rFont val="Arial"/>
        <family val="2"/>
      </rPr>
      <t xml:space="preserve">2 </t>
    </r>
    <r>
      <rPr>
        <b/>
        <sz val="8"/>
        <rFont val="Arial"/>
        <family val="2"/>
      </rPr>
      <t>= (Kiln System CO</t>
    </r>
    <r>
      <rPr>
        <b/>
        <vertAlign val="subscript"/>
        <sz val="8"/>
        <rFont val="Arial"/>
        <family val="2"/>
      </rPr>
      <t>2</t>
    </r>
    <r>
      <rPr>
        <b/>
        <sz val="8"/>
        <rFont val="Arial"/>
        <family val="2"/>
      </rPr>
      <t>) + (Non-Kiln CO</t>
    </r>
    <r>
      <rPr>
        <b/>
        <vertAlign val="subscript"/>
        <sz val="8"/>
        <rFont val="Arial"/>
        <family val="2"/>
      </rPr>
      <t>2</t>
    </r>
    <r>
      <rPr>
        <b/>
        <sz val="8"/>
        <rFont val="Arial"/>
        <family val="2"/>
      </rPr>
      <t>)</t>
    </r>
  </si>
  <si>
    <t>E.F (lb/hr)</t>
  </si>
  <si>
    <t>Emissions (Tons/Yr)</t>
  </si>
  <si>
    <t>Hours</t>
  </si>
  <si>
    <t>Rating (gallon/hr)</t>
  </si>
  <si>
    <t>Fuel Usage (Gallons)</t>
  </si>
  <si>
    <t>Actual Total 2017</t>
  </si>
  <si>
    <t>PJM Electricity Generation Fuel Mix 2017 (%)</t>
  </si>
  <si>
    <t>Maryland 2017  Import Share (MWh)</t>
  </si>
  <si>
    <t>0..02</t>
  </si>
  <si>
    <r>
      <t>CO</t>
    </r>
    <r>
      <rPr>
        <b/>
        <vertAlign val="subscript"/>
        <sz val="18"/>
        <color theme="3" tint="0.39997558519241921"/>
        <rFont val="Calibri"/>
        <family val="2"/>
        <scheme val="minor"/>
      </rPr>
      <t>2</t>
    </r>
    <r>
      <rPr>
        <b/>
        <sz val="18"/>
        <color theme="3" tint="0.39997558519241921"/>
        <rFont val="Calibri"/>
        <family val="2"/>
      </rPr>
      <t xml:space="preserve"> EMISSION SUMMARY</t>
    </r>
  </si>
  <si>
    <r>
      <t>CH</t>
    </r>
    <r>
      <rPr>
        <b/>
        <vertAlign val="subscript"/>
        <sz val="18"/>
        <color theme="3" tint="0.39997558519241921"/>
        <rFont val="Calibri"/>
        <family val="2"/>
      </rPr>
      <t>4</t>
    </r>
    <r>
      <rPr>
        <b/>
        <sz val="18"/>
        <color theme="3" tint="0.39997558519241921"/>
        <rFont val="Calibri"/>
        <family val="2"/>
      </rPr>
      <t xml:space="preserve"> EMISSION SUMMARY</t>
    </r>
  </si>
  <si>
    <r>
      <t>N</t>
    </r>
    <r>
      <rPr>
        <b/>
        <vertAlign val="subscript"/>
        <sz val="18"/>
        <color theme="3" tint="0.39997558519241921"/>
        <rFont val="Calibri"/>
        <family val="2"/>
      </rPr>
      <t>2</t>
    </r>
    <r>
      <rPr>
        <b/>
        <sz val="18"/>
        <color theme="3" tint="0.39997558519241921"/>
        <rFont val="Calibri"/>
        <family val="2"/>
      </rPr>
      <t>O EMISSION SUMMARY</t>
    </r>
  </si>
  <si>
    <t xml:space="preserve"> DISTILLATE FUEL COMBUSTION BY UNIT</t>
  </si>
  <si>
    <t xml:space="preserve"> RESIDUAL FUEL COMBUSTION BY UNIT</t>
  </si>
  <si>
    <t>Coal Basin(s)     (if applicable)</t>
  </si>
  <si>
    <t>https://www.phmsa.dot.gov/data-and-statistics/pipeline/gas-distribution-gas-gathering-gas-transmission-hazardous-liquids</t>
  </si>
  <si>
    <t>Miles of Distribution pipeline from US Department of Transport, Office of Pipeline Safety, "  Distribution and Transmission Annuals data:2010-Present" . http://www.phmsa.dot.gov/portal/</t>
  </si>
  <si>
    <r>
      <t>(metric tons CH</t>
    </r>
    <r>
      <rPr>
        <vertAlign val="subscript"/>
        <sz val="8"/>
        <rFont val="Comic Sans MS"/>
        <family val="4"/>
      </rPr>
      <t>4</t>
    </r>
    <r>
      <rPr>
        <sz val="8"/>
        <rFont val="Comic Sans MS"/>
        <family val="4"/>
      </rPr>
      <t xml:space="preserve"> per year per activity unit)</t>
    </r>
  </si>
  <si>
    <t>Miles of transmission pipeline from US Department of Transport, Office of Pipeline Safety, "  Distribution and Transmission Annuals data: 2010 -Present" . Acess from http://www.phmsa.dot.gov/portal/</t>
  </si>
  <si>
    <t>Holcim Kiln 2017</t>
  </si>
  <si>
    <t>Landfill Gas to Energy Emissions</t>
  </si>
  <si>
    <r>
      <t>CO</t>
    </r>
    <r>
      <rPr>
        <vertAlign val="subscript"/>
        <sz val="11"/>
        <rFont val="Calibri"/>
        <family val="2"/>
      </rPr>
      <t>2</t>
    </r>
    <r>
      <rPr>
        <sz val="11"/>
        <rFont val="Calibri"/>
        <family val="2"/>
      </rPr>
      <t xml:space="preserve"> molecular mass =</t>
    </r>
  </si>
  <si>
    <t>g/gmol</t>
  </si>
  <si>
    <r>
      <t>CH</t>
    </r>
    <r>
      <rPr>
        <vertAlign val="subscript"/>
        <sz val="11"/>
        <rFont val="Calibri"/>
        <family val="2"/>
      </rPr>
      <t>4</t>
    </r>
    <r>
      <rPr>
        <sz val="11"/>
        <rFont val="Calibri"/>
        <family val="2"/>
      </rPr>
      <t xml:space="preserve"> molecular mass =</t>
    </r>
  </si>
  <si>
    <t>Universal Gas Constant =</t>
  </si>
  <si>
    <r>
      <t>m</t>
    </r>
    <r>
      <rPr>
        <vertAlign val="superscript"/>
        <sz val="11"/>
        <rFont val="Calibri"/>
        <family val="2"/>
      </rPr>
      <t>3</t>
    </r>
    <r>
      <rPr>
        <sz val="11"/>
        <rFont val="Calibri"/>
        <family val="2"/>
      </rPr>
      <t>-atm/gmol/K</t>
    </r>
  </si>
  <si>
    <t>Gas Temperature =</t>
  </si>
  <si>
    <r>
      <rPr>
        <vertAlign val="superscript"/>
        <sz val="11"/>
        <rFont val="Calibri"/>
        <family val="2"/>
      </rPr>
      <t>o</t>
    </r>
    <r>
      <rPr>
        <sz val="11"/>
        <rFont val="Calibri"/>
        <family val="2"/>
      </rPr>
      <t>C</t>
    </r>
  </si>
  <si>
    <r>
      <rPr>
        <vertAlign val="superscript"/>
        <sz val="11"/>
        <rFont val="Calibri"/>
        <family val="2"/>
      </rPr>
      <t>o</t>
    </r>
    <r>
      <rPr>
        <sz val="11"/>
        <rFont val="Calibri"/>
        <family val="2"/>
      </rPr>
      <t>K</t>
    </r>
  </si>
  <si>
    <r>
      <t>1 m</t>
    </r>
    <r>
      <rPr>
        <b/>
        <vertAlign val="superscript"/>
        <sz val="11"/>
        <color indexed="10"/>
        <rFont val="Calibri"/>
        <family val="2"/>
      </rPr>
      <t>3</t>
    </r>
    <r>
      <rPr>
        <b/>
        <sz val="11"/>
        <color indexed="10"/>
        <rFont val="Calibri"/>
        <family val="2"/>
      </rPr>
      <t xml:space="preserve"> =35.31 ft</t>
    </r>
    <r>
      <rPr>
        <b/>
        <vertAlign val="superscript"/>
        <sz val="11"/>
        <color indexed="10"/>
        <rFont val="Calibri"/>
        <family val="2"/>
      </rPr>
      <t>3</t>
    </r>
  </si>
  <si>
    <t>grams x 1.1023E-06 = short tons</t>
  </si>
  <si>
    <t>1 short ton = (lb *2,000)</t>
  </si>
  <si>
    <t>Pressure =</t>
  </si>
  <si>
    <t>atm</t>
  </si>
  <si>
    <r>
      <t>Standard CH</t>
    </r>
    <r>
      <rPr>
        <vertAlign val="subscript"/>
        <sz val="11"/>
        <rFont val="Calibri"/>
        <family val="2"/>
      </rPr>
      <t>4</t>
    </r>
    <r>
      <rPr>
        <sz val="11"/>
        <rFont val="Calibri"/>
        <family val="2"/>
      </rPr>
      <t xml:space="preserve"> Heat Content =</t>
    </r>
  </si>
  <si>
    <r>
      <t>AP-42 CH</t>
    </r>
    <r>
      <rPr>
        <vertAlign val="subscript"/>
        <sz val="11"/>
        <rFont val="Calibri"/>
        <family val="2"/>
      </rPr>
      <t>4</t>
    </r>
    <r>
      <rPr>
        <sz val="11"/>
        <rFont val="Calibri"/>
        <family val="2"/>
      </rPr>
      <t xml:space="preserve"> Destruction Efficiency =</t>
    </r>
  </si>
  <si>
    <t>Enclosed Flare Control Efficiency =</t>
  </si>
  <si>
    <t>Utility Flare Control Efficiency =</t>
  </si>
  <si>
    <r>
      <t>AP-42 CH</t>
    </r>
    <r>
      <rPr>
        <vertAlign val="subscript"/>
        <sz val="11"/>
        <rFont val="Calibri"/>
        <family val="2"/>
      </rPr>
      <t>4</t>
    </r>
    <r>
      <rPr>
        <sz val="11"/>
        <rFont val="Calibri"/>
        <family val="2"/>
      </rPr>
      <t xml:space="preserve"> Emission Factor =</t>
    </r>
  </si>
  <si>
    <t>lb/MMBTU</t>
  </si>
  <si>
    <t xml:space="preserve">          Site- Specific LFG Flows (MM scf/yr)</t>
  </si>
  <si>
    <t>Total  -Site - Specific LFG Collected (MM scf / yr)</t>
  </si>
  <si>
    <r>
      <t>Site-Specific CH</t>
    </r>
    <r>
      <rPr>
        <b/>
        <vertAlign val="subscript"/>
        <sz val="11"/>
        <rFont val="Calibri"/>
        <family val="2"/>
      </rPr>
      <t>4</t>
    </r>
    <r>
      <rPr>
        <b/>
        <sz val="11"/>
        <rFont val="Calibri"/>
        <family val="2"/>
      </rPr>
      <t xml:space="preserve"> Content (%)</t>
    </r>
  </si>
  <si>
    <r>
      <t>Site-Specific CO</t>
    </r>
    <r>
      <rPr>
        <b/>
        <vertAlign val="subscript"/>
        <sz val="11"/>
        <rFont val="Calibri"/>
        <family val="2"/>
      </rPr>
      <t>2</t>
    </r>
    <r>
      <rPr>
        <b/>
        <sz val="11"/>
        <rFont val="Calibri"/>
        <family val="2"/>
      </rPr>
      <t xml:space="preserve"> Content (%)</t>
    </r>
  </si>
  <si>
    <r>
      <t>Site -Specific CH</t>
    </r>
    <r>
      <rPr>
        <b/>
        <vertAlign val="subscript"/>
        <sz val="11"/>
        <rFont val="Calibri"/>
        <family val="2"/>
      </rPr>
      <t>4</t>
    </r>
    <r>
      <rPr>
        <b/>
        <sz val="11"/>
        <rFont val="Calibri"/>
        <family val="2"/>
      </rPr>
      <t xml:space="preserve"> Flow (MM scf / yr)</t>
    </r>
  </si>
  <si>
    <r>
      <t>CH</t>
    </r>
    <r>
      <rPr>
        <b/>
        <vertAlign val="subscript"/>
        <sz val="11"/>
        <color indexed="17"/>
        <rFont val="Calibri"/>
        <family val="2"/>
      </rPr>
      <t>4</t>
    </r>
    <r>
      <rPr>
        <b/>
        <sz val="11"/>
        <color indexed="17"/>
        <rFont val="Calibri"/>
        <family val="2"/>
      </rPr>
      <t xml:space="preserve"> Generation Rate (MM scf/yr)- LandGEM </t>
    </r>
  </si>
  <si>
    <t>Ave. LFG Collection Efficiency</t>
  </si>
  <si>
    <r>
      <t>Fugitive CO</t>
    </r>
    <r>
      <rPr>
        <b/>
        <vertAlign val="subscript"/>
        <sz val="11"/>
        <rFont val="Calibri"/>
        <family val="2"/>
      </rPr>
      <t>2</t>
    </r>
    <r>
      <rPr>
        <b/>
        <sz val="11"/>
        <rFont val="Calibri"/>
        <family val="2"/>
      </rPr>
      <t xml:space="preserve"> Emissions from Landfill (m</t>
    </r>
    <r>
      <rPr>
        <b/>
        <vertAlign val="superscript"/>
        <sz val="11"/>
        <rFont val="Calibri"/>
        <family val="2"/>
      </rPr>
      <t>3</t>
    </r>
    <r>
      <rPr>
        <b/>
        <sz val="11"/>
        <rFont val="Calibri"/>
        <family val="2"/>
      </rPr>
      <t>/yr)</t>
    </r>
  </si>
  <si>
    <r>
      <t>Fugitive CO</t>
    </r>
    <r>
      <rPr>
        <b/>
        <vertAlign val="subscript"/>
        <sz val="11"/>
        <color indexed="36"/>
        <rFont val="Calibri"/>
        <family val="2"/>
      </rPr>
      <t>2</t>
    </r>
    <r>
      <rPr>
        <b/>
        <sz val="11"/>
        <color indexed="36"/>
        <rFont val="Calibri"/>
        <family val="2"/>
      </rPr>
      <t xml:space="preserve"> Emissions from Landfill (tons/yr)</t>
    </r>
  </si>
  <si>
    <r>
      <t xml:space="preserve"> CO</t>
    </r>
    <r>
      <rPr>
        <b/>
        <vertAlign val="subscript"/>
        <sz val="11"/>
        <color indexed="10"/>
        <rFont val="Calibri"/>
        <family val="2"/>
      </rPr>
      <t>2</t>
    </r>
    <r>
      <rPr>
        <b/>
        <sz val="11"/>
        <color indexed="10"/>
        <rFont val="Calibri"/>
        <family val="2"/>
      </rPr>
      <t xml:space="preserve"> Emissions from LFG Burnt at LFGTE</t>
    </r>
  </si>
  <si>
    <r>
      <t>Fugitive CH</t>
    </r>
    <r>
      <rPr>
        <b/>
        <vertAlign val="subscript"/>
        <sz val="11"/>
        <color indexed="60"/>
        <rFont val="Calibri"/>
        <family val="2"/>
      </rPr>
      <t>4</t>
    </r>
    <r>
      <rPr>
        <b/>
        <sz val="11"/>
        <color indexed="60"/>
        <rFont val="Calibri"/>
        <family val="2"/>
      </rPr>
      <t xml:space="preserve"> Emissions from Landfill (tons)</t>
    </r>
  </si>
  <si>
    <r>
      <t xml:space="preserve"> CH</t>
    </r>
    <r>
      <rPr>
        <b/>
        <vertAlign val="subscript"/>
        <sz val="11"/>
        <rFont val="Calibri"/>
        <family val="2"/>
      </rPr>
      <t>4</t>
    </r>
    <r>
      <rPr>
        <b/>
        <sz val="11"/>
        <rFont val="Calibri"/>
        <family val="2"/>
      </rPr>
      <t xml:space="preserve"> Emissions from LFG Burnt in Flares (tons)</t>
    </r>
  </si>
  <si>
    <r>
      <t xml:space="preserve"> CH</t>
    </r>
    <r>
      <rPr>
        <b/>
        <vertAlign val="subscript"/>
        <sz val="11"/>
        <rFont val="Calibri"/>
        <family val="2"/>
      </rPr>
      <t>4</t>
    </r>
    <r>
      <rPr>
        <b/>
        <sz val="11"/>
        <rFont val="Calibri"/>
        <family val="2"/>
      </rPr>
      <t xml:space="preserve"> Emissions from LFG Burnt in Utility Boilers (tons)</t>
    </r>
  </si>
  <si>
    <t>Average -Site -Specific LFG Heat Content (Btu/scf)</t>
  </si>
  <si>
    <r>
      <t xml:space="preserve"> CH</t>
    </r>
    <r>
      <rPr>
        <b/>
        <vertAlign val="subscript"/>
        <sz val="11"/>
        <rFont val="Calibri"/>
        <family val="2"/>
      </rPr>
      <t>4</t>
    </r>
    <r>
      <rPr>
        <b/>
        <sz val="11"/>
        <rFont val="Calibri"/>
        <family val="2"/>
      </rPr>
      <t xml:space="preserve"> Emissions from LFG Burnt at LFGTE Plant</t>
    </r>
  </si>
  <si>
    <t>Flares</t>
  </si>
  <si>
    <t>Boilers</t>
  </si>
  <si>
    <t xml:space="preserve">LFGTE </t>
  </si>
  <si>
    <t>Alfa Ridge Landfill</t>
  </si>
  <si>
    <t>Brown Station</t>
  </si>
  <si>
    <t>Eastern Sanitary</t>
  </si>
  <si>
    <t>Gude Landfill</t>
  </si>
  <si>
    <t>Millersville Landfill</t>
  </si>
  <si>
    <t>Oaks Landfill</t>
  </si>
  <si>
    <t>Newland Park</t>
  </si>
  <si>
    <t>Quarantine Road</t>
  </si>
  <si>
    <t>Reich Ford</t>
  </si>
  <si>
    <t>Sandy Hill</t>
  </si>
  <si>
    <t>Mountainview</t>
  </si>
  <si>
    <t>Cecil County</t>
  </si>
  <si>
    <t>Northern</t>
  </si>
  <si>
    <t>Charles County</t>
  </si>
  <si>
    <r>
      <t>Central Municipal LF-</t>
    </r>
    <r>
      <rPr>
        <b/>
        <sz val="10"/>
        <color rgb="FFFF0000"/>
        <rFont val="Arial"/>
        <family val="2"/>
      </rPr>
      <t xml:space="preserve"> Worcester County Sanitary Landfill</t>
    </r>
  </si>
  <si>
    <t>POWER BOILERS (Severstal) 2017</t>
  </si>
  <si>
    <t>POWER BOILERS (LUKE) 2017</t>
  </si>
  <si>
    <t xml:space="preserve"> State Energy Data  2017</t>
  </si>
  <si>
    <t>Transportation Sector: On-Road Mobile Sources  2017</t>
  </si>
  <si>
    <t xml:space="preserve">Residential Sector 2017 GHG Emissions </t>
  </si>
  <si>
    <t>Commercial Sector 2017 GHG Emission</t>
  </si>
  <si>
    <r>
      <t>Site -Specific CH</t>
    </r>
    <r>
      <rPr>
        <b/>
        <vertAlign val="subscript"/>
        <sz val="11"/>
        <rFont val="Calibri"/>
        <family val="2"/>
      </rPr>
      <t>4</t>
    </r>
    <r>
      <rPr>
        <b/>
        <sz val="11"/>
        <rFont val="Calibri"/>
        <family val="2"/>
      </rPr>
      <t xml:space="preserve"> Flow (short tons/yr)</t>
    </r>
  </si>
  <si>
    <r>
      <t>Total -Site -Specific CH</t>
    </r>
    <r>
      <rPr>
        <b/>
        <vertAlign val="subscript"/>
        <sz val="11"/>
        <color indexed="40"/>
        <rFont val="Calibri"/>
        <family val="2"/>
      </rPr>
      <t>4</t>
    </r>
    <r>
      <rPr>
        <b/>
        <sz val="11"/>
        <color indexed="40"/>
        <rFont val="Calibri"/>
        <family val="2"/>
      </rPr>
      <t xml:space="preserve"> Flow ((MM scf / yr)</t>
    </r>
  </si>
  <si>
    <r>
      <t xml:space="preserve"> CO</t>
    </r>
    <r>
      <rPr>
        <b/>
        <vertAlign val="subscript"/>
        <sz val="11"/>
        <color indexed="53"/>
        <rFont val="Calibri"/>
        <family val="2"/>
      </rPr>
      <t>2</t>
    </r>
    <r>
      <rPr>
        <b/>
        <sz val="11"/>
        <color indexed="53"/>
        <rFont val="Calibri"/>
        <family val="2"/>
      </rPr>
      <t xml:space="preserve"> Emissions from LFG Burnt in Flares (tons)</t>
    </r>
  </si>
  <si>
    <r>
      <t xml:space="preserve"> CO</t>
    </r>
    <r>
      <rPr>
        <b/>
        <vertAlign val="subscript"/>
        <sz val="11"/>
        <color indexed="23"/>
        <rFont val="Calibri"/>
        <family val="2"/>
      </rPr>
      <t>2</t>
    </r>
    <r>
      <rPr>
        <b/>
        <sz val="11"/>
        <color indexed="23"/>
        <rFont val="Calibri"/>
        <family val="2"/>
      </rPr>
      <t xml:space="preserve"> Emissions from LFG Burnt in Boilers (tons)</t>
    </r>
  </si>
  <si>
    <r>
      <t>CO</t>
    </r>
    <r>
      <rPr>
        <b/>
        <vertAlign val="subscript"/>
        <sz val="11"/>
        <rFont val="Calibri"/>
        <family val="2"/>
        <scheme val="minor"/>
      </rPr>
      <t>2</t>
    </r>
    <r>
      <rPr>
        <b/>
        <sz val="11"/>
        <rFont val="Calibri"/>
        <family val="2"/>
        <scheme val="minor"/>
      </rPr>
      <t xml:space="preserve"> Emission </t>
    </r>
  </si>
  <si>
    <r>
      <t>CO</t>
    </r>
    <r>
      <rPr>
        <b/>
        <vertAlign val="subscript"/>
        <sz val="11"/>
        <rFont val="Calibri"/>
        <family val="2"/>
        <scheme val="minor"/>
      </rPr>
      <t>2</t>
    </r>
    <r>
      <rPr>
        <b/>
        <sz val="11"/>
        <rFont val="Calibri"/>
        <family val="2"/>
        <scheme val="minor"/>
      </rPr>
      <t xml:space="preserve"> Emission</t>
    </r>
  </si>
  <si>
    <r>
      <t xml:space="preserve"> (MMTCO</t>
    </r>
    <r>
      <rPr>
        <b/>
        <vertAlign val="subscript"/>
        <sz val="11"/>
        <rFont val="Calibri"/>
        <family val="2"/>
        <scheme val="minor"/>
      </rPr>
      <t>2</t>
    </r>
    <r>
      <rPr>
        <b/>
        <sz val="11"/>
        <rFont val="Calibri"/>
        <family val="2"/>
        <scheme val="minor"/>
      </rPr>
      <t>)</t>
    </r>
  </si>
  <si>
    <r>
      <t>(short tons CH</t>
    </r>
    <r>
      <rPr>
        <b/>
        <vertAlign val="subscript"/>
        <sz val="11"/>
        <rFont val="Arial"/>
        <family val="2"/>
      </rPr>
      <t>4</t>
    </r>
    <r>
      <rPr>
        <b/>
        <sz val="11"/>
        <rFont val="Arial"/>
        <family val="2"/>
      </rPr>
      <t>)</t>
    </r>
  </si>
  <si>
    <r>
      <t>(metric tons CH</t>
    </r>
    <r>
      <rPr>
        <b/>
        <vertAlign val="subscript"/>
        <sz val="11"/>
        <rFont val="Arial"/>
        <family val="2"/>
      </rPr>
      <t>4</t>
    </r>
    <r>
      <rPr>
        <b/>
        <sz val="11"/>
        <rFont val="Arial"/>
        <family val="2"/>
      </rPr>
      <t>)</t>
    </r>
  </si>
  <si>
    <r>
      <t>(MMTCO</t>
    </r>
    <r>
      <rPr>
        <b/>
        <vertAlign val="subscript"/>
        <sz val="11"/>
        <rFont val="Arial"/>
        <family val="2"/>
      </rPr>
      <t>2</t>
    </r>
    <r>
      <rPr>
        <b/>
        <sz val="11"/>
        <rFont val="Arial"/>
        <family val="2"/>
      </rPr>
      <t>E)</t>
    </r>
  </si>
  <si>
    <r>
      <t>(short tons N</t>
    </r>
    <r>
      <rPr>
        <b/>
        <vertAlign val="subscript"/>
        <sz val="11"/>
        <rFont val="Comic Sans MS"/>
        <family val="4"/>
      </rPr>
      <t>2</t>
    </r>
    <r>
      <rPr>
        <b/>
        <sz val="11"/>
        <rFont val="Comic Sans MS"/>
        <family val="4"/>
      </rPr>
      <t>O)</t>
    </r>
  </si>
  <si>
    <r>
      <t>(metric tons N</t>
    </r>
    <r>
      <rPr>
        <b/>
        <vertAlign val="subscript"/>
        <sz val="11"/>
        <rFont val="Comic Sans MS"/>
        <family val="4"/>
      </rPr>
      <t>2</t>
    </r>
    <r>
      <rPr>
        <b/>
        <sz val="11"/>
        <rFont val="Comic Sans MS"/>
        <family val="4"/>
      </rPr>
      <t>O)</t>
    </r>
  </si>
  <si>
    <r>
      <t>(MMTCO</t>
    </r>
    <r>
      <rPr>
        <b/>
        <vertAlign val="subscript"/>
        <sz val="11"/>
        <rFont val="Comic Sans MS"/>
        <family val="4"/>
      </rPr>
      <t>2</t>
    </r>
    <r>
      <rPr>
        <b/>
        <sz val="11"/>
        <rFont val="Comic Sans MS"/>
        <family val="4"/>
      </rPr>
      <t>E)</t>
    </r>
  </si>
  <si>
    <r>
      <t>CO</t>
    </r>
    <r>
      <rPr>
        <b/>
        <vertAlign val="subscript"/>
        <sz val="11"/>
        <rFont val="Arial"/>
        <family val="2"/>
      </rPr>
      <t>2</t>
    </r>
  </si>
  <si>
    <r>
      <t>N</t>
    </r>
    <r>
      <rPr>
        <b/>
        <vertAlign val="subscript"/>
        <sz val="11"/>
        <rFont val="Arial"/>
        <family val="2"/>
      </rPr>
      <t>2</t>
    </r>
    <r>
      <rPr>
        <b/>
        <sz val="11"/>
        <rFont val="Arial"/>
        <family val="2"/>
      </rPr>
      <t>O</t>
    </r>
  </si>
  <si>
    <r>
      <t>CH</t>
    </r>
    <r>
      <rPr>
        <b/>
        <vertAlign val="subscript"/>
        <sz val="11"/>
        <rFont val="Arial"/>
        <family val="2"/>
      </rPr>
      <t>4</t>
    </r>
  </si>
  <si>
    <r>
      <t>Flared CH</t>
    </r>
    <r>
      <rPr>
        <b/>
        <vertAlign val="subscript"/>
        <sz val="10"/>
        <rFont val="Arial"/>
        <family val="2"/>
      </rPr>
      <t>4</t>
    </r>
    <r>
      <rPr>
        <b/>
        <sz val="10"/>
        <rFont val="Arial"/>
        <family val="2"/>
      </rPr>
      <t xml:space="preserve"> (short tons)</t>
    </r>
  </si>
  <si>
    <r>
      <t>Net Total CH</t>
    </r>
    <r>
      <rPr>
        <b/>
        <vertAlign val="subscript"/>
        <sz val="10"/>
        <rFont val="Arial"/>
        <family val="2"/>
      </rPr>
      <t>4</t>
    </r>
    <r>
      <rPr>
        <b/>
        <sz val="10"/>
        <rFont val="Arial"/>
        <family val="2"/>
      </rPr>
      <t xml:space="preserve"> Emissions (MTCO</t>
    </r>
    <r>
      <rPr>
        <b/>
        <vertAlign val="subscript"/>
        <sz val="10"/>
        <rFont val="Arial"/>
        <family val="2"/>
      </rPr>
      <t>2</t>
    </r>
    <r>
      <rPr>
        <b/>
        <sz val="10"/>
        <rFont val="Arial"/>
        <family val="2"/>
      </rPr>
      <t>E)</t>
    </r>
  </si>
  <si>
    <r>
      <t>Total CO</t>
    </r>
    <r>
      <rPr>
        <b/>
        <vertAlign val="subscript"/>
        <sz val="10"/>
        <color indexed="53"/>
        <rFont val="Arial"/>
        <family val="2"/>
      </rPr>
      <t>2</t>
    </r>
    <r>
      <rPr>
        <b/>
        <sz val="10"/>
        <color indexed="53"/>
        <rFont val="Arial"/>
        <family val="2"/>
      </rPr>
      <t xml:space="preserve"> Emissions from Landfill (CO</t>
    </r>
    <r>
      <rPr>
        <b/>
        <vertAlign val="subscript"/>
        <sz val="10"/>
        <color indexed="53"/>
        <rFont val="Arial"/>
        <family val="2"/>
      </rPr>
      <t>2</t>
    </r>
    <r>
      <rPr>
        <b/>
        <sz val="10"/>
        <color indexed="53"/>
        <rFont val="Arial"/>
        <family val="2"/>
      </rPr>
      <t xml:space="preserve"> Generated + CO</t>
    </r>
    <r>
      <rPr>
        <b/>
        <vertAlign val="subscript"/>
        <sz val="10"/>
        <color indexed="53"/>
        <rFont val="Arial"/>
        <family val="2"/>
      </rPr>
      <t>2</t>
    </r>
    <r>
      <rPr>
        <b/>
        <sz val="10"/>
        <color indexed="53"/>
        <rFont val="Arial"/>
        <family val="2"/>
      </rPr>
      <t xml:space="preserve"> from Flares) (MMTCO</t>
    </r>
    <r>
      <rPr>
        <b/>
        <vertAlign val="subscript"/>
        <sz val="10"/>
        <color indexed="53"/>
        <rFont val="Arial"/>
        <family val="2"/>
      </rPr>
      <t>2</t>
    </r>
    <r>
      <rPr>
        <b/>
        <sz val="10"/>
        <color indexed="53"/>
        <rFont val="Arial"/>
        <family val="2"/>
      </rPr>
      <t>E)</t>
    </r>
  </si>
  <si>
    <r>
      <t>MMTCO</t>
    </r>
    <r>
      <rPr>
        <b/>
        <vertAlign val="subscript"/>
        <sz val="11"/>
        <color indexed="9"/>
        <rFont val="Calibri"/>
        <family val="2"/>
      </rPr>
      <t>2</t>
    </r>
    <r>
      <rPr>
        <b/>
        <sz val="11"/>
        <color indexed="9"/>
        <rFont val="Calibri"/>
        <family val="2"/>
      </rPr>
      <t>e</t>
    </r>
  </si>
  <si>
    <r>
      <t>(MMTCO</t>
    </r>
    <r>
      <rPr>
        <b/>
        <vertAlign val="subscript"/>
        <sz val="8"/>
        <rFont val="Comic Sans MS"/>
        <family val="4"/>
      </rPr>
      <t>2</t>
    </r>
    <r>
      <rPr>
        <b/>
        <sz val="8"/>
        <rFont val="Comic Sans MS"/>
        <family val="4"/>
      </rPr>
      <t>E)</t>
    </r>
  </si>
  <si>
    <r>
      <t>(metric tons CH</t>
    </r>
    <r>
      <rPr>
        <b/>
        <vertAlign val="subscript"/>
        <sz val="8"/>
        <rFont val="Comic Sans MS"/>
        <family val="4"/>
      </rPr>
      <t>4</t>
    </r>
    <r>
      <rPr>
        <b/>
        <sz val="8"/>
        <rFont val="Comic Sans MS"/>
        <family val="4"/>
      </rPr>
      <t>)</t>
    </r>
  </si>
  <si>
    <r>
      <t>(metric tons N</t>
    </r>
    <r>
      <rPr>
        <b/>
        <vertAlign val="subscript"/>
        <sz val="8"/>
        <rFont val="Comic Sans MS"/>
        <family val="4"/>
      </rPr>
      <t>2</t>
    </r>
    <r>
      <rPr>
        <b/>
        <sz val="8"/>
        <rFont val="Comic Sans MS"/>
        <family val="4"/>
      </rPr>
      <t>O/BBtu)</t>
    </r>
  </si>
  <si>
    <r>
      <t>(metric tons N</t>
    </r>
    <r>
      <rPr>
        <b/>
        <vertAlign val="subscript"/>
        <sz val="8"/>
        <rFont val="Comic Sans MS"/>
        <family val="4"/>
      </rPr>
      <t>2</t>
    </r>
    <r>
      <rPr>
        <b/>
        <sz val="8"/>
        <rFont val="Comic Sans MS"/>
        <family val="4"/>
      </rPr>
      <t>O)</t>
    </r>
  </si>
  <si>
    <r>
      <t>(metric tons CH</t>
    </r>
    <r>
      <rPr>
        <b/>
        <vertAlign val="subscript"/>
        <sz val="8"/>
        <rFont val="Comic Sans MS"/>
        <family val="4"/>
      </rPr>
      <t>4</t>
    </r>
    <r>
      <rPr>
        <b/>
        <sz val="8"/>
        <rFont val="Comic Sans MS"/>
        <family val="4"/>
      </rPr>
      <t xml:space="preserve"> /BBtu)</t>
    </r>
  </si>
  <si>
    <t>Marine Diesel Fuel</t>
  </si>
  <si>
    <t>countyID</t>
  </si>
  <si>
    <t>fuelTypeDesc</t>
  </si>
  <si>
    <t>scc</t>
  </si>
  <si>
    <t>scc level three</t>
  </si>
  <si>
    <t>tier 3 description</t>
  </si>
  <si>
    <t>24001</t>
  </si>
  <si>
    <t>Compressed Natural Gas (CNG)</t>
  </si>
  <si>
    <t>2268002081</t>
  </si>
  <si>
    <t>Construction and Mining Equipment</t>
  </si>
  <si>
    <t>Compressed Natural Gas</t>
  </si>
  <si>
    <t>2268003020</t>
  </si>
  <si>
    <t>Industrial Equipment</t>
  </si>
  <si>
    <t>2268003030</t>
  </si>
  <si>
    <t>2268003040</t>
  </si>
  <si>
    <t>2268003060</t>
  </si>
  <si>
    <t>2268003070</t>
  </si>
  <si>
    <t>2268005055</t>
  </si>
  <si>
    <t>Agricultural Equipment</t>
  </si>
  <si>
    <t>2268005060</t>
  </si>
  <si>
    <t>2268006005</t>
  </si>
  <si>
    <t>Commercial Equipment</t>
  </si>
  <si>
    <t>2268006010</t>
  </si>
  <si>
    <t>2268006015</t>
  </si>
  <si>
    <t>2268006020</t>
  </si>
  <si>
    <t>2260001010</t>
  </si>
  <si>
    <t>Recreational Equipment</t>
  </si>
  <si>
    <t>Recreational</t>
  </si>
  <si>
    <t>2260001030</t>
  </si>
  <si>
    <t>2260001060</t>
  </si>
  <si>
    <t>2260002006</t>
  </si>
  <si>
    <t>2260002009</t>
  </si>
  <si>
    <t>2260002021</t>
  </si>
  <si>
    <t>2260002027</t>
  </si>
  <si>
    <t>2260002039</t>
  </si>
  <si>
    <t>2260002054</t>
  </si>
  <si>
    <t>2260003030</t>
  </si>
  <si>
    <t>2260003040</t>
  </si>
  <si>
    <t>2260004015</t>
  </si>
  <si>
    <t>Lawn and Garden Equipment</t>
  </si>
  <si>
    <t>Lawn &amp; Garden</t>
  </si>
  <si>
    <t>2260004016</t>
  </si>
  <si>
    <t>2260004020</t>
  </si>
  <si>
    <t>2260004021</t>
  </si>
  <si>
    <t>2260004025</t>
  </si>
  <si>
    <t>2260004026</t>
  </si>
  <si>
    <t>2260004030</t>
  </si>
  <si>
    <t>2260004031</t>
  </si>
  <si>
    <t>2260004035</t>
  </si>
  <si>
    <t>2260004036</t>
  </si>
  <si>
    <t>2260004071</t>
  </si>
  <si>
    <t>2260005035</t>
  </si>
  <si>
    <t>Farm</t>
  </si>
  <si>
    <t>2260006005</t>
  </si>
  <si>
    <t>Light Commercial</t>
  </si>
  <si>
    <t>2260006010</t>
  </si>
  <si>
    <t>2260006015</t>
  </si>
  <si>
    <t>2260006035</t>
  </si>
  <si>
    <t>2260007005</t>
  </si>
  <si>
    <t>Logging Equipment</t>
  </si>
  <si>
    <t>Logging</t>
  </si>
  <si>
    <t>2265001010</t>
  </si>
  <si>
    <t>2265001030</t>
  </si>
  <si>
    <t>2265001050</t>
  </si>
  <si>
    <t>2265001060</t>
  </si>
  <si>
    <t>2265002003</t>
  </si>
  <si>
    <t>2265002006</t>
  </si>
  <si>
    <t>2265002009</t>
  </si>
  <si>
    <t>2265002015</t>
  </si>
  <si>
    <t>2265002021</t>
  </si>
  <si>
    <t>2265002024</t>
  </si>
  <si>
    <t>2265002027</t>
  </si>
  <si>
    <t>2265002030</t>
  </si>
  <si>
    <t>2265002033</t>
  </si>
  <si>
    <t>2265002039</t>
  </si>
  <si>
    <t>2265002042</t>
  </si>
  <si>
    <t>2265002045</t>
  </si>
  <si>
    <t>2265002054</t>
  </si>
  <si>
    <t>2265002057</t>
  </si>
  <si>
    <t>2265002060</t>
  </si>
  <si>
    <t>2265002066</t>
  </si>
  <si>
    <t>2265002072</t>
  </si>
  <si>
    <t>2265002078</t>
  </si>
  <si>
    <t>2265002081</t>
  </si>
  <si>
    <t>2265003010</t>
  </si>
  <si>
    <t>2265003020</t>
  </si>
  <si>
    <t>2265003030</t>
  </si>
  <si>
    <t>2265003040</t>
  </si>
  <si>
    <t>2265003050</t>
  </si>
  <si>
    <t>2265003060</t>
  </si>
  <si>
    <t>2265003070</t>
  </si>
  <si>
    <t>2265004010</t>
  </si>
  <si>
    <t>2265004011</t>
  </si>
  <si>
    <t>2265004015</t>
  </si>
  <si>
    <t>2265004016</t>
  </si>
  <si>
    <t>2265004025</t>
  </si>
  <si>
    <t>2265004026</t>
  </si>
  <si>
    <t>2265004030</t>
  </si>
  <si>
    <t>2265004031</t>
  </si>
  <si>
    <t>2265004035</t>
  </si>
  <si>
    <t>2265004036</t>
  </si>
  <si>
    <t>2265004040</t>
  </si>
  <si>
    <t>2265004041</t>
  </si>
  <si>
    <t>2265004046</t>
  </si>
  <si>
    <t>2265004051</t>
  </si>
  <si>
    <t>2265004055</t>
  </si>
  <si>
    <t>2265004056</t>
  </si>
  <si>
    <t>2265004066</t>
  </si>
  <si>
    <t>2265004071</t>
  </si>
  <si>
    <t>2265004075</t>
  </si>
  <si>
    <t>2265004076</t>
  </si>
  <si>
    <t>2265005010</t>
  </si>
  <si>
    <t>2265005015</t>
  </si>
  <si>
    <t>2265005020</t>
  </si>
  <si>
    <t>2265005025</t>
  </si>
  <si>
    <t>2265005030</t>
  </si>
  <si>
    <t>2265005035</t>
  </si>
  <si>
    <t>2265005040</t>
  </si>
  <si>
    <t>2265005045</t>
  </si>
  <si>
    <t>2265005055</t>
  </si>
  <si>
    <t>2265005060</t>
  </si>
  <si>
    <t>2265006005</t>
  </si>
  <si>
    <t>2265006010</t>
  </si>
  <si>
    <t>2265006015</t>
  </si>
  <si>
    <t>2265006025</t>
  </si>
  <si>
    <t>2265006030</t>
  </si>
  <si>
    <t>2265006035</t>
  </si>
  <si>
    <t>2265007010</t>
  </si>
  <si>
    <t>2265007015</t>
  </si>
  <si>
    <t>2282005010</t>
  </si>
  <si>
    <t>Gasoline 2-Stroke</t>
  </si>
  <si>
    <t>Recreational Marine Vessels</t>
  </si>
  <si>
    <t>2282005015</t>
  </si>
  <si>
    <t>2282010005</t>
  </si>
  <si>
    <t>Gasoline 4-Stroke</t>
  </si>
  <si>
    <t>2285004015</t>
  </si>
  <si>
    <t>Gasoline, 4-Stroke</t>
  </si>
  <si>
    <t>Railway Maintenance</t>
  </si>
  <si>
    <t>Liquefied Petroleum Gas (LPG)</t>
  </si>
  <si>
    <t>2267001060</t>
  </si>
  <si>
    <t>Liquified Petroleum Gas</t>
  </si>
  <si>
    <t>2267002003</t>
  </si>
  <si>
    <t>2267002015</t>
  </si>
  <si>
    <t>2267002021</t>
  </si>
  <si>
    <t>2267002024</t>
  </si>
  <si>
    <t>2267002030</t>
  </si>
  <si>
    <t>2267002033</t>
  </si>
  <si>
    <t>2267002039</t>
  </si>
  <si>
    <t>2267002045</t>
  </si>
  <si>
    <t>2267002054</t>
  </si>
  <si>
    <t>2267002057</t>
  </si>
  <si>
    <t>2267002060</t>
  </si>
  <si>
    <t>2267002066</t>
  </si>
  <si>
    <t>2267002072</t>
  </si>
  <si>
    <t>2267002081</t>
  </si>
  <si>
    <t>2267003010</t>
  </si>
  <si>
    <t>2267003020</t>
  </si>
  <si>
    <t>2267003030</t>
  </si>
  <si>
    <t>2267003040</t>
  </si>
  <si>
    <t>2267003050</t>
  </si>
  <si>
    <t>2267003070</t>
  </si>
  <si>
    <t>2267004066</t>
  </si>
  <si>
    <t>2267005055</t>
  </si>
  <si>
    <t>2267005060</t>
  </si>
  <si>
    <t>2267006005</t>
  </si>
  <si>
    <t>2267006010</t>
  </si>
  <si>
    <t>2267006015</t>
  </si>
  <si>
    <t>2267006025</t>
  </si>
  <si>
    <t>2267006030</t>
  </si>
  <si>
    <t>2267006035</t>
  </si>
  <si>
    <t>2285006015</t>
  </si>
  <si>
    <t>2282020005</t>
  </si>
  <si>
    <t>2282020010</t>
  </si>
  <si>
    <t>Nonroad Diesel Fuel</t>
  </si>
  <si>
    <t>2270001060</t>
  </si>
  <si>
    <t>2270002003</t>
  </si>
  <si>
    <t>2270002006</t>
  </si>
  <si>
    <t>2270002009</t>
  </si>
  <si>
    <t>2270002015</t>
  </si>
  <si>
    <t>2270002018</t>
  </si>
  <si>
    <t>2270002021</t>
  </si>
  <si>
    <t>2270002024</t>
  </si>
  <si>
    <t>2270002027</t>
  </si>
  <si>
    <t>2270002030</t>
  </si>
  <si>
    <t>2270002033</t>
  </si>
  <si>
    <t>2270002036</t>
  </si>
  <si>
    <t>2270002039</t>
  </si>
  <si>
    <t>2270002042</t>
  </si>
  <si>
    <t>2270002045</t>
  </si>
  <si>
    <t>2270002048</t>
  </si>
  <si>
    <t>2270002051</t>
  </si>
  <si>
    <t>2270002054</t>
  </si>
  <si>
    <t>2270002057</t>
  </si>
  <si>
    <t>2270002060</t>
  </si>
  <si>
    <t>2270002066</t>
  </si>
  <si>
    <t>2270002069</t>
  </si>
  <si>
    <t>2270002072</t>
  </si>
  <si>
    <t>2270002075</t>
  </si>
  <si>
    <t>2270002078</t>
  </si>
  <si>
    <t>2270002081</t>
  </si>
  <si>
    <t>2270003010</t>
  </si>
  <si>
    <t>2270003020</t>
  </si>
  <si>
    <t>2270003030</t>
  </si>
  <si>
    <t>2270003040</t>
  </si>
  <si>
    <t>2270003050</t>
  </si>
  <si>
    <t>2270003060</t>
  </si>
  <si>
    <t>2270003070</t>
  </si>
  <si>
    <t>2270004031</t>
  </si>
  <si>
    <t>2270004036</t>
  </si>
  <si>
    <t>2270004046</t>
  </si>
  <si>
    <t>2270004056</t>
  </si>
  <si>
    <t>2270004066</t>
  </si>
  <si>
    <t>2270004071</t>
  </si>
  <si>
    <t>2270004076</t>
  </si>
  <si>
    <t>2270005010</t>
  </si>
  <si>
    <t>2270005015</t>
  </si>
  <si>
    <t>2270005020</t>
  </si>
  <si>
    <t>2270005025</t>
  </si>
  <si>
    <t>2270005030</t>
  </si>
  <si>
    <t>2270005035</t>
  </si>
  <si>
    <t>2270005040</t>
  </si>
  <si>
    <t>2270005045</t>
  </si>
  <si>
    <t>2270005055</t>
  </si>
  <si>
    <t>2270005060</t>
  </si>
  <si>
    <t>2270006005</t>
  </si>
  <si>
    <t>2270006010</t>
  </si>
  <si>
    <t>2270006015</t>
  </si>
  <si>
    <t>2270006025</t>
  </si>
  <si>
    <t>2270006030</t>
  </si>
  <si>
    <t>2270006035</t>
  </si>
  <si>
    <t>2270007015</t>
  </si>
  <si>
    <t>2270009010</t>
  </si>
  <si>
    <t>Underground Mining Equipment</t>
  </si>
  <si>
    <t>2285002015</t>
  </si>
  <si>
    <t>24003</t>
  </si>
  <si>
    <t>2265008005</t>
  </si>
  <si>
    <t>Airport Ground Support Equipment</t>
  </si>
  <si>
    <t>Airport Service</t>
  </si>
  <si>
    <t>2267008005</t>
  </si>
  <si>
    <t>2270008005</t>
  </si>
  <si>
    <t>24005</t>
  </si>
  <si>
    <t>2268010010</t>
  </si>
  <si>
    <t>2265010010</t>
  </si>
  <si>
    <t>2270010010</t>
  </si>
  <si>
    <t>24510</t>
  </si>
  <si>
    <t>24009</t>
  </si>
  <si>
    <t>24011</t>
  </si>
  <si>
    <t>24013</t>
  </si>
  <si>
    <t>24015</t>
  </si>
  <si>
    <t>24017</t>
  </si>
  <si>
    <t>24019</t>
  </si>
  <si>
    <t>24021</t>
  </si>
  <si>
    <t>24023</t>
  </si>
  <si>
    <t>2260001020</t>
  </si>
  <si>
    <t>24025</t>
  </si>
  <si>
    <t>24027</t>
  </si>
  <si>
    <t>24029</t>
  </si>
  <si>
    <t>24031</t>
  </si>
  <si>
    <t>24033</t>
  </si>
  <si>
    <t>24035</t>
  </si>
  <si>
    <t>24037</t>
  </si>
  <si>
    <t>24039</t>
  </si>
  <si>
    <t>24041</t>
  </si>
  <si>
    <t>24043</t>
  </si>
  <si>
    <t>24045</t>
  </si>
  <si>
    <t>24047</t>
  </si>
  <si>
    <t>yearID</t>
  </si>
  <si>
    <t>O3 Nonattainment Area</t>
  </si>
  <si>
    <t>data category</t>
  </si>
  <si>
    <t>2017</t>
  </si>
  <si>
    <t>Attain</t>
  </si>
  <si>
    <t>Nonroad</t>
  </si>
  <si>
    <t>BNAA</t>
  </si>
  <si>
    <t>MWCOG</t>
  </si>
  <si>
    <t>Philly</t>
  </si>
  <si>
    <t>KQA</t>
  </si>
  <si>
    <t>Point</t>
  </si>
  <si>
    <t>Grand Total</t>
  </si>
  <si>
    <t>Transportation - NonRoad GHG Emissions</t>
  </si>
  <si>
    <t xml:space="preserve">                                                                                 Summary Table</t>
  </si>
  <si>
    <t>(short tons/yr)</t>
  </si>
  <si>
    <t>Compressed Natural gas</t>
  </si>
  <si>
    <t>Gasoline Total</t>
  </si>
  <si>
    <t>Non-Road Diesel fuel</t>
  </si>
  <si>
    <t>2017 Total</t>
  </si>
  <si>
    <t>TOTAL ALL FUELS</t>
  </si>
  <si>
    <r>
      <t>CH</t>
    </r>
    <r>
      <rPr>
        <vertAlign val="subscript"/>
        <sz val="14"/>
        <rFont val="Calibri"/>
        <family val="2"/>
      </rPr>
      <t>4</t>
    </r>
  </si>
  <si>
    <r>
      <t>CO</t>
    </r>
    <r>
      <rPr>
        <vertAlign val="subscript"/>
        <sz val="14"/>
        <rFont val="Calibri"/>
        <family val="2"/>
      </rPr>
      <t>2</t>
    </r>
  </si>
  <si>
    <r>
      <t>(MMTCO</t>
    </r>
    <r>
      <rPr>
        <b/>
        <vertAlign val="subscript"/>
        <sz val="14"/>
        <rFont val="Calibri"/>
        <family val="2"/>
      </rPr>
      <t>2</t>
    </r>
    <r>
      <rPr>
        <b/>
        <sz val="14"/>
        <rFont val="Calibri"/>
        <family val="2"/>
      </rPr>
      <t>E)</t>
    </r>
  </si>
  <si>
    <r>
      <t>CH</t>
    </r>
    <r>
      <rPr>
        <vertAlign val="subscript"/>
        <sz val="14"/>
        <color indexed="8"/>
        <rFont val="Calibri"/>
        <family val="2"/>
      </rPr>
      <t>4</t>
    </r>
  </si>
  <si>
    <r>
      <t>CO</t>
    </r>
    <r>
      <rPr>
        <vertAlign val="subscript"/>
        <sz val="14"/>
        <color indexed="8"/>
        <rFont val="Calibri"/>
        <family val="2"/>
      </rPr>
      <t>2</t>
    </r>
  </si>
  <si>
    <t>EMISSIONS SUMMARY  2017</t>
  </si>
  <si>
    <r>
      <t>2017
MMTCO</t>
    </r>
    <r>
      <rPr>
        <b/>
        <vertAlign val="subscript"/>
        <sz val="9"/>
        <rFont val="Calibri"/>
        <family val="2"/>
      </rPr>
      <t>2</t>
    </r>
    <r>
      <rPr>
        <b/>
        <sz val="9"/>
        <rFont val="Calibri"/>
        <family val="2"/>
      </rPr>
      <t>E</t>
    </r>
  </si>
  <si>
    <t>Transportation - OnRoad Consumption and GHG Emissions</t>
  </si>
  <si>
    <t>CNG</t>
  </si>
  <si>
    <t>Ethanol (E85)</t>
  </si>
  <si>
    <t>Baltimore</t>
  </si>
  <si>
    <t>Caroline</t>
  </si>
  <si>
    <t>Dorchester</t>
  </si>
  <si>
    <t>Prince George's</t>
  </si>
  <si>
    <t>Queen Anne's</t>
  </si>
  <si>
    <t>Saint Mary's</t>
  </si>
  <si>
    <t>State of MD</t>
  </si>
  <si>
    <r>
      <t>CO</t>
    </r>
    <r>
      <rPr>
        <b/>
        <vertAlign val="subscript"/>
        <sz val="8"/>
        <color indexed="10"/>
        <rFont val="Arial"/>
        <family val="2"/>
      </rPr>
      <t>2</t>
    </r>
    <r>
      <rPr>
        <b/>
        <sz val="8"/>
        <color indexed="10"/>
        <rFont val="Arial"/>
        <family val="2"/>
      </rPr>
      <t xml:space="preserve"> Emissions (MMTCO</t>
    </r>
    <r>
      <rPr>
        <b/>
        <vertAlign val="subscript"/>
        <sz val="8"/>
        <color indexed="10"/>
        <rFont val="Arial"/>
        <family val="2"/>
      </rPr>
      <t>2</t>
    </r>
    <r>
      <rPr>
        <b/>
        <sz val="8"/>
        <color indexed="10"/>
        <rFont val="Arial"/>
        <family val="2"/>
      </rPr>
      <t>E)</t>
    </r>
  </si>
  <si>
    <r>
      <t>N</t>
    </r>
    <r>
      <rPr>
        <b/>
        <vertAlign val="subscript"/>
        <sz val="8"/>
        <rFont val="Arial"/>
        <family val="2"/>
      </rPr>
      <t>2</t>
    </r>
    <r>
      <rPr>
        <b/>
        <sz val="8"/>
        <rFont val="Arial"/>
        <family val="2"/>
      </rPr>
      <t>O
(MMTCO</t>
    </r>
    <r>
      <rPr>
        <b/>
        <vertAlign val="subscript"/>
        <sz val="8"/>
        <rFont val="Arial"/>
        <family val="2"/>
      </rPr>
      <t>2</t>
    </r>
    <r>
      <rPr>
        <b/>
        <sz val="8"/>
        <rFont val="Arial"/>
        <family val="2"/>
      </rPr>
      <t>E)</t>
    </r>
  </si>
  <si>
    <r>
      <t>CH</t>
    </r>
    <r>
      <rPr>
        <b/>
        <vertAlign val="subscript"/>
        <sz val="8"/>
        <rFont val="Arial"/>
        <family val="2"/>
      </rPr>
      <t>4</t>
    </r>
    <r>
      <rPr>
        <b/>
        <sz val="8"/>
        <rFont val="Arial"/>
        <family val="2"/>
      </rPr>
      <t xml:space="preserve">
(MT)</t>
    </r>
  </si>
  <si>
    <r>
      <t>CH</t>
    </r>
    <r>
      <rPr>
        <b/>
        <vertAlign val="subscript"/>
        <sz val="8"/>
        <rFont val="Arial"/>
        <family val="2"/>
      </rPr>
      <t>4</t>
    </r>
    <r>
      <rPr>
        <b/>
        <sz val="8"/>
        <rFont val="Arial"/>
        <family val="2"/>
      </rPr>
      <t xml:space="preserve">
(MMTCO</t>
    </r>
    <r>
      <rPr>
        <b/>
        <vertAlign val="subscript"/>
        <sz val="8"/>
        <rFont val="Arial"/>
        <family val="2"/>
      </rPr>
      <t>2</t>
    </r>
    <r>
      <rPr>
        <b/>
        <sz val="8"/>
        <rFont val="Arial"/>
        <family val="2"/>
      </rPr>
      <t>E)</t>
    </r>
  </si>
  <si>
    <t xml:space="preserve">       Transportation Consumption and GHG Emissions</t>
  </si>
  <si>
    <t xml:space="preserve">Jet Fuel- Kerosene Type </t>
  </si>
  <si>
    <t>Distillate Fuel - Vessel Bunkering</t>
  </si>
  <si>
    <r>
      <t>N</t>
    </r>
    <r>
      <rPr>
        <b/>
        <vertAlign val="subscript"/>
        <sz val="8"/>
        <rFont val="Arial"/>
        <family val="2"/>
      </rPr>
      <t>2</t>
    </r>
    <r>
      <rPr>
        <b/>
        <sz val="8"/>
        <rFont val="Arial"/>
        <family val="2"/>
      </rPr>
      <t>O
(MT)</t>
    </r>
  </si>
  <si>
    <t>Distillate Fuel -Vessel Bunkering</t>
  </si>
  <si>
    <t>Residual Fuel- Vessel Bunkering</t>
  </si>
  <si>
    <r>
      <t>CO</t>
    </r>
    <r>
      <rPr>
        <b/>
        <vertAlign val="subscript"/>
        <sz val="10"/>
        <rFont val="Calibri"/>
        <family val="2"/>
      </rPr>
      <t>2</t>
    </r>
  </si>
  <si>
    <r>
      <t>CH</t>
    </r>
    <r>
      <rPr>
        <b/>
        <vertAlign val="subscript"/>
        <sz val="10"/>
        <rFont val="Calibri"/>
        <family val="2"/>
      </rPr>
      <t>4</t>
    </r>
  </si>
  <si>
    <r>
      <t>N</t>
    </r>
    <r>
      <rPr>
        <b/>
        <vertAlign val="subscript"/>
        <sz val="10"/>
        <rFont val="Calibri"/>
        <family val="2"/>
      </rPr>
      <t>2</t>
    </r>
    <r>
      <rPr>
        <b/>
        <sz val="10"/>
        <rFont val="Calibri"/>
        <family val="2"/>
      </rPr>
      <t>O</t>
    </r>
  </si>
  <si>
    <t>(Total)</t>
  </si>
  <si>
    <t>Distillate Fuel-Rail</t>
  </si>
  <si>
    <t>Transportation Sector Emissions: Other-Non-Road Mobile Sources  2017</t>
  </si>
  <si>
    <r>
      <t>Transportation Sector Emissions:</t>
    </r>
    <r>
      <rPr>
        <sz val="14"/>
        <color indexed="10"/>
        <rFont val="Calibri"/>
        <family val="2"/>
      </rPr>
      <t xml:space="preserve"> International Bunker Fuels 2017</t>
    </r>
  </si>
  <si>
    <r>
      <t xml:space="preserve">2017 PEI GHG </t>
    </r>
    <r>
      <rPr>
        <b/>
        <sz val="16"/>
        <color rgb="FF0000FF"/>
        <rFont val="Calibri"/>
        <family val="2"/>
        <scheme val="minor"/>
      </rPr>
      <t>Annual</t>
    </r>
    <r>
      <rPr>
        <b/>
        <sz val="16"/>
        <color theme="1"/>
        <rFont val="Calibri"/>
        <family val="2"/>
        <scheme val="minor"/>
      </rPr>
      <t xml:space="preserve"> Estimates for MD using MOVES2014a Model</t>
    </r>
  </si>
  <si>
    <t>D R A F T</t>
  </si>
  <si>
    <t>All Fuels</t>
  </si>
  <si>
    <t>2017 PEI</t>
  </si>
  <si>
    <t>Fuel Consumption from MOVES2014a Model</t>
  </si>
  <si>
    <t>(Energy Consumption in Million BTU)</t>
  </si>
  <si>
    <r>
      <t>CO</t>
    </r>
    <r>
      <rPr>
        <vertAlign val="subscript"/>
        <sz val="8"/>
        <rFont val="Arial"/>
        <family val="2"/>
      </rPr>
      <t>2</t>
    </r>
    <r>
      <rPr>
        <sz val="8"/>
        <rFont val="Arial"/>
        <family val="2"/>
      </rPr>
      <t xml:space="preserve"> E in grams per year</t>
    </r>
  </si>
  <si>
    <r>
      <t>CO</t>
    </r>
    <r>
      <rPr>
        <b/>
        <vertAlign val="subscript"/>
        <sz val="11"/>
        <color rgb="FF0000FF"/>
        <rFont val="Calibri"/>
        <family val="2"/>
        <scheme val="minor"/>
      </rPr>
      <t>2</t>
    </r>
    <r>
      <rPr>
        <b/>
        <sz val="11"/>
        <color rgb="FF0000FF"/>
        <rFont val="Calibri"/>
        <family val="2"/>
        <scheme val="minor"/>
      </rPr>
      <t xml:space="preserve"> E in MMTons</t>
    </r>
  </si>
  <si>
    <t xml:space="preserve">EIA Conversion Factor </t>
  </si>
  <si>
    <t>Residual Fuel Oil -Vessel Bunkering</t>
  </si>
  <si>
    <t>https://mde.maryland.gov/programs/land/mining/pages/bureauofminesannualreports.aspx</t>
  </si>
  <si>
    <r>
      <t>Municipal CH</t>
    </r>
    <r>
      <rPr>
        <vertAlign val="subscript"/>
        <sz val="8"/>
        <rFont val="Comic Sans MS"/>
        <family val="4"/>
      </rPr>
      <t>4</t>
    </r>
  </si>
  <si>
    <r>
      <t>Municipal N</t>
    </r>
    <r>
      <rPr>
        <vertAlign val="subscript"/>
        <sz val="8"/>
        <rFont val="Comic Sans MS"/>
        <family val="4"/>
      </rPr>
      <t>2</t>
    </r>
    <r>
      <rPr>
        <sz val="8"/>
        <rFont val="Comic Sans MS"/>
        <family val="4"/>
      </rPr>
      <t>O</t>
    </r>
  </si>
  <si>
    <r>
      <t>Industrial CH</t>
    </r>
    <r>
      <rPr>
        <vertAlign val="subscript"/>
        <sz val="8"/>
        <rFont val="Comic Sans MS"/>
        <family val="4"/>
      </rPr>
      <t>4</t>
    </r>
  </si>
  <si>
    <r>
      <t>Carbon Dioxide Emissions (MTCO</t>
    </r>
    <r>
      <rPr>
        <vertAlign val="subscript"/>
        <sz val="8"/>
        <rFont val="Comic Sans MS"/>
        <family val="4"/>
      </rPr>
      <t>2</t>
    </r>
    <r>
      <rPr>
        <sz val="8"/>
        <rFont val="Comic Sans MS"/>
        <family val="4"/>
      </rPr>
      <t>E)</t>
    </r>
  </si>
  <si>
    <r>
      <t>HFC, PFC, and SF6 Emissions (MTCO</t>
    </r>
    <r>
      <rPr>
        <vertAlign val="subscript"/>
        <sz val="8"/>
        <rFont val="Comic Sans MS"/>
        <family val="4"/>
      </rPr>
      <t>2</t>
    </r>
    <r>
      <rPr>
        <sz val="8"/>
        <rFont val="Comic Sans MS"/>
        <family val="4"/>
      </rPr>
      <t>E)</t>
    </r>
  </si>
  <si>
    <r>
      <t>Nitrous Oxide Emissions (MTCO</t>
    </r>
    <r>
      <rPr>
        <vertAlign val="subscript"/>
        <sz val="8"/>
        <rFont val="Comic Sans MS"/>
        <family val="4"/>
      </rPr>
      <t>2</t>
    </r>
    <r>
      <rPr>
        <sz val="8"/>
        <rFont val="Comic Sans MS"/>
        <family val="4"/>
      </rPr>
      <t>E)</t>
    </r>
  </si>
  <si>
    <r>
      <t>Total Emissions (MTCO</t>
    </r>
    <r>
      <rPr>
        <b/>
        <vertAlign val="subscript"/>
        <sz val="8"/>
        <rFont val="Comic Sans MS"/>
        <family val="4"/>
      </rPr>
      <t>2</t>
    </r>
    <r>
      <rPr>
        <b/>
        <sz val="8"/>
        <rFont val="Comic Sans MS"/>
        <family val="4"/>
      </rPr>
      <t>E)</t>
    </r>
  </si>
  <si>
    <t>https://www.eia.gov/dnav/ng/NG_PROD_WELLS_S1_A.htm</t>
  </si>
  <si>
    <r>
      <t xml:space="preserve">       Emissions by Gas (MMTCO</t>
    </r>
    <r>
      <rPr>
        <b/>
        <vertAlign val="subscript"/>
        <sz val="8"/>
        <rFont val="Comic Sans MS"/>
        <family val="4"/>
      </rPr>
      <t>2</t>
    </r>
    <r>
      <rPr>
        <b/>
        <sz val="8"/>
        <rFont val="Comic Sans MS"/>
        <family val="4"/>
      </rPr>
      <t>e)</t>
    </r>
  </si>
  <si>
    <t>Number of Wells from EIA</t>
  </si>
  <si>
    <r>
      <t>CO</t>
    </r>
    <r>
      <rPr>
        <b/>
        <vertAlign val="subscript"/>
        <sz val="10"/>
        <rFont val="Comic Sans MS"/>
        <family val="4"/>
      </rPr>
      <t>2</t>
    </r>
    <r>
      <rPr>
        <b/>
        <sz val="10"/>
        <rFont val="Comic Sans MS"/>
        <family val="4"/>
      </rPr>
      <t xml:space="preserve"> Emissions</t>
    </r>
  </si>
  <si>
    <r>
      <t>N</t>
    </r>
    <r>
      <rPr>
        <b/>
        <vertAlign val="subscript"/>
        <sz val="10"/>
        <rFont val="Comic Sans MS"/>
        <family val="4"/>
      </rPr>
      <t>2</t>
    </r>
    <r>
      <rPr>
        <b/>
        <sz val="10"/>
        <rFont val="Comic Sans MS"/>
        <family val="4"/>
      </rPr>
      <t>O Emissions</t>
    </r>
  </si>
  <si>
    <r>
      <t>CH</t>
    </r>
    <r>
      <rPr>
        <b/>
        <vertAlign val="subscript"/>
        <sz val="10"/>
        <rFont val="Comic Sans MS"/>
        <family val="4"/>
      </rPr>
      <t>4</t>
    </r>
    <r>
      <rPr>
        <b/>
        <sz val="10"/>
        <rFont val="Comic Sans MS"/>
        <family val="4"/>
      </rPr>
      <t xml:space="preserve"> Emissions</t>
    </r>
  </si>
  <si>
    <r>
      <t>N</t>
    </r>
    <r>
      <rPr>
        <b/>
        <vertAlign val="subscript"/>
        <sz val="10"/>
        <rFont val="Comic Sans MS"/>
        <family val="4"/>
      </rPr>
      <t>2</t>
    </r>
    <r>
      <rPr>
        <b/>
        <sz val="10"/>
        <rFont val="Comic Sans MS"/>
        <family val="4"/>
      </rPr>
      <t>O</t>
    </r>
  </si>
  <si>
    <r>
      <t>CH</t>
    </r>
    <r>
      <rPr>
        <b/>
        <vertAlign val="subscript"/>
        <sz val="10"/>
        <rFont val="Comic Sans MS"/>
        <family val="4"/>
      </rPr>
      <t>4</t>
    </r>
  </si>
  <si>
    <r>
      <t>(MMTCO</t>
    </r>
    <r>
      <rPr>
        <b/>
        <vertAlign val="subscript"/>
        <sz val="10"/>
        <rFont val="Comic Sans MS"/>
        <family val="4"/>
      </rPr>
      <t>2</t>
    </r>
    <r>
      <rPr>
        <b/>
        <sz val="10"/>
        <rFont val="Comic Sans MS"/>
        <family val="4"/>
      </rPr>
      <t>E)</t>
    </r>
  </si>
  <si>
    <t>Natural Gas as Pipeline Fuel Activity Data (Billion Btu)  was obtained from: https://www.eia.gov/dnav/ng/ng_cons_sum_dcu_SMD_a.htm</t>
  </si>
  <si>
    <t>Maryland Natural Gas Consumption By End Use</t>
  </si>
  <si>
    <t>Ninety-Sixth Annual Report of the Maryland Burea of Mines 2017</t>
  </si>
  <si>
    <r>
      <t xml:space="preserve">Unvolatized N (kg)
</t>
    </r>
    <r>
      <rPr>
        <sz val="8"/>
        <rFont val="Calibri"/>
        <family val="2"/>
      </rPr>
      <t>(kg)</t>
    </r>
  </si>
  <si>
    <t>https://www.eia.gov/state/seds/seds-data-complete.php?sid=US</t>
  </si>
  <si>
    <t>Percent</t>
  </si>
  <si>
    <t>Non-Energy</t>
  </si>
  <si>
    <t>Consumption (%)</t>
  </si>
  <si>
    <r>
      <t>Industrial Sector CO</t>
    </r>
    <r>
      <rPr>
        <vertAlign val="subscript"/>
        <sz val="8"/>
        <color indexed="8"/>
        <rFont val="Comic Sans MS"/>
        <family val="4"/>
      </rPr>
      <t>2</t>
    </r>
  </si>
  <si>
    <r>
      <t>Industrial Sector N</t>
    </r>
    <r>
      <rPr>
        <vertAlign val="subscript"/>
        <sz val="8"/>
        <rFont val="Comic Sans MS"/>
        <family val="4"/>
      </rPr>
      <t>2</t>
    </r>
    <r>
      <rPr>
        <sz val="8"/>
        <rFont val="Comic Sans MS"/>
        <family val="4"/>
      </rPr>
      <t>O</t>
    </r>
  </si>
  <si>
    <r>
      <t>Industrial Sector CH</t>
    </r>
    <r>
      <rPr>
        <vertAlign val="subscript"/>
        <sz val="8"/>
        <color indexed="8"/>
        <rFont val="Comic Sans MS"/>
        <family val="4"/>
      </rPr>
      <t>4</t>
    </r>
  </si>
  <si>
    <t>decrease relative to 2006</t>
  </si>
  <si>
    <t>Final</t>
  </si>
  <si>
    <t>FINAL</t>
  </si>
  <si>
    <r>
      <t>Emissions* (MMTCO</t>
    </r>
    <r>
      <rPr>
        <b/>
        <vertAlign val="subscript"/>
        <sz val="10"/>
        <rFont val="Calibri"/>
        <family val="2"/>
      </rPr>
      <t>2</t>
    </r>
    <r>
      <rPr>
        <b/>
        <sz val="10"/>
        <rFont val="Calibri"/>
        <family val="2"/>
      </rPr>
      <t>E)</t>
    </r>
  </si>
  <si>
    <r>
      <t>CH</t>
    </r>
    <r>
      <rPr>
        <i/>
        <vertAlign val="subscript"/>
        <sz val="10"/>
        <rFont val="Calibri"/>
        <family val="2"/>
      </rPr>
      <t>4</t>
    </r>
  </si>
  <si>
    <r>
      <t>N</t>
    </r>
    <r>
      <rPr>
        <i/>
        <vertAlign val="subscript"/>
        <sz val="10"/>
        <rFont val="Calibri"/>
        <family val="2"/>
      </rPr>
      <t>2</t>
    </r>
    <r>
      <rPr>
        <i/>
        <sz val="10"/>
        <rFont val="Calibri"/>
        <family val="2"/>
      </rPr>
      <t>O</t>
    </r>
  </si>
  <si>
    <r>
      <t>N</t>
    </r>
    <r>
      <rPr>
        <b/>
        <vertAlign val="subscript"/>
        <sz val="10"/>
        <rFont val="Calibri"/>
        <family val="2"/>
      </rPr>
      <t>2</t>
    </r>
    <r>
      <rPr>
        <b/>
        <sz val="10"/>
        <rFont val="Calibri"/>
        <family val="2"/>
      </rPr>
      <t>O from Settlement Soils</t>
    </r>
  </si>
</sst>
</file>

<file path=xl/styles.xml><?xml version="1.0" encoding="utf-8"?>
<styleSheet xmlns="http://schemas.openxmlformats.org/spreadsheetml/2006/main">
  <numFmts count="41">
    <numFmt numFmtId="41" formatCode="_(* #,##0_);_(* \(#,##0\);_(* &quot;-&quot;_);_(@_)"/>
    <numFmt numFmtId="43" formatCode="_(* #,##0.00_);_(* \(#,##0.00\);_(* &quot;-&quot;??_);_(@_)"/>
    <numFmt numFmtId="164" formatCode="0.00_)"/>
    <numFmt numFmtId="165" formatCode="0.0"/>
    <numFmt numFmtId="166" formatCode="0.0%"/>
    <numFmt numFmtId="167" formatCode="_(* #,##0.000_);_(* \(#,##0.000\);_(* &quot;-&quot;??_);_(@_)"/>
    <numFmt numFmtId="168" formatCode="_(* #,##0.0000_);_(* \(#,##0.0000\);_(* &quot;-&quot;??_);_(@_)"/>
    <numFmt numFmtId="169" formatCode="_(* #,##0.00000_);_(* \(#,##0.00000\);_(* &quot;-&quot;??_);_(@_)"/>
    <numFmt numFmtId="170" formatCode="0.000"/>
    <numFmt numFmtId="171" formatCode="0.0000"/>
    <numFmt numFmtId="172" formatCode="0.0000000000"/>
    <numFmt numFmtId="173" formatCode="_(* #,##0_);_(* \(#,##0\);_(* &quot;-&quot;??_);_(@_)"/>
    <numFmt numFmtId="174" formatCode="_(* #,##0.0_);_(* \(#,##0.0\);_(* &quot;-&quot;??_);_(@_)"/>
    <numFmt numFmtId="175" formatCode="#,##0.0000"/>
    <numFmt numFmtId="176" formatCode="#,##0.0"/>
    <numFmt numFmtId="177" formatCode="_(* #,##0.000000_);_(* \(#,##0.000000\);_(* &quot;-&quot;??_);_(@_)"/>
    <numFmt numFmtId="178" formatCode="0_)"/>
    <numFmt numFmtId="179" formatCode="0.00000"/>
    <numFmt numFmtId="180" formatCode="_([$€-2]* #,##0.00_);_([$€-2]* \(#,##0.00\);_([$€-2]* &quot;-&quot;??_)"/>
    <numFmt numFmtId="181" formatCode="0.000000"/>
    <numFmt numFmtId="182" formatCode="0.00000000"/>
    <numFmt numFmtId="183" formatCode="0.000000000"/>
    <numFmt numFmtId="184" formatCode="_(* #,##0.0000000_);_(* \(#,##0.0000000\);_(* &quot;-&quot;??_);_(@_)"/>
    <numFmt numFmtId="185" formatCode="_(* #,##0.00000000_);_(* \(#,##0.00000000\);_(* &quot;-&quot;????????_);_(@_)"/>
    <numFmt numFmtId="186" formatCode="#,##0.00000_);\(#,##0.00000\)"/>
    <numFmt numFmtId="187" formatCode="0E+00"/>
    <numFmt numFmtId="188" formatCode="_(* #,##0.000000_);_(* \(#,##0.000000\);_(* &quot;-&quot;??????_);_(@_)"/>
    <numFmt numFmtId="189" formatCode="0.00000000000000000%"/>
    <numFmt numFmtId="190" formatCode="0.0000000"/>
    <numFmt numFmtId="191" formatCode="#,##0.000000_);\(#,##0.000000\)"/>
    <numFmt numFmtId="192" formatCode="0.000_)"/>
    <numFmt numFmtId="193" formatCode="_-* #,##0_-;\-* #,##0_-;_-* &quot;-&quot;??_-;_-@_-"/>
    <numFmt numFmtId="194" formatCode="_-* #,##0.0_-;\-* #,##0.0_-;_-* &quot;-&quot;??_-;_-@_-"/>
    <numFmt numFmtId="195" formatCode="_-* #,##0.00_-;\-* #,##0.00_-;_-* &quot;-&quot;??_-;_-@_-"/>
    <numFmt numFmtId="196" formatCode="_-* #,##0.000_-;\-* #,##0.000_-;_-* &quot;-&quot;??_-;_-@_-"/>
    <numFmt numFmtId="197" formatCode="_(* #,##0.00_);_(* \(#,##0.00\);_(* &quot;-&quot;????_);_(@_)"/>
    <numFmt numFmtId="198" formatCode="#,##0.000_);\(#,##0.000\)"/>
    <numFmt numFmtId="199" formatCode="#,##0.0_);\(#,##0.0\)"/>
    <numFmt numFmtId="200" formatCode="#,##0.0000_);\(#,##0.0000\)"/>
    <numFmt numFmtId="201" formatCode="0.0000_)"/>
    <numFmt numFmtId="202" formatCode="0.00000E+00"/>
  </numFmts>
  <fonts count="264">
    <font>
      <sz val="8"/>
      <name val="Arial"/>
    </font>
    <font>
      <sz val="8"/>
      <name val="Arial"/>
      <family val="2"/>
    </font>
    <font>
      <b/>
      <sz val="14"/>
      <name val="Comic Sans MS"/>
      <family val="4"/>
    </font>
    <font>
      <sz val="8"/>
      <name val="Comic Sans MS"/>
      <family val="4"/>
    </font>
    <font>
      <b/>
      <sz val="8"/>
      <name val="Comic Sans MS"/>
      <family val="4"/>
    </font>
    <font>
      <sz val="8"/>
      <name val="Arial"/>
      <family val="2"/>
    </font>
    <font>
      <b/>
      <sz val="10"/>
      <name val="Arial"/>
      <family val="2"/>
    </font>
    <font>
      <sz val="8"/>
      <name val="Arial"/>
      <family val="2"/>
    </font>
    <font>
      <i/>
      <sz val="10"/>
      <name val="Arial"/>
      <family val="2"/>
    </font>
    <font>
      <b/>
      <vertAlign val="subscript"/>
      <sz val="8"/>
      <name val="Comic Sans MS"/>
      <family val="4"/>
    </font>
    <font>
      <sz val="8"/>
      <color indexed="81"/>
      <name val="Tahoma"/>
      <family val="2"/>
    </font>
    <font>
      <b/>
      <sz val="14"/>
      <color indexed="18"/>
      <name val="Comic Sans MS"/>
      <family val="4"/>
    </font>
    <font>
      <sz val="10"/>
      <name val="Arial"/>
      <family val="2"/>
    </font>
    <font>
      <sz val="7"/>
      <name val="Arial"/>
      <family val="2"/>
    </font>
    <font>
      <b/>
      <sz val="7"/>
      <name val="Comic Sans MS"/>
      <family val="4"/>
    </font>
    <font>
      <sz val="7"/>
      <name val="Comic Sans MS"/>
      <family val="4"/>
    </font>
    <font>
      <sz val="10"/>
      <name val="Comic Sans MS"/>
      <family val="4"/>
    </font>
    <font>
      <b/>
      <sz val="7"/>
      <name val="Arial"/>
      <family val="2"/>
    </font>
    <font>
      <sz val="10"/>
      <name val="Arial"/>
      <family val="2"/>
    </font>
    <font>
      <sz val="8"/>
      <color indexed="10"/>
      <name val="Arial"/>
      <family val="2"/>
    </font>
    <font>
      <sz val="10"/>
      <color indexed="10"/>
      <name val="Arial"/>
      <family val="2"/>
    </font>
    <font>
      <b/>
      <sz val="9"/>
      <name val="Arial"/>
      <family val="2"/>
    </font>
    <font>
      <b/>
      <sz val="8"/>
      <name val="Arial"/>
      <family val="2"/>
    </font>
    <font>
      <vertAlign val="subscript"/>
      <sz val="8"/>
      <name val="Arial"/>
      <family val="2"/>
    </font>
    <font>
      <sz val="7"/>
      <color indexed="8"/>
      <name val="Comic Sans MS"/>
      <family val="4"/>
    </font>
    <font>
      <sz val="8"/>
      <color indexed="8"/>
      <name val="Arial"/>
      <family val="2"/>
    </font>
    <font>
      <sz val="10"/>
      <name val="Courier"/>
      <family val="3"/>
    </font>
    <font>
      <sz val="14"/>
      <name val="Arial"/>
      <family val="2"/>
    </font>
    <font>
      <sz val="9"/>
      <name val="Times New Roman"/>
      <family val="1"/>
    </font>
    <font>
      <b/>
      <sz val="9"/>
      <name val="Times New Roman"/>
      <family val="1"/>
    </font>
    <font>
      <b/>
      <sz val="12"/>
      <name val="Times New Roman"/>
      <family val="1"/>
    </font>
    <font>
      <sz val="8"/>
      <name val="Helvetica"/>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2"/>
      <name val="Helv"/>
    </font>
    <font>
      <b/>
      <sz val="10"/>
      <name val="Arial"/>
      <family val="2"/>
    </font>
    <font>
      <u/>
      <sz val="10"/>
      <color indexed="12"/>
      <name val="Arial"/>
      <family val="2"/>
    </font>
    <font>
      <sz val="8"/>
      <color indexed="8"/>
      <name val="Arial"/>
      <family val="2"/>
    </font>
    <font>
      <sz val="12"/>
      <color indexed="8"/>
      <name val="Arial"/>
      <family val="2"/>
    </font>
    <font>
      <b/>
      <sz val="8"/>
      <color indexed="81"/>
      <name val="Tahoma"/>
      <family val="2"/>
    </font>
    <font>
      <sz val="10"/>
      <color indexed="10"/>
      <name val="Arial"/>
      <family val="2"/>
    </font>
    <font>
      <b/>
      <vertAlign val="subscript"/>
      <sz val="10"/>
      <name val="Arial"/>
      <family val="2"/>
    </font>
    <font>
      <b/>
      <sz val="10"/>
      <color indexed="10"/>
      <name val="Arial"/>
      <family val="2"/>
    </font>
    <font>
      <sz val="14"/>
      <color indexed="8"/>
      <name val="Comic Sans MS"/>
      <family val="4"/>
    </font>
    <font>
      <vertAlign val="subscript"/>
      <sz val="14"/>
      <color indexed="8"/>
      <name val="Comic Sans MS"/>
      <family val="4"/>
    </font>
    <font>
      <sz val="8"/>
      <color indexed="8"/>
      <name val="Comic Sans MS"/>
      <family val="4"/>
    </font>
    <font>
      <b/>
      <sz val="10"/>
      <name val="Comic Sans MS"/>
      <family val="4"/>
    </font>
    <font>
      <sz val="10"/>
      <name val="Arial"/>
      <family val="2"/>
    </font>
    <font>
      <sz val="14"/>
      <name val="Comic Sans MS"/>
      <family val="4"/>
    </font>
    <font>
      <vertAlign val="subscript"/>
      <sz val="14"/>
      <name val="Comic Sans MS"/>
      <family val="4"/>
    </font>
    <font>
      <b/>
      <sz val="8"/>
      <color indexed="8"/>
      <name val="Arial"/>
      <family val="2"/>
    </font>
    <font>
      <vertAlign val="subscript"/>
      <sz val="8"/>
      <color indexed="81"/>
      <name val="Tahoma"/>
      <family val="2"/>
    </font>
    <font>
      <sz val="7"/>
      <color indexed="8"/>
      <name val="Arial"/>
      <family val="2"/>
    </font>
    <font>
      <b/>
      <sz val="10"/>
      <name val="MS Sans Serif"/>
      <family val="2"/>
    </font>
    <font>
      <b/>
      <sz val="10"/>
      <color indexed="12"/>
      <name val="MS Sans Serif"/>
      <family val="2"/>
    </font>
    <font>
      <sz val="10"/>
      <color indexed="12"/>
      <name val="MS Sans Serif"/>
      <family val="2"/>
    </font>
    <font>
      <b/>
      <sz val="10"/>
      <color indexed="10"/>
      <name val="MS Sans Serif"/>
      <family val="2"/>
    </font>
    <font>
      <sz val="10"/>
      <color indexed="10"/>
      <name val="MS Sans Serif"/>
      <family val="2"/>
    </font>
    <font>
      <sz val="10"/>
      <name val="MS Sans Serif"/>
      <family val="2"/>
    </font>
    <font>
      <b/>
      <sz val="10"/>
      <color indexed="61"/>
      <name val="MS Sans Serif"/>
      <family val="2"/>
    </font>
    <font>
      <sz val="10"/>
      <color indexed="61"/>
      <name val="MS Sans Serif"/>
      <family val="2"/>
    </font>
    <font>
      <vertAlign val="subscript"/>
      <sz val="10"/>
      <name val="MS Sans Serif"/>
      <family val="2"/>
    </font>
    <font>
      <b/>
      <vertAlign val="subscript"/>
      <sz val="7"/>
      <name val="Comic Sans MS"/>
      <family val="4"/>
    </font>
    <font>
      <b/>
      <sz val="8"/>
      <name val="Arial"/>
      <family val="2"/>
    </font>
    <font>
      <b/>
      <sz val="7"/>
      <color indexed="8"/>
      <name val="Comic Sans MS"/>
      <family val="4"/>
    </font>
    <font>
      <b/>
      <vertAlign val="subscript"/>
      <sz val="8"/>
      <color indexed="8"/>
      <name val="Arial"/>
      <family val="2"/>
    </font>
    <font>
      <b/>
      <vertAlign val="superscript"/>
      <sz val="8"/>
      <color indexed="81"/>
      <name val="Tahoma"/>
      <family val="2"/>
    </font>
    <font>
      <vertAlign val="subscript"/>
      <sz val="10"/>
      <name val="Arial"/>
      <family val="2"/>
    </font>
    <font>
      <b/>
      <vertAlign val="subscript"/>
      <sz val="9"/>
      <name val="Arial"/>
      <family val="2"/>
    </font>
    <font>
      <sz val="7"/>
      <color indexed="9"/>
      <name val="Comic Sans MS"/>
      <family val="4"/>
    </font>
    <font>
      <sz val="7"/>
      <color indexed="9"/>
      <name val="Arial"/>
      <family val="2"/>
    </font>
    <font>
      <vertAlign val="subscript"/>
      <sz val="8"/>
      <name val="Comic Sans MS"/>
      <family val="4"/>
    </font>
    <font>
      <vertAlign val="subscript"/>
      <sz val="7"/>
      <name val="Comic Sans MS"/>
      <family val="4"/>
    </font>
    <font>
      <b/>
      <sz val="7"/>
      <color indexed="10"/>
      <name val="Comic Sans MS"/>
      <family val="4"/>
    </font>
    <font>
      <sz val="7"/>
      <color indexed="10"/>
      <name val="Comic Sans MS"/>
      <family val="4"/>
    </font>
    <font>
      <b/>
      <sz val="10"/>
      <color indexed="53"/>
      <name val="Arial"/>
      <family val="2"/>
    </font>
    <font>
      <b/>
      <vertAlign val="subscript"/>
      <sz val="10"/>
      <color indexed="53"/>
      <name val="Arial"/>
      <family val="2"/>
    </font>
    <font>
      <sz val="10"/>
      <color indexed="53"/>
      <name val="Arial"/>
      <family val="2"/>
    </font>
    <font>
      <b/>
      <vertAlign val="subscript"/>
      <sz val="10"/>
      <color indexed="10"/>
      <name val="Arial"/>
      <family val="2"/>
    </font>
    <font>
      <b/>
      <vertAlign val="subscript"/>
      <sz val="10"/>
      <name val="MS Sans Serif"/>
      <family val="2"/>
    </font>
    <font>
      <sz val="8"/>
      <color indexed="12"/>
      <name val="Arial"/>
      <family val="2"/>
    </font>
    <font>
      <sz val="10"/>
      <name val="Times New Roman"/>
      <family val="1"/>
    </font>
    <font>
      <b/>
      <sz val="10"/>
      <name val="Times New Roman"/>
      <family val="1"/>
    </font>
    <font>
      <b/>
      <vertAlign val="subscript"/>
      <sz val="10"/>
      <name val="Times New Roman"/>
      <family val="1"/>
    </font>
    <font>
      <b/>
      <sz val="10"/>
      <color indexed="9"/>
      <name val="Times New Roman"/>
      <family val="1"/>
    </font>
    <font>
      <b/>
      <sz val="16"/>
      <color indexed="12"/>
      <name val="Calibri"/>
      <family val="2"/>
    </font>
    <font>
      <sz val="8"/>
      <name val="Calibri"/>
      <family val="2"/>
    </font>
    <font>
      <b/>
      <sz val="10"/>
      <name val="Calibri"/>
      <family val="2"/>
    </font>
    <font>
      <sz val="10"/>
      <name val="Calibri"/>
      <family val="2"/>
    </font>
    <font>
      <sz val="10"/>
      <color indexed="8"/>
      <name val="Calibri"/>
      <family val="2"/>
    </font>
    <font>
      <b/>
      <sz val="10"/>
      <color indexed="8"/>
      <name val="Calibri"/>
      <family val="2"/>
    </font>
    <font>
      <b/>
      <vertAlign val="subscript"/>
      <sz val="10"/>
      <name val="Calibri"/>
      <family val="2"/>
    </font>
    <font>
      <sz val="14"/>
      <name val="Calibri"/>
      <family val="2"/>
    </font>
    <font>
      <sz val="7"/>
      <name val="Calibri"/>
      <family val="2"/>
    </font>
    <font>
      <b/>
      <sz val="7"/>
      <name val="Calibri"/>
      <family val="2"/>
    </font>
    <font>
      <sz val="10"/>
      <color indexed="9"/>
      <name val="Calibri"/>
      <family val="2"/>
    </font>
    <font>
      <b/>
      <sz val="8"/>
      <name val="Calibri"/>
      <family val="2"/>
    </font>
    <font>
      <b/>
      <vertAlign val="subscript"/>
      <sz val="7"/>
      <name val="Calibri"/>
      <family val="2"/>
    </font>
    <font>
      <b/>
      <i/>
      <sz val="7"/>
      <name val="Calibri"/>
      <family val="2"/>
    </font>
    <font>
      <b/>
      <vertAlign val="superscript"/>
      <sz val="7"/>
      <name val="Calibri"/>
      <family val="2"/>
    </font>
    <font>
      <b/>
      <sz val="14"/>
      <name val="Calibri"/>
      <family val="2"/>
    </font>
    <font>
      <b/>
      <sz val="14"/>
      <color indexed="18"/>
      <name val="Calibri"/>
      <family val="2"/>
    </font>
    <font>
      <i/>
      <sz val="8"/>
      <name val="Calibri"/>
      <family val="2"/>
    </font>
    <font>
      <vertAlign val="superscript"/>
      <sz val="7"/>
      <name val="Comic Sans MS"/>
      <family val="4"/>
    </font>
    <font>
      <b/>
      <sz val="12"/>
      <color indexed="8"/>
      <name val="Comic Sans MS"/>
      <family val="4"/>
    </font>
    <font>
      <sz val="8"/>
      <name val="Arial"/>
      <family val="2"/>
    </font>
    <font>
      <b/>
      <vertAlign val="subscript"/>
      <sz val="7"/>
      <name val="Arial"/>
      <family val="2"/>
    </font>
    <font>
      <sz val="7"/>
      <name val="@Batang"/>
      <family val="1"/>
    </font>
    <font>
      <sz val="12"/>
      <name val="Comic Sans MS"/>
      <family val="4"/>
    </font>
    <font>
      <b/>
      <sz val="10"/>
      <name val="Arial"/>
      <family val="2"/>
    </font>
    <font>
      <b/>
      <vertAlign val="superscript"/>
      <sz val="7"/>
      <name val="Comic Sans MS"/>
      <family val="4"/>
    </font>
    <font>
      <sz val="7"/>
      <name val="Arial"/>
      <family val="2"/>
    </font>
    <font>
      <sz val="7"/>
      <color indexed="9"/>
      <name val="Arial"/>
      <family val="2"/>
    </font>
    <font>
      <sz val="10"/>
      <color indexed="9"/>
      <name val="Arial"/>
      <family val="2"/>
    </font>
    <font>
      <sz val="8"/>
      <color indexed="8"/>
      <name val="Calibri"/>
      <family val="2"/>
    </font>
    <font>
      <b/>
      <vertAlign val="subscript"/>
      <sz val="8"/>
      <name val="Calibri"/>
      <family val="2"/>
    </font>
    <font>
      <sz val="7"/>
      <color indexed="81"/>
      <name val="Tahoma"/>
      <family val="2"/>
    </font>
    <font>
      <sz val="10"/>
      <name val="Courier"/>
      <family val="3"/>
    </font>
    <font>
      <vertAlign val="subscript"/>
      <sz val="8"/>
      <name val="Calibri"/>
      <family val="2"/>
    </font>
    <font>
      <sz val="8"/>
      <color indexed="9"/>
      <name val="Calibri"/>
      <family val="2"/>
    </font>
    <font>
      <b/>
      <sz val="11"/>
      <name val="Calibri"/>
      <family val="2"/>
    </font>
    <font>
      <sz val="11"/>
      <name val="Calibri"/>
      <family val="2"/>
    </font>
    <font>
      <b/>
      <vertAlign val="subscript"/>
      <sz val="11"/>
      <color indexed="9"/>
      <name val="Calibri"/>
      <family val="2"/>
    </font>
    <font>
      <b/>
      <vertAlign val="subscript"/>
      <sz val="11"/>
      <name val="Calibri"/>
      <family val="2"/>
    </font>
    <font>
      <b/>
      <vertAlign val="superscript"/>
      <sz val="11"/>
      <name val="Calibri"/>
      <family val="2"/>
    </font>
    <font>
      <i/>
      <sz val="11"/>
      <name val="Calibri"/>
      <family val="2"/>
    </font>
    <font>
      <vertAlign val="subscript"/>
      <sz val="11"/>
      <name val="Calibri"/>
      <family val="2"/>
    </font>
    <font>
      <sz val="9"/>
      <name val="Calibri"/>
      <family val="2"/>
    </font>
    <font>
      <b/>
      <sz val="9"/>
      <name val="Calibri"/>
      <family val="2"/>
    </font>
    <font>
      <b/>
      <vertAlign val="subscript"/>
      <sz val="9"/>
      <name val="Calibri"/>
      <family val="2"/>
    </font>
    <font>
      <i/>
      <sz val="9"/>
      <name val="Calibri"/>
      <family val="2"/>
    </font>
    <font>
      <b/>
      <vertAlign val="subscript"/>
      <sz val="8"/>
      <name val="Arial"/>
      <family val="2"/>
    </font>
    <font>
      <sz val="14"/>
      <color indexed="8"/>
      <name val="Calibri"/>
      <family val="2"/>
    </font>
    <font>
      <sz val="6"/>
      <name val="P-AVGARD"/>
    </font>
    <font>
      <sz val="11"/>
      <color indexed="12"/>
      <name val="Calibri"/>
      <family val="2"/>
    </font>
    <font>
      <i/>
      <sz val="26"/>
      <name val="Engravers MT"/>
      <family val="1"/>
    </font>
    <font>
      <sz val="8"/>
      <name val="Times New Roman"/>
      <family val="1"/>
    </font>
    <font>
      <b/>
      <sz val="8"/>
      <name val="Times New Roman"/>
      <family val="1"/>
    </font>
    <font>
      <vertAlign val="subscript"/>
      <sz val="9"/>
      <name val="Arial"/>
      <family val="2"/>
    </font>
    <font>
      <b/>
      <sz val="9"/>
      <color indexed="81"/>
      <name val="Tahoma"/>
      <family val="2"/>
    </font>
    <font>
      <b/>
      <vertAlign val="subscript"/>
      <sz val="12"/>
      <color indexed="8"/>
      <name val="Comic Sans MS"/>
      <family val="4"/>
    </font>
    <font>
      <sz val="9"/>
      <color indexed="81"/>
      <name val="Tahoma"/>
      <family val="2"/>
    </font>
    <font>
      <vertAlign val="subscript"/>
      <sz val="12"/>
      <name val="Comic Sans MS"/>
      <family val="4"/>
    </font>
    <font>
      <vertAlign val="subscript"/>
      <sz val="14"/>
      <name val="Calibri"/>
      <family val="2"/>
    </font>
    <font>
      <sz val="10"/>
      <color indexed="10"/>
      <name val="Calibri"/>
      <family val="2"/>
    </font>
    <font>
      <b/>
      <sz val="12"/>
      <name val="Arial"/>
      <family val="2"/>
    </font>
    <font>
      <b/>
      <sz val="11"/>
      <color indexed="10"/>
      <name val="Calibri"/>
      <family val="2"/>
    </font>
    <font>
      <b/>
      <sz val="8"/>
      <color indexed="10"/>
      <name val="Calibri"/>
      <family val="2"/>
    </font>
    <font>
      <sz val="8"/>
      <color indexed="10"/>
      <name val="Calibri"/>
      <family val="2"/>
    </font>
    <font>
      <b/>
      <vertAlign val="subscript"/>
      <sz val="8"/>
      <color indexed="10"/>
      <name val="Calibri"/>
      <family val="2"/>
    </font>
    <font>
      <b/>
      <vertAlign val="subscript"/>
      <sz val="14"/>
      <name val="Comic Sans MS"/>
      <family val="4"/>
    </font>
    <font>
      <sz val="10"/>
      <color indexed="60"/>
      <name val="Arial"/>
      <family val="2"/>
    </font>
    <font>
      <sz val="10"/>
      <color indexed="61"/>
      <name val="Arial"/>
      <family val="2"/>
    </font>
    <font>
      <b/>
      <sz val="10"/>
      <color indexed="61"/>
      <name val="Arial"/>
      <family val="2"/>
    </font>
    <font>
      <b/>
      <sz val="10"/>
      <color indexed="60"/>
      <name val="Arial"/>
      <family val="2"/>
    </font>
    <font>
      <b/>
      <vertAlign val="subscript"/>
      <sz val="9"/>
      <color indexed="81"/>
      <name val="Tahoma"/>
      <family val="2"/>
    </font>
    <font>
      <sz val="8"/>
      <color indexed="10"/>
      <name val="Arial"/>
      <family val="2"/>
    </font>
    <font>
      <vertAlign val="subscript"/>
      <sz val="10"/>
      <color indexed="10"/>
      <name val="Arial"/>
      <family val="2"/>
    </font>
    <font>
      <sz val="10"/>
      <color indexed="10"/>
      <name val="Arial"/>
      <family val="2"/>
    </font>
    <font>
      <sz val="8"/>
      <color indexed="10"/>
      <name val="Arial"/>
      <family val="2"/>
    </font>
    <font>
      <b/>
      <sz val="8"/>
      <color indexed="10"/>
      <name val="Times New Roman"/>
      <family val="1"/>
    </font>
    <font>
      <sz val="8"/>
      <color indexed="10"/>
      <name val="Times New Roman"/>
      <family val="1"/>
    </font>
    <font>
      <sz val="11"/>
      <name val="Calibri"/>
      <family val="2"/>
    </font>
    <font>
      <b/>
      <sz val="11"/>
      <name val="Calibri"/>
      <family val="2"/>
    </font>
    <font>
      <vertAlign val="superscript"/>
      <sz val="11"/>
      <name val="Calibri"/>
      <family val="2"/>
    </font>
    <font>
      <b/>
      <sz val="11"/>
      <color indexed="61"/>
      <name val="Calibri"/>
      <family val="2"/>
    </font>
    <font>
      <b/>
      <sz val="11"/>
      <color indexed="60"/>
      <name val="Calibri"/>
      <family val="2"/>
    </font>
    <font>
      <sz val="11"/>
      <name val="Calibri"/>
      <family val="2"/>
    </font>
    <font>
      <b/>
      <sz val="10"/>
      <color rgb="FFFF0000"/>
      <name val="Arial"/>
      <family val="2"/>
    </font>
    <font>
      <sz val="10"/>
      <color rgb="FFFF0000"/>
      <name val="Arial"/>
      <family val="2"/>
    </font>
    <font>
      <sz val="10"/>
      <color indexed="18"/>
      <name val="Comic Sans MS"/>
      <family val="4"/>
    </font>
    <font>
      <b/>
      <sz val="10"/>
      <color indexed="57"/>
      <name val="MS Sans Serif"/>
      <family val="2"/>
    </font>
    <font>
      <sz val="10"/>
      <color indexed="57"/>
      <name val="MS Sans Serif"/>
      <family val="2"/>
    </font>
    <font>
      <b/>
      <sz val="8"/>
      <color rgb="FFFF0000"/>
      <name val="Times New Roman"/>
      <family val="1"/>
    </font>
    <font>
      <b/>
      <vertAlign val="subscript"/>
      <sz val="8"/>
      <color indexed="81"/>
      <name val="Tahoma"/>
      <family val="2"/>
    </font>
    <font>
      <b/>
      <sz val="11"/>
      <color theme="1"/>
      <name val="Calibri"/>
      <family val="2"/>
      <scheme val="minor"/>
    </font>
    <font>
      <b/>
      <sz val="18"/>
      <color theme="3" tint="0.39997558519241921"/>
      <name val="Calibri"/>
      <family val="2"/>
      <scheme val="minor"/>
    </font>
    <font>
      <b/>
      <vertAlign val="subscript"/>
      <sz val="18"/>
      <color theme="3" tint="0.39997558519241921"/>
      <name val="Calibri"/>
      <family val="2"/>
      <scheme val="minor"/>
    </font>
    <font>
      <b/>
      <sz val="18"/>
      <color theme="3" tint="0.39997558519241921"/>
      <name val="Calibri"/>
      <family val="2"/>
    </font>
    <font>
      <sz val="11"/>
      <color theme="3" tint="0.39997558519241921"/>
      <name val="Calibri"/>
      <family val="2"/>
      <scheme val="minor"/>
    </font>
    <font>
      <sz val="11"/>
      <name val="Calibri"/>
      <family val="2"/>
      <scheme val="minor"/>
    </font>
    <font>
      <b/>
      <sz val="11"/>
      <name val="Calibri"/>
      <family val="2"/>
      <scheme val="minor"/>
    </font>
    <font>
      <b/>
      <vertAlign val="subscript"/>
      <sz val="18"/>
      <color theme="3" tint="0.39997558519241921"/>
      <name val="Calibri"/>
      <family val="2"/>
    </font>
    <font>
      <sz val="18"/>
      <color theme="3" tint="0.39997558519241921"/>
      <name val="Calibri"/>
      <family val="2"/>
      <scheme val="minor"/>
    </font>
    <font>
      <sz val="18"/>
      <color theme="1"/>
      <name val="Calibri"/>
      <family val="2"/>
      <scheme val="minor"/>
    </font>
    <font>
      <sz val="11"/>
      <name val="Arial"/>
      <family val="2"/>
    </font>
    <font>
      <u/>
      <sz val="8.5"/>
      <color theme="10"/>
      <name val="Arial"/>
      <family val="2"/>
    </font>
    <font>
      <sz val="8"/>
      <color rgb="FFFF0000"/>
      <name val="Arial"/>
      <family val="2"/>
    </font>
    <font>
      <b/>
      <sz val="8"/>
      <color rgb="FFFF0000"/>
      <name val="Arial"/>
      <family val="2"/>
    </font>
    <font>
      <b/>
      <vertAlign val="superscript"/>
      <sz val="11"/>
      <color indexed="10"/>
      <name val="Calibri"/>
      <family val="2"/>
    </font>
    <font>
      <b/>
      <sz val="11"/>
      <color indexed="40"/>
      <name val="Calibri"/>
      <family val="2"/>
    </font>
    <font>
      <b/>
      <sz val="11"/>
      <color indexed="17"/>
      <name val="Calibri"/>
      <family val="2"/>
    </font>
    <font>
      <b/>
      <sz val="11"/>
      <color indexed="36"/>
      <name val="Calibri"/>
      <family val="2"/>
    </font>
    <font>
      <b/>
      <sz val="11"/>
      <color indexed="53"/>
      <name val="Calibri"/>
      <family val="2"/>
    </font>
    <font>
      <b/>
      <sz val="11"/>
      <color indexed="23"/>
      <name val="Calibri"/>
      <family val="2"/>
    </font>
    <font>
      <b/>
      <vertAlign val="subscript"/>
      <sz val="11"/>
      <color indexed="17"/>
      <name val="Calibri"/>
      <family val="2"/>
    </font>
    <font>
      <b/>
      <vertAlign val="subscript"/>
      <sz val="11"/>
      <color indexed="36"/>
      <name val="Calibri"/>
      <family val="2"/>
    </font>
    <font>
      <b/>
      <vertAlign val="subscript"/>
      <sz val="11"/>
      <color indexed="53"/>
      <name val="Calibri"/>
      <family val="2"/>
    </font>
    <font>
      <b/>
      <vertAlign val="subscript"/>
      <sz val="11"/>
      <color indexed="23"/>
      <name val="Calibri"/>
      <family val="2"/>
    </font>
    <font>
      <b/>
      <vertAlign val="subscript"/>
      <sz val="11"/>
      <color indexed="10"/>
      <name val="Calibri"/>
      <family val="2"/>
    </font>
    <font>
      <b/>
      <vertAlign val="subscript"/>
      <sz val="11"/>
      <color indexed="60"/>
      <name val="Calibri"/>
      <family val="2"/>
    </font>
    <font>
      <sz val="11"/>
      <color indexed="36"/>
      <name val="Calibri"/>
      <family val="2"/>
    </font>
    <font>
      <sz val="11"/>
      <color indexed="53"/>
      <name val="Calibri"/>
      <family val="2"/>
    </font>
    <font>
      <sz val="11"/>
      <color indexed="23"/>
      <name val="Calibri"/>
      <family val="2"/>
    </font>
    <font>
      <sz val="11"/>
      <color indexed="40"/>
      <name val="Calibri"/>
      <family val="2"/>
    </font>
    <font>
      <b/>
      <vertAlign val="subscript"/>
      <sz val="11"/>
      <color indexed="40"/>
      <name val="Calibri"/>
      <family val="2"/>
    </font>
    <font>
      <b/>
      <vertAlign val="subscript"/>
      <sz val="11"/>
      <name val="Calibri"/>
      <family val="2"/>
      <scheme val="minor"/>
    </font>
    <font>
      <b/>
      <sz val="11"/>
      <color theme="1"/>
      <name val="Arial"/>
      <family val="2"/>
    </font>
    <font>
      <b/>
      <sz val="11"/>
      <name val="Arial"/>
      <family val="2"/>
    </font>
    <font>
      <b/>
      <sz val="11"/>
      <color indexed="8"/>
      <name val="Arial"/>
      <family val="2"/>
    </font>
    <font>
      <b/>
      <vertAlign val="subscript"/>
      <sz val="11"/>
      <name val="Arial"/>
      <family val="2"/>
    </font>
    <font>
      <b/>
      <sz val="11"/>
      <name val="Comic Sans MS"/>
      <family val="4"/>
    </font>
    <font>
      <b/>
      <sz val="11"/>
      <color indexed="8"/>
      <name val="Comic Sans MS"/>
      <family val="4"/>
    </font>
    <font>
      <b/>
      <vertAlign val="subscript"/>
      <sz val="11"/>
      <name val="Comic Sans MS"/>
      <family val="4"/>
    </font>
    <font>
      <b/>
      <sz val="11"/>
      <color rgb="FFFF0000"/>
      <name val="Calibri"/>
      <family val="2"/>
    </font>
    <font>
      <b/>
      <sz val="8"/>
      <color indexed="8"/>
      <name val="Comic Sans MS"/>
      <family val="4"/>
    </font>
    <font>
      <sz val="10"/>
      <color indexed="8"/>
      <name val="Arial"/>
      <family val="2"/>
    </font>
    <font>
      <i/>
      <sz val="14"/>
      <name val="Calibri"/>
      <family val="2"/>
    </font>
    <font>
      <sz val="14"/>
      <color indexed="10"/>
      <name val="Calibri"/>
      <family val="2"/>
    </font>
    <font>
      <b/>
      <vertAlign val="subscript"/>
      <sz val="14"/>
      <name val="Calibri"/>
      <family val="2"/>
    </font>
    <font>
      <b/>
      <sz val="14"/>
      <color indexed="10"/>
      <name val="Calibri"/>
      <family val="2"/>
    </font>
    <font>
      <vertAlign val="subscript"/>
      <sz val="14"/>
      <color indexed="8"/>
      <name val="Calibri"/>
      <family val="2"/>
    </font>
    <font>
      <b/>
      <sz val="14"/>
      <color indexed="8"/>
      <name val="Calibri"/>
      <family val="2"/>
    </font>
    <font>
      <b/>
      <sz val="14"/>
      <color theme="1"/>
      <name val="Calibri"/>
      <family val="2"/>
    </font>
    <font>
      <sz val="11"/>
      <color rgb="FFFF0000"/>
      <name val="Calibri"/>
      <family val="2"/>
      <scheme val="minor"/>
    </font>
    <font>
      <b/>
      <sz val="8"/>
      <color indexed="10"/>
      <name val="Arial"/>
      <family val="2"/>
    </font>
    <font>
      <b/>
      <vertAlign val="subscript"/>
      <sz val="8"/>
      <color indexed="10"/>
      <name val="Arial"/>
      <family val="2"/>
    </font>
    <font>
      <b/>
      <sz val="10"/>
      <color indexed="10"/>
      <name val="Calibri"/>
      <family val="2"/>
    </font>
    <font>
      <b/>
      <sz val="16"/>
      <color theme="1"/>
      <name val="Calibri"/>
      <family val="2"/>
      <scheme val="minor"/>
    </font>
    <font>
      <b/>
      <sz val="16"/>
      <color rgb="FF0000FF"/>
      <name val="Calibri"/>
      <family val="2"/>
      <scheme val="minor"/>
    </font>
    <font>
      <sz val="16"/>
      <color rgb="FFFF0000"/>
      <name val="Calibri"/>
      <family val="2"/>
      <scheme val="minor"/>
    </font>
    <font>
      <b/>
      <sz val="11"/>
      <color rgb="FF0000FF"/>
      <name val="Calibri"/>
      <family val="2"/>
      <scheme val="minor"/>
    </font>
    <font>
      <sz val="14"/>
      <color theme="1"/>
      <name val="Calibri"/>
      <family val="2"/>
      <scheme val="minor"/>
    </font>
    <font>
      <sz val="11"/>
      <color rgb="FF0000FF"/>
      <name val="Calibri"/>
      <family val="2"/>
      <scheme val="minor"/>
    </font>
    <font>
      <b/>
      <vertAlign val="subscript"/>
      <sz val="11"/>
      <color rgb="FF0000FF"/>
      <name val="Calibri"/>
      <family val="2"/>
      <scheme val="minor"/>
    </font>
    <font>
      <sz val="11"/>
      <color indexed="18"/>
      <name val="Comic Sans MS"/>
      <family val="4"/>
    </font>
    <font>
      <i/>
      <sz val="11"/>
      <name val="Engravers MT"/>
      <family val="1"/>
    </font>
    <font>
      <b/>
      <sz val="8"/>
      <color indexed="10"/>
      <name val="Comic Sans MS"/>
      <family val="4"/>
    </font>
    <font>
      <sz val="8"/>
      <color indexed="10"/>
      <name val="Comic Sans MS"/>
      <family val="4"/>
    </font>
    <font>
      <b/>
      <vertAlign val="subscript"/>
      <sz val="10"/>
      <name val="Comic Sans MS"/>
      <family val="4"/>
    </font>
    <font>
      <i/>
      <sz val="8"/>
      <name val="Engravers MT"/>
      <family val="1"/>
    </font>
    <font>
      <vertAlign val="subscript"/>
      <sz val="8"/>
      <color indexed="8"/>
      <name val="Comic Sans MS"/>
      <family val="4"/>
    </font>
    <font>
      <sz val="8"/>
      <color indexed="8"/>
      <name val="Arial Narrow"/>
      <family val="2"/>
    </font>
    <font>
      <u/>
      <sz val="8"/>
      <color theme="10"/>
      <name val="Arial"/>
      <family val="2"/>
    </font>
    <font>
      <sz val="10"/>
      <color rgb="FFFF0000"/>
      <name val="Calibri"/>
      <family val="2"/>
    </font>
    <font>
      <i/>
      <sz val="10"/>
      <name val="Calibri"/>
      <family val="2"/>
    </font>
    <font>
      <b/>
      <i/>
      <sz val="10"/>
      <name val="Calibri"/>
      <family val="2"/>
    </font>
    <font>
      <i/>
      <vertAlign val="subscript"/>
      <sz val="10"/>
      <name val="Calibri"/>
      <family val="2"/>
    </font>
  </fonts>
  <fills count="7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4"/>
        <bgColor indexed="64"/>
      </patternFill>
    </fill>
    <fill>
      <patternFill patternType="solid">
        <fgColor indexed="47"/>
        <bgColor indexed="64"/>
      </patternFill>
    </fill>
    <fill>
      <patternFill patternType="solid">
        <fgColor indexed="43"/>
      </patternFill>
    </fill>
    <fill>
      <patternFill patternType="solid">
        <fgColor indexed="22"/>
        <bgColor indexed="64"/>
      </patternFill>
    </fill>
    <fill>
      <patternFill patternType="solid">
        <fgColor indexed="26"/>
      </patternFill>
    </fill>
    <fill>
      <patternFill patternType="darkTrellis"/>
    </fill>
    <fill>
      <patternFill patternType="solid">
        <fgColor indexed="46"/>
        <bgColor indexed="64"/>
      </patternFill>
    </fill>
    <fill>
      <patternFill patternType="solid">
        <fgColor indexed="13"/>
        <bgColor indexed="64"/>
      </patternFill>
    </fill>
    <fill>
      <patternFill patternType="solid">
        <fgColor indexed="9"/>
        <bgColor indexed="64"/>
      </patternFill>
    </fill>
    <fill>
      <patternFill patternType="solid">
        <fgColor indexed="49"/>
        <bgColor indexed="64"/>
      </patternFill>
    </fill>
    <fill>
      <patternFill patternType="solid">
        <fgColor indexed="41"/>
        <bgColor indexed="64"/>
      </patternFill>
    </fill>
    <fill>
      <patternFill patternType="solid">
        <fgColor indexed="42"/>
        <bgColor indexed="64"/>
      </patternFill>
    </fill>
    <fill>
      <patternFill patternType="solid">
        <fgColor indexed="45"/>
        <bgColor indexed="64"/>
      </patternFill>
    </fill>
    <fill>
      <patternFill patternType="solid">
        <fgColor indexed="57"/>
        <bgColor indexed="64"/>
      </patternFill>
    </fill>
    <fill>
      <patternFill patternType="solid">
        <fgColor indexed="51"/>
        <bgColor indexed="64"/>
      </patternFill>
    </fill>
    <fill>
      <patternFill patternType="solid">
        <fgColor indexed="43"/>
        <bgColor indexed="64"/>
      </patternFill>
    </fill>
    <fill>
      <patternFill patternType="solid">
        <fgColor indexed="11"/>
        <bgColor indexed="64"/>
      </patternFill>
    </fill>
    <fill>
      <patternFill patternType="solid">
        <fgColor indexed="55"/>
        <bgColor indexed="64"/>
      </patternFill>
    </fill>
    <fill>
      <patternFill patternType="solid">
        <fgColor indexed="17"/>
        <bgColor indexed="64"/>
      </patternFill>
    </fill>
    <fill>
      <patternFill patternType="solid">
        <fgColor indexed="14"/>
        <bgColor indexed="64"/>
      </patternFill>
    </fill>
    <fill>
      <patternFill patternType="solid">
        <fgColor indexed="61"/>
        <bgColor indexed="64"/>
      </patternFill>
    </fill>
    <fill>
      <patternFill patternType="solid">
        <fgColor indexed="10"/>
        <bgColor indexed="64"/>
      </patternFill>
    </fill>
    <fill>
      <patternFill patternType="solid">
        <fgColor indexed="19"/>
        <bgColor indexed="64"/>
      </patternFill>
    </fill>
    <fill>
      <patternFill patternType="solid">
        <fgColor indexed="23"/>
        <bgColor indexed="64"/>
      </patternFill>
    </fill>
    <fill>
      <patternFill patternType="solid">
        <fgColor indexed="50"/>
        <bgColor indexed="64"/>
      </patternFill>
    </fill>
    <fill>
      <patternFill patternType="solid">
        <fgColor indexed="63"/>
        <bgColor indexed="64"/>
      </patternFill>
    </fill>
    <fill>
      <patternFill patternType="solid">
        <fgColor theme="0" tint="-0.249977111117893"/>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3" tint="0.59999389629810485"/>
        <bgColor indexed="64"/>
      </patternFill>
    </fill>
    <fill>
      <patternFill patternType="solid">
        <fgColor theme="9" tint="0.39997558519241921"/>
        <bgColor indexed="64"/>
      </patternFill>
    </fill>
    <fill>
      <patternFill patternType="solid">
        <fgColor rgb="FF00B0F0"/>
        <bgColor indexed="64"/>
      </patternFill>
    </fill>
    <fill>
      <patternFill patternType="solid">
        <fgColor rgb="FF92D050"/>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C000"/>
        <bgColor indexed="64"/>
      </patternFill>
    </fill>
    <fill>
      <patternFill patternType="solid">
        <fgColor theme="8" tint="0.59999389629810485"/>
        <bgColor indexed="64"/>
      </patternFill>
    </fill>
    <fill>
      <patternFill patternType="solid">
        <fgColor theme="3" tint="0.39997558519241921"/>
        <bgColor indexed="64"/>
      </patternFill>
    </fill>
    <fill>
      <patternFill patternType="solid">
        <fgColor theme="3" tint="0.79998168889431442"/>
        <bgColor indexed="64"/>
      </patternFill>
    </fill>
    <fill>
      <patternFill patternType="solid">
        <fgColor indexed="22"/>
        <bgColor indexed="0"/>
      </patternFill>
    </fill>
    <fill>
      <patternFill patternType="solid">
        <fgColor rgb="FFFFFF00"/>
        <bgColor indexed="64"/>
      </patternFill>
    </fill>
    <fill>
      <patternFill patternType="solid">
        <fgColor indexed="50"/>
        <bgColor indexed="49"/>
      </patternFill>
    </fill>
    <fill>
      <patternFill patternType="solid">
        <fgColor indexed="51"/>
        <bgColor indexed="22"/>
      </patternFill>
    </fill>
    <fill>
      <patternFill patternType="solid">
        <fgColor theme="7" tint="0.59999389629810485"/>
        <bgColor indexed="64"/>
      </patternFill>
    </fill>
    <fill>
      <patternFill patternType="solid">
        <fgColor theme="7" tint="0.59999389629810485"/>
        <bgColor indexed="24"/>
      </patternFill>
    </fill>
    <fill>
      <patternFill patternType="solid">
        <fgColor indexed="40"/>
        <bgColor indexed="64"/>
      </patternFill>
    </fill>
    <fill>
      <patternFill patternType="solid">
        <fgColor indexed="40"/>
        <bgColor indexed="49"/>
      </patternFill>
    </fill>
    <fill>
      <patternFill patternType="solid">
        <fgColor indexed="19"/>
        <bgColor indexed="23"/>
      </patternFill>
    </fill>
    <fill>
      <patternFill patternType="solid">
        <fgColor rgb="FF00B050"/>
        <bgColor indexed="64"/>
      </patternFill>
    </fill>
  </fills>
  <borders count="328">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top style="medium">
        <color indexed="64"/>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double">
        <color indexed="64"/>
      </left>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style="medium">
        <color indexed="64"/>
      </right>
      <top style="double">
        <color indexed="64"/>
      </top>
      <bottom/>
      <diagonal/>
    </border>
    <border>
      <left style="medium">
        <color indexed="64"/>
      </left>
      <right style="medium">
        <color indexed="64"/>
      </right>
      <top style="double">
        <color indexed="64"/>
      </top>
      <bottom/>
      <diagonal/>
    </border>
    <border>
      <left style="medium">
        <color indexed="64"/>
      </left>
      <right style="double">
        <color indexed="64"/>
      </right>
      <top style="double">
        <color indexed="64"/>
      </top>
      <bottom/>
      <diagonal/>
    </border>
    <border>
      <left style="double">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double">
        <color indexed="64"/>
      </right>
      <top/>
      <bottom style="medium">
        <color indexed="64"/>
      </bottom>
      <diagonal/>
    </border>
    <border>
      <left style="double">
        <color indexed="64"/>
      </left>
      <right/>
      <top style="medium">
        <color indexed="64"/>
      </top>
      <bottom/>
      <diagonal/>
    </border>
    <border>
      <left/>
      <right/>
      <top style="medium">
        <color indexed="64"/>
      </top>
      <bottom/>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style="double">
        <color indexed="64"/>
      </right>
      <top style="double">
        <color indexed="64"/>
      </top>
      <bottom/>
      <diagonal/>
    </border>
    <border>
      <left/>
      <right/>
      <top style="double">
        <color indexed="64"/>
      </top>
      <bottom/>
      <diagonal/>
    </border>
    <border>
      <left/>
      <right style="double">
        <color indexed="64"/>
      </right>
      <top style="double">
        <color indexed="64"/>
      </top>
      <bottom/>
      <diagonal/>
    </border>
    <border>
      <left style="medium">
        <color indexed="64"/>
      </left>
      <right style="medium">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style="double">
        <color indexed="64"/>
      </right>
      <top/>
      <bottom/>
      <diagonal/>
    </border>
    <border>
      <left/>
      <right/>
      <top style="thin">
        <color indexed="64"/>
      </top>
      <bottom style="double">
        <color indexed="64"/>
      </bottom>
      <diagonal/>
    </border>
    <border>
      <left style="double">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top style="thin">
        <color indexed="64"/>
      </top>
      <bottom style="double">
        <color indexed="64"/>
      </bottom>
      <diagonal/>
    </border>
    <border>
      <left style="double">
        <color indexed="64"/>
      </left>
      <right style="double">
        <color indexed="64"/>
      </right>
      <top style="thin">
        <color indexed="64"/>
      </top>
      <bottom style="double">
        <color indexed="64"/>
      </bottom>
      <diagonal/>
    </border>
    <border>
      <left style="double">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double">
        <color indexed="64"/>
      </right>
      <top style="medium">
        <color indexed="64"/>
      </top>
      <bottom/>
      <diagonal/>
    </border>
    <border>
      <left style="double">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double">
        <color indexed="64"/>
      </right>
      <top/>
      <bottom style="medium">
        <color indexed="64"/>
      </bottom>
      <diagonal/>
    </border>
    <border>
      <left style="thin">
        <color indexed="64"/>
      </left>
      <right style="double">
        <color indexed="64"/>
      </right>
      <top style="thin">
        <color indexed="64"/>
      </top>
      <bottom style="medium">
        <color indexed="64"/>
      </bottom>
      <diagonal/>
    </border>
    <border>
      <left style="double">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double">
        <color indexed="64"/>
      </right>
      <top style="medium">
        <color indexed="64"/>
      </top>
      <bottom style="medium">
        <color indexed="64"/>
      </bottom>
      <diagonal/>
    </border>
    <border>
      <left style="double">
        <color indexed="64"/>
      </left>
      <right style="thin">
        <color indexed="64"/>
      </right>
      <top style="medium">
        <color indexed="64"/>
      </top>
      <bottom style="thin">
        <color indexed="64"/>
      </bottom>
      <diagonal/>
    </border>
    <border>
      <left style="double">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double">
        <color indexed="64"/>
      </right>
      <top style="medium">
        <color indexed="64"/>
      </top>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style="double">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double">
        <color indexed="64"/>
      </right>
      <top style="medium">
        <color indexed="64"/>
      </top>
      <bottom style="medium">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double">
        <color indexed="64"/>
      </left>
      <right/>
      <top/>
      <bottom style="medium">
        <color indexed="64"/>
      </bottom>
      <diagonal/>
    </border>
    <border>
      <left/>
      <right style="double">
        <color indexed="64"/>
      </right>
      <top/>
      <bottom style="medium">
        <color indexed="64"/>
      </bottom>
      <diagonal/>
    </border>
    <border>
      <left style="double">
        <color indexed="64"/>
      </left>
      <right/>
      <top style="medium">
        <color indexed="64"/>
      </top>
      <bottom style="thin">
        <color indexed="64"/>
      </bottom>
      <diagonal/>
    </border>
    <border>
      <left/>
      <right/>
      <top style="medium">
        <color indexed="64"/>
      </top>
      <bottom style="thin">
        <color indexed="64"/>
      </bottom>
      <diagonal/>
    </border>
    <border>
      <left/>
      <right style="double">
        <color indexed="64"/>
      </right>
      <top style="medium">
        <color indexed="64"/>
      </top>
      <bottom style="thin">
        <color indexed="64"/>
      </bottom>
      <diagonal/>
    </border>
    <border>
      <left style="thin">
        <color indexed="64"/>
      </left>
      <right style="thin">
        <color indexed="64"/>
      </right>
      <top style="thin">
        <color indexed="64"/>
      </top>
      <bottom style="thick">
        <color indexed="64"/>
      </bottom>
      <diagonal/>
    </border>
    <border>
      <left style="medium">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ouble">
        <color indexed="64"/>
      </left>
      <right/>
      <top style="double">
        <color indexed="64"/>
      </top>
      <bottom style="medium">
        <color indexed="64"/>
      </bottom>
      <diagonal/>
    </border>
    <border>
      <left/>
      <right style="double">
        <color indexed="64"/>
      </right>
      <top style="double">
        <color indexed="64"/>
      </top>
      <bottom style="medium">
        <color indexed="64"/>
      </bottom>
      <diagonal/>
    </border>
    <border>
      <left style="double">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n">
        <color indexed="64"/>
      </left>
      <right/>
      <top/>
      <bottom/>
      <diagonal/>
    </border>
    <border>
      <left/>
      <right style="double">
        <color indexed="64"/>
      </right>
      <top style="double">
        <color indexed="64"/>
      </top>
      <bottom style="thin">
        <color indexed="64"/>
      </bottom>
      <diagonal/>
    </border>
    <border>
      <left/>
      <right style="double">
        <color indexed="64"/>
      </right>
      <top style="thin">
        <color indexed="64"/>
      </top>
      <bottom style="double">
        <color indexed="64"/>
      </bottom>
      <diagonal/>
    </border>
    <border>
      <left/>
      <right style="thin">
        <color indexed="22"/>
      </right>
      <top/>
      <bottom/>
      <diagonal/>
    </border>
    <border>
      <left style="medium">
        <color indexed="64"/>
      </left>
      <right style="thin">
        <color indexed="22"/>
      </right>
      <top style="thin">
        <color indexed="22"/>
      </top>
      <bottom style="thin">
        <color indexed="22"/>
      </bottom>
      <diagonal/>
    </border>
    <border>
      <left style="medium">
        <color indexed="64"/>
      </left>
      <right style="thin">
        <color indexed="22"/>
      </right>
      <top style="thin">
        <color indexed="22"/>
      </top>
      <bottom style="thin">
        <color indexed="64"/>
      </bottom>
      <diagonal/>
    </border>
    <border>
      <left style="medium">
        <color indexed="64"/>
      </left>
      <right style="medium">
        <color indexed="22"/>
      </right>
      <top/>
      <bottom style="thin">
        <color indexed="64"/>
      </bottom>
      <diagonal/>
    </border>
    <border>
      <left style="medium">
        <color indexed="64"/>
      </left>
      <right style="medium">
        <color indexed="22"/>
      </right>
      <top style="thin">
        <color indexed="64"/>
      </top>
      <bottom style="thin">
        <color indexed="64"/>
      </bottom>
      <diagonal/>
    </border>
    <border>
      <left style="double">
        <color indexed="64"/>
      </left>
      <right style="double">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right style="thin">
        <color indexed="64"/>
      </right>
      <top/>
      <bottom/>
      <diagonal/>
    </border>
    <border>
      <left style="medium">
        <color indexed="64"/>
      </left>
      <right style="medium">
        <color indexed="64"/>
      </right>
      <top/>
      <bottom style="thin">
        <color indexed="64"/>
      </bottom>
      <diagonal/>
    </border>
    <border>
      <left style="thick">
        <color indexed="10"/>
      </left>
      <right style="thin">
        <color indexed="64"/>
      </right>
      <top style="thin">
        <color indexed="64"/>
      </top>
      <bottom style="thin">
        <color indexed="64"/>
      </bottom>
      <diagonal/>
    </border>
    <border>
      <left style="thin">
        <color indexed="64"/>
      </left>
      <right style="thick">
        <color indexed="10"/>
      </right>
      <top style="thin">
        <color indexed="64"/>
      </top>
      <bottom style="thin">
        <color indexed="64"/>
      </bottom>
      <diagonal/>
    </border>
    <border>
      <left style="thick">
        <color indexed="10"/>
      </left>
      <right/>
      <top/>
      <bottom style="thick">
        <color indexed="10"/>
      </bottom>
      <diagonal/>
    </border>
    <border>
      <left/>
      <right/>
      <top/>
      <bottom style="thick">
        <color indexed="10"/>
      </bottom>
      <diagonal/>
    </border>
    <border>
      <left/>
      <right style="thick">
        <color indexed="10"/>
      </right>
      <top/>
      <bottom style="thick">
        <color indexed="10"/>
      </bottom>
      <diagonal/>
    </border>
    <border>
      <left style="thick">
        <color indexed="64"/>
      </left>
      <right/>
      <top/>
      <bottom/>
      <diagonal/>
    </border>
    <border>
      <left style="thick">
        <color indexed="64"/>
      </left>
      <right/>
      <top style="thin">
        <color indexed="64"/>
      </top>
      <bottom style="thin">
        <color indexed="64"/>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double">
        <color indexed="64"/>
      </left>
      <right style="thin">
        <color indexed="64"/>
      </right>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double">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double">
        <color indexed="64"/>
      </left>
      <right/>
      <top style="thin">
        <color indexed="64"/>
      </top>
      <bottom/>
      <diagonal/>
    </border>
    <border>
      <left/>
      <right style="medium">
        <color indexed="64"/>
      </right>
      <top style="thin">
        <color indexed="64"/>
      </top>
      <bottom style="medium">
        <color indexed="64"/>
      </bottom>
      <diagonal/>
    </border>
    <border>
      <left/>
      <right style="thin">
        <color indexed="64"/>
      </right>
      <top style="medium">
        <color indexed="64"/>
      </top>
      <bottom/>
      <diagonal/>
    </border>
    <border>
      <left style="double">
        <color indexed="64"/>
      </left>
      <right/>
      <top style="thick">
        <color indexed="64"/>
      </top>
      <bottom style="thick">
        <color indexed="64"/>
      </bottom>
      <diagonal/>
    </border>
    <border>
      <left/>
      <right/>
      <top style="thick">
        <color indexed="64"/>
      </top>
      <bottom style="thick">
        <color indexed="64"/>
      </bottom>
      <diagonal/>
    </border>
    <border>
      <left style="double">
        <color indexed="64"/>
      </left>
      <right style="thin">
        <color indexed="64"/>
      </right>
      <top style="medium">
        <color indexed="64"/>
      </top>
      <bottom style="medium">
        <color indexed="64"/>
      </bottom>
      <diagonal/>
    </border>
    <border>
      <left style="thin">
        <color indexed="64"/>
      </left>
      <right style="thin">
        <color indexed="64"/>
      </right>
      <top/>
      <bottom style="thick">
        <color indexed="64"/>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style="thick">
        <color indexed="64"/>
      </top>
      <bottom style="thin">
        <color indexed="64"/>
      </bottom>
      <diagonal/>
    </border>
    <border>
      <left style="double">
        <color indexed="64"/>
      </left>
      <right style="thin">
        <color indexed="64"/>
      </right>
      <top style="thick">
        <color indexed="64"/>
      </top>
      <bottom style="thick">
        <color indexed="64"/>
      </bottom>
      <diagonal/>
    </border>
    <border>
      <left style="double">
        <color indexed="64"/>
      </left>
      <right/>
      <top/>
      <bottom style="thick">
        <color indexed="64"/>
      </bottom>
      <diagonal/>
    </border>
    <border>
      <left/>
      <right style="double">
        <color indexed="64"/>
      </right>
      <top/>
      <bottom style="thick">
        <color indexed="64"/>
      </bottom>
      <diagonal/>
    </border>
    <border>
      <left style="double">
        <color indexed="64"/>
      </left>
      <right style="thin">
        <color indexed="64"/>
      </right>
      <top style="thin">
        <color indexed="64"/>
      </top>
      <bottom style="thick">
        <color indexed="64"/>
      </bottom>
      <diagonal/>
    </border>
    <border>
      <left style="thin">
        <color indexed="64"/>
      </left>
      <right style="double">
        <color indexed="64"/>
      </right>
      <top style="thin">
        <color indexed="64"/>
      </top>
      <bottom style="thick">
        <color indexed="64"/>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top style="medium">
        <color indexed="64"/>
      </top>
      <bottom style="medium">
        <color indexed="64"/>
      </bottom>
      <diagonal/>
    </border>
    <border>
      <left/>
      <right style="medium">
        <color indexed="64"/>
      </right>
      <top style="thin">
        <color indexed="64"/>
      </top>
      <bottom/>
      <diagonal/>
    </border>
    <border>
      <left style="medium">
        <color indexed="64"/>
      </left>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right style="thick">
        <color indexed="64"/>
      </right>
      <top style="thick">
        <color indexed="64"/>
      </top>
      <bottom style="thick">
        <color indexed="64"/>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10"/>
      </left>
      <right/>
      <top style="thick">
        <color indexed="10"/>
      </top>
      <bottom/>
      <diagonal/>
    </border>
    <border>
      <left/>
      <right/>
      <top style="thick">
        <color indexed="10"/>
      </top>
      <bottom/>
      <diagonal/>
    </border>
    <border>
      <left/>
      <right style="thick">
        <color indexed="10"/>
      </right>
      <top style="thick">
        <color indexed="10"/>
      </top>
      <bottom/>
      <diagonal/>
    </border>
    <border>
      <left style="thin">
        <color indexed="64"/>
      </left>
      <right style="thin">
        <color indexed="64"/>
      </right>
      <top style="thick">
        <color indexed="64"/>
      </top>
      <bottom style="thick">
        <color indexed="64"/>
      </bottom>
      <diagonal/>
    </border>
    <border>
      <left style="thin">
        <color indexed="64"/>
      </left>
      <right style="double">
        <color indexed="64"/>
      </right>
      <top style="thick">
        <color indexed="64"/>
      </top>
      <bottom style="thick">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top/>
      <bottom style="thin">
        <color indexed="64"/>
      </bottom>
      <diagonal/>
    </border>
    <border>
      <left/>
      <right style="thin">
        <color indexed="64"/>
      </right>
      <top style="medium">
        <color indexed="64"/>
      </top>
      <bottom style="medium">
        <color indexed="64"/>
      </bottom>
      <diagonal/>
    </border>
    <border>
      <left style="thin">
        <color indexed="64"/>
      </left>
      <right style="medium">
        <color indexed="8"/>
      </right>
      <top style="thick">
        <color indexed="64"/>
      </top>
      <bottom style="thin">
        <color indexed="64"/>
      </bottom>
      <diagonal/>
    </border>
    <border>
      <left style="thin">
        <color indexed="64"/>
      </left>
      <right style="medium">
        <color indexed="8"/>
      </right>
      <top style="thin">
        <color indexed="64"/>
      </top>
      <bottom style="thin">
        <color indexed="64"/>
      </bottom>
      <diagonal/>
    </border>
    <border>
      <left style="thin">
        <color indexed="64"/>
      </left>
      <right style="medium">
        <color indexed="8"/>
      </right>
      <top style="thin">
        <color indexed="64"/>
      </top>
      <bottom style="medium">
        <color indexed="8"/>
      </bottom>
      <diagonal/>
    </border>
    <border>
      <left style="thick">
        <color indexed="64"/>
      </left>
      <right style="thin">
        <color indexed="64"/>
      </right>
      <top style="thin">
        <color indexed="64"/>
      </top>
      <bottom style="medium">
        <color indexed="64"/>
      </bottom>
      <diagonal/>
    </border>
    <border>
      <left/>
      <right style="thick">
        <color indexed="64"/>
      </right>
      <top style="medium">
        <color indexed="64"/>
      </top>
      <bottom style="thin">
        <color indexed="64"/>
      </bottom>
      <diagonal/>
    </border>
    <border>
      <left style="medium">
        <color indexed="64"/>
      </left>
      <right style="medium">
        <color indexed="64"/>
      </right>
      <top/>
      <bottom style="thick">
        <color indexed="64"/>
      </bottom>
      <diagonal/>
    </border>
    <border>
      <left style="medium">
        <color indexed="64"/>
      </left>
      <right/>
      <top style="double">
        <color indexed="64"/>
      </top>
      <bottom/>
      <diagonal/>
    </border>
    <border>
      <left style="medium">
        <color indexed="64"/>
      </left>
      <right style="double">
        <color indexed="64"/>
      </right>
      <top style="thin">
        <color indexed="64"/>
      </top>
      <bottom/>
      <diagonal/>
    </border>
    <border>
      <left style="medium">
        <color indexed="64"/>
      </left>
      <right style="medium">
        <color indexed="64"/>
      </right>
      <top/>
      <bottom style="double">
        <color indexed="64"/>
      </bottom>
      <diagonal/>
    </border>
    <border>
      <left style="medium">
        <color indexed="64"/>
      </left>
      <right style="double">
        <color indexed="64"/>
      </right>
      <top/>
      <bottom style="double">
        <color indexed="64"/>
      </bottom>
      <diagonal/>
    </border>
    <border>
      <left style="thin">
        <color indexed="64"/>
      </left>
      <right style="thin">
        <color indexed="64"/>
      </right>
      <top style="thick">
        <color indexed="64"/>
      </top>
      <bottom/>
      <diagonal/>
    </border>
    <border>
      <left style="thin">
        <color indexed="64"/>
      </left>
      <right style="double">
        <color indexed="64"/>
      </right>
      <top style="thick">
        <color indexed="64"/>
      </top>
      <bottom style="thin">
        <color indexed="64"/>
      </bottom>
      <diagonal/>
    </border>
    <border>
      <left style="medium">
        <color indexed="64"/>
      </left>
      <right style="thin">
        <color indexed="64"/>
      </right>
      <top style="thick">
        <color indexed="64"/>
      </top>
      <bottom style="thin">
        <color indexed="64"/>
      </bottom>
      <diagonal/>
    </border>
    <border>
      <left style="medium">
        <color indexed="64"/>
      </left>
      <right style="thin">
        <color indexed="64"/>
      </right>
      <top style="thin">
        <color indexed="64"/>
      </top>
      <bottom style="thick">
        <color indexed="64"/>
      </bottom>
      <diagonal/>
    </border>
    <border>
      <left style="thick">
        <color indexed="64"/>
      </left>
      <right style="medium">
        <color indexed="64"/>
      </right>
      <top/>
      <bottom/>
      <diagonal/>
    </border>
    <border>
      <left style="medium">
        <color indexed="64"/>
      </left>
      <right style="thick">
        <color indexed="64"/>
      </right>
      <top/>
      <bottom/>
      <diagonal/>
    </border>
    <border>
      <left style="thick">
        <color indexed="64"/>
      </left>
      <right style="medium">
        <color indexed="64"/>
      </right>
      <top/>
      <bottom style="thick">
        <color indexed="64"/>
      </bottom>
      <diagonal/>
    </border>
    <border>
      <left style="medium">
        <color indexed="64"/>
      </left>
      <right style="thick">
        <color indexed="64"/>
      </right>
      <top/>
      <bottom style="thick">
        <color indexed="64"/>
      </bottom>
      <diagonal/>
    </border>
    <border>
      <left style="thick">
        <color indexed="64"/>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indexed="64"/>
      </right>
      <top/>
      <bottom style="medium">
        <color indexed="64"/>
      </bottom>
      <diagonal/>
    </border>
    <border>
      <left style="medium">
        <color indexed="64"/>
      </left>
      <right style="thick">
        <color indexed="64"/>
      </right>
      <top/>
      <bottom style="medium">
        <color indexed="64"/>
      </bottom>
      <diagonal/>
    </border>
    <border>
      <left style="thick">
        <color indexed="64"/>
      </left>
      <right style="medium">
        <color indexed="64"/>
      </right>
      <top style="thick">
        <color indexed="64"/>
      </top>
      <bottom/>
      <diagonal/>
    </border>
    <border>
      <left style="medium">
        <color indexed="64"/>
      </left>
      <right style="medium">
        <color indexed="64"/>
      </right>
      <top style="thick">
        <color indexed="64"/>
      </top>
      <bottom/>
      <diagonal/>
    </border>
    <border>
      <left style="medium">
        <color indexed="64"/>
      </left>
      <right style="thick">
        <color indexed="64"/>
      </right>
      <top style="thick">
        <color indexed="64"/>
      </top>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thin">
        <color indexed="64"/>
      </left>
      <right/>
      <top/>
      <bottom style="double">
        <color indexed="64"/>
      </bottom>
      <diagonal/>
    </border>
    <border>
      <left style="medium">
        <color indexed="64"/>
      </left>
      <right style="medium">
        <color indexed="22"/>
      </right>
      <top style="medium">
        <color indexed="64"/>
      </top>
      <bottom style="thin">
        <color indexed="64"/>
      </bottom>
      <diagonal/>
    </border>
    <border>
      <left style="medium">
        <color indexed="64"/>
      </left>
      <right/>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right/>
      <top style="thin">
        <color indexed="64"/>
      </top>
      <bottom/>
      <diagonal/>
    </border>
    <border>
      <left/>
      <right style="double">
        <color indexed="64"/>
      </right>
      <top style="medium">
        <color indexed="64"/>
      </top>
      <bottom style="medium">
        <color indexed="64"/>
      </bottom>
      <diagonal/>
    </border>
    <border>
      <left/>
      <right style="thin">
        <color indexed="64"/>
      </right>
      <top/>
      <bottom style="thin">
        <color indexed="64"/>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top/>
      <bottom style="medium">
        <color indexed="64"/>
      </bottom>
      <diagonal/>
    </border>
    <border>
      <left style="double">
        <color indexed="64"/>
      </left>
      <right style="double">
        <color indexed="64"/>
      </right>
      <top style="double">
        <color indexed="64"/>
      </top>
      <bottom style="double">
        <color indexed="64"/>
      </bottom>
      <diagonal/>
    </border>
    <border>
      <left style="medium">
        <color indexed="64"/>
      </left>
      <right style="medium">
        <color indexed="64"/>
      </right>
      <top style="thick">
        <color indexed="64"/>
      </top>
      <bottom style="thin">
        <color indexed="64"/>
      </bottom>
      <diagonal/>
    </border>
    <border>
      <left/>
      <right style="thin">
        <color indexed="64"/>
      </right>
      <top style="thick">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medium">
        <color indexed="64"/>
      </left>
      <right style="medium">
        <color indexed="64"/>
      </right>
      <top style="thin">
        <color indexed="64"/>
      </top>
      <bottom style="thick">
        <color indexed="64"/>
      </bottom>
      <diagonal/>
    </border>
    <border>
      <left/>
      <right style="thin">
        <color indexed="64"/>
      </right>
      <top style="thin">
        <color indexed="64"/>
      </top>
      <bottom style="thick">
        <color indexed="64"/>
      </bottom>
      <diagonal/>
    </border>
    <border>
      <left style="medium">
        <color indexed="64"/>
      </left>
      <right/>
      <top style="thick">
        <color indexed="64"/>
      </top>
      <bottom style="thin">
        <color indexed="64"/>
      </bottom>
      <diagonal/>
    </border>
    <border>
      <left/>
      <right/>
      <top style="thick">
        <color indexed="64"/>
      </top>
      <bottom style="thin">
        <color indexed="64"/>
      </bottom>
      <diagonal/>
    </border>
    <border>
      <left/>
      <right style="medium">
        <color indexed="64"/>
      </right>
      <top style="thick">
        <color indexed="64"/>
      </top>
      <bottom style="thin">
        <color indexed="64"/>
      </bottom>
      <diagonal/>
    </border>
    <border>
      <left style="medium">
        <color indexed="22"/>
      </left>
      <right style="medium">
        <color indexed="64"/>
      </right>
      <top style="medium">
        <color indexed="64"/>
      </top>
      <bottom style="thin">
        <color indexed="64"/>
      </bottom>
      <diagonal/>
    </border>
    <border>
      <left style="medium">
        <color indexed="22"/>
      </left>
      <right style="medium">
        <color indexed="64"/>
      </right>
      <top/>
      <bottom style="thin">
        <color indexed="64"/>
      </bottom>
      <diagonal/>
    </border>
    <border>
      <left style="medium">
        <color indexed="64"/>
      </left>
      <right style="thin">
        <color indexed="22"/>
      </right>
      <top style="thin">
        <color indexed="64"/>
      </top>
      <bottom style="thin">
        <color indexed="22"/>
      </bottom>
      <diagonal/>
    </border>
    <border>
      <left style="thin">
        <color indexed="22"/>
      </left>
      <right style="medium">
        <color indexed="64"/>
      </right>
      <top style="thin">
        <color indexed="64"/>
      </top>
      <bottom style="thin">
        <color indexed="22"/>
      </bottom>
      <diagonal/>
    </border>
    <border>
      <left style="thin">
        <color indexed="22"/>
      </left>
      <right style="medium">
        <color indexed="64"/>
      </right>
      <top style="thin">
        <color indexed="22"/>
      </top>
      <bottom style="thin">
        <color indexed="22"/>
      </bottom>
      <diagonal/>
    </border>
    <border>
      <left style="thin">
        <color indexed="22"/>
      </left>
      <right style="medium">
        <color indexed="64"/>
      </right>
      <top style="thin">
        <color indexed="22"/>
      </top>
      <bottom style="thin">
        <color indexed="64"/>
      </bottom>
      <diagonal/>
    </border>
    <border>
      <left style="medium">
        <color indexed="22"/>
      </left>
      <right style="medium">
        <color indexed="64"/>
      </right>
      <top style="thin">
        <color indexed="64"/>
      </top>
      <bottom style="thin">
        <color indexed="64"/>
      </bottom>
      <diagonal/>
    </border>
    <border>
      <left style="double">
        <color indexed="64"/>
      </left>
      <right style="double">
        <color indexed="64"/>
      </right>
      <top/>
      <bottom style="medium">
        <color indexed="64"/>
      </bottom>
      <diagonal/>
    </border>
    <border>
      <left style="double">
        <color indexed="64"/>
      </left>
      <right style="thin">
        <color indexed="64"/>
      </right>
      <top style="thin">
        <color indexed="64"/>
      </top>
      <bottom style="medium">
        <color indexed="64"/>
      </bottom>
      <diagonal/>
    </border>
    <border>
      <left style="double">
        <color indexed="64"/>
      </left>
      <right style="double">
        <color indexed="64"/>
      </right>
      <top style="medium">
        <color indexed="64"/>
      </top>
      <bottom style="thin">
        <color indexed="64"/>
      </bottom>
      <diagonal/>
    </border>
    <border>
      <left style="double">
        <color indexed="64"/>
      </left>
      <right style="double">
        <color indexed="64"/>
      </right>
      <top/>
      <bottom style="thin">
        <color indexed="64"/>
      </bottom>
      <diagonal/>
    </border>
    <border>
      <left style="double">
        <color indexed="64"/>
      </left>
      <right style="double">
        <color indexed="64"/>
      </right>
      <top style="medium">
        <color indexed="64"/>
      </top>
      <bottom style="double">
        <color indexed="64"/>
      </bottom>
      <diagonal/>
    </border>
    <border>
      <left/>
      <right style="double">
        <color indexed="64"/>
      </right>
      <top/>
      <bottom style="thin">
        <color indexed="64"/>
      </bottom>
      <diagonal/>
    </border>
    <border>
      <left style="double">
        <color indexed="64"/>
      </left>
      <right style="double">
        <color indexed="64"/>
      </right>
      <top style="thin">
        <color indexed="64"/>
      </top>
      <bottom style="medium">
        <color indexed="64"/>
      </bottom>
      <diagonal/>
    </border>
    <border>
      <left style="double">
        <color indexed="64"/>
      </left>
      <right style="double">
        <color indexed="64"/>
      </right>
      <top/>
      <bottom style="double">
        <color indexed="64"/>
      </bottom>
      <diagonal/>
    </border>
    <border>
      <left/>
      <right style="double">
        <color indexed="64"/>
      </right>
      <top style="thin">
        <color indexed="64"/>
      </top>
      <bottom style="medium">
        <color indexed="64"/>
      </bottom>
      <diagonal/>
    </border>
    <border>
      <left style="double">
        <color indexed="64"/>
      </left>
      <right style="double">
        <color indexed="64"/>
      </right>
      <top style="medium">
        <color indexed="64"/>
      </top>
      <bottom style="medium">
        <color indexed="64"/>
      </bottom>
      <diagonal/>
    </border>
    <border>
      <left/>
      <right style="double">
        <color indexed="64"/>
      </right>
      <top style="medium">
        <color indexed="64"/>
      </top>
      <bottom/>
      <diagonal/>
    </border>
    <border>
      <left style="double">
        <color indexed="64"/>
      </left>
      <right style="double">
        <color indexed="64"/>
      </right>
      <top style="medium">
        <color indexed="64"/>
      </top>
      <bottom/>
      <diagonal/>
    </border>
    <border>
      <left style="double">
        <color indexed="64"/>
      </left>
      <right style="double">
        <color indexed="64"/>
      </right>
      <top style="thin">
        <color indexed="64"/>
      </top>
      <bottom/>
      <diagonal/>
    </border>
    <border>
      <left/>
      <right style="double">
        <color indexed="64"/>
      </right>
      <top style="medium">
        <color indexed="64"/>
      </top>
      <bottom style="double">
        <color indexed="64"/>
      </bottom>
      <diagonal/>
    </border>
    <border>
      <left style="medium">
        <color indexed="64"/>
      </left>
      <right style="thin">
        <color indexed="22"/>
      </right>
      <top style="thin">
        <color indexed="64"/>
      </top>
      <bottom/>
      <diagonal/>
    </border>
    <border>
      <left style="thin">
        <color indexed="22"/>
      </left>
      <right style="medium">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8"/>
      </left>
      <right/>
      <top style="thin">
        <color indexed="8"/>
      </top>
      <bottom style="thin">
        <color indexed="8"/>
      </bottom>
      <diagonal/>
    </border>
    <border>
      <left style="thin">
        <color indexed="22"/>
      </left>
      <right/>
      <top style="thin">
        <color indexed="22"/>
      </top>
      <bottom style="thin">
        <color indexed="22"/>
      </bottom>
      <diagonal/>
    </border>
    <border>
      <left style="thin">
        <color indexed="22"/>
      </left>
      <right style="thin">
        <color indexed="22"/>
      </right>
      <top style="thin">
        <color indexed="22"/>
      </top>
      <bottom style="medium">
        <color indexed="64"/>
      </bottom>
      <diagonal/>
    </border>
    <border>
      <left style="thin">
        <color indexed="22"/>
      </left>
      <right/>
      <top style="thin">
        <color indexed="22"/>
      </top>
      <bottom style="medium">
        <color indexed="64"/>
      </bottom>
      <diagonal/>
    </border>
    <border>
      <left style="thin">
        <color indexed="64"/>
      </left>
      <right style="thick">
        <color indexed="10"/>
      </right>
      <top style="medium">
        <color indexed="64"/>
      </top>
      <bottom style="thin">
        <color indexed="64"/>
      </bottom>
      <diagonal/>
    </border>
    <border>
      <left style="double">
        <color indexed="64"/>
      </left>
      <right style="double">
        <color indexed="64"/>
      </right>
      <top/>
      <bottom/>
      <diagonal/>
    </border>
    <border>
      <left style="thin">
        <color auto="1"/>
      </left>
      <right style="thick">
        <color indexed="64"/>
      </right>
      <top style="medium">
        <color auto="1"/>
      </top>
      <bottom style="medium">
        <color auto="1"/>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diagonal/>
    </border>
    <border>
      <left style="thick">
        <color indexed="64"/>
      </left>
      <right style="thin">
        <color indexed="64"/>
      </right>
      <top/>
      <bottom style="thin">
        <color indexed="64"/>
      </bottom>
      <diagonal/>
    </border>
    <border>
      <left style="thick">
        <color indexed="64"/>
      </left>
      <right style="thin">
        <color indexed="64"/>
      </right>
      <top style="medium">
        <color indexed="64"/>
      </top>
      <bottom style="thin">
        <color indexed="64"/>
      </bottom>
      <diagonal/>
    </border>
    <border>
      <left style="thin">
        <color auto="1"/>
      </left>
      <right style="thick">
        <color indexed="64"/>
      </right>
      <top style="medium">
        <color auto="1"/>
      </top>
      <bottom style="thin">
        <color auto="1"/>
      </bottom>
      <diagonal/>
    </border>
    <border>
      <left style="thin">
        <color auto="1"/>
      </left>
      <right style="thick">
        <color indexed="64"/>
      </right>
      <top style="thin">
        <color auto="1"/>
      </top>
      <bottom style="medium">
        <color auto="1"/>
      </bottom>
      <diagonal/>
    </border>
    <border>
      <left style="double">
        <color indexed="64"/>
      </left>
      <right/>
      <top/>
      <bottom style="thin">
        <color indexed="64"/>
      </bottom>
      <diagonal/>
    </border>
    <border>
      <left/>
      <right/>
      <top/>
      <bottom style="thin">
        <color indexed="64"/>
      </bottom>
      <diagonal/>
    </border>
    <border>
      <left style="double">
        <color indexed="64"/>
      </left>
      <right/>
      <top style="thin">
        <color indexed="64"/>
      </top>
      <bottom style="medium">
        <color indexed="64"/>
      </bottom>
      <diagonal/>
    </border>
    <border>
      <left style="thick">
        <color indexed="10"/>
      </left>
      <right style="thin">
        <color indexed="64"/>
      </right>
      <top style="medium">
        <color indexed="64"/>
      </top>
      <bottom style="thin">
        <color indexed="64"/>
      </bottom>
      <diagonal/>
    </border>
    <border>
      <left style="thick">
        <color indexed="64"/>
      </left>
      <right style="thin">
        <color indexed="64"/>
      </right>
      <top style="medium">
        <color indexed="64"/>
      </top>
      <bottom/>
      <diagonal/>
    </border>
    <border>
      <left style="thin">
        <color indexed="64"/>
      </left>
      <right style="thick">
        <color indexed="10"/>
      </right>
      <top style="medium">
        <color indexed="64"/>
      </top>
      <bottom/>
      <diagonal/>
    </border>
    <border>
      <left style="thick">
        <color indexed="64"/>
      </left>
      <right style="thin">
        <color indexed="64"/>
      </right>
      <top/>
      <bottom style="medium">
        <color indexed="64"/>
      </bottom>
      <diagonal/>
    </border>
    <border>
      <left style="thin">
        <color indexed="64"/>
      </left>
      <right style="thick">
        <color indexed="10"/>
      </right>
      <top/>
      <bottom style="medium">
        <color indexed="64"/>
      </bottom>
      <diagonal/>
    </border>
    <border>
      <left style="thick">
        <color indexed="10"/>
      </left>
      <right style="thin">
        <color indexed="64"/>
      </right>
      <top style="medium">
        <color indexed="64"/>
      </top>
      <bottom/>
      <diagonal/>
    </border>
    <border>
      <left style="thick">
        <color indexed="10"/>
      </left>
      <right style="thin">
        <color indexed="64"/>
      </right>
      <top/>
      <bottom style="medium">
        <color indexed="64"/>
      </bottom>
      <diagonal/>
    </border>
    <border>
      <left style="medium">
        <color rgb="FFFF0000"/>
      </left>
      <right style="thin">
        <color auto="1"/>
      </right>
      <top style="medium">
        <color rgb="FFFF0000"/>
      </top>
      <bottom style="thin">
        <color auto="1"/>
      </bottom>
      <diagonal/>
    </border>
    <border>
      <left style="thin">
        <color auto="1"/>
      </left>
      <right style="thin">
        <color auto="1"/>
      </right>
      <top style="medium">
        <color rgb="FFFF0000"/>
      </top>
      <bottom style="thin">
        <color auto="1"/>
      </bottom>
      <diagonal/>
    </border>
    <border>
      <left style="thin">
        <color auto="1"/>
      </left>
      <right style="medium">
        <color rgb="FFFF0000"/>
      </right>
      <top style="medium">
        <color rgb="FFFF0000"/>
      </top>
      <bottom style="thin">
        <color auto="1"/>
      </bottom>
      <diagonal/>
    </border>
    <border>
      <left style="medium">
        <color rgb="FFFF0000"/>
      </left>
      <right style="thin">
        <color auto="1"/>
      </right>
      <top style="thin">
        <color auto="1"/>
      </top>
      <bottom style="thin">
        <color auto="1"/>
      </bottom>
      <diagonal/>
    </border>
    <border>
      <left style="thin">
        <color auto="1"/>
      </left>
      <right style="medium">
        <color rgb="FFFF0000"/>
      </right>
      <top style="thin">
        <color auto="1"/>
      </top>
      <bottom style="thin">
        <color auto="1"/>
      </bottom>
      <diagonal/>
    </border>
    <border>
      <left/>
      <right style="medium">
        <color rgb="FFFF0000"/>
      </right>
      <top/>
      <bottom/>
      <diagonal/>
    </border>
    <border>
      <left style="medium">
        <color rgb="FFFF0000"/>
      </left>
      <right style="thin">
        <color auto="1"/>
      </right>
      <top style="thin">
        <color auto="1"/>
      </top>
      <bottom style="medium">
        <color rgb="FFFF0000"/>
      </bottom>
      <diagonal/>
    </border>
    <border>
      <left style="thin">
        <color auto="1"/>
      </left>
      <right style="thin">
        <color auto="1"/>
      </right>
      <top style="thin">
        <color auto="1"/>
      </top>
      <bottom style="medium">
        <color rgb="FFFF0000"/>
      </bottom>
      <diagonal/>
    </border>
    <border>
      <left style="thin">
        <color auto="1"/>
      </left>
      <right style="medium">
        <color rgb="FFFF0000"/>
      </right>
      <top style="thin">
        <color auto="1"/>
      </top>
      <bottom style="medium">
        <color rgb="FFFF0000"/>
      </bottom>
      <diagonal/>
    </border>
    <border>
      <left/>
      <right style="medium">
        <color rgb="FFFF0000"/>
      </right>
      <top/>
      <bottom style="medium">
        <color rgb="FFFF0000"/>
      </bottom>
      <diagonal/>
    </border>
    <border>
      <left style="thick">
        <color indexed="64"/>
      </left>
      <right style="thin">
        <color indexed="64"/>
      </right>
      <top style="thick">
        <color indexed="64"/>
      </top>
      <bottom/>
      <diagonal/>
    </border>
    <border>
      <left style="thin">
        <color indexed="64"/>
      </left>
      <right style="thick">
        <color indexed="64"/>
      </right>
      <top style="thick">
        <color indexed="64"/>
      </top>
      <bottom/>
      <diagonal/>
    </border>
    <border>
      <left style="thick">
        <color indexed="64"/>
      </left>
      <right style="thin">
        <color indexed="64"/>
      </right>
      <top/>
      <bottom/>
      <diagonal/>
    </border>
    <border>
      <left style="thin">
        <color indexed="64"/>
      </left>
      <right style="thick">
        <color indexed="64"/>
      </right>
      <top/>
      <bottom/>
      <diagonal/>
    </border>
    <border>
      <left style="double">
        <color indexed="64"/>
      </left>
      <right style="double">
        <color indexed="64"/>
      </right>
      <top style="double">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ck">
        <color indexed="64"/>
      </left>
      <right/>
      <top style="thick">
        <color indexed="64"/>
      </top>
      <bottom style="thick">
        <color indexed="64"/>
      </bottom>
      <diagonal/>
    </border>
    <border>
      <left style="thin">
        <color auto="1"/>
      </left>
      <right style="double">
        <color auto="1"/>
      </right>
      <top style="thin">
        <color auto="1"/>
      </top>
      <bottom style="thin">
        <color auto="1"/>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ck">
        <color indexed="64"/>
      </top>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thin">
        <color indexed="8"/>
      </bottom>
      <diagonal/>
    </border>
    <border>
      <left style="thin">
        <color indexed="64"/>
      </left>
      <right style="thin">
        <color indexed="64"/>
      </right>
      <top style="thin">
        <color indexed="8"/>
      </top>
      <bottom style="thin">
        <color indexed="8"/>
      </bottom>
      <diagonal/>
    </border>
    <border>
      <left style="thin">
        <color indexed="64"/>
      </left>
      <right style="thin">
        <color indexed="64"/>
      </right>
      <top style="thin">
        <color indexed="8"/>
      </top>
      <bottom style="thin">
        <color indexed="64"/>
      </bottom>
      <diagonal/>
    </border>
    <border>
      <left style="thick">
        <color indexed="64"/>
      </left>
      <right/>
      <top style="thin">
        <color indexed="64"/>
      </top>
      <bottom style="medium">
        <color indexed="64"/>
      </bottom>
      <diagonal/>
    </border>
    <border>
      <left style="thin">
        <color indexed="64"/>
      </left>
      <right style="thin">
        <color indexed="64"/>
      </right>
      <top style="thin">
        <color indexed="8"/>
      </top>
      <bottom style="medium">
        <color indexed="8"/>
      </bottom>
      <diagonal/>
    </border>
    <border>
      <left style="thick">
        <color indexed="64"/>
      </left>
      <right/>
      <top style="medium">
        <color indexed="64"/>
      </top>
      <bottom style="medium">
        <color indexed="64"/>
      </bottom>
      <diagonal/>
    </border>
    <border>
      <left style="thin">
        <color indexed="64"/>
      </left>
      <right style="thin">
        <color indexed="64"/>
      </right>
      <top style="medium">
        <color indexed="8"/>
      </top>
      <bottom style="medium">
        <color indexed="64"/>
      </bottom>
      <diagonal/>
    </border>
    <border>
      <left style="thin">
        <color indexed="64"/>
      </left>
      <right/>
      <top/>
      <bottom style="thick">
        <color indexed="64"/>
      </bottom>
      <diagonal/>
    </border>
  </borders>
  <cellStyleXfs count="662">
    <xf numFmtId="0" fontId="0" fillId="0" borderId="0"/>
    <xf numFmtId="0" fontId="32" fillId="2" borderId="0" applyNumberFormat="0" applyBorder="0" applyAlignment="0" applyProtection="0"/>
    <xf numFmtId="0" fontId="32" fillId="2" borderId="0" applyNumberFormat="0" applyBorder="0" applyAlignment="0" applyProtection="0"/>
    <xf numFmtId="0" fontId="32" fillId="2" borderId="0" applyNumberFormat="0" applyBorder="0" applyAlignment="0" applyProtection="0"/>
    <xf numFmtId="0" fontId="32" fillId="2" borderId="0" applyNumberFormat="0" applyBorder="0" applyAlignment="0" applyProtection="0"/>
    <xf numFmtId="0" fontId="32" fillId="2" borderId="0" applyNumberFormat="0" applyBorder="0" applyAlignment="0" applyProtection="0"/>
    <xf numFmtId="0" fontId="32" fillId="2" borderId="0" applyNumberFormat="0" applyBorder="0" applyAlignment="0" applyProtection="0"/>
    <xf numFmtId="0" fontId="32" fillId="2" borderId="0" applyNumberFormat="0" applyBorder="0" applyAlignment="0" applyProtection="0"/>
    <xf numFmtId="0" fontId="32" fillId="2" borderId="0" applyNumberFormat="0" applyBorder="0" applyAlignment="0" applyProtection="0"/>
    <xf numFmtId="0" fontId="32" fillId="2" borderId="0" applyNumberFormat="0" applyBorder="0" applyAlignment="0" applyProtection="0"/>
    <xf numFmtId="0" fontId="32" fillId="2" borderId="0" applyNumberFormat="0" applyBorder="0" applyAlignment="0" applyProtection="0"/>
    <xf numFmtId="0" fontId="32" fillId="2"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7" borderId="0" applyNumberFormat="0" applyBorder="0" applyAlignment="0" applyProtection="0"/>
    <xf numFmtId="0" fontId="32" fillId="7" borderId="0" applyNumberFormat="0" applyBorder="0" applyAlignment="0" applyProtection="0"/>
    <xf numFmtId="0" fontId="32" fillId="7" borderId="0" applyNumberFormat="0" applyBorder="0" applyAlignment="0" applyProtection="0"/>
    <xf numFmtId="0" fontId="32" fillId="7" borderId="0" applyNumberFormat="0" applyBorder="0" applyAlignment="0" applyProtection="0"/>
    <xf numFmtId="0" fontId="32" fillId="7" borderId="0" applyNumberFormat="0" applyBorder="0" applyAlignment="0" applyProtection="0"/>
    <xf numFmtId="0" fontId="32" fillId="7" borderId="0" applyNumberFormat="0" applyBorder="0" applyAlignment="0" applyProtection="0"/>
    <xf numFmtId="0" fontId="32" fillId="7" borderId="0" applyNumberFormat="0" applyBorder="0" applyAlignment="0" applyProtection="0"/>
    <xf numFmtId="0" fontId="32" fillId="7" borderId="0" applyNumberFormat="0" applyBorder="0" applyAlignment="0" applyProtection="0"/>
    <xf numFmtId="0" fontId="32" fillId="7" borderId="0" applyNumberFormat="0" applyBorder="0" applyAlignment="0" applyProtection="0"/>
    <xf numFmtId="0" fontId="32" fillId="7" borderId="0" applyNumberFormat="0" applyBorder="0" applyAlignment="0" applyProtection="0"/>
    <xf numFmtId="0" fontId="32" fillId="7" borderId="0" applyNumberFormat="0" applyBorder="0" applyAlignment="0" applyProtection="0"/>
    <xf numFmtId="49" fontId="28" fillId="0" borderId="1" applyNumberFormat="0" applyFont="0" applyFill="0" applyBorder="0" applyProtection="0">
      <alignment horizontal="left" vertical="center" indent="2"/>
    </xf>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49" fontId="28" fillId="0" borderId="2" applyNumberFormat="0" applyFont="0" applyFill="0" applyBorder="0" applyProtection="0">
      <alignment horizontal="left" vertical="center" indent="5"/>
    </xf>
    <xf numFmtId="0" fontId="33" fillId="12"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4" fillId="3" borderId="0" applyNumberFormat="0" applyBorder="0" applyAlignment="0" applyProtection="0"/>
    <xf numFmtId="0" fontId="34" fillId="3" borderId="0" applyNumberFormat="0" applyBorder="0" applyAlignment="0" applyProtection="0"/>
    <xf numFmtId="0" fontId="34" fillId="3" borderId="0" applyNumberFormat="0" applyBorder="0" applyAlignment="0" applyProtection="0"/>
    <xf numFmtId="0" fontId="34" fillId="3" borderId="0" applyNumberFormat="0" applyBorder="0" applyAlignment="0" applyProtection="0"/>
    <xf numFmtId="0" fontId="34" fillId="3" borderId="0" applyNumberFormat="0" applyBorder="0" applyAlignment="0" applyProtection="0"/>
    <xf numFmtId="0" fontId="34" fillId="3" borderId="0" applyNumberFormat="0" applyBorder="0" applyAlignment="0" applyProtection="0"/>
    <xf numFmtId="0" fontId="34" fillId="3" borderId="0" applyNumberFormat="0" applyBorder="0" applyAlignment="0" applyProtection="0"/>
    <xf numFmtId="0" fontId="34" fillId="3" borderId="0" applyNumberFormat="0" applyBorder="0" applyAlignment="0" applyProtection="0"/>
    <xf numFmtId="0" fontId="34" fillId="3" borderId="0" applyNumberFormat="0" applyBorder="0" applyAlignment="0" applyProtection="0"/>
    <xf numFmtId="0" fontId="34" fillId="3" borderId="0" applyNumberFormat="0" applyBorder="0" applyAlignment="0" applyProtection="0"/>
    <xf numFmtId="0" fontId="34" fillId="3" borderId="0" applyNumberFormat="0" applyBorder="0" applyAlignment="0" applyProtection="0"/>
    <xf numFmtId="4" fontId="29" fillId="0" borderId="3" applyFill="0" applyBorder="0" applyProtection="0">
      <alignment horizontal="right" vertical="center"/>
    </xf>
    <xf numFmtId="0" fontId="35" fillId="20" borderId="4" applyNumberFormat="0" applyAlignment="0" applyProtection="0"/>
    <xf numFmtId="0" fontId="35" fillId="20" borderId="4" applyNumberFormat="0" applyAlignment="0" applyProtection="0"/>
    <xf numFmtId="0" fontId="35" fillId="20" borderId="4" applyNumberFormat="0" applyAlignment="0" applyProtection="0"/>
    <xf numFmtId="0" fontId="35" fillId="20" borderId="4" applyNumberFormat="0" applyAlignment="0" applyProtection="0"/>
    <xf numFmtId="0" fontId="35" fillId="20" borderId="4" applyNumberFormat="0" applyAlignment="0" applyProtection="0"/>
    <xf numFmtId="0" fontId="35" fillId="20" borderId="4" applyNumberFormat="0" applyAlignment="0" applyProtection="0"/>
    <xf numFmtId="0" fontId="35" fillId="20" borderId="4" applyNumberFormat="0" applyAlignment="0" applyProtection="0"/>
    <xf numFmtId="0" fontId="35" fillId="20" borderId="4" applyNumberFormat="0" applyAlignment="0" applyProtection="0"/>
    <xf numFmtId="0" fontId="35" fillId="20" borderId="4" applyNumberFormat="0" applyAlignment="0" applyProtection="0"/>
    <xf numFmtId="0" fontId="35" fillId="20" borderId="4" applyNumberFormat="0" applyAlignment="0" applyProtection="0"/>
    <xf numFmtId="0" fontId="35" fillId="20" borderId="4" applyNumberFormat="0" applyAlignment="0" applyProtection="0"/>
    <xf numFmtId="0" fontId="36" fillId="21" borderId="5" applyNumberFormat="0" applyAlignment="0" applyProtection="0"/>
    <xf numFmtId="0" fontId="36" fillId="21" borderId="5" applyNumberFormat="0" applyAlignment="0" applyProtection="0"/>
    <xf numFmtId="0" fontId="36" fillId="21" borderId="5" applyNumberFormat="0" applyAlignment="0" applyProtection="0"/>
    <xf numFmtId="0" fontId="36" fillId="21" borderId="5" applyNumberFormat="0" applyAlignment="0" applyProtection="0"/>
    <xf numFmtId="0" fontId="36" fillId="21" borderId="5" applyNumberFormat="0" applyAlignment="0" applyProtection="0"/>
    <xf numFmtId="0" fontId="36" fillId="21" borderId="5" applyNumberFormat="0" applyAlignment="0" applyProtection="0"/>
    <xf numFmtId="0" fontId="36" fillId="21" borderId="5" applyNumberFormat="0" applyAlignment="0" applyProtection="0"/>
    <xf numFmtId="0" fontId="36" fillId="21" borderId="5" applyNumberFormat="0" applyAlignment="0" applyProtection="0"/>
    <xf numFmtId="0" fontId="36" fillId="21" borderId="5" applyNumberFormat="0" applyAlignment="0" applyProtection="0"/>
    <xf numFmtId="0" fontId="36" fillId="21" borderId="5" applyNumberFormat="0" applyAlignment="0" applyProtection="0"/>
    <xf numFmtId="0" fontId="36" fillId="21" borderId="5" applyNumberFormat="0" applyAlignment="0" applyProtection="0"/>
    <xf numFmtId="43" fontId="1" fillId="0" borderId="0" applyFont="0" applyFill="0" applyBorder="0" applyAlignment="0" applyProtection="0"/>
    <xf numFmtId="43" fontId="12" fillId="0" borderId="0" applyFont="0" applyFill="0" applyBorder="0" applyAlignment="0" applyProtection="0"/>
    <xf numFmtId="43" fontId="4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8" fillId="22" borderId="0" applyNumberFormat="0" applyAlignment="0">
      <alignment horizontal="right"/>
    </xf>
    <xf numFmtId="0" fontId="12" fillId="22" borderId="0" applyNumberFormat="0" applyAlignment="0">
      <alignment horizontal="right"/>
    </xf>
    <xf numFmtId="0" fontId="12" fillId="22" borderId="0" applyNumberFormat="0" applyAlignment="0">
      <alignment horizontal="right"/>
    </xf>
    <xf numFmtId="0" fontId="12" fillId="23" borderId="0" applyNumberFormat="0" applyAlignment="0"/>
    <xf numFmtId="0" fontId="12" fillId="23" borderId="0" applyNumberFormat="0" applyAlignment="0"/>
    <xf numFmtId="0" fontId="12" fillId="23" borderId="0" applyNumberFormat="0" applyAlignment="0"/>
    <xf numFmtId="0" fontId="12" fillId="23" borderId="0" applyNumberFormat="0" applyAlignment="0"/>
    <xf numFmtId="0" fontId="12" fillId="23" borderId="0" applyNumberFormat="0" applyAlignment="0"/>
    <xf numFmtId="0" fontId="12" fillId="23" borderId="0" applyNumberFormat="0" applyAlignment="0"/>
    <xf numFmtId="0" fontId="12" fillId="23" borderId="0" applyNumberFormat="0" applyAlignment="0"/>
    <xf numFmtId="0" fontId="12" fillId="23" borderId="0" applyNumberFormat="0" applyAlignment="0"/>
    <xf numFmtId="0" fontId="12" fillId="23" borderId="0" applyNumberFormat="0" applyAlignment="0"/>
    <xf numFmtId="0" fontId="12" fillId="23" borderId="0" applyNumberFormat="0" applyAlignment="0"/>
    <xf numFmtId="0" fontId="12" fillId="23" borderId="0" applyNumberFormat="0" applyAlignment="0"/>
    <xf numFmtId="0" fontId="12" fillId="23" borderId="0" applyNumberFormat="0" applyAlignment="0"/>
    <xf numFmtId="0" fontId="12" fillId="23" borderId="0" applyNumberFormat="0" applyAlignment="0"/>
    <xf numFmtId="0" fontId="12" fillId="23" borderId="0" applyNumberFormat="0" applyAlignment="0"/>
    <xf numFmtId="0" fontId="12" fillId="23" borderId="0" applyNumberFormat="0" applyAlignment="0"/>
    <xf numFmtId="0" fontId="12" fillId="23" borderId="0" applyNumberFormat="0" applyAlignment="0"/>
    <xf numFmtId="0" fontId="12" fillId="23" borderId="0" applyNumberFormat="0" applyAlignment="0"/>
    <xf numFmtId="0" fontId="12" fillId="23" borderId="0" applyNumberFormat="0" applyAlignment="0"/>
    <xf numFmtId="0" fontId="12" fillId="23" borderId="0" applyNumberFormat="0" applyAlignment="0"/>
    <xf numFmtId="0" fontId="49" fillId="23" borderId="0" applyNumberFormat="0" applyAlignment="0"/>
    <xf numFmtId="180" fontId="12" fillId="0" borderId="0" applyFont="0" applyFill="0" applyBorder="0" applyAlignment="0" applyProtection="0"/>
    <xf numFmtId="180" fontId="12" fillId="0" borderId="0" applyFont="0" applyFill="0" applyBorder="0" applyAlignment="0" applyProtection="0"/>
    <xf numFmtId="180" fontId="12" fillId="0" borderId="0" applyFont="0" applyFill="0" applyBorder="0" applyAlignment="0" applyProtection="0"/>
    <xf numFmtId="180" fontId="12" fillId="0" borderId="0" applyFont="0" applyFill="0" applyBorder="0" applyAlignment="0" applyProtection="0"/>
    <xf numFmtId="180" fontId="12" fillId="0" borderId="0" applyFont="0" applyFill="0" applyBorder="0" applyAlignment="0" applyProtection="0"/>
    <xf numFmtId="180" fontId="12" fillId="0" borderId="0" applyFont="0" applyFill="0" applyBorder="0" applyAlignment="0" applyProtection="0"/>
    <xf numFmtId="180" fontId="12" fillId="0" borderId="0" applyFont="0" applyFill="0" applyBorder="0" applyAlignment="0" applyProtection="0"/>
    <xf numFmtId="180" fontId="12" fillId="0" borderId="0" applyFont="0" applyFill="0" applyBorder="0" applyAlignment="0" applyProtection="0"/>
    <xf numFmtId="180" fontId="12" fillId="0" borderId="0" applyFont="0" applyFill="0" applyBorder="0" applyAlignment="0" applyProtection="0"/>
    <xf numFmtId="180" fontId="12" fillId="0" borderId="0" applyFont="0" applyFill="0" applyBorder="0" applyAlignment="0" applyProtection="0"/>
    <xf numFmtId="180" fontId="12" fillId="0" borderId="0" applyFont="0" applyFill="0" applyBorder="0" applyAlignment="0" applyProtection="0"/>
    <xf numFmtId="180" fontId="12" fillId="0" borderId="0" applyFont="0" applyFill="0" applyBorder="0" applyAlignment="0" applyProtection="0"/>
    <xf numFmtId="180" fontId="12" fillId="0" borderId="0" applyFont="0" applyFill="0" applyBorder="0" applyAlignment="0" applyProtection="0"/>
    <xf numFmtId="180" fontId="12" fillId="0" borderId="0" applyFont="0" applyFill="0" applyBorder="0" applyAlignment="0" applyProtection="0"/>
    <xf numFmtId="180" fontId="12" fillId="0" borderId="0" applyFont="0" applyFill="0" applyBorder="0" applyAlignment="0" applyProtection="0"/>
    <xf numFmtId="180" fontId="12" fillId="0" borderId="0" applyFont="0" applyFill="0" applyBorder="0" applyAlignment="0" applyProtection="0"/>
    <xf numFmtId="180" fontId="12" fillId="0" borderId="0" applyFont="0" applyFill="0" applyBorder="0" applyAlignment="0" applyProtection="0"/>
    <xf numFmtId="180" fontId="12" fillId="0" borderId="0" applyFont="0" applyFill="0" applyBorder="0" applyAlignment="0" applyProtection="0"/>
    <xf numFmtId="180" fontId="12" fillId="0" borderId="0" applyFon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1" fillId="0" borderId="8" applyNumberFormat="0" applyFill="0" applyAlignment="0" applyProtection="0"/>
    <xf numFmtId="0" fontId="41" fillId="0" borderId="8" applyNumberFormat="0" applyFill="0" applyAlignment="0" applyProtection="0"/>
    <xf numFmtId="0" fontId="41" fillId="0" borderId="8" applyNumberFormat="0" applyFill="0" applyAlignment="0" applyProtection="0"/>
    <xf numFmtId="0" fontId="41" fillId="0" borderId="8" applyNumberFormat="0" applyFill="0" applyAlignment="0" applyProtection="0"/>
    <xf numFmtId="0" fontId="41" fillId="0" borderId="8" applyNumberFormat="0" applyFill="0" applyAlignment="0" applyProtection="0"/>
    <xf numFmtId="0" fontId="41" fillId="0" borderId="8" applyNumberFormat="0" applyFill="0" applyAlignment="0" applyProtection="0"/>
    <xf numFmtId="0" fontId="41" fillId="0" borderId="8" applyNumberFormat="0" applyFill="0" applyAlignment="0" applyProtection="0"/>
    <xf numFmtId="0" fontId="41" fillId="0" borderId="8" applyNumberFormat="0" applyFill="0" applyAlignment="0" applyProtection="0"/>
    <xf numFmtId="0" fontId="41" fillId="0" borderId="8" applyNumberFormat="0" applyFill="0" applyAlignment="0" applyProtection="0"/>
    <xf numFmtId="0" fontId="41" fillId="0" borderId="8" applyNumberFormat="0" applyFill="0" applyAlignment="0" applyProtection="0"/>
    <xf numFmtId="0" fontId="41" fillId="0" borderId="8" applyNumberFormat="0" applyFill="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30" fillId="0" borderId="0" applyNumberFormat="0" applyFill="0" applyBorder="0" applyAlignment="0" applyProtection="0"/>
    <xf numFmtId="0" fontId="52" fillId="0" borderId="0" applyNumberFormat="0" applyFill="0" applyBorder="0" applyAlignment="0" applyProtection="0">
      <alignment vertical="top"/>
      <protection locked="0"/>
    </xf>
    <xf numFmtId="0" fontId="42" fillId="7" borderId="4" applyNumberFormat="0" applyAlignment="0" applyProtection="0"/>
    <xf numFmtId="0" fontId="42" fillId="7" borderId="4" applyNumberFormat="0" applyAlignment="0" applyProtection="0"/>
    <xf numFmtId="0" fontId="42" fillId="7" borderId="4" applyNumberFormat="0" applyAlignment="0" applyProtection="0"/>
    <xf numFmtId="0" fontId="42" fillId="7" borderId="4" applyNumberFormat="0" applyAlignment="0" applyProtection="0"/>
    <xf numFmtId="0" fontId="42" fillId="7" borderId="4" applyNumberFormat="0" applyAlignment="0" applyProtection="0"/>
    <xf numFmtId="0" fontId="42" fillId="7" borderId="4" applyNumberFormat="0" applyAlignment="0" applyProtection="0"/>
    <xf numFmtId="0" fontId="42" fillId="7" borderId="4" applyNumberFormat="0" applyAlignment="0" applyProtection="0"/>
    <xf numFmtId="0" fontId="42" fillId="7" borderId="4" applyNumberFormat="0" applyAlignment="0" applyProtection="0"/>
    <xf numFmtId="0" fontId="42" fillId="7" borderId="4" applyNumberFormat="0" applyAlignment="0" applyProtection="0"/>
    <xf numFmtId="0" fontId="42" fillId="7" borderId="4" applyNumberFormat="0" applyAlignment="0" applyProtection="0"/>
    <xf numFmtId="0" fontId="42" fillId="7" borderId="4" applyNumberFormat="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4" fillId="24" borderId="0" applyNumberFormat="0" applyBorder="0" applyAlignment="0" applyProtection="0"/>
    <xf numFmtId="0" fontId="44" fillId="24" borderId="0" applyNumberFormat="0" applyBorder="0" applyAlignment="0" applyProtection="0"/>
    <xf numFmtId="0" fontId="44" fillId="24" borderId="0" applyNumberFormat="0" applyBorder="0" applyAlignment="0" applyProtection="0"/>
    <xf numFmtId="0" fontId="44" fillId="24" borderId="0" applyNumberFormat="0" applyBorder="0" applyAlignment="0" applyProtection="0"/>
    <xf numFmtId="0" fontId="44" fillId="24" borderId="0" applyNumberFormat="0" applyBorder="0" applyAlignment="0" applyProtection="0"/>
    <xf numFmtId="0" fontId="44" fillId="24" borderId="0" applyNumberFormat="0" applyBorder="0" applyAlignment="0" applyProtection="0"/>
    <xf numFmtId="0" fontId="44" fillId="24" borderId="0" applyNumberFormat="0" applyBorder="0" applyAlignment="0" applyProtection="0"/>
    <xf numFmtId="0" fontId="44" fillId="24" borderId="0" applyNumberFormat="0" applyBorder="0" applyAlignment="0" applyProtection="0"/>
    <xf numFmtId="0" fontId="44" fillId="24" borderId="0" applyNumberFormat="0" applyBorder="0" applyAlignment="0" applyProtection="0"/>
    <xf numFmtId="0" fontId="44" fillId="24" borderId="0" applyNumberFormat="0" applyBorder="0" applyAlignment="0" applyProtection="0"/>
    <xf numFmtId="0" fontId="44" fillId="24" borderId="0" applyNumberFormat="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12" fillId="0" borderId="0"/>
    <xf numFmtId="0" fontId="12" fillId="0" borderId="0"/>
    <xf numFmtId="0" fontId="12" fillId="0" borderId="0"/>
    <xf numFmtId="0" fontId="32" fillId="0" borderId="0"/>
    <xf numFmtId="0" fontId="32" fillId="0" borderId="0"/>
    <xf numFmtId="0" fontId="32" fillId="0" borderId="0"/>
    <xf numFmtId="0" fontId="32" fillId="0" borderId="0"/>
    <xf numFmtId="0" fontId="32" fillId="0" borderId="0"/>
    <xf numFmtId="0" fontId="32" fillId="0" borderId="0"/>
    <xf numFmtId="0" fontId="49" fillId="0" borderId="0"/>
    <xf numFmtId="0" fontId="32" fillId="0" borderId="0"/>
    <xf numFmtId="0" fontId="50" fillId="0" borderId="0"/>
    <xf numFmtId="0" fontId="50" fillId="0" borderId="0"/>
    <xf numFmtId="0" fontId="26" fillId="0" borderId="0"/>
    <xf numFmtId="0" fontId="12" fillId="0" borderId="0"/>
    <xf numFmtId="0" fontId="32" fillId="0" borderId="0"/>
    <xf numFmtId="0" fontId="12" fillId="0" borderId="0"/>
    <xf numFmtId="0" fontId="32" fillId="0" borderId="0"/>
    <xf numFmtId="0" fontId="32" fillId="0" borderId="0"/>
    <xf numFmtId="0" fontId="12" fillId="0" borderId="0"/>
    <xf numFmtId="0" fontId="32" fillId="0" borderId="0"/>
    <xf numFmtId="0" fontId="32" fillId="0" borderId="0"/>
    <xf numFmtId="0" fontId="32" fillId="0" borderId="0"/>
    <xf numFmtId="0" fontId="12" fillId="0" borderId="0"/>
    <xf numFmtId="0" fontId="12" fillId="0" borderId="0"/>
    <xf numFmtId="0" fontId="12" fillId="0" borderId="0"/>
    <xf numFmtId="0" fontId="12" fillId="0" borderId="0"/>
    <xf numFmtId="0" fontId="12" fillId="0" borderId="0"/>
    <xf numFmtId="0" fontId="32" fillId="0" borderId="0"/>
    <xf numFmtId="0" fontId="50" fillId="0" borderId="0"/>
    <xf numFmtId="0" fontId="50" fillId="0" borderId="0"/>
    <xf numFmtId="0" fontId="12" fillId="0" borderId="0"/>
    <xf numFmtId="0" fontId="32" fillId="0" borderId="0"/>
    <xf numFmtId="0" fontId="12" fillId="0" borderId="0"/>
    <xf numFmtId="0" fontId="12" fillId="0" borderId="0"/>
    <xf numFmtId="0" fontId="12" fillId="0" borderId="0"/>
    <xf numFmtId="0" fontId="32" fillId="0" borderId="0"/>
    <xf numFmtId="0" fontId="12" fillId="0" borderId="0"/>
    <xf numFmtId="0" fontId="12" fillId="0" borderId="0"/>
    <xf numFmtId="0" fontId="1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 fontId="28" fillId="0" borderId="1" applyFill="0" applyBorder="0" applyProtection="0">
      <alignment horizontal="right" vertical="center"/>
    </xf>
    <xf numFmtId="49" fontId="29" fillId="0" borderId="1" applyNumberFormat="0" applyFill="0" applyBorder="0" applyProtection="0">
      <alignment horizontal="left" vertical="center"/>
    </xf>
    <xf numFmtId="0" fontId="28" fillId="0" borderId="1" applyNumberFormat="0" applyFill="0" applyAlignment="0" applyProtection="0"/>
    <xf numFmtId="0" fontId="31" fillId="25" borderId="0" applyNumberFormat="0" applyFont="0" applyBorder="0" applyAlignment="0" applyProtection="0"/>
    <xf numFmtId="0" fontId="63" fillId="0" borderId="0"/>
    <xf numFmtId="0" fontId="1" fillId="0" borderId="0"/>
    <xf numFmtId="0" fontId="12" fillId="0" borderId="0"/>
    <xf numFmtId="0" fontId="63" fillId="0" borderId="0" applyBorder="0"/>
    <xf numFmtId="0" fontId="12" fillId="0" borderId="0"/>
    <xf numFmtId="0" fontId="12" fillId="0" borderId="0"/>
    <xf numFmtId="164" fontId="7" fillId="0" borderId="0"/>
    <xf numFmtId="0" fontId="149" fillId="0" borderId="0"/>
    <xf numFmtId="0" fontId="12" fillId="0" borderId="0"/>
    <xf numFmtId="0" fontId="1" fillId="0" borderId="0"/>
    <xf numFmtId="0" fontId="1" fillId="0" borderId="0"/>
    <xf numFmtId="0" fontId="63" fillId="0" borderId="0" applyBorder="0"/>
    <xf numFmtId="0" fontId="5" fillId="0" borderId="0"/>
    <xf numFmtId="0" fontId="133" fillId="0" borderId="0"/>
    <xf numFmtId="0" fontId="5" fillId="26" borderId="10" applyNumberFormat="0" applyFont="0" applyAlignment="0" applyProtection="0"/>
    <xf numFmtId="0" fontId="5" fillId="26" borderId="10" applyNumberFormat="0" applyFont="0" applyAlignment="0" applyProtection="0"/>
    <xf numFmtId="0" fontId="5" fillId="26" borderId="10" applyNumberFormat="0" applyFont="0" applyAlignment="0" applyProtection="0"/>
    <xf numFmtId="0" fontId="5" fillId="26" borderId="10" applyNumberFormat="0" applyFont="0" applyAlignment="0" applyProtection="0"/>
    <xf numFmtId="0" fontId="32" fillId="26" borderId="10" applyNumberFormat="0" applyFont="0" applyAlignment="0" applyProtection="0"/>
    <xf numFmtId="0" fontId="5" fillId="26" borderId="10" applyNumberFormat="0" applyFont="0" applyAlignment="0" applyProtection="0"/>
    <xf numFmtId="0" fontId="32" fillId="26" borderId="10" applyNumberFormat="0" applyFont="0" applyAlignment="0" applyProtection="0"/>
    <xf numFmtId="0" fontId="5" fillId="26" borderId="10" applyNumberFormat="0" applyFont="0" applyAlignment="0" applyProtection="0"/>
    <xf numFmtId="0" fontId="5" fillId="26" borderId="10" applyNumberFormat="0" applyFont="0" applyAlignment="0" applyProtection="0"/>
    <xf numFmtId="0" fontId="32" fillId="26" borderId="10" applyNumberFormat="0" applyFont="0" applyAlignment="0" applyProtection="0"/>
    <xf numFmtId="0" fontId="5" fillId="26" borderId="10" applyNumberFormat="0" applyFont="0" applyAlignment="0" applyProtection="0"/>
    <xf numFmtId="0" fontId="45" fillId="20" borderId="11" applyNumberFormat="0" applyAlignment="0" applyProtection="0"/>
    <xf numFmtId="0" fontId="45" fillId="20" borderId="11" applyNumberFormat="0" applyAlignment="0" applyProtection="0"/>
    <xf numFmtId="0" fontId="45" fillId="20" borderId="11" applyNumberFormat="0" applyAlignment="0" applyProtection="0"/>
    <xf numFmtId="0" fontId="45" fillId="20" borderId="11" applyNumberFormat="0" applyAlignment="0" applyProtection="0"/>
    <xf numFmtId="0" fontId="45" fillId="20" borderId="11" applyNumberFormat="0" applyAlignment="0" applyProtection="0"/>
    <xf numFmtId="0" fontId="45" fillId="20" borderId="11" applyNumberFormat="0" applyAlignment="0" applyProtection="0"/>
    <xf numFmtId="0" fontId="45" fillId="20" borderId="11" applyNumberFormat="0" applyAlignment="0" applyProtection="0"/>
    <xf numFmtId="0" fontId="45" fillId="20" borderId="11" applyNumberFormat="0" applyAlignment="0" applyProtection="0"/>
    <xf numFmtId="0" fontId="45" fillId="20" borderId="11" applyNumberFormat="0" applyAlignment="0" applyProtection="0"/>
    <xf numFmtId="0" fontId="45" fillId="20" borderId="11" applyNumberFormat="0" applyAlignment="0" applyProtection="0"/>
    <xf numFmtId="0" fontId="45" fillId="20" borderId="11" applyNumberFormat="0" applyAlignment="0" applyProtection="0"/>
    <xf numFmtId="175" fontId="28" fillId="27" borderId="1" applyNumberFormat="0" applyFont="0" applyBorder="0" applyAlignment="0" applyProtection="0">
      <alignment horizontal="right" vertical="center"/>
    </xf>
    <xf numFmtId="9" fontId="1" fillId="0" borderId="0" applyFont="0" applyFill="0" applyBorder="0" applyAlignment="0" applyProtection="0"/>
    <xf numFmtId="9" fontId="49" fillId="0" borderId="0" applyFont="0" applyFill="0" applyBorder="0" applyAlignment="0" applyProtection="0"/>
    <xf numFmtId="0" fontId="51" fillId="0" borderId="0" applyNumberFormat="0" applyFill="0" applyBorder="0">
      <alignment horizontal="center" wrapText="1"/>
    </xf>
    <xf numFmtId="0" fontId="6" fillId="0" borderId="0" applyNumberFormat="0" applyFill="0" applyBorder="0">
      <alignment horizontal="center" wrapText="1"/>
    </xf>
    <xf numFmtId="0" fontId="6" fillId="0" borderId="0" applyNumberFormat="0" applyFill="0" applyBorder="0">
      <alignment horizontal="center" wrapText="1"/>
    </xf>
    <xf numFmtId="0" fontId="6" fillId="0" borderId="0" applyNumberFormat="0" applyFill="0" applyBorder="0">
      <alignment horizontal="center" wrapText="1"/>
    </xf>
    <xf numFmtId="0" fontId="6" fillId="0" borderId="0" applyNumberFormat="0" applyFill="0" applyBorder="0">
      <alignment horizontal="center" wrapText="1"/>
    </xf>
    <xf numFmtId="0" fontId="6" fillId="0" borderId="0" applyNumberFormat="0" applyFill="0" applyBorder="0">
      <alignment horizontal="center" wrapText="1"/>
    </xf>
    <xf numFmtId="0" fontId="6" fillId="0" borderId="0" applyNumberFormat="0" applyFill="0" applyBorder="0">
      <alignment horizontal="center" wrapText="1"/>
    </xf>
    <xf numFmtId="0" fontId="6" fillId="0" borderId="0" applyNumberFormat="0" applyFill="0" applyBorder="0">
      <alignment horizontal="center" wrapText="1"/>
    </xf>
    <xf numFmtId="0" fontId="6" fillId="0" borderId="0" applyNumberFormat="0" applyFill="0" applyBorder="0">
      <alignment horizontal="center" wrapText="1"/>
    </xf>
    <xf numFmtId="0" fontId="6" fillId="0" borderId="0" applyNumberFormat="0" applyFill="0" applyBorder="0">
      <alignment horizontal="center" wrapText="1"/>
    </xf>
    <xf numFmtId="0" fontId="6" fillId="0" borderId="0" applyNumberFormat="0" applyFill="0" applyBorder="0">
      <alignment horizontal="center" wrapText="1"/>
    </xf>
    <xf numFmtId="0" fontId="6" fillId="0" borderId="0" applyNumberFormat="0" applyFill="0" applyBorder="0">
      <alignment horizontal="center" wrapText="1"/>
    </xf>
    <xf numFmtId="0" fontId="6" fillId="0" borderId="0" applyNumberFormat="0" applyFill="0" applyBorder="0">
      <alignment horizontal="center" wrapText="1"/>
    </xf>
    <xf numFmtId="0" fontId="6" fillId="0" borderId="0" applyNumberFormat="0" applyFill="0" applyBorder="0">
      <alignment horizontal="center" wrapText="1"/>
    </xf>
    <xf numFmtId="0" fontId="51" fillId="0" borderId="0" applyNumberFormat="0" applyFill="0" applyBorder="0">
      <alignment horizontal="center" wrapText="1"/>
    </xf>
    <xf numFmtId="0" fontId="6" fillId="0" borderId="0" applyNumberFormat="0" applyFill="0" applyBorder="0">
      <alignment horizontal="center" wrapText="1"/>
    </xf>
    <xf numFmtId="0" fontId="6" fillId="0" borderId="0" applyNumberFormat="0" applyFill="0" applyBorder="0">
      <alignment horizontal="center" wrapText="1"/>
    </xf>
    <xf numFmtId="0" fontId="6" fillId="0" borderId="0" applyNumberFormat="0" applyFill="0" applyBorder="0">
      <alignment horizontal="center" wrapText="1"/>
    </xf>
    <xf numFmtId="0" fontId="6" fillId="0" borderId="0" applyNumberFormat="0" applyFill="0" applyBorder="0">
      <alignment horizontal="center" wrapText="1"/>
    </xf>
    <xf numFmtId="0" fontId="6" fillId="0" borderId="0" applyNumberFormat="0" applyFill="0" applyBorder="0">
      <alignment horizontal="center" wrapText="1"/>
    </xf>
    <xf numFmtId="0" fontId="6" fillId="0" borderId="0" applyNumberFormat="0" applyFill="0" applyBorder="0">
      <alignment horizontal="center" wrapText="1"/>
    </xf>
    <xf numFmtId="0" fontId="6" fillId="0" borderId="0" applyNumberFormat="0" applyFill="0" applyBorder="0">
      <alignment horizontal="center" wrapText="1"/>
    </xf>
    <xf numFmtId="0" fontId="6" fillId="0" borderId="0" applyNumberFormat="0" applyFill="0" applyBorder="0">
      <alignment horizontal="center" wrapText="1"/>
    </xf>
    <xf numFmtId="0" fontId="6" fillId="0" borderId="0" applyNumberFormat="0" applyFill="0" applyBorder="0">
      <alignment horizontal="center" wrapText="1"/>
    </xf>
    <xf numFmtId="0" fontId="6" fillId="0" borderId="0" applyNumberFormat="0" applyFill="0" applyBorder="0">
      <alignment horizontal="center" wrapText="1"/>
    </xf>
    <xf numFmtId="0" fontId="6" fillId="0" borderId="0" applyNumberFormat="0" applyFill="0" applyBorder="0">
      <alignment horizontal="center" wrapText="1"/>
    </xf>
    <xf numFmtId="0" fontId="6" fillId="0" borderId="0" applyNumberFormat="0" applyFill="0" applyBorder="0">
      <alignment horizontal="center" wrapText="1"/>
    </xf>
    <xf numFmtId="0" fontId="6" fillId="0" borderId="0" applyNumberFormat="0" applyFill="0" applyBorder="0">
      <alignment horizontal="center" wrapText="1"/>
    </xf>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202" fillId="0" borderId="0" applyNumberFormat="0" applyFill="0" applyBorder="0" applyAlignment="0" applyProtection="0">
      <alignment vertical="top"/>
      <protection locked="0"/>
    </xf>
    <xf numFmtId="0" fontId="232" fillId="0" borderId="0"/>
  </cellStyleXfs>
  <cellXfs count="3590">
    <xf numFmtId="0" fontId="0" fillId="0" borderId="0" xfId="0"/>
    <xf numFmtId="0" fontId="1" fillId="0" borderId="0" xfId="0" applyFont="1"/>
    <xf numFmtId="0" fontId="6" fillId="0" borderId="0" xfId="0" applyFont="1"/>
    <xf numFmtId="0" fontId="0" fillId="0" borderId="13" xfId="0" applyBorder="1"/>
    <xf numFmtId="0" fontId="0" fillId="0" borderId="0" xfId="0" applyBorder="1"/>
    <xf numFmtId="0" fontId="0" fillId="0" borderId="0" xfId="0" applyFill="1" applyBorder="1"/>
    <xf numFmtId="0" fontId="0" fillId="0" borderId="15" xfId="0" applyBorder="1"/>
    <xf numFmtId="0" fontId="0" fillId="0" borderId="16" xfId="0" applyBorder="1"/>
    <xf numFmtId="0" fontId="0" fillId="0" borderId="17" xfId="0" applyBorder="1"/>
    <xf numFmtId="0" fontId="0" fillId="0" borderId="0" xfId="0" applyAlignment="1">
      <alignment horizontal="center"/>
    </xf>
    <xf numFmtId="0" fontId="12" fillId="0" borderId="0" xfId="0" applyFont="1"/>
    <xf numFmtId="3" fontId="0" fillId="0" borderId="0" xfId="0" applyNumberFormat="1"/>
    <xf numFmtId="0" fontId="1" fillId="0" borderId="0" xfId="0" applyFont="1" applyFill="1" applyBorder="1"/>
    <xf numFmtId="3" fontId="0" fillId="0" borderId="0" xfId="0" applyNumberFormat="1" applyAlignment="1">
      <alignment horizontal="center"/>
    </xf>
    <xf numFmtId="43" fontId="0" fillId="0" borderId="0" xfId="0" applyNumberFormat="1"/>
    <xf numFmtId="0" fontId="6" fillId="0" borderId="0" xfId="0" applyFont="1" applyFill="1"/>
    <xf numFmtId="0" fontId="0" fillId="0" borderId="0" xfId="0" applyFill="1"/>
    <xf numFmtId="0" fontId="1" fillId="0" borderId="0" xfId="0" applyFont="1" applyBorder="1"/>
    <xf numFmtId="0" fontId="1" fillId="0" borderId="0" xfId="0" applyFont="1" applyFill="1"/>
    <xf numFmtId="0" fontId="0" fillId="28" borderId="0" xfId="0" applyFill="1"/>
    <xf numFmtId="0" fontId="12" fillId="0" borderId="1" xfId="0" applyFont="1" applyBorder="1"/>
    <xf numFmtId="4" fontId="0" fillId="0" borderId="0" xfId="0" applyNumberFormat="1"/>
    <xf numFmtId="0" fontId="0" fillId="0" borderId="18" xfId="0" applyBorder="1"/>
    <xf numFmtId="0" fontId="0" fillId="0" borderId="19" xfId="0" applyBorder="1"/>
    <xf numFmtId="0" fontId="0" fillId="0" borderId="20" xfId="0" applyBorder="1"/>
    <xf numFmtId="0" fontId="0" fillId="0" borderId="21" xfId="0" applyBorder="1"/>
    <xf numFmtId="0" fontId="0" fillId="0" borderId="22" xfId="0" applyBorder="1"/>
    <xf numFmtId="0" fontId="0" fillId="0" borderId="23" xfId="0" applyBorder="1"/>
    <xf numFmtId="0" fontId="0" fillId="0" borderId="24" xfId="0" applyBorder="1"/>
    <xf numFmtId="0" fontId="56" fillId="0" borderId="0" xfId="0" applyFont="1"/>
    <xf numFmtId="173" fontId="0" fillId="0" borderId="0" xfId="301" applyNumberFormat="1" applyFont="1" applyFill="1" applyBorder="1"/>
    <xf numFmtId="0" fontId="0" fillId="0" borderId="0" xfId="0" applyFill="1" applyBorder="1" applyAlignment="1">
      <alignment horizontal="center"/>
    </xf>
    <xf numFmtId="0" fontId="6" fillId="0" borderId="31" xfId="0" applyFont="1" applyBorder="1"/>
    <xf numFmtId="0" fontId="12" fillId="0" borderId="35" xfId="0" applyFont="1" applyBorder="1"/>
    <xf numFmtId="173" fontId="12" fillId="0" borderId="1" xfId="301" applyNumberFormat="1" applyFont="1" applyBorder="1"/>
    <xf numFmtId="0" fontId="0" fillId="0" borderId="35" xfId="0" applyBorder="1"/>
    <xf numFmtId="0" fontId="6" fillId="0" borderId="1" xfId="0" applyFont="1" applyBorder="1"/>
    <xf numFmtId="0" fontId="6" fillId="0" borderId="35" xfId="0" applyFont="1" applyBorder="1"/>
    <xf numFmtId="0" fontId="0" fillId="0" borderId="1" xfId="0" applyBorder="1"/>
    <xf numFmtId="0" fontId="0" fillId="0" borderId="37" xfId="0" applyBorder="1"/>
    <xf numFmtId="0" fontId="0" fillId="0" borderId="38" xfId="0" applyBorder="1"/>
    <xf numFmtId="0" fontId="0" fillId="0" borderId="39" xfId="0" applyBorder="1"/>
    <xf numFmtId="0" fontId="59" fillId="0" borderId="0" xfId="0" applyFont="1" applyFill="1"/>
    <xf numFmtId="0" fontId="61" fillId="0" borderId="0" xfId="0" applyFont="1" applyFill="1"/>
    <xf numFmtId="0" fontId="64" fillId="0" borderId="0" xfId="0" applyFont="1" applyFill="1"/>
    <xf numFmtId="0" fontId="3" fillId="0" borderId="0" xfId="0" applyFont="1" applyFill="1"/>
    <xf numFmtId="0" fontId="14" fillId="0" borderId="0" xfId="0" applyFont="1" applyFill="1" applyBorder="1" applyAlignment="1">
      <alignment horizontal="center"/>
    </xf>
    <xf numFmtId="171" fontId="66" fillId="0" borderId="0" xfId="0" applyNumberFormat="1" applyFont="1" applyBorder="1"/>
    <xf numFmtId="0" fontId="69" fillId="0" borderId="0" xfId="0" applyFont="1"/>
    <xf numFmtId="0" fontId="71" fillId="0" borderId="0" xfId="0" applyFont="1"/>
    <xf numFmtId="173" fontId="0" fillId="0" borderId="1" xfId="0" applyNumberFormat="1" applyBorder="1"/>
    <xf numFmtId="0" fontId="73" fillId="0" borderId="0" xfId="0" applyFont="1"/>
    <xf numFmtId="173" fontId="0" fillId="0" borderId="0" xfId="0" applyNumberFormat="1"/>
    <xf numFmtId="0" fontId="64" fillId="29" borderId="0" xfId="0" applyFont="1" applyFill="1"/>
    <xf numFmtId="0" fontId="1" fillId="29" borderId="0" xfId="0" applyFont="1" applyFill="1"/>
    <xf numFmtId="0" fontId="0" fillId="0" borderId="40" xfId="0" applyFill="1" applyBorder="1"/>
    <xf numFmtId="0" fontId="1" fillId="0" borderId="0" xfId="0" quotePrefix="1" applyFont="1" applyFill="1" applyBorder="1" applyAlignment="1">
      <alignment horizontal="center"/>
    </xf>
    <xf numFmtId="170" fontId="13" fillId="0" borderId="0" xfId="0" applyNumberFormat="1" applyFont="1" applyFill="1" applyBorder="1"/>
    <xf numFmtId="0" fontId="0" fillId="29" borderId="0" xfId="0" applyFill="1"/>
    <xf numFmtId="0" fontId="59" fillId="29" borderId="0" xfId="0" applyFont="1" applyFill="1"/>
    <xf numFmtId="173" fontId="13" fillId="0" borderId="1" xfId="301" applyNumberFormat="1" applyFont="1" applyFill="1" applyBorder="1"/>
    <xf numFmtId="173" fontId="13" fillId="0" borderId="0" xfId="301" applyNumberFormat="1" applyFont="1" applyFill="1" applyBorder="1" applyAlignment="1">
      <alignment horizontal="center"/>
    </xf>
    <xf numFmtId="171" fontId="13" fillId="0" borderId="0" xfId="0" applyNumberFormat="1" applyFont="1" applyFill="1" applyBorder="1"/>
    <xf numFmtId="0" fontId="1" fillId="0" borderId="0" xfId="0" applyFont="1" applyFill="1" applyBorder="1" applyAlignment="1">
      <alignment horizontal="center"/>
    </xf>
    <xf numFmtId="170" fontId="17" fillId="0" borderId="0" xfId="0" applyNumberFormat="1" applyFont="1" applyFill="1" applyBorder="1"/>
    <xf numFmtId="171" fontId="17" fillId="0" borderId="0" xfId="0" applyNumberFormat="1" applyFont="1" applyFill="1" applyBorder="1"/>
    <xf numFmtId="0" fontId="64" fillId="28" borderId="0" xfId="0" applyFont="1" applyFill="1"/>
    <xf numFmtId="0" fontId="59" fillId="28" borderId="0" xfId="0" applyFont="1" applyFill="1"/>
    <xf numFmtId="168" fontId="13" fillId="0" borderId="0" xfId="301" applyNumberFormat="1" applyFont="1" applyFill="1" applyBorder="1"/>
    <xf numFmtId="168" fontId="22" fillId="0" borderId="0" xfId="0" applyNumberFormat="1" applyFont="1" applyFill="1" applyBorder="1"/>
    <xf numFmtId="0" fontId="64" fillId="29" borderId="19" xfId="0" applyFont="1" applyFill="1" applyBorder="1"/>
    <xf numFmtId="0" fontId="1" fillId="29" borderId="43" xfId="0" applyFont="1" applyFill="1" applyBorder="1"/>
    <xf numFmtId="0" fontId="64" fillId="29" borderId="43" xfId="0" applyFont="1" applyFill="1" applyBorder="1"/>
    <xf numFmtId="0" fontId="64" fillId="0" borderId="43" xfId="0" applyFont="1" applyFill="1" applyBorder="1"/>
    <xf numFmtId="0" fontId="1" fillId="0" borderId="43" xfId="0" applyFont="1" applyFill="1" applyBorder="1"/>
    <xf numFmtId="0" fontId="1" fillId="0" borderId="44" xfId="0" applyFont="1" applyFill="1" applyBorder="1"/>
    <xf numFmtId="0" fontId="1" fillId="0" borderId="20" xfId="0" applyFont="1" applyBorder="1"/>
    <xf numFmtId="0" fontId="1" fillId="0" borderId="21" xfId="0" applyFont="1" applyBorder="1"/>
    <xf numFmtId="0" fontId="1" fillId="0" borderId="57" xfId="0" applyFont="1" applyFill="1" applyBorder="1"/>
    <xf numFmtId="0" fontId="14" fillId="0" borderId="0" xfId="0" applyFont="1" applyFill="1" applyAlignment="1">
      <alignment horizontal="center"/>
    </xf>
    <xf numFmtId="0" fontId="13" fillId="0" borderId="0" xfId="0" applyFont="1" applyFill="1" applyAlignment="1">
      <alignment horizontal="center"/>
    </xf>
    <xf numFmtId="0" fontId="1" fillId="0" borderId="22" xfId="0" applyFont="1" applyBorder="1"/>
    <xf numFmtId="173" fontId="1" fillId="0" borderId="23" xfId="0" applyNumberFormat="1" applyFont="1" applyBorder="1"/>
    <xf numFmtId="0" fontId="1" fillId="0" borderId="23" xfId="0" applyFont="1" applyBorder="1"/>
    <xf numFmtId="0" fontId="1" fillId="0" borderId="69" xfId="0" applyFont="1" applyFill="1" applyBorder="1"/>
    <xf numFmtId="0" fontId="13" fillId="0" borderId="0" xfId="0" applyFont="1" applyFill="1" applyBorder="1" applyAlignment="1">
      <alignment horizontal="center"/>
    </xf>
    <xf numFmtId="0" fontId="1" fillId="0" borderId="74" xfId="0" applyFont="1" applyFill="1" applyBorder="1"/>
    <xf numFmtId="171" fontId="1" fillId="0" borderId="75" xfId="0" applyNumberFormat="1" applyFont="1" applyBorder="1"/>
    <xf numFmtId="171" fontId="1" fillId="0" borderId="76" xfId="0" applyNumberFormat="1" applyFont="1" applyBorder="1"/>
    <xf numFmtId="0" fontId="1" fillId="0" borderId="55" xfId="0" applyFont="1" applyBorder="1"/>
    <xf numFmtId="0" fontId="1" fillId="0" borderId="51" xfId="0" applyFont="1" applyBorder="1"/>
    <xf numFmtId="173" fontId="25" fillId="0" borderId="1" xfId="301" applyNumberFormat="1" applyFont="1" applyFill="1" applyBorder="1" applyProtection="1">
      <protection locked="0"/>
    </xf>
    <xf numFmtId="9" fontId="25" fillId="0" borderId="1" xfId="597" applyFont="1" applyFill="1" applyBorder="1" applyAlignment="1">
      <alignment horizontal="center"/>
    </xf>
    <xf numFmtId="2" fontId="25" fillId="0" borderId="1" xfId="0" applyNumberFormat="1" applyFont="1" applyFill="1" applyBorder="1" applyAlignment="1">
      <alignment horizontal="center"/>
    </xf>
    <xf numFmtId="166" fontId="25" fillId="0" borderId="1" xfId="597" applyNumberFormat="1" applyFont="1" applyFill="1" applyBorder="1" applyAlignment="1">
      <alignment horizontal="center"/>
    </xf>
    <xf numFmtId="0" fontId="53" fillId="0" borderId="0" xfId="0" applyFont="1"/>
    <xf numFmtId="0" fontId="0" fillId="0" borderId="80" xfId="0" applyBorder="1"/>
    <xf numFmtId="0" fontId="0" fillId="0" borderId="81" xfId="0" applyBorder="1"/>
    <xf numFmtId="179" fontId="61" fillId="0" borderId="1" xfId="0" applyNumberFormat="1" applyFont="1" applyFill="1" applyBorder="1" applyAlignment="1">
      <alignment horizontal="center"/>
    </xf>
    <xf numFmtId="173" fontId="25" fillId="0" borderId="1" xfId="301" applyNumberFormat="1" applyFont="1" applyFill="1" applyBorder="1"/>
    <xf numFmtId="168" fontId="1" fillId="0" borderId="36" xfId="301" applyNumberFormat="1" applyFont="1" applyBorder="1"/>
    <xf numFmtId="173" fontId="25" fillId="0" borderId="1" xfId="301" applyNumberFormat="1" applyFont="1" applyFill="1" applyBorder="1" applyAlignment="1" applyProtection="1">
      <alignment horizontal="center"/>
    </xf>
    <xf numFmtId="0" fontId="1" fillId="0" borderId="35" xfId="0" applyFont="1" applyBorder="1"/>
    <xf numFmtId="0" fontId="61" fillId="0" borderId="84" xfId="0" applyFont="1" applyFill="1" applyBorder="1"/>
    <xf numFmtId="173" fontId="25" fillId="0" borderId="46" xfId="301" applyNumberFormat="1" applyFont="1" applyFill="1" applyBorder="1"/>
    <xf numFmtId="179" fontId="61" fillId="0" borderId="46" xfId="0" applyNumberFormat="1" applyFont="1" applyFill="1" applyBorder="1" applyAlignment="1">
      <alignment horizontal="center"/>
    </xf>
    <xf numFmtId="168" fontId="25" fillId="0" borderId="85" xfId="301" applyNumberFormat="1" applyFont="1" applyFill="1" applyBorder="1" applyAlignment="1">
      <alignment horizontal="center"/>
    </xf>
    <xf numFmtId="0" fontId="61" fillId="0" borderId="74" xfId="0" applyFont="1" applyFill="1" applyBorder="1" applyAlignment="1"/>
    <xf numFmtId="173" fontId="25" fillId="30" borderId="1" xfId="301" applyNumberFormat="1" applyFont="1" applyFill="1" applyBorder="1" applyAlignment="1">
      <alignment horizontal="center"/>
    </xf>
    <xf numFmtId="168" fontId="25" fillId="0" borderId="14" xfId="301" applyNumberFormat="1" applyFont="1" applyFill="1" applyBorder="1" applyAlignment="1">
      <alignment horizontal="center"/>
    </xf>
    <xf numFmtId="168" fontId="1" fillId="0" borderId="75" xfId="301" applyNumberFormat="1" applyFont="1" applyBorder="1"/>
    <xf numFmtId="0" fontId="61" fillId="0" borderId="74" xfId="0" applyFont="1" applyFill="1" applyBorder="1" applyAlignment="1">
      <alignment wrapText="1"/>
    </xf>
    <xf numFmtId="0" fontId="3" fillId="0" borderId="74" xfId="0" applyFont="1" applyFill="1" applyBorder="1"/>
    <xf numFmtId="171" fontId="13" fillId="0" borderId="1" xfId="561" applyNumberFormat="1" applyFont="1" applyFill="1" applyBorder="1"/>
    <xf numFmtId="0" fontId="0" fillId="0" borderId="87" xfId="0" applyBorder="1"/>
    <xf numFmtId="0" fontId="0" fillId="0" borderId="3" xfId="0" applyBorder="1"/>
    <xf numFmtId="0" fontId="0" fillId="31" borderId="0" xfId="0" applyFill="1"/>
    <xf numFmtId="49" fontId="0" fillId="0" borderId="0" xfId="0" applyNumberFormat="1" applyFill="1" applyBorder="1"/>
    <xf numFmtId="49" fontId="0" fillId="0" borderId="0" xfId="0" applyNumberFormat="1" applyFill="1" applyBorder="1" applyAlignment="1">
      <alignment horizontal="center"/>
    </xf>
    <xf numFmtId="49" fontId="56" fillId="0" borderId="0" xfId="0" applyNumberFormat="1" applyFont="1" applyFill="1" applyBorder="1" applyAlignment="1">
      <alignment horizontal="center"/>
    </xf>
    <xf numFmtId="0" fontId="0" fillId="0" borderId="49" xfId="0" applyBorder="1"/>
    <xf numFmtId="43" fontId="12" fillId="0" borderId="0" xfId="301" applyFont="1"/>
    <xf numFmtId="174" fontId="0" fillId="0" borderId="0" xfId="301" applyNumberFormat="1" applyFont="1"/>
    <xf numFmtId="43" fontId="6" fillId="0" borderId="0" xfId="0" applyNumberFormat="1" applyFont="1"/>
    <xf numFmtId="0" fontId="0" fillId="0" borderId="88" xfId="0" applyBorder="1"/>
    <xf numFmtId="0" fontId="0" fillId="0" borderId="2" xfId="0" applyBorder="1"/>
    <xf numFmtId="0" fontId="0" fillId="0" borderId="45" xfId="0" applyBorder="1"/>
    <xf numFmtId="0" fontId="6" fillId="0" borderId="70" xfId="0" applyFont="1" applyBorder="1"/>
    <xf numFmtId="0" fontId="1" fillId="0" borderId="0" xfId="569"/>
    <xf numFmtId="0" fontId="3" fillId="23" borderId="0" xfId="0" applyFont="1" applyFill="1"/>
    <xf numFmtId="0" fontId="3" fillId="23" borderId="0" xfId="0" applyFont="1" applyFill="1" applyAlignment="1">
      <alignment horizontal="center"/>
    </xf>
    <xf numFmtId="0" fontId="3" fillId="0" borderId="0" xfId="0" applyFont="1"/>
    <xf numFmtId="0" fontId="3" fillId="0" borderId="0" xfId="0" applyFont="1" applyBorder="1"/>
    <xf numFmtId="0" fontId="3" fillId="0" borderId="0" xfId="0" applyFont="1" applyBorder="1" applyAlignment="1">
      <alignment horizontal="center"/>
    </xf>
    <xf numFmtId="2" fontId="3" fillId="0" borderId="1" xfId="0" applyNumberFormat="1" applyFont="1" applyBorder="1"/>
    <xf numFmtId="173" fontId="3" fillId="0" borderId="1" xfId="301" applyNumberFormat="1" applyFont="1" applyBorder="1"/>
    <xf numFmtId="0" fontId="4" fillId="0" borderId="0" xfId="0" applyFont="1"/>
    <xf numFmtId="0" fontId="3" fillId="0" borderId="0" xfId="0" applyFont="1" applyAlignment="1">
      <alignment horizontal="center"/>
    </xf>
    <xf numFmtId="173" fontId="4" fillId="0" borderId="0" xfId="301" applyNumberFormat="1" applyFont="1" applyBorder="1"/>
    <xf numFmtId="173" fontId="3" fillId="0" borderId="0" xfId="0" applyNumberFormat="1" applyFont="1" applyAlignment="1">
      <alignment horizontal="center"/>
    </xf>
    <xf numFmtId="169" fontId="4" fillId="0" borderId="0" xfId="301" applyNumberFormat="1" applyFont="1" applyBorder="1"/>
    <xf numFmtId="0" fontId="3" fillId="32" borderId="0" xfId="0" applyFont="1" applyFill="1" applyAlignment="1">
      <alignment horizontal="center"/>
    </xf>
    <xf numFmtId="0" fontId="3" fillId="32" borderId="0" xfId="0" applyFont="1" applyFill="1"/>
    <xf numFmtId="0" fontId="3" fillId="33" borderId="0" xfId="0" applyFont="1" applyFill="1"/>
    <xf numFmtId="0" fontId="2" fillId="0" borderId="0" xfId="0" applyFont="1"/>
    <xf numFmtId="0" fontId="3" fillId="0" borderId="0" xfId="0" applyFont="1" applyFill="1" applyBorder="1" applyAlignment="1">
      <alignment horizontal="left" vertical="top" wrapText="1"/>
    </xf>
    <xf numFmtId="0" fontId="13" fillId="0" borderId="0" xfId="0" applyFont="1" applyBorder="1"/>
    <xf numFmtId="0" fontId="59" fillId="23" borderId="0" xfId="0" applyFont="1" applyFill="1"/>
    <xf numFmtId="0" fontId="3" fillId="0" borderId="0" xfId="0" applyFont="1" applyFill="1" applyAlignment="1">
      <alignment horizontal="center"/>
    </xf>
    <xf numFmtId="0" fontId="3" fillId="0" borderId="35" xfId="0" applyFont="1" applyBorder="1" applyAlignment="1">
      <alignment vertical="top" wrapText="1"/>
    </xf>
    <xf numFmtId="173" fontId="3" fillId="0" borderId="1" xfId="301" applyNumberFormat="1" applyFont="1" applyFill="1" applyBorder="1" applyProtection="1">
      <protection locked="0"/>
    </xf>
    <xf numFmtId="169" fontId="3" fillId="0" borderId="36" xfId="301" applyNumberFormat="1" applyFont="1" applyBorder="1"/>
    <xf numFmtId="0" fontId="4" fillId="0" borderId="35" xfId="0" applyFont="1" applyBorder="1"/>
    <xf numFmtId="0" fontId="3" fillId="0" borderId="47" xfId="0" applyFont="1" applyBorder="1"/>
    <xf numFmtId="0" fontId="3" fillId="0" borderId="89" xfId="0" applyFont="1" applyBorder="1"/>
    <xf numFmtId="169" fontId="4" fillId="0" borderId="36" xfId="301" applyNumberFormat="1" applyFont="1" applyBorder="1"/>
    <xf numFmtId="0" fontId="0" fillId="0" borderId="0" xfId="0" applyAlignment="1">
      <alignment wrapText="1"/>
    </xf>
    <xf numFmtId="0" fontId="59" fillId="33" borderId="0" xfId="0" applyFont="1" applyFill="1"/>
    <xf numFmtId="0" fontId="14" fillId="0" borderId="0" xfId="0" applyFont="1" applyAlignment="1">
      <alignment horizontal="center"/>
    </xf>
    <xf numFmtId="0" fontId="89" fillId="0" borderId="0" xfId="0" applyFont="1"/>
    <xf numFmtId="0" fontId="90" fillId="0" borderId="0" xfId="0" applyFont="1"/>
    <xf numFmtId="167" fontId="24" fillId="0" borderId="20" xfId="301" applyNumberFormat="1" applyFont="1" applyBorder="1"/>
    <xf numFmtId="167" fontId="80" fillId="0" borderId="20" xfId="301" applyNumberFormat="1" applyFont="1" applyBorder="1"/>
    <xf numFmtId="0" fontId="59" fillId="32" borderId="0" xfId="0" applyFont="1" applyFill="1"/>
    <xf numFmtId="173" fontId="3" fillId="0" borderId="0" xfId="301" applyNumberFormat="1" applyFont="1" applyAlignment="1">
      <alignment horizontal="center"/>
    </xf>
    <xf numFmtId="0" fontId="3" fillId="0" borderId="35" xfId="0" applyFont="1" applyFill="1" applyBorder="1" applyAlignment="1">
      <alignment vertical="top" wrapText="1"/>
    </xf>
    <xf numFmtId="171" fontId="3" fillId="0" borderId="3" xfId="0" applyNumberFormat="1" applyFont="1" applyBorder="1"/>
    <xf numFmtId="165" fontId="3" fillId="0" borderId="1" xfId="0" applyNumberFormat="1" applyFont="1" applyBorder="1"/>
    <xf numFmtId="173" fontId="4" fillId="0" borderId="0" xfId="301" applyNumberFormat="1" applyFont="1" applyAlignment="1">
      <alignment horizontal="center"/>
    </xf>
    <xf numFmtId="0" fontId="6" fillId="0" borderId="45" xfId="0" applyFont="1" applyFill="1" applyBorder="1"/>
    <xf numFmtId="0" fontId="0" fillId="0" borderId="29" xfId="0" applyBorder="1"/>
    <xf numFmtId="0" fontId="0" fillId="0" borderId="66" xfId="0" applyBorder="1"/>
    <xf numFmtId="0" fontId="12" fillId="0" borderId="0" xfId="565" applyFont="1"/>
    <xf numFmtId="0" fontId="0" fillId="0" borderId="96" xfId="0" applyBorder="1"/>
    <xf numFmtId="0" fontId="0" fillId="0" borderId="97" xfId="0" applyBorder="1"/>
    <xf numFmtId="0" fontId="0" fillId="0" borderId="36" xfId="0" applyBorder="1"/>
    <xf numFmtId="0" fontId="11" fillId="0" borderId="0" xfId="572" applyFont="1" applyFill="1" applyAlignment="1">
      <alignment vertical="center"/>
    </xf>
    <xf numFmtId="0" fontId="27" fillId="0" borderId="0" xfId="572" applyFont="1" applyFill="1"/>
    <xf numFmtId="185" fontId="0" fillId="0" borderId="0" xfId="0" applyNumberFormat="1"/>
    <xf numFmtId="0" fontId="69" fillId="0" borderId="46" xfId="0" applyFont="1" applyBorder="1"/>
    <xf numFmtId="0" fontId="69" fillId="0" borderId="98" xfId="0" applyFont="1" applyFill="1" applyBorder="1"/>
    <xf numFmtId="0" fontId="69" fillId="0" borderId="85" xfId="0" applyFont="1" applyBorder="1"/>
    <xf numFmtId="0" fontId="69" fillId="0" borderId="99" xfId="0" applyFont="1" applyBorder="1"/>
    <xf numFmtId="3" fontId="0" fillId="0" borderId="1" xfId="0" applyNumberFormat="1" applyBorder="1"/>
    <xf numFmtId="0" fontId="69" fillId="0" borderId="46" xfId="0" applyFont="1" applyFill="1" applyBorder="1"/>
    <xf numFmtId="0" fontId="69" fillId="0" borderId="103" xfId="0" applyFont="1" applyBorder="1"/>
    <xf numFmtId="0" fontId="0" fillId="0" borderId="104" xfId="0" applyBorder="1"/>
    <xf numFmtId="0" fontId="0" fillId="0" borderId="53" xfId="0" applyBorder="1"/>
    <xf numFmtId="3" fontId="12" fillId="0" borderId="53" xfId="0" quotePrefix="1" applyNumberFormat="1" applyFont="1" applyFill="1" applyBorder="1"/>
    <xf numFmtId="0" fontId="0" fillId="25" borderId="78" xfId="0" applyFill="1" applyBorder="1"/>
    <xf numFmtId="3" fontId="12" fillId="25" borderId="105" xfId="0" quotePrefix="1" applyNumberFormat="1" applyFont="1" applyFill="1" applyBorder="1"/>
    <xf numFmtId="0" fontId="0" fillId="0" borderId="106" xfId="0" applyBorder="1"/>
    <xf numFmtId="0" fontId="5" fillId="0" borderId="0" xfId="561" applyFont="1"/>
    <xf numFmtId="173" fontId="13" fillId="0" borderId="0" xfId="301" applyNumberFormat="1" applyFont="1" applyFill="1" applyBorder="1"/>
    <xf numFmtId="0" fontId="96" fillId="0" borderId="0" xfId="561" applyFont="1" applyFill="1" applyAlignment="1">
      <alignment wrapText="1"/>
    </xf>
    <xf numFmtId="0" fontId="1" fillId="0" borderId="0" xfId="561" applyFont="1" applyFill="1" applyAlignment="1">
      <alignment wrapText="1"/>
    </xf>
    <xf numFmtId="0" fontId="1" fillId="0" borderId="0" xfId="561" applyFont="1" applyFill="1" applyAlignment="1">
      <alignment horizontal="left" wrapText="1"/>
    </xf>
    <xf numFmtId="0" fontId="1" fillId="0" borderId="0" xfId="561"/>
    <xf numFmtId="0" fontId="97" fillId="0" borderId="109" xfId="561" applyFont="1" applyFill="1" applyBorder="1"/>
    <xf numFmtId="0" fontId="97" fillId="0" borderId="110" xfId="561" applyFont="1" applyBorder="1"/>
    <xf numFmtId="0" fontId="98" fillId="0" borderId="110" xfId="561" applyFont="1" applyFill="1" applyBorder="1" applyAlignment="1">
      <alignment horizontal="center"/>
    </xf>
    <xf numFmtId="0" fontId="98" fillId="0" borderId="111" xfId="561" applyFont="1" applyFill="1" applyBorder="1" applyAlignment="1">
      <alignment horizontal="center"/>
    </xf>
    <xf numFmtId="0" fontId="98" fillId="0" borderId="112" xfId="561" applyFont="1" applyFill="1" applyBorder="1"/>
    <xf numFmtId="0" fontId="97" fillId="0" borderId="1" xfId="561" applyFont="1" applyBorder="1"/>
    <xf numFmtId="0" fontId="98" fillId="0" borderId="1" xfId="561" applyFont="1" applyFill="1" applyBorder="1" applyAlignment="1">
      <alignment horizontal="center"/>
    </xf>
    <xf numFmtId="0" fontId="98" fillId="0" borderId="113" xfId="561" applyFont="1" applyFill="1" applyBorder="1" applyAlignment="1">
      <alignment horizontal="center"/>
    </xf>
    <xf numFmtId="0" fontId="98" fillId="0" borderId="1" xfId="561" applyFont="1" applyFill="1" applyBorder="1"/>
    <xf numFmtId="0" fontId="97" fillId="0" borderId="113" xfId="561" applyFont="1" applyBorder="1"/>
    <xf numFmtId="0" fontId="97" fillId="0" borderId="112" xfId="561" applyFont="1" applyBorder="1" applyAlignment="1">
      <alignment horizontal="center"/>
    </xf>
    <xf numFmtId="0" fontId="97" fillId="0" borderId="1" xfId="561" applyFont="1" applyFill="1" applyBorder="1" applyAlignment="1">
      <alignment horizontal="center"/>
    </xf>
    <xf numFmtId="0" fontId="97" fillId="0" borderId="1" xfId="561" applyFont="1" applyBorder="1" applyProtection="1">
      <protection locked="0"/>
    </xf>
    <xf numFmtId="9" fontId="97" fillId="0" borderId="1" xfId="597" applyFont="1" applyBorder="1" applyProtection="1">
      <protection locked="0"/>
    </xf>
    <xf numFmtId="0" fontId="98" fillId="0" borderId="112" xfId="561" applyFont="1" applyFill="1" applyBorder="1" applyAlignment="1">
      <alignment horizontal="center"/>
    </xf>
    <xf numFmtId="0" fontId="97" fillId="0" borderId="1" xfId="561" applyFont="1" applyFill="1" applyBorder="1" applyAlignment="1">
      <alignment horizontal="left"/>
    </xf>
    <xf numFmtId="173" fontId="97" fillId="32" borderId="1" xfId="301" applyNumberFormat="1" applyFont="1" applyFill="1" applyBorder="1" applyProtection="1">
      <protection locked="0"/>
    </xf>
    <xf numFmtId="165" fontId="97" fillId="0" borderId="1" xfId="561" applyNumberFormat="1" applyFont="1" applyFill="1" applyBorder="1"/>
    <xf numFmtId="0" fontId="97" fillId="0" borderId="1" xfId="561" quotePrefix="1" applyFont="1" applyFill="1" applyBorder="1" applyAlignment="1">
      <alignment horizontal="center"/>
    </xf>
    <xf numFmtId="173" fontId="97" fillId="0" borderId="1" xfId="301" applyNumberFormat="1" applyFont="1" applyFill="1" applyBorder="1"/>
    <xf numFmtId="173" fontId="97" fillId="0" borderId="113" xfId="301" applyNumberFormat="1" applyFont="1" applyFill="1" applyBorder="1"/>
    <xf numFmtId="0" fontId="100" fillId="0" borderId="112" xfId="561" applyFont="1" applyFill="1" applyBorder="1" applyAlignment="1">
      <alignment horizontal="center"/>
    </xf>
    <xf numFmtId="43" fontId="97" fillId="0" borderId="1" xfId="301" applyNumberFormat="1" applyFont="1" applyFill="1" applyBorder="1"/>
    <xf numFmtId="0" fontId="97" fillId="0" borderId="114" xfId="561" applyFont="1" applyBorder="1" applyAlignment="1">
      <alignment horizontal="center"/>
    </xf>
    <xf numFmtId="0" fontId="97" fillId="0" borderId="87" xfId="561" applyFont="1" applyFill="1" applyBorder="1" applyAlignment="1">
      <alignment horizontal="center"/>
    </xf>
    <xf numFmtId="0" fontId="97" fillId="0" borderId="87" xfId="561" applyFont="1" applyBorder="1" applyProtection="1">
      <protection locked="0"/>
    </xf>
    <xf numFmtId="0" fontId="97" fillId="0" borderId="87" xfId="561" applyFont="1" applyBorder="1"/>
    <xf numFmtId="9" fontId="97" fillId="0" borderId="87" xfId="597" applyFont="1" applyBorder="1" applyProtection="1">
      <protection locked="0"/>
    </xf>
    <xf numFmtId="0" fontId="97" fillId="0" borderId="115" xfId="561" applyFont="1" applyBorder="1"/>
    <xf numFmtId="182" fontId="97" fillId="0" borderId="113" xfId="561" quotePrefix="1" applyNumberFormat="1" applyFont="1" applyFill="1" applyBorder="1" applyAlignment="1">
      <alignment horizontal="center"/>
    </xf>
    <xf numFmtId="0" fontId="101" fillId="0" borderId="0" xfId="0" applyFont="1"/>
    <xf numFmtId="0" fontId="64" fillId="0" borderId="0" xfId="0" applyFont="1" applyAlignment="1" applyProtection="1">
      <alignment vertical="top"/>
      <protection locked="0"/>
    </xf>
    <xf numFmtId="0" fontId="64" fillId="0" borderId="0" xfId="0" applyFont="1"/>
    <xf numFmtId="0" fontId="64" fillId="0" borderId="0" xfId="0" applyFont="1" applyProtection="1">
      <protection locked="0"/>
    </xf>
    <xf numFmtId="0" fontId="102" fillId="0" borderId="0" xfId="0" applyFont="1"/>
    <xf numFmtId="0" fontId="102" fillId="0" borderId="0" xfId="0" applyFont="1" applyFill="1"/>
    <xf numFmtId="0" fontId="104" fillId="0" borderId="0" xfId="0" applyFont="1"/>
    <xf numFmtId="0" fontId="104" fillId="0" borderId="0" xfId="0" applyFont="1" applyBorder="1"/>
    <xf numFmtId="0" fontId="102" fillId="0" borderId="0" xfId="0" applyFont="1" applyBorder="1"/>
    <xf numFmtId="0" fontId="108" fillId="0" borderId="0" xfId="0" applyFont="1"/>
    <xf numFmtId="0" fontId="111" fillId="0" borderId="0" xfId="0" applyFont="1" applyFill="1"/>
    <xf numFmtId="3" fontId="109" fillId="28" borderId="1" xfId="0" applyNumberFormat="1" applyFont="1" applyFill="1" applyBorder="1" applyAlignment="1" applyProtection="1">
      <alignment horizontal="center"/>
      <protection locked="0"/>
    </xf>
    <xf numFmtId="0" fontId="102" fillId="0" borderId="0" xfId="0" applyFont="1" applyFill="1" applyAlignment="1">
      <alignment horizontal="center"/>
    </xf>
    <xf numFmtId="4" fontId="109" fillId="0" borderId="1" xfId="0" applyNumberFormat="1" applyFont="1" applyBorder="1"/>
    <xf numFmtId="173" fontId="109" fillId="0" borderId="1" xfId="301" applyNumberFormat="1" applyFont="1" applyBorder="1"/>
    <xf numFmtId="0" fontId="102" fillId="0" borderId="0" xfId="0" applyFont="1" applyFill="1" applyBorder="1" applyAlignment="1">
      <alignment horizontal="center"/>
    </xf>
    <xf numFmtId="165" fontId="109" fillId="0" borderId="1" xfId="0" applyNumberFormat="1" applyFont="1" applyFill="1" applyBorder="1" applyAlignment="1">
      <alignment horizontal="center"/>
    </xf>
    <xf numFmtId="173" fontId="109" fillId="0" borderId="1" xfId="301" applyNumberFormat="1" applyFont="1" applyFill="1" applyBorder="1" applyProtection="1"/>
    <xf numFmtId="173" fontId="109" fillId="0" borderId="1" xfId="301" applyNumberFormat="1" applyFont="1" applyFill="1" applyBorder="1"/>
    <xf numFmtId="173" fontId="109" fillId="0" borderId="1" xfId="301" applyNumberFormat="1" applyFont="1" applyFill="1" applyBorder="1" applyAlignment="1" applyProtection="1">
      <alignment horizontal="right"/>
    </xf>
    <xf numFmtId="173" fontId="109" fillId="0" borderId="1" xfId="301" applyNumberFormat="1" applyFont="1" applyFill="1" applyBorder="1" applyAlignment="1">
      <alignment horizontal="right"/>
    </xf>
    <xf numFmtId="173" fontId="109" fillId="0" borderId="1" xfId="301" quotePrefix="1" applyNumberFormat="1" applyFont="1" applyFill="1" applyBorder="1" applyAlignment="1" applyProtection="1">
      <alignment horizontal="right"/>
    </xf>
    <xf numFmtId="173" fontId="109" fillId="0" borderId="1" xfId="301" applyNumberFormat="1" applyFont="1" applyBorder="1" applyAlignment="1">
      <alignment horizontal="center"/>
    </xf>
    <xf numFmtId="0" fontId="116" fillId="0" borderId="0" xfId="0" applyFont="1"/>
    <xf numFmtId="0" fontId="109" fillId="0" borderId="0" xfId="0" applyFont="1" applyBorder="1"/>
    <xf numFmtId="0" fontId="117" fillId="0" borderId="0" xfId="0" applyFont="1"/>
    <xf numFmtId="0" fontId="102" fillId="0" borderId="0" xfId="0" applyFont="1" applyFill="1" applyBorder="1" applyAlignment="1">
      <alignment horizontal="left" vertical="top" wrapText="1"/>
    </xf>
    <xf numFmtId="0" fontId="102" fillId="0" borderId="0" xfId="0" applyFont="1" applyAlignment="1">
      <alignment vertical="center"/>
    </xf>
    <xf numFmtId="0" fontId="112" fillId="0" borderId="92" xfId="0" applyFont="1" applyFill="1" applyBorder="1"/>
    <xf numFmtId="0" fontId="112" fillId="0" borderId="93" xfId="0" applyFont="1" applyBorder="1"/>
    <xf numFmtId="0" fontId="102" fillId="0" borderId="91" xfId="0" applyFont="1" applyFill="1" applyBorder="1"/>
    <xf numFmtId="169" fontId="102" fillId="0" borderId="18" xfId="301" applyNumberFormat="1" applyFont="1" applyFill="1" applyBorder="1"/>
    <xf numFmtId="186" fontId="102" fillId="0" borderId="0" xfId="0" applyNumberFormat="1" applyFont="1"/>
    <xf numFmtId="179" fontId="102" fillId="0" borderId="0" xfId="0" applyNumberFormat="1" applyFont="1"/>
    <xf numFmtId="0" fontId="118" fillId="0" borderId="91" xfId="0" applyFont="1" applyBorder="1" applyAlignment="1">
      <alignment horizontal="left" indent="1"/>
    </xf>
    <xf numFmtId="0" fontId="102" fillId="0" borderId="15" xfId="0" applyFont="1" applyFill="1" applyBorder="1" applyAlignment="1">
      <alignment horizontal="left" vertical="top" wrapText="1"/>
    </xf>
    <xf numFmtId="0" fontId="109" fillId="0" borderId="17" xfId="0" applyFont="1" applyBorder="1"/>
    <xf numFmtId="0" fontId="102" fillId="0" borderId="0" xfId="0" applyFont="1" applyFill="1" applyAlignment="1">
      <alignment horizontal="left" vertical="top" wrapText="1"/>
    </xf>
    <xf numFmtId="173" fontId="102" fillId="0" borderId="18" xfId="301" applyNumberFormat="1" applyFont="1" applyFill="1" applyBorder="1"/>
    <xf numFmtId="0" fontId="112" fillId="0" borderId="15" xfId="0" applyFont="1" applyFill="1" applyBorder="1"/>
    <xf numFmtId="173" fontId="102" fillId="0" borderId="17" xfId="301" applyNumberFormat="1" applyFont="1" applyFill="1" applyBorder="1"/>
    <xf numFmtId="0" fontId="118" fillId="0" borderId="15" xfId="0" applyFont="1" applyBorder="1" applyAlignment="1">
      <alignment horizontal="left" indent="1"/>
    </xf>
    <xf numFmtId="43" fontId="102" fillId="0" borderId="0" xfId="0" applyNumberFormat="1" applyFont="1"/>
    <xf numFmtId="0" fontId="15" fillId="0" borderId="0" xfId="561" applyFont="1" applyFill="1" applyBorder="1" applyAlignment="1">
      <alignment horizontal="center"/>
    </xf>
    <xf numFmtId="0" fontId="102" fillId="0" borderId="0" xfId="0" applyFont="1" applyFill="1" applyBorder="1"/>
    <xf numFmtId="182" fontId="0" fillId="0" borderId="0" xfId="0" applyNumberFormat="1"/>
    <xf numFmtId="0" fontId="15" fillId="0" borderId="0" xfId="0" applyFont="1" applyBorder="1" applyAlignment="1">
      <alignment horizontal="center"/>
    </xf>
    <xf numFmtId="0" fontId="112" fillId="0" borderId="0" xfId="0" applyFont="1" applyFill="1" applyBorder="1"/>
    <xf numFmtId="0" fontId="79" fillId="0" borderId="0" xfId="0" applyFont="1" applyBorder="1"/>
    <xf numFmtId="0" fontId="79" fillId="0" borderId="0" xfId="0" applyFont="1"/>
    <xf numFmtId="0" fontId="112" fillId="0" borderId="0" xfId="0" applyFont="1" applyBorder="1"/>
    <xf numFmtId="0" fontId="121" fillId="0" borderId="0" xfId="0" applyFont="1"/>
    <xf numFmtId="176" fontId="123" fillId="23" borderId="1" xfId="0" applyNumberFormat="1" applyFont="1" applyFill="1" applyBorder="1" applyAlignment="1" applyProtection="1">
      <alignment horizontal="center"/>
      <protection locked="0"/>
    </xf>
    <xf numFmtId="165" fontId="15" fillId="0" borderId="1" xfId="0" applyNumberFormat="1" applyFont="1" applyFill="1" applyBorder="1" applyAlignment="1">
      <alignment horizontal="center"/>
    </xf>
    <xf numFmtId="173" fontId="15" fillId="0" borderId="1" xfId="301" applyNumberFormat="1" applyFont="1" applyBorder="1"/>
    <xf numFmtId="170" fontId="15" fillId="0" borderId="1" xfId="0" applyNumberFormat="1" applyFont="1" applyBorder="1"/>
    <xf numFmtId="176" fontId="13" fillId="23" borderId="1" xfId="0" applyNumberFormat="1" applyFont="1" applyFill="1" applyBorder="1" applyAlignment="1" applyProtection="1">
      <alignment horizontal="center"/>
      <protection locked="0"/>
    </xf>
    <xf numFmtId="173" fontId="14" fillId="0" borderId="0" xfId="301" applyNumberFormat="1" applyFont="1" applyBorder="1"/>
    <xf numFmtId="171" fontId="14" fillId="0" borderId="0" xfId="0" applyNumberFormat="1" applyFont="1" applyBorder="1"/>
    <xf numFmtId="170" fontId="14" fillId="0" borderId="0" xfId="0" applyNumberFormat="1" applyFont="1" applyBorder="1"/>
    <xf numFmtId="0" fontId="14" fillId="0" borderId="16" xfId="0" applyFont="1" applyBorder="1"/>
    <xf numFmtId="0" fontId="13" fillId="0" borderId="16" xfId="0" applyFont="1" applyFill="1" applyBorder="1" applyAlignment="1">
      <alignment horizontal="center"/>
    </xf>
    <xf numFmtId="0" fontId="15" fillId="0" borderId="16" xfId="0" applyFont="1" applyBorder="1" applyAlignment="1">
      <alignment horizontal="center"/>
    </xf>
    <xf numFmtId="173" fontId="14" fillId="0" borderId="16" xfId="301" applyNumberFormat="1" applyFont="1" applyBorder="1"/>
    <xf numFmtId="0" fontId="14" fillId="0" borderId="16" xfId="0" applyFont="1" applyBorder="1" applyAlignment="1">
      <alignment horizontal="center"/>
    </xf>
    <xf numFmtId="171" fontId="14" fillId="0" borderId="16" xfId="0" applyNumberFormat="1" applyFont="1" applyBorder="1"/>
    <xf numFmtId="170" fontId="14" fillId="0" borderId="16" xfId="0" applyNumberFormat="1" applyFont="1" applyBorder="1"/>
    <xf numFmtId="3" fontId="15" fillId="0" borderId="1" xfId="301" applyNumberFormat="1" applyFont="1" applyBorder="1" applyAlignment="1">
      <alignment horizontal="center"/>
    </xf>
    <xf numFmtId="165" fontId="15" fillId="0" borderId="1" xfId="560" applyNumberFormat="1" applyFont="1" applyBorder="1" applyAlignment="1">
      <alignment horizontal="center"/>
    </xf>
    <xf numFmtId="173" fontId="15" fillId="0" borderId="1" xfId="301" applyNumberFormat="1" applyFont="1" applyFill="1" applyBorder="1" applyAlignment="1">
      <alignment horizontal="center"/>
    </xf>
    <xf numFmtId="170" fontId="15" fillId="0" borderId="1" xfId="597" applyNumberFormat="1" applyFont="1" applyBorder="1" applyAlignment="1">
      <alignment horizontal="center" vertical="center"/>
    </xf>
    <xf numFmtId="173" fontId="15" fillId="0" borderId="1" xfId="560" applyNumberFormat="1" applyFont="1" applyFill="1" applyBorder="1" applyAlignment="1">
      <alignment horizontal="center"/>
    </xf>
    <xf numFmtId="173" fontId="13" fillId="0" borderId="1" xfId="301" applyNumberFormat="1" applyFont="1" applyBorder="1" applyAlignment="1">
      <alignment horizontal="center"/>
    </xf>
    <xf numFmtId="170" fontId="127" fillId="0" borderId="1" xfId="560" applyNumberFormat="1" applyFont="1" applyBorder="1" applyAlignment="1">
      <alignment horizontal="right"/>
    </xf>
    <xf numFmtId="170" fontId="13" fillId="0" borderId="1" xfId="560" applyNumberFormat="1" applyFont="1" applyBorder="1" applyAlignment="1">
      <alignment horizontal="right"/>
    </xf>
    <xf numFmtId="2" fontId="15" fillId="0" borderId="1" xfId="597" applyNumberFormat="1" applyFont="1" applyBorder="1" applyAlignment="1">
      <alignment horizontal="center"/>
    </xf>
    <xf numFmtId="0" fontId="15" fillId="0" borderId="1" xfId="560" applyFont="1" applyBorder="1" applyAlignment="1">
      <alignment horizontal="center"/>
    </xf>
    <xf numFmtId="170" fontId="15" fillId="0" borderId="1" xfId="597" applyNumberFormat="1" applyFont="1" applyFill="1" applyBorder="1" applyAlignment="1">
      <alignment horizontal="center"/>
    </xf>
    <xf numFmtId="0" fontId="15" fillId="0" borderId="0" xfId="571" applyNumberFormat="1" applyFont="1" applyFill="1" applyBorder="1" applyAlignment="1">
      <alignment horizontal="center"/>
    </xf>
    <xf numFmtId="170" fontId="15" fillId="0" borderId="1" xfId="597" applyNumberFormat="1" applyFont="1" applyBorder="1" applyAlignment="1">
      <alignment horizontal="center"/>
    </xf>
    <xf numFmtId="0" fontId="63" fillId="0" borderId="0" xfId="560" applyFill="1" applyBorder="1"/>
    <xf numFmtId="0" fontId="121" fillId="0" borderId="16" xfId="0" applyFont="1" applyBorder="1"/>
    <xf numFmtId="173" fontId="15" fillId="0" borderId="1" xfId="301" applyNumberFormat="1" applyFont="1" applyBorder="1" applyAlignment="1">
      <alignment horizontal="center"/>
    </xf>
    <xf numFmtId="169" fontId="15" fillId="0" borderId="1" xfId="301" applyNumberFormat="1" applyFont="1" applyBorder="1" applyAlignment="1">
      <alignment horizontal="center"/>
    </xf>
    <xf numFmtId="174" fontId="102" fillId="0" borderId="0" xfId="301" applyNumberFormat="1" applyFont="1" applyFill="1" applyBorder="1"/>
    <xf numFmtId="173" fontId="102" fillId="0" borderId="1" xfId="301" applyNumberFormat="1" applyFont="1" applyFill="1" applyBorder="1" applyAlignment="1">
      <alignment horizontal="center"/>
    </xf>
    <xf numFmtId="173" fontId="112" fillId="0" borderId="0" xfId="301" applyNumberFormat="1" applyFont="1" applyFill="1" applyBorder="1" applyAlignment="1">
      <alignment horizontal="center" vertical="center"/>
    </xf>
    <xf numFmtId="0" fontId="112" fillId="0" borderId="0" xfId="0" applyFont="1" applyFill="1" applyBorder="1" applyAlignment="1">
      <alignment horizontal="center" vertical="center"/>
    </xf>
    <xf numFmtId="173" fontId="102" fillId="0" borderId="0" xfId="301" applyNumberFormat="1" applyFont="1" applyFill="1" applyBorder="1" applyAlignment="1">
      <alignment horizontal="center"/>
    </xf>
    <xf numFmtId="0" fontId="15" fillId="0" borderId="0" xfId="0" applyFont="1" applyFill="1" applyAlignment="1">
      <alignment horizontal="center"/>
    </xf>
    <xf numFmtId="173" fontId="112" fillId="0" borderId="0" xfId="301" applyNumberFormat="1" applyFont="1" applyBorder="1" applyAlignment="1">
      <alignment horizontal="center" vertical="center" wrapText="1"/>
    </xf>
    <xf numFmtId="173" fontId="102" fillId="35" borderId="1" xfId="301" applyNumberFormat="1" applyFont="1" applyFill="1" applyBorder="1" applyProtection="1">
      <protection locked="0"/>
    </xf>
    <xf numFmtId="173" fontId="102" fillId="0" borderId="0" xfId="301" applyNumberFormat="1" applyFont="1" applyFill="1" applyBorder="1"/>
    <xf numFmtId="173" fontId="102" fillId="0" borderId="1" xfId="301" applyNumberFormat="1" applyFont="1" applyBorder="1" applyAlignment="1">
      <alignment horizontal="center"/>
    </xf>
    <xf numFmtId="9" fontId="102" fillId="0" borderId="0" xfId="597" applyFont="1" applyFill="1" applyBorder="1" applyAlignment="1">
      <alignment horizontal="center"/>
    </xf>
    <xf numFmtId="9" fontId="102" fillId="0" borderId="1" xfId="597" applyFont="1" applyFill="1" applyBorder="1"/>
    <xf numFmtId="173" fontId="102" fillId="0" borderId="0" xfId="301" applyNumberFormat="1" applyFont="1"/>
    <xf numFmtId="173" fontId="102" fillId="0" borderId="1" xfId="301" applyNumberFormat="1" applyFont="1" applyFill="1" applyBorder="1"/>
    <xf numFmtId="173" fontId="14" fillId="0" borderId="0" xfId="301" applyNumberFormat="1" applyFont="1" applyFill="1" applyBorder="1"/>
    <xf numFmtId="0" fontId="102" fillId="0" borderId="0" xfId="0" applyFont="1" applyFill="1" applyProtection="1"/>
    <xf numFmtId="0" fontId="102" fillId="0" borderId="0" xfId="0" applyFont="1" applyProtection="1"/>
    <xf numFmtId="0" fontId="102" fillId="0" borderId="0" xfId="0" applyFont="1" applyBorder="1" applyProtection="1"/>
    <xf numFmtId="0" fontId="102" fillId="0" borderId="116" xfId="0" applyFont="1" applyFill="1" applyBorder="1" applyProtection="1"/>
    <xf numFmtId="9" fontId="102" fillId="0" borderId="0" xfId="597" applyFont="1" applyBorder="1" applyProtection="1"/>
    <xf numFmtId="0" fontId="102" fillId="0" borderId="0" xfId="0" applyFont="1" applyFill="1" applyBorder="1" applyProtection="1"/>
    <xf numFmtId="9" fontId="102" fillId="0" borderId="0" xfId="597" applyFont="1" applyFill="1" applyBorder="1" applyProtection="1"/>
    <xf numFmtId="173" fontId="102" fillId="0" borderId="0" xfId="301" applyNumberFormat="1" applyFont="1" applyFill="1" applyBorder="1" applyProtection="1"/>
    <xf numFmtId="0" fontId="102" fillId="0" borderId="0" xfId="0" applyFont="1" applyAlignment="1" applyProtection="1">
      <alignment horizontal="center"/>
    </xf>
    <xf numFmtId="0" fontId="112" fillId="0" borderId="0" xfId="0" applyFont="1" applyFill="1" applyBorder="1" applyAlignment="1" applyProtection="1">
      <alignment horizontal="center" wrapText="1"/>
    </xf>
    <xf numFmtId="0" fontId="102" fillId="0" borderId="0" xfId="0" applyFont="1" applyBorder="1" applyAlignment="1" applyProtection="1">
      <alignment horizontal="center"/>
    </xf>
    <xf numFmtId="173" fontId="102" fillId="0" borderId="1" xfId="301" applyNumberFormat="1" applyFont="1" applyBorder="1" applyAlignment="1" applyProtection="1">
      <alignment horizontal="center"/>
    </xf>
    <xf numFmtId="173" fontId="102" fillId="0" borderId="1" xfId="0" applyNumberFormat="1" applyFont="1" applyFill="1" applyBorder="1" applyProtection="1"/>
    <xf numFmtId="0" fontId="102" fillId="0" borderId="0" xfId="0" applyFont="1" applyFill="1" applyBorder="1" applyAlignment="1" applyProtection="1">
      <alignment horizontal="center"/>
    </xf>
    <xf numFmtId="173" fontId="102" fillId="0" borderId="1" xfId="301" applyNumberFormat="1" applyFont="1" applyFill="1" applyBorder="1" applyAlignment="1" applyProtection="1">
      <alignment horizontal="center"/>
    </xf>
    <xf numFmtId="0" fontId="102" fillId="0" borderId="1" xfId="0" applyFont="1" applyFill="1" applyBorder="1" applyAlignment="1" applyProtection="1">
      <alignment horizontal="center"/>
    </xf>
    <xf numFmtId="173" fontId="102" fillId="0" borderId="1" xfId="0" applyNumberFormat="1" applyFont="1" applyFill="1" applyBorder="1" applyAlignment="1" applyProtection="1">
      <alignment horizontal="center"/>
    </xf>
    <xf numFmtId="173" fontId="102" fillId="0" borderId="1" xfId="0" applyNumberFormat="1" applyFont="1" applyFill="1" applyBorder="1" applyAlignment="1" applyProtection="1">
      <alignment horizontal="right"/>
    </xf>
    <xf numFmtId="0" fontId="112" fillId="0" borderId="0" xfId="564" applyFont="1" applyFill="1" applyAlignment="1" applyProtection="1">
      <alignment horizontal="left" wrapText="1"/>
    </xf>
    <xf numFmtId="0" fontId="5" fillId="0" borderId="0" xfId="0" applyFont="1"/>
    <xf numFmtId="0" fontId="5" fillId="0" borderId="0" xfId="0" applyFont="1" applyAlignment="1"/>
    <xf numFmtId="0" fontId="22" fillId="0" borderId="0" xfId="0" applyFont="1" applyAlignment="1">
      <alignment horizontal="center" vertical="top" wrapText="1"/>
    </xf>
    <xf numFmtId="0" fontId="22" fillId="0" borderId="0" xfId="0" applyFont="1" applyFill="1" applyAlignment="1">
      <alignment horizontal="center" vertical="top" wrapText="1"/>
    </xf>
    <xf numFmtId="9" fontId="22" fillId="0" borderId="72" xfId="597" applyFont="1" applyBorder="1" applyAlignment="1">
      <alignment horizontal="left" wrapText="1"/>
    </xf>
    <xf numFmtId="9" fontId="22" fillId="0" borderId="73" xfId="597" applyFont="1" applyBorder="1" applyAlignment="1">
      <alignment horizontal="center" wrapText="1"/>
    </xf>
    <xf numFmtId="9" fontId="22" fillId="0" borderId="117" xfId="597" applyFont="1" applyBorder="1" applyAlignment="1">
      <alignment horizontal="center" wrapText="1"/>
    </xf>
    <xf numFmtId="0" fontId="12" fillId="0" borderId="0" xfId="0" applyFont="1" applyAlignment="1"/>
    <xf numFmtId="0" fontId="22" fillId="0" borderId="72" xfId="0" applyFont="1" applyFill="1" applyBorder="1" applyAlignment="1">
      <alignment horizontal="center" wrapText="1"/>
    </xf>
    <xf numFmtId="9" fontId="22" fillId="0" borderId="73" xfId="597" applyFont="1" applyFill="1" applyBorder="1" applyAlignment="1">
      <alignment horizontal="center" wrapText="1"/>
    </xf>
    <xf numFmtId="9" fontId="22" fillId="0" borderId="117" xfId="597" applyFont="1" applyFill="1" applyBorder="1" applyAlignment="1">
      <alignment horizontal="center" wrapText="1"/>
    </xf>
    <xf numFmtId="0" fontId="22" fillId="0" borderId="72" xfId="0" applyFont="1" applyBorder="1" applyAlignment="1">
      <alignment horizontal="center" wrapText="1"/>
    </xf>
    <xf numFmtId="9" fontId="22" fillId="0" borderId="72" xfId="597" applyFont="1" applyBorder="1" applyAlignment="1">
      <alignment horizontal="center" wrapText="1"/>
    </xf>
    <xf numFmtId="0" fontId="22" fillId="0" borderId="0" xfId="0" applyFont="1" applyAlignment="1"/>
    <xf numFmtId="9" fontId="22" fillId="0" borderId="72" xfId="0" applyNumberFormat="1" applyFont="1" applyBorder="1" applyAlignment="1">
      <alignment horizontal="center" wrapText="1"/>
    </xf>
    <xf numFmtId="9" fontId="22" fillId="0" borderId="73" xfId="0" applyNumberFormat="1" applyFont="1" applyBorder="1" applyAlignment="1">
      <alignment horizontal="center" wrapText="1"/>
    </xf>
    <xf numFmtId="9" fontId="22" fillId="0" borderId="117" xfId="0" applyNumberFormat="1" applyFont="1" applyBorder="1" applyAlignment="1">
      <alignment horizontal="center" wrapText="1"/>
    </xf>
    <xf numFmtId="0" fontId="22" fillId="0" borderId="19" xfId="0" applyFont="1" applyBorder="1" applyAlignment="1">
      <alignment horizontal="center" wrapText="1"/>
    </xf>
    <xf numFmtId="0" fontId="22" fillId="0" borderId="20" xfId="0" applyFont="1" applyBorder="1" applyAlignment="1">
      <alignment horizontal="center" wrapText="1"/>
    </xf>
    <xf numFmtId="0" fontId="22" fillId="0" borderId="73" xfId="0" applyFont="1" applyBorder="1" applyAlignment="1">
      <alignment horizontal="center" wrapText="1"/>
    </xf>
    <xf numFmtId="0" fontId="22" fillId="0" borderId="117" xfId="0" applyFont="1" applyBorder="1" applyAlignment="1">
      <alignment horizontal="center" wrapText="1"/>
    </xf>
    <xf numFmtId="9" fontId="22" fillId="0" borderId="72" xfId="597" applyFont="1" applyFill="1" applyBorder="1" applyAlignment="1">
      <alignment horizontal="left" wrapText="1"/>
    </xf>
    <xf numFmtId="0" fontId="22" fillId="0" borderId="73" xfId="0" applyFont="1" applyFill="1" applyBorder="1" applyAlignment="1">
      <alignment horizontal="center" vertical="center" wrapText="1"/>
    </xf>
    <xf numFmtId="0" fontId="22" fillId="0" borderId="21" xfId="0" applyFont="1" applyFill="1" applyBorder="1" applyAlignment="1">
      <alignment horizontal="center" wrapText="1"/>
    </xf>
    <xf numFmtId="0" fontId="22" fillId="0" borderId="44" xfId="0" applyFont="1" applyBorder="1" applyAlignment="1">
      <alignment horizontal="center" wrapText="1"/>
    </xf>
    <xf numFmtId="0" fontId="22" fillId="0" borderId="0" xfId="0" applyFont="1"/>
    <xf numFmtId="189" fontId="5" fillId="0" borderId="0" xfId="597" applyNumberFormat="1" applyFont="1" applyAlignment="1">
      <alignment horizontal="left"/>
    </xf>
    <xf numFmtId="9" fontId="5" fillId="0" borderId="55" xfId="597" applyFont="1" applyBorder="1" applyAlignment="1">
      <alignment horizontal="left" vertical="top" wrapText="1"/>
    </xf>
    <xf numFmtId="9" fontId="5" fillId="0" borderId="51" xfId="597" applyFont="1" applyBorder="1" applyAlignment="1">
      <alignment horizontal="center"/>
    </xf>
    <xf numFmtId="9" fontId="5" fillId="0" borderId="118" xfId="597" applyFont="1" applyBorder="1" applyAlignment="1">
      <alignment horizontal="center"/>
    </xf>
    <xf numFmtId="0" fontId="5" fillId="0" borderId="55" xfId="0" applyFont="1" applyBorder="1" applyAlignment="1">
      <alignment horizontal="center"/>
    </xf>
    <xf numFmtId="9" fontId="5" fillId="0" borderId="51" xfId="597" applyFont="1" applyBorder="1" applyAlignment="1">
      <alignment horizontal="center" vertical="top" wrapText="1"/>
    </xf>
    <xf numFmtId="9" fontId="5" fillId="0" borderId="51" xfId="0" applyNumberFormat="1" applyFont="1" applyBorder="1" applyAlignment="1">
      <alignment horizontal="center"/>
    </xf>
    <xf numFmtId="9" fontId="5" fillId="0" borderId="118" xfId="0" applyNumberFormat="1" applyFont="1" applyBorder="1" applyAlignment="1">
      <alignment horizontal="center"/>
    </xf>
    <xf numFmtId="0" fontId="102" fillId="0" borderId="22" xfId="0" applyFont="1" applyBorder="1"/>
    <xf numFmtId="0" fontId="102" fillId="0" borderId="55" xfId="0" applyFont="1" applyBorder="1"/>
    <xf numFmtId="0" fontId="102" fillId="0" borderId="51" xfId="0" applyFont="1" applyBorder="1"/>
    <xf numFmtId="0" fontId="22" fillId="0" borderId="117" xfId="0" applyFont="1" applyFill="1" applyBorder="1" applyAlignment="1">
      <alignment horizontal="center" vertical="center" wrapText="1"/>
    </xf>
    <xf numFmtId="10" fontId="5" fillId="0" borderId="118" xfId="0" applyNumberFormat="1" applyFont="1" applyBorder="1" applyAlignment="1">
      <alignment horizontal="center"/>
    </xf>
    <xf numFmtId="9" fontId="102" fillId="0" borderId="24" xfId="0" applyNumberFormat="1" applyFont="1" applyBorder="1"/>
    <xf numFmtId="9" fontId="102" fillId="0" borderId="51" xfId="0" applyNumberFormat="1" applyFont="1" applyBorder="1"/>
    <xf numFmtId="9" fontId="102" fillId="0" borderId="118" xfId="0" applyNumberFormat="1" applyFont="1" applyBorder="1"/>
    <xf numFmtId="0" fontId="135" fillId="0" borderId="0" xfId="0" applyFont="1" applyFill="1"/>
    <xf numFmtId="0" fontId="135" fillId="0" borderId="0" xfId="0" applyFont="1"/>
    <xf numFmtId="174" fontId="102" fillId="0" borderId="1" xfId="301" applyNumberFormat="1" applyFont="1" applyBorder="1" applyProtection="1"/>
    <xf numFmtId="0" fontId="102" fillId="0" borderId="1" xfId="0" applyFont="1" applyBorder="1" applyAlignment="1">
      <alignment horizontal="center"/>
    </xf>
    <xf numFmtId="170" fontId="102" fillId="0" borderId="1" xfId="0" applyNumberFormat="1" applyFont="1" applyBorder="1"/>
    <xf numFmtId="168" fontId="102" fillId="0" borderId="1" xfId="301" applyNumberFormat="1" applyFont="1" applyBorder="1" applyAlignment="1">
      <alignment horizontal="center"/>
    </xf>
    <xf numFmtId="184" fontId="102" fillId="0" borderId="1" xfId="301" applyNumberFormat="1" applyFont="1" applyBorder="1" applyAlignment="1">
      <alignment horizontal="center"/>
    </xf>
    <xf numFmtId="174" fontId="102" fillId="36" borderId="1" xfId="301" applyNumberFormat="1" applyFont="1" applyFill="1" applyBorder="1" applyProtection="1">
      <protection locked="0"/>
    </xf>
    <xf numFmtId="2" fontId="102" fillId="36" borderId="1" xfId="0" applyNumberFormat="1" applyFont="1" applyFill="1" applyBorder="1" applyAlignment="1" applyProtection="1">
      <alignment horizontal="center"/>
      <protection locked="0"/>
    </xf>
    <xf numFmtId="170" fontId="102" fillId="36" borderId="1" xfId="0" applyNumberFormat="1" applyFont="1" applyFill="1" applyBorder="1" applyProtection="1">
      <protection locked="0"/>
    </xf>
    <xf numFmtId="167" fontId="102" fillId="36" borderId="1" xfId="301" applyNumberFormat="1" applyFont="1" applyFill="1" applyBorder="1" applyProtection="1">
      <protection locked="0"/>
    </xf>
    <xf numFmtId="168" fontId="102" fillId="36" borderId="1" xfId="301" applyNumberFormat="1" applyFont="1" applyFill="1" applyBorder="1" applyAlignment="1" applyProtection="1">
      <alignment horizontal="center"/>
      <protection locked="0"/>
    </xf>
    <xf numFmtId="173" fontId="102" fillId="30" borderId="1" xfId="301" applyNumberFormat="1" applyFont="1" applyFill="1" applyBorder="1" applyAlignment="1" applyProtection="1">
      <alignment horizontal="center"/>
    </xf>
    <xf numFmtId="43" fontId="102" fillId="0" borderId="1" xfId="301" applyFont="1" applyBorder="1"/>
    <xf numFmtId="190" fontId="102" fillId="0" borderId="1" xfId="0" applyNumberFormat="1" applyFont="1" applyBorder="1"/>
    <xf numFmtId="0" fontId="137" fillId="0" borderId="119" xfId="0" applyFont="1" applyBorder="1"/>
    <xf numFmtId="0" fontId="137" fillId="0" borderId="0" xfId="0" applyFont="1" applyBorder="1"/>
    <xf numFmtId="0" fontId="137" fillId="0" borderId="120" xfId="0" applyFont="1" applyBorder="1"/>
    <xf numFmtId="0" fontId="137" fillId="0" borderId="121" xfId="0" applyFont="1" applyBorder="1"/>
    <xf numFmtId="0" fontId="136" fillId="0" borderId="122" xfId="0" applyFont="1" applyBorder="1" applyAlignment="1"/>
    <xf numFmtId="0" fontId="136" fillId="0" borderId="123" xfId="0" applyFont="1" applyBorder="1"/>
    <xf numFmtId="0" fontId="136" fillId="0" borderId="120" xfId="0" applyFont="1" applyBorder="1"/>
    <xf numFmtId="0" fontId="136" fillId="0" borderId="121" xfId="0" applyFont="1" applyBorder="1"/>
    <xf numFmtId="0" fontId="137" fillId="0" borderId="0" xfId="0" applyFont="1"/>
    <xf numFmtId="0" fontId="137" fillId="0" borderId="16" xfId="0" applyFont="1" applyBorder="1"/>
    <xf numFmtId="181" fontId="0" fillId="0" borderId="0" xfId="0" applyNumberFormat="1"/>
    <xf numFmtId="188" fontId="0" fillId="0" borderId="0" xfId="0" applyNumberFormat="1"/>
    <xf numFmtId="3" fontId="102" fillId="0" borderId="1" xfId="0" applyNumberFormat="1" applyFont="1" applyFill="1" applyBorder="1" applyAlignment="1" applyProtection="1">
      <alignment horizontal="center"/>
    </xf>
    <xf numFmtId="0" fontId="143" fillId="0" borderId="0" xfId="0" applyFont="1"/>
    <xf numFmtId="0" fontId="143" fillId="0" borderId="0" xfId="0" applyFont="1" applyBorder="1"/>
    <xf numFmtId="171" fontId="143" fillId="0" borderId="1" xfId="561" applyNumberFormat="1" applyFont="1" applyFill="1" applyBorder="1"/>
    <xf numFmtId="173" fontId="143" fillId="0" borderId="1" xfId="301" applyNumberFormat="1" applyFont="1" applyFill="1" applyBorder="1"/>
    <xf numFmtId="0" fontId="143" fillId="0" borderId="0" xfId="561" applyFont="1"/>
    <xf numFmtId="0" fontId="144" fillId="0" borderId="0" xfId="0" applyFont="1"/>
    <xf numFmtId="165" fontId="143" fillId="0" borderId="1" xfId="561" applyNumberFormat="1" applyFont="1" applyFill="1" applyBorder="1"/>
    <xf numFmtId="43" fontId="143" fillId="0" borderId="1" xfId="301" applyNumberFormat="1" applyFont="1" applyFill="1" applyBorder="1"/>
    <xf numFmtId="173" fontId="143" fillId="0" borderId="1" xfId="301" applyNumberFormat="1" applyFont="1" applyFill="1" applyBorder="1" applyProtection="1">
      <protection locked="0"/>
    </xf>
    <xf numFmtId="173" fontId="143" fillId="0" borderId="1" xfId="301" applyNumberFormat="1" applyFont="1" applyFill="1" applyBorder="1" applyAlignment="1" applyProtection="1">
      <alignment horizontal="right"/>
      <protection locked="0"/>
    </xf>
    <xf numFmtId="0" fontId="4" fillId="0" borderId="0" xfId="0" applyFont="1" applyFill="1"/>
    <xf numFmtId="0" fontId="144" fillId="0" borderId="0" xfId="0" applyFont="1" applyFill="1"/>
    <xf numFmtId="0" fontId="121" fillId="0" borderId="16" xfId="0" applyFont="1" applyFill="1" applyBorder="1"/>
    <xf numFmtId="0" fontId="5" fillId="0" borderId="19" xfId="0" applyFont="1" applyFill="1" applyBorder="1"/>
    <xf numFmtId="0" fontId="5" fillId="0" borderId="20" xfId="0" applyFont="1" applyFill="1" applyBorder="1"/>
    <xf numFmtId="0" fontId="5" fillId="0" borderId="22" xfId="0" applyFont="1" applyFill="1" applyBorder="1"/>
    <xf numFmtId="0" fontId="5" fillId="0" borderId="23" xfId="0" applyFont="1" applyFill="1" applyBorder="1"/>
    <xf numFmtId="0" fontId="22" fillId="0" borderId="42" xfId="0" applyFont="1" applyFill="1" applyBorder="1" applyAlignment="1">
      <alignment horizontal="center"/>
    </xf>
    <xf numFmtId="0" fontId="22" fillId="0" borderId="50" xfId="0" applyFont="1" applyFill="1" applyBorder="1" applyAlignment="1">
      <alignment horizontal="center"/>
    </xf>
    <xf numFmtId="0" fontId="22" fillId="0" borderId="20" xfId="0" applyFont="1" applyFill="1" applyBorder="1"/>
    <xf numFmtId="0" fontId="104" fillId="0" borderId="0" xfId="0" applyFont="1" applyFill="1" applyBorder="1"/>
    <xf numFmtId="0" fontId="105" fillId="0" borderId="0" xfId="569" applyFont="1" applyFill="1"/>
    <xf numFmtId="0" fontId="105" fillId="0" borderId="0" xfId="569" applyFont="1" applyFill="1" applyBorder="1"/>
    <xf numFmtId="0" fontId="105" fillId="0" borderId="0" xfId="569" applyFont="1" applyFill="1" applyAlignment="1">
      <alignment horizontal="center"/>
    </xf>
    <xf numFmtId="0" fontId="105" fillId="0" borderId="0" xfId="569" quotePrefix="1" applyFont="1" applyFill="1" applyAlignment="1">
      <alignment horizontal="center"/>
    </xf>
    <xf numFmtId="0" fontId="105" fillId="0" borderId="0" xfId="569" applyFont="1" applyAlignment="1">
      <alignment horizontal="center"/>
    </xf>
    <xf numFmtId="173" fontId="137" fillId="0" borderId="0" xfId="0" applyNumberFormat="1" applyFont="1" applyFill="1" applyBorder="1"/>
    <xf numFmtId="0" fontId="105" fillId="0" borderId="0" xfId="569" applyFont="1" applyBorder="1"/>
    <xf numFmtId="173" fontId="105" fillId="0" borderId="130" xfId="301" applyNumberFormat="1" applyFont="1" applyFill="1" applyBorder="1"/>
    <xf numFmtId="170" fontId="104" fillId="0" borderId="131" xfId="569" applyNumberFormat="1" applyFont="1" applyFill="1" applyBorder="1"/>
    <xf numFmtId="173" fontId="105" fillId="0" borderId="0" xfId="301" applyNumberFormat="1" applyFont="1" applyFill="1" applyBorder="1" applyProtection="1">
      <protection locked="0"/>
    </xf>
    <xf numFmtId="0" fontId="105" fillId="0" borderId="132" xfId="569" applyFont="1" applyFill="1" applyBorder="1"/>
    <xf numFmtId="0" fontId="105" fillId="0" borderId="133" xfId="569" quotePrefix="1" applyFont="1" applyFill="1" applyBorder="1" applyAlignment="1">
      <alignment horizontal="center"/>
    </xf>
    <xf numFmtId="0" fontId="105" fillId="0" borderId="133" xfId="569" applyFont="1" applyFill="1" applyBorder="1"/>
    <xf numFmtId="0" fontId="105" fillId="0" borderId="133" xfId="569" applyFont="1" applyFill="1" applyBorder="1" applyAlignment="1">
      <alignment horizontal="left"/>
    </xf>
    <xf numFmtId="0" fontId="105" fillId="0" borderId="132" xfId="569" applyFont="1" applyBorder="1"/>
    <xf numFmtId="0" fontId="105" fillId="0" borderId="133" xfId="569" applyFont="1" applyBorder="1"/>
    <xf numFmtId="0" fontId="104" fillId="0" borderId="133" xfId="0" applyFont="1" applyBorder="1"/>
    <xf numFmtId="0" fontId="104" fillId="0" borderId="134" xfId="0" applyFont="1" applyBorder="1"/>
    <xf numFmtId="0" fontId="104" fillId="0" borderId="132" xfId="0" applyFont="1" applyBorder="1"/>
    <xf numFmtId="0" fontId="104" fillId="0" borderId="137" xfId="0" applyFont="1" applyBorder="1"/>
    <xf numFmtId="0" fontId="104" fillId="0" borderId="135" xfId="0" applyFont="1" applyBorder="1"/>
    <xf numFmtId="0" fontId="150" fillId="0" borderId="0" xfId="561" applyFont="1" applyFill="1" applyAlignment="1">
      <alignment wrapText="1"/>
    </xf>
    <xf numFmtId="0" fontId="137" fillId="0" borderId="0" xfId="561" applyFont="1" applyFill="1" applyAlignment="1">
      <alignment wrapText="1"/>
    </xf>
    <xf numFmtId="0" fontId="137" fillId="0" borderId="0" xfId="561" applyFont="1" applyFill="1" applyAlignment="1">
      <alignment horizontal="left" wrapText="1"/>
    </xf>
    <xf numFmtId="0" fontId="137" fillId="0" borderId="0" xfId="561" applyFont="1"/>
    <xf numFmtId="0" fontId="137" fillId="0" borderId="109" xfId="561" applyFont="1" applyFill="1" applyBorder="1"/>
    <xf numFmtId="0" fontId="137" fillId="0" borderId="110" xfId="561" applyFont="1" applyBorder="1"/>
    <xf numFmtId="0" fontId="136" fillId="0" borderId="111" xfId="561" applyFont="1" applyFill="1" applyBorder="1" applyAlignment="1">
      <alignment horizontal="center"/>
    </xf>
    <xf numFmtId="0" fontId="136" fillId="0" borderId="112" xfId="561" applyFont="1" applyFill="1" applyBorder="1"/>
    <xf numFmtId="0" fontId="137" fillId="0" borderId="1" xfId="561" applyFont="1" applyBorder="1"/>
    <xf numFmtId="0" fontId="136" fillId="0" borderId="113" xfId="561" applyFont="1" applyFill="1" applyBorder="1" applyAlignment="1">
      <alignment horizontal="center"/>
    </xf>
    <xf numFmtId="0" fontId="136" fillId="0" borderId="1" xfId="561" applyFont="1" applyFill="1" applyBorder="1"/>
    <xf numFmtId="0" fontId="137" fillId="0" borderId="113" xfId="561" applyFont="1" applyBorder="1"/>
    <xf numFmtId="0" fontId="137" fillId="0" borderId="112" xfId="561" applyFont="1" applyBorder="1" applyAlignment="1">
      <alignment horizontal="center"/>
    </xf>
    <xf numFmtId="0" fontId="137" fillId="0" borderId="1" xfId="561" applyFont="1" applyFill="1" applyBorder="1" applyAlignment="1">
      <alignment horizontal="center"/>
    </xf>
    <xf numFmtId="0" fontId="136" fillId="0" borderId="112" xfId="561" applyFont="1" applyFill="1" applyBorder="1" applyAlignment="1">
      <alignment horizontal="center"/>
    </xf>
    <xf numFmtId="0" fontId="137" fillId="0" borderId="1" xfId="561" applyFont="1" applyFill="1" applyBorder="1" applyAlignment="1">
      <alignment horizontal="left"/>
    </xf>
    <xf numFmtId="173" fontId="137" fillId="0" borderId="0" xfId="301" applyNumberFormat="1" applyFont="1" applyFill="1" applyBorder="1"/>
    <xf numFmtId="0" fontId="137" fillId="0" borderId="114" xfId="561" applyFont="1" applyBorder="1" applyAlignment="1">
      <alignment horizontal="center"/>
    </xf>
    <xf numFmtId="0" fontId="137" fillId="0" borderId="87" xfId="561" applyFont="1" applyFill="1" applyBorder="1" applyAlignment="1">
      <alignment horizontal="center"/>
    </xf>
    <xf numFmtId="0" fontId="137" fillId="0" borderId="115" xfId="561" applyFont="1" applyBorder="1"/>
    <xf numFmtId="170" fontId="105" fillId="0" borderId="134" xfId="569" applyNumberFormat="1" applyFont="1" applyFill="1" applyBorder="1"/>
    <xf numFmtId="0" fontId="151" fillId="0" borderId="0" xfId="0" applyFont="1"/>
    <xf numFmtId="0" fontId="108" fillId="0" borderId="119" xfId="0" applyFont="1" applyBorder="1"/>
    <xf numFmtId="0" fontId="116" fillId="0" borderId="0" xfId="0" applyFont="1" applyBorder="1"/>
    <xf numFmtId="0" fontId="64" fillId="0" borderId="0" xfId="0" applyFont="1" applyAlignment="1"/>
    <xf numFmtId="0" fontId="2" fillId="0" borderId="0" xfId="0" applyFont="1" applyAlignment="1"/>
    <xf numFmtId="0" fontId="11" fillId="0" borderId="0" xfId="572" applyFont="1" applyFill="1" applyAlignment="1"/>
    <xf numFmtId="0" fontId="0" fillId="0" borderId="116" xfId="0" applyBorder="1"/>
    <xf numFmtId="0" fontId="0" fillId="0" borderId="105" xfId="0" applyBorder="1"/>
    <xf numFmtId="173" fontId="6" fillId="25" borderId="105" xfId="301" applyNumberFormat="1" applyFont="1" applyFill="1" applyBorder="1"/>
    <xf numFmtId="0" fontId="0" fillId="0" borderId="141" xfId="0" applyBorder="1"/>
    <xf numFmtId="0" fontId="6" fillId="33" borderId="45" xfId="0" applyFont="1" applyFill="1" applyBorder="1"/>
    <xf numFmtId="0" fontId="6" fillId="0" borderId="45" xfId="0" applyFont="1" applyBorder="1"/>
    <xf numFmtId="0" fontId="0" fillId="0" borderId="46" xfId="0" applyBorder="1"/>
    <xf numFmtId="0" fontId="0" fillId="0" borderId="103" xfId="0" applyBorder="1"/>
    <xf numFmtId="0" fontId="0" fillId="0" borderId="125" xfId="0" applyBorder="1"/>
    <xf numFmtId="0" fontId="0" fillId="25" borderId="1" xfId="0" applyFill="1" applyBorder="1"/>
    <xf numFmtId="173" fontId="0" fillId="0" borderId="1" xfId="301" applyNumberFormat="1" applyFont="1" applyBorder="1"/>
    <xf numFmtId="0" fontId="0" fillId="0" borderId="144" xfId="0" applyBorder="1"/>
    <xf numFmtId="0" fontId="0" fillId="0" borderId="1" xfId="0" applyBorder="1" applyAlignment="1">
      <alignment horizontal="center"/>
    </xf>
    <xf numFmtId="0" fontId="0" fillId="0" borderId="100" xfId="0" applyBorder="1"/>
    <xf numFmtId="0" fontId="0" fillId="0" borderId="84" xfId="0" applyBorder="1"/>
    <xf numFmtId="0" fontId="0" fillId="0" borderId="146" xfId="0" applyBorder="1"/>
    <xf numFmtId="0" fontId="0" fillId="0" borderId="61" xfId="0" applyBorder="1"/>
    <xf numFmtId="0" fontId="6" fillId="0" borderId="58" xfId="0" applyFont="1" applyBorder="1"/>
    <xf numFmtId="0" fontId="6" fillId="0" borderId="125" xfId="0" applyFont="1" applyBorder="1"/>
    <xf numFmtId="0" fontId="0" fillId="0" borderId="142" xfId="0" applyBorder="1"/>
    <xf numFmtId="0" fontId="0" fillId="0" borderId="145" xfId="0" applyBorder="1"/>
    <xf numFmtId="0" fontId="0" fillId="0" borderId="45" xfId="0" applyFill="1" applyBorder="1"/>
    <xf numFmtId="0" fontId="6" fillId="0" borderId="145" xfId="0" applyFont="1" applyBorder="1"/>
    <xf numFmtId="0" fontId="6" fillId="0" borderId="142" xfId="0" applyFont="1" applyBorder="1"/>
    <xf numFmtId="0" fontId="12" fillId="0" borderId="142" xfId="0" applyFont="1" applyBorder="1"/>
    <xf numFmtId="173" fontId="0" fillId="33" borderId="142" xfId="301" applyNumberFormat="1" applyFont="1" applyFill="1" applyBorder="1"/>
    <xf numFmtId="0" fontId="0" fillId="0" borderId="142" xfId="0" applyFill="1" applyBorder="1"/>
    <xf numFmtId="0" fontId="0" fillId="0" borderId="142" xfId="0" applyFill="1" applyBorder="1" applyAlignment="1">
      <alignment horizontal="center"/>
    </xf>
    <xf numFmtId="0" fontId="0" fillId="25" borderId="145" xfId="0" applyFill="1" applyBorder="1"/>
    <xf numFmtId="0" fontId="12" fillId="0" borderId="45" xfId="0" applyFont="1" applyBorder="1"/>
    <xf numFmtId="0" fontId="6" fillId="25" borderId="45" xfId="0" applyFont="1" applyFill="1" applyBorder="1"/>
    <xf numFmtId="0" fontId="0" fillId="0" borderId="52" xfId="0" applyBorder="1"/>
    <xf numFmtId="0" fontId="5" fillId="0" borderId="1" xfId="0" applyFont="1" applyBorder="1" applyAlignment="1">
      <alignment horizontal="center" vertical="top" wrapText="1"/>
    </xf>
    <xf numFmtId="0" fontId="22" fillId="0" borderId="1" xfId="0" applyFont="1" applyBorder="1" applyAlignment="1">
      <alignment horizontal="center" vertical="top" wrapText="1"/>
    </xf>
    <xf numFmtId="193" fontId="152" fillId="0" borderId="1" xfId="301" applyNumberFormat="1" applyFont="1" applyFill="1" applyBorder="1" applyAlignment="1">
      <alignment wrapText="1"/>
    </xf>
    <xf numFmtId="194" fontId="152" fillId="0" borderId="1" xfId="301" applyNumberFormat="1" applyFont="1" applyFill="1" applyBorder="1" applyAlignment="1">
      <alignment wrapText="1"/>
    </xf>
    <xf numFmtId="195" fontId="152" fillId="0" borderId="1" xfId="301" applyNumberFormat="1" applyFont="1" applyFill="1" applyBorder="1" applyAlignment="1">
      <alignment wrapText="1"/>
    </xf>
    <xf numFmtId="196" fontId="152" fillId="0" borderId="1" xfId="301" applyNumberFormat="1" applyFont="1" applyFill="1" applyBorder="1" applyAlignment="1">
      <alignment wrapText="1"/>
    </xf>
    <xf numFmtId="173" fontId="97" fillId="0" borderId="1" xfId="301" applyNumberFormat="1" applyFont="1" applyBorder="1"/>
    <xf numFmtId="193" fontId="152" fillId="0" borderId="53" xfId="301" applyNumberFormat="1" applyFont="1" applyFill="1" applyBorder="1" applyAlignment="1">
      <alignment wrapText="1"/>
    </xf>
    <xf numFmtId="194" fontId="152" fillId="0" borderId="53" xfId="301" applyNumberFormat="1" applyFont="1" applyFill="1" applyBorder="1" applyAlignment="1">
      <alignment wrapText="1"/>
    </xf>
    <xf numFmtId="173" fontId="97" fillId="0" borderId="53" xfId="301" applyNumberFormat="1" applyFont="1" applyBorder="1"/>
    <xf numFmtId="195" fontId="152" fillId="0" borderId="53" xfId="301" applyNumberFormat="1" applyFont="1" applyFill="1" applyBorder="1" applyAlignment="1">
      <alignment wrapText="1"/>
    </xf>
    <xf numFmtId="193" fontId="152" fillId="0" borderId="49" xfId="301" applyNumberFormat="1" applyFont="1" applyFill="1" applyBorder="1" applyAlignment="1">
      <alignment wrapText="1"/>
    </xf>
    <xf numFmtId="194" fontId="152" fillId="0" borderId="49" xfId="301" applyNumberFormat="1" applyFont="1" applyFill="1" applyBorder="1" applyAlignment="1">
      <alignment wrapText="1"/>
    </xf>
    <xf numFmtId="173" fontId="97" fillId="0" borderId="49" xfId="301" applyNumberFormat="1" applyFont="1" applyBorder="1"/>
    <xf numFmtId="195" fontId="152" fillId="0" borderId="49" xfId="301" applyNumberFormat="1" applyFont="1" applyFill="1" applyBorder="1" applyAlignment="1">
      <alignment wrapText="1"/>
    </xf>
    <xf numFmtId="193" fontId="152" fillId="29" borderId="105" xfId="301" applyNumberFormat="1" applyFont="1" applyFill="1" applyBorder="1" applyAlignment="1">
      <alignment wrapText="1"/>
    </xf>
    <xf numFmtId="194" fontId="152" fillId="29" borderId="105" xfId="301" applyNumberFormat="1" applyFont="1" applyFill="1" applyBorder="1" applyAlignment="1">
      <alignment wrapText="1"/>
    </xf>
    <xf numFmtId="193" fontId="153" fillId="29" borderId="105" xfId="301" applyNumberFormat="1" applyFont="1" applyFill="1" applyBorder="1" applyAlignment="1">
      <alignment wrapText="1"/>
    </xf>
    <xf numFmtId="195" fontId="152" fillId="29" borderId="105" xfId="301" applyNumberFormat="1" applyFont="1" applyFill="1" applyBorder="1" applyAlignment="1">
      <alignment wrapText="1"/>
    </xf>
    <xf numFmtId="196" fontId="152" fillId="0" borderId="49" xfId="301" applyNumberFormat="1" applyFont="1" applyFill="1" applyBorder="1" applyAlignment="1">
      <alignment wrapText="1"/>
    </xf>
    <xf numFmtId="193" fontId="153" fillId="35" borderId="105" xfId="301" applyNumberFormat="1" applyFont="1" applyFill="1" applyBorder="1" applyAlignment="1">
      <alignment wrapText="1"/>
    </xf>
    <xf numFmtId="194" fontId="153" fillId="35" borderId="105" xfId="301" applyNumberFormat="1" applyFont="1" applyFill="1" applyBorder="1" applyAlignment="1">
      <alignment wrapText="1"/>
    </xf>
    <xf numFmtId="196" fontId="152" fillId="35" borderId="105" xfId="301" applyNumberFormat="1" applyFont="1" applyFill="1" applyBorder="1" applyAlignment="1">
      <alignment wrapText="1"/>
    </xf>
    <xf numFmtId="193" fontId="153" fillId="0" borderId="3" xfId="301" applyNumberFormat="1" applyFont="1" applyFill="1" applyBorder="1" applyAlignment="1">
      <alignment wrapText="1"/>
    </xf>
    <xf numFmtId="194" fontId="153" fillId="0" borderId="3" xfId="301" applyNumberFormat="1" applyFont="1" applyFill="1" applyBorder="1" applyAlignment="1">
      <alignment wrapText="1"/>
    </xf>
    <xf numFmtId="196" fontId="152" fillId="0" borderId="3" xfId="301" applyNumberFormat="1" applyFont="1" applyFill="1" applyBorder="1" applyAlignment="1">
      <alignment wrapText="1"/>
    </xf>
    <xf numFmtId="193" fontId="152" fillId="0" borderId="105" xfId="301" applyNumberFormat="1" applyFont="1" applyFill="1" applyBorder="1" applyAlignment="1">
      <alignment wrapText="1"/>
    </xf>
    <xf numFmtId="195" fontId="152" fillId="0" borderId="105" xfId="301" applyNumberFormat="1" applyFont="1" applyFill="1" applyBorder="1" applyAlignment="1">
      <alignment wrapText="1"/>
    </xf>
    <xf numFmtId="194" fontId="153" fillId="0" borderId="49" xfId="301" applyNumberFormat="1" applyFont="1" applyFill="1" applyBorder="1" applyAlignment="1">
      <alignment wrapText="1"/>
    </xf>
    <xf numFmtId="193" fontId="152" fillId="22" borderId="105" xfId="301" applyNumberFormat="1" applyFont="1" applyFill="1" applyBorder="1" applyAlignment="1">
      <alignment wrapText="1"/>
    </xf>
    <xf numFmtId="194" fontId="153" fillId="22" borderId="105" xfId="301" applyNumberFormat="1" applyFont="1" applyFill="1" applyBorder="1" applyAlignment="1">
      <alignment wrapText="1"/>
    </xf>
    <xf numFmtId="196" fontId="152" fillId="22" borderId="105" xfId="301" applyNumberFormat="1" applyFont="1" applyFill="1" applyBorder="1" applyAlignment="1">
      <alignment wrapText="1"/>
    </xf>
    <xf numFmtId="0" fontId="0" fillId="0" borderId="139" xfId="0" applyBorder="1"/>
    <xf numFmtId="195" fontId="152" fillId="0" borderId="1" xfId="301" applyNumberFormat="1" applyFont="1" applyBorder="1" applyAlignment="1">
      <alignment wrapText="1"/>
    </xf>
    <xf numFmtId="195" fontId="153" fillId="0" borderId="49" xfId="301" applyNumberFormat="1" applyFont="1" applyFill="1" applyBorder="1" applyAlignment="1">
      <alignment wrapText="1"/>
    </xf>
    <xf numFmtId="193" fontId="153" fillId="0" borderId="49" xfId="301" applyNumberFormat="1" applyFont="1" applyFill="1" applyBorder="1" applyAlignment="1">
      <alignment wrapText="1"/>
    </xf>
    <xf numFmtId="0" fontId="0" fillId="37" borderId="105" xfId="0" applyFill="1" applyBorder="1"/>
    <xf numFmtId="0" fontId="0" fillId="22" borderId="105" xfId="0" applyFill="1" applyBorder="1"/>
    <xf numFmtId="195" fontId="153" fillId="22" borderId="105" xfId="301" applyNumberFormat="1" applyFont="1" applyFill="1" applyBorder="1" applyAlignment="1">
      <alignment wrapText="1"/>
    </xf>
    <xf numFmtId="193" fontId="152" fillId="37" borderId="105" xfId="301" applyNumberFormat="1" applyFont="1" applyFill="1" applyBorder="1" applyAlignment="1">
      <alignment wrapText="1"/>
    </xf>
    <xf numFmtId="0" fontId="0" fillId="0" borderId="152" xfId="0" applyBorder="1"/>
    <xf numFmtId="193" fontId="152" fillId="35" borderId="105" xfId="301" applyNumberFormat="1" applyFont="1" applyFill="1" applyBorder="1" applyAlignment="1">
      <alignment wrapText="1"/>
    </xf>
    <xf numFmtId="0" fontId="0" fillId="35" borderId="105" xfId="0" applyFill="1" applyBorder="1"/>
    <xf numFmtId="195" fontId="153" fillId="35" borderId="105" xfId="301" applyNumberFormat="1" applyFont="1" applyFill="1" applyBorder="1" applyAlignment="1">
      <alignment wrapText="1"/>
    </xf>
    <xf numFmtId="0" fontId="22" fillId="0" borderId="153" xfId="0" applyFont="1" applyBorder="1" applyAlignment="1">
      <alignment horizontal="center" vertical="top" wrapText="1"/>
    </xf>
    <xf numFmtId="0" fontId="22" fillId="0" borderId="97" xfId="0" applyFont="1" applyBorder="1" applyAlignment="1">
      <alignment horizontal="center" vertical="top" wrapText="1"/>
    </xf>
    <xf numFmtId="0" fontId="28" fillId="0" borderId="35" xfId="0" applyFont="1" applyBorder="1" applyAlignment="1">
      <alignment vertical="top" wrapText="1"/>
    </xf>
    <xf numFmtId="0" fontId="22" fillId="0" borderId="36" xfId="0" applyFont="1" applyBorder="1" applyAlignment="1">
      <alignment horizontal="center" vertical="top" wrapText="1"/>
    </xf>
    <xf numFmtId="0" fontId="6" fillId="25" borderId="154" xfId="0" applyFont="1" applyFill="1" applyBorder="1"/>
    <xf numFmtId="0" fontId="5" fillId="0" borderId="35" xfId="0" applyFont="1" applyFill="1" applyBorder="1" applyAlignment="1">
      <alignment wrapText="1"/>
    </xf>
    <xf numFmtId="193" fontId="152" fillId="0" borderId="36" xfId="301" applyNumberFormat="1" applyFont="1" applyFill="1" applyBorder="1" applyAlignment="1">
      <alignment wrapText="1"/>
    </xf>
    <xf numFmtId="0" fontId="5" fillId="0" borderId="35" xfId="0" applyFont="1" applyFill="1" applyBorder="1" applyAlignment="1">
      <alignment horizontal="left" wrapText="1"/>
    </xf>
    <xf numFmtId="194" fontId="152" fillId="0" borderId="36" xfId="301" applyNumberFormat="1" applyFont="1" applyFill="1" applyBorder="1" applyAlignment="1">
      <alignment wrapText="1"/>
    </xf>
    <xf numFmtId="0" fontId="5" fillId="0" borderId="52" xfId="0" applyFont="1" applyFill="1" applyBorder="1" applyAlignment="1">
      <alignment wrapText="1"/>
    </xf>
    <xf numFmtId="195" fontId="152" fillId="0" borderId="54" xfId="301" applyNumberFormat="1" applyFont="1" applyFill="1" applyBorder="1" applyAlignment="1">
      <alignment wrapText="1"/>
    </xf>
    <xf numFmtId="0" fontId="5" fillId="0" borderId="77" xfId="0" applyFont="1" applyFill="1" applyBorder="1" applyAlignment="1">
      <alignment wrapText="1"/>
    </xf>
    <xf numFmtId="195" fontId="152" fillId="0" borderId="50" xfId="301" applyNumberFormat="1" applyFont="1" applyFill="1" applyBorder="1" applyAlignment="1">
      <alignment wrapText="1"/>
    </xf>
    <xf numFmtId="0" fontId="22" fillId="29" borderId="151" xfId="0" applyFont="1" applyFill="1" applyBorder="1" applyAlignment="1">
      <alignment horizontal="left" wrapText="1"/>
    </xf>
    <xf numFmtId="195" fontId="152" fillId="29" borderId="79" xfId="301" applyNumberFormat="1" applyFont="1" applyFill="1" applyBorder="1" applyAlignment="1">
      <alignment wrapText="1"/>
    </xf>
    <xf numFmtId="194" fontId="152" fillId="0" borderId="50" xfId="301" applyNumberFormat="1" applyFont="1" applyFill="1" applyBorder="1" applyAlignment="1">
      <alignment wrapText="1"/>
    </xf>
    <xf numFmtId="0" fontId="22" fillId="35" borderId="151" xfId="0" applyFont="1" applyFill="1" applyBorder="1" applyAlignment="1">
      <alignment horizontal="left"/>
    </xf>
    <xf numFmtId="194" fontId="152" fillId="35" borderId="79" xfId="301" applyNumberFormat="1" applyFont="1" applyFill="1" applyBorder="1" applyAlignment="1">
      <alignment wrapText="1"/>
    </xf>
    <xf numFmtId="0" fontId="22" fillId="0" borderId="33" xfId="0" applyFont="1" applyFill="1" applyBorder="1" applyAlignment="1">
      <alignment horizontal="center" wrapText="1"/>
    </xf>
    <xf numFmtId="194" fontId="152" fillId="0" borderId="34" xfId="301" applyNumberFormat="1" applyFont="1" applyFill="1" applyBorder="1" applyAlignment="1">
      <alignment wrapText="1"/>
    </xf>
    <xf numFmtId="0" fontId="22" fillId="0" borderId="151" xfId="0" applyFont="1" applyFill="1" applyBorder="1" applyAlignment="1">
      <alignment wrapText="1"/>
    </xf>
    <xf numFmtId="0" fontId="22" fillId="0" borderId="77" xfId="0" applyFont="1" applyFill="1" applyBorder="1" applyAlignment="1">
      <alignment wrapText="1"/>
    </xf>
    <xf numFmtId="0" fontId="22" fillId="22" borderId="151" xfId="0" applyFont="1" applyFill="1" applyBorder="1" applyAlignment="1">
      <alignment horizontal="left" wrapText="1"/>
    </xf>
    <xf numFmtId="194" fontId="152" fillId="22" borderId="79" xfId="301" applyNumberFormat="1" applyFont="1" applyFill="1" applyBorder="1" applyAlignment="1">
      <alignment wrapText="1"/>
    </xf>
    <xf numFmtId="0" fontId="5" fillId="0" borderId="33" xfId="0" applyFont="1" applyFill="1" applyBorder="1" applyAlignment="1">
      <alignment wrapText="1"/>
    </xf>
    <xf numFmtId="0" fontId="22" fillId="29" borderId="155" xfId="0" applyFont="1" applyFill="1" applyBorder="1" applyAlignment="1">
      <alignment horizontal="left" wrapText="1"/>
    </xf>
    <xf numFmtId="0" fontId="0" fillId="0" borderId="156" xfId="0" applyBorder="1"/>
    <xf numFmtId="0" fontId="0" fillId="0" borderId="157" xfId="0" applyBorder="1"/>
    <xf numFmtId="0" fontId="28" fillId="0" borderId="35" xfId="0" applyFont="1" applyBorder="1" applyAlignment="1">
      <alignment horizontal="center" vertical="top" wrapText="1"/>
    </xf>
    <xf numFmtId="0" fontId="22" fillId="25" borderId="35" xfId="0" applyFont="1" applyFill="1" applyBorder="1" applyAlignment="1">
      <alignment wrapText="1"/>
    </xf>
    <xf numFmtId="196" fontId="152" fillId="0" borderId="36" xfId="301" applyNumberFormat="1" applyFont="1" applyFill="1" applyBorder="1" applyAlignment="1">
      <alignment wrapText="1"/>
    </xf>
    <xf numFmtId="0" fontId="5" fillId="0" borderId="35" xfId="0" quotePrefix="1" applyFont="1" applyFill="1" applyBorder="1" applyAlignment="1">
      <alignment wrapText="1"/>
    </xf>
    <xf numFmtId="0" fontId="22" fillId="25" borderId="52" xfId="0" applyFont="1" applyFill="1" applyBorder="1" applyAlignment="1">
      <alignment wrapText="1"/>
    </xf>
    <xf numFmtId="0" fontId="5" fillId="0" borderId="151" xfId="0" applyFont="1" applyFill="1" applyBorder="1" applyAlignment="1">
      <alignment horizontal="left" wrapText="1"/>
    </xf>
    <xf numFmtId="194" fontId="153" fillId="0" borderId="50" xfId="301" applyNumberFormat="1" applyFont="1" applyFill="1" applyBorder="1" applyAlignment="1">
      <alignment wrapText="1"/>
    </xf>
    <xf numFmtId="0" fontId="22" fillId="29" borderId="151" xfId="0" applyFont="1" applyFill="1" applyBorder="1" applyAlignment="1">
      <alignment horizontal="left"/>
    </xf>
    <xf numFmtId="0" fontId="22" fillId="0" borderId="77" xfId="0" applyFont="1" applyFill="1" applyBorder="1" applyAlignment="1">
      <alignment horizontal="left"/>
    </xf>
    <xf numFmtId="0" fontId="22" fillId="35" borderId="151" xfId="0" applyFont="1" applyFill="1" applyBorder="1" applyAlignment="1"/>
    <xf numFmtId="194" fontId="153" fillId="35" borderId="79" xfId="301" applyNumberFormat="1" applyFont="1" applyFill="1" applyBorder="1" applyAlignment="1">
      <alignment wrapText="1"/>
    </xf>
    <xf numFmtId="0" fontId="22" fillId="22" borderId="151" xfId="0" applyFont="1" applyFill="1" applyBorder="1" applyAlignment="1"/>
    <xf numFmtId="195" fontId="153" fillId="22" borderId="79" xfId="301" applyNumberFormat="1" applyFont="1" applyFill="1" applyBorder="1" applyAlignment="1">
      <alignment wrapText="1"/>
    </xf>
    <xf numFmtId="0" fontId="22" fillId="0" borderId="77" xfId="0" applyFont="1" applyFill="1" applyBorder="1" applyAlignment="1"/>
    <xf numFmtId="0" fontId="0" fillId="0" borderId="158" xfId="0" applyBorder="1"/>
    <xf numFmtId="0" fontId="0" fillId="0" borderId="159" xfId="0" applyBorder="1"/>
    <xf numFmtId="0" fontId="22" fillId="39" borderId="149" xfId="0" applyFont="1" applyFill="1" applyBorder="1"/>
    <xf numFmtId="0" fontId="0" fillId="39" borderId="150" xfId="0" applyFill="1" applyBorder="1"/>
    <xf numFmtId="0" fontId="6" fillId="0" borderId="46" xfId="0" applyFont="1" applyFill="1" applyBorder="1"/>
    <xf numFmtId="0" fontId="6" fillId="0" borderId="103" xfId="0" applyFont="1" applyFill="1" applyBorder="1"/>
    <xf numFmtId="0" fontId="0" fillId="0" borderId="160" xfId="0" applyBorder="1"/>
    <xf numFmtId="0" fontId="0" fillId="0" borderId="46" xfId="0" applyFill="1" applyBorder="1"/>
    <xf numFmtId="0" fontId="0" fillId="0" borderId="1" xfId="0" applyFill="1" applyBorder="1"/>
    <xf numFmtId="43" fontId="0" fillId="0" borderId="1" xfId="0" applyNumberFormat="1" applyBorder="1"/>
    <xf numFmtId="0" fontId="6" fillId="0" borderId="107" xfId="0" applyFont="1" applyBorder="1"/>
    <xf numFmtId="0" fontId="0" fillId="0" borderId="100" xfId="0" applyFill="1" applyBorder="1"/>
    <xf numFmtId="0" fontId="6" fillId="0" borderId="161" xfId="0" applyFont="1" applyBorder="1"/>
    <xf numFmtId="0" fontId="0" fillId="0" borderId="162" xfId="0" applyBorder="1"/>
    <xf numFmtId="0" fontId="6" fillId="0" borderId="153" xfId="0" applyFont="1" applyFill="1" applyBorder="1" applyAlignment="1">
      <alignment horizontal="center"/>
    </xf>
    <xf numFmtId="0" fontId="6" fillId="0" borderId="153" xfId="0" applyFont="1" applyFill="1" applyBorder="1" applyAlignment="1">
      <alignment textRotation="90" wrapText="1" shrinkToFit="1"/>
    </xf>
    <xf numFmtId="49" fontId="6" fillId="41" borderId="153" xfId="0" applyNumberFormat="1" applyFont="1" applyFill="1" applyBorder="1" applyAlignment="1">
      <alignment horizontal="center" textRotation="90" wrapText="1" shrinkToFit="1"/>
    </xf>
    <xf numFmtId="0" fontId="6" fillId="0" borderId="153" xfId="0" applyFont="1" applyBorder="1" applyAlignment="1">
      <alignment horizontal="center" textRotation="90" wrapText="1"/>
    </xf>
    <xf numFmtId="49" fontId="0" fillId="40" borderId="153" xfId="0" applyNumberFormat="1" applyFill="1" applyBorder="1" applyAlignment="1">
      <alignment textRotation="90" wrapText="1"/>
    </xf>
    <xf numFmtId="49" fontId="56" fillId="0" borderId="153" xfId="0" applyNumberFormat="1" applyFont="1" applyFill="1" applyBorder="1" applyAlignment="1">
      <alignment horizontal="center" textRotation="90" wrapText="1"/>
    </xf>
    <xf numFmtId="0" fontId="21" fillId="0" borderId="153" xfId="0" applyFont="1" applyBorder="1" applyAlignment="1">
      <alignment textRotation="90" wrapText="1"/>
    </xf>
    <xf numFmtId="0" fontId="21" fillId="0" borderId="153" xfId="0" applyFont="1" applyFill="1" applyBorder="1" applyAlignment="1">
      <alignment textRotation="90" wrapText="1"/>
    </xf>
    <xf numFmtId="0" fontId="21" fillId="0" borderId="97" xfId="0" applyFont="1" applyFill="1" applyBorder="1" applyAlignment="1">
      <alignment textRotation="90" wrapText="1"/>
    </xf>
    <xf numFmtId="49" fontId="0" fillId="0" borderId="1" xfId="0" applyNumberFormat="1" applyBorder="1" applyAlignment="1">
      <alignment horizontal="center"/>
    </xf>
    <xf numFmtId="49" fontId="0" fillId="40" borderId="1" xfId="0" applyNumberFormat="1" applyFill="1" applyBorder="1"/>
    <xf numFmtId="49" fontId="56" fillId="0" borderId="1" xfId="0" applyNumberFormat="1" applyFont="1" applyFill="1" applyBorder="1" applyAlignment="1">
      <alignment horizontal="center"/>
    </xf>
    <xf numFmtId="4" fontId="0" fillId="0" borderId="1" xfId="0" applyNumberFormat="1" applyBorder="1"/>
    <xf numFmtId="0" fontId="0" fillId="31" borderId="1" xfId="0" applyFill="1" applyBorder="1"/>
    <xf numFmtId="170" fontId="0" fillId="31" borderId="1" xfId="0" applyNumberFormat="1" applyFill="1" applyBorder="1"/>
    <xf numFmtId="43" fontId="0" fillId="31" borderId="1" xfId="301" applyFont="1" applyFill="1" applyBorder="1"/>
    <xf numFmtId="3" fontId="12" fillId="31" borderId="1" xfId="301" applyNumberFormat="1" applyFont="1" applyFill="1" applyBorder="1" applyAlignment="1">
      <alignment horizontal="center"/>
    </xf>
    <xf numFmtId="3" fontId="0" fillId="31" borderId="1" xfId="0" applyNumberFormat="1" applyFill="1" applyBorder="1" applyAlignment="1">
      <alignment horizontal="center"/>
    </xf>
    <xf numFmtId="0" fontId="0" fillId="31" borderId="1" xfId="0" applyFill="1" applyBorder="1" applyAlignment="1">
      <alignment horizontal="center"/>
    </xf>
    <xf numFmtId="1" fontId="56" fillId="31" borderId="1" xfId="0" applyNumberFormat="1" applyFont="1" applyFill="1" applyBorder="1" applyAlignment="1">
      <alignment horizontal="center"/>
    </xf>
    <xf numFmtId="11" fontId="0" fillId="31" borderId="1" xfId="0" applyNumberFormat="1" applyFill="1" applyBorder="1"/>
    <xf numFmtId="9" fontId="0" fillId="31" borderId="1" xfId="0" applyNumberFormat="1" applyFill="1" applyBorder="1"/>
    <xf numFmtId="3" fontId="0" fillId="31" borderId="1" xfId="0" applyNumberFormat="1" applyFill="1" applyBorder="1"/>
    <xf numFmtId="4" fontId="0" fillId="31" borderId="1" xfId="0" applyNumberFormat="1" applyFill="1" applyBorder="1"/>
    <xf numFmtId="4" fontId="0" fillId="31" borderId="36" xfId="0" applyNumberFormat="1" applyFill="1" applyBorder="1"/>
    <xf numFmtId="170" fontId="0" fillId="0" borderId="1" xfId="0" applyNumberFormat="1" applyFill="1" applyBorder="1"/>
    <xf numFmtId="43" fontId="0" fillId="41" borderId="1" xfId="301" applyFont="1" applyFill="1" applyBorder="1"/>
    <xf numFmtId="3" fontId="0" fillId="0" borderId="1" xfId="0" applyNumberFormat="1" applyBorder="1" applyAlignment="1">
      <alignment horizontal="center"/>
    </xf>
    <xf numFmtId="3" fontId="0" fillId="29" borderId="1" xfId="0" applyNumberFormat="1" applyFill="1" applyBorder="1" applyAlignment="1">
      <alignment horizontal="center"/>
    </xf>
    <xf numFmtId="0" fontId="0" fillId="40" borderId="1" xfId="0" applyFill="1" applyBorder="1" applyAlignment="1">
      <alignment horizontal="center"/>
    </xf>
    <xf numFmtId="1" fontId="56" fillId="0" borderId="1" xfId="0" applyNumberFormat="1" applyFont="1" applyFill="1" applyBorder="1" applyAlignment="1">
      <alignment horizontal="center"/>
    </xf>
    <xf numFmtId="11" fontId="0" fillId="0" borderId="1" xfId="0" applyNumberFormat="1" applyBorder="1"/>
    <xf numFmtId="9" fontId="0" fillId="0" borderId="1" xfId="0" applyNumberFormat="1" applyBorder="1"/>
    <xf numFmtId="4" fontId="0" fillId="0" borderId="36" xfId="0" applyNumberFormat="1" applyBorder="1"/>
    <xf numFmtId="43" fontId="0" fillId="0" borderId="1" xfId="301" applyFont="1" applyFill="1" applyBorder="1"/>
    <xf numFmtId="3" fontId="0" fillId="0" borderId="1" xfId="0" applyNumberFormat="1" applyFill="1" applyBorder="1" applyAlignment="1">
      <alignment horizontal="center"/>
    </xf>
    <xf numFmtId="0" fontId="0" fillId="0" borderId="1" xfId="0" applyFill="1" applyBorder="1" applyAlignment="1">
      <alignment horizontal="center"/>
    </xf>
    <xf numFmtId="43" fontId="0" fillId="0" borderId="1" xfId="301" applyFont="1" applyBorder="1"/>
    <xf numFmtId="10" fontId="0" fillId="31" borderId="1" xfId="0" applyNumberFormat="1" applyFill="1" applyBorder="1"/>
    <xf numFmtId="4" fontId="0" fillId="31" borderId="1" xfId="301" applyNumberFormat="1" applyFont="1" applyFill="1" applyBorder="1"/>
    <xf numFmtId="9" fontId="0" fillId="31" borderId="1" xfId="301" applyNumberFormat="1" applyFont="1" applyFill="1" applyBorder="1"/>
    <xf numFmtId="43" fontId="0" fillId="31" borderId="1" xfId="0" applyNumberFormat="1" applyFill="1" applyBorder="1"/>
    <xf numFmtId="43" fontId="0" fillId="31" borderId="36" xfId="301" applyFont="1" applyFill="1" applyBorder="1"/>
    <xf numFmtId="4" fontId="0" fillId="0" borderId="1" xfId="301" applyNumberFormat="1" applyFont="1" applyBorder="1"/>
    <xf numFmtId="9" fontId="0" fillId="0" borderId="1" xfId="301" applyNumberFormat="1" applyFont="1" applyBorder="1"/>
    <xf numFmtId="43" fontId="0" fillId="29" borderId="1" xfId="301" applyFont="1" applyFill="1" applyBorder="1"/>
    <xf numFmtId="2" fontId="0" fillId="31" borderId="1" xfId="0" applyNumberFormat="1" applyFill="1" applyBorder="1"/>
    <xf numFmtId="4" fontId="0" fillId="0" borderId="36" xfId="301" applyNumberFormat="1" applyFont="1" applyBorder="1"/>
    <xf numFmtId="43" fontId="12" fillId="31" borderId="1" xfId="0" applyNumberFormat="1" applyFont="1" applyFill="1" applyBorder="1"/>
    <xf numFmtId="0" fontId="0" fillId="28" borderId="1" xfId="0" applyFill="1" applyBorder="1"/>
    <xf numFmtId="170" fontId="0" fillId="28" borderId="1" xfId="0" applyNumberFormat="1" applyFill="1" applyBorder="1"/>
    <xf numFmtId="43" fontId="0" fillId="28" borderId="1" xfId="301" applyFont="1" applyFill="1" applyBorder="1"/>
    <xf numFmtId="3" fontId="0" fillId="28" borderId="1" xfId="0" applyNumberFormat="1" applyFill="1" applyBorder="1" applyAlignment="1">
      <alignment horizontal="center"/>
    </xf>
    <xf numFmtId="0" fontId="0" fillId="28" borderId="1" xfId="0" applyFill="1" applyBorder="1" applyAlignment="1">
      <alignment horizontal="center"/>
    </xf>
    <xf numFmtId="1" fontId="56" fillId="28" borderId="1" xfId="0" applyNumberFormat="1" applyFont="1" applyFill="1" applyBorder="1" applyAlignment="1">
      <alignment horizontal="center"/>
    </xf>
    <xf numFmtId="11" fontId="0" fillId="28" borderId="1" xfId="0" applyNumberFormat="1" applyFill="1" applyBorder="1"/>
    <xf numFmtId="9" fontId="0" fillId="28" borderId="1" xfId="0" applyNumberFormat="1" applyFill="1" applyBorder="1"/>
    <xf numFmtId="3" fontId="0" fillId="28" borderId="1" xfId="0" applyNumberFormat="1" applyFill="1" applyBorder="1"/>
    <xf numFmtId="4" fontId="0" fillId="28" borderId="1" xfId="0" applyNumberFormat="1" applyFill="1" applyBorder="1"/>
    <xf numFmtId="4" fontId="0" fillId="28" borderId="1" xfId="301" applyNumberFormat="1" applyFont="1" applyFill="1" applyBorder="1"/>
    <xf numFmtId="9" fontId="0" fillId="28" borderId="1" xfId="301" applyNumberFormat="1" applyFont="1" applyFill="1" applyBorder="1"/>
    <xf numFmtId="43" fontId="0" fillId="28" borderId="1" xfId="0" applyNumberFormat="1" applyFill="1" applyBorder="1"/>
    <xf numFmtId="4" fontId="0" fillId="28" borderId="36" xfId="0" applyNumberFormat="1" applyFill="1" applyBorder="1"/>
    <xf numFmtId="2" fontId="0" fillId="0" borderId="1" xfId="0" applyNumberFormat="1" applyBorder="1"/>
    <xf numFmtId="43" fontId="0" fillId="0" borderId="1" xfId="301" applyNumberFormat="1" applyFont="1" applyBorder="1"/>
    <xf numFmtId="1" fontId="0" fillId="40" borderId="1" xfId="0" applyNumberFormat="1" applyFill="1" applyBorder="1" applyAlignment="1">
      <alignment horizontal="center"/>
    </xf>
    <xf numFmtId="0" fontId="0" fillId="0" borderId="35" xfId="0" applyFill="1" applyBorder="1"/>
    <xf numFmtId="0" fontId="6" fillId="0" borderId="1" xfId="0" applyFont="1" applyFill="1" applyBorder="1"/>
    <xf numFmtId="0" fontId="12" fillId="0" borderId="1" xfId="0" applyFont="1" applyFill="1" applyBorder="1"/>
    <xf numFmtId="3" fontId="0" fillId="0" borderId="38" xfId="0" applyNumberFormat="1" applyBorder="1"/>
    <xf numFmtId="4" fontId="0" fillId="0" borderId="38" xfId="0" applyNumberFormat="1" applyBorder="1"/>
    <xf numFmtId="4" fontId="22" fillId="0" borderId="38" xfId="0" applyNumberFormat="1" applyFont="1" applyBorder="1"/>
    <xf numFmtId="0" fontId="6" fillId="0" borderId="38" xfId="0" applyFont="1" applyBorder="1"/>
    <xf numFmtId="4" fontId="0" fillId="0" borderId="39" xfId="0" applyNumberFormat="1" applyBorder="1"/>
    <xf numFmtId="0" fontId="6" fillId="0" borderId="96" xfId="0" applyFont="1" applyBorder="1" applyAlignment="1"/>
    <xf numFmtId="0" fontId="6" fillId="0" borderId="153" xfId="0" applyFont="1" applyBorder="1" applyAlignment="1"/>
    <xf numFmtId="43" fontId="12" fillId="0" borderId="153" xfId="0" applyNumberFormat="1" applyFont="1" applyBorder="1"/>
    <xf numFmtId="3" fontId="12" fillId="0" borderId="153" xfId="0" applyNumberFormat="1" applyFont="1" applyBorder="1"/>
    <xf numFmtId="0" fontId="0" fillId="0" borderId="153" xfId="0" applyBorder="1"/>
    <xf numFmtId="0" fontId="0" fillId="31" borderId="153" xfId="0" applyFill="1" applyBorder="1"/>
    <xf numFmtId="0" fontId="0" fillId="28" borderId="153" xfId="0" applyFill="1" applyBorder="1"/>
    <xf numFmtId="173" fontId="12" fillId="31" borderId="1" xfId="301" applyNumberFormat="1" applyFont="1" applyFill="1" applyBorder="1"/>
    <xf numFmtId="0" fontId="6" fillId="28" borderId="1" xfId="0" applyFont="1" applyFill="1" applyBorder="1" applyAlignment="1"/>
    <xf numFmtId="0" fontId="6" fillId="28" borderId="1" xfId="0" applyFont="1" applyFill="1" applyBorder="1"/>
    <xf numFmtId="173" fontId="6" fillId="28" borderId="36" xfId="301" applyNumberFormat="1" applyFont="1" applyFill="1" applyBorder="1"/>
    <xf numFmtId="0" fontId="12" fillId="0" borderId="36" xfId="0" applyFont="1" applyBorder="1"/>
    <xf numFmtId="3" fontId="12" fillId="0" borderId="1" xfId="0" applyNumberFormat="1" applyFont="1" applyBorder="1"/>
    <xf numFmtId="0" fontId="6" fillId="0" borderId="1" xfId="0" applyFont="1" applyFill="1" applyBorder="1" applyAlignment="1"/>
    <xf numFmtId="173" fontId="6" fillId="0" borderId="36" xfId="0" applyNumberFormat="1" applyFont="1" applyBorder="1"/>
    <xf numFmtId="0" fontId="0" fillId="36" borderId="1" xfId="0" applyFill="1" applyBorder="1"/>
    <xf numFmtId="43" fontId="22" fillId="36" borderId="1" xfId="301" applyFont="1" applyFill="1" applyBorder="1"/>
    <xf numFmtId="173" fontId="6" fillId="0" borderId="36" xfId="301" applyNumberFormat="1" applyFont="1" applyBorder="1"/>
    <xf numFmtId="0" fontId="6" fillId="39" borderId="1" xfId="0" applyFont="1" applyFill="1" applyBorder="1"/>
    <xf numFmtId="173" fontId="6" fillId="39" borderId="36" xfId="0" applyNumberFormat="1" applyFont="1" applyFill="1" applyBorder="1"/>
    <xf numFmtId="0" fontId="6" fillId="42" borderId="1" xfId="0" applyFont="1" applyFill="1" applyBorder="1"/>
    <xf numFmtId="0" fontId="0" fillId="42" borderId="1" xfId="0" applyFill="1" applyBorder="1"/>
    <xf numFmtId="173" fontId="6" fillId="42" borderId="36" xfId="0" applyNumberFormat="1" applyFont="1" applyFill="1" applyBorder="1"/>
    <xf numFmtId="0" fontId="91" fillId="0" borderId="1" xfId="0" applyFont="1" applyFill="1" applyBorder="1" applyAlignment="1"/>
    <xf numFmtId="0" fontId="93" fillId="0" borderId="1" xfId="0" applyFont="1" applyFill="1" applyBorder="1" applyAlignment="1"/>
    <xf numFmtId="173" fontId="91" fillId="0" borderId="36" xfId="0" applyNumberFormat="1" applyFont="1" applyFill="1" applyBorder="1"/>
    <xf numFmtId="0" fontId="6" fillId="44" borderId="1" xfId="0" applyFont="1" applyFill="1" applyBorder="1"/>
    <xf numFmtId="173" fontId="6" fillId="44" borderId="1" xfId="301" applyNumberFormat="1" applyFont="1" applyFill="1" applyBorder="1"/>
    <xf numFmtId="173" fontId="25" fillId="29" borderId="1" xfId="301" applyNumberFormat="1" applyFont="1" applyFill="1" applyBorder="1" applyProtection="1">
      <protection locked="0"/>
    </xf>
    <xf numFmtId="0" fontId="69" fillId="0" borderId="103" xfId="0" applyFont="1" applyFill="1" applyBorder="1"/>
    <xf numFmtId="0" fontId="69" fillId="0" borderId="98" xfId="0" applyFont="1" applyBorder="1"/>
    <xf numFmtId="3" fontId="12" fillId="0" borderId="164" xfId="0" quotePrefix="1" applyNumberFormat="1" applyFont="1" applyFill="1" applyBorder="1"/>
    <xf numFmtId="3" fontId="12" fillId="25" borderId="165" xfId="0" quotePrefix="1" applyNumberFormat="1" applyFont="1" applyFill="1" applyBorder="1"/>
    <xf numFmtId="2" fontId="0" fillId="0" borderId="1" xfId="0" applyNumberFormat="1" applyFill="1" applyBorder="1"/>
    <xf numFmtId="43" fontId="22" fillId="0" borderId="1" xfId="301" applyFont="1" applyBorder="1"/>
    <xf numFmtId="0" fontId="22" fillId="0" borderId="1" xfId="0" applyFont="1" applyBorder="1"/>
    <xf numFmtId="0" fontId="0" fillId="25" borderId="2" xfId="0" applyFill="1" applyBorder="1"/>
    <xf numFmtId="43" fontId="0" fillId="25" borderId="1" xfId="301" applyFont="1" applyFill="1" applyBorder="1"/>
    <xf numFmtId="174" fontId="0" fillId="0" borderId="1" xfId="301" applyNumberFormat="1" applyFont="1" applyBorder="1"/>
    <xf numFmtId="0" fontId="0" fillId="25" borderId="144" xfId="0" applyFill="1" applyBorder="1"/>
    <xf numFmtId="0" fontId="22" fillId="25" borderId="35" xfId="0" applyFont="1" applyFill="1" applyBorder="1"/>
    <xf numFmtId="173" fontId="22" fillId="0" borderId="1" xfId="301" applyNumberFormat="1" applyFont="1" applyBorder="1"/>
    <xf numFmtId="0" fontId="0" fillId="25" borderId="35" xfId="0" applyFill="1" applyBorder="1"/>
    <xf numFmtId="173" fontId="22" fillId="25" borderId="1" xfId="301" applyNumberFormat="1" applyFont="1" applyFill="1" applyBorder="1"/>
    <xf numFmtId="0" fontId="0" fillId="22" borderId="2" xfId="0" applyFill="1" applyBorder="1"/>
    <xf numFmtId="43" fontId="0" fillId="22" borderId="1" xfId="301" applyFont="1" applyFill="1" applyBorder="1"/>
    <xf numFmtId="0" fontId="0" fillId="22" borderId="35" xfId="0" applyFill="1" applyBorder="1"/>
    <xf numFmtId="0" fontId="0" fillId="41" borderId="2" xfId="0" applyFill="1" applyBorder="1"/>
    <xf numFmtId="0" fontId="0" fillId="41" borderId="35" xfId="0" applyFill="1" applyBorder="1"/>
    <xf numFmtId="43" fontId="22" fillId="25" borderId="1" xfId="301" applyFont="1" applyFill="1" applyBorder="1"/>
    <xf numFmtId="43" fontId="22" fillId="22" borderId="1" xfId="301" applyFont="1" applyFill="1" applyBorder="1"/>
    <xf numFmtId="168" fontId="0" fillId="0" borderId="1" xfId="301" applyNumberFormat="1" applyFont="1" applyBorder="1"/>
    <xf numFmtId="0" fontId="22" fillId="25" borderId="2" xfId="0" applyFont="1" applyFill="1" applyBorder="1"/>
    <xf numFmtId="0" fontId="22" fillId="0" borderId="46" xfId="0" applyFont="1" applyBorder="1"/>
    <xf numFmtId="0" fontId="0" fillId="0" borderId="2" xfId="0" applyFill="1" applyBorder="1"/>
    <xf numFmtId="43" fontId="0" fillId="0" borderId="1" xfId="301" applyNumberFormat="1" applyFont="1" applyFill="1" applyBorder="1"/>
    <xf numFmtId="168" fontId="0" fillId="22" borderId="1" xfId="301" applyNumberFormat="1" applyFont="1" applyFill="1" applyBorder="1"/>
    <xf numFmtId="0" fontId="0" fillId="0" borderId="144" xfId="0" applyFill="1" applyBorder="1"/>
    <xf numFmtId="173" fontId="0" fillId="25" borderId="1" xfId="301" applyNumberFormat="1" applyFont="1" applyFill="1" applyBorder="1"/>
    <xf numFmtId="0" fontId="0" fillId="22" borderId="144" xfId="0" applyFill="1" applyBorder="1"/>
    <xf numFmtId="0" fontId="0" fillId="41" borderId="144" xfId="0" applyFill="1" applyBorder="1"/>
    <xf numFmtId="43" fontId="0" fillId="0" borderId="1" xfId="0" applyNumberFormat="1" applyFill="1" applyBorder="1"/>
    <xf numFmtId="2" fontId="22" fillId="22" borderId="1" xfId="0" applyNumberFormat="1" applyFont="1" applyFill="1" applyBorder="1"/>
    <xf numFmtId="43" fontId="5" fillId="0" borderId="1" xfId="0" applyNumberFormat="1" applyFont="1" applyFill="1" applyBorder="1"/>
    <xf numFmtId="2" fontId="0" fillId="41" borderId="1" xfId="301" applyNumberFormat="1" applyFont="1" applyFill="1" applyBorder="1"/>
    <xf numFmtId="2" fontId="22" fillId="41" borderId="1" xfId="0" applyNumberFormat="1" applyFont="1" applyFill="1" applyBorder="1"/>
    <xf numFmtId="0" fontId="0" fillId="0" borderId="147" xfId="0" applyBorder="1"/>
    <xf numFmtId="0" fontId="0" fillId="0" borderId="167" xfId="0" applyBorder="1"/>
    <xf numFmtId="0" fontId="0" fillId="0" borderId="102" xfId="0" applyBorder="1"/>
    <xf numFmtId="11" fontId="0" fillId="22" borderId="1" xfId="301" applyNumberFormat="1" applyFont="1" applyFill="1" applyBorder="1"/>
    <xf numFmtId="174" fontId="0" fillId="0" borderId="1" xfId="0" applyNumberFormat="1" applyBorder="1"/>
    <xf numFmtId="174" fontId="0" fillId="22" borderId="1" xfId="0" applyNumberFormat="1" applyFill="1" applyBorder="1"/>
    <xf numFmtId="174" fontId="0" fillId="0" borderId="1" xfId="0" applyNumberFormat="1" applyFill="1" applyBorder="1"/>
    <xf numFmtId="168" fontId="0" fillId="0" borderId="1" xfId="0" applyNumberFormat="1" applyBorder="1"/>
    <xf numFmtId="43" fontId="22" fillId="0" borderId="1" xfId="301" applyFont="1" applyFill="1" applyBorder="1"/>
    <xf numFmtId="43" fontId="5" fillId="0" borderId="1" xfId="301" applyFont="1" applyFill="1" applyBorder="1"/>
    <xf numFmtId="0" fontId="0" fillId="0" borderId="54" xfId="0" applyBorder="1"/>
    <xf numFmtId="43" fontId="22" fillId="22" borderId="1" xfId="0" applyNumberFormat="1" applyFont="1" applyFill="1" applyBorder="1"/>
    <xf numFmtId="43" fontId="22" fillId="41" borderId="1" xfId="0" applyNumberFormat="1" applyFont="1" applyFill="1" applyBorder="1"/>
    <xf numFmtId="43" fontId="22" fillId="41" borderId="1" xfId="301" applyNumberFormat="1" applyFont="1" applyFill="1" applyBorder="1"/>
    <xf numFmtId="0" fontId="64" fillId="28" borderId="170" xfId="0" applyFont="1" applyFill="1" applyBorder="1"/>
    <xf numFmtId="0" fontId="1" fillId="28" borderId="171" xfId="0" applyFont="1" applyFill="1" applyBorder="1"/>
    <xf numFmtId="0" fontId="0" fillId="28" borderId="172" xfId="0" applyFill="1" applyBorder="1"/>
    <xf numFmtId="0" fontId="143" fillId="0" borderId="91" xfId="561" applyFont="1" applyFill="1" applyBorder="1"/>
    <xf numFmtId="0" fontId="144" fillId="0" borderId="0" xfId="561" applyFont="1" applyFill="1" applyBorder="1" applyAlignment="1">
      <alignment horizontal="center" vertical="center" wrapText="1"/>
    </xf>
    <xf numFmtId="0" fontId="144" fillId="0" borderId="0" xfId="561" applyFont="1" applyFill="1" applyBorder="1" applyAlignment="1">
      <alignment horizontal="center"/>
    </xf>
    <xf numFmtId="0" fontId="144" fillId="0" borderId="0" xfId="561" applyFont="1" applyFill="1" applyBorder="1" applyAlignment="1">
      <alignment horizontal="center" wrapText="1"/>
    </xf>
    <xf numFmtId="0" fontId="143" fillId="0" borderId="0" xfId="561" applyFont="1" applyFill="1" applyBorder="1"/>
    <xf numFmtId="0" fontId="143" fillId="0" borderId="18" xfId="0" applyFont="1" applyBorder="1"/>
    <xf numFmtId="0" fontId="143" fillId="0" borderId="0" xfId="561" applyFont="1" applyFill="1" applyBorder="1" applyAlignment="1">
      <alignment horizontal="center"/>
    </xf>
    <xf numFmtId="0" fontId="143" fillId="0" borderId="0" xfId="561" quotePrefix="1" applyFont="1" applyFill="1" applyBorder="1" applyAlignment="1">
      <alignment horizontal="center"/>
    </xf>
    <xf numFmtId="0" fontId="143" fillId="0" borderId="0" xfId="561" applyFont="1" applyBorder="1"/>
    <xf numFmtId="0" fontId="143" fillId="0" borderId="18" xfId="561" applyFont="1" applyBorder="1"/>
    <xf numFmtId="0" fontId="121" fillId="0" borderId="15" xfId="0" applyFont="1" applyBorder="1"/>
    <xf numFmtId="0" fontId="121" fillId="0" borderId="17" xfId="0" applyFont="1" applyBorder="1"/>
    <xf numFmtId="0" fontId="121" fillId="0" borderId="0" xfId="0" applyFont="1" applyBorder="1"/>
    <xf numFmtId="0" fontId="143" fillId="0" borderId="91" xfId="0" applyFont="1" applyBorder="1"/>
    <xf numFmtId="0" fontId="144" fillId="0" borderId="18" xfId="561" applyFont="1" applyFill="1" applyBorder="1" applyAlignment="1">
      <alignment horizontal="center" wrapText="1"/>
    </xf>
    <xf numFmtId="0" fontId="143" fillId="0" borderId="91" xfId="561" applyFont="1" applyFill="1" applyBorder="1" applyAlignment="1">
      <alignment horizontal="left"/>
    </xf>
    <xf numFmtId="173" fontId="143" fillId="0" borderId="144" xfId="301" applyNumberFormat="1" applyFont="1" applyFill="1" applyBorder="1"/>
    <xf numFmtId="0" fontId="143" fillId="0" borderId="0" xfId="561" applyFont="1" applyFill="1" applyBorder="1" applyAlignment="1">
      <alignment wrapText="1"/>
    </xf>
    <xf numFmtId="0" fontId="143" fillId="0" borderId="91" xfId="561" applyFont="1" applyFill="1" applyBorder="1" applyAlignment="1">
      <alignment horizontal="center"/>
    </xf>
    <xf numFmtId="0" fontId="144" fillId="0" borderId="0" xfId="561" applyFont="1" applyFill="1" applyBorder="1" applyAlignment="1">
      <alignment horizontal="center" vertical="center"/>
    </xf>
    <xf numFmtId="0" fontId="143" fillId="0" borderId="0" xfId="561" applyFont="1" applyFill="1" applyBorder="1" applyAlignment="1">
      <alignment vertical="center"/>
    </xf>
    <xf numFmtId="0" fontId="143" fillId="0" borderId="0" xfId="561" applyFont="1" applyBorder="1" applyAlignment="1">
      <alignment vertical="center"/>
    </xf>
    <xf numFmtId="0" fontId="144" fillId="0" borderId="18" xfId="561" applyFont="1" applyFill="1" applyBorder="1" applyAlignment="1">
      <alignment horizontal="center" vertical="center" wrapText="1"/>
    </xf>
    <xf numFmtId="0" fontId="143" fillId="0" borderId="91" xfId="0" applyFont="1" applyFill="1" applyBorder="1"/>
    <xf numFmtId="0" fontId="143" fillId="0" borderId="0" xfId="0" applyFont="1" applyFill="1" applyBorder="1"/>
    <xf numFmtId="0" fontId="1" fillId="0" borderId="0" xfId="561" quotePrefix="1" applyFont="1" applyFill="1" applyBorder="1" applyAlignment="1">
      <alignment horizontal="center"/>
    </xf>
    <xf numFmtId="173" fontId="13" fillId="0" borderId="144" xfId="301" applyNumberFormat="1" applyFont="1" applyFill="1" applyBorder="1"/>
    <xf numFmtId="0" fontId="121" fillId="0" borderId="15" xfId="0" applyFont="1" applyFill="1" applyBorder="1"/>
    <xf numFmtId="0" fontId="121" fillId="0" borderId="17" xfId="0" applyFont="1" applyFill="1" applyBorder="1"/>
    <xf numFmtId="0" fontId="3" fillId="0" borderId="96" xfId="0" applyFont="1" applyBorder="1"/>
    <xf numFmtId="0" fontId="3" fillId="32" borderId="35" xfId="0" applyFont="1" applyFill="1" applyBorder="1"/>
    <xf numFmtId="0" fontId="3" fillId="0" borderId="35" xfId="0" applyFont="1" applyBorder="1" applyAlignment="1">
      <alignment horizontal="left" indent="1"/>
    </xf>
    <xf numFmtId="0" fontId="3" fillId="33" borderId="35" xfId="0" applyFont="1" applyFill="1" applyBorder="1"/>
    <xf numFmtId="0" fontId="3" fillId="28" borderId="35" xfId="0" applyFont="1" applyFill="1" applyBorder="1"/>
    <xf numFmtId="0" fontId="3" fillId="0" borderId="35" xfId="0" applyFont="1" applyBorder="1" applyAlignment="1">
      <alignment horizontal="left" wrapText="1" indent="1"/>
    </xf>
    <xf numFmtId="0" fontId="4" fillId="37" borderId="37" xfId="0" applyFont="1" applyFill="1" applyBorder="1"/>
    <xf numFmtId="43" fontId="22" fillId="0" borderId="0" xfId="0" applyNumberFormat="1" applyFont="1" applyFill="1" applyBorder="1"/>
    <xf numFmtId="173" fontId="22" fillId="0" borderId="0" xfId="0" applyNumberFormat="1" applyFont="1" applyFill="1" applyBorder="1"/>
    <xf numFmtId="173" fontId="22" fillId="39" borderId="173" xfId="0" applyNumberFormat="1" applyFont="1" applyFill="1" applyBorder="1"/>
    <xf numFmtId="176" fontId="13" fillId="22" borderId="1" xfId="0" applyNumberFormat="1" applyFont="1" applyFill="1" applyBorder="1" applyAlignment="1" applyProtection="1">
      <alignment horizontal="center"/>
      <protection locked="0"/>
    </xf>
    <xf numFmtId="176" fontId="15" fillId="23" borderId="1" xfId="301" applyNumberFormat="1" applyFont="1" applyFill="1" applyBorder="1" applyAlignment="1" applyProtection="1">
      <alignment horizontal="center"/>
      <protection locked="0"/>
    </xf>
    <xf numFmtId="174" fontId="102" fillId="23" borderId="1" xfId="301" applyNumberFormat="1" applyFont="1" applyFill="1" applyBorder="1" applyAlignment="1" applyProtection="1">
      <alignment horizontal="center"/>
    </xf>
    <xf numFmtId="173" fontId="102" fillId="23" borderId="1" xfId="301" applyNumberFormat="1" applyFont="1" applyFill="1" applyBorder="1" applyAlignment="1" applyProtection="1">
      <alignment horizontal="center"/>
    </xf>
    <xf numFmtId="3" fontId="102" fillId="23" borderId="1" xfId="0" applyNumberFormat="1" applyFont="1" applyFill="1" applyBorder="1" applyAlignment="1" applyProtection="1">
      <alignment horizontal="center"/>
      <protection locked="0"/>
    </xf>
    <xf numFmtId="43" fontId="15" fillId="0" borderId="1" xfId="301" applyFont="1" applyBorder="1" applyAlignment="1">
      <alignment horizontal="center"/>
    </xf>
    <xf numFmtId="167" fontId="15" fillId="0" borderId="1" xfId="301" applyNumberFormat="1" applyFont="1" applyBorder="1"/>
    <xf numFmtId="0" fontId="110" fillId="0" borderId="46" xfId="0" applyFont="1" applyFill="1" applyBorder="1" applyAlignment="1">
      <alignment horizontal="center" wrapText="1"/>
    </xf>
    <xf numFmtId="0" fontId="110" fillId="0" borderId="2" xfId="0" applyFont="1" applyBorder="1" applyAlignment="1">
      <alignment horizontal="left" indent="1"/>
    </xf>
    <xf numFmtId="0" fontId="109" fillId="0" borderId="1" xfId="0" applyFont="1" applyFill="1" applyBorder="1" applyAlignment="1">
      <alignment horizontal="center"/>
    </xf>
    <xf numFmtId="0" fontId="102" fillId="0" borderId="1" xfId="0" applyFont="1" applyBorder="1"/>
    <xf numFmtId="0" fontId="109" fillId="0" borderId="1" xfId="0" applyFont="1" applyBorder="1"/>
    <xf numFmtId="0" fontId="102" fillId="0" borderId="144" xfId="0" applyFont="1" applyBorder="1"/>
    <xf numFmtId="0" fontId="114" fillId="0" borderId="2" xfId="0" applyFont="1" applyBorder="1" applyAlignment="1">
      <alignment horizontal="left" indent="2"/>
    </xf>
    <xf numFmtId="0" fontId="110" fillId="0" borderId="1" xfId="0" applyFont="1" applyBorder="1" applyAlignment="1">
      <alignment horizontal="left" indent="1"/>
    </xf>
    <xf numFmtId="4" fontId="102" fillId="0" borderId="1" xfId="0" applyNumberFormat="1" applyFont="1" applyBorder="1" applyAlignment="1">
      <alignment horizontal="center"/>
    </xf>
    <xf numFmtId="0" fontId="102" fillId="0" borderId="1" xfId="0" applyFont="1" applyFill="1" applyBorder="1" applyAlignment="1">
      <alignment horizontal="center"/>
    </xf>
    <xf numFmtId="173" fontId="109" fillId="0" borderId="144" xfId="301" applyNumberFormat="1" applyFont="1" applyBorder="1"/>
    <xf numFmtId="170" fontId="109" fillId="0" borderId="144" xfId="0" applyNumberFormat="1" applyFont="1" applyBorder="1"/>
    <xf numFmtId="0" fontId="109" fillId="0" borderId="1" xfId="0" applyFont="1" applyBorder="1" applyAlignment="1">
      <alignment horizontal="left" indent="1"/>
    </xf>
    <xf numFmtId="0" fontId="102" fillId="0" borderId="2" xfId="0" applyFont="1" applyBorder="1"/>
    <xf numFmtId="0" fontId="109" fillId="0" borderId="1" xfId="0" applyFont="1" applyBorder="1" applyAlignment="1">
      <alignment horizontal="center"/>
    </xf>
    <xf numFmtId="0" fontId="110" fillId="0" borderId="1" xfId="0" applyFont="1" applyBorder="1" applyAlignment="1">
      <alignment horizontal="left"/>
    </xf>
    <xf numFmtId="0" fontId="110" fillId="0" borderId="2" xfId="0" applyFont="1" applyBorder="1"/>
    <xf numFmtId="43" fontId="102" fillId="0" borderId="1" xfId="0" applyNumberFormat="1" applyFont="1" applyBorder="1"/>
    <xf numFmtId="0" fontId="114" fillId="0" borderId="1" xfId="0" applyFont="1" applyBorder="1" applyAlignment="1">
      <alignment horizontal="left" indent="1"/>
    </xf>
    <xf numFmtId="3" fontId="102" fillId="0" borderId="1" xfId="0" applyNumberFormat="1" applyFont="1" applyBorder="1"/>
    <xf numFmtId="0" fontId="102" fillId="0" borderId="107" xfId="0" applyFont="1" applyBorder="1"/>
    <xf numFmtId="0" fontId="109" fillId="0" borderId="100" xfId="0" applyFont="1" applyBorder="1"/>
    <xf numFmtId="0" fontId="102" fillId="0" borderId="100" xfId="0" applyFont="1" applyBorder="1"/>
    <xf numFmtId="0" fontId="102" fillId="0" borderId="163" xfId="0" applyFont="1" applyBorder="1"/>
    <xf numFmtId="0" fontId="102" fillId="0" borderId="109" xfId="0" applyFont="1" applyFill="1" applyBorder="1" applyAlignment="1">
      <alignment horizontal="left" vertical="top" wrapText="1"/>
    </xf>
    <xf numFmtId="0" fontId="102" fillId="0" borderId="110" xfId="0" applyFont="1" applyBorder="1"/>
    <xf numFmtId="0" fontId="110" fillId="0" borderId="110" xfId="0" applyFont="1" applyBorder="1" applyAlignment="1">
      <alignment horizontal="center" vertical="center" wrapText="1"/>
    </xf>
    <xf numFmtId="0" fontId="112" fillId="0" borderId="110" xfId="0" applyFont="1" applyBorder="1"/>
    <xf numFmtId="0" fontId="112" fillId="0" borderId="110" xfId="0" applyFont="1" applyBorder="1" applyAlignment="1">
      <alignment horizontal="center" wrapText="1"/>
    </xf>
    <xf numFmtId="0" fontId="110" fillId="0" borderId="110" xfId="0" applyFont="1" applyFill="1" applyBorder="1" applyAlignment="1">
      <alignment horizontal="center" vertical="center" wrapText="1"/>
    </xf>
    <xf numFmtId="0" fontId="102" fillId="0" borderId="110" xfId="0" applyFont="1" applyBorder="1" applyAlignment="1">
      <alignment vertical="center"/>
    </xf>
    <xf numFmtId="0" fontId="102" fillId="0" borderId="111" xfId="0" applyFont="1" applyBorder="1"/>
    <xf numFmtId="0" fontId="102" fillId="0" borderId="112" xfId="0" applyFont="1" applyBorder="1"/>
    <xf numFmtId="0" fontId="112" fillId="0" borderId="1" xfId="0" applyFont="1" applyFill="1" applyBorder="1" applyAlignment="1">
      <alignment horizontal="center" vertical="center" wrapText="1"/>
    </xf>
    <xf numFmtId="10" fontId="102" fillId="0" borderId="1" xfId="0" applyNumberFormat="1" applyFont="1" applyBorder="1"/>
    <xf numFmtId="4" fontId="102" fillId="0" borderId="1" xfId="0" applyNumberFormat="1" applyFont="1" applyBorder="1"/>
    <xf numFmtId="0" fontId="102" fillId="0" borderId="113" xfId="0" applyFont="1" applyBorder="1"/>
    <xf numFmtId="0" fontId="102" fillId="0" borderId="114" xfId="0" applyFont="1" applyBorder="1"/>
    <xf numFmtId="0" fontId="112" fillId="0" borderId="87" xfId="0" applyFont="1" applyFill="1" applyBorder="1" applyAlignment="1">
      <alignment horizontal="center" vertical="center" wrapText="1"/>
    </xf>
    <xf numFmtId="0" fontId="109" fillId="0" borderId="87" xfId="0" applyFont="1" applyBorder="1"/>
    <xf numFmtId="0" fontId="102" fillId="0" borderId="87" xfId="0" applyFont="1" applyBorder="1" applyAlignment="1">
      <alignment horizontal="center"/>
    </xf>
    <xf numFmtId="10" fontId="102" fillId="0" borderId="87" xfId="0" applyNumberFormat="1" applyFont="1" applyBorder="1"/>
    <xf numFmtId="4" fontId="102" fillId="0" borderId="87" xfId="0" applyNumberFormat="1" applyFont="1" applyBorder="1"/>
    <xf numFmtId="0" fontId="102" fillId="0" borderId="87" xfId="0" applyFont="1" applyBorder="1"/>
    <xf numFmtId="0" fontId="102" fillId="0" borderId="115" xfId="0" applyFont="1" applyBorder="1"/>
    <xf numFmtId="0" fontId="0" fillId="0" borderId="174" xfId="0" applyBorder="1"/>
    <xf numFmtId="0" fontId="0" fillId="0" borderId="138" xfId="0" applyBorder="1"/>
    <xf numFmtId="0" fontId="0" fillId="0" borderId="140" xfId="0" applyBorder="1"/>
    <xf numFmtId="0" fontId="102" fillId="0" borderId="137" xfId="0" applyFont="1" applyBorder="1"/>
    <xf numFmtId="0" fontId="112" fillId="0" borderId="137" xfId="0" applyFont="1" applyBorder="1"/>
    <xf numFmtId="0" fontId="102" fillId="0" borderId="138" xfId="0" applyFont="1" applyBorder="1"/>
    <xf numFmtId="0" fontId="102" fillId="0" borderId="139" xfId="0" applyFont="1" applyBorder="1"/>
    <xf numFmtId="0" fontId="102" fillId="0" borderId="140" xfId="0" applyFont="1" applyBorder="1"/>
    <xf numFmtId="0" fontId="112" fillId="0" borderId="138" xfId="561" applyFont="1" applyFill="1" applyBorder="1" applyAlignment="1">
      <alignment horizontal="center"/>
    </xf>
    <xf numFmtId="173" fontId="112" fillId="0" borderId="139" xfId="301" applyNumberFormat="1" applyFont="1" applyFill="1" applyBorder="1" applyAlignment="1" applyProtection="1"/>
    <xf numFmtId="0" fontId="112" fillId="0" borderId="139" xfId="561" applyFont="1" applyFill="1" applyBorder="1" applyAlignment="1">
      <alignment horizontal="center"/>
    </xf>
    <xf numFmtId="43" fontId="112" fillId="0" borderId="139" xfId="301" applyNumberFormat="1" applyFont="1" applyFill="1" applyBorder="1" applyAlignment="1" applyProtection="1">
      <protection locked="0"/>
    </xf>
    <xf numFmtId="9" fontId="112" fillId="0" borderId="139" xfId="597" applyFont="1" applyFill="1" applyBorder="1" applyAlignment="1"/>
    <xf numFmtId="2" fontId="112" fillId="0" borderId="139" xfId="597" applyNumberFormat="1" applyFont="1" applyFill="1" applyBorder="1" applyAlignment="1"/>
    <xf numFmtId="167" fontId="112" fillId="0" borderId="139" xfId="301" applyNumberFormat="1" applyFont="1" applyFill="1" applyBorder="1" applyAlignment="1"/>
    <xf numFmtId="0" fontId="112" fillId="0" borderId="139" xfId="561" quotePrefix="1" applyFont="1" applyFill="1" applyBorder="1" applyAlignment="1">
      <alignment horizontal="center"/>
    </xf>
    <xf numFmtId="173" fontId="112" fillId="0" borderId="139" xfId="301" applyNumberFormat="1" applyFont="1" applyFill="1" applyBorder="1" applyAlignment="1"/>
    <xf numFmtId="173" fontId="112" fillId="0" borderId="139" xfId="301" quotePrefix="1" applyNumberFormat="1" applyFont="1" applyFill="1" applyBorder="1" applyAlignment="1">
      <alignment horizontal="center"/>
    </xf>
    <xf numFmtId="9" fontId="112" fillId="0" borderId="139" xfId="597" applyFont="1" applyFill="1" applyBorder="1" applyAlignment="1" applyProtection="1">
      <protection locked="0"/>
    </xf>
    <xf numFmtId="2" fontId="112" fillId="0" borderId="139" xfId="561" applyNumberFormat="1" applyFont="1" applyFill="1" applyBorder="1" applyAlignment="1"/>
    <xf numFmtId="170" fontId="112" fillId="0" borderId="139" xfId="597" applyNumberFormat="1" applyFont="1" applyFill="1" applyBorder="1" applyAlignment="1"/>
    <xf numFmtId="43" fontId="112" fillId="0" borderId="139" xfId="301" applyNumberFormat="1" applyFont="1" applyFill="1" applyBorder="1" applyAlignment="1"/>
    <xf numFmtId="177" fontId="112" fillId="0" borderId="139" xfId="301" applyNumberFormat="1" applyFont="1" applyFill="1" applyBorder="1" applyAlignment="1"/>
    <xf numFmtId="170" fontId="112" fillId="0" borderId="139" xfId="561" applyNumberFormat="1" applyFont="1" applyFill="1" applyBorder="1" applyAlignment="1"/>
    <xf numFmtId="170" fontId="112" fillId="0" borderId="139" xfId="561" quotePrefix="1" applyNumberFormat="1" applyFont="1" applyFill="1" applyBorder="1" applyAlignment="1">
      <alignment horizontal="center"/>
    </xf>
    <xf numFmtId="170" fontId="112" fillId="0" borderId="139" xfId="561" applyNumberFormat="1" applyFont="1" applyFill="1" applyBorder="1" applyAlignment="1">
      <alignment horizontal="center"/>
    </xf>
    <xf numFmtId="182" fontId="112" fillId="0" borderId="140" xfId="561" applyNumberFormat="1" applyFont="1" applyFill="1" applyBorder="1" applyAlignment="1"/>
    <xf numFmtId="0" fontId="0" fillId="0" borderId="0" xfId="0" applyBorder="1" applyAlignment="1"/>
    <xf numFmtId="9" fontId="105" fillId="0" borderId="0" xfId="597" applyFont="1" applyFill="1" applyBorder="1"/>
    <xf numFmtId="173" fontId="105" fillId="0" borderId="0" xfId="301" applyNumberFormat="1" applyFont="1" applyFill="1" applyBorder="1"/>
    <xf numFmtId="2" fontId="105" fillId="0" borderId="0" xfId="0" applyNumberFormat="1" applyFont="1" applyFill="1" applyBorder="1"/>
    <xf numFmtId="166" fontId="105" fillId="0" borderId="0" xfId="597" applyNumberFormat="1" applyFont="1" applyFill="1" applyBorder="1"/>
    <xf numFmtId="170" fontId="104" fillId="0" borderId="0" xfId="569" applyNumberFormat="1" applyFont="1" applyFill="1" applyBorder="1"/>
    <xf numFmtId="0" fontId="105" fillId="0" borderId="135" xfId="569" applyFont="1" applyBorder="1"/>
    <xf numFmtId="0" fontId="0" fillId="0" borderId="137" xfId="0" applyBorder="1"/>
    <xf numFmtId="0" fontId="137" fillId="0" borderId="0" xfId="0" applyFont="1" applyBorder="1" applyAlignment="1"/>
    <xf numFmtId="0" fontId="137" fillId="0" borderId="0" xfId="0" applyFont="1" applyFill="1" applyBorder="1"/>
    <xf numFmtId="0" fontId="64" fillId="0" borderId="176" xfId="0" applyFont="1" applyBorder="1"/>
    <xf numFmtId="0" fontId="137" fillId="0" borderId="174" xfId="0" applyFont="1" applyBorder="1"/>
    <xf numFmtId="0" fontId="137" fillId="0" borderId="175" xfId="0" applyFont="1" applyBorder="1"/>
    <xf numFmtId="0" fontId="148" fillId="34" borderId="135" xfId="569" applyFont="1" applyFill="1" applyBorder="1"/>
    <xf numFmtId="0" fontId="59" fillId="34" borderId="0" xfId="569" applyFont="1" applyFill="1" applyBorder="1"/>
    <xf numFmtId="0" fontId="61" fillId="0" borderId="135" xfId="569" applyFont="1" applyFill="1" applyBorder="1"/>
    <xf numFmtId="0" fontId="61" fillId="0" borderId="0" xfId="569" applyFont="1" applyFill="1" applyBorder="1"/>
    <xf numFmtId="41" fontId="104" fillId="0" borderId="0" xfId="0" applyNumberFormat="1" applyFont="1" applyBorder="1"/>
    <xf numFmtId="170" fontId="0" fillId="0" borderId="0" xfId="0" applyNumberFormat="1"/>
    <xf numFmtId="0" fontId="66" fillId="35" borderId="178" xfId="569" applyFont="1" applyFill="1" applyBorder="1" applyAlignment="1">
      <alignment horizontal="center"/>
    </xf>
    <xf numFmtId="0" fontId="0" fillId="35" borderId="178" xfId="0" applyFill="1" applyBorder="1"/>
    <xf numFmtId="0" fontId="0" fillId="35" borderId="179" xfId="0" applyFill="1" applyBorder="1"/>
    <xf numFmtId="0" fontId="0" fillId="35" borderId="177" xfId="0" applyFill="1" applyBorder="1"/>
    <xf numFmtId="0" fontId="66" fillId="35" borderId="178" xfId="569" applyFont="1" applyFill="1" applyBorder="1" applyAlignment="1">
      <alignment horizontal="left" indent="4"/>
    </xf>
    <xf numFmtId="0" fontId="12" fillId="0" borderId="49" xfId="0" applyFont="1" applyFill="1" applyBorder="1"/>
    <xf numFmtId="0" fontId="0" fillId="0" borderId="20" xfId="0" applyFill="1" applyBorder="1"/>
    <xf numFmtId="0" fontId="101" fillId="45" borderId="0" xfId="0" applyFont="1" applyFill="1"/>
    <xf numFmtId="0" fontId="0" fillId="45" borderId="0" xfId="0" applyFill="1"/>
    <xf numFmtId="0" fontId="0" fillId="45" borderId="0" xfId="0" applyFill="1" applyBorder="1"/>
    <xf numFmtId="0" fontId="22" fillId="0" borderId="77" xfId="0" applyFont="1" applyFill="1" applyBorder="1" applyAlignment="1">
      <alignment horizontal="left" wrapText="1"/>
    </xf>
    <xf numFmtId="0" fontId="6" fillId="39" borderId="154" xfId="0" applyFont="1" applyFill="1" applyBorder="1"/>
    <xf numFmtId="0" fontId="161" fillId="0" borderId="0" xfId="0" quotePrefix="1" applyFont="1"/>
    <xf numFmtId="195" fontId="153" fillId="0" borderId="50" xfId="301" applyNumberFormat="1" applyFont="1" applyFill="1" applyBorder="1" applyAlignment="1">
      <alignment wrapText="1"/>
    </xf>
    <xf numFmtId="0" fontId="112" fillId="0" borderId="0" xfId="564" applyFont="1" applyFill="1" applyAlignment="1" applyProtection="1">
      <alignment horizontal="right" wrapText="1"/>
    </xf>
    <xf numFmtId="0" fontId="69" fillId="29" borderId="92" xfId="0" applyFont="1" applyFill="1" applyBorder="1"/>
    <xf numFmtId="0" fontId="0" fillId="29" borderId="65" xfId="0" applyFill="1" applyBorder="1"/>
    <xf numFmtId="0" fontId="0" fillId="29" borderId="93" xfId="0" applyFill="1" applyBorder="1"/>
    <xf numFmtId="9" fontId="102" fillId="0" borderId="1" xfId="0" applyNumberFormat="1" applyFont="1" applyBorder="1" applyAlignment="1">
      <alignment horizontal="center"/>
    </xf>
    <xf numFmtId="173" fontId="102" fillId="0" borderId="1" xfId="301" applyNumberFormat="1" applyFont="1" applyBorder="1" applyAlignment="1">
      <alignment horizontal="center" wrapText="1"/>
    </xf>
    <xf numFmtId="173" fontId="112" fillId="0" borderId="1" xfId="301" applyNumberFormat="1" applyFont="1" applyBorder="1" applyAlignment="1">
      <alignment horizontal="center"/>
    </xf>
    <xf numFmtId="0" fontId="102" fillId="0" borderId="1" xfId="0" applyFont="1" applyFill="1" applyBorder="1" applyAlignment="1">
      <alignment horizontal="center" wrapText="1"/>
    </xf>
    <xf numFmtId="169" fontId="112" fillId="0" borderId="1" xfId="301" applyNumberFormat="1" applyFont="1" applyBorder="1" applyAlignment="1">
      <alignment horizontal="center"/>
    </xf>
    <xf numFmtId="169" fontId="102" fillId="0" borderId="1" xfId="0" applyNumberFormat="1" applyFont="1" applyFill="1" applyBorder="1" applyAlignment="1">
      <alignment horizontal="center" wrapText="1"/>
    </xf>
    <xf numFmtId="9" fontId="102" fillId="0" borderId="100" xfId="0" applyNumberFormat="1" applyFont="1" applyBorder="1" applyAlignment="1">
      <alignment horizontal="center"/>
    </xf>
    <xf numFmtId="173" fontId="102" fillId="0" borderId="100" xfId="301" applyNumberFormat="1" applyFont="1" applyBorder="1" applyAlignment="1">
      <alignment horizontal="center" wrapText="1"/>
    </xf>
    <xf numFmtId="0" fontId="102" fillId="0" borderId="100" xfId="0" applyFont="1" applyFill="1" applyBorder="1" applyAlignment="1">
      <alignment horizontal="center" wrapText="1"/>
    </xf>
    <xf numFmtId="173" fontId="102" fillId="0" borderId="89" xfId="301" applyNumberFormat="1" applyFont="1" applyFill="1" applyBorder="1"/>
    <xf numFmtId="173" fontId="102" fillId="0" borderId="182" xfId="301" applyNumberFormat="1" applyFont="1" applyFill="1" applyBorder="1" applyAlignment="1">
      <alignment horizontal="center"/>
    </xf>
    <xf numFmtId="0" fontId="112" fillId="0" borderId="2" xfId="0" applyFont="1" applyFill="1" applyBorder="1" applyAlignment="1">
      <alignment horizontal="left" wrapText="1"/>
    </xf>
    <xf numFmtId="173" fontId="130" fillId="0" borderId="144" xfId="301" applyNumberFormat="1" applyFont="1" applyFill="1" applyBorder="1" applyAlignment="1">
      <alignment horizontal="center"/>
    </xf>
    <xf numFmtId="173" fontId="130" fillId="0" borderId="144" xfId="301" applyNumberFormat="1" applyFont="1" applyBorder="1" applyAlignment="1">
      <alignment horizontal="center"/>
    </xf>
    <xf numFmtId="0" fontId="102" fillId="0" borderId="2" xfId="0" applyFont="1" applyBorder="1" applyAlignment="1">
      <alignment horizontal="left" indent="1"/>
    </xf>
    <xf numFmtId="0" fontId="118" fillId="0" borderId="2" xfId="0" applyFont="1" applyBorder="1"/>
    <xf numFmtId="9" fontId="130" fillId="0" borderId="144" xfId="597" applyFont="1" applyFill="1" applyBorder="1"/>
    <xf numFmtId="173" fontId="130" fillId="0" borderId="144" xfId="301" applyNumberFormat="1" applyFont="1" applyFill="1" applyBorder="1"/>
    <xf numFmtId="0" fontId="118" fillId="0" borderId="2" xfId="0" applyFont="1" applyFill="1" applyBorder="1"/>
    <xf numFmtId="173" fontId="102" fillId="0" borderId="144" xfId="301" applyNumberFormat="1" applyFont="1" applyFill="1" applyBorder="1"/>
    <xf numFmtId="173" fontId="102" fillId="0" borderId="1" xfId="301" applyNumberFormat="1" applyFont="1" applyBorder="1"/>
    <xf numFmtId="173" fontId="102" fillId="0" borderId="144" xfId="301" applyNumberFormat="1" applyFont="1" applyBorder="1"/>
    <xf numFmtId="0" fontId="102" fillId="0" borderId="1" xfId="0" applyFont="1" applyFill="1" applyBorder="1"/>
    <xf numFmtId="0" fontId="102" fillId="0" borderId="144" xfId="0" applyFont="1" applyFill="1" applyBorder="1"/>
    <xf numFmtId="0" fontId="102" fillId="0" borderId="144" xfId="0" applyFont="1" applyFill="1" applyBorder="1" applyAlignment="1">
      <alignment horizontal="center"/>
    </xf>
    <xf numFmtId="173" fontId="112" fillId="0" borderId="1" xfId="301" applyNumberFormat="1" applyFont="1" applyFill="1" applyBorder="1" applyAlignment="1">
      <alignment horizontal="center" vertical="center" wrapText="1"/>
    </xf>
    <xf numFmtId="173" fontId="112" fillId="0" borderId="144" xfId="301" applyNumberFormat="1" applyFont="1" applyFill="1" applyBorder="1" applyAlignment="1">
      <alignment horizontal="center" wrapText="1"/>
    </xf>
    <xf numFmtId="173" fontId="102" fillId="0" borderId="144" xfId="301" applyNumberFormat="1" applyFont="1" applyFill="1" applyBorder="1" applyAlignment="1">
      <alignment horizontal="center"/>
    </xf>
    <xf numFmtId="0" fontId="118" fillId="0" borderId="107" xfId="0" applyFont="1" applyFill="1" applyBorder="1"/>
    <xf numFmtId="173" fontId="102" fillId="0" borderId="100" xfId="301" applyNumberFormat="1" applyFont="1" applyFill="1" applyBorder="1"/>
    <xf numFmtId="173" fontId="102" fillId="0" borderId="163" xfId="301" applyNumberFormat="1" applyFont="1" applyFill="1" applyBorder="1"/>
    <xf numFmtId="0" fontId="124" fillId="23" borderId="92" xfId="0" applyFont="1" applyFill="1" applyBorder="1" applyAlignment="1">
      <alignment horizontal="left"/>
    </xf>
    <xf numFmtId="0" fontId="13" fillId="23" borderId="65" xfId="0" applyFont="1" applyFill="1" applyBorder="1" applyAlignment="1">
      <alignment horizontal="center"/>
    </xf>
    <xf numFmtId="0" fontId="15" fillId="23" borderId="65" xfId="0" applyFont="1" applyFill="1" applyBorder="1" applyAlignment="1">
      <alignment horizontal="center"/>
    </xf>
    <xf numFmtId="0" fontId="102" fillId="0" borderId="89" xfId="0" applyFont="1" applyFill="1" applyBorder="1" applyAlignment="1">
      <alignment horizontal="center"/>
    </xf>
    <xf numFmtId="0" fontId="102" fillId="0" borderId="104" xfId="0" applyFont="1" applyFill="1" applyBorder="1"/>
    <xf numFmtId="0" fontId="102" fillId="0" borderId="53" xfId="0" applyFont="1" applyFill="1" applyBorder="1"/>
    <xf numFmtId="0" fontId="112" fillId="0" borderId="168" xfId="0" applyFont="1" applyFill="1" applyBorder="1" applyAlignment="1">
      <alignment horizontal="left" vertical="center"/>
    </xf>
    <xf numFmtId="173" fontId="112" fillId="0" borderId="3" xfId="301" applyNumberFormat="1" applyFont="1" applyBorder="1" applyAlignment="1">
      <alignment horizontal="center" vertical="center" wrapText="1"/>
    </xf>
    <xf numFmtId="0" fontId="112" fillId="37" borderId="78" xfId="0" applyFont="1" applyFill="1" applyBorder="1" applyAlignment="1">
      <alignment vertical="center"/>
    </xf>
    <xf numFmtId="1" fontId="112" fillId="37" borderId="108" xfId="301" applyNumberFormat="1" applyFont="1" applyFill="1" applyBorder="1" applyAlignment="1">
      <alignment horizontal="center"/>
    </xf>
    <xf numFmtId="173" fontId="102" fillId="0" borderId="0" xfId="301" applyNumberFormat="1" applyFont="1" applyFill="1"/>
    <xf numFmtId="0" fontId="112" fillId="37" borderId="15" xfId="0" applyFont="1" applyFill="1" applyBorder="1" applyAlignment="1">
      <alignment vertical="center"/>
    </xf>
    <xf numFmtId="1" fontId="112" fillId="37" borderId="17" xfId="301" applyNumberFormat="1" applyFont="1" applyFill="1" applyBorder="1" applyAlignment="1">
      <alignment horizontal="center"/>
    </xf>
    <xf numFmtId="0" fontId="15" fillId="23" borderId="93" xfId="0" applyFont="1" applyFill="1" applyBorder="1" applyAlignment="1">
      <alignment horizontal="center"/>
    </xf>
    <xf numFmtId="0" fontId="124" fillId="23" borderId="13" xfId="0" applyFont="1" applyFill="1" applyBorder="1" applyAlignment="1">
      <alignment horizontal="left"/>
    </xf>
    <xf numFmtId="0" fontId="13" fillId="23" borderId="32" xfId="0" applyFont="1" applyFill="1" applyBorder="1" applyAlignment="1">
      <alignment horizontal="center"/>
    </xf>
    <xf numFmtId="0" fontId="15" fillId="23" borderId="32" xfId="0" applyFont="1" applyFill="1" applyBorder="1" applyAlignment="1">
      <alignment horizontal="center"/>
    </xf>
    <xf numFmtId="0" fontId="102" fillId="0" borderId="92" xfId="0" applyFont="1" applyFill="1" applyBorder="1" applyAlignment="1" applyProtection="1">
      <alignment horizontal="left"/>
    </xf>
    <xf numFmtId="173" fontId="102" fillId="0" borderId="65" xfId="301" applyNumberFormat="1" applyFont="1" applyFill="1" applyBorder="1" applyProtection="1"/>
    <xf numFmtId="0" fontId="102" fillId="0" borderId="65" xfId="0" applyFont="1" applyFill="1" applyBorder="1" applyAlignment="1" applyProtection="1">
      <alignment horizontal="center"/>
    </xf>
    <xf numFmtId="0" fontId="102" fillId="0" borderId="65" xfId="0" applyFont="1" applyBorder="1"/>
    <xf numFmtId="0" fontId="102" fillId="0" borderId="65" xfId="0" applyFont="1" applyFill="1" applyBorder="1" applyProtection="1"/>
    <xf numFmtId="0" fontId="112" fillId="0" borderId="65" xfId="0" applyFont="1" applyFill="1" applyBorder="1" applyAlignment="1" applyProtection="1">
      <alignment horizontal="center"/>
    </xf>
    <xf numFmtId="0" fontId="102" fillId="0" borderId="93" xfId="0" applyFont="1" applyBorder="1"/>
    <xf numFmtId="0" fontId="102" fillId="0" borderId="46" xfId="0" applyFont="1" applyBorder="1"/>
    <xf numFmtId="0" fontId="102" fillId="0" borderId="1" xfId="0" applyFont="1" applyBorder="1" applyProtection="1"/>
    <xf numFmtId="173" fontId="102" fillId="0" borderId="1" xfId="301" applyNumberFormat="1" applyFont="1" applyFill="1" applyBorder="1" applyAlignment="1" applyProtection="1">
      <alignment horizontal="right"/>
    </xf>
    <xf numFmtId="0" fontId="102" fillId="0" borderId="100" xfId="0" applyFont="1" applyBorder="1" applyProtection="1"/>
    <xf numFmtId="0" fontId="102" fillId="0" borderId="18" xfId="0" applyFont="1" applyBorder="1" applyProtection="1"/>
    <xf numFmtId="0" fontId="102" fillId="0" borderId="18" xfId="0" applyFont="1" applyBorder="1" applyAlignment="1" applyProtection="1">
      <alignment horizontal="left" indent="2"/>
    </xf>
    <xf numFmtId="0" fontId="112" fillId="0" borderId="18" xfId="0" applyFont="1" applyBorder="1" applyAlignment="1" applyProtection="1">
      <alignment horizontal="left" indent="1"/>
    </xf>
    <xf numFmtId="0" fontId="102" fillId="0" borderId="18" xfId="0" applyFont="1" applyFill="1" applyBorder="1" applyProtection="1"/>
    <xf numFmtId="0" fontId="102" fillId="0" borderId="16" xfId="0" applyFont="1" applyFill="1" applyBorder="1" applyProtection="1"/>
    <xf numFmtId="0" fontId="102" fillId="0" borderId="16" xfId="0" applyFont="1" applyBorder="1" applyAlignment="1" applyProtection="1">
      <alignment horizontal="center"/>
    </xf>
    <xf numFmtId="0" fontId="102" fillId="0" borderId="17" xfId="0" applyFont="1" applyBorder="1" applyProtection="1"/>
    <xf numFmtId="173" fontId="112" fillId="0" borderId="0" xfId="301" applyNumberFormat="1" applyFont="1" applyFill="1" applyBorder="1" applyAlignment="1" applyProtection="1">
      <alignment horizontal="center"/>
    </xf>
    <xf numFmtId="169" fontId="112" fillId="0" borderId="0" xfId="301" applyNumberFormat="1" applyFont="1" applyBorder="1" applyAlignment="1">
      <alignment horizontal="center"/>
    </xf>
    <xf numFmtId="0" fontId="112" fillId="0" borderId="2" xfId="0" applyFont="1" applyFill="1" applyBorder="1" applyProtection="1"/>
    <xf numFmtId="178" fontId="130" fillId="0" borderId="2" xfId="573" applyNumberFormat="1" applyFont="1" applyFill="1" applyBorder="1" applyAlignment="1" applyProtection="1">
      <alignment horizontal="left" indent="1"/>
    </xf>
    <xf numFmtId="0" fontId="102" fillId="0" borderId="1" xfId="0" applyFont="1" applyBorder="1" applyAlignment="1" applyProtection="1">
      <alignment horizontal="center"/>
    </xf>
    <xf numFmtId="0" fontId="102" fillId="0" borderId="2" xfId="562" applyFont="1" applyFill="1" applyBorder="1" applyAlignment="1" applyProtection="1">
      <alignment horizontal="left" indent="1"/>
    </xf>
    <xf numFmtId="174" fontId="102" fillId="0" borderId="1" xfId="301" applyNumberFormat="1" applyFont="1" applyFill="1" applyBorder="1" applyAlignment="1" applyProtection="1">
      <alignment horizontal="center"/>
    </xf>
    <xf numFmtId="0" fontId="102" fillId="0" borderId="1" xfId="0" applyFont="1" applyFill="1" applyBorder="1" applyProtection="1"/>
    <xf numFmtId="0" fontId="102" fillId="0" borderId="2" xfId="0" applyFont="1" applyFill="1" applyBorder="1" applyAlignment="1" applyProtection="1">
      <alignment horizontal="left" indent="1"/>
    </xf>
    <xf numFmtId="176" fontId="15" fillId="22" borderId="1" xfId="301" applyNumberFormat="1" applyFont="1" applyFill="1" applyBorder="1" applyAlignment="1" applyProtection="1">
      <alignment horizontal="center"/>
      <protection locked="0"/>
    </xf>
    <xf numFmtId="0" fontId="112" fillId="0" borderId="2" xfId="562" applyFont="1" applyFill="1" applyBorder="1" applyProtection="1"/>
    <xf numFmtId="0" fontId="102" fillId="0" borderId="2" xfId="564" applyFont="1" applyFill="1" applyBorder="1" applyAlignment="1" applyProtection="1">
      <alignment horizontal="left" indent="1"/>
    </xf>
    <xf numFmtId="0" fontId="102" fillId="0" borderId="2" xfId="0" applyFont="1" applyFill="1" applyBorder="1" applyAlignment="1" applyProtection="1">
      <alignment horizontal="left" indent="2"/>
    </xf>
    <xf numFmtId="0" fontId="102" fillId="0" borderId="2" xfId="568" applyFont="1" applyFill="1" applyBorder="1" applyAlignment="1" applyProtection="1">
      <alignment horizontal="left" indent="1"/>
    </xf>
    <xf numFmtId="0" fontId="102" fillId="0" borderId="1" xfId="571" applyNumberFormat="1" applyFont="1" applyBorder="1" applyProtection="1"/>
    <xf numFmtId="0" fontId="102" fillId="0" borderId="2" xfId="0" applyFont="1" applyBorder="1" applyProtection="1"/>
    <xf numFmtId="0" fontId="112" fillId="0" borderId="2" xfId="564" applyFont="1" applyFill="1" applyBorder="1" applyAlignment="1" applyProtection="1">
      <alignment horizontal="left" wrapText="1"/>
    </xf>
    <xf numFmtId="169" fontId="102" fillId="0" borderId="1" xfId="301" applyNumberFormat="1" applyFont="1" applyBorder="1" applyAlignment="1">
      <alignment horizontal="center"/>
    </xf>
    <xf numFmtId="0" fontId="102" fillId="0" borderId="47" xfId="0" applyFont="1" applyBorder="1" applyAlignment="1" applyProtection="1">
      <alignment horizontal="right"/>
    </xf>
    <xf numFmtId="0" fontId="112" fillId="0" borderId="107" xfId="564" applyFont="1" applyFill="1" applyBorder="1" applyAlignment="1" applyProtection="1">
      <alignment horizontal="left" wrapText="1"/>
    </xf>
    <xf numFmtId="0" fontId="112" fillId="0" borderId="100" xfId="564" applyFont="1" applyFill="1" applyBorder="1" applyAlignment="1" applyProtection="1">
      <alignment horizontal="right" wrapText="1"/>
    </xf>
    <xf numFmtId="0" fontId="102" fillId="0" borderId="100" xfId="0" applyFont="1" applyBorder="1" applyAlignment="1" applyProtection="1">
      <alignment horizontal="center"/>
    </xf>
    <xf numFmtId="173" fontId="112" fillId="0" borderId="100" xfId="301" applyNumberFormat="1" applyFont="1" applyFill="1" applyBorder="1" applyAlignment="1" applyProtection="1">
      <alignment horizontal="center"/>
    </xf>
    <xf numFmtId="169" fontId="112" fillId="0" borderId="100" xfId="301" applyNumberFormat="1" applyFont="1" applyBorder="1" applyAlignment="1">
      <alignment horizontal="center"/>
    </xf>
    <xf numFmtId="0" fontId="102" fillId="0" borderId="100" xfId="0" applyFont="1" applyFill="1" applyBorder="1" applyProtection="1"/>
    <xf numFmtId="0" fontId="102" fillId="0" borderId="100" xfId="0" applyFont="1" applyFill="1" applyBorder="1" applyAlignment="1" applyProtection="1">
      <alignment horizontal="center"/>
    </xf>
    <xf numFmtId="0" fontId="102" fillId="0" borderId="183" xfId="0" applyFont="1" applyFill="1" applyBorder="1" applyAlignment="1" applyProtection="1">
      <alignment horizontal="center" wrapText="1"/>
    </xf>
    <xf numFmtId="173" fontId="112" fillId="0" borderId="58" xfId="301" applyNumberFormat="1" applyFont="1" applyFill="1" applyBorder="1" applyAlignment="1" applyProtection="1">
      <alignment horizontal="center" wrapText="1"/>
    </xf>
    <xf numFmtId="0" fontId="112" fillId="0" borderId="58" xfId="571" applyFont="1" applyFill="1" applyBorder="1" applyAlignment="1" applyProtection="1">
      <alignment horizontal="center" wrapText="1"/>
    </xf>
    <xf numFmtId="0" fontId="112" fillId="0" borderId="58" xfId="0" applyFont="1" applyBorder="1" applyAlignment="1">
      <alignment horizontal="center" wrapText="1"/>
    </xf>
    <xf numFmtId="0" fontId="102" fillId="0" borderId="58" xfId="0" applyFont="1" applyBorder="1"/>
    <xf numFmtId="0" fontId="112" fillId="0" borderId="58" xfId="0" applyFont="1" applyFill="1" applyBorder="1" applyAlignment="1" applyProtection="1">
      <alignment horizontal="center" wrapText="1"/>
    </xf>
    <xf numFmtId="0" fontId="102" fillId="0" borderId="58" xfId="0" applyFont="1" applyFill="1" applyBorder="1" applyAlignment="1" applyProtection="1">
      <alignment horizontal="center" wrapText="1"/>
    </xf>
    <xf numFmtId="0" fontId="102" fillId="0" borderId="3" xfId="0" applyFont="1" applyBorder="1" applyAlignment="1" applyProtection="1">
      <alignment horizontal="center"/>
    </xf>
    <xf numFmtId="0" fontId="102" fillId="0" borderId="3" xfId="0" applyFont="1" applyBorder="1" applyProtection="1"/>
    <xf numFmtId="0" fontId="112" fillId="0" borderId="88" xfId="0" applyFont="1" applyFill="1" applyBorder="1" applyProtection="1"/>
    <xf numFmtId="0" fontId="102" fillId="0" borderId="1" xfId="0" quotePrefix="1" applyFont="1" applyFill="1" applyBorder="1" applyProtection="1"/>
    <xf numFmtId="173" fontId="102" fillId="0" borderId="144" xfId="0" applyNumberFormat="1" applyFont="1" applyFill="1" applyBorder="1" applyProtection="1"/>
    <xf numFmtId="0" fontId="102" fillId="0" borderId="1" xfId="0" applyFont="1" applyFill="1" applyBorder="1" applyAlignment="1" applyProtection="1">
      <alignment horizontal="right"/>
    </xf>
    <xf numFmtId="0" fontId="102" fillId="0" borderId="144" xfId="0" applyFont="1" applyFill="1" applyBorder="1" applyAlignment="1" applyProtection="1">
      <alignment horizontal="center"/>
    </xf>
    <xf numFmtId="0" fontId="102" fillId="0" borderId="144" xfId="0" applyFont="1" applyFill="1" applyBorder="1" applyProtection="1"/>
    <xf numFmtId="0" fontId="102" fillId="0" borderId="1" xfId="571" applyNumberFormat="1" applyFont="1" applyFill="1" applyBorder="1" applyProtection="1"/>
    <xf numFmtId="0" fontId="102" fillId="0" borderId="144" xfId="571" applyNumberFormat="1" applyFont="1" applyFill="1" applyBorder="1" applyProtection="1"/>
    <xf numFmtId="173" fontId="102" fillId="0" borderId="49" xfId="301" applyNumberFormat="1" applyFont="1" applyBorder="1" applyAlignment="1" applyProtection="1">
      <alignment horizontal="center"/>
    </xf>
    <xf numFmtId="0" fontId="102" fillId="0" borderId="49" xfId="0" applyFont="1" applyBorder="1" applyAlignment="1" applyProtection="1">
      <alignment horizontal="center"/>
    </xf>
    <xf numFmtId="0" fontId="112" fillId="0" borderId="49" xfId="0" applyFont="1" applyFill="1" applyBorder="1" applyAlignment="1" applyProtection="1">
      <alignment horizontal="center"/>
    </xf>
    <xf numFmtId="0" fontId="112" fillId="0" borderId="49" xfId="0" applyFont="1" applyBorder="1" applyAlignment="1" applyProtection="1">
      <alignment horizontal="center"/>
    </xf>
    <xf numFmtId="0" fontId="102" fillId="0" borderId="49" xfId="0" applyFont="1" applyBorder="1" applyProtection="1"/>
    <xf numFmtId="0" fontId="102" fillId="0" borderId="49" xfId="0" applyFont="1" applyFill="1" applyBorder="1" applyProtection="1"/>
    <xf numFmtId="0" fontId="102" fillId="0" borderId="168" xfId="0" applyFont="1" applyBorder="1" applyProtection="1"/>
    <xf numFmtId="173" fontId="112" fillId="0" borderId="3" xfId="301" applyNumberFormat="1" applyFont="1" applyBorder="1" applyAlignment="1" applyProtection="1">
      <alignment horizontal="center" vertical="center"/>
    </xf>
    <xf numFmtId="0" fontId="112" fillId="0" borderId="3" xfId="0" applyFont="1" applyFill="1" applyBorder="1" applyAlignment="1" applyProtection="1">
      <alignment horizontal="center" vertical="center"/>
    </xf>
    <xf numFmtId="0" fontId="112" fillId="37" borderId="78" xfId="0" applyFont="1" applyFill="1" applyBorder="1" applyProtection="1"/>
    <xf numFmtId="173" fontId="102" fillId="37" borderId="105" xfId="301" applyNumberFormat="1" applyFont="1" applyFill="1" applyBorder="1" applyProtection="1"/>
    <xf numFmtId="0" fontId="102" fillId="37" borderId="105" xfId="0" applyFont="1" applyFill="1" applyBorder="1" applyProtection="1"/>
    <xf numFmtId="0" fontId="112" fillId="37" borderId="105" xfId="0" applyFont="1" applyFill="1" applyBorder="1" applyAlignment="1" applyProtection="1">
      <alignment horizontal="center"/>
    </xf>
    <xf numFmtId="0" fontId="102" fillId="0" borderId="184" xfId="0" applyFont="1" applyBorder="1"/>
    <xf numFmtId="0" fontId="112" fillId="0" borderId="2" xfId="0" applyFont="1" applyBorder="1" applyAlignment="1" applyProtection="1">
      <alignment horizontal="left" indent="1"/>
    </xf>
    <xf numFmtId="0" fontId="102" fillId="25" borderId="65" xfId="0" applyFont="1" applyFill="1" applyBorder="1" applyProtection="1"/>
    <xf numFmtId="0" fontId="112" fillId="25" borderId="65" xfId="0" applyFont="1" applyFill="1" applyBorder="1" applyAlignment="1" applyProtection="1">
      <alignment horizontal="center"/>
    </xf>
    <xf numFmtId="0" fontId="102" fillId="0" borderId="185" xfId="0" applyFont="1" applyFill="1" applyBorder="1" applyAlignment="1" applyProtection="1">
      <alignment horizontal="center" wrapText="1"/>
    </xf>
    <xf numFmtId="0" fontId="102" fillId="25" borderId="92" xfId="0" applyFont="1" applyFill="1" applyBorder="1" applyProtection="1"/>
    <xf numFmtId="0" fontId="112" fillId="25" borderId="93" xfId="0" applyFont="1" applyFill="1" applyBorder="1" applyAlignment="1" applyProtection="1">
      <alignment horizontal="center"/>
    </xf>
    <xf numFmtId="0" fontId="112" fillId="25" borderId="78" xfId="0" applyFont="1" applyFill="1" applyBorder="1" applyAlignment="1" applyProtection="1">
      <alignment horizontal="center"/>
    </xf>
    <xf numFmtId="0" fontId="102" fillId="25" borderId="105" xfId="0" applyFont="1" applyFill="1" applyBorder="1" applyProtection="1"/>
    <xf numFmtId="0" fontId="112" fillId="25" borderId="105" xfId="0" applyFont="1" applyFill="1" applyBorder="1" applyAlignment="1" applyProtection="1">
      <alignment horizontal="center"/>
    </xf>
    <xf numFmtId="0" fontId="102" fillId="25" borderId="108" xfId="0" applyFont="1" applyFill="1" applyBorder="1" applyProtection="1"/>
    <xf numFmtId="0" fontId="102" fillId="0" borderId="148" xfId="0" applyFont="1" applyFill="1" applyBorder="1" applyAlignment="1" applyProtection="1">
      <alignment horizontal="center" wrapText="1"/>
    </xf>
    <xf numFmtId="0" fontId="112" fillId="25" borderId="78" xfId="0" applyFont="1" applyFill="1" applyBorder="1" applyAlignment="1" applyProtection="1">
      <alignment horizontal="center" wrapText="1"/>
    </xf>
    <xf numFmtId="0" fontId="102" fillId="25" borderId="105" xfId="0" applyFont="1" applyFill="1" applyBorder="1" applyAlignment="1" applyProtection="1">
      <alignment horizontal="center" wrapText="1"/>
    </xf>
    <xf numFmtId="0" fontId="112" fillId="25" borderId="105" xfId="0" applyFont="1" applyFill="1" applyBorder="1" applyAlignment="1" applyProtection="1">
      <alignment horizontal="center" wrapText="1"/>
    </xf>
    <xf numFmtId="0" fontId="112" fillId="25" borderId="108" xfId="0" applyFont="1" applyFill="1" applyBorder="1" applyAlignment="1" applyProtection="1">
      <alignment horizontal="center" wrapText="1"/>
    </xf>
    <xf numFmtId="0" fontId="112" fillId="25" borderId="78" xfId="564" applyFont="1" applyFill="1" applyBorder="1" applyAlignment="1" applyProtection="1">
      <alignment horizontal="center" wrapText="1"/>
    </xf>
    <xf numFmtId="0" fontId="102" fillId="25" borderId="1" xfId="0" applyFont="1" applyFill="1" applyBorder="1"/>
    <xf numFmtId="0" fontId="14" fillId="0" borderId="0" xfId="0" applyFont="1" applyBorder="1"/>
    <xf numFmtId="0" fontId="14" fillId="0" borderId="0" xfId="0" applyFont="1" applyBorder="1" applyAlignment="1">
      <alignment horizontal="center"/>
    </xf>
    <xf numFmtId="0" fontId="112" fillId="37" borderId="45" xfId="0" applyFont="1" applyFill="1" applyBorder="1"/>
    <xf numFmtId="0" fontId="102" fillId="0" borderId="105" xfId="0" applyFont="1" applyFill="1" applyBorder="1"/>
    <xf numFmtId="0" fontId="102" fillId="0" borderId="46" xfId="0" applyFont="1" applyFill="1" applyBorder="1" applyAlignment="1">
      <alignment horizontal="center"/>
    </xf>
    <xf numFmtId="0" fontId="102" fillId="0" borderId="1" xfId="0" applyFont="1" applyFill="1" applyBorder="1" applyAlignment="1"/>
    <xf numFmtId="171" fontId="102" fillId="0" borderId="1" xfId="0" applyNumberFormat="1" applyFont="1" applyBorder="1"/>
    <xf numFmtId="0" fontId="102" fillId="0" borderId="16" xfId="0" applyFont="1" applyBorder="1"/>
    <xf numFmtId="0" fontId="112" fillId="25" borderId="107" xfId="0" applyFont="1" applyFill="1" applyBorder="1"/>
    <xf numFmtId="0" fontId="112" fillId="25" borderId="100" xfId="0" applyFont="1" applyFill="1" applyBorder="1"/>
    <xf numFmtId="0" fontId="102" fillId="25" borderId="100" xfId="0" applyFont="1" applyFill="1" applyBorder="1"/>
    <xf numFmtId="173" fontId="112" fillId="25" borderId="100" xfId="301" applyNumberFormat="1" applyFont="1" applyFill="1" applyBorder="1" applyAlignment="1">
      <alignment horizontal="center" vertical="center"/>
    </xf>
    <xf numFmtId="170" fontId="14" fillId="25" borderId="100" xfId="0" applyNumberFormat="1" applyFont="1" applyFill="1" applyBorder="1"/>
    <xf numFmtId="0" fontId="112" fillId="25" borderId="100" xfId="0" applyFont="1" applyFill="1" applyBorder="1" applyAlignment="1">
      <alignment horizontal="center" vertical="center"/>
    </xf>
    <xf numFmtId="173" fontId="112" fillId="25" borderId="100" xfId="301" applyNumberFormat="1" applyFont="1" applyFill="1" applyBorder="1" applyAlignment="1">
      <alignment horizontal="center" vertical="center" wrapText="1"/>
    </xf>
    <xf numFmtId="174" fontId="102" fillId="25" borderId="100" xfId="301" applyNumberFormat="1" applyFont="1" applyFill="1" applyBorder="1"/>
    <xf numFmtId="0" fontId="102" fillId="25" borderId="163" xfId="0" applyFont="1" applyFill="1" applyBorder="1"/>
    <xf numFmtId="0" fontId="102" fillId="25" borderId="105" xfId="0" applyFont="1" applyFill="1" applyBorder="1"/>
    <xf numFmtId="0" fontId="102" fillId="25" borderId="105" xfId="0" applyFont="1" applyFill="1" applyBorder="1" applyAlignment="1">
      <alignment horizontal="center"/>
    </xf>
    <xf numFmtId="0" fontId="112" fillId="25" borderId="105" xfId="0" applyFont="1" applyFill="1" applyBorder="1" applyAlignment="1">
      <alignment horizontal="center" wrapText="1"/>
    </xf>
    <xf numFmtId="174" fontId="112" fillId="25" borderId="105" xfId="301" applyNumberFormat="1" applyFont="1" applyFill="1" applyBorder="1" applyAlignment="1">
      <alignment horizontal="center" wrapText="1"/>
    </xf>
    <xf numFmtId="0" fontId="112" fillId="25" borderId="108" xfId="0" applyFont="1" applyFill="1" applyBorder="1" applyAlignment="1">
      <alignment horizontal="center" wrapText="1"/>
    </xf>
    <xf numFmtId="168" fontId="112" fillId="25" borderId="1" xfId="301" applyNumberFormat="1" applyFont="1" applyFill="1" applyBorder="1" applyAlignment="1">
      <alignment horizontal="center"/>
    </xf>
    <xf numFmtId="168" fontId="112" fillId="25" borderId="144" xfId="301" applyNumberFormat="1" applyFont="1" applyFill="1" applyBorder="1" applyAlignment="1">
      <alignment horizontal="center"/>
    </xf>
    <xf numFmtId="0" fontId="163" fillId="25" borderId="78" xfId="0" applyFont="1" applyFill="1" applyBorder="1" applyAlignment="1">
      <alignment wrapText="1"/>
    </xf>
    <xf numFmtId="0" fontId="112" fillId="25" borderId="105" xfId="0" applyFont="1" applyFill="1" applyBorder="1"/>
    <xf numFmtId="0" fontId="112" fillId="25" borderId="105" xfId="0" applyFont="1" applyFill="1" applyBorder="1" applyAlignment="1">
      <alignment horizontal="center"/>
    </xf>
    <xf numFmtId="0" fontId="112" fillId="25" borderId="88" xfId="0" applyFont="1" applyFill="1" applyBorder="1" applyAlignment="1">
      <alignment horizontal="left" vertical="center"/>
    </xf>
    <xf numFmtId="173" fontId="112" fillId="25" borderId="46" xfId="301" applyNumberFormat="1" applyFont="1" applyFill="1" applyBorder="1" applyAlignment="1">
      <alignment horizontal="center" vertical="center" wrapText="1"/>
    </xf>
    <xf numFmtId="173" fontId="112" fillId="25" borderId="103" xfId="301" applyNumberFormat="1" applyFont="1" applyFill="1" applyBorder="1" applyAlignment="1">
      <alignment horizontal="center" vertical="center" wrapText="1"/>
    </xf>
    <xf numFmtId="173" fontId="112" fillId="25" borderId="186" xfId="301" applyNumberFormat="1" applyFont="1" applyFill="1" applyBorder="1" applyAlignment="1">
      <alignment horizontal="center" vertical="center" wrapText="1"/>
    </xf>
    <xf numFmtId="0" fontId="112" fillId="25" borderId="46" xfId="0" applyFont="1" applyFill="1" applyBorder="1" applyAlignment="1">
      <alignment horizontal="center" vertical="center" wrapText="1"/>
    </xf>
    <xf numFmtId="0" fontId="102" fillId="25" borderId="46" xfId="0" applyFont="1" applyFill="1" applyBorder="1" applyAlignment="1">
      <alignment vertical="center"/>
    </xf>
    <xf numFmtId="0" fontId="102" fillId="25" borderId="46" xfId="0" applyFont="1" applyFill="1" applyBorder="1" applyAlignment="1">
      <alignment vertical="center" wrapText="1"/>
    </xf>
    <xf numFmtId="0" fontId="112" fillId="25" borderId="46" xfId="0" applyFont="1" applyFill="1" applyBorder="1" applyAlignment="1">
      <alignment horizontal="left" vertical="center" wrapText="1"/>
    </xf>
    <xf numFmtId="174" fontId="112" fillId="25" borderId="46" xfId="301" applyNumberFormat="1" applyFont="1" applyFill="1" applyBorder="1" applyAlignment="1">
      <alignment horizontal="center" vertical="center" wrapText="1"/>
    </xf>
    <xf numFmtId="0" fontId="112" fillId="25" borderId="103" xfId="0" applyFont="1" applyFill="1" applyBorder="1" applyAlignment="1">
      <alignment horizontal="center" vertical="center" wrapText="1"/>
    </xf>
    <xf numFmtId="0" fontId="102" fillId="0" borderId="16" xfId="0" applyFont="1" applyFill="1" applyBorder="1"/>
    <xf numFmtId="0" fontId="102" fillId="0" borderId="17" xfId="0" applyFont="1" applyFill="1" applyBorder="1"/>
    <xf numFmtId="173" fontId="102" fillId="0" borderId="16" xfId="301" applyNumberFormat="1" applyFont="1" applyFill="1" applyBorder="1"/>
    <xf numFmtId="174" fontId="102" fillId="0" borderId="16" xfId="301" applyNumberFormat="1" applyFont="1" applyFill="1" applyBorder="1"/>
    <xf numFmtId="0" fontId="15" fillId="0" borderId="0" xfId="0" applyFont="1" applyFill="1" applyBorder="1" applyAlignment="1">
      <alignment horizontal="center"/>
    </xf>
    <xf numFmtId="0" fontId="14" fillId="0" borderId="0" xfId="0" applyFont="1" applyFill="1" applyBorder="1"/>
    <xf numFmtId="171" fontId="14" fillId="0" borderId="0" xfId="0" applyNumberFormat="1" applyFont="1" applyFill="1" applyBorder="1"/>
    <xf numFmtId="170" fontId="14" fillId="0" borderId="0" xfId="0" applyNumberFormat="1" applyFont="1" applyFill="1" applyBorder="1"/>
    <xf numFmtId="0" fontId="124" fillId="23" borderId="88" xfId="0" applyFont="1" applyFill="1" applyBorder="1"/>
    <xf numFmtId="0" fontId="0" fillId="23" borderId="46" xfId="0" applyFill="1" applyBorder="1"/>
    <xf numFmtId="0" fontId="0" fillId="23" borderId="103" xfId="0" applyFill="1" applyBorder="1"/>
    <xf numFmtId="0" fontId="1" fillId="0" borderId="2" xfId="0" applyFont="1" applyBorder="1"/>
    <xf numFmtId="0" fontId="14" fillId="0" borderId="2" xfId="0" applyFont="1" applyBorder="1"/>
    <xf numFmtId="0" fontId="13" fillId="0" borderId="1" xfId="0" applyFont="1" applyFill="1" applyBorder="1" applyAlignment="1">
      <alignment horizontal="center"/>
    </xf>
    <xf numFmtId="0" fontId="15" fillId="0" borderId="1" xfId="0" applyFont="1" applyBorder="1" applyAlignment="1">
      <alignment horizontal="center"/>
    </xf>
    <xf numFmtId="0" fontId="15" fillId="0" borderId="1" xfId="0" applyFont="1" applyBorder="1"/>
    <xf numFmtId="0" fontId="15" fillId="0" borderId="2" xfId="0" applyFont="1" applyFill="1" applyBorder="1" applyAlignment="1">
      <alignment horizontal="left" indent="1"/>
    </xf>
    <xf numFmtId="171" fontId="15" fillId="0" borderId="1" xfId="0" applyNumberFormat="1" applyFont="1" applyBorder="1"/>
    <xf numFmtId="170" fontId="15" fillId="0" borderId="144" xfId="0" applyNumberFormat="1" applyFont="1" applyBorder="1"/>
    <xf numFmtId="0" fontId="15" fillId="0" borderId="2" xfId="0" applyFont="1" applyFill="1" applyBorder="1" applyAlignment="1">
      <alignment horizontal="left" indent="2"/>
    </xf>
    <xf numFmtId="3" fontId="13" fillId="0" borderId="1" xfId="0" applyNumberFormat="1" applyFont="1" applyFill="1" applyBorder="1" applyAlignment="1">
      <alignment horizontal="center"/>
    </xf>
    <xf numFmtId="0" fontId="15" fillId="0" borderId="2" xfId="0" applyFont="1" applyBorder="1" applyAlignment="1">
      <alignment horizontal="left" indent="1"/>
    </xf>
    <xf numFmtId="0" fontId="14" fillId="0" borderId="2" xfId="0" applyFont="1" applyFill="1" applyBorder="1" applyAlignment="1"/>
    <xf numFmtId="176" fontId="13" fillId="0" borderId="1" xfId="0" applyNumberFormat="1" applyFont="1" applyFill="1" applyBorder="1" applyAlignment="1" applyProtection="1">
      <alignment horizontal="center"/>
      <protection locked="0"/>
    </xf>
    <xf numFmtId="0" fontId="14" fillId="25" borderId="107" xfId="0" applyFont="1" applyFill="1" applyBorder="1"/>
    <xf numFmtId="0" fontId="13" fillId="25" borderId="100" xfId="0" applyFont="1" applyFill="1" applyBorder="1" applyAlignment="1">
      <alignment horizontal="center"/>
    </xf>
    <xf numFmtId="0" fontId="15" fillId="25" borderId="100" xfId="0" applyFont="1" applyFill="1" applyBorder="1" applyAlignment="1">
      <alignment horizontal="center"/>
    </xf>
    <xf numFmtId="173" fontId="14" fillId="25" borderId="100" xfId="301" applyNumberFormat="1" applyFont="1" applyFill="1" applyBorder="1"/>
    <xf numFmtId="0" fontId="14" fillId="25" borderId="100" xfId="0" applyFont="1" applyFill="1" applyBorder="1" applyAlignment="1">
      <alignment horizontal="center"/>
    </xf>
    <xf numFmtId="171" fontId="14" fillId="25" borderId="100" xfId="0" applyNumberFormat="1" applyFont="1" applyFill="1" applyBorder="1"/>
    <xf numFmtId="0" fontId="0" fillId="25" borderId="100" xfId="0" applyFill="1" applyBorder="1"/>
    <xf numFmtId="170" fontId="14" fillId="25" borderId="163" xfId="0" applyNumberFormat="1" applyFont="1" applyFill="1" applyBorder="1"/>
    <xf numFmtId="0" fontId="17" fillId="25" borderId="1" xfId="0" applyFont="1" applyFill="1" applyBorder="1" applyAlignment="1">
      <alignment horizontal="center" wrapText="1"/>
    </xf>
    <xf numFmtId="0" fontId="6" fillId="25" borderId="1" xfId="0" applyFont="1" applyFill="1" applyBorder="1"/>
    <xf numFmtId="0" fontId="17" fillId="25" borderId="144" xfId="0" applyFont="1" applyFill="1" applyBorder="1" applyAlignment="1">
      <alignment horizontal="center" wrapText="1"/>
    </xf>
    <xf numFmtId="0" fontId="13" fillId="23" borderId="46" xfId="0" applyFont="1" applyFill="1" applyBorder="1" applyAlignment="1">
      <alignment horizontal="center"/>
    </xf>
    <xf numFmtId="0" fontId="15" fillId="23" borderId="46" xfId="0" applyFont="1" applyFill="1" applyBorder="1" applyAlignment="1">
      <alignment horizontal="center"/>
    </xf>
    <xf numFmtId="173" fontId="14" fillId="23" borderId="46" xfId="301" applyNumberFormat="1" applyFont="1" applyFill="1" applyBorder="1"/>
    <xf numFmtId="0" fontId="14" fillId="23" borderId="46" xfId="0" applyFont="1" applyFill="1" applyBorder="1" applyAlignment="1">
      <alignment horizontal="center"/>
    </xf>
    <xf numFmtId="171" fontId="14" fillId="23" borderId="46" xfId="0" applyNumberFormat="1" applyFont="1" applyFill="1" applyBorder="1"/>
    <xf numFmtId="170" fontId="14" fillId="23" borderId="46" xfId="0" applyNumberFormat="1" applyFont="1" applyFill="1" applyBorder="1"/>
    <xf numFmtId="0" fontId="62" fillId="25" borderId="1" xfId="560" applyFont="1" applyFill="1" applyBorder="1" applyAlignment="1">
      <alignment vertical="center"/>
    </xf>
    <xf numFmtId="0" fontId="17" fillId="0" borderId="2" xfId="560" applyFont="1" applyFill="1" applyBorder="1"/>
    <xf numFmtId="0" fontId="15" fillId="0" borderId="2" xfId="560" applyFont="1" applyFill="1" applyBorder="1" applyAlignment="1">
      <alignment horizontal="left" indent="1"/>
    </xf>
    <xf numFmtId="0" fontId="15" fillId="0" borderId="1" xfId="560" applyFont="1" applyBorder="1" applyAlignment="1">
      <alignment horizontal="center" vertical="center"/>
    </xf>
    <xf numFmtId="170" fontId="13" fillId="0" borderId="144" xfId="560" applyNumberFormat="1" applyFont="1" applyBorder="1" applyAlignment="1">
      <alignment horizontal="right"/>
    </xf>
    <xf numFmtId="0" fontId="13" fillId="0" borderId="2" xfId="562" applyFont="1" applyFill="1" applyBorder="1" applyAlignment="1" applyProtection="1">
      <alignment horizontal="left" indent="1"/>
    </xf>
    <xf numFmtId="0" fontId="17" fillId="0" borderId="2" xfId="562" applyFont="1" applyFill="1" applyBorder="1" applyProtection="1"/>
    <xf numFmtId="3" fontId="15" fillId="23" borderId="1" xfId="301" applyNumberFormat="1" applyFont="1" applyFill="1" applyBorder="1" applyAlignment="1">
      <alignment horizontal="center"/>
    </xf>
    <xf numFmtId="166" fontId="15" fillId="0" borderId="1" xfId="597" applyNumberFormat="1" applyFont="1" applyBorder="1" applyAlignment="1">
      <alignment horizontal="center"/>
    </xf>
    <xf numFmtId="166" fontId="15" fillId="0" borderId="1" xfId="560" applyNumberFormat="1" applyFont="1" applyBorder="1" applyAlignment="1">
      <alignment horizontal="center"/>
    </xf>
    <xf numFmtId="0" fontId="15" fillId="0" borderId="1" xfId="560" applyFont="1" applyFill="1" applyBorder="1" applyAlignment="1">
      <alignment horizontal="center"/>
    </xf>
    <xf numFmtId="0" fontId="13" fillId="0" borderId="2" xfId="564" applyFont="1" applyFill="1" applyBorder="1" applyAlignment="1" applyProtection="1">
      <alignment horizontal="left" indent="1"/>
    </xf>
    <xf numFmtId="3" fontId="85" fillId="23" borderId="1" xfId="301" applyNumberFormat="1" applyFont="1" applyFill="1" applyBorder="1" applyAlignment="1" applyProtection="1">
      <alignment horizontal="center"/>
      <protection locked="0"/>
    </xf>
    <xf numFmtId="0" fontId="85" fillId="30" borderId="1" xfId="560" applyFont="1" applyFill="1" applyBorder="1" applyAlignment="1">
      <alignment horizontal="center"/>
    </xf>
    <xf numFmtId="3" fontId="85" fillId="30" borderId="1" xfId="301" applyNumberFormat="1" applyFont="1" applyFill="1" applyBorder="1" applyAlignment="1">
      <alignment horizontal="center"/>
    </xf>
    <xf numFmtId="173" fontId="85" fillId="30" borderId="1" xfId="301" applyNumberFormat="1" applyFont="1" applyFill="1" applyBorder="1" applyAlignment="1">
      <alignment horizontal="center"/>
    </xf>
    <xf numFmtId="2" fontId="85" fillId="30" borderId="1" xfId="597" applyNumberFormat="1" applyFont="1" applyFill="1" applyBorder="1" applyAlignment="1">
      <alignment horizontal="center"/>
    </xf>
    <xf numFmtId="170" fontId="85" fillId="30" borderId="1" xfId="597" applyNumberFormat="1" applyFont="1" applyFill="1" applyBorder="1" applyAlignment="1">
      <alignment horizontal="center" vertical="center"/>
    </xf>
    <xf numFmtId="0" fontId="85" fillId="30" borderId="1" xfId="571" applyFont="1" applyFill="1" applyBorder="1" applyAlignment="1">
      <alignment horizontal="center"/>
    </xf>
    <xf numFmtId="173" fontId="86" fillId="30" borderId="1" xfId="301" applyNumberFormat="1" applyFont="1" applyFill="1" applyBorder="1" applyAlignment="1">
      <alignment horizontal="center"/>
    </xf>
    <xf numFmtId="0" fontId="85" fillId="30" borderId="1" xfId="571" applyNumberFormat="1" applyFont="1" applyFill="1" applyBorder="1" applyAlignment="1">
      <alignment horizontal="center"/>
    </xf>
    <xf numFmtId="170" fontId="128" fillId="30" borderId="1" xfId="560" applyNumberFormat="1" applyFont="1" applyFill="1" applyBorder="1" applyAlignment="1">
      <alignment horizontal="right"/>
    </xf>
    <xf numFmtId="170" fontId="86" fillId="30" borderId="1" xfId="560" applyNumberFormat="1" applyFont="1" applyFill="1" applyBorder="1" applyAlignment="1">
      <alignment horizontal="right"/>
    </xf>
    <xf numFmtId="170" fontId="86" fillId="30" borderId="144" xfId="560" applyNumberFormat="1" applyFont="1" applyFill="1" applyBorder="1" applyAlignment="1">
      <alignment horizontal="right"/>
    </xf>
    <xf numFmtId="0" fontId="13" fillId="0" borderId="2" xfId="564" applyFont="1" applyFill="1" applyBorder="1" applyAlignment="1" applyProtection="1">
      <alignment horizontal="left" indent="2"/>
    </xf>
    <xf numFmtId="0" fontId="15" fillId="0" borderId="1" xfId="571" applyFont="1" applyFill="1" applyBorder="1" applyAlignment="1">
      <alignment horizontal="center"/>
    </xf>
    <xf numFmtId="0" fontId="15" fillId="0" borderId="1" xfId="571" applyNumberFormat="1" applyFont="1" applyBorder="1" applyAlignment="1">
      <alignment horizontal="center"/>
    </xf>
    <xf numFmtId="0" fontId="127" fillId="0" borderId="1" xfId="560" applyFont="1" applyBorder="1" applyAlignment="1">
      <alignment horizontal="center"/>
    </xf>
    <xf numFmtId="0" fontId="15" fillId="0" borderId="1" xfId="571" applyFont="1" applyBorder="1" applyAlignment="1">
      <alignment horizontal="center"/>
    </xf>
    <xf numFmtId="0" fontId="13" fillId="0" borderId="2" xfId="568" applyFont="1" applyFill="1" applyBorder="1" applyAlignment="1">
      <alignment horizontal="left" indent="1"/>
    </xf>
    <xf numFmtId="0" fontId="15" fillId="0" borderId="1" xfId="571" applyNumberFormat="1" applyFont="1" applyFill="1" applyBorder="1" applyAlignment="1">
      <alignment horizontal="center"/>
    </xf>
    <xf numFmtId="0" fontId="17" fillId="0" borderId="2" xfId="568" applyFont="1" applyFill="1" applyBorder="1"/>
    <xf numFmtId="0" fontId="17" fillId="0" borderId="168" xfId="560" applyFont="1" applyFill="1" applyBorder="1"/>
    <xf numFmtId="0" fontId="125" fillId="0" borderId="107" xfId="560" applyFont="1" applyFill="1" applyBorder="1"/>
    <xf numFmtId="0" fontId="14" fillId="25" borderId="100" xfId="560" applyFont="1" applyFill="1" applyBorder="1" applyAlignment="1">
      <alignment horizontal="center" vertical="center" wrapText="1"/>
    </xf>
    <xf numFmtId="0" fontId="62" fillId="25" borderId="100" xfId="560" applyFont="1" applyFill="1" applyBorder="1" applyAlignment="1">
      <alignment vertical="center"/>
    </xf>
    <xf numFmtId="0" fontId="17" fillId="25" borderId="100" xfId="0" applyFont="1" applyFill="1" applyBorder="1" applyAlignment="1">
      <alignment horizontal="center" wrapText="1"/>
    </xf>
    <xf numFmtId="0" fontId="14" fillId="25" borderId="100" xfId="560" applyFont="1" applyFill="1" applyBorder="1" applyAlignment="1">
      <alignment horizontal="center"/>
    </xf>
    <xf numFmtId="0" fontId="14" fillId="25" borderId="100" xfId="571" applyFont="1" applyFill="1" applyBorder="1" applyAlignment="1">
      <alignment horizontal="center" vertical="center" wrapText="1"/>
    </xf>
    <xf numFmtId="0" fontId="14" fillId="25" borderId="163" xfId="571" applyFont="1" applyFill="1" applyBorder="1" applyAlignment="1">
      <alignment horizontal="center" vertical="center" wrapText="1"/>
    </xf>
    <xf numFmtId="0" fontId="14" fillId="25" borderId="107" xfId="560" applyFont="1" applyFill="1" applyBorder="1"/>
    <xf numFmtId="0" fontId="63" fillId="25" borderId="100" xfId="560" applyFill="1" applyBorder="1"/>
    <xf numFmtId="0" fontId="63" fillId="25" borderId="100" xfId="560" applyFill="1" applyBorder="1" applyAlignment="1">
      <alignment horizontal="center"/>
    </xf>
    <xf numFmtId="0" fontId="15" fillId="25" borderId="100" xfId="571" applyNumberFormat="1" applyFont="1" applyFill="1" applyBorder="1" applyAlignment="1">
      <alignment horizontal="center"/>
    </xf>
    <xf numFmtId="173" fontId="14" fillId="25" borderId="100" xfId="301" applyNumberFormat="1" applyFont="1" applyFill="1" applyBorder="1" applyAlignment="1">
      <alignment horizontal="center"/>
    </xf>
    <xf numFmtId="173" fontId="17" fillId="25" borderId="100" xfId="571" applyNumberFormat="1" applyFont="1" applyFill="1" applyBorder="1" applyAlignment="1">
      <alignment horizontal="center"/>
    </xf>
    <xf numFmtId="170" fontId="17" fillId="25" borderId="100" xfId="560" applyNumberFormat="1" applyFont="1" applyFill="1" applyBorder="1" applyAlignment="1">
      <alignment horizontal="right"/>
    </xf>
    <xf numFmtId="170" fontId="17" fillId="25" borderId="163" xfId="560" applyNumberFormat="1" applyFont="1" applyFill="1" applyBorder="1" applyAlignment="1">
      <alignment horizontal="right"/>
    </xf>
    <xf numFmtId="0" fontId="14" fillId="0" borderId="0" xfId="560" applyFont="1" applyFill="1" applyBorder="1"/>
    <xf numFmtId="0" fontId="63" fillId="0" borderId="0" xfId="560" applyFill="1" applyBorder="1" applyAlignment="1">
      <alignment horizontal="center"/>
    </xf>
    <xf numFmtId="173" fontId="14" fillId="0" borderId="0" xfId="301" applyNumberFormat="1" applyFont="1" applyFill="1" applyBorder="1" applyAlignment="1">
      <alignment horizontal="center"/>
    </xf>
    <xf numFmtId="173" fontId="17" fillId="0" borderId="0" xfId="571" applyNumberFormat="1" applyFont="1" applyFill="1" applyBorder="1" applyAlignment="1">
      <alignment horizontal="center"/>
    </xf>
    <xf numFmtId="170" fontId="17" fillId="0" borderId="0" xfId="560" applyNumberFormat="1" applyFont="1" applyFill="1" applyBorder="1" applyAlignment="1">
      <alignment horizontal="right"/>
    </xf>
    <xf numFmtId="0" fontId="63" fillId="0" borderId="2" xfId="560" applyFill="1" applyBorder="1"/>
    <xf numFmtId="0" fontId="63" fillId="0" borderId="1" xfId="560" applyBorder="1"/>
    <xf numFmtId="0" fontId="63" fillId="0" borderId="1" xfId="560" applyFont="1" applyBorder="1"/>
    <xf numFmtId="169" fontId="15" fillId="0" borderId="144" xfId="301" applyNumberFormat="1" applyFont="1" applyBorder="1" applyAlignment="1">
      <alignment horizontal="center"/>
    </xf>
    <xf numFmtId="176" fontId="85" fillId="30" borderId="1" xfId="301" applyNumberFormat="1" applyFont="1" applyFill="1" applyBorder="1" applyAlignment="1" applyProtection="1">
      <alignment horizontal="center"/>
    </xf>
    <xf numFmtId="0" fontId="129" fillId="30" borderId="1" xfId="560" applyFont="1" applyFill="1" applyBorder="1"/>
    <xf numFmtId="173" fontId="85" fillId="30" borderId="1" xfId="301" applyNumberFormat="1" applyFont="1" applyFill="1" applyBorder="1"/>
    <xf numFmtId="173" fontId="85" fillId="30" borderId="144" xfId="301" applyNumberFormat="1" applyFont="1" applyFill="1" applyBorder="1" applyAlignment="1">
      <alignment horizontal="center"/>
    </xf>
    <xf numFmtId="0" fontId="14" fillId="0" borderId="107" xfId="0" applyFont="1" applyBorder="1"/>
    <xf numFmtId="0" fontId="13" fillId="0" borderId="100" xfId="0" applyFont="1" applyFill="1" applyBorder="1" applyAlignment="1">
      <alignment horizontal="center"/>
    </xf>
    <xf numFmtId="0" fontId="15" fillId="0" borderId="100" xfId="0" applyFont="1" applyBorder="1" applyAlignment="1">
      <alignment horizontal="center"/>
    </xf>
    <xf numFmtId="173" fontId="14" fillId="0" borderId="100" xfId="301" applyNumberFormat="1" applyFont="1" applyBorder="1"/>
    <xf numFmtId="0" fontId="14" fillId="0" borderId="100" xfId="0" applyFont="1" applyBorder="1" applyAlignment="1">
      <alignment horizontal="center"/>
    </xf>
    <xf numFmtId="171" fontId="14" fillId="0" borderId="100" xfId="0" applyNumberFormat="1" applyFont="1" applyBorder="1"/>
    <xf numFmtId="170" fontId="14" fillId="0" borderId="100" xfId="0" applyNumberFormat="1" applyFont="1" applyBorder="1"/>
    <xf numFmtId="0" fontId="0" fillId="0" borderId="163" xfId="0" applyBorder="1"/>
    <xf numFmtId="0" fontId="14" fillId="25" borderId="2" xfId="560" applyFont="1" applyFill="1" applyBorder="1"/>
    <xf numFmtId="3" fontId="63" fillId="25" borderId="1" xfId="560" applyNumberFormat="1" applyFont="1" applyFill="1" applyBorder="1" applyAlignment="1">
      <alignment horizontal="center"/>
    </xf>
    <xf numFmtId="0" fontId="63" fillId="25" borderId="1" xfId="560" applyFill="1" applyBorder="1"/>
    <xf numFmtId="173" fontId="14" fillId="25" borderId="1" xfId="301" applyNumberFormat="1" applyFont="1" applyFill="1" applyBorder="1" applyAlignment="1">
      <alignment horizontal="center"/>
    </xf>
    <xf numFmtId="173" fontId="15" fillId="25" borderId="1" xfId="301" applyNumberFormat="1" applyFont="1" applyFill="1" applyBorder="1"/>
    <xf numFmtId="173" fontId="15" fillId="25" borderId="1" xfId="301" applyNumberFormat="1" applyFont="1" applyFill="1" applyBorder="1" applyAlignment="1">
      <alignment horizontal="center"/>
    </xf>
    <xf numFmtId="169" fontId="14" fillId="25" borderId="1" xfId="301" applyNumberFormat="1" applyFont="1" applyFill="1" applyBorder="1" applyAlignment="1">
      <alignment horizontal="center"/>
    </xf>
    <xf numFmtId="169" fontId="14" fillId="25" borderId="144" xfId="301" applyNumberFormat="1" applyFont="1" applyFill="1" applyBorder="1" applyAlignment="1">
      <alignment horizontal="center"/>
    </xf>
    <xf numFmtId="176" fontId="17" fillId="25" borderId="1" xfId="0" applyNumberFormat="1" applyFont="1" applyFill="1" applyBorder="1" applyAlignment="1" applyProtection="1">
      <alignment horizontal="center" wrapText="1"/>
    </xf>
    <xf numFmtId="0" fontId="125" fillId="25" borderId="1" xfId="560" applyFont="1" applyFill="1" applyBorder="1"/>
    <xf numFmtId="0" fontId="125" fillId="25" borderId="1" xfId="560" applyFont="1" applyFill="1" applyBorder="1" applyAlignment="1">
      <alignment horizontal="center"/>
    </xf>
    <xf numFmtId="0" fontId="0" fillId="0" borderId="91" xfId="0" applyBorder="1"/>
    <xf numFmtId="173" fontId="14" fillId="23" borderId="65" xfId="301" applyNumberFormat="1" applyFont="1" applyFill="1" applyBorder="1"/>
    <xf numFmtId="0" fontId="14" fillId="23" borderId="65" xfId="0" applyFont="1" applyFill="1" applyBorder="1" applyAlignment="1">
      <alignment horizontal="center"/>
    </xf>
    <xf numFmtId="171" fontId="14" fillId="23" borderId="65" xfId="0" applyNumberFormat="1" applyFont="1" applyFill="1" applyBorder="1"/>
    <xf numFmtId="170" fontId="14" fillId="23" borderId="65" xfId="0" applyNumberFormat="1" applyFont="1" applyFill="1" applyBorder="1"/>
    <xf numFmtId="0" fontId="0" fillId="23" borderId="65" xfId="0" applyFill="1" applyBorder="1"/>
    <xf numFmtId="0" fontId="0" fillId="23" borderId="93" xfId="0" applyFill="1" applyBorder="1"/>
    <xf numFmtId="173" fontId="14" fillId="23" borderId="32" xfId="301" applyNumberFormat="1" applyFont="1" applyFill="1" applyBorder="1"/>
    <xf numFmtId="173" fontId="102" fillId="0" borderId="53" xfId="301" applyNumberFormat="1" applyFont="1" applyFill="1" applyBorder="1" applyAlignment="1" applyProtection="1">
      <alignment horizontal="right"/>
    </xf>
    <xf numFmtId="0" fontId="102" fillId="0" borderId="53" xfId="0" applyFont="1" applyBorder="1" applyProtection="1"/>
    <xf numFmtId="0" fontId="112" fillId="0" borderId="53" xfId="0" applyFont="1" applyBorder="1" applyProtection="1"/>
    <xf numFmtId="0" fontId="102" fillId="0" borderId="53" xfId="0" applyFont="1" applyBorder="1"/>
    <xf numFmtId="0" fontId="102" fillId="0" borderId="160" xfId="0" applyFont="1" applyBorder="1"/>
    <xf numFmtId="173" fontId="102" fillId="0" borderId="3" xfId="301" applyNumberFormat="1" applyFont="1" applyFill="1" applyBorder="1" applyAlignment="1" applyProtection="1">
      <alignment horizontal="right"/>
    </xf>
    <xf numFmtId="0" fontId="102" fillId="0" borderId="3" xfId="0" applyFont="1" applyBorder="1"/>
    <xf numFmtId="0" fontId="102" fillId="0" borderId="169" xfId="0" applyFont="1" applyBorder="1"/>
    <xf numFmtId="173" fontId="112" fillId="25" borderId="105" xfId="301" applyNumberFormat="1" applyFont="1" applyFill="1" applyBorder="1" applyAlignment="1" applyProtection="1">
      <alignment horizontal="right"/>
    </xf>
    <xf numFmtId="0" fontId="112" fillId="25" borderId="105" xfId="0" applyFont="1" applyFill="1" applyBorder="1" applyProtection="1"/>
    <xf numFmtId="0" fontId="102" fillId="25" borderId="108" xfId="0" applyFont="1" applyFill="1" applyBorder="1"/>
    <xf numFmtId="173" fontId="102" fillId="0" borderId="49" xfId="301" applyNumberFormat="1" applyFont="1" applyFill="1" applyBorder="1" applyAlignment="1" applyProtection="1">
      <alignment horizontal="right"/>
    </xf>
    <xf numFmtId="0" fontId="112" fillId="0" borderId="49" xfId="0" applyFont="1" applyBorder="1" applyProtection="1"/>
    <xf numFmtId="0" fontId="102" fillId="0" borderId="49" xfId="0" applyFont="1" applyBorder="1"/>
    <xf numFmtId="0" fontId="102" fillId="0" borderId="187" xfId="0" applyFont="1" applyBorder="1"/>
    <xf numFmtId="9" fontId="102" fillId="0" borderId="61" xfId="597" applyFont="1" applyBorder="1" applyProtection="1"/>
    <xf numFmtId="0" fontId="102" fillId="0" borderId="61" xfId="0" applyFont="1" applyBorder="1" applyProtection="1"/>
    <xf numFmtId="0" fontId="102" fillId="0" borderId="61" xfId="0" applyFont="1" applyBorder="1"/>
    <xf numFmtId="0" fontId="102" fillId="0" borderId="188" xfId="0" applyFont="1" applyBorder="1"/>
    <xf numFmtId="43" fontId="102" fillId="0" borderId="0" xfId="0" applyNumberFormat="1" applyFont="1" applyProtection="1"/>
    <xf numFmtId="0" fontId="112" fillId="25" borderId="3" xfId="0" applyFont="1" applyFill="1" applyBorder="1" applyAlignment="1" applyProtection="1">
      <alignment horizontal="center" vertical="center" wrapText="1"/>
    </xf>
    <xf numFmtId="0" fontId="112" fillId="25" borderId="3" xfId="0" applyFont="1" applyFill="1" applyBorder="1" applyProtection="1"/>
    <xf numFmtId="0" fontId="112" fillId="25" borderId="189" xfId="0" applyFont="1" applyFill="1" applyBorder="1" applyAlignment="1" applyProtection="1">
      <alignment horizontal="center"/>
    </xf>
    <xf numFmtId="0" fontId="112" fillId="0" borderId="2" xfId="564" applyFont="1" applyFill="1" applyBorder="1" applyAlignment="1" applyProtection="1">
      <alignment horizontal="left"/>
    </xf>
    <xf numFmtId="0" fontId="112" fillId="0" borderId="1" xfId="0" applyFont="1" applyFill="1" applyBorder="1" applyProtection="1"/>
    <xf numFmtId="0" fontId="112" fillId="0" borderId="1" xfId="564" applyFont="1" applyFill="1" applyBorder="1" applyAlignment="1" applyProtection="1">
      <alignment horizontal="right"/>
    </xf>
    <xf numFmtId="0" fontId="112" fillId="25" borderId="58" xfId="0" applyFont="1" applyFill="1" applyBorder="1" applyProtection="1"/>
    <xf numFmtId="0" fontId="112" fillId="25" borderId="18" xfId="0" applyFont="1" applyFill="1" applyBorder="1" applyAlignment="1" applyProtection="1">
      <alignment horizontal="center" vertical="center" wrapText="1"/>
    </xf>
    <xf numFmtId="0" fontId="102" fillId="0" borderId="91" xfId="0" applyFont="1" applyBorder="1" applyProtection="1"/>
    <xf numFmtId="0" fontId="102" fillId="0" borderId="91" xfId="0" applyFont="1" applyFill="1" applyBorder="1" applyProtection="1"/>
    <xf numFmtId="0" fontId="112" fillId="0" borderId="190" xfId="564" applyFont="1" applyFill="1" applyBorder="1" applyAlignment="1" applyProtection="1"/>
    <xf numFmtId="0" fontId="102" fillId="0" borderId="29" xfId="0" applyFont="1" applyBorder="1" applyProtection="1"/>
    <xf numFmtId="0" fontId="102" fillId="0" borderId="32" xfId="0" applyFont="1" applyBorder="1" applyProtection="1"/>
    <xf numFmtId="0" fontId="164" fillId="0" borderId="1" xfId="0" applyFont="1" applyFill="1" applyBorder="1" applyProtection="1"/>
    <xf numFmtId="0" fontId="163" fillId="0" borderId="47" xfId="0" applyFont="1" applyFill="1" applyBorder="1" applyAlignment="1" applyProtection="1">
      <alignment horizontal="right" vertical="center"/>
    </xf>
    <xf numFmtId="0" fontId="163" fillId="0" borderId="1" xfId="0" applyFont="1" applyBorder="1" applyAlignment="1" applyProtection="1">
      <alignment horizontal="center"/>
    </xf>
    <xf numFmtId="173" fontId="163" fillId="0" borderId="1" xfId="301" applyNumberFormat="1" applyFont="1" applyBorder="1" applyAlignment="1" applyProtection="1">
      <alignment horizontal="center"/>
    </xf>
    <xf numFmtId="0" fontId="163" fillId="0" borderId="1" xfId="0" applyFont="1" applyBorder="1" applyProtection="1"/>
    <xf numFmtId="169" fontId="163" fillId="0" borderId="1" xfId="301" applyNumberFormat="1" applyFont="1" applyBorder="1" applyAlignment="1">
      <alignment horizontal="center"/>
    </xf>
    <xf numFmtId="0" fontId="163" fillId="0" borderId="1" xfId="0" applyFont="1" applyFill="1" applyBorder="1" applyProtection="1"/>
    <xf numFmtId="0" fontId="164" fillId="0" borderId="1" xfId="0" applyFont="1" applyBorder="1" applyAlignment="1" applyProtection="1">
      <alignment horizontal="center"/>
    </xf>
    <xf numFmtId="173" fontId="163" fillId="0" borderId="1" xfId="301" applyNumberFormat="1" applyFont="1" applyFill="1" applyBorder="1" applyAlignment="1" applyProtection="1">
      <alignment horizontal="center"/>
    </xf>
    <xf numFmtId="0" fontId="164" fillId="0" borderId="1" xfId="0" applyFont="1" applyBorder="1" applyProtection="1"/>
    <xf numFmtId="0" fontId="64" fillId="23" borderId="88" xfId="0" applyFont="1" applyFill="1" applyBorder="1"/>
    <xf numFmtId="173" fontId="102" fillId="0" borderId="1" xfId="0" applyNumberFormat="1" applyFont="1" applyBorder="1"/>
    <xf numFmtId="0" fontId="102" fillId="0" borderId="2" xfId="0" applyFont="1" applyFill="1" applyBorder="1" applyAlignment="1">
      <alignment horizontal="left" indent="1"/>
    </xf>
    <xf numFmtId="0" fontId="102" fillId="0" borderId="1" xfId="0" quotePrefix="1" applyFont="1" applyFill="1" applyBorder="1" applyAlignment="1"/>
    <xf numFmtId="43" fontId="102" fillId="0" borderId="1" xfId="301" applyNumberFormat="1" applyFont="1" applyBorder="1"/>
    <xf numFmtId="43" fontId="102" fillId="0" borderId="1" xfId="301" applyFont="1" applyBorder="1" applyAlignment="1">
      <alignment horizontal="center"/>
    </xf>
    <xf numFmtId="43" fontId="102" fillId="36" borderId="1" xfId="301" applyNumberFormat="1" applyFont="1" applyFill="1" applyBorder="1" applyProtection="1">
      <protection locked="0"/>
    </xf>
    <xf numFmtId="0" fontId="102" fillId="0" borderId="2" xfId="0" applyFont="1" applyFill="1" applyBorder="1" applyAlignment="1" applyProtection="1">
      <alignment horizontal="left" indent="1"/>
      <protection locked="0"/>
    </xf>
    <xf numFmtId="0" fontId="112" fillId="0" borderId="2" xfId="0" applyFont="1" applyBorder="1"/>
    <xf numFmtId="0" fontId="112" fillId="0" borderId="1" xfId="0" applyFont="1" applyBorder="1"/>
    <xf numFmtId="3" fontId="102" fillId="0" borderId="1" xfId="0" applyNumberFormat="1" applyFont="1" applyFill="1" applyBorder="1" applyAlignment="1">
      <alignment horizontal="center"/>
    </xf>
    <xf numFmtId="0" fontId="112" fillId="25" borderId="1" xfId="0" applyFont="1" applyFill="1" applyBorder="1" applyAlignment="1">
      <alignment horizontal="center"/>
    </xf>
    <xf numFmtId="0" fontId="112" fillId="25" borderId="1" xfId="0" applyFont="1" applyFill="1" applyBorder="1" applyAlignment="1">
      <alignment horizontal="center" wrapText="1"/>
    </xf>
    <xf numFmtId="0" fontId="112" fillId="25" borderId="1" xfId="0" applyFont="1" applyFill="1" applyBorder="1"/>
    <xf numFmtId="173" fontId="112" fillId="25" borderId="1" xfId="0" applyNumberFormat="1" applyFont="1" applyFill="1" applyBorder="1" applyAlignment="1">
      <alignment horizontal="center" wrapText="1"/>
    </xf>
    <xf numFmtId="173" fontId="112" fillId="25" borderId="1" xfId="301" applyNumberFormat="1" applyFont="1" applyFill="1" applyBorder="1" applyAlignment="1">
      <alignment horizontal="center" wrapText="1"/>
    </xf>
    <xf numFmtId="0" fontId="112" fillId="25" borderId="2" xfId="0" applyFont="1" applyFill="1" applyBorder="1" applyAlignment="1">
      <alignment horizontal="left"/>
    </xf>
    <xf numFmtId="0" fontId="0" fillId="23" borderId="98" xfId="0" applyFill="1" applyBorder="1"/>
    <xf numFmtId="0" fontId="112" fillId="25" borderId="47" xfId="0" applyFont="1" applyFill="1" applyBorder="1" applyAlignment="1">
      <alignment horizontal="center" wrapText="1"/>
    </xf>
    <xf numFmtId="0" fontId="102" fillId="0" borderId="47" xfId="0" applyFont="1" applyBorder="1"/>
    <xf numFmtId="184" fontId="102" fillId="0" borderId="47" xfId="301" applyNumberFormat="1" applyFont="1" applyBorder="1" applyAlignment="1">
      <alignment horizontal="center"/>
    </xf>
    <xf numFmtId="0" fontId="102" fillId="0" borderId="91" xfId="0" applyFont="1" applyBorder="1"/>
    <xf numFmtId="0" fontId="0" fillId="0" borderId="91" xfId="0" applyFill="1" applyBorder="1"/>
    <xf numFmtId="0" fontId="0" fillId="0" borderId="93" xfId="0" applyFill="1" applyBorder="1"/>
    <xf numFmtId="0" fontId="112" fillId="25" borderId="144" xfId="0" applyFont="1" applyFill="1" applyBorder="1" applyAlignment="1">
      <alignment horizontal="center" wrapText="1"/>
    </xf>
    <xf numFmtId="190" fontId="102" fillId="0" borderId="144" xfId="0" applyNumberFormat="1" applyFont="1" applyBorder="1"/>
    <xf numFmtId="167" fontId="102" fillId="0" borderId="1" xfId="301" applyNumberFormat="1" applyFont="1" applyBorder="1"/>
    <xf numFmtId="0" fontId="64" fillId="23" borderId="186" xfId="0" applyFont="1" applyFill="1" applyBorder="1"/>
    <xf numFmtId="0" fontId="112" fillId="25" borderId="89" xfId="0" applyFont="1" applyFill="1" applyBorder="1" applyAlignment="1">
      <alignment horizontal="left"/>
    </xf>
    <xf numFmtId="0" fontId="102" fillId="0" borderId="89" xfId="0" applyFont="1" applyBorder="1"/>
    <xf numFmtId="0" fontId="102" fillId="0" borderId="89" xfId="0" applyFont="1" applyFill="1" applyBorder="1" applyAlignment="1">
      <alignment horizontal="left" indent="1"/>
    </xf>
    <xf numFmtId="0" fontId="112" fillId="0" borderId="89" xfId="0" applyFont="1" applyBorder="1"/>
    <xf numFmtId="0" fontId="14" fillId="0" borderId="182" xfId="0" applyFont="1" applyBorder="1"/>
    <xf numFmtId="0" fontId="135" fillId="0" borderId="18" xfId="0" applyFont="1" applyFill="1" applyBorder="1"/>
    <xf numFmtId="0" fontId="135" fillId="0" borderId="18" xfId="0" applyFont="1" applyBorder="1"/>
    <xf numFmtId="0" fontId="112" fillId="25" borderId="107" xfId="564" applyFont="1" applyFill="1" applyBorder="1" applyAlignment="1" applyProtection="1"/>
    <xf numFmtId="173" fontId="102" fillId="25" borderId="100" xfId="301" applyNumberFormat="1" applyFont="1" applyFill="1" applyBorder="1" applyAlignment="1" applyProtection="1">
      <alignment horizontal="center"/>
    </xf>
    <xf numFmtId="0" fontId="102" fillId="25" borderId="100" xfId="0" applyFont="1" applyFill="1" applyBorder="1" applyAlignment="1" applyProtection="1">
      <alignment horizontal="center"/>
    </xf>
    <xf numFmtId="173" fontId="112" fillId="25" borderId="100" xfId="301" applyNumberFormat="1" applyFont="1" applyFill="1" applyBorder="1" applyAlignment="1" applyProtection="1">
      <alignment horizontal="center"/>
    </xf>
    <xf numFmtId="0" fontId="102" fillId="25" borderId="100" xfId="0" applyFont="1" applyFill="1" applyBorder="1" applyProtection="1"/>
    <xf numFmtId="3" fontId="112" fillId="25" borderId="100" xfId="301" applyNumberFormat="1" applyFont="1" applyFill="1" applyBorder="1" applyAlignment="1" applyProtection="1">
      <alignment horizontal="center"/>
    </xf>
    <xf numFmtId="173" fontId="112" fillId="25" borderId="163" xfId="301" applyNumberFormat="1" applyFont="1" applyFill="1" applyBorder="1" applyAlignment="1" applyProtection="1">
      <alignment horizontal="center"/>
    </xf>
    <xf numFmtId="0" fontId="102" fillId="25" borderId="100" xfId="0" applyFont="1" applyFill="1" applyBorder="1" applyAlignment="1">
      <alignment horizontal="center"/>
    </xf>
    <xf numFmtId="173" fontId="112" fillId="25" borderId="100" xfId="301" applyNumberFormat="1" applyFont="1" applyFill="1" applyBorder="1"/>
    <xf numFmtId="0" fontId="112" fillId="25" borderId="100" xfId="0" applyFont="1" applyFill="1" applyBorder="1" applyAlignment="1">
      <alignment horizontal="center"/>
    </xf>
    <xf numFmtId="170" fontId="112" fillId="25" borderId="100" xfId="0" applyNumberFormat="1" applyFont="1" applyFill="1" applyBorder="1"/>
    <xf numFmtId="173" fontId="112" fillId="25" borderId="100" xfId="0" applyNumberFormat="1" applyFont="1" applyFill="1" applyBorder="1"/>
    <xf numFmtId="170" fontId="112" fillId="25" borderId="101" xfId="0" applyNumberFormat="1" applyFont="1" applyFill="1" applyBorder="1"/>
    <xf numFmtId="0" fontId="112" fillId="25" borderId="89" xfId="0" applyFont="1" applyFill="1" applyBorder="1"/>
    <xf numFmtId="0" fontId="102" fillId="25" borderId="1" xfId="0" applyFont="1" applyFill="1" applyBorder="1" applyAlignment="1">
      <alignment horizontal="center"/>
    </xf>
    <xf numFmtId="173" fontId="112" fillId="25" borderId="1" xfId="301" applyNumberFormat="1" applyFont="1" applyFill="1" applyBorder="1"/>
    <xf numFmtId="170" fontId="112" fillId="25" borderId="1" xfId="0" applyNumberFormat="1" applyFont="1" applyFill="1" applyBorder="1"/>
    <xf numFmtId="43" fontId="112" fillId="25" borderId="1" xfId="301" applyFont="1" applyFill="1" applyBorder="1"/>
    <xf numFmtId="167" fontId="112" fillId="25" borderId="1" xfId="301" applyNumberFormat="1" applyFont="1" applyFill="1" applyBorder="1"/>
    <xf numFmtId="179" fontId="112" fillId="25" borderId="1" xfId="0" applyNumberFormat="1" applyFont="1" applyFill="1" applyBorder="1"/>
    <xf numFmtId="179" fontId="112" fillId="25" borderId="144" xfId="0" applyNumberFormat="1" applyFont="1" applyFill="1" applyBorder="1"/>
    <xf numFmtId="0" fontId="143" fillId="23" borderId="92" xfId="0" applyFont="1" applyFill="1" applyBorder="1" applyAlignment="1">
      <alignment horizontal="left"/>
    </xf>
    <xf numFmtId="0" fontId="143" fillId="23" borderId="65" xfId="0" applyFont="1" applyFill="1" applyBorder="1" applyAlignment="1">
      <alignment horizontal="center"/>
    </xf>
    <xf numFmtId="0" fontId="143" fillId="23" borderId="93" xfId="0" applyFont="1" applyFill="1" applyBorder="1" applyAlignment="1">
      <alignment horizontal="center"/>
    </xf>
    <xf numFmtId="0" fontId="144" fillId="25" borderId="109" xfId="0" applyFont="1" applyFill="1" applyBorder="1"/>
    <xf numFmtId="0" fontId="144" fillId="25" borderId="110" xfId="0" applyFont="1" applyFill="1" applyBorder="1" applyAlignment="1">
      <alignment horizontal="center" wrapText="1"/>
    </xf>
    <xf numFmtId="0" fontId="143" fillId="25" borderId="110" xfId="0" applyFont="1" applyFill="1" applyBorder="1"/>
    <xf numFmtId="0" fontId="144" fillId="25" borderId="191" xfId="0" applyFont="1" applyFill="1" applyBorder="1" applyAlignment="1">
      <alignment horizontal="center" vertical="center" wrapText="1"/>
    </xf>
    <xf numFmtId="0" fontId="143" fillId="0" borderId="112" xfId="0" applyFont="1" applyFill="1" applyBorder="1"/>
    <xf numFmtId="170" fontId="143" fillId="0" borderId="1" xfId="301" applyNumberFormat="1" applyFont="1" applyFill="1" applyBorder="1"/>
    <xf numFmtId="182" fontId="143" fillId="0" borderId="1" xfId="301" applyNumberFormat="1" applyFont="1" applyFill="1" applyBorder="1"/>
    <xf numFmtId="170" fontId="143" fillId="0" borderId="192" xfId="0" applyNumberFormat="1" applyFont="1" applyBorder="1" applyAlignment="1">
      <alignment horizontal="center"/>
    </xf>
    <xf numFmtId="167" fontId="143" fillId="0" borderId="1" xfId="301" applyNumberFormat="1" applyFont="1" applyFill="1" applyBorder="1"/>
    <xf numFmtId="0" fontId="144" fillId="25" borderId="112" xfId="0" applyFont="1" applyFill="1" applyBorder="1"/>
    <xf numFmtId="167" fontId="144" fillId="25" borderId="1" xfId="301" applyNumberFormat="1" applyFont="1" applyFill="1" applyBorder="1"/>
    <xf numFmtId="170" fontId="144" fillId="25" borderId="192" xfId="0" applyNumberFormat="1" applyFont="1" applyFill="1" applyBorder="1" applyAlignment="1">
      <alignment horizontal="center"/>
    </xf>
    <xf numFmtId="0" fontId="144" fillId="0" borderId="112" xfId="0" applyFont="1" applyFill="1" applyBorder="1"/>
    <xf numFmtId="0" fontId="143" fillId="0" borderId="1" xfId="0" applyFont="1" applyFill="1" applyBorder="1"/>
    <xf numFmtId="0" fontId="143" fillId="0" borderId="192" xfId="0" applyFont="1" applyBorder="1" applyAlignment="1">
      <alignment horizontal="center"/>
    </xf>
    <xf numFmtId="0" fontId="144" fillId="25" borderId="112" xfId="0" applyFont="1" applyFill="1" applyBorder="1" applyAlignment="1">
      <alignment wrapText="1"/>
    </xf>
    <xf numFmtId="0" fontId="144" fillId="25" borderId="1" xfId="0" applyFont="1" applyFill="1" applyBorder="1"/>
    <xf numFmtId="0" fontId="144" fillId="25" borderId="192" xfId="0" applyFont="1" applyFill="1" applyBorder="1" applyAlignment="1">
      <alignment horizontal="center" vertical="center" wrapText="1"/>
    </xf>
    <xf numFmtId="167" fontId="144" fillId="0" borderId="1" xfId="301" applyNumberFormat="1" applyFont="1" applyFill="1" applyBorder="1"/>
    <xf numFmtId="170" fontId="144" fillId="0" borderId="192" xfId="0" applyNumberFormat="1" applyFont="1" applyBorder="1" applyAlignment="1">
      <alignment horizontal="center"/>
    </xf>
    <xf numFmtId="0" fontId="143" fillId="0" borderId="112" xfId="0" applyFont="1" applyFill="1" applyBorder="1" applyAlignment="1">
      <alignment horizontal="left" indent="2"/>
    </xf>
    <xf numFmtId="0" fontId="144" fillId="0" borderId="112" xfId="0" applyFont="1" applyFill="1" applyBorder="1" applyAlignment="1">
      <alignment horizontal="left"/>
    </xf>
    <xf numFmtId="0" fontId="143" fillId="0" borderId="112" xfId="0" applyFont="1" applyBorder="1"/>
    <xf numFmtId="0" fontId="143" fillId="0" borderId="1" xfId="0" applyFont="1" applyBorder="1"/>
    <xf numFmtId="0" fontId="143" fillId="0" borderId="192" xfId="0" applyFont="1" applyBorder="1"/>
    <xf numFmtId="0" fontId="144" fillId="25" borderId="192" xfId="0" applyFont="1" applyFill="1" applyBorder="1"/>
    <xf numFmtId="0" fontId="144" fillId="0" borderId="112" xfId="0" applyFont="1" applyBorder="1"/>
    <xf numFmtId="173" fontId="144" fillId="0" borderId="1" xfId="301" applyNumberFormat="1" applyFont="1" applyBorder="1"/>
    <xf numFmtId="173" fontId="144" fillId="0" borderId="192" xfId="0" applyNumberFormat="1" applyFont="1" applyBorder="1"/>
    <xf numFmtId="0" fontId="143" fillId="0" borderId="112" xfId="0" applyFont="1" applyBorder="1" applyAlignment="1">
      <alignment horizontal="left" indent="1"/>
    </xf>
    <xf numFmtId="173" fontId="143" fillId="0" borderId="1" xfId="301" applyNumberFormat="1" applyFont="1" applyBorder="1"/>
    <xf numFmtId="173" fontId="143" fillId="0" borderId="192" xfId="0" applyNumberFormat="1" applyFont="1" applyBorder="1"/>
    <xf numFmtId="174" fontId="143" fillId="0" borderId="192" xfId="0" applyNumberFormat="1" applyFont="1" applyBorder="1"/>
    <xf numFmtId="173" fontId="143" fillId="0" borderId="192" xfId="301" applyNumberFormat="1" applyFont="1" applyBorder="1"/>
    <xf numFmtId="0" fontId="146" fillId="0" borderId="112" xfId="0" applyFont="1" applyBorder="1" applyAlignment="1">
      <alignment horizontal="left" indent="2"/>
    </xf>
    <xf numFmtId="173" fontId="144" fillId="0" borderId="100" xfId="301" applyNumberFormat="1" applyFont="1" applyBorder="1"/>
    <xf numFmtId="173" fontId="144" fillId="0" borderId="193" xfId="0" applyNumberFormat="1" applyFont="1" applyBorder="1"/>
    <xf numFmtId="0" fontId="144" fillId="25" borderId="194" xfId="0" applyFont="1" applyFill="1" applyBorder="1"/>
    <xf numFmtId="173" fontId="144" fillId="25" borderId="100" xfId="301" applyNumberFormat="1" applyFont="1" applyFill="1" applyBorder="1"/>
    <xf numFmtId="1" fontId="136" fillId="37" borderId="125" xfId="0" applyNumberFormat="1" applyFont="1" applyFill="1" applyBorder="1" applyAlignment="1">
      <alignment horizontal="center"/>
    </xf>
    <xf numFmtId="0" fontId="6" fillId="0" borderId="0" xfId="0" applyFont="1" applyAlignment="1">
      <alignment horizontal="center"/>
    </xf>
    <xf numFmtId="0" fontId="6" fillId="0" borderId="0" xfId="0" applyFont="1" applyBorder="1" applyAlignment="1">
      <alignment horizontal="center"/>
    </xf>
    <xf numFmtId="0" fontId="0" fillId="0" borderId="90" xfId="0" applyBorder="1"/>
    <xf numFmtId="0" fontId="6" fillId="28" borderId="126" xfId="0" applyFont="1" applyFill="1" applyBorder="1" applyAlignment="1">
      <alignment horizontal="center"/>
    </xf>
    <xf numFmtId="0" fontId="6" fillId="25" borderId="25" xfId="0" applyFont="1" applyFill="1" applyBorder="1"/>
    <xf numFmtId="0" fontId="6" fillId="25" borderId="26" xfId="0" applyFont="1" applyFill="1" applyBorder="1"/>
    <xf numFmtId="0" fontId="6" fillId="25" borderId="27" xfId="0" applyFont="1" applyFill="1" applyBorder="1"/>
    <xf numFmtId="0" fontId="6" fillId="0" borderId="20" xfId="0" applyFont="1" applyFill="1" applyBorder="1"/>
    <xf numFmtId="0" fontId="6" fillId="25" borderId="28" xfId="0" applyFont="1" applyFill="1" applyBorder="1"/>
    <xf numFmtId="0" fontId="6" fillId="25" borderId="29" xfId="0" applyFont="1" applyFill="1" applyBorder="1"/>
    <xf numFmtId="0" fontId="6" fillId="25" borderId="30" xfId="0" applyFont="1" applyFill="1" applyBorder="1"/>
    <xf numFmtId="2" fontId="12" fillId="0" borderId="20" xfId="0" applyNumberFormat="1" applyFont="1" applyFill="1" applyBorder="1"/>
    <xf numFmtId="2" fontId="6" fillId="0" borderId="20" xfId="0" applyNumberFormat="1" applyFont="1" applyFill="1" applyBorder="1"/>
    <xf numFmtId="171" fontId="6" fillId="25" borderId="79" xfId="0" applyNumberFormat="1" applyFont="1" applyFill="1" applyBorder="1"/>
    <xf numFmtId="179" fontId="6" fillId="0" borderId="20" xfId="0" applyNumberFormat="1" applyFont="1" applyFill="1" applyBorder="1"/>
    <xf numFmtId="0" fontId="0" fillId="0" borderId="125" xfId="0" applyFill="1" applyBorder="1" applyAlignment="1">
      <alignment horizontal="center"/>
    </xf>
    <xf numFmtId="0" fontId="0" fillId="0" borderId="125" xfId="0" applyFill="1" applyBorder="1" applyAlignment="1"/>
    <xf numFmtId="0" fontId="6" fillId="28" borderId="142" xfId="0" applyFont="1" applyFill="1" applyBorder="1" applyAlignment="1">
      <alignment horizontal="center"/>
    </xf>
    <xf numFmtId="173" fontId="0" fillId="0" borderId="142" xfId="301" applyNumberFormat="1" applyFont="1" applyFill="1" applyBorder="1"/>
    <xf numFmtId="173" fontId="167" fillId="23" borderId="142" xfId="301" applyNumberFormat="1" applyFont="1" applyFill="1" applyBorder="1"/>
    <xf numFmtId="173" fontId="168" fillId="23" borderId="142" xfId="301" applyNumberFormat="1" applyFont="1" applyFill="1" applyBorder="1"/>
    <xf numFmtId="173" fontId="169" fillId="23" borderId="142" xfId="0" applyNumberFormat="1" applyFont="1" applyFill="1" applyBorder="1" applyAlignment="1">
      <alignment horizontal="center"/>
    </xf>
    <xf numFmtId="174" fontId="0" fillId="33" borderId="142" xfId="301" applyNumberFormat="1" applyFont="1" applyFill="1" applyBorder="1"/>
    <xf numFmtId="43" fontId="0" fillId="33" borderId="142" xfId="0" applyNumberFormat="1" applyFill="1" applyBorder="1"/>
    <xf numFmtId="174" fontId="0" fillId="0" borderId="142" xfId="301" applyNumberFormat="1" applyFont="1" applyFill="1" applyBorder="1"/>
    <xf numFmtId="43" fontId="0" fillId="0" borderId="142" xfId="301" applyNumberFormat="1" applyFont="1" applyFill="1" applyBorder="1"/>
    <xf numFmtId="43" fontId="0" fillId="0" borderId="142" xfId="0" applyNumberFormat="1" applyBorder="1"/>
    <xf numFmtId="167" fontId="0" fillId="0" borderId="142" xfId="301" applyNumberFormat="1" applyFont="1" applyFill="1" applyBorder="1"/>
    <xf numFmtId="0" fontId="0" fillId="28" borderId="142" xfId="0" applyFill="1" applyBorder="1"/>
    <xf numFmtId="173" fontId="169" fillId="23" borderId="142" xfId="0" applyNumberFormat="1" applyFont="1" applyFill="1" applyBorder="1"/>
    <xf numFmtId="173" fontId="170" fillId="0" borderId="142" xfId="301" applyNumberFormat="1" applyFont="1" applyFill="1" applyBorder="1"/>
    <xf numFmtId="173" fontId="169" fillId="0" borderId="142" xfId="301" applyNumberFormat="1" applyFont="1" applyFill="1" applyBorder="1"/>
    <xf numFmtId="197" fontId="0" fillId="33" borderId="142" xfId="0" applyNumberFormat="1" applyFill="1" applyBorder="1"/>
    <xf numFmtId="173" fontId="0" fillId="25" borderId="145" xfId="301" applyNumberFormat="1" applyFont="1" applyFill="1" applyBorder="1"/>
    <xf numFmtId="173" fontId="0" fillId="25" borderId="129" xfId="301" applyNumberFormat="1" applyFont="1" applyFill="1" applyBorder="1"/>
    <xf numFmtId="0" fontId="0" fillId="25" borderId="129" xfId="0" applyFill="1" applyBorder="1"/>
    <xf numFmtId="174" fontId="0" fillId="0" borderId="145" xfId="301" applyNumberFormat="1" applyFont="1" applyFill="1" applyBorder="1"/>
    <xf numFmtId="43" fontId="0" fillId="0" borderId="145" xfId="301" applyNumberFormat="1" applyFont="1" applyFill="1" applyBorder="1"/>
    <xf numFmtId="167" fontId="0" fillId="0" borderId="145" xfId="301" applyNumberFormat="1" applyFont="1" applyFill="1" applyBorder="1"/>
    <xf numFmtId="43" fontId="0" fillId="0" borderId="145" xfId="0" applyNumberFormat="1" applyBorder="1"/>
    <xf numFmtId="0" fontId="0" fillId="0" borderId="45" xfId="0" applyFill="1" applyBorder="1" applyAlignment="1">
      <alignment horizontal="right"/>
    </xf>
    <xf numFmtId="0" fontId="6" fillId="23" borderId="45" xfId="0" applyFont="1" applyFill="1" applyBorder="1" applyAlignment="1">
      <alignment horizontal="right"/>
    </xf>
    <xf numFmtId="0" fontId="0" fillId="25" borderId="45" xfId="0" applyFill="1" applyBorder="1"/>
    <xf numFmtId="0" fontId="6" fillId="0" borderId="45" xfId="0" applyFont="1" applyFill="1" applyBorder="1" applyAlignment="1">
      <alignment horizontal="right"/>
    </xf>
    <xf numFmtId="0" fontId="0" fillId="25" borderId="29" xfId="0" applyFill="1" applyBorder="1"/>
    <xf numFmtId="0" fontId="0" fillId="25" borderId="125" xfId="0" applyFill="1" applyBorder="1"/>
    <xf numFmtId="173" fontId="0" fillId="25" borderId="125" xfId="301" applyNumberFormat="1" applyFont="1" applyFill="1" applyBorder="1"/>
    <xf numFmtId="0" fontId="6" fillId="0" borderId="142" xfId="0" applyFont="1" applyFill="1" applyBorder="1"/>
    <xf numFmtId="0" fontId="0" fillId="0" borderId="142" xfId="0" applyFill="1" applyBorder="1" applyAlignment="1">
      <alignment horizontal="right"/>
    </xf>
    <xf numFmtId="0" fontId="6" fillId="23" borderId="142" xfId="0" applyFont="1" applyFill="1" applyBorder="1" applyAlignment="1">
      <alignment horizontal="right"/>
    </xf>
    <xf numFmtId="0" fontId="6" fillId="0" borderId="142" xfId="0" applyFont="1" applyFill="1" applyBorder="1" applyAlignment="1">
      <alignment horizontal="right"/>
    </xf>
    <xf numFmtId="0" fontId="6" fillId="33" borderId="142" xfId="0" applyFont="1" applyFill="1" applyBorder="1"/>
    <xf numFmtId="0" fontId="0" fillId="23" borderId="142" xfId="0" applyFill="1" applyBorder="1"/>
    <xf numFmtId="0" fontId="22" fillId="0" borderId="125" xfId="0" applyFont="1" applyFill="1" applyBorder="1" applyAlignment="1"/>
    <xf numFmtId="0" fontId="0" fillId="0" borderId="107" xfId="0" applyBorder="1"/>
    <xf numFmtId="0" fontId="6" fillId="25" borderId="197" xfId="0" applyFont="1" applyFill="1" applyBorder="1"/>
    <xf numFmtId="0" fontId="6" fillId="25" borderId="15" xfId="0" applyFont="1" applyFill="1" applyBorder="1"/>
    <xf numFmtId="0" fontId="6" fillId="0" borderId="71" xfId="0" applyFont="1" applyBorder="1"/>
    <xf numFmtId="173" fontId="12" fillId="0" borderId="142" xfId="0" applyNumberFormat="1" applyFont="1" applyBorder="1"/>
    <xf numFmtId="173" fontId="12" fillId="0" borderId="142" xfId="301" applyNumberFormat="1" applyFont="1" applyBorder="1"/>
    <xf numFmtId="171" fontId="12" fillId="0" borderId="143" xfId="0" applyNumberFormat="1" applyFont="1" applyBorder="1"/>
    <xf numFmtId="0" fontId="6" fillId="0" borderId="126" xfId="0" applyFont="1" applyBorder="1"/>
    <xf numFmtId="173" fontId="6" fillId="0" borderId="126" xfId="301" applyNumberFormat="1" applyFont="1" applyBorder="1"/>
    <xf numFmtId="171" fontId="6" fillId="0" borderId="198" xfId="0" applyNumberFormat="1" applyFont="1" applyBorder="1"/>
    <xf numFmtId="173" fontId="6" fillId="25" borderId="66" xfId="0" applyNumberFormat="1" applyFont="1" applyFill="1" applyBorder="1"/>
    <xf numFmtId="168" fontId="12" fillId="0" borderId="142" xfId="0" applyNumberFormat="1" applyFont="1" applyBorder="1"/>
    <xf numFmtId="168" fontId="12" fillId="0" borderId="142" xfId="301" applyNumberFormat="1" applyFont="1" applyBorder="1"/>
    <xf numFmtId="168" fontId="6" fillId="41" borderId="66" xfId="0" applyNumberFormat="1" applyFont="1" applyFill="1" applyBorder="1"/>
    <xf numFmtId="168" fontId="6" fillId="41" borderId="66" xfId="301" applyNumberFormat="1" applyFont="1" applyFill="1" applyBorder="1"/>
    <xf numFmtId="179" fontId="6" fillId="41" borderId="67" xfId="0" applyNumberFormat="1" applyFont="1" applyFill="1" applyBorder="1"/>
    <xf numFmtId="0" fontId="6" fillId="25" borderId="82" xfId="0" applyFont="1" applyFill="1" applyBorder="1"/>
    <xf numFmtId="0" fontId="12" fillId="0" borderId="74" xfId="0" applyFont="1" applyBorder="1"/>
    <xf numFmtId="0" fontId="6" fillId="25" borderId="64" xfId="0" applyFont="1" applyFill="1" applyBorder="1"/>
    <xf numFmtId="0" fontId="6" fillId="38" borderId="64" xfId="0" applyFont="1" applyFill="1" applyBorder="1"/>
    <xf numFmtId="43" fontId="12" fillId="0" borderId="142" xfId="301" applyNumberFormat="1" applyFont="1" applyBorder="1"/>
    <xf numFmtId="167" fontId="12" fillId="0" borderId="142" xfId="0" applyNumberFormat="1" applyFont="1" applyBorder="1"/>
    <xf numFmtId="167" fontId="12" fillId="0" borderId="142" xfId="301" applyNumberFormat="1" applyFont="1" applyBorder="1"/>
    <xf numFmtId="173" fontId="6" fillId="38" borderId="66" xfId="0" applyNumberFormat="1" applyFont="1" applyFill="1" applyBorder="1"/>
    <xf numFmtId="168" fontId="6" fillId="38" borderId="66" xfId="0" applyNumberFormat="1" applyFont="1" applyFill="1" applyBorder="1"/>
    <xf numFmtId="167" fontId="6" fillId="38" borderId="66" xfId="301" applyNumberFormat="1" applyFont="1" applyFill="1" applyBorder="1"/>
    <xf numFmtId="171" fontId="6" fillId="38" borderId="67" xfId="0" applyNumberFormat="1" applyFont="1" applyFill="1" applyBorder="1"/>
    <xf numFmtId="0" fontId="0" fillId="0" borderId="199" xfId="0" applyBorder="1"/>
    <xf numFmtId="0" fontId="0" fillId="0" borderId="200" xfId="0" applyBorder="1"/>
    <xf numFmtId="0" fontId="6" fillId="41" borderId="64" xfId="0" applyFont="1" applyFill="1" applyBorder="1"/>
    <xf numFmtId="173" fontId="6" fillId="41" borderId="66" xfId="0" applyNumberFormat="1" applyFont="1" applyFill="1" applyBorder="1"/>
    <xf numFmtId="0" fontId="6" fillId="25" borderId="125" xfId="0" applyFont="1" applyFill="1" applyBorder="1"/>
    <xf numFmtId="0" fontId="6" fillId="25" borderId="142" xfId="0" applyFont="1" applyFill="1" applyBorder="1"/>
    <xf numFmtId="0" fontId="6" fillId="28" borderId="46" xfId="0" applyFont="1" applyFill="1" applyBorder="1" applyAlignment="1">
      <alignment horizontal="center"/>
    </xf>
    <xf numFmtId="0" fontId="0" fillId="28" borderId="46" xfId="0" applyFill="1" applyBorder="1"/>
    <xf numFmtId="0" fontId="0" fillId="28" borderId="103" xfId="0" applyFill="1" applyBorder="1"/>
    <xf numFmtId="173" fontId="0" fillId="0" borderId="100" xfId="301" applyNumberFormat="1" applyFont="1" applyFill="1" applyBorder="1"/>
    <xf numFmtId="0" fontId="22" fillId="39" borderId="110" xfId="0" applyFont="1" applyFill="1" applyBorder="1" applyAlignment="1">
      <alignment horizontal="center" vertical="top" wrapText="1"/>
    </xf>
    <xf numFmtId="0" fontId="0" fillId="39" borderId="201" xfId="0" applyFill="1" applyBorder="1"/>
    <xf numFmtId="0" fontId="22" fillId="39" borderId="202" xfId="0" applyFont="1" applyFill="1" applyBorder="1" applyAlignment="1">
      <alignment horizontal="center" vertical="top" wrapText="1"/>
    </xf>
    <xf numFmtId="0" fontId="152" fillId="25" borderId="1" xfId="0" applyFont="1" applyFill="1" applyBorder="1" applyAlignment="1">
      <alignment wrapText="1"/>
    </xf>
    <xf numFmtId="0" fontId="152" fillId="25" borderId="36" xfId="0" applyFont="1" applyFill="1" applyBorder="1" applyAlignment="1">
      <alignment wrapText="1"/>
    </xf>
    <xf numFmtId="193" fontId="152" fillId="25" borderId="53" xfId="301" applyNumberFormat="1" applyFont="1" applyFill="1" applyBorder="1" applyAlignment="1">
      <alignment wrapText="1"/>
    </xf>
    <xf numFmtId="0" fontId="0" fillId="25" borderId="0" xfId="0" applyFill="1" applyBorder="1"/>
    <xf numFmtId="195" fontId="153" fillId="25" borderId="53" xfId="301" applyNumberFormat="1" applyFont="1" applyFill="1" applyBorder="1" applyAlignment="1">
      <alignment wrapText="1"/>
    </xf>
    <xf numFmtId="193" fontId="153" fillId="25" borderId="53" xfId="301" applyNumberFormat="1" applyFont="1" applyFill="1" applyBorder="1" applyAlignment="1">
      <alignment wrapText="1"/>
    </xf>
    <xf numFmtId="194" fontId="153" fillId="25" borderId="54" xfId="301" applyNumberFormat="1" applyFont="1" applyFill="1" applyBorder="1" applyAlignment="1">
      <alignment wrapText="1"/>
    </xf>
    <xf numFmtId="0" fontId="22" fillId="23" borderId="155" xfId="0" applyFont="1" applyFill="1" applyBorder="1" applyAlignment="1">
      <alignment horizontal="left" wrapText="1"/>
    </xf>
    <xf numFmtId="193" fontId="152" fillId="23" borderId="180" xfId="301" applyNumberFormat="1" applyFont="1" applyFill="1" applyBorder="1" applyAlignment="1">
      <alignment wrapText="1"/>
    </xf>
    <xf numFmtId="194" fontId="152" fillId="23" borderId="180" xfId="301" applyNumberFormat="1" applyFont="1" applyFill="1" applyBorder="1" applyAlignment="1">
      <alignment wrapText="1"/>
    </xf>
    <xf numFmtId="173" fontId="98" fillId="23" borderId="180" xfId="301" applyNumberFormat="1" applyFont="1" applyFill="1" applyBorder="1"/>
    <xf numFmtId="195" fontId="153" fillId="23" borderId="180" xfId="301" applyNumberFormat="1" applyFont="1" applyFill="1" applyBorder="1" applyAlignment="1">
      <alignment wrapText="1"/>
    </xf>
    <xf numFmtId="195" fontId="153" fillId="23" borderId="181" xfId="301" applyNumberFormat="1" applyFont="1" applyFill="1" applyBorder="1" applyAlignment="1">
      <alignment wrapText="1"/>
    </xf>
    <xf numFmtId="0" fontId="22" fillId="23" borderId="151" xfId="0" applyFont="1" applyFill="1" applyBorder="1" applyAlignment="1">
      <alignment horizontal="left" wrapText="1"/>
    </xf>
    <xf numFmtId="0" fontId="0" fillId="23" borderId="105" xfId="0" applyFill="1" applyBorder="1"/>
    <xf numFmtId="0" fontId="22" fillId="23" borderId="151" xfId="0" applyFont="1" applyFill="1" applyBorder="1" applyAlignment="1">
      <alignment horizontal="center" wrapText="1"/>
    </xf>
    <xf numFmtId="193" fontId="152" fillId="23" borderId="105" xfId="301" applyNumberFormat="1" applyFont="1" applyFill="1" applyBorder="1" applyAlignment="1">
      <alignment wrapText="1"/>
    </xf>
    <xf numFmtId="195" fontId="153" fillId="23" borderId="105" xfId="301" applyNumberFormat="1" applyFont="1" applyFill="1" applyBorder="1" applyAlignment="1">
      <alignment wrapText="1"/>
    </xf>
    <xf numFmtId="194" fontId="153" fillId="23" borderId="79" xfId="301" applyNumberFormat="1" applyFont="1" applyFill="1" applyBorder="1" applyAlignment="1">
      <alignment wrapText="1"/>
    </xf>
    <xf numFmtId="193" fontId="153" fillId="45" borderId="49" xfId="301" applyNumberFormat="1" applyFont="1" applyFill="1" applyBorder="1" applyAlignment="1">
      <alignment wrapText="1"/>
    </xf>
    <xf numFmtId="0" fontId="22" fillId="45" borderId="77" xfId="0" applyFont="1" applyFill="1" applyBorder="1" applyAlignment="1">
      <alignment horizontal="left" wrapText="1"/>
    </xf>
    <xf numFmtId="193" fontId="152" fillId="45" borderId="49" xfId="301" applyNumberFormat="1" applyFont="1" applyFill="1" applyBorder="1" applyAlignment="1">
      <alignment wrapText="1"/>
    </xf>
    <xf numFmtId="194" fontId="153" fillId="45" borderId="49" xfId="301" applyNumberFormat="1" applyFont="1" applyFill="1" applyBorder="1" applyAlignment="1">
      <alignment wrapText="1"/>
    </xf>
    <xf numFmtId="196" fontId="152" fillId="45" borderId="49" xfId="301" applyNumberFormat="1" applyFont="1" applyFill="1" applyBorder="1" applyAlignment="1">
      <alignment wrapText="1"/>
    </xf>
    <xf numFmtId="194" fontId="152" fillId="45" borderId="50" xfId="301" applyNumberFormat="1" applyFont="1" applyFill="1" applyBorder="1" applyAlignment="1">
      <alignment wrapText="1"/>
    </xf>
    <xf numFmtId="0" fontId="22" fillId="0" borderId="53" xfId="0" applyFont="1" applyBorder="1" applyAlignment="1">
      <alignment horizontal="center" vertical="top" wrapText="1"/>
    </xf>
    <xf numFmtId="0" fontId="22" fillId="0" borderId="54" xfId="0" applyFont="1" applyBorder="1" applyAlignment="1">
      <alignment horizontal="center" vertical="top" wrapText="1"/>
    </xf>
    <xf numFmtId="0" fontId="152" fillId="25" borderId="110" xfId="0" applyFont="1" applyFill="1" applyBorder="1" applyAlignment="1">
      <alignment wrapText="1"/>
    </xf>
    <xf numFmtId="0" fontId="152" fillId="25" borderId="202" xfId="0" applyFont="1" applyFill="1" applyBorder="1" applyAlignment="1">
      <alignment wrapText="1"/>
    </xf>
    <xf numFmtId="0" fontId="22" fillId="0" borderId="77" xfId="0" applyFont="1" applyFill="1" applyBorder="1" applyAlignment="1">
      <alignment horizontal="center" wrapText="1"/>
    </xf>
    <xf numFmtId="0" fontId="22" fillId="35" borderId="151" xfId="0" applyFont="1" applyFill="1" applyBorder="1" applyAlignment="1">
      <alignment horizontal="left" wrapText="1"/>
    </xf>
    <xf numFmtId="0" fontId="22" fillId="45" borderId="77" xfId="0" applyFont="1" applyFill="1" applyBorder="1" applyAlignment="1"/>
    <xf numFmtId="195" fontId="153" fillId="45" borderId="49" xfId="301" applyNumberFormat="1" applyFont="1" applyFill="1" applyBorder="1" applyAlignment="1">
      <alignment wrapText="1"/>
    </xf>
    <xf numFmtId="195" fontId="153" fillId="45" borderId="50" xfId="301" applyNumberFormat="1" applyFont="1" applyFill="1" applyBorder="1" applyAlignment="1">
      <alignment wrapText="1"/>
    </xf>
    <xf numFmtId="0" fontId="6" fillId="23" borderId="0" xfId="0" applyFont="1" applyFill="1" applyAlignment="1">
      <alignment horizontal="center"/>
    </xf>
    <xf numFmtId="0" fontId="172" fillId="0" borderId="0" xfId="0" applyFont="1"/>
    <xf numFmtId="0" fontId="22" fillId="28" borderId="0" xfId="0" applyFont="1" applyFill="1"/>
    <xf numFmtId="173" fontId="12" fillId="0" borderId="70" xfId="301" applyNumberFormat="1" applyFont="1" applyFill="1" applyBorder="1"/>
    <xf numFmtId="43" fontId="12" fillId="0" borderId="70" xfId="301" applyNumberFormat="1" applyFont="1" applyFill="1" applyBorder="1"/>
    <xf numFmtId="0" fontId="6" fillId="0" borderId="70" xfId="0" applyFont="1" applyFill="1" applyBorder="1"/>
    <xf numFmtId="0" fontId="12" fillId="0" borderId="0" xfId="0" applyFont="1" applyFill="1"/>
    <xf numFmtId="0" fontId="12" fillId="0" borderId="29" xfId="0" applyFont="1" applyFill="1" applyBorder="1"/>
    <xf numFmtId="173" fontId="20" fillId="0" borderId="29" xfId="301" applyNumberFormat="1" applyFont="1" applyFill="1" applyBorder="1"/>
    <xf numFmtId="11" fontId="12" fillId="0" borderId="1" xfId="0" applyNumberFormat="1" applyFont="1" applyFill="1" applyBorder="1"/>
    <xf numFmtId="0" fontId="20" fillId="0" borderId="0" xfId="0" applyFont="1" applyFill="1"/>
    <xf numFmtId="0" fontId="12" fillId="0" borderId="88" xfId="0" applyFont="1" applyFill="1" applyBorder="1"/>
    <xf numFmtId="0" fontId="12" fillId="0" borderId="107" xfId="0" applyFont="1" applyFill="1" applyBorder="1"/>
    <xf numFmtId="0" fontId="6" fillId="0" borderId="100" xfId="0" applyFont="1" applyFill="1" applyBorder="1" applyAlignment="1">
      <alignment horizontal="center"/>
    </xf>
    <xf numFmtId="0" fontId="6" fillId="0" borderId="163" xfId="0" applyFont="1" applyFill="1" applyBorder="1" applyAlignment="1">
      <alignment horizontal="center"/>
    </xf>
    <xf numFmtId="0" fontId="12" fillId="0" borderId="168" xfId="0" applyFont="1" applyFill="1" applyBorder="1"/>
    <xf numFmtId="0" fontId="12" fillId="0" borderId="3" xfId="0" applyFont="1" applyFill="1" applyBorder="1"/>
    <xf numFmtId="11" fontId="12" fillId="0" borderId="3" xfId="0" applyNumberFormat="1" applyFont="1" applyFill="1" applyBorder="1"/>
    <xf numFmtId="11" fontId="12" fillId="0" borderId="169" xfId="0" applyNumberFormat="1" applyFont="1" applyFill="1" applyBorder="1"/>
    <xf numFmtId="0" fontId="12" fillId="0" borderId="2" xfId="0" applyFont="1" applyFill="1" applyBorder="1"/>
    <xf numFmtId="11" fontId="12" fillId="0" borderId="144" xfId="0" applyNumberFormat="1" applyFont="1" applyFill="1" applyBorder="1"/>
    <xf numFmtId="2" fontId="12" fillId="0" borderId="100" xfId="0" applyNumberFormat="1" applyFont="1" applyFill="1" applyBorder="1"/>
    <xf numFmtId="11" fontId="12" fillId="0" borderId="100" xfId="0" applyNumberFormat="1" applyFont="1" applyFill="1" applyBorder="1"/>
    <xf numFmtId="11" fontId="12" fillId="0" borderId="163" xfId="0" applyNumberFormat="1" applyFont="1" applyFill="1" applyBorder="1"/>
    <xf numFmtId="0" fontId="12" fillId="0" borderId="66" xfId="0" applyFont="1" applyFill="1" applyBorder="1"/>
    <xf numFmtId="0" fontId="12" fillId="0" borderId="70" xfId="0" applyFont="1" applyFill="1" applyBorder="1"/>
    <xf numFmtId="173" fontId="12" fillId="0" borderId="70" xfId="0" applyNumberFormat="1" applyFont="1" applyFill="1" applyBorder="1"/>
    <xf numFmtId="0" fontId="12" fillId="0" borderId="205" xfId="0" applyFont="1" applyFill="1" applyBorder="1"/>
    <xf numFmtId="0" fontId="12" fillId="0" borderId="45" xfId="0" applyFont="1" applyFill="1" applyBorder="1"/>
    <xf numFmtId="11" fontId="12" fillId="0" borderId="45" xfId="0" applyNumberFormat="1" applyFont="1" applyFill="1" applyBorder="1"/>
    <xf numFmtId="3" fontId="12" fillId="0" borderId="45" xfId="0" applyNumberFormat="1" applyFont="1" applyFill="1" applyBorder="1"/>
    <xf numFmtId="0" fontId="12" fillId="0" borderId="196" xfId="0" applyFont="1" applyFill="1" applyBorder="1"/>
    <xf numFmtId="173" fontId="12" fillId="0" borderId="45" xfId="301" applyNumberFormat="1" applyFont="1" applyFill="1" applyBorder="1"/>
    <xf numFmtId="0" fontId="12" fillId="0" borderId="163" xfId="0" applyFont="1" applyFill="1" applyBorder="1"/>
    <xf numFmtId="43" fontId="12" fillId="0" borderId="0" xfId="0" applyNumberFormat="1" applyFont="1" applyFill="1"/>
    <xf numFmtId="173" fontId="20" fillId="0" borderId="45" xfId="301" applyNumberFormat="1" applyFont="1" applyFill="1" applyBorder="1"/>
    <xf numFmtId="0" fontId="12" fillId="0" borderId="206" xfId="0" applyFont="1" applyFill="1" applyBorder="1"/>
    <xf numFmtId="173" fontId="6" fillId="0" borderId="45" xfId="0" applyNumberFormat="1" applyFont="1" applyFill="1" applyBorder="1"/>
    <xf numFmtId="173" fontId="6" fillId="0" borderId="45" xfId="301" applyNumberFormat="1" applyFont="1" applyFill="1" applyBorder="1"/>
    <xf numFmtId="43" fontId="6" fillId="0" borderId="45" xfId="301" applyNumberFormat="1" applyFont="1" applyFill="1" applyBorder="1"/>
    <xf numFmtId="3" fontId="6" fillId="0" borderId="45" xfId="0" applyNumberFormat="1" applyFont="1" applyFill="1" applyBorder="1"/>
    <xf numFmtId="43" fontId="12" fillId="0" borderId="45" xfId="301" applyNumberFormat="1" applyFont="1" applyFill="1" applyBorder="1"/>
    <xf numFmtId="173" fontId="12" fillId="0" borderId="45" xfId="0" applyNumberFormat="1" applyFont="1" applyFill="1" applyBorder="1"/>
    <xf numFmtId="167" fontId="12" fillId="0" borderId="45" xfId="301" applyNumberFormat="1" applyFont="1" applyFill="1" applyBorder="1"/>
    <xf numFmtId="0" fontId="12" fillId="0" borderId="45" xfId="0" applyFont="1" applyFill="1" applyBorder="1" applyAlignment="1">
      <alignment horizontal="center"/>
    </xf>
    <xf numFmtId="168" fontId="12" fillId="0" borderId="45" xfId="301" applyNumberFormat="1" applyFont="1" applyFill="1" applyBorder="1"/>
    <xf numFmtId="43" fontId="20" fillId="0" borderId="45" xfId="0" applyNumberFormat="1" applyFont="1" applyFill="1" applyBorder="1"/>
    <xf numFmtId="174" fontId="6" fillId="0" borderId="45" xfId="301" applyNumberFormat="1" applyFont="1" applyFill="1" applyBorder="1"/>
    <xf numFmtId="173" fontId="20" fillId="0" borderId="45" xfId="0" applyNumberFormat="1" applyFont="1" applyFill="1" applyBorder="1"/>
    <xf numFmtId="173" fontId="58" fillId="0" borderId="45" xfId="301" applyNumberFormat="1" applyFont="1" applyFill="1" applyBorder="1"/>
    <xf numFmtId="43" fontId="58" fillId="0" borderId="45" xfId="301" applyNumberFormat="1" applyFont="1" applyFill="1" applyBorder="1"/>
    <xf numFmtId="43" fontId="20" fillId="0" borderId="45" xfId="301" applyNumberFormat="1" applyFont="1" applyFill="1" applyBorder="1"/>
    <xf numFmtId="43" fontId="20" fillId="0" borderId="206" xfId="301" applyFont="1" applyFill="1" applyBorder="1"/>
    <xf numFmtId="43" fontId="12" fillId="0" borderId="206" xfId="301" applyFont="1" applyFill="1" applyBorder="1"/>
    <xf numFmtId="0" fontId="6" fillId="0" borderId="45" xfId="0" applyFont="1" applyFill="1" applyBorder="1" applyAlignment="1">
      <alignment horizontal="center"/>
    </xf>
    <xf numFmtId="168" fontId="58" fillId="0" borderId="45" xfId="301" applyNumberFormat="1" applyFont="1" applyFill="1" applyBorder="1"/>
    <xf numFmtId="167" fontId="20" fillId="0" borderId="45" xfId="301" applyNumberFormat="1" applyFont="1" applyFill="1" applyBorder="1"/>
    <xf numFmtId="2" fontId="20" fillId="0" borderId="45" xfId="301" applyNumberFormat="1" applyFont="1" applyFill="1" applyBorder="1"/>
    <xf numFmtId="198" fontId="58" fillId="0" borderId="45" xfId="301" applyNumberFormat="1" applyFont="1" applyFill="1" applyBorder="1"/>
    <xf numFmtId="38" fontId="12" fillId="0" borderId="45" xfId="0" applyNumberFormat="1" applyFont="1" applyFill="1" applyBorder="1"/>
    <xf numFmtId="3" fontId="20" fillId="0" borderId="45" xfId="0" applyNumberFormat="1" applyFont="1" applyFill="1" applyBorder="1"/>
    <xf numFmtId="1" fontId="12" fillId="0" borderId="45" xfId="0" applyNumberFormat="1" applyFont="1" applyFill="1" applyBorder="1"/>
    <xf numFmtId="3" fontId="58" fillId="0" borderId="45" xfId="0" applyNumberFormat="1" applyFont="1" applyFill="1" applyBorder="1"/>
    <xf numFmtId="0" fontId="58" fillId="0" borderId="45" xfId="0" applyFont="1" applyFill="1" applyBorder="1"/>
    <xf numFmtId="43" fontId="12" fillId="0" borderId="45" xfId="301" applyFont="1" applyFill="1" applyBorder="1"/>
    <xf numFmtId="0" fontId="58" fillId="0" borderId="206" xfId="0" applyFont="1" applyFill="1" applyBorder="1"/>
    <xf numFmtId="0" fontId="20" fillId="0" borderId="45" xfId="0" applyFont="1" applyFill="1" applyBorder="1"/>
    <xf numFmtId="174" fontId="20" fillId="0" borderId="45" xfId="301" applyNumberFormat="1" applyFont="1" applyFill="1" applyBorder="1"/>
    <xf numFmtId="173" fontId="12" fillId="0" borderId="206" xfId="301" applyNumberFormat="1" applyFont="1" applyFill="1" applyBorder="1"/>
    <xf numFmtId="0" fontId="12" fillId="0" borderId="207" xfId="0" applyFont="1" applyFill="1" applyBorder="1"/>
    <xf numFmtId="0" fontId="12" fillId="0" borderId="208" xfId="0" applyFont="1" applyFill="1" applyBorder="1"/>
    <xf numFmtId="0" fontId="12" fillId="0" borderId="209" xfId="0" applyFont="1" applyFill="1" applyBorder="1"/>
    <xf numFmtId="173" fontId="20" fillId="0" borderId="70" xfId="301" applyNumberFormat="1" applyFont="1" applyFill="1" applyBorder="1"/>
    <xf numFmtId="0" fontId="12" fillId="0" borderId="210" xfId="0" applyFont="1" applyFill="1" applyBorder="1"/>
    <xf numFmtId="0" fontId="12" fillId="0" borderId="211" xfId="0" applyFont="1" applyFill="1" applyBorder="1"/>
    <xf numFmtId="173" fontId="12" fillId="0" borderId="29" xfId="301" applyNumberFormat="1" applyFont="1" applyFill="1" applyBorder="1"/>
    <xf numFmtId="39" fontId="12" fillId="0" borderId="29" xfId="301" applyNumberFormat="1" applyFont="1" applyFill="1" applyBorder="1"/>
    <xf numFmtId="0" fontId="12" fillId="0" borderId="212" xfId="0" applyFont="1" applyFill="1" applyBorder="1"/>
    <xf numFmtId="0" fontId="12" fillId="0" borderId="70" xfId="0" applyFont="1" applyFill="1" applyBorder="1" applyAlignment="1">
      <alignment horizontal="center"/>
    </xf>
    <xf numFmtId="167" fontId="20" fillId="0" borderId="70" xfId="301" applyNumberFormat="1" applyFont="1" applyFill="1" applyBorder="1"/>
    <xf numFmtId="173" fontId="6" fillId="0" borderId="70" xfId="0" applyNumberFormat="1" applyFont="1" applyFill="1" applyBorder="1"/>
    <xf numFmtId="173" fontId="58" fillId="0" borderId="70" xfId="301" applyNumberFormat="1" applyFont="1" applyFill="1" applyBorder="1"/>
    <xf numFmtId="198" fontId="58" fillId="0" borderId="70" xfId="301" applyNumberFormat="1" applyFont="1" applyFill="1" applyBorder="1"/>
    <xf numFmtId="173" fontId="6" fillId="0" borderId="70" xfId="301" applyNumberFormat="1" applyFont="1" applyFill="1" applyBorder="1"/>
    <xf numFmtId="43" fontId="6" fillId="0" borderId="70" xfId="301" applyNumberFormat="1" applyFont="1" applyFill="1" applyBorder="1"/>
    <xf numFmtId="38" fontId="12" fillId="0" borderId="70" xfId="0" applyNumberFormat="1" applyFont="1" applyFill="1" applyBorder="1"/>
    <xf numFmtId="2" fontId="20" fillId="0" borderId="45" xfId="0" applyNumberFormat="1" applyFont="1" applyFill="1" applyBorder="1"/>
    <xf numFmtId="170" fontId="20" fillId="0" borderId="45" xfId="0" applyNumberFormat="1" applyFont="1" applyFill="1" applyBorder="1"/>
    <xf numFmtId="0" fontId="12" fillId="39" borderId="213" xfId="0" applyFont="1" applyFill="1" applyBorder="1" applyAlignment="1">
      <alignment horizontal="center"/>
    </xf>
    <xf numFmtId="0" fontId="6" fillId="39" borderId="214" xfId="0" applyFont="1" applyFill="1" applyBorder="1" applyAlignment="1">
      <alignment horizontal="center"/>
    </xf>
    <xf numFmtId="165" fontId="6" fillId="39" borderId="214" xfId="0" applyNumberFormat="1" applyFont="1" applyFill="1" applyBorder="1" applyAlignment="1">
      <alignment horizontal="center"/>
    </xf>
    <xf numFmtId="0" fontId="6" fillId="39" borderId="215" xfId="0" applyFont="1" applyFill="1" applyBorder="1" applyAlignment="1">
      <alignment horizontal="center"/>
    </xf>
    <xf numFmtId="0" fontId="12" fillId="39" borderId="205" xfId="0" applyFont="1" applyFill="1" applyBorder="1" applyAlignment="1">
      <alignment horizontal="center"/>
    </xf>
    <xf numFmtId="0" fontId="6" fillId="39" borderId="45" xfId="0" applyFont="1" applyFill="1" applyBorder="1" applyAlignment="1">
      <alignment horizontal="center"/>
    </xf>
    <xf numFmtId="0" fontId="6" fillId="39" borderId="206" xfId="0" applyFont="1" applyFill="1" applyBorder="1" applyAlignment="1">
      <alignment horizontal="center"/>
    </xf>
    <xf numFmtId="39" fontId="20" fillId="0" borderId="45" xfId="301" applyNumberFormat="1" applyFont="1" applyFill="1" applyBorder="1"/>
    <xf numFmtId="2" fontId="12" fillId="0" borderId="206" xfId="0" applyNumberFormat="1" applyFont="1" applyFill="1" applyBorder="1"/>
    <xf numFmtId="170" fontId="12" fillId="0" borderId="45" xfId="0" applyNumberFormat="1" applyFont="1" applyFill="1" applyBorder="1"/>
    <xf numFmtId="2" fontId="12" fillId="0" borderId="45" xfId="0" applyNumberFormat="1" applyFont="1" applyFill="1" applyBorder="1"/>
    <xf numFmtId="43" fontId="12" fillId="0" borderId="206" xfId="0" applyNumberFormat="1" applyFont="1" applyFill="1" applyBorder="1"/>
    <xf numFmtId="199" fontId="20" fillId="0" borderId="206" xfId="301" applyNumberFormat="1" applyFont="1" applyFill="1" applyBorder="1"/>
    <xf numFmtId="173" fontId="12" fillId="0" borderId="210" xfId="301" applyNumberFormat="1" applyFont="1" applyFill="1" applyBorder="1"/>
    <xf numFmtId="2" fontId="20" fillId="0" borderId="206" xfId="0" applyNumberFormat="1" applyFont="1" applyFill="1" applyBorder="1"/>
    <xf numFmtId="2" fontId="58" fillId="0" borderId="45" xfId="0" applyNumberFormat="1" applyFont="1" applyFill="1" applyBorder="1"/>
    <xf numFmtId="2" fontId="12" fillId="0" borderId="206" xfId="0" applyNumberFormat="1" applyFont="1" applyFill="1" applyBorder="1" applyAlignment="1">
      <alignment horizontal="center"/>
    </xf>
    <xf numFmtId="2" fontId="12" fillId="0" borderId="206" xfId="301" applyNumberFormat="1" applyFont="1" applyFill="1" applyBorder="1" applyAlignment="1">
      <alignment horizontal="center"/>
    </xf>
    <xf numFmtId="0" fontId="174" fillId="0" borderId="0" xfId="0" applyFont="1" applyFill="1"/>
    <xf numFmtId="0" fontId="5" fillId="0" borderId="1" xfId="0" applyFont="1" applyBorder="1"/>
    <xf numFmtId="0" fontId="5" fillId="25" borderId="1" xfId="0" applyFont="1" applyFill="1" applyBorder="1"/>
    <xf numFmtId="0" fontId="5" fillId="0" borderId="0" xfId="0" applyFont="1" applyBorder="1"/>
    <xf numFmtId="0" fontId="175" fillId="0" borderId="116" xfId="0" quotePrefix="1" applyFont="1" applyBorder="1"/>
    <xf numFmtId="0" fontId="175" fillId="0" borderId="0" xfId="0" applyFont="1" applyBorder="1"/>
    <xf numFmtId="193" fontId="176" fillId="37" borderId="105" xfId="301" applyNumberFormat="1" applyFont="1" applyFill="1" applyBorder="1" applyAlignment="1">
      <alignment wrapText="1"/>
    </xf>
    <xf numFmtId="195" fontId="176" fillId="37" borderId="105" xfId="301" applyNumberFormat="1" applyFont="1" applyFill="1" applyBorder="1" applyAlignment="1">
      <alignment wrapText="1"/>
    </xf>
    <xf numFmtId="193" fontId="152" fillId="0" borderId="3" xfId="301" applyNumberFormat="1" applyFont="1" applyFill="1" applyBorder="1" applyAlignment="1">
      <alignment wrapText="1"/>
    </xf>
    <xf numFmtId="194" fontId="152" fillId="0" borderId="54" xfId="301" applyNumberFormat="1" applyFont="1" applyFill="1" applyBorder="1" applyAlignment="1">
      <alignment wrapText="1"/>
    </xf>
    <xf numFmtId="194" fontId="153" fillId="0" borderId="34" xfId="301" applyNumberFormat="1" applyFont="1" applyFill="1" applyBorder="1" applyAlignment="1">
      <alignment wrapText="1"/>
    </xf>
    <xf numFmtId="194" fontId="153" fillId="23" borderId="105" xfId="301" applyNumberFormat="1" applyFont="1" applyFill="1" applyBorder="1" applyAlignment="1">
      <alignment wrapText="1"/>
    </xf>
    <xf numFmtId="195" fontId="153" fillId="23" borderId="79" xfId="301" applyNumberFormat="1" applyFont="1" applyFill="1" applyBorder="1" applyAlignment="1">
      <alignment wrapText="1"/>
    </xf>
    <xf numFmtId="0" fontId="6" fillId="0" borderId="33" xfId="0" applyFont="1" applyFill="1" applyBorder="1"/>
    <xf numFmtId="0" fontId="152" fillId="0" borderId="3" xfId="0" applyFont="1" applyFill="1" applyBorder="1" applyAlignment="1">
      <alignment wrapText="1"/>
    </xf>
    <xf numFmtId="0" fontId="152" fillId="0" borderId="34" xfId="0" applyFont="1" applyFill="1" applyBorder="1" applyAlignment="1">
      <alignment wrapText="1"/>
    </xf>
    <xf numFmtId="0" fontId="22" fillId="25" borderId="35" xfId="0" applyFont="1" applyFill="1" applyBorder="1" applyAlignment="1">
      <alignment horizontal="left" wrapText="1"/>
    </xf>
    <xf numFmtId="193" fontId="153" fillId="25" borderId="1" xfId="301" applyNumberFormat="1" applyFont="1" applyFill="1" applyBorder="1" applyAlignment="1">
      <alignment wrapText="1"/>
    </xf>
    <xf numFmtId="194" fontId="153" fillId="25" borderId="1" xfId="301" applyNumberFormat="1" applyFont="1" applyFill="1" applyBorder="1" applyAlignment="1">
      <alignment wrapText="1"/>
    </xf>
    <xf numFmtId="196" fontId="152" fillId="25" borderId="1" xfId="301" applyNumberFormat="1" applyFont="1" applyFill="1" applyBorder="1" applyAlignment="1">
      <alignment wrapText="1"/>
    </xf>
    <xf numFmtId="194" fontId="152" fillId="25" borderId="36" xfId="301" applyNumberFormat="1" applyFont="1" applyFill="1" applyBorder="1" applyAlignment="1">
      <alignment wrapText="1"/>
    </xf>
    <xf numFmtId="195" fontId="176" fillId="29" borderId="105" xfId="301" applyNumberFormat="1" applyFont="1" applyFill="1" applyBorder="1" applyAlignment="1">
      <alignment wrapText="1"/>
    </xf>
    <xf numFmtId="43" fontId="98" fillId="23" borderId="105" xfId="301" applyNumberFormat="1" applyFont="1" applyFill="1" applyBorder="1"/>
    <xf numFmtId="0" fontId="22" fillId="0" borderId="35" xfId="0" applyFont="1" applyFill="1" applyBorder="1" applyAlignment="1">
      <alignment wrapText="1"/>
    </xf>
    <xf numFmtId="0" fontId="152" fillId="0" borderId="1" xfId="0" applyFont="1" applyFill="1" applyBorder="1" applyAlignment="1">
      <alignment wrapText="1"/>
    </xf>
    <xf numFmtId="0" fontId="152" fillId="0" borderId="36" xfId="0" applyFont="1" applyFill="1" applyBorder="1" applyAlignment="1">
      <alignment wrapText="1"/>
    </xf>
    <xf numFmtId="193" fontId="177" fillId="0" borderId="1" xfId="301" applyNumberFormat="1" applyFont="1" applyFill="1" applyBorder="1" applyAlignment="1">
      <alignment wrapText="1"/>
    </xf>
    <xf numFmtId="193" fontId="176" fillId="29" borderId="105" xfId="301" applyNumberFormat="1" applyFont="1" applyFill="1" applyBorder="1" applyAlignment="1">
      <alignment wrapText="1"/>
    </xf>
    <xf numFmtId="0" fontId="178" fillId="0" borderId="0" xfId="0" applyFont="1"/>
    <xf numFmtId="0" fontId="179" fillId="0" borderId="0" xfId="0" applyFont="1"/>
    <xf numFmtId="0" fontId="179" fillId="0" borderId="88" xfId="0" applyFont="1" applyBorder="1"/>
    <xf numFmtId="0" fontId="178" fillId="0" borderId="46" xfId="0" applyFont="1" applyBorder="1" applyAlignment="1">
      <alignment horizontal="center"/>
    </xf>
    <xf numFmtId="179" fontId="178" fillId="0" borderId="103" xfId="0" applyNumberFormat="1" applyFont="1" applyBorder="1"/>
    <xf numFmtId="0" fontId="179" fillId="0" borderId="0" xfId="0" applyFont="1" applyAlignment="1">
      <alignment horizontal="center"/>
    </xf>
    <xf numFmtId="0" fontId="179" fillId="0" borderId="2" xfId="0" applyFont="1" applyBorder="1"/>
    <xf numFmtId="0" fontId="178" fillId="0" borderId="1" xfId="0" applyFont="1" applyBorder="1" applyAlignment="1">
      <alignment horizontal="center"/>
    </xf>
    <xf numFmtId="170" fontId="178" fillId="0" borderId="144" xfId="0" applyNumberFormat="1" applyFont="1" applyBorder="1"/>
    <xf numFmtId="190" fontId="178" fillId="0" borderId="144" xfId="0" applyNumberFormat="1" applyFont="1" applyBorder="1"/>
    <xf numFmtId="0" fontId="178" fillId="0" borderId="107" xfId="0" applyFont="1" applyBorder="1"/>
    <xf numFmtId="0" fontId="179" fillId="0" borderId="100" xfId="0" applyFont="1" applyBorder="1" applyAlignment="1">
      <alignment horizontal="center"/>
    </xf>
    <xf numFmtId="0" fontId="179" fillId="0" borderId="163" xfId="0" applyFont="1" applyBorder="1" applyAlignment="1">
      <alignment horizontal="center"/>
    </xf>
    <xf numFmtId="0" fontId="178" fillId="0" borderId="13" xfId="0" applyFont="1" applyBorder="1"/>
    <xf numFmtId="0" fontId="178" fillId="0" borderId="90" xfId="0" applyFont="1" applyBorder="1"/>
    <xf numFmtId="0" fontId="179" fillId="0" borderId="125" xfId="0" applyFont="1" applyFill="1" applyBorder="1" applyAlignment="1">
      <alignment horizontal="center"/>
    </xf>
    <xf numFmtId="0" fontId="179" fillId="0" borderId="125" xfId="0" applyFont="1" applyFill="1" applyBorder="1" applyAlignment="1"/>
    <xf numFmtId="0" fontId="179" fillId="0" borderId="99" xfId="0" applyFont="1" applyFill="1" applyBorder="1" applyAlignment="1">
      <alignment horizontal="center"/>
    </xf>
    <xf numFmtId="0" fontId="178" fillId="0" borderId="91" xfId="0" applyFont="1" applyBorder="1"/>
    <xf numFmtId="0" fontId="178" fillId="0" borderId="18" xfId="0" applyFont="1" applyBorder="1"/>
    <xf numFmtId="0" fontId="179" fillId="28" borderId="142" xfId="0" applyFont="1" applyFill="1" applyBorder="1" applyAlignment="1">
      <alignment horizontal="center"/>
    </xf>
    <xf numFmtId="0" fontId="179" fillId="28" borderId="48" xfId="0" applyFont="1" applyFill="1" applyBorder="1" applyAlignment="1">
      <alignment horizontal="center"/>
    </xf>
    <xf numFmtId="0" fontId="178" fillId="0" borderId="142" xfId="0" applyFont="1" applyFill="1" applyBorder="1"/>
    <xf numFmtId="0" fontId="178" fillId="0" borderId="48" xfId="0" applyFont="1" applyFill="1" applyBorder="1"/>
    <xf numFmtId="0" fontId="178" fillId="0" borderId="15" xfId="0" applyFont="1" applyBorder="1"/>
    <xf numFmtId="0" fontId="178" fillId="0" borderId="126" xfId="0" applyFont="1" applyFill="1" applyBorder="1" applyAlignment="1">
      <alignment horizontal="center"/>
    </xf>
    <xf numFmtId="0" fontId="178" fillId="0" borderId="166" xfId="0" applyFont="1" applyFill="1" applyBorder="1" applyAlignment="1">
      <alignment horizontal="center"/>
    </xf>
    <xf numFmtId="0" fontId="179" fillId="25" borderId="216" xfId="0" applyFont="1" applyFill="1" applyBorder="1"/>
    <xf numFmtId="0" fontId="179" fillId="25" borderId="48" xfId="0" applyFont="1" applyFill="1" applyBorder="1" applyAlignment="1">
      <alignment horizontal="right"/>
    </xf>
    <xf numFmtId="0" fontId="178" fillId="25" borderId="216" xfId="0" applyFont="1" applyFill="1" applyBorder="1"/>
    <xf numFmtId="0" fontId="178" fillId="36" borderId="91" xfId="0" applyFont="1" applyFill="1" applyBorder="1"/>
    <xf numFmtId="0" fontId="179" fillId="36" borderId="0" xfId="0" applyFont="1" applyFill="1" applyBorder="1" applyAlignment="1">
      <alignment horizontal="right"/>
    </xf>
    <xf numFmtId="173" fontId="181" fillId="36" borderId="126" xfId="301" applyNumberFormat="1" applyFont="1" applyFill="1" applyBorder="1"/>
    <xf numFmtId="39" fontId="182" fillId="36" borderId="126" xfId="301" applyNumberFormat="1" applyFont="1" applyFill="1" applyBorder="1"/>
    <xf numFmtId="173" fontId="182" fillId="36" borderId="126" xfId="301" applyNumberFormat="1" applyFont="1" applyFill="1" applyBorder="1"/>
    <xf numFmtId="39" fontId="181" fillId="36" borderId="126" xfId="301" applyNumberFormat="1" applyFont="1" applyFill="1" applyBorder="1"/>
    <xf numFmtId="173" fontId="181" fillId="36" borderId="166" xfId="301" applyNumberFormat="1" applyFont="1" applyFill="1" applyBorder="1"/>
    <xf numFmtId="0" fontId="178" fillId="0" borderId="66" xfId="0" applyFont="1" applyFill="1" applyBorder="1"/>
    <xf numFmtId="0" fontId="179" fillId="0" borderId="66" xfId="0" applyFont="1" applyFill="1" applyBorder="1" applyAlignment="1">
      <alignment horizontal="right"/>
    </xf>
    <xf numFmtId="173" fontId="181" fillId="0" borderId="66" xfId="301" applyNumberFormat="1" applyFont="1" applyFill="1" applyBorder="1"/>
    <xf numFmtId="0" fontId="179" fillId="39" borderId="91" xfId="0" applyFont="1" applyFill="1" applyBorder="1"/>
    <xf numFmtId="0" fontId="179" fillId="0" borderId="216" xfId="0" applyFont="1" applyBorder="1"/>
    <xf numFmtId="0" fontId="179" fillId="0" borderId="167" xfId="0" applyFont="1" applyBorder="1"/>
    <xf numFmtId="0" fontId="178" fillId="0" borderId="217" xfId="0" applyFont="1" applyBorder="1"/>
    <xf numFmtId="173" fontId="178" fillId="0" borderId="0" xfId="0" applyNumberFormat="1" applyFont="1"/>
    <xf numFmtId="0" fontId="178" fillId="0" borderId="92" xfId="0" applyFont="1" applyBorder="1"/>
    <xf numFmtId="0" fontId="178" fillId="0" borderId="65" xfId="0" applyFont="1" applyBorder="1"/>
    <xf numFmtId="173" fontId="178" fillId="0" borderId="65" xfId="301" applyNumberFormat="1" applyFont="1" applyFill="1" applyBorder="1"/>
    <xf numFmtId="173" fontId="178" fillId="0" borderId="93" xfId="301" applyNumberFormat="1" applyFont="1" applyFill="1" applyBorder="1"/>
    <xf numFmtId="0" fontId="179" fillId="25" borderId="25" xfId="0" applyFont="1" applyFill="1" applyBorder="1"/>
    <xf numFmtId="0" fontId="179" fillId="25" borderId="26" xfId="0" applyFont="1" applyFill="1" applyBorder="1"/>
    <xf numFmtId="0" fontId="179" fillId="25" borderId="197" xfId="0" applyFont="1" applyFill="1" applyBorder="1"/>
    <xf numFmtId="0" fontId="179" fillId="0" borderId="20" xfId="0" applyFont="1" applyFill="1" applyBorder="1"/>
    <xf numFmtId="0" fontId="179" fillId="25" borderId="28" xfId="0" applyFont="1" applyFill="1" applyBorder="1"/>
    <xf numFmtId="0" fontId="179" fillId="25" borderId="29" xfId="0" applyFont="1" applyFill="1" applyBorder="1"/>
    <xf numFmtId="0" fontId="179" fillId="25" borderId="15" xfId="0" applyFont="1" applyFill="1" applyBorder="1"/>
    <xf numFmtId="171" fontId="178" fillId="0" borderId="20" xfId="0" applyNumberFormat="1" applyFont="1" applyFill="1" applyBorder="1"/>
    <xf numFmtId="2" fontId="179" fillId="0" borderId="20" xfId="0" applyNumberFormat="1" applyFont="1" applyFill="1" applyBorder="1"/>
    <xf numFmtId="171" fontId="179" fillId="0" borderId="20" xfId="0" applyNumberFormat="1" applyFont="1" applyFill="1" applyBorder="1"/>
    <xf numFmtId="0" fontId="178" fillId="0" borderId="141" xfId="0" applyFont="1" applyBorder="1"/>
    <xf numFmtId="0" fontId="178" fillId="0" borderId="80" xfId="0" applyFont="1" applyBorder="1"/>
    <xf numFmtId="0" fontId="178" fillId="0" borderId="218" xfId="0" applyFont="1" applyBorder="1"/>
    <xf numFmtId="0" fontId="178" fillId="0" borderId="20" xfId="0" applyFont="1" applyFill="1" applyBorder="1"/>
    <xf numFmtId="0" fontId="178" fillId="0" borderId="43" xfId="0" applyFont="1" applyBorder="1"/>
    <xf numFmtId="0" fontId="178" fillId="0" borderId="0" xfId="0" applyFont="1" applyFill="1" applyBorder="1"/>
    <xf numFmtId="0" fontId="178" fillId="0" borderId="0" xfId="0" applyFont="1" applyBorder="1"/>
    <xf numFmtId="0" fontId="178" fillId="0" borderId="23" xfId="0" applyFont="1" applyBorder="1"/>
    <xf numFmtId="2" fontId="178" fillId="0" borderId="20" xfId="0" applyNumberFormat="1" applyFont="1" applyFill="1" applyBorder="1"/>
    <xf numFmtId="0" fontId="136" fillId="45" borderId="0" xfId="0" applyFont="1" applyFill="1" applyAlignment="1">
      <alignment horizontal="center"/>
    </xf>
    <xf numFmtId="43" fontId="137" fillId="0" borderId="216" xfId="301" applyNumberFormat="1" applyFont="1" applyFill="1" applyBorder="1" applyAlignment="1">
      <alignment horizontal="left"/>
    </xf>
    <xf numFmtId="43" fontId="137" fillId="0" borderId="142" xfId="301" applyNumberFormat="1" applyFont="1" applyFill="1" applyBorder="1" applyAlignment="1">
      <alignment horizontal="left"/>
    </xf>
    <xf numFmtId="43" fontId="137" fillId="0" borderId="167" xfId="301" applyNumberFormat="1" applyFont="1" applyFill="1" applyBorder="1" applyAlignment="1">
      <alignment horizontal="left"/>
    </xf>
    <xf numFmtId="43" fontId="137" fillId="0" borderId="145" xfId="301" applyNumberFormat="1" applyFont="1" applyFill="1" applyBorder="1" applyAlignment="1">
      <alignment horizontal="left"/>
    </xf>
    <xf numFmtId="43" fontId="137" fillId="0" borderId="91" xfId="301" applyNumberFormat="1" applyFont="1" applyFill="1" applyBorder="1" applyAlignment="1">
      <alignment horizontal="left"/>
    </xf>
    <xf numFmtId="43" fontId="137" fillId="0" borderId="45" xfId="301" applyNumberFormat="1" applyFont="1" applyFill="1" applyBorder="1" applyAlignment="1">
      <alignment horizontal="left"/>
    </xf>
    <xf numFmtId="43" fontId="137" fillId="0" borderId="18" xfId="301" applyNumberFormat="1" applyFont="1" applyFill="1" applyBorder="1" applyAlignment="1">
      <alignment horizontal="left"/>
    </xf>
    <xf numFmtId="0" fontId="178" fillId="0" borderId="125" xfId="0" applyFont="1" applyBorder="1"/>
    <xf numFmtId="43" fontId="137" fillId="0" borderId="125" xfId="301" applyNumberFormat="1" applyFont="1" applyFill="1" applyBorder="1" applyAlignment="1">
      <alignment horizontal="left"/>
    </xf>
    <xf numFmtId="0" fontId="179" fillId="0" borderId="142" xfId="0" applyFont="1" applyBorder="1"/>
    <xf numFmtId="0" fontId="179" fillId="0" borderId="145" xfId="0" applyFont="1" applyBorder="1"/>
    <xf numFmtId="0" fontId="179" fillId="39" borderId="99" xfId="0" applyFont="1" applyFill="1" applyBorder="1" applyAlignment="1">
      <alignment horizontal="right"/>
    </xf>
    <xf numFmtId="173" fontId="136" fillId="39" borderId="125" xfId="301" applyNumberFormat="1" applyFont="1" applyFill="1" applyBorder="1"/>
    <xf numFmtId="173" fontId="137" fillId="39" borderId="125" xfId="301" applyNumberFormat="1" applyFont="1" applyFill="1" applyBorder="1"/>
    <xf numFmtId="173" fontId="137" fillId="39" borderId="99" xfId="301" applyNumberFormat="1" applyFont="1" applyFill="1" applyBorder="1"/>
    <xf numFmtId="173" fontId="136" fillId="25" borderId="142" xfId="301" applyNumberFormat="1" applyFont="1" applyFill="1" applyBorder="1"/>
    <xf numFmtId="173" fontId="136" fillId="25" borderId="48" xfId="301" applyNumberFormat="1" applyFont="1" applyFill="1" applyBorder="1"/>
    <xf numFmtId="173" fontId="137" fillId="25" borderId="142" xfId="301" applyNumberFormat="1" applyFont="1" applyFill="1" applyBorder="1"/>
    <xf numFmtId="173" fontId="137" fillId="25" borderId="48" xfId="301" applyNumberFormat="1" applyFont="1" applyFill="1" applyBorder="1"/>
    <xf numFmtId="173" fontId="137" fillId="36" borderId="126" xfId="301" applyNumberFormat="1" applyFont="1" applyFill="1" applyBorder="1"/>
    <xf numFmtId="0" fontId="137" fillId="0" borderId="66" xfId="0" applyFont="1" applyFill="1" applyBorder="1"/>
    <xf numFmtId="173" fontId="137" fillId="0" borderId="66" xfId="301" applyNumberFormat="1" applyFont="1" applyFill="1" applyBorder="1"/>
    <xf numFmtId="173" fontId="137" fillId="0" borderId="70" xfId="301" applyNumberFormat="1" applyFont="1" applyFill="1" applyBorder="1"/>
    <xf numFmtId="173" fontId="137" fillId="0" borderId="90" xfId="301" applyNumberFormat="1" applyFont="1" applyFill="1" applyBorder="1"/>
    <xf numFmtId="0" fontId="137" fillId="0" borderId="32" xfId="0" applyFont="1" applyBorder="1"/>
    <xf numFmtId="39" fontId="137" fillId="0" borderId="142" xfId="0" applyNumberFormat="1" applyFont="1" applyBorder="1" applyAlignment="1">
      <alignment horizontal="center"/>
    </xf>
    <xf numFmtId="43" fontId="137" fillId="0" borderId="142" xfId="0" applyNumberFormat="1" applyFont="1" applyBorder="1" applyAlignment="1">
      <alignment horizontal="left"/>
    </xf>
    <xf numFmtId="39" fontId="137" fillId="0" borderId="145" xfId="0" applyNumberFormat="1" applyFont="1" applyBorder="1" applyAlignment="1">
      <alignment horizontal="center"/>
    </xf>
    <xf numFmtId="43" fontId="137" fillId="0" borderId="145" xfId="0" applyNumberFormat="1" applyFont="1" applyBorder="1" applyAlignment="1">
      <alignment horizontal="left"/>
    </xf>
    <xf numFmtId="39" fontId="137" fillId="0" borderId="125" xfId="0" applyNumberFormat="1" applyFont="1" applyBorder="1" applyAlignment="1">
      <alignment horizontal="center"/>
    </xf>
    <xf numFmtId="43" fontId="137" fillId="0" borderId="125" xfId="0" applyNumberFormat="1" applyFont="1" applyBorder="1" applyAlignment="1">
      <alignment horizontal="left"/>
    </xf>
    <xf numFmtId="39" fontId="137" fillId="0" borderId="45" xfId="0" applyNumberFormat="1" applyFont="1" applyBorder="1" applyAlignment="1">
      <alignment horizontal="center"/>
    </xf>
    <xf numFmtId="43" fontId="137" fillId="0" borderId="45" xfId="0" applyNumberFormat="1" applyFont="1" applyBorder="1" applyAlignment="1">
      <alignment horizontal="left"/>
    </xf>
    <xf numFmtId="43" fontId="137" fillId="0" borderId="48" xfId="301" applyNumberFormat="1" applyFont="1" applyFill="1" applyBorder="1" applyAlignment="1">
      <alignment horizontal="left"/>
    </xf>
    <xf numFmtId="43" fontId="137" fillId="0" borderId="147" xfId="301" applyNumberFormat="1" applyFont="1" applyFill="1" applyBorder="1" applyAlignment="1">
      <alignment horizontal="left"/>
    </xf>
    <xf numFmtId="0" fontId="179" fillId="35" borderId="142" xfId="0" applyFont="1" applyFill="1" applyBorder="1"/>
    <xf numFmtId="43" fontId="137" fillId="35" borderId="216" xfId="301" applyNumberFormat="1" applyFont="1" applyFill="1" applyBorder="1" applyAlignment="1">
      <alignment horizontal="left"/>
    </xf>
    <xf numFmtId="39" fontId="137" fillId="35" borderId="142" xfId="0" applyNumberFormat="1" applyFont="1" applyFill="1" applyBorder="1" applyAlignment="1">
      <alignment horizontal="center"/>
    </xf>
    <xf numFmtId="43" fontId="137" fillId="35" borderId="142" xfId="0" applyNumberFormat="1" applyFont="1" applyFill="1" applyBorder="1" applyAlignment="1">
      <alignment horizontal="left"/>
    </xf>
    <xf numFmtId="43" fontId="137" fillId="35" borderId="142" xfId="301" applyNumberFormat="1" applyFont="1" applyFill="1" applyBorder="1" applyAlignment="1">
      <alignment horizontal="left"/>
    </xf>
    <xf numFmtId="43" fontId="137" fillId="35" borderId="48" xfId="301" applyNumberFormat="1" applyFont="1" applyFill="1" applyBorder="1" applyAlignment="1">
      <alignment horizontal="left"/>
    </xf>
    <xf numFmtId="0" fontId="179" fillId="35" borderId="125" xfId="0" applyFont="1" applyFill="1" applyBorder="1"/>
    <xf numFmtId="43" fontId="137" fillId="35" borderId="125" xfId="0" applyNumberFormat="1" applyFont="1" applyFill="1" applyBorder="1" applyAlignment="1">
      <alignment horizontal="left"/>
    </xf>
    <xf numFmtId="39" fontId="137" fillId="35" borderId="125" xfId="0" applyNumberFormat="1" applyFont="1" applyFill="1" applyBorder="1" applyAlignment="1">
      <alignment horizontal="center"/>
    </xf>
    <xf numFmtId="43" fontId="137" fillId="35" borderId="125" xfId="301" applyNumberFormat="1" applyFont="1" applyFill="1" applyBorder="1" applyAlignment="1">
      <alignment horizontal="left"/>
    </xf>
    <xf numFmtId="0" fontId="178" fillId="0" borderId="74" xfId="0" applyFont="1" applyBorder="1"/>
    <xf numFmtId="165" fontId="137" fillId="39" borderId="85" xfId="0" applyNumberFormat="1" applyFont="1" applyFill="1" applyBorder="1" applyAlignment="1">
      <alignment horizontal="center"/>
    </xf>
    <xf numFmtId="0" fontId="5" fillId="0" borderId="0" xfId="0" applyFont="1" applyFill="1"/>
    <xf numFmtId="3" fontId="12" fillId="0" borderId="0" xfId="0" applyNumberFormat="1" applyFont="1" applyFill="1"/>
    <xf numFmtId="173" fontId="12" fillId="0" borderId="0" xfId="0" applyNumberFormat="1" applyFont="1" applyFill="1"/>
    <xf numFmtId="1" fontId="12" fillId="0" borderId="45" xfId="301" applyNumberFormat="1" applyFont="1" applyFill="1" applyBorder="1"/>
    <xf numFmtId="0" fontId="12" fillId="0" borderId="0" xfId="0" applyFont="1" applyFill="1" applyBorder="1"/>
    <xf numFmtId="0" fontId="20" fillId="0" borderId="206" xfId="0" applyFont="1" applyFill="1" applyBorder="1"/>
    <xf numFmtId="43" fontId="58" fillId="0" borderId="45" xfId="0" applyNumberFormat="1" applyFont="1" applyFill="1" applyBorder="1"/>
    <xf numFmtId="2" fontId="58" fillId="0" borderId="206" xfId="0" applyNumberFormat="1" applyFont="1" applyFill="1" applyBorder="1"/>
    <xf numFmtId="43" fontId="58" fillId="0" borderId="206" xfId="301" applyNumberFormat="1" applyFont="1" applyFill="1" applyBorder="1"/>
    <xf numFmtId="2" fontId="58" fillId="0" borderId="206" xfId="0" applyNumberFormat="1" applyFont="1" applyFill="1" applyBorder="1" applyAlignment="1">
      <alignment horizontal="center"/>
    </xf>
    <xf numFmtId="2" fontId="20" fillId="0" borderId="206" xfId="0" applyNumberFormat="1" applyFont="1" applyFill="1" applyBorder="1" applyAlignment="1">
      <alignment horizontal="center"/>
    </xf>
    <xf numFmtId="39" fontId="58" fillId="0" borderId="45" xfId="301" applyNumberFormat="1" applyFont="1" applyFill="1" applyBorder="1"/>
    <xf numFmtId="39" fontId="58" fillId="0" borderId="206" xfId="301" applyNumberFormat="1" applyFont="1" applyFill="1" applyBorder="1"/>
    <xf numFmtId="165" fontId="58" fillId="0" borderId="206" xfId="0" applyNumberFormat="1" applyFont="1" applyFill="1" applyBorder="1"/>
    <xf numFmtId="174" fontId="20" fillId="0" borderId="206" xfId="301" applyNumberFormat="1" applyFont="1" applyFill="1" applyBorder="1"/>
    <xf numFmtId="171" fontId="20" fillId="0" borderId="206" xfId="0" applyNumberFormat="1" applyFont="1" applyFill="1" applyBorder="1"/>
    <xf numFmtId="170" fontId="20" fillId="0" borderId="206" xfId="0" applyNumberFormat="1" applyFont="1" applyFill="1" applyBorder="1"/>
    <xf numFmtId="43" fontId="20" fillId="0" borderId="45" xfId="301" applyFont="1" applyFill="1" applyBorder="1"/>
    <xf numFmtId="39" fontId="20" fillId="0" borderId="206" xfId="301" applyNumberFormat="1" applyFont="1" applyFill="1" applyBorder="1"/>
    <xf numFmtId="43" fontId="58" fillId="0" borderId="0" xfId="301" applyFont="1"/>
    <xf numFmtId="0" fontId="12" fillId="0" borderId="70" xfId="0" applyFont="1" applyBorder="1"/>
    <xf numFmtId="0" fontId="12" fillId="0" borderId="13" xfId="0" applyFont="1" applyFill="1" applyBorder="1"/>
    <xf numFmtId="3" fontId="6" fillId="0" borderId="91" xfId="0" applyNumberFormat="1" applyFont="1" applyFill="1" applyBorder="1"/>
    <xf numFmtId="0" fontId="12" fillId="0" borderId="91" xfId="0" applyFont="1" applyFill="1" applyBorder="1"/>
    <xf numFmtId="3" fontId="6" fillId="0" borderId="15" xfId="0" applyNumberFormat="1" applyFont="1" applyFill="1" applyBorder="1"/>
    <xf numFmtId="43" fontId="58" fillId="0" borderId="45" xfId="301" applyFont="1" applyBorder="1"/>
    <xf numFmtId="0" fontId="12" fillId="0" borderId="29" xfId="0" applyFont="1" applyBorder="1"/>
    <xf numFmtId="0" fontId="12" fillId="0" borderId="206" xfId="0" applyFont="1" applyBorder="1"/>
    <xf numFmtId="174" fontId="12" fillId="0" borderId="0" xfId="301" applyNumberFormat="1" applyFont="1"/>
    <xf numFmtId="174" fontId="12" fillId="0" borderId="45" xfId="301" applyNumberFormat="1" applyFont="1" applyBorder="1"/>
    <xf numFmtId="174" fontId="12" fillId="0" borderId="206" xfId="301" applyNumberFormat="1" applyFont="1" applyBorder="1"/>
    <xf numFmtId="2" fontId="12" fillId="0" borderId="45" xfId="0" applyNumberFormat="1" applyFont="1" applyBorder="1"/>
    <xf numFmtId="2" fontId="12" fillId="0" borderId="206" xfId="0" applyNumberFormat="1" applyFont="1" applyBorder="1"/>
    <xf numFmtId="0" fontId="184" fillId="0" borderId="45" xfId="0" applyFont="1" applyFill="1" applyBorder="1"/>
    <xf numFmtId="173" fontId="185" fillId="0" borderId="45" xfId="301" applyNumberFormat="1" applyFont="1" applyFill="1" applyBorder="1"/>
    <xf numFmtId="43" fontId="178" fillId="0" borderId="0" xfId="0" applyNumberFormat="1" applyFont="1"/>
    <xf numFmtId="0" fontId="137" fillId="0" borderId="142" xfId="0" quotePrefix="1" applyFont="1" applyFill="1" applyBorder="1" applyAlignment="1">
      <alignment horizontal="center"/>
    </xf>
    <xf numFmtId="10" fontId="178" fillId="0" borderId="0" xfId="0" applyNumberFormat="1" applyFont="1"/>
    <xf numFmtId="10" fontId="0" fillId="0" borderId="0" xfId="0" applyNumberFormat="1"/>
    <xf numFmtId="0" fontId="178" fillId="0" borderId="0" xfId="0" applyNumberFormat="1" applyFont="1"/>
    <xf numFmtId="39" fontId="137" fillId="35" borderId="125" xfId="0" applyNumberFormat="1" applyFont="1" applyFill="1" applyBorder="1" applyAlignment="1">
      <alignment horizontal="left"/>
    </xf>
    <xf numFmtId="170" fontId="137" fillId="35" borderId="125" xfId="301" applyNumberFormat="1" applyFont="1" applyFill="1" applyBorder="1" applyAlignment="1">
      <alignment horizontal="center"/>
    </xf>
    <xf numFmtId="170" fontId="137" fillId="0" borderId="142" xfId="301" applyNumberFormat="1" applyFont="1" applyFill="1" applyBorder="1" applyAlignment="1">
      <alignment horizontal="center"/>
    </xf>
    <xf numFmtId="170" fontId="137" fillId="0" borderId="145" xfId="301" applyNumberFormat="1" applyFont="1" applyFill="1" applyBorder="1" applyAlignment="1">
      <alignment horizontal="center"/>
    </xf>
    <xf numFmtId="37" fontId="182" fillId="36" borderId="126" xfId="301" applyNumberFormat="1" applyFont="1" applyFill="1" applyBorder="1"/>
    <xf numFmtId="39" fontId="137" fillId="35" borderId="142" xfId="0" applyNumberFormat="1" applyFont="1" applyFill="1" applyBorder="1" applyAlignment="1">
      <alignment horizontal="left"/>
    </xf>
    <xf numFmtId="39" fontId="137" fillId="0" borderId="142" xfId="0" applyNumberFormat="1" applyFont="1" applyBorder="1" applyAlignment="1">
      <alignment horizontal="left"/>
    </xf>
    <xf numFmtId="39" fontId="137" fillId="0" borderId="145" xfId="0" applyNumberFormat="1" applyFont="1" applyBorder="1" applyAlignment="1">
      <alignment horizontal="left"/>
    </xf>
    <xf numFmtId="39" fontId="137" fillId="0" borderId="125" xfId="0" applyNumberFormat="1" applyFont="1" applyBorder="1" applyAlignment="1">
      <alignment horizontal="left"/>
    </xf>
    <xf numFmtId="39" fontId="137" fillId="0" borderId="45" xfId="0" applyNumberFormat="1" applyFont="1" applyBorder="1" applyAlignment="1">
      <alignment horizontal="left"/>
    </xf>
    <xf numFmtId="0" fontId="178" fillId="0" borderId="146" xfId="0" applyFont="1" applyBorder="1"/>
    <xf numFmtId="0" fontId="179" fillId="25" borderId="64" xfId="0" applyFont="1" applyFill="1" applyBorder="1"/>
    <xf numFmtId="0" fontId="0" fillId="0" borderId="86" xfId="0" applyBorder="1"/>
    <xf numFmtId="171" fontId="137" fillId="0" borderId="14" xfId="0" applyNumberFormat="1" applyFont="1" applyBorder="1"/>
    <xf numFmtId="171" fontId="136" fillId="0" borderId="223" xfId="0" applyNumberFormat="1" applyFont="1" applyBorder="1"/>
    <xf numFmtId="171" fontId="136" fillId="25" borderId="65" xfId="0" applyNumberFormat="1" applyFont="1" applyFill="1" applyBorder="1"/>
    <xf numFmtId="173" fontId="137" fillId="0" borderId="142" xfId="0" applyNumberFormat="1" applyFont="1" applyBorder="1"/>
    <xf numFmtId="173" fontId="137" fillId="0" borderId="142" xfId="301" applyNumberFormat="1" applyFont="1" applyBorder="1"/>
    <xf numFmtId="0" fontId="137" fillId="0" borderId="142" xfId="0" applyFont="1" applyBorder="1"/>
    <xf numFmtId="0" fontId="136" fillId="0" borderId="126" xfId="0" applyFont="1" applyBorder="1"/>
    <xf numFmtId="173" fontId="136" fillId="0" borderId="126" xfId="301" applyNumberFormat="1" applyFont="1" applyBorder="1"/>
    <xf numFmtId="173" fontId="136" fillId="25" borderId="66" xfId="0" applyNumberFormat="1" applyFont="1" applyFill="1" applyBorder="1"/>
    <xf numFmtId="173" fontId="136" fillId="25" borderId="66" xfId="301" applyNumberFormat="1" applyFont="1" applyFill="1" applyBorder="1"/>
    <xf numFmtId="0" fontId="137" fillId="0" borderId="126" xfId="0" applyFont="1" applyBorder="1"/>
    <xf numFmtId="2" fontId="137" fillId="0" borderId="142" xfId="0" applyNumberFormat="1" applyFont="1" applyBorder="1"/>
    <xf numFmtId="2" fontId="137" fillId="0" borderId="142" xfId="0" applyNumberFormat="1" applyFont="1" applyBorder="1" applyAlignment="1">
      <alignment horizontal="center"/>
    </xf>
    <xf numFmtId="2" fontId="137" fillId="0" borderId="142" xfId="301" applyNumberFormat="1" applyFont="1" applyBorder="1" applyAlignment="1">
      <alignment horizontal="center"/>
    </xf>
    <xf numFmtId="2" fontId="137" fillId="0" borderId="126" xfId="0" applyNumberFormat="1" applyFont="1" applyBorder="1" applyAlignment="1">
      <alignment horizontal="center"/>
    </xf>
    <xf numFmtId="179" fontId="137" fillId="0" borderId="75" xfId="0" applyNumberFormat="1" applyFont="1" applyBorder="1" applyAlignment="1">
      <alignment horizontal="center"/>
    </xf>
    <xf numFmtId="179" fontId="137" fillId="0" borderId="76" xfId="0" applyNumberFormat="1" applyFont="1" applyBorder="1" applyAlignment="1">
      <alignment horizontal="center"/>
    </xf>
    <xf numFmtId="179" fontId="137" fillId="48" borderId="224" xfId="0" applyNumberFormat="1" applyFont="1" applyFill="1" applyBorder="1" applyAlignment="1">
      <alignment horizontal="center"/>
    </xf>
    <xf numFmtId="43" fontId="137" fillId="0" borderId="142" xfId="0" applyNumberFormat="1" applyFont="1" applyBorder="1" applyAlignment="1">
      <alignment horizontal="right"/>
    </xf>
    <xf numFmtId="0" fontId="137" fillId="0" borderId="142" xfId="0" applyFont="1" applyBorder="1" applyAlignment="1">
      <alignment horizontal="right"/>
    </xf>
    <xf numFmtId="2" fontId="137" fillId="0" borderId="142" xfId="0" applyNumberFormat="1" applyFont="1" applyBorder="1" applyAlignment="1">
      <alignment horizontal="right"/>
    </xf>
    <xf numFmtId="0" fontId="137" fillId="0" borderId="126" xfId="0" applyFont="1" applyBorder="1" applyAlignment="1">
      <alignment horizontal="right"/>
    </xf>
    <xf numFmtId="39" fontId="137" fillId="0" borderId="142" xfId="0" applyNumberFormat="1" applyFont="1" applyBorder="1"/>
    <xf numFmtId="39" fontId="137" fillId="0" borderId="142" xfId="301" applyNumberFormat="1" applyFont="1" applyBorder="1"/>
    <xf numFmtId="0" fontId="136" fillId="48" borderId="64" xfId="0" applyFont="1" applyFill="1" applyBorder="1"/>
    <xf numFmtId="173" fontId="136" fillId="48" borderId="66" xfId="301" applyNumberFormat="1" applyFont="1" applyFill="1" applyBorder="1"/>
    <xf numFmtId="0" fontId="136" fillId="48" borderId="66" xfId="0" applyFont="1" applyFill="1" applyBorder="1" applyAlignment="1">
      <alignment horizontal="right"/>
    </xf>
    <xf numFmtId="2" fontId="136" fillId="48" borderId="66" xfId="0" applyNumberFormat="1" applyFont="1" applyFill="1" applyBorder="1" applyAlignment="1">
      <alignment horizontal="center"/>
    </xf>
    <xf numFmtId="171" fontId="183" fillId="0" borderId="75" xfId="0" applyNumberFormat="1" applyFont="1" applyBorder="1" applyAlignment="1">
      <alignment horizontal="center"/>
    </xf>
    <xf numFmtId="37" fontId="183" fillId="0" borderId="142" xfId="301" applyNumberFormat="1" applyFont="1" applyBorder="1" applyAlignment="1">
      <alignment horizontal="center"/>
    </xf>
    <xf numFmtId="2" fontId="183" fillId="0" borderId="142" xfId="0" applyNumberFormat="1" applyFont="1" applyBorder="1" applyAlignment="1">
      <alignment horizontal="center"/>
    </xf>
    <xf numFmtId="0" fontId="136" fillId="48" borderId="74" xfId="0" applyFont="1" applyFill="1" applyBorder="1"/>
    <xf numFmtId="37" fontId="136" fillId="48" borderId="142" xfId="301" applyNumberFormat="1" applyFont="1" applyFill="1" applyBorder="1" applyAlignment="1">
      <alignment horizontal="center"/>
    </xf>
    <xf numFmtId="2" fontId="136" fillId="48" borderId="142" xfId="0" applyNumberFormat="1" applyFont="1" applyFill="1" applyBorder="1" applyAlignment="1">
      <alignment horizontal="center"/>
    </xf>
    <xf numFmtId="171" fontId="136" fillId="48" borderId="75" xfId="0" applyNumberFormat="1" applyFont="1" applyFill="1" applyBorder="1" applyAlignment="1">
      <alignment horizontal="center"/>
    </xf>
    <xf numFmtId="199" fontId="183" fillId="0" borderId="142" xfId="301" applyNumberFormat="1" applyFont="1" applyBorder="1" applyAlignment="1">
      <alignment horizontal="center"/>
    </xf>
    <xf numFmtId="0" fontId="25" fillId="0" borderId="0" xfId="0" applyFont="1"/>
    <xf numFmtId="3" fontId="12" fillId="25" borderId="105" xfId="0" applyNumberFormat="1" applyFont="1" applyFill="1" applyBorder="1"/>
    <xf numFmtId="173" fontId="12" fillId="25" borderId="105" xfId="0" applyNumberFormat="1" applyFont="1" applyFill="1" applyBorder="1"/>
    <xf numFmtId="173" fontId="12" fillId="25" borderId="108" xfId="0" applyNumberFormat="1" applyFont="1" applyFill="1" applyBorder="1"/>
    <xf numFmtId="0" fontId="186" fillId="0" borderId="0" xfId="0" applyFont="1" applyAlignment="1">
      <alignment horizontal="left" vertical="top" wrapText="1"/>
    </xf>
    <xf numFmtId="0" fontId="12" fillId="0" borderId="0" xfId="0" applyFont="1" applyAlignment="1">
      <alignment wrapText="1"/>
    </xf>
    <xf numFmtId="0" fontId="12" fillId="0" borderId="2" xfId="0" quotePrefix="1" applyNumberFormat="1" applyFont="1" applyFill="1" applyBorder="1" applyAlignment="1">
      <alignment horizontal="right"/>
    </xf>
    <xf numFmtId="0" fontId="12" fillId="0" borderId="107" xfId="0" quotePrefix="1" applyNumberFormat="1" applyFont="1" applyFill="1" applyBorder="1" applyAlignment="1">
      <alignment horizontal="right"/>
    </xf>
    <xf numFmtId="0" fontId="70" fillId="0" borderId="92" xfId="0" applyFont="1" applyBorder="1"/>
    <xf numFmtId="0" fontId="71" fillId="0" borderId="65" xfId="0" applyFont="1" applyBorder="1"/>
    <xf numFmtId="0" fontId="71" fillId="0" borderId="93" xfId="0" applyFont="1" applyBorder="1"/>
    <xf numFmtId="0" fontId="69" fillId="0" borderId="125" xfId="0" applyFont="1" applyFill="1" applyBorder="1"/>
    <xf numFmtId="0" fontId="12" fillId="0" borderId="2" xfId="0" applyFont="1" applyBorder="1"/>
    <xf numFmtId="173" fontId="12" fillId="0" borderId="100" xfId="302" applyNumberFormat="1" applyFont="1" applyFill="1" applyBorder="1"/>
    <xf numFmtId="173" fontId="12" fillId="0" borderId="100" xfId="302" applyNumberFormat="1" applyFont="1" applyBorder="1"/>
    <xf numFmtId="173" fontId="12" fillId="0" borderId="101" xfId="302" applyNumberFormat="1" applyFont="1" applyBorder="1"/>
    <xf numFmtId="173" fontId="12" fillId="25" borderId="105" xfId="302" applyNumberFormat="1" applyFont="1" applyFill="1" applyBorder="1"/>
    <xf numFmtId="173" fontId="12" fillId="25" borderId="165" xfId="0" applyNumberFormat="1" applyFont="1" applyFill="1" applyBorder="1"/>
    <xf numFmtId="0" fontId="72" fillId="0" borderId="92" xfId="0" applyFont="1" applyBorder="1"/>
    <xf numFmtId="0" fontId="73" fillId="0" borderId="65" xfId="0" applyFont="1" applyBorder="1"/>
    <xf numFmtId="0" fontId="73" fillId="0" borderId="93" xfId="0" applyFont="1" applyBorder="1"/>
    <xf numFmtId="0" fontId="69" fillId="49" borderId="107" xfId="0" applyFont="1" applyFill="1" applyBorder="1"/>
    <xf numFmtId="173" fontId="12" fillId="49" borderId="101" xfId="0" applyNumberFormat="1" applyFont="1" applyFill="1" applyBorder="1"/>
    <xf numFmtId="43" fontId="12" fillId="49" borderId="100" xfId="302" applyFont="1" applyFill="1" applyBorder="1"/>
    <xf numFmtId="173" fontId="12" fillId="49" borderId="100" xfId="302" applyNumberFormat="1" applyFont="1" applyFill="1" applyBorder="1"/>
    <xf numFmtId="0" fontId="69" fillId="0" borderId="92" xfId="0" applyFont="1" applyBorder="1" applyAlignment="1"/>
    <xf numFmtId="0" fontId="0" fillId="0" borderId="65" xfId="0" applyBorder="1" applyAlignment="1"/>
    <xf numFmtId="0" fontId="0" fillId="0" borderId="65" xfId="0" applyBorder="1" applyAlignment="1">
      <alignment shrinkToFit="1"/>
    </xf>
    <xf numFmtId="0" fontId="0" fillId="0" borderId="93" xfId="0" applyBorder="1" applyAlignment="1">
      <alignment shrinkToFit="1"/>
    </xf>
    <xf numFmtId="0" fontId="0" fillId="0" borderId="0" xfId="0" applyAlignment="1">
      <alignment shrinkToFit="1"/>
    </xf>
    <xf numFmtId="0" fontId="69" fillId="50" borderId="107" xfId="0" applyFont="1" applyFill="1" applyBorder="1"/>
    <xf numFmtId="0" fontId="75" fillId="0" borderId="92" xfId="0" applyFont="1" applyBorder="1"/>
    <xf numFmtId="0" fontId="76" fillId="0" borderId="65" xfId="0" applyFont="1" applyBorder="1"/>
    <xf numFmtId="0" fontId="76" fillId="0" borderId="93" xfId="0" applyFont="1" applyBorder="1"/>
    <xf numFmtId="0" fontId="69" fillId="0" borderId="186" xfId="0" applyFont="1" applyBorder="1"/>
    <xf numFmtId="0" fontId="6" fillId="0" borderId="98" xfId="0" applyFont="1" applyBorder="1"/>
    <xf numFmtId="0" fontId="69" fillId="51" borderId="78" xfId="0" applyFont="1" applyFill="1" applyBorder="1"/>
    <xf numFmtId="173" fontId="12" fillId="51" borderId="225" xfId="302" applyNumberFormat="1" applyFont="1" applyFill="1" applyBorder="1"/>
    <xf numFmtId="173" fontId="12" fillId="51" borderId="3" xfId="302" applyNumberFormat="1" applyFont="1" applyFill="1" applyBorder="1"/>
    <xf numFmtId="173" fontId="12" fillId="51" borderId="49" xfId="302" applyNumberFormat="1" applyFont="1" applyFill="1" applyBorder="1"/>
    <xf numFmtId="173" fontId="12" fillId="51" borderId="100" xfId="302" applyNumberFormat="1" applyFont="1" applyFill="1" applyBorder="1"/>
    <xf numFmtId="173" fontId="12" fillId="51" borderId="101" xfId="302" applyNumberFormat="1" applyFont="1" applyFill="1" applyBorder="1"/>
    <xf numFmtId="0" fontId="69" fillId="0" borderId="85" xfId="0" applyFont="1" applyFill="1" applyBorder="1"/>
    <xf numFmtId="0" fontId="69" fillId="52" borderId="107" xfId="0" applyFont="1" applyFill="1" applyBorder="1"/>
    <xf numFmtId="173" fontId="12" fillId="52" borderId="100" xfId="302" applyNumberFormat="1" applyFont="1" applyFill="1" applyBorder="1"/>
    <xf numFmtId="173" fontId="12" fillId="52" borderId="102" xfId="302" applyNumberFormat="1" applyFont="1" applyFill="1" applyBorder="1"/>
    <xf numFmtId="173" fontId="12" fillId="52" borderId="163" xfId="302" applyNumberFormat="1" applyFont="1" applyFill="1" applyBorder="1"/>
    <xf numFmtId="0" fontId="69" fillId="53" borderId="92" xfId="0" applyFont="1" applyFill="1" applyBorder="1"/>
    <xf numFmtId="0" fontId="0" fillId="53" borderId="65" xfId="0" applyFill="1" applyBorder="1"/>
    <xf numFmtId="0" fontId="0" fillId="53" borderId="93" xfId="0" applyFill="1" applyBorder="1"/>
    <xf numFmtId="0" fontId="6" fillId="25" borderId="88" xfId="0" applyFont="1" applyFill="1" applyBorder="1"/>
    <xf numFmtId="0" fontId="69" fillId="25" borderId="46" xfId="0" applyFont="1" applyFill="1" applyBorder="1"/>
    <xf numFmtId="0" fontId="69" fillId="25" borderId="103" xfId="0" applyFont="1" applyFill="1" applyBorder="1"/>
    <xf numFmtId="0" fontId="69" fillId="46" borderId="2" xfId="0" applyFont="1" applyFill="1" applyBorder="1" applyAlignment="1">
      <alignment wrapText="1"/>
    </xf>
    <xf numFmtId="0" fontId="12" fillId="0" borderId="107" xfId="0" applyFont="1" applyBorder="1"/>
    <xf numFmtId="0" fontId="12" fillId="0" borderId="100" xfId="0" applyFont="1" applyBorder="1"/>
    <xf numFmtId="0" fontId="12" fillId="0" borderId="163" xfId="0" applyFont="1" applyBorder="1"/>
    <xf numFmtId="171" fontId="12" fillId="0" borderId="100" xfId="0" applyNumberFormat="1" applyFont="1" applyBorder="1"/>
    <xf numFmtId="171" fontId="12" fillId="0" borderId="101" xfId="0" applyNumberFormat="1" applyFont="1" applyBorder="1"/>
    <xf numFmtId="171" fontId="12" fillId="0" borderId="163" xfId="0" applyNumberFormat="1" applyFont="1" applyBorder="1"/>
    <xf numFmtId="195" fontId="189" fillId="0" borderId="105" xfId="301" applyNumberFormat="1" applyFont="1" applyFill="1" applyBorder="1" applyAlignment="1">
      <alignment wrapText="1"/>
    </xf>
    <xf numFmtId="168" fontId="189" fillId="0" borderId="105" xfId="0" applyNumberFormat="1" applyFont="1" applyFill="1" applyBorder="1"/>
    <xf numFmtId="168" fontId="189" fillId="0" borderId="79" xfId="301" applyNumberFormat="1" applyFont="1" applyFill="1" applyBorder="1" applyAlignment="1">
      <alignment wrapText="1"/>
    </xf>
    <xf numFmtId="193" fontId="189" fillId="29" borderId="105" xfId="301" applyNumberFormat="1" applyFont="1" applyFill="1" applyBorder="1" applyAlignment="1">
      <alignment wrapText="1"/>
    </xf>
    <xf numFmtId="195" fontId="189" fillId="29" borderId="105" xfId="301" applyNumberFormat="1" applyFont="1" applyFill="1" applyBorder="1" applyAlignment="1">
      <alignment wrapText="1"/>
    </xf>
    <xf numFmtId="195" fontId="189" fillId="29" borderId="79" xfId="301" applyNumberFormat="1" applyFont="1" applyFill="1" applyBorder="1" applyAlignment="1">
      <alignment wrapText="1"/>
    </xf>
    <xf numFmtId="195" fontId="152" fillId="0" borderId="36" xfId="301" applyNumberFormat="1" applyFont="1" applyFill="1" applyBorder="1" applyAlignment="1">
      <alignment wrapText="1"/>
    </xf>
    <xf numFmtId="2" fontId="152" fillId="0" borderId="1" xfId="301" applyNumberFormat="1" applyFont="1" applyFill="1" applyBorder="1" applyAlignment="1">
      <alignment wrapText="1"/>
    </xf>
    <xf numFmtId="166" fontId="153" fillId="0" borderId="1" xfId="301" applyNumberFormat="1" applyFont="1" applyFill="1" applyBorder="1" applyAlignment="1">
      <alignment wrapText="1"/>
    </xf>
    <xf numFmtId="193" fontId="153" fillId="50" borderId="1" xfId="301" applyNumberFormat="1" applyFont="1" applyFill="1" applyBorder="1" applyAlignment="1">
      <alignment wrapText="1"/>
    </xf>
    <xf numFmtId="195" fontId="152" fillId="50" borderId="1" xfId="301" applyNumberFormat="1" applyFont="1" applyFill="1" applyBorder="1" applyAlignment="1">
      <alignment wrapText="1"/>
    </xf>
    <xf numFmtId="195" fontId="152" fillId="50" borderId="36" xfId="301" applyNumberFormat="1" applyFont="1" applyFill="1" applyBorder="1" applyAlignment="1">
      <alignment wrapText="1"/>
    </xf>
    <xf numFmtId="0" fontId="0" fillId="0" borderId="0" xfId="0"/>
    <xf numFmtId="165" fontId="12" fillId="0" borderId="49" xfId="0" applyNumberFormat="1" applyFont="1" applyFill="1" applyBorder="1"/>
    <xf numFmtId="0" fontId="12" fillId="0" borderId="226" xfId="0" applyFont="1" applyFill="1" applyBorder="1"/>
    <xf numFmtId="0" fontId="12" fillId="0" borderId="226" xfId="0" applyFont="1" applyBorder="1"/>
    <xf numFmtId="43" fontId="12" fillId="0" borderId="49" xfId="301" applyFont="1" applyFill="1" applyBorder="1"/>
    <xf numFmtId="37" fontId="20" fillId="0" borderId="45" xfId="301" applyNumberFormat="1" applyFont="1" applyFill="1" applyBorder="1"/>
    <xf numFmtId="37" fontId="12" fillId="0" borderId="45" xfId="301" applyNumberFormat="1" applyFont="1" applyFill="1" applyBorder="1"/>
    <xf numFmtId="0" fontId="0" fillId="0" borderId="227" xfId="0" applyBorder="1"/>
    <xf numFmtId="0" fontId="0" fillId="0" borderId="226" xfId="0" applyBorder="1"/>
    <xf numFmtId="0" fontId="0" fillId="0" borderId="228" xfId="0" applyBorder="1"/>
    <xf numFmtId="3" fontId="12" fillId="0" borderId="226" xfId="0" quotePrefix="1" applyNumberFormat="1" applyFont="1" applyFill="1" applyBorder="1"/>
    <xf numFmtId="3" fontId="12" fillId="0" borderId="228" xfId="0" quotePrefix="1" applyNumberFormat="1" applyFont="1" applyFill="1" applyBorder="1"/>
    <xf numFmtId="173" fontId="12" fillId="0" borderId="226" xfId="302" applyNumberFormat="1" applyFont="1" applyFill="1" applyBorder="1"/>
    <xf numFmtId="173" fontId="12" fillId="0" borderId="226" xfId="302" applyNumberFormat="1" applyFont="1" applyBorder="1"/>
    <xf numFmtId="173" fontId="12" fillId="0" borderId="228" xfId="302" applyNumberFormat="1" applyFont="1" applyBorder="1"/>
    <xf numFmtId="2" fontId="12" fillId="0" borderId="226" xfId="302" applyNumberFormat="1" applyFont="1" applyBorder="1"/>
    <xf numFmtId="173" fontId="12" fillId="51" borderId="228" xfId="302" applyNumberFormat="1" applyFont="1" applyFill="1" applyBorder="1"/>
    <xf numFmtId="165" fontId="6" fillId="0" borderId="226" xfId="0" quotePrefix="1" applyNumberFormat="1" applyFont="1" applyFill="1" applyBorder="1" applyAlignment="1">
      <alignment horizontal="right"/>
    </xf>
    <xf numFmtId="165" fontId="6" fillId="0" borderId="226" xfId="0" applyNumberFormat="1" applyFont="1" applyBorder="1"/>
    <xf numFmtId="0" fontId="6" fillId="0" borderId="226" xfId="0" applyFont="1" applyBorder="1"/>
    <xf numFmtId="173" fontId="12" fillId="0" borderId="226" xfId="0" applyNumberFormat="1" applyFont="1" applyBorder="1"/>
    <xf numFmtId="2" fontId="6" fillId="0" borderId="226" xfId="0" applyNumberFormat="1" applyFont="1" applyBorder="1"/>
    <xf numFmtId="0" fontId="12" fillId="35" borderId="226" xfId="0" applyFont="1" applyFill="1" applyBorder="1"/>
    <xf numFmtId="43" fontId="6" fillId="0" borderId="226" xfId="0" applyNumberFormat="1" applyFont="1" applyBorder="1"/>
    <xf numFmtId="43" fontId="6" fillId="0" borderId="226" xfId="302" applyFont="1" applyBorder="1"/>
    <xf numFmtId="43" fontId="12" fillId="0" borderId="226" xfId="0" applyNumberFormat="1" applyFont="1" applyBorder="1"/>
    <xf numFmtId="2" fontId="0" fillId="0" borderId="226" xfId="0" applyNumberFormat="1" applyBorder="1" applyAlignment="1">
      <alignment horizontal="center"/>
    </xf>
    <xf numFmtId="2" fontId="0" fillId="0" borderId="116" xfId="0" applyNumberFormat="1" applyBorder="1" applyAlignment="1">
      <alignment horizontal="center"/>
    </xf>
    <xf numFmtId="0" fontId="0" fillId="0" borderId="232" xfId="0" applyBorder="1"/>
    <xf numFmtId="0" fontId="0" fillId="0" borderId="126" xfId="0" applyBorder="1"/>
    <xf numFmtId="2" fontId="0" fillId="0" borderId="53" xfId="0" applyNumberFormat="1" applyBorder="1" applyAlignment="1">
      <alignment horizontal="center"/>
    </xf>
    <xf numFmtId="2" fontId="0" fillId="0" borderId="185" xfId="0" applyNumberFormat="1" applyBorder="1" applyAlignment="1">
      <alignment horizontal="center"/>
    </xf>
    <xf numFmtId="0" fontId="0" fillId="54" borderId="203" xfId="0" applyFill="1" applyBorder="1"/>
    <xf numFmtId="0" fontId="0" fillId="54" borderId="110" xfId="0" applyFill="1" applyBorder="1"/>
    <xf numFmtId="2" fontId="0" fillId="54" borderId="230" xfId="0" applyNumberFormat="1" applyFill="1" applyBorder="1" applyAlignment="1">
      <alignment horizontal="center"/>
    </xf>
    <xf numFmtId="0" fontId="0" fillId="54" borderId="129" xfId="0" applyFill="1" applyBorder="1"/>
    <xf numFmtId="0" fontId="6" fillId="54" borderId="2" xfId="0" applyFont="1" applyFill="1" applyBorder="1"/>
    <xf numFmtId="0" fontId="0" fillId="54" borderId="226" xfId="0" applyFill="1" applyBorder="1"/>
    <xf numFmtId="2" fontId="0" fillId="54" borderId="228" xfId="0" applyNumberFormat="1" applyFill="1" applyBorder="1" applyAlignment="1">
      <alignment horizontal="center"/>
    </xf>
    <xf numFmtId="0" fontId="0" fillId="54" borderId="142" xfId="0" applyFill="1" applyBorder="1"/>
    <xf numFmtId="0" fontId="0" fillId="54" borderId="204" xfId="0" applyFill="1" applyBorder="1"/>
    <xf numFmtId="0" fontId="0" fillId="54" borderId="87" xfId="0" applyFill="1" applyBorder="1"/>
    <xf numFmtId="2" fontId="0" fillId="54" borderId="231" xfId="0" applyNumberFormat="1" applyFill="1" applyBorder="1" applyAlignment="1">
      <alignment horizontal="center"/>
    </xf>
    <xf numFmtId="0" fontId="0" fillId="54" borderId="145" xfId="0" applyFill="1" applyBorder="1"/>
    <xf numFmtId="0" fontId="6" fillId="55" borderId="2" xfId="0" applyFont="1" applyFill="1" applyBorder="1"/>
    <xf numFmtId="0" fontId="0" fillId="55" borderId="226" xfId="0" applyFill="1" applyBorder="1"/>
    <xf numFmtId="2" fontId="0" fillId="55" borderId="226" xfId="0" applyNumberFormat="1" applyFill="1" applyBorder="1" applyAlignment="1">
      <alignment horizontal="center"/>
    </xf>
    <xf numFmtId="0" fontId="0" fillId="55" borderId="144" xfId="0" applyFill="1" applyBorder="1"/>
    <xf numFmtId="0" fontId="22" fillId="55" borderId="2" xfId="0" applyFont="1" applyFill="1" applyBorder="1"/>
    <xf numFmtId="2" fontId="0" fillId="55" borderId="116" xfId="0" applyNumberFormat="1" applyFill="1" applyBorder="1" applyAlignment="1">
      <alignment horizontal="center"/>
    </xf>
    <xf numFmtId="0" fontId="0" fillId="55" borderId="142" xfId="0" applyFill="1" applyBorder="1"/>
    <xf numFmtId="0" fontId="6" fillId="55" borderId="78" xfId="0" applyFont="1" applyFill="1" applyBorder="1"/>
    <xf numFmtId="0" fontId="0" fillId="55" borderId="105" xfId="0" applyFill="1" applyBorder="1"/>
    <xf numFmtId="2" fontId="0" fillId="55" borderId="165" xfId="0" applyNumberFormat="1" applyFill="1" applyBorder="1" applyAlignment="1">
      <alignment horizontal="center"/>
    </xf>
    <xf numFmtId="0" fontId="0" fillId="55" borderId="70" xfId="0" applyFill="1" applyBorder="1"/>
    <xf numFmtId="0" fontId="0" fillId="55" borderId="66" xfId="0" applyFill="1" applyBorder="1"/>
    <xf numFmtId="0" fontId="22" fillId="0" borderId="98" xfId="0" applyFont="1" applyBorder="1"/>
    <xf numFmtId="0" fontId="22" fillId="0" borderId="85" xfId="0" applyFont="1" applyBorder="1"/>
    <xf numFmtId="0" fontId="22" fillId="0" borderId="103" xfId="0" applyFont="1" applyFill="1" applyBorder="1"/>
    <xf numFmtId="0" fontId="22" fillId="0" borderId="98" xfId="0" applyFont="1" applyFill="1" applyBorder="1"/>
    <xf numFmtId="0" fontId="69" fillId="0" borderId="106" xfId="0" applyFont="1" applyFill="1" applyBorder="1"/>
    <xf numFmtId="173" fontId="12" fillId="25" borderId="165" xfId="308" applyNumberFormat="1" applyFont="1" applyFill="1" applyBorder="1"/>
    <xf numFmtId="0" fontId="6" fillId="0" borderId="185" xfId="0" applyFont="1" applyBorder="1"/>
    <xf numFmtId="173" fontId="12" fillId="51" borderId="116" xfId="302" applyNumberFormat="1" applyFont="1" applyFill="1" applyBorder="1"/>
    <xf numFmtId="173" fontId="12" fillId="51" borderId="144" xfId="302" applyNumberFormat="1" applyFont="1" applyFill="1" applyBorder="1"/>
    <xf numFmtId="173" fontId="12" fillId="51" borderId="163" xfId="302" applyNumberFormat="1" applyFont="1" applyFill="1" applyBorder="1"/>
    <xf numFmtId="173" fontId="12" fillId="52" borderId="101" xfId="302" applyNumberFormat="1" applyFont="1" applyFill="1" applyBorder="1"/>
    <xf numFmtId="173" fontId="12" fillId="49" borderId="163" xfId="302" applyNumberFormat="1" applyFont="1" applyFill="1" applyBorder="1"/>
    <xf numFmtId="2" fontId="12" fillId="0" borderId="228" xfId="302" applyNumberFormat="1" applyFont="1" applyBorder="1"/>
    <xf numFmtId="0" fontId="0" fillId="0" borderId="0" xfId="0"/>
    <xf numFmtId="170" fontId="185" fillId="0" borderId="45" xfId="0" applyNumberFormat="1" applyFont="1" applyFill="1" applyBorder="1"/>
    <xf numFmtId="2" fontId="185" fillId="0" borderId="206" xfId="0" applyNumberFormat="1" applyFont="1" applyFill="1" applyBorder="1"/>
    <xf numFmtId="4" fontId="6" fillId="0" borderId="45" xfId="0" applyNumberFormat="1" applyFont="1" applyFill="1" applyBorder="1"/>
    <xf numFmtId="37" fontId="6" fillId="0" borderId="45" xfId="0" applyNumberFormat="1" applyFont="1" applyFill="1" applyBorder="1"/>
    <xf numFmtId="37" fontId="58" fillId="0" borderId="45" xfId="301" applyNumberFormat="1" applyFont="1" applyFill="1" applyBorder="1"/>
    <xf numFmtId="0" fontId="185" fillId="0" borderId="45" xfId="0" applyFont="1" applyFill="1" applyBorder="1"/>
    <xf numFmtId="0" fontId="185" fillId="0" borderId="206" xfId="0" applyFont="1" applyFill="1" applyBorder="1"/>
    <xf numFmtId="2" fontId="12" fillId="0" borderId="45" xfId="0" applyNumberFormat="1" applyFont="1" applyFill="1" applyBorder="1" applyAlignment="1">
      <alignment horizontal="center"/>
    </xf>
    <xf numFmtId="2" fontId="12" fillId="0" borderId="45" xfId="301" applyNumberFormat="1" applyFont="1" applyFill="1" applyBorder="1" applyAlignment="1">
      <alignment horizontal="center"/>
    </xf>
    <xf numFmtId="173" fontId="6" fillId="55" borderId="233" xfId="0" applyNumberFormat="1" applyFont="1" applyFill="1" applyBorder="1"/>
    <xf numFmtId="174" fontId="6" fillId="55" borderId="233" xfId="0" applyNumberFormat="1" applyFont="1" applyFill="1" applyBorder="1"/>
    <xf numFmtId="2" fontId="58" fillId="0" borderId="45" xfId="0" applyNumberFormat="1" applyFont="1" applyFill="1" applyBorder="1" applyAlignment="1">
      <alignment horizontal="center"/>
    </xf>
    <xf numFmtId="2" fontId="20" fillId="0" borderId="45" xfId="0" applyNumberFormat="1" applyFont="1" applyFill="1" applyBorder="1" applyAlignment="1">
      <alignment horizontal="center"/>
    </xf>
    <xf numFmtId="165" fontId="58" fillId="0" borderId="45" xfId="0" applyNumberFormat="1" applyFont="1" applyFill="1" applyBorder="1"/>
    <xf numFmtId="43" fontId="12" fillId="0" borderId="45" xfId="0" applyNumberFormat="1" applyFont="1" applyFill="1" applyBorder="1"/>
    <xf numFmtId="199" fontId="20" fillId="0" borderId="45" xfId="301" applyNumberFormat="1" applyFont="1" applyFill="1" applyBorder="1"/>
    <xf numFmtId="171" fontId="20" fillId="0" borderId="45" xfId="0" applyNumberFormat="1" applyFont="1" applyFill="1" applyBorder="1"/>
    <xf numFmtId="2" fontId="185" fillId="0" borderId="45" xfId="0" applyNumberFormat="1" applyFont="1" applyFill="1" applyBorder="1"/>
    <xf numFmtId="173" fontId="6" fillId="55" borderId="0" xfId="0" applyNumberFormat="1" applyFont="1" applyFill="1"/>
    <xf numFmtId="0" fontId="192" fillId="55" borderId="0" xfId="0" applyFont="1" applyFill="1"/>
    <xf numFmtId="0" fontId="195" fillId="55" borderId="0" xfId="0" applyFont="1" applyFill="1"/>
    <xf numFmtId="0" fontId="25" fillId="0" borderId="0" xfId="0" applyFont="1" applyFill="1"/>
    <xf numFmtId="173" fontId="196" fillId="0" borderId="153" xfId="0" applyNumberFormat="1" applyFont="1" applyBorder="1" applyAlignment="1">
      <alignment horizontal="left"/>
    </xf>
    <xf numFmtId="173" fontId="196" fillId="0" borderId="3" xfId="0" applyNumberFormat="1" applyFont="1" applyBorder="1" applyAlignment="1">
      <alignment horizontal="left"/>
    </xf>
    <xf numFmtId="0" fontId="197" fillId="55" borderId="37" xfId="0" applyFont="1" applyFill="1" applyBorder="1"/>
    <xf numFmtId="2" fontId="191" fillId="55" borderId="38" xfId="0" applyNumberFormat="1" applyFont="1" applyFill="1" applyBorder="1"/>
    <xf numFmtId="0" fontId="191" fillId="55" borderId="37" xfId="0" applyFont="1" applyFill="1" applyBorder="1"/>
    <xf numFmtId="0" fontId="191" fillId="55" borderId="39" xfId="0" applyFont="1" applyFill="1" applyBorder="1" applyAlignment="1"/>
    <xf numFmtId="0" fontId="199" fillId="55" borderId="0" xfId="0" applyFont="1" applyFill="1"/>
    <xf numFmtId="0" fontId="200" fillId="55" borderId="0" xfId="0" applyFont="1" applyFill="1"/>
    <xf numFmtId="43" fontId="191" fillId="55" borderId="38" xfId="0" applyNumberFormat="1" applyFont="1" applyFill="1" applyBorder="1"/>
    <xf numFmtId="0" fontId="25" fillId="0" borderId="0" xfId="0" applyFont="1" applyBorder="1"/>
    <xf numFmtId="0" fontId="101" fillId="56" borderId="0" xfId="0" applyFont="1" applyFill="1"/>
    <xf numFmtId="0" fontId="0" fillId="56" borderId="0" xfId="0" applyFill="1"/>
    <xf numFmtId="0" fontId="12" fillId="56" borderId="0" xfId="0" applyFont="1" applyFill="1"/>
    <xf numFmtId="3" fontId="12" fillId="0" borderId="227" xfId="0" applyNumberFormat="1" applyFont="1" applyBorder="1"/>
    <xf numFmtId="174" fontId="12" fillId="0" borderId="226" xfId="302" applyNumberFormat="1" applyFont="1" applyBorder="1"/>
    <xf numFmtId="174" fontId="12" fillId="0" borderId="228" xfId="302" applyNumberFormat="1" applyFont="1" applyBorder="1"/>
    <xf numFmtId="174" fontId="12" fillId="0" borderId="227" xfId="302" applyNumberFormat="1" applyFont="1" applyBorder="1"/>
    <xf numFmtId="173" fontId="12" fillId="0" borderId="228" xfId="301" applyNumberFormat="1" applyFont="1" applyBorder="1"/>
    <xf numFmtId="173" fontId="12" fillId="0" borderId="144" xfId="301" applyNumberFormat="1" applyFont="1" applyBorder="1"/>
    <xf numFmtId="3" fontId="12" fillId="0" borderId="102" xfId="0" applyNumberFormat="1" applyFont="1" applyBorder="1"/>
    <xf numFmtId="174" fontId="12" fillId="0" borderId="100" xfId="302" applyNumberFormat="1" applyFont="1" applyBorder="1"/>
    <xf numFmtId="174" fontId="12" fillId="0" borderId="101" xfId="302" applyNumberFormat="1" applyFont="1" applyBorder="1"/>
    <xf numFmtId="0" fontId="12" fillId="0" borderId="102" xfId="0" applyFont="1" applyBorder="1"/>
    <xf numFmtId="0" fontId="12" fillId="0" borderId="101" xfId="0" applyFont="1" applyBorder="1"/>
    <xf numFmtId="173" fontId="12" fillId="0" borderId="144" xfId="302" applyNumberFormat="1" applyFont="1" applyBorder="1"/>
    <xf numFmtId="173" fontId="12" fillId="0" borderId="216" xfId="308" applyNumberFormat="1" applyFont="1" applyBorder="1"/>
    <xf numFmtId="2" fontId="12" fillId="0" borderId="144" xfId="0" applyNumberFormat="1" applyFont="1" applyBorder="1"/>
    <xf numFmtId="2" fontId="12" fillId="0" borderId="216" xfId="308" applyNumberFormat="1" applyFont="1" applyBorder="1"/>
    <xf numFmtId="173" fontId="12" fillId="49" borderId="100" xfId="0" applyNumberFormat="1" applyFont="1" applyFill="1" applyBorder="1"/>
    <xf numFmtId="173" fontId="201" fillId="50" borderId="100" xfId="0" applyNumberFormat="1" applyFont="1" applyFill="1" applyBorder="1"/>
    <xf numFmtId="173" fontId="201" fillId="50" borderId="100" xfId="302" applyNumberFormat="1" applyFont="1" applyFill="1" applyBorder="1"/>
    <xf numFmtId="173" fontId="201" fillId="50" borderId="101" xfId="302" applyNumberFormat="1" applyFont="1" applyFill="1" applyBorder="1"/>
    <xf numFmtId="173" fontId="201" fillId="50" borderId="163" xfId="302" applyNumberFormat="1" applyFont="1" applyFill="1" applyBorder="1"/>
    <xf numFmtId="3" fontId="12" fillId="0" borderId="226" xfId="0" applyNumberFormat="1" applyFont="1" applyBorder="1"/>
    <xf numFmtId="173" fontId="12" fillId="0" borderId="229" xfId="302" applyNumberFormat="1" applyFont="1" applyFill="1" applyBorder="1"/>
    <xf numFmtId="173" fontId="12" fillId="0" borderId="53" xfId="0" applyNumberFormat="1" applyFont="1" applyBorder="1"/>
    <xf numFmtId="2" fontId="12" fillId="0" borderId="53" xfId="0" applyNumberFormat="1" applyFont="1" applyBorder="1"/>
    <xf numFmtId="2" fontId="12" fillId="0" borderId="229" xfId="302" applyNumberFormat="1" applyFont="1" applyFill="1" applyBorder="1"/>
    <xf numFmtId="2" fontId="12" fillId="0" borderId="226" xfId="302" applyNumberFormat="1" applyFont="1" applyFill="1" applyBorder="1"/>
    <xf numFmtId="173" fontId="12" fillId="51" borderId="105" xfId="0" applyNumberFormat="1" applyFont="1" applyFill="1" applyBorder="1"/>
    <xf numFmtId="3" fontId="12" fillId="51" borderId="105" xfId="0" applyNumberFormat="1" applyFont="1" applyFill="1" applyBorder="1"/>
    <xf numFmtId="173" fontId="12" fillId="52" borderId="100" xfId="0" applyNumberFormat="1" applyFont="1" applyFill="1" applyBorder="1"/>
    <xf numFmtId="0" fontId="202" fillId="0" borderId="0" xfId="660" applyAlignment="1" applyProtection="1"/>
    <xf numFmtId="169" fontId="4" fillId="55" borderId="36" xfId="301" applyNumberFormat="1" applyFont="1" applyFill="1" applyBorder="1"/>
    <xf numFmtId="0" fontId="4" fillId="55" borderId="74" xfId="0" applyFont="1" applyFill="1" applyBorder="1"/>
    <xf numFmtId="0" fontId="3" fillId="55" borderId="227" xfId="0" applyFont="1" applyFill="1" applyBorder="1"/>
    <xf numFmtId="173" fontId="4" fillId="55" borderId="226" xfId="301" applyNumberFormat="1" applyFont="1" applyFill="1" applyBorder="1"/>
    <xf numFmtId="0" fontId="3" fillId="0" borderId="33" xfId="0" applyFont="1" applyFill="1" applyBorder="1" applyAlignment="1">
      <alignment vertical="top" wrapText="1"/>
    </xf>
    <xf numFmtId="173" fontId="3" fillId="0" borderId="3" xfId="301" applyNumberFormat="1" applyFont="1" applyFill="1" applyBorder="1" applyProtection="1">
      <protection locked="0"/>
    </xf>
    <xf numFmtId="173" fontId="3" fillId="0" borderId="3" xfId="301" applyNumberFormat="1" applyFont="1" applyBorder="1"/>
    <xf numFmtId="169" fontId="3" fillId="0" borderId="34" xfId="301" applyNumberFormat="1" applyFont="1" applyBorder="1"/>
    <xf numFmtId="0" fontId="0" fillId="0" borderId="0" xfId="0"/>
    <xf numFmtId="43" fontId="203" fillId="25" borderId="1" xfId="301" applyFont="1" applyFill="1" applyBorder="1"/>
    <xf numFmtId="43" fontId="204" fillId="25" borderId="1" xfId="301" applyNumberFormat="1" applyFont="1" applyFill="1" applyBorder="1"/>
    <xf numFmtId="0" fontId="203" fillId="25" borderId="144" xfId="0" applyFont="1" applyFill="1" applyBorder="1"/>
    <xf numFmtId="0" fontId="0" fillId="0" borderId="217" xfId="0" applyFill="1" applyBorder="1"/>
    <xf numFmtId="0" fontId="0" fillId="41" borderId="220" xfId="0" applyFill="1" applyBorder="1"/>
    <xf numFmtId="43" fontId="0" fillId="0" borderId="226" xfId="301" applyFont="1" applyFill="1" applyBorder="1"/>
    <xf numFmtId="2" fontId="0" fillId="41" borderId="226" xfId="0" applyNumberFormat="1" applyFill="1" applyBorder="1" applyAlignment="1">
      <alignment horizontal="center"/>
    </xf>
    <xf numFmtId="2" fontId="22" fillId="41" borderId="226" xfId="0" applyNumberFormat="1" applyFont="1" applyFill="1" applyBorder="1" applyAlignment="1">
      <alignment horizontal="center"/>
    </xf>
    <xf numFmtId="199" fontId="22" fillId="41" borderId="1" xfId="0" applyNumberFormat="1" applyFont="1" applyFill="1" applyBorder="1"/>
    <xf numFmtId="199" fontId="22" fillId="25" borderId="1" xfId="301" applyNumberFormat="1" applyFont="1" applyFill="1" applyBorder="1"/>
    <xf numFmtId="199" fontId="0" fillId="0" borderId="1" xfId="0" applyNumberFormat="1" applyBorder="1"/>
    <xf numFmtId="37" fontId="22" fillId="0" borderId="1" xfId="301" applyNumberFormat="1" applyFont="1" applyBorder="1"/>
    <xf numFmtId="2" fontId="176" fillId="0" borderId="105" xfId="301" applyNumberFormat="1" applyFont="1" applyFill="1" applyBorder="1" applyAlignment="1">
      <alignment wrapText="1"/>
    </xf>
    <xf numFmtId="2" fontId="176" fillId="0" borderId="79" xfId="301" applyNumberFormat="1" applyFont="1" applyFill="1" applyBorder="1" applyAlignment="1">
      <alignment wrapText="1"/>
    </xf>
    <xf numFmtId="3" fontId="177" fillId="0" borderId="105" xfId="301" applyNumberFormat="1" applyFont="1" applyFill="1" applyBorder="1" applyAlignment="1">
      <alignment wrapText="1"/>
    </xf>
    <xf numFmtId="4" fontId="176" fillId="29" borderId="79" xfId="301" applyNumberFormat="1" applyFont="1" applyFill="1" applyBorder="1" applyAlignment="1">
      <alignment wrapText="1"/>
    </xf>
    <xf numFmtId="193" fontId="153" fillId="23" borderId="105" xfId="301" applyNumberFormat="1" applyFont="1" applyFill="1" applyBorder="1" applyAlignment="1">
      <alignment wrapText="1"/>
    </xf>
    <xf numFmtId="4" fontId="176" fillId="37" borderId="79" xfId="301" applyNumberFormat="1" applyFont="1" applyFill="1" applyBorder="1" applyAlignment="1">
      <alignment wrapText="1"/>
    </xf>
    <xf numFmtId="0" fontId="137" fillId="0" borderId="234" xfId="0" applyFont="1" applyBorder="1"/>
    <xf numFmtId="0" fontId="137" fillId="0" borderId="235" xfId="0" applyFont="1" applyBorder="1"/>
    <xf numFmtId="0" fontId="137" fillId="0" borderId="110" xfId="0" applyFont="1" applyBorder="1"/>
    <xf numFmtId="0" fontId="137" fillId="0" borderId="111" xfId="0" applyFont="1" applyBorder="1"/>
    <xf numFmtId="0" fontId="137" fillId="0" borderId="229" xfId="0" applyFont="1" applyBorder="1"/>
    <xf numFmtId="0" fontId="137" fillId="0" borderId="226" xfId="0" applyFont="1" applyBorder="1"/>
    <xf numFmtId="0" fontId="137" fillId="0" borderId="113" xfId="0" applyFont="1" applyBorder="1"/>
    <xf numFmtId="11" fontId="137" fillId="0" borderId="142" xfId="0" applyNumberFormat="1" applyFont="1" applyBorder="1"/>
    <xf numFmtId="0" fontId="137" fillId="0" borderId="0" xfId="0" applyFont="1" applyFill="1"/>
    <xf numFmtId="0" fontId="47" fillId="0" borderId="142" xfId="0" applyFont="1" applyBorder="1" applyAlignment="1"/>
    <xf numFmtId="0" fontId="137" fillId="0" borderId="136" xfId="0" applyFont="1" applyBorder="1" applyAlignment="1"/>
    <xf numFmtId="0" fontId="137" fillId="0" borderId="227" xfId="0" applyFont="1" applyBorder="1" applyAlignment="1"/>
    <xf numFmtId="0" fontId="137" fillId="0" borderId="236" xfId="0" applyFont="1" applyBorder="1" applyAlignment="1"/>
    <xf numFmtId="0" fontId="137" fillId="0" borderId="223" xfId="0" applyFont="1" applyBorder="1" applyAlignment="1"/>
    <xf numFmtId="0" fontId="137" fillId="0" borderId="127" xfId="0" applyFont="1" applyBorder="1"/>
    <xf numFmtId="0" fontId="137" fillId="0" borderId="53" xfId="0" applyFont="1" applyBorder="1"/>
    <xf numFmtId="0" fontId="137" fillId="0" borderId="237" xfId="0" applyFont="1" applyBorder="1"/>
    <xf numFmtId="10" fontId="137" fillId="0" borderId="126" xfId="0" applyNumberFormat="1" applyFont="1" applyBorder="1"/>
    <xf numFmtId="0" fontId="137" fillId="0" borderId="126" xfId="0" applyNumberFormat="1" applyFont="1" applyBorder="1"/>
    <xf numFmtId="0" fontId="137" fillId="0" borderId="114" xfId="0" applyFont="1" applyBorder="1"/>
    <xf numFmtId="0" fontId="137" fillId="0" borderId="231" xfId="0" applyFont="1" applyBorder="1"/>
    <xf numFmtId="0" fontId="137" fillId="0" borderId="238" xfId="0" applyFont="1" applyBorder="1"/>
    <xf numFmtId="0" fontId="137" fillId="0" borderId="239" xfId="0" applyFont="1" applyBorder="1"/>
    <xf numFmtId="0" fontId="137" fillId="0" borderId="87" xfId="0" applyFont="1" applyBorder="1"/>
    <xf numFmtId="0" fontId="137" fillId="0" borderId="115" xfId="0" applyFont="1" applyBorder="1"/>
    <xf numFmtId="0" fontId="136" fillId="0" borderId="234" xfId="0" applyFont="1" applyFill="1" applyBorder="1" applyAlignment="1">
      <alignment horizontal="center" textRotation="90"/>
    </xf>
    <xf numFmtId="0" fontId="206" fillId="0" borderId="234" xfId="0" applyFont="1" applyFill="1" applyBorder="1" applyAlignment="1">
      <alignment horizontal="center" textRotation="90"/>
    </xf>
    <xf numFmtId="0" fontId="207" fillId="0" borderId="234" xfId="0" applyFont="1" applyFill="1" applyBorder="1" applyAlignment="1">
      <alignment horizontal="center" textRotation="90"/>
    </xf>
    <xf numFmtId="0" fontId="162" fillId="0" borderId="234" xfId="0" applyFont="1" applyFill="1" applyBorder="1" applyAlignment="1">
      <alignment horizontal="center" textRotation="90"/>
    </xf>
    <xf numFmtId="0" fontId="208" fillId="0" borderId="234" xfId="0" applyFont="1" applyFill="1" applyBorder="1" applyAlignment="1">
      <alignment horizontal="center" textRotation="90"/>
    </xf>
    <xf numFmtId="0" fontId="209" fillId="0" borderId="234" xfId="0" applyFont="1" applyFill="1" applyBorder="1" applyAlignment="1">
      <alignment horizontal="center" textRotation="90"/>
    </xf>
    <xf numFmtId="0" fontId="210" fillId="0" borderId="234" xfId="0" applyFont="1" applyFill="1" applyBorder="1" applyAlignment="1">
      <alignment horizontal="center" textRotation="90"/>
    </xf>
    <xf numFmtId="0" fontId="182" fillId="0" borderId="234" xfId="0" applyFont="1" applyFill="1" applyBorder="1" applyAlignment="1">
      <alignment horizontal="center" textRotation="90"/>
    </xf>
    <xf numFmtId="0" fontId="136" fillId="0" borderId="145" xfId="0" applyFont="1" applyBorder="1" applyAlignment="1">
      <alignment textRotation="90"/>
    </xf>
    <xf numFmtId="0" fontId="136" fillId="0" borderId="145" xfId="0" applyFont="1" applyFill="1" applyBorder="1" applyAlignment="1">
      <alignment textRotation="90"/>
    </xf>
    <xf numFmtId="0" fontId="206" fillId="0" borderId="145" xfId="0" applyFont="1" applyBorder="1" applyAlignment="1">
      <alignment textRotation="90"/>
    </xf>
    <xf numFmtId="0" fontId="207" fillId="0" borderId="145" xfId="0" applyFont="1" applyBorder="1" applyAlignment="1">
      <alignment textRotation="90"/>
    </xf>
    <xf numFmtId="0" fontId="208" fillId="0" borderId="145" xfId="0" applyFont="1" applyBorder="1" applyAlignment="1">
      <alignment textRotation="90"/>
    </xf>
    <xf numFmtId="0" fontId="209" fillId="0" borderId="145" xfId="0" applyFont="1" applyBorder="1" applyAlignment="1">
      <alignment textRotation="90"/>
    </xf>
    <xf numFmtId="0" fontId="210" fillId="0" borderId="145" xfId="0" applyFont="1" applyBorder="1" applyAlignment="1">
      <alignment textRotation="90"/>
    </xf>
    <xf numFmtId="0" fontId="162" fillId="0" borderId="145" xfId="0" applyFont="1" applyBorder="1" applyAlignment="1">
      <alignment textRotation="90"/>
    </xf>
    <xf numFmtId="0" fontId="182" fillId="0" borderId="145" xfId="0" applyFont="1" applyBorder="1" applyAlignment="1">
      <alignment textRotation="90"/>
    </xf>
    <xf numFmtId="0" fontId="137" fillId="0" borderId="0" xfId="0" applyFont="1" applyAlignment="1">
      <alignment textRotation="90"/>
    </xf>
    <xf numFmtId="0" fontId="0" fillId="0" borderId="0" xfId="0" applyAlignment="1">
      <alignment textRotation="90"/>
    </xf>
    <xf numFmtId="0" fontId="137" fillId="0" borderId="106" xfId="0" applyFont="1" applyBorder="1"/>
    <xf numFmtId="0" fontId="137" fillId="43" borderId="125" xfId="0" applyFont="1" applyFill="1" applyBorder="1"/>
    <xf numFmtId="0" fontId="137" fillId="40" borderId="125" xfId="0" applyFont="1" applyFill="1" applyBorder="1"/>
    <xf numFmtId="0" fontId="137" fillId="46" borderId="125" xfId="0" applyFont="1" applyFill="1" applyBorder="1"/>
    <xf numFmtId="0" fontId="137" fillId="0" borderId="125" xfId="0" applyFont="1" applyBorder="1"/>
    <xf numFmtId="0" fontId="137" fillId="0" borderId="125" xfId="0" applyFont="1" applyFill="1" applyBorder="1"/>
    <xf numFmtId="0" fontId="206" fillId="0" borderId="125" xfId="0" applyFont="1" applyBorder="1"/>
    <xf numFmtId="0" fontId="136" fillId="43" borderId="125" xfId="0" applyFont="1" applyFill="1" applyBorder="1"/>
    <xf numFmtId="0" fontId="136" fillId="40" borderId="125" xfId="0" applyFont="1" applyFill="1" applyBorder="1"/>
    <xf numFmtId="0" fontId="136" fillId="46" borderId="125" xfId="0" applyFont="1" applyFill="1" applyBorder="1"/>
    <xf numFmtId="0" fontId="207" fillId="0" borderId="125" xfId="0" applyFont="1" applyBorder="1"/>
    <xf numFmtId="0" fontId="217" fillId="0" borderId="125" xfId="0" applyFont="1" applyBorder="1"/>
    <xf numFmtId="0" fontId="218" fillId="0" borderId="125" xfId="0" applyFont="1" applyBorder="1"/>
    <xf numFmtId="0" fontId="219" fillId="0" borderId="125" xfId="0" applyFont="1" applyBorder="1"/>
    <xf numFmtId="0" fontId="48" fillId="0" borderId="125" xfId="0" applyFont="1" applyBorder="1"/>
    <xf numFmtId="0" fontId="44" fillId="0" borderId="125" xfId="0" applyFont="1" applyBorder="1"/>
    <xf numFmtId="0" fontId="137" fillId="0" borderId="216" xfId="0" applyFont="1" applyBorder="1" applyAlignment="1">
      <alignment horizontal="center"/>
    </xf>
    <xf numFmtId="0" fontId="137" fillId="0" borderId="142" xfId="0" applyFont="1" applyBorder="1" applyAlignment="1">
      <alignment horizontal="center"/>
    </xf>
    <xf numFmtId="173" fontId="137" fillId="0" borderId="142" xfId="301" applyNumberFormat="1" applyFont="1" applyBorder="1" applyAlignment="1">
      <alignment horizontal="center"/>
    </xf>
    <xf numFmtId="10" fontId="137" fillId="0" borderId="142" xfId="0" applyNumberFormat="1" applyFont="1" applyBorder="1" applyAlignment="1">
      <alignment horizontal="center"/>
    </xf>
    <xf numFmtId="10" fontId="137" fillId="0" borderId="142" xfId="0" applyNumberFormat="1" applyFont="1" applyFill="1" applyBorder="1" applyAlignment="1">
      <alignment horizontal="center"/>
    </xf>
    <xf numFmtId="2" fontId="137" fillId="0" borderId="142" xfId="0" applyNumberFormat="1" applyFont="1" applyFill="1" applyBorder="1" applyAlignment="1">
      <alignment horizontal="center"/>
    </xf>
    <xf numFmtId="2" fontId="206" fillId="0" borderId="142" xfId="0" applyNumberFormat="1" applyFont="1" applyBorder="1" applyAlignment="1">
      <alignment horizontal="center"/>
    </xf>
    <xf numFmtId="4" fontId="137" fillId="38" borderId="142" xfId="301" applyNumberFormat="1" applyFont="1" applyFill="1" applyBorder="1" applyAlignment="1">
      <alignment horizontal="center"/>
    </xf>
    <xf numFmtId="165" fontId="207" fillId="0" borderId="142" xfId="0" applyNumberFormat="1" applyFont="1" applyBorder="1" applyAlignment="1">
      <alignment horizontal="center"/>
    </xf>
    <xf numFmtId="173" fontId="217" fillId="0" borderId="142" xfId="301" applyNumberFormat="1" applyFont="1" applyBorder="1" applyAlignment="1">
      <alignment horizontal="center"/>
    </xf>
    <xf numFmtId="173" fontId="218" fillId="0" borderId="142" xfId="301" applyNumberFormat="1" applyFont="1" applyBorder="1" applyAlignment="1">
      <alignment horizontal="center"/>
    </xf>
    <xf numFmtId="37" fontId="219" fillId="0" borderId="142" xfId="301" applyNumberFormat="1" applyFont="1" applyBorder="1" applyAlignment="1">
      <alignment horizontal="center"/>
    </xf>
    <xf numFmtId="173" fontId="48" fillId="0" borderId="142" xfId="301" applyNumberFormat="1" applyFont="1" applyBorder="1" applyAlignment="1">
      <alignment horizontal="center"/>
    </xf>
    <xf numFmtId="173" fontId="44" fillId="0" borderId="142" xfId="301" applyNumberFormat="1" applyFont="1" applyBorder="1" applyAlignment="1">
      <alignment horizontal="center"/>
    </xf>
    <xf numFmtId="174" fontId="137" fillId="0" borderId="142" xfId="301" applyNumberFormat="1" applyFont="1" applyBorder="1" applyAlignment="1">
      <alignment horizontal="center"/>
    </xf>
    <xf numFmtId="199" fontId="137" fillId="0" borderId="142" xfId="301" applyNumberFormat="1" applyFont="1" applyBorder="1" applyAlignment="1">
      <alignment horizontal="center"/>
    </xf>
    <xf numFmtId="43" fontId="217" fillId="0" borderId="142" xfId="301" applyFont="1" applyBorder="1" applyAlignment="1">
      <alignment horizontal="center"/>
    </xf>
    <xf numFmtId="43" fontId="218" fillId="0" borderId="142" xfId="301" applyFont="1" applyBorder="1" applyAlignment="1">
      <alignment horizontal="center"/>
    </xf>
    <xf numFmtId="39" fontId="219" fillId="0" borderId="142" xfId="301" applyNumberFormat="1" applyFont="1" applyBorder="1" applyAlignment="1">
      <alignment horizontal="center"/>
    </xf>
    <xf numFmtId="43" fontId="48" fillId="0" borderId="142" xfId="301" applyFont="1" applyBorder="1" applyAlignment="1">
      <alignment horizontal="center"/>
    </xf>
    <xf numFmtId="43" fontId="44" fillId="0" borderId="142" xfId="301" applyFont="1" applyBorder="1" applyAlignment="1">
      <alignment horizontal="center"/>
    </xf>
    <xf numFmtId="43" fontId="137" fillId="0" borderId="142" xfId="301" applyFont="1" applyBorder="1" applyAlignment="1">
      <alignment horizontal="center"/>
    </xf>
    <xf numFmtId="39" fontId="137" fillId="0" borderId="142" xfId="301" applyNumberFormat="1" applyFont="1" applyBorder="1" applyAlignment="1">
      <alignment horizontal="center"/>
    </xf>
    <xf numFmtId="43" fontId="219" fillId="0" borderId="142" xfId="301" applyFont="1" applyBorder="1" applyAlignment="1">
      <alignment horizontal="center"/>
    </xf>
    <xf numFmtId="0" fontId="137" fillId="0" borderId="216" xfId="0" applyFont="1" applyFill="1" applyBorder="1" applyAlignment="1">
      <alignment horizontal="center"/>
    </xf>
    <xf numFmtId="0" fontId="137" fillId="0" borderId="142" xfId="0" applyFont="1" applyFill="1" applyBorder="1" applyAlignment="1">
      <alignment horizontal="center"/>
    </xf>
    <xf numFmtId="173" fontId="137" fillId="0" borderId="142" xfId="301" applyNumberFormat="1" applyFont="1" applyFill="1" applyBorder="1" applyAlignment="1">
      <alignment horizontal="center"/>
    </xf>
    <xf numFmtId="0" fontId="136" fillId="0" borderId="142" xfId="0" applyFont="1" applyFill="1" applyBorder="1" applyAlignment="1">
      <alignment horizontal="center"/>
    </xf>
    <xf numFmtId="2" fontId="206" fillId="0" borderId="142" xfId="0" applyNumberFormat="1" applyFont="1" applyFill="1" applyBorder="1" applyAlignment="1">
      <alignment horizontal="center"/>
    </xf>
    <xf numFmtId="0" fontId="207" fillId="0" borderId="142" xfId="0" applyFont="1" applyFill="1" applyBorder="1" applyAlignment="1">
      <alignment horizontal="center"/>
    </xf>
    <xf numFmtId="2" fontId="220" fillId="0" borderId="142" xfId="0" applyNumberFormat="1" applyFont="1" applyFill="1" applyBorder="1" applyAlignment="1">
      <alignment horizontal="center"/>
    </xf>
    <xf numFmtId="2" fontId="137" fillId="0" borderId="216" xfId="0" applyNumberFormat="1" applyFont="1" applyFill="1" applyBorder="1" applyAlignment="1">
      <alignment horizontal="center"/>
    </xf>
    <xf numFmtId="0" fontId="207" fillId="0" borderId="142" xfId="0" applyFont="1" applyBorder="1" applyAlignment="1">
      <alignment horizontal="center"/>
    </xf>
    <xf numFmtId="39" fontId="48" fillId="0" borderId="142" xfId="301" applyNumberFormat="1" applyFont="1" applyBorder="1" applyAlignment="1">
      <alignment horizontal="center"/>
    </xf>
    <xf numFmtId="0" fontId="48" fillId="0" borderId="126" xfId="0" applyFont="1" applyFill="1" applyBorder="1"/>
    <xf numFmtId="10" fontId="48" fillId="0" borderId="126" xfId="0" applyNumberFormat="1" applyFont="1" applyFill="1" applyBorder="1"/>
    <xf numFmtId="4" fontId="48" fillId="0" borderId="126" xfId="0" applyNumberFormat="1" applyFont="1" applyFill="1" applyBorder="1"/>
    <xf numFmtId="43" fontId="48" fillId="0" borderId="126" xfId="301" applyFont="1" applyFill="1" applyBorder="1"/>
    <xf numFmtId="0" fontId="137" fillId="0" borderId="126" xfId="0" applyFont="1" applyFill="1" applyBorder="1"/>
    <xf numFmtId="10" fontId="137" fillId="0" borderId="126" xfId="0" applyNumberFormat="1" applyFont="1" applyFill="1" applyBorder="1"/>
    <xf numFmtId="4" fontId="137" fillId="0" borderId="126" xfId="0" applyNumberFormat="1" applyFont="1" applyFill="1" applyBorder="1"/>
    <xf numFmtId="43" fontId="137" fillId="0" borderId="126" xfId="301" applyFont="1" applyFill="1" applyBorder="1"/>
    <xf numFmtId="0" fontId="137" fillId="29" borderId="126" xfId="0" applyFont="1" applyFill="1" applyBorder="1"/>
    <xf numFmtId="10" fontId="137" fillId="29" borderId="126" xfId="0" applyNumberFormat="1" applyFont="1" applyFill="1" applyBorder="1"/>
    <xf numFmtId="4" fontId="136" fillId="29" borderId="126" xfId="0" applyNumberFormat="1" applyFont="1" applyFill="1" applyBorder="1"/>
    <xf numFmtId="43" fontId="137" fillId="29" borderId="126" xfId="301" applyFont="1" applyFill="1" applyBorder="1"/>
    <xf numFmtId="43" fontId="162" fillId="29" borderId="126" xfId="301" applyFont="1" applyFill="1" applyBorder="1"/>
    <xf numFmtId="0" fontId="203" fillId="31" borderId="1" xfId="0" applyFont="1" applyFill="1" applyBorder="1"/>
    <xf numFmtId="0" fontId="185" fillId="0" borderId="1" xfId="0" applyFont="1" applyFill="1" applyBorder="1"/>
    <xf numFmtId="0" fontId="203" fillId="0" borderId="1" xfId="0" applyFont="1" applyFill="1" applyBorder="1"/>
    <xf numFmtId="2" fontId="48" fillId="0" borderId="126" xfId="0" applyNumberFormat="1" applyFont="1" applyFill="1" applyBorder="1"/>
    <xf numFmtId="2" fontId="137" fillId="0" borderId="126" xfId="0" applyNumberFormat="1" applyFont="1" applyFill="1" applyBorder="1"/>
    <xf numFmtId="2" fontId="137" fillId="29" borderId="126" xfId="0" applyNumberFormat="1" applyFont="1" applyFill="1" applyBorder="1"/>
    <xf numFmtId="173" fontId="12" fillId="0" borderId="160" xfId="301" applyNumberFormat="1" applyFont="1" applyBorder="1"/>
    <xf numFmtId="173" fontId="0" fillId="48" borderId="108" xfId="301" applyNumberFormat="1" applyFont="1" applyFill="1" applyBorder="1"/>
    <xf numFmtId="165" fontId="12" fillId="0" borderId="228" xfId="302" applyNumberFormat="1" applyFont="1" applyBorder="1"/>
    <xf numFmtId="165" fontId="12" fillId="0" borderId="144" xfId="301" applyNumberFormat="1" applyFont="1" applyBorder="1"/>
    <xf numFmtId="0" fontId="12" fillId="0" borderId="144" xfId="0" applyFont="1" applyBorder="1" applyAlignment="1">
      <alignment horizontal="center"/>
    </xf>
    <xf numFmtId="1" fontId="6" fillId="0" borderId="144" xfId="0" applyNumberFormat="1" applyFont="1" applyBorder="1" applyAlignment="1">
      <alignment horizontal="center"/>
    </xf>
    <xf numFmtId="173" fontId="12" fillId="0" borderId="144" xfId="0" applyNumberFormat="1" applyFont="1" applyBorder="1" applyAlignment="1">
      <alignment horizontal="center"/>
    </xf>
    <xf numFmtId="173" fontId="6" fillId="0" borderId="144" xfId="0" applyNumberFormat="1" applyFont="1" applyBorder="1" applyAlignment="1">
      <alignment horizontal="center"/>
    </xf>
    <xf numFmtId="188" fontId="12" fillId="0" borderId="144" xfId="0" applyNumberFormat="1" applyFont="1" applyBorder="1" applyAlignment="1">
      <alignment horizontal="center"/>
    </xf>
    <xf numFmtId="0" fontId="4" fillId="0" borderId="97" xfId="0" applyFont="1" applyBorder="1" applyAlignment="1">
      <alignment horizontal="center"/>
    </xf>
    <xf numFmtId="0" fontId="0" fillId="0" borderId="0" xfId="0"/>
    <xf numFmtId="0" fontId="162" fillId="0" borderId="126" xfId="0" applyFont="1" applyFill="1" applyBorder="1"/>
    <xf numFmtId="0" fontId="136" fillId="0" borderId="126" xfId="0" applyFont="1" applyFill="1" applyBorder="1"/>
    <xf numFmtId="0" fontId="162" fillId="29" borderId="142" xfId="0" applyFont="1" applyFill="1" applyBorder="1"/>
    <xf numFmtId="0" fontId="137" fillId="0" borderId="234" xfId="0" applyFont="1" applyFill="1" applyBorder="1"/>
    <xf numFmtId="0" fontId="137" fillId="0" borderId="145" xfId="0" applyFont="1" applyBorder="1"/>
    <xf numFmtId="0" fontId="136" fillId="55" borderId="142" xfId="0" applyFont="1" applyFill="1" applyBorder="1"/>
    <xf numFmtId="0" fontId="137" fillId="55" borderId="142" xfId="0" applyFont="1" applyFill="1" applyBorder="1"/>
    <xf numFmtId="10" fontId="137" fillId="55" borderId="142" xfId="0" applyNumberFormat="1" applyFont="1" applyFill="1" applyBorder="1"/>
    <xf numFmtId="4" fontId="137" fillId="55" borderId="142" xfId="0" applyNumberFormat="1" applyFont="1" applyFill="1" applyBorder="1"/>
    <xf numFmtId="173" fontId="137" fillId="55" borderId="142" xfId="301" applyNumberFormat="1" applyFont="1" applyFill="1" applyBorder="1" applyAlignment="1">
      <alignment horizontal="center"/>
    </xf>
    <xf numFmtId="43" fontId="137" fillId="55" borderId="142" xfId="301" applyFont="1" applyFill="1" applyBorder="1"/>
    <xf numFmtId="2" fontId="137" fillId="55" borderId="142" xfId="0" applyNumberFormat="1" applyFont="1" applyFill="1" applyBorder="1"/>
    <xf numFmtId="0" fontId="0" fillId="57" borderId="1" xfId="0" applyFill="1" applyBorder="1"/>
    <xf numFmtId="170" fontId="0" fillId="57" borderId="1" xfId="0" applyNumberFormat="1" applyFill="1" applyBorder="1"/>
    <xf numFmtId="43" fontId="0" fillId="57" borderId="1" xfId="301" applyFont="1" applyFill="1" applyBorder="1"/>
    <xf numFmtId="3" fontId="0" fillId="57" borderId="1" xfId="0" applyNumberFormat="1" applyFill="1" applyBorder="1" applyAlignment="1">
      <alignment horizontal="center"/>
    </xf>
    <xf numFmtId="0" fontId="0" fillId="57" borderId="1" xfId="0" applyFill="1" applyBorder="1" applyAlignment="1">
      <alignment horizontal="center"/>
    </xf>
    <xf numFmtId="1" fontId="56" fillId="57" borderId="1" xfId="0" applyNumberFormat="1" applyFont="1" applyFill="1" applyBorder="1" applyAlignment="1">
      <alignment horizontal="center"/>
    </xf>
    <xf numFmtId="11" fontId="0" fillId="57" borderId="1" xfId="0" applyNumberFormat="1" applyFill="1" applyBorder="1"/>
    <xf numFmtId="9" fontId="1" fillId="57" borderId="1" xfId="0" applyNumberFormat="1" applyFont="1" applyFill="1" applyBorder="1"/>
    <xf numFmtId="0" fontId="197" fillId="0" borderId="96" xfId="0" applyFont="1" applyBorder="1"/>
    <xf numFmtId="0" fontId="197" fillId="0" borderId="153" xfId="0" applyFont="1" applyBorder="1" applyAlignment="1">
      <alignment horizontal="center"/>
    </xf>
    <xf numFmtId="0" fontId="197" fillId="0" borderId="97" xfId="0" applyFont="1" applyBorder="1" applyAlignment="1">
      <alignment horizontal="center"/>
    </xf>
    <xf numFmtId="0" fontId="197" fillId="0" borderId="52" xfId="0" applyFont="1" applyBorder="1"/>
    <xf numFmtId="0" fontId="197" fillId="0" borderId="53" xfId="0" applyFont="1" applyBorder="1" applyAlignment="1">
      <alignment horizontal="center"/>
    </xf>
    <xf numFmtId="0" fontId="197" fillId="0" borderId="54" xfId="0" applyFont="1" applyBorder="1" applyAlignment="1">
      <alignment horizontal="center"/>
    </xf>
    <xf numFmtId="0" fontId="201" fillId="0" borderId="96" xfId="0" applyFont="1" applyBorder="1"/>
    <xf numFmtId="43" fontId="201" fillId="0" borderId="153" xfId="0" applyNumberFormat="1" applyFont="1" applyBorder="1"/>
    <xf numFmtId="170" fontId="201" fillId="0" borderId="97" xfId="0" applyNumberFormat="1" applyFont="1" applyBorder="1" applyAlignment="1">
      <alignment horizontal="center"/>
    </xf>
    <xf numFmtId="0" fontId="201" fillId="0" borderId="35" xfId="0" applyFont="1" applyBorder="1"/>
    <xf numFmtId="43" fontId="201" fillId="0" borderId="226" xfId="0" applyNumberFormat="1" applyFont="1" applyBorder="1"/>
    <xf numFmtId="170" fontId="201" fillId="0" borderId="36" xfId="0" applyNumberFormat="1" applyFont="1" applyBorder="1" applyAlignment="1">
      <alignment horizontal="center"/>
    </xf>
    <xf numFmtId="0" fontId="201" fillId="55" borderId="38" xfId="0" applyFont="1" applyFill="1" applyBorder="1"/>
    <xf numFmtId="170" fontId="201" fillId="55" borderId="39" xfId="0" applyNumberFormat="1" applyFont="1" applyFill="1" applyBorder="1" applyAlignment="1">
      <alignment horizontal="center"/>
    </xf>
    <xf numFmtId="0" fontId="201" fillId="0" borderId="40" xfId="0" applyFont="1" applyBorder="1"/>
    <xf numFmtId="0" fontId="223" fillId="0" borderId="41" xfId="0" applyFont="1" applyBorder="1" applyAlignment="1">
      <alignment horizontal="center"/>
    </xf>
    <xf numFmtId="0" fontId="224" fillId="0" borderId="41" xfId="0" applyFont="1" applyFill="1" applyBorder="1" applyAlignment="1">
      <alignment horizontal="center"/>
    </xf>
    <xf numFmtId="0" fontId="201" fillId="0" borderId="41" xfId="0" applyFont="1" applyBorder="1" applyAlignment="1">
      <alignment horizontal="center"/>
    </xf>
    <xf numFmtId="0" fontId="224" fillId="0" borderId="42" xfId="0" applyFont="1" applyFill="1" applyBorder="1" applyAlignment="1"/>
    <xf numFmtId="0" fontId="201" fillId="0" borderId="158" xfId="0" applyFont="1" applyBorder="1"/>
    <xf numFmtId="0" fontId="225" fillId="0" borderId="87" xfId="0" applyFont="1" applyFill="1" applyBorder="1" applyAlignment="1">
      <alignment horizontal="center"/>
    </xf>
    <xf numFmtId="0" fontId="201" fillId="0" borderId="87" xfId="0" applyFont="1" applyBorder="1" applyAlignment="1">
      <alignment horizontal="center"/>
    </xf>
    <xf numFmtId="0" fontId="201" fillId="0" borderId="87" xfId="0" applyFont="1" applyBorder="1"/>
    <xf numFmtId="0" fontId="201" fillId="0" borderId="159" xfId="0" applyFont="1" applyBorder="1" applyAlignment="1"/>
    <xf numFmtId="0" fontId="201" fillId="0" borderId="33" xfId="0" applyFont="1" applyBorder="1"/>
    <xf numFmtId="39" fontId="201" fillId="0" borderId="3" xfId="301" applyNumberFormat="1" applyFont="1" applyBorder="1"/>
    <xf numFmtId="174" fontId="201" fillId="0" borderId="3" xfId="0" applyNumberFormat="1" applyFont="1" applyBorder="1"/>
    <xf numFmtId="0" fontId="201" fillId="0" borderId="3" xfId="0" applyFont="1" applyBorder="1"/>
    <xf numFmtId="0" fontId="201" fillId="0" borderId="3" xfId="0" applyFont="1" applyBorder="1" applyAlignment="1">
      <alignment horizontal="center"/>
    </xf>
    <xf numFmtId="0" fontId="201" fillId="0" borderId="34" xfId="0" applyFont="1" applyBorder="1" applyAlignment="1"/>
    <xf numFmtId="39" fontId="201" fillId="0" borderId="226" xfId="301" applyNumberFormat="1" applyFont="1" applyBorder="1"/>
    <xf numFmtId="173" fontId="201" fillId="0" borderId="226" xfId="0" applyNumberFormat="1" applyFont="1" applyBorder="1"/>
    <xf numFmtId="0" fontId="201" fillId="0" borderId="226" xfId="0" applyFont="1" applyBorder="1"/>
    <xf numFmtId="0" fontId="201" fillId="0" borderId="226" xfId="0" applyFont="1" applyBorder="1" applyAlignment="1">
      <alignment horizontal="center"/>
    </xf>
    <xf numFmtId="0" fontId="201" fillId="0" borderId="36" xfId="0" applyFont="1" applyBorder="1" applyAlignment="1"/>
    <xf numFmtId="0" fontId="223" fillId="55" borderId="37" xfId="0" applyFont="1" applyFill="1" applyBorder="1"/>
    <xf numFmtId="43" fontId="223" fillId="55" borderId="38" xfId="301" applyFont="1" applyFill="1" applyBorder="1"/>
    <xf numFmtId="0" fontId="223" fillId="55" borderId="39" xfId="0" applyFont="1" applyFill="1" applyBorder="1" applyAlignment="1"/>
    <xf numFmtId="0" fontId="201" fillId="0" borderId="96" xfId="0" applyFont="1" applyFill="1" applyBorder="1"/>
    <xf numFmtId="0" fontId="201" fillId="0" borderId="153" xfId="0" applyFont="1" applyBorder="1" applyAlignment="1">
      <alignment horizontal="center"/>
    </xf>
    <xf numFmtId="0" fontId="227" fillId="0" borderId="153" xfId="0" applyFont="1" applyFill="1" applyBorder="1" applyAlignment="1">
      <alignment horizontal="center"/>
    </xf>
    <xf numFmtId="0" fontId="227" fillId="0" borderId="97" xfId="0" applyFont="1" applyFill="1" applyBorder="1" applyAlignment="1"/>
    <xf numFmtId="0" fontId="228" fillId="0" borderId="87" xfId="0" applyFont="1" applyFill="1" applyBorder="1" applyAlignment="1">
      <alignment horizontal="center"/>
    </xf>
    <xf numFmtId="43" fontId="201" fillId="0" borderId="3" xfId="301" applyFont="1" applyBorder="1" applyAlignment="1">
      <alignment horizontal="center" vertical="top"/>
    </xf>
    <xf numFmtId="43" fontId="201" fillId="0" borderId="3" xfId="0" applyNumberFormat="1" applyFont="1" applyBorder="1"/>
    <xf numFmtId="43" fontId="201" fillId="0" borderId="3" xfId="301" applyFont="1" applyBorder="1" applyAlignment="1">
      <alignment horizontal="center"/>
    </xf>
    <xf numFmtId="43" fontId="201" fillId="0" borderId="226" xfId="301" applyFont="1" applyBorder="1" applyAlignment="1">
      <alignment horizontal="center" vertical="top"/>
    </xf>
    <xf numFmtId="43" fontId="201" fillId="0" borderId="226" xfId="301" applyFont="1" applyBorder="1" applyAlignment="1">
      <alignment horizontal="center"/>
    </xf>
    <xf numFmtId="0" fontId="201" fillId="0" borderId="153" xfId="0" applyFont="1" applyBorder="1"/>
    <xf numFmtId="0" fontId="224" fillId="0" borderId="153" xfId="0" applyFont="1" applyFill="1" applyBorder="1" applyAlignment="1">
      <alignment horizontal="center"/>
    </xf>
    <xf numFmtId="0" fontId="224" fillId="0" borderId="97" xfId="0" applyFont="1" applyFill="1" applyBorder="1" applyAlignment="1">
      <alignment horizontal="center"/>
    </xf>
    <xf numFmtId="0" fontId="201" fillId="0" borderId="35" xfId="0" applyFont="1" applyFill="1" applyBorder="1"/>
    <xf numFmtId="0" fontId="225" fillId="0" borderId="226" xfId="0" applyFont="1" applyFill="1" applyBorder="1" applyAlignment="1">
      <alignment horizontal="center"/>
    </xf>
    <xf numFmtId="0" fontId="224" fillId="0" borderId="226" xfId="0" applyFont="1" applyFill="1" applyBorder="1" applyAlignment="1">
      <alignment horizontal="center"/>
    </xf>
    <xf numFmtId="0" fontId="224" fillId="0" borderId="36" xfId="0" applyFont="1" applyFill="1" applyBorder="1" applyAlignment="1">
      <alignment horizontal="center"/>
    </xf>
    <xf numFmtId="0" fontId="224" fillId="0" borderId="158" xfId="0" applyFont="1" applyFill="1" applyBorder="1"/>
    <xf numFmtId="0" fontId="224" fillId="0" borderId="87" xfId="0" applyFont="1" applyFill="1" applyBorder="1" applyAlignment="1">
      <alignment horizontal="center"/>
    </xf>
    <xf numFmtId="0" fontId="224" fillId="0" borderId="159" xfId="0" applyFont="1" applyFill="1" applyBorder="1" applyAlignment="1">
      <alignment horizontal="center"/>
    </xf>
    <xf numFmtId="43" fontId="201" fillId="0" borderId="3" xfId="301" applyFont="1" applyBorder="1"/>
    <xf numFmtId="0" fontId="201" fillId="0" borderId="34" xfId="0" applyFont="1" applyBorder="1"/>
    <xf numFmtId="43" fontId="201" fillId="0" borderId="226" xfId="301" applyFont="1" applyBorder="1"/>
    <xf numFmtId="0" fontId="201" fillId="0" borderId="36" xfId="0" applyFont="1" applyBorder="1"/>
    <xf numFmtId="0" fontId="224" fillId="39" borderId="37" xfId="0" applyFont="1" applyFill="1" applyBorder="1"/>
    <xf numFmtId="0" fontId="201" fillId="39" borderId="38" xfId="0" applyFont="1" applyFill="1" applyBorder="1"/>
    <xf numFmtId="171" fontId="224" fillId="39" borderId="38" xfId="0" applyNumberFormat="1" applyFont="1" applyFill="1" applyBorder="1" applyAlignment="1">
      <alignment horizontal="center"/>
    </xf>
    <xf numFmtId="171" fontId="224" fillId="39" borderId="39" xfId="0" applyNumberFormat="1" applyFont="1" applyFill="1" applyBorder="1" applyAlignment="1"/>
    <xf numFmtId="43" fontId="201" fillId="0" borderId="3" xfId="0" applyNumberFormat="1" applyFont="1" applyBorder="1" applyAlignment="1">
      <alignment horizontal="center"/>
    </xf>
    <xf numFmtId="43" fontId="201" fillId="0" borderId="226" xfId="0" applyNumberFormat="1" applyFont="1" applyBorder="1" applyAlignment="1">
      <alignment horizontal="center"/>
    </xf>
    <xf numFmtId="0" fontId="6" fillId="58" borderId="1" xfId="0" applyFont="1" applyFill="1" applyBorder="1"/>
    <xf numFmtId="173" fontId="6" fillId="58" borderId="1" xfId="0" applyNumberFormat="1" applyFont="1" applyFill="1" applyBorder="1"/>
    <xf numFmtId="3" fontId="12" fillId="31" borderId="153" xfId="0" applyNumberFormat="1" applyFont="1" applyFill="1" applyBorder="1"/>
    <xf numFmtId="4" fontId="12" fillId="28" borderId="97" xfId="0" applyNumberFormat="1" applyFont="1" applyFill="1" applyBorder="1"/>
    <xf numFmtId="3" fontId="6" fillId="31" borderId="153" xfId="0" applyNumberFormat="1" applyFont="1" applyFill="1" applyBorder="1"/>
    <xf numFmtId="43" fontId="136" fillId="55" borderId="142" xfId="301" applyFont="1" applyFill="1" applyBorder="1"/>
    <xf numFmtId="43" fontId="230" fillId="55" borderId="142" xfId="301" applyFont="1" applyFill="1" applyBorder="1" applyAlignment="1">
      <alignment horizontal="center"/>
    </xf>
    <xf numFmtId="43" fontId="230" fillId="55" borderId="142" xfId="301" applyFont="1" applyFill="1" applyBorder="1"/>
    <xf numFmtId="0" fontId="136" fillId="48" borderId="238" xfId="0" applyFont="1" applyFill="1" applyBorder="1"/>
    <xf numFmtId="43" fontId="136" fillId="48" borderId="238" xfId="301" applyFont="1" applyFill="1" applyBorder="1"/>
    <xf numFmtId="0" fontId="12" fillId="54" borderId="1" xfId="0" applyFont="1" applyFill="1" applyBorder="1"/>
    <xf numFmtId="4" fontId="12" fillId="54" borderId="36" xfId="0" applyNumberFormat="1" applyFont="1" applyFill="1" applyBorder="1"/>
    <xf numFmtId="0" fontId="6" fillId="54" borderId="1" xfId="0" applyFont="1" applyFill="1" applyBorder="1" applyAlignment="1"/>
    <xf numFmtId="0" fontId="6" fillId="54" borderId="1" xfId="0" applyFont="1" applyFill="1" applyBorder="1"/>
    <xf numFmtId="173" fontId="6" fillId="54" borderId="36" xfId="301" applyNumberFormat="1" applyFont="1" applyFill="1" applyBorder="1"/>
    <xf numFmtId="0" fontId="91" fillId="0" borderId="226" xfId="0" applyFont="1" applyFill="1" applyBorder="1" applyAlignment="1"/>
    <xf numFmtId="0" fontId="6" fillId="58" borderId="1" xfId="0" applyFont="1" applyFill="1" applyBorder="1" applyAlignment="1"/>
    <xf numFmtId="0" fontId="12" fillId="58" borderId="1" xfId="0" applyFont="1" applyFill="1" applyBorder="1" applyAlignment="1"/>
    <xf numFmtId="168" fontId="6" fillId="58" borderId="36" xfId="0" applyNumberFormat="1" applyFont="1" applyFill="1" applyBorder="1"/>
    <xf numFmtId="11" fontId="22" fillId="58" borderId="38" xfId="0" applyNumberFormat="1" applyFont="1" applyFill="1" applyBorder="1"/>
    <xf numFmtId="200" fontId="91" fillId="0" borderId="36" xfId="0" applyNumberFormat="1" applyFont="1" applyFill="1" applyBorder="1"/>
    <xf numFmtId="0" fontId="58" fillId="59" borderId="1" xfId="0" applyFont="1" applyFill="1" applyBorder="1"/>
    <xf numFmtId="0" fontId="19" fillId="59" borderId="1" xfId="0" applyFont="1" applyFill="1" applyBorder="1"/>
    <xf numFmtId="168" fontId="58" fillId="59" borderId="36" xfId="0" applyNumberFormat="1" applyFont="1" applyFill="1" applyBorder="1"/>
    <xf numFmtId="173" fontId="6" fillId="60" borderId="1" xfId="0" applyNumberFormat="1" applyFont="1" applyFill="1" applyBorder="1"/>
    <xf numFmtId="173" fontId="6" fillId="60" borderId="1" xfId="301" applyNumberFormat="1" applyFont="1" applyFill="1" applyBorder="1"/>
    <xf numFmtId="0" fontId="6" fillId="61" borderId="1" xfId="0" applyFont="1" applyFill="1" applyBorder="1"/>
    <xf numFmtId="173" fontId="6" fillId="61" borderId="1" xfId="301" applyNumberFormat="1" applyFont="1" applyFill="1" applyBorder="1"/>
    <xf numFmtId="0" fontId="136" fillId="0" borderId="122" xfId="0" applyFont="1" applyBorder="1"/>
    <xf numFmtId="0" fontId="0" fillId="0" borderId="0" xfId="0"/>
    <xf numFmtId="0" fontId="137" fillId="0" borderId="244" xfId="0" applyFont="1" applyBorder="1"/>
    <xf numFmtId="0" fontId="137" fillId="0" borderId="245" xfId="0" applyFont="1" applyBorder="1"/>
    <xf numFmtId="0" fontId="137" fillId="0" borderId="246" xfId="0" applyFont="1" applyBorder="1"/>
    <xf numFmtId="0" fontId="141" fillId="0" borderId="247" xfId="0" applyFont="1" applyBorder="1"/>
    <xf numFmtId="0" fontId="137" fillId="0" borderId="247" xfId="0" applyFont="1" applyBorder="1" applyAlignment="1">
      <alignment horizontal="left" indent="4"/>
    </xf>
    <xf numFmtId="0" fontId="137" fillId="0" borderId="248" xfId="0" applyFont="1" applyBorder="1"/>
    <xf numFmtId="0" fontId="137" fillId="0" borderId="246" xfId="0" applyFont="1" applyBorder="1" applyAlignment="1">
      <alignment horizontal="left" indent="2"/>
    </xf>
    <xf numFmtId="0" fontId="137" fillId="0" borderId="247" xfId="0" applyFont="1" applyBorder="1" applyAlignment="1">
      <alignment horizontal="left" indent="2"/>
    </xf>
    <xf numFmtId="0" fontId="137" fillId="0" borderId="247" xfId="0" applyFont="1" applyBorder="1" applyAlignment="1">
      <alignment horizontal="left" indent="3"/>
    </xf>
    <xf numFmtId="0" fontId="137" fillId="0" borderId="248" xfId="0" applyFont="1" applyBorder="1" applyAlignment="1">
      <alignment horizontal="left" indent="3"/>
    </xf>
    <xf numFmtId="0" fontId="136" fillId="0" borderId="244" xfId="0" applyFont="1" applyBorder="1" applyAlignment="1"/>
    <xf numFmtId="0" fontId="137" fillId="0" borderId="247" xfId="0" applyFont="1" applyBorder="1"/>
    <xf numFmtId="0" fontId="137" fillId="0" borderId="247" xfId="0" applyFont="1" applyBorder="1" applyAlignment="1">
      <alignment horizontal="left"/>
    </xf>
    <xf numFmtId="0" fontId="141" fillId="0" borderId="249" xfId="0" applyFont="1" applyBorder="1"/>
    <xf numFmtId="0" fontId="136" fillId="0" borderId="245" xfId="0" applyFont="1" applyBorder="1"/>
    <xf numFmtId="0" fontId="137" fillId="0" borderId="18" xfId="0" applyFont="1" applyBorder="1"/>
    <xf numFmtId="0" fontId="61" fillId="0" borderId="35" xfId="0" applyFont="1" applyFill="1" applyBorder="1" applyAlignment="1"/>
    <xf numFmtId="0" fontId="61" fillId="0" borderId="35" xfId="0" applyFont="1" applyFill="1" applyBorder="1" applyAlignment="1">
      <alignment wrapText="1"/>
    </xf>
    <xf numFmtId="0" fontId="3" fillId="0" borderId="35" xfId="0" applyFont="1" applyFill="1" applyBorder="1"/>
    <xf numFmtId="0" fontId="4" fillId="0" borderId="49" xfId="0" applyFont="1" applyFill="1" applyBorder="1" applyAlignment="1">
      <alignment horizontal="center"/>
    </xf>
    <xf numFmtId="0" fontId="4" fillId="0" borderId="50" xfId="0" applyFont="1" applyFill="1" applyBorder="1" applyAlignment="1">
      <alignment horizontal="center"/>
    </xf>
    <xf numFmtId="173" fontId="1" fillId="0" borderId="1" xfId="301" applyNumberFormat="1" applyFont="1" applyFill="1" applyBorder="1" applyProtection="1">
      <protection locked="0"/>
    </xf>
    <xf numFmtId="2" fontId="1" fillId="0" borderId="1" xfId="0" applyNumberFormat="1" applyFont="1" applyFill="1" applyBorder="1"/>
    <xf numFmtId="0" fontId="22" fillId="0" borderId="23" xfId="0" applyFont="1" applyBorder="1"/>
    <xf numFmtId="0" fontId="4" fillId="0" borderId="41" xfId="0" applyFont="1" applyFill="1" applyBorder="1" applyAlignment="1">
      <alignment horizontal="center"/>
    </xf>
    <xf numFmtId="0" fontId="4" fillId="0" borderId="42" xfId="0" applyFont="1" applyFill="1" applyBorder="1" applyAlignment="1">
      <alignment horizontal="center"/>
    </xf>
    <xf numFmtId="0" fontId="3" fillId="0" borderId="33" xfId="0" applyFont="1" applyFill="1" applyBorder="1"/>
    <xf numFmtId="2" fontId="1" fillId="0" borderId="3" xfId="0" applyNumberFormat="1" applyFont="1" applyFill="1" applyBorder="1"/>
    <xf numFmtId="0" fontId="4" fillId="0" borderId="61" xfId="0" applyFont="1" applyFill="1" applyBorder="1" applyAlignment="1">
      <alignment horizontal="center"/>
    </xf>
    <xf numFmtId="0" fontId="4" fillId="0" borderId="62" xfId="0" applyFont="1" applyFill="1" applyBorder="1" applyAlignment="1">
      <alignment horizontal="center"/>
    </xf>
    <xf numFmtId="0" fontId="4" fillId="0" borderId="60" xfId="0" applyFont="1" applyFill="1" applyBorder="1"/>
    <xf numFmtId="173" fontId="1" fillId="0" borderId="1" xfId="301" applyNumberFormat="1" applyFont="1" applyFill="1" applyBorder="1"/>
    <xf numFmtId="179" fontId="1" fillId="0" borderId="1" xfId="0" applyNumberFormat="1" applyFont="1" applyFill="1" applyBorder="1"/>
    <xf numFmtId="0" fontId="1" fillId="0" borderId="22" xfId="0" applyFont="1" applyFill="1" applyBorder="1"/>
    <xf numFmtId="0" fontId="1" fillId="0" borderId="23" xfId="0" applyFont="1" applyFill="1" applyBorder="1"/>
    <xf numFmtId="179" fontId="1" fillId="0" borderId="3" xfId="0" applyNumberFormat="1" applyFont="1" applyFill="1" applyBorder="1"/>
    <xf numFmtId="173" fontId="1" fillId="0" borderId="53" xfId="301" applyNumberFormat="1" applyFont="1" applyFill="1" applyBorder="1" applyProtection="1">
      <protection locked="0"/>
    </xf>
    <xf numFmtId="0" fontId="3" fillId="0" borderId="68" xfId="0" applyFont="1" applyFill="1" applyBorder="1"/>
    <xf numFmtId="179" fontId="1" fillId="0" borderId="46" xfId="0" applyNumberFormat="1" applyFont="1" applyFill="1" applyBorder="1"/>
    <xf numFmtId="0" fontId="1" fillId="0" borderId="40" xfId="0" applyFont="1" applyFill="1" applyBorder="1"/>
    <xf numFmtId="172" fontId="1" fillId="0" borderId="36" xfId="0" applyNumberFormat="1" applyFont="1" applyBorder="1"/>
    <xf numFmtId="172" fontId="1" fillId="0" borderId="124" xfId="0" applyNumberFormat="1" applyFont="1" applyFill="1" applyBorder="1" applyAlignment="1">
      <alignment horizontal="center"/>
    </xf>
    <xf numFmtId="172" fontId="1" fillId="0" borderId="124" xfId="0" applyNumberFormat="1" applyFont="1" applyBorder="1" applyAlignment="1">
      <alignment horizontal="center"/>
    </xf>
    <xf numFmtId="172" fontId="1" fillId="0" borderId="124" xfId="301" applyNumberFormat="1" applyFont="1" applyFill="1" applyBorder="1" applyAlignment="1">
      <alignment horizontal="center"/>
    </xf>
    <xf numFmtId="172" fontId="1" fillId="0" borderId="34" xfId="0" applyNumberFormat="1" applyFont="1" applyBorder="1"/>
    <xf numFmtId="172" fontId="1" fillId="0" borderId="253" xfId="0" applyNumberFormat="1" applyFont="1" applyFill="1" applyBorder="1" applyAlignment="1">
      <alignment horizontal="center"/>
    </xf>
    <xf numFmtId="172" fontId="1" fillId="0" borderId="253" xfId="0" applyNumberFormat="1" applyFont="1" applyBorder="1" applyAlignment="1">
      <alignment horizontal="center"/>
    </xf>
    <xf numFmtId="172" fontId="1" fillId="0" borderId="253" xfId="301" applyNumberFormat="1" applyFont="1" applyFill="1" applyBorder="1" applyAlignment="1">
      <alignment horizontal="center"/>
    </xf>
    <xf numFmtId="0" fontId="22" fillId="0" borderId="62" xfId="0" applyFont="1" applyFill="1" applyBorder="1" applyAlignment="1">
      <alignment horizontal="center"/>
    </xf>
    <xf numFmtId="167" fontId="1" fillId="0" borderId="228" xfId="0" applyNumberFormat="1" applyFont="1" applyBorder="1"/>
    <xf numFmtId="168" fontId="1" fillId="0" borderId="75" xfId="301" applyNumberFormat="1" applyFont="1" applyFill="1" applyBorder="1"/>
    <xf numFmtId="173" fontId="1" fillId="0" borderId="252" xfId="301" applyNumberFormat="1" applyFont="1" applyFill="1" applyBorder="1"/>
    <xf numFmtId="173" fontId="1" fillId="0" borderId="124" xfId="301" applyNumberFormat="1" applyFont="1" applyFill="1" applyBorder="1"/>
    <xf numFmtId="168" fontId="1" fillId="0" borderId="98" xfId="0" applyNumberFormat="1" applyFont="1" applyBorder="1"/>
    <xf numFmtId="168" fontId="1" fillId="0" borderId="228" xfId="0" applyNumberFormat="1" applyFont="1" applyBorder="1"/>
    <xf numFmtId="168" fontId="1" fillId="0" borderId="124" xfId="301" applyNumberFormat="1" applyFont="1" applyFill="1" applyBorder="1" applyAlignment="1">
      <alignment horizontal="center"/>
    </xf>
    <xf numFmtId="0" fontId="3" fillId="0" borderId="251" xfId="0" applyFont="1" applyFill="1" applyBorder="1"/>
    <xf numFmtId="173" fontId="1" fillId="0" borderId="100" xfId="301" applyNumberFormat="1" applyFont="1" applyFill="1" applyBorder="1" applyProtection="1">
      <protection locked="0"/>
    </xf>
    <xf numFmtId="2" fontId="1" fillId="0" borderId="100" xfId="0" applyNumberFormat="1" applyFont="1" applyFill="1" applyBorder="1"/>
    <xf numFmtId="179" fontId="1" fillId="0" borderId="100" xfId="0" applyNumberFormat="1" applyFont="1" applyFill="1" applyBorder="1"/>
    <xf numFmtId="168" fontId="1" fillId="0" borderId="101" xfId="0" applyNumberFormat="1" applyFont="1" applyBorder="1"/>
    <xf numFmtId="173" fontId="1" fillId="0" borderId="256" xfId="301" applyNumberFormat="1" applyFont="1" applyFill="1" applyBorder="1"/>
    <xf numFmtId="168" fontId="1" fillId="0" borderId="256" xfId="301" applyNumberFormat="1" applyFont="1" applyFill="1" applyBorder="1" applyAlignment="1">
      <alignment horizontal="center"/>
    </xf>
    <xf numFmtId="173" fontId="1" fillId="0" borderId="100" xfId="301" applyNumberFormat="1" applyFont="1" applyFill="1" applyBorder="1"/>
    <xf numFmtId="167" fontId="1" fillId="0" borderId="101" xfId="0" applyNumberFormat="1" applyFont="1" applyBorder="1"/>
    <xf numFmtId="168" fontId="1" fillId="0" borderId="258" xfId="301" applyNumberFormat="1" applyFont="1" applyFill="1" applyBorder="1"/>
    <xf numFmtId="166" fontId="1" fillId="0" borderId="189" xfId="597" applyNumberFormat="1" applyFont="1" applyFill="1" applyBorder="1"/>
    <xf numFmtId="166" fontId="1" fillId="0" borderId="228" xfId="597" applyNumberFormat="1" applyFont="1" applyFill="1" applyBorder="1"/>
    <xf numFmtId="166" fontId="1" fillId="0" borderId="101" xfId="597" applyNumberFormat="1" applyFont="1" applyFill="1" applyBorder="1"/>
    <xf numFmtId="183" fontId="1" fillId="0" borderId="255" xfId="0" applyNumberFormat="1" applyFont="1" applyBorder="1"/>
    <xf numFmtId="183" fontId="1" fillId="0" borderId="75" xfId="0" applyNumberFormat="1" applyFont="1" applyBorder="1"/>
    <xf numFmtId="183" fontId="1" fillId="0" borderId="258" xfId="0" applyNumberFormat="1" applyFont="1" applyBorder="1"/>
    <xf numFmtId="43" fontId="1" fillId="0" borderId="252" xfId="0" applyNumberFormat="1" applyFont="1" applyBorder="1"/>
    <xf numFmtId="43" fontId="1" fillId="0" borderId="124" xfId="0" applyNumberFormat="1" applyFont="1" applyBorder="1"/>
    <xf numFmtId="43" fontId="1" fillId="0" borderId="256" xfId="0" applyNumberFormat="1" applyFont="1" applyBorder="1"/>
    <xf numFmtId="172" fontId="1" fillId="0" borderId="256" xfId="0" applyNumberFormat="1" applyFont="1" applyFill="1" applyBorder="1" applyAlignment="1">
      <alignment horizontal="center"/>
    </xf>
    <xf numFmtId="172" fontId="1" fillId="0" borderId="256" xfId="0" applyNumberFormat="1" applyFont="1" applyBorder="1" applyAlignment="1">
      <alignment horizontal="center"/>
    </xf>
    <xf numFmtId="172" fontId="1" fillId="0" borderId="256" xfId="301" applyNumberFormat="1" applyFont="1" applyFill="1" applyBorder="1" applyAlignment="1">
      <alignment horizontal="center"/>
    </xf>
    <xf numFmtId="171" fontId="1" fillId="0" borderId="86" xfId="0" applyNumberFormat="1" applyFont="1" applyBorder="1"/>
    <xf numFmtId="171" fontId="1" fillId="0" borderId="258" xfId="0" applyNumberFormat="1" applyFont="1" applyBorder="1"/>
    <xf numFmtId="43" fontId="1" fillId="0" borderId="124" xfId="301" applyFont="1" applyBorder="1"/>
    <xf numFmtId="43" fontId="1" fillId="0" borderId="262" xfId="301" applyFont="1" applyBorder="1"/>
    <xf numFmtId="0" fontId="1" fillId="0" borderId="86" xfId="0" applyFont="1" applyBorder="1"/>
    <xf numFmtId="0" fontId="1" fillId="0" borderId="75" xfId="0" applyFont="1" applyBorder="1"/>
    <xf numFmtId="0" fontId="1" fillId="0" borderId="258" xfId="0" applyFont="1" applyBorder="1"/>
    <xf numFmtId="171" fontId="22" fillId="0" borderId="263" xfId="0" applyNumberFormat="1" applyFont="1" applyBorder="1"/>
    <xf numFmtId="0" fontId="4" fillId="0" borderId="232" xfId="0" applyFont="1" applyFill="1" applyBorder="1" applyAlignment="1">
      <alignment horizontal="center"/>
    </xf>
    <xf numFmtId="0" fontId="4" fillId="0" borderId="250" xfId="0" applyFont="1" applyFill="1" applyBorder="1" applyAlignment="1">
      <alignment horizontal="center"/>
    </xf>
    <xf numFmtId="0" fontId="4" fillId="0" borderId="83" xfId="0" applyFont="1" applyFill="1" applyBorder="1" applyAlignment="1">
      <alignment horizontal="center"/>
    </xf>
    <xf numFmtId="166" fontId="1" fillId="0" borderId="164" xfId="597" applyNumberFormat="1" applyFont="1" applyFill="1" applyBorder="1"/>
    <xf numFmtId="0" fontId="1" fillId="0" borderId="64" xfId="0" applyFont="1" applyBorder="1"/>
    <xf numFmtId="0" fontId="1" fillId="0" borderId="65" xfId="0" applyFont="1" applyBorder="1"/>
    <xf numFmtId="0" fontId="4" fillId="0" borderId="58" xfId="0" applyFont="1" applyFill="1" applyBorder="1" applyAlignment="1">
      <alignment horizontal="center"/>
    </xf>
    <xf numFmtId="0" fontId="4" fillId="0" borderId="185" xfId="0" applyFont="1" applyFill="1" applyBorder="1" applyAlignment="1">
      <alignment horizontal="center"/>
    </xf>
    <xf numFmtId="0" fontId="4" fillId="0" borderId="261" xfId="0" applyFont="1" applyFill="1" applyBorder="1" applyAlignment="1">
      <alignment horizontal="center"/>
    </xf>
    <xf numFmtId="0" fontId="4" fillId="0" borderId="260" xfId="0" applyFont="1" applyFill="1" applyBorder="1" applyAlignment="1">
      <alignment horizontal="center"/>
    </xf>
    <xf numFmtId="167" fontId="1" fillId="0" borderId="189" xfId="301" applyNumberFormat="1" applyFont="1" applyFill="1" applyBorder="1"/>
    <xf numFmtId="167" fontId="1" fillId="0" borderId="228" xfId="301" applyNumberFormat="1" applyFont="1" applyFill="1" applyBorder="1"/>
    <xf numFmtId="0" fontId="4" fillId="0" borderId="59" xfId="0" applyFont="1" applyFill="1" applyBorder="1" applyAlignment="1">
      <alignment horizontal="center"/>
    </xf>
    <xf numFmtId="0" fontId="4" fillId="0" borderId="28" xfId="0" applyFont="1" applyFill="1" applyBorder="1"/>
    <xf numFmtId="0" fontId="4" fillId="0" borderId="29" xfId="0" applyFont="1" applyFill="1" applyBorder="1" applyAlignment="1">
      <alignment horizontal="center"/>
    </xf>
    <xf numFmtId="0" fontId="4" fillId="0" borderId="30" xfId="0" applyFont="1" applyFill="1" applyBorder="1" applyAlignment="1">
      <alignment horizontal="center"/>
    </xf>
    <xf numFmtId="43" fontId="3" fillId="0" borderId="98" xfId="0" applyNumberFormat="1" applyFont="1" applyFill="1" applyBorder="1" applyAlignment="1">
      <alignment horizontal="center"/>
    </xf>
    <xf numFmtId="43" fontId="3" fillId="0" borderId="228" xfId="0" applyNumberFormat="1" applyFont="1" applyFill="1" applyBorder="1" applyAlignment="1">
      <alignment horizontal="center"/>
    </xf>
    <xf numFmtId="173" fontId="1" fillId="0" borderId="262" xfId="301" applyNumberFormat="1" applyFont="1" applyFill="1" applyBorder="1"/>
    <xf numFmtId="0" fontId="4" fillId="0" borderId="254" xfId="0" applyFont="1" applyFill="1" applyBorder="1" applyAlignment="1">
      <alignment horizontal="center"/>
    </xf>
    <xf numFmtId="0" fontId="4" fillId="0" borderId="70" xfId="0" applyFont="1" applyFill="1" applyBorder="1" applyAlignment="1">
      <alignment horizontal="center"/>
    </xf>
    <xf numFmtId="0" fontId="4" fillId="0" borderId="71" xfId="0" applyFont="1" applyFill="1" applyBorder="1" applyAlignment="1">
      <alignment horizontal="center"/>
    </xf>
    <xf numFmtId="182" fontId="1" fillId="0" borderId="1" xfId="0" applyNumberFormat="1" applyFont="1" applyFill="1" applyBorder="1"/>
    <xf numFmtId="182" fontId="1" fillId="0" borderId="124" xfId="301" applyNumberFormat="1" applyFont="1" applyFill="1" applyBorder="1"/>
    <xf numFmtId="0" fontId="1" fillId="0" borderId="1" xfId="0" applyFont="1" applyFill="1" applyBorder="1"/>
    <xf numFmtId="0" fontId="1" fillId="0" borderId="72" xfId="0" applyFont="1" applyBorder="1"/>
    <xf numFmtId="0" fontId="22" fillId="0" borderId="41" xfId="0" applyFont="1" applyBorder="1" applyAlignment="1">
      <alignment horizontal="center"/>
    </xf>
    <xf numFmtId="0" fontId="22" fillId="0" borderId="42" xfId="0" applyFont="1" applyBorder="1" applyAlignment="1">
      <alignment horizontal="center"/>
    </xf>
    <xf numFmtId="0" fontId="1" fillId="0" borderId="153" xfId="0" applyFont="1" applyBorder="1"/>
    <xf numFmtId="0" fontId="4" fillId="0" borderId="226" xfId="0" applyFont="1" applyFill="1" applyBorder="1" applyAlignment="1">
      <alignment horizontal="center"/>
    </xf>
    <xf numFmtId="173" fontId="1" fillId="0" borderId="226" xfId="301" applyNumberFormat="1" applyFont="1" applyFill="1" applyBorder="1"/>
    <xf numFmtId="181" fontId="137" fillId="0" borderId="0" xfId="0" applyNumberFormat="1" applyFont="1" applyBorder="1"/>
    <xf numFmtId="1" fontId="136" fillId="0" borderId="0" xfId="0" applyNumberFormat="1" applyFont="1" applyFill="1" applyBorder="1" applyAlignment="1">
      <alignment horizontal="center"/>
    </xf>
    <xf numFmtId="0" fontId="172" fillId="0" borderId="91" xfId="0" applyFont="1" applyBorder="1"/>
    <xf numFmtId="0" fontId="141" fillId="0" borderId="0" xfId="0" applyFont="1" applyBorder="1"/>
    <xf numFmtId="0" fontId="136" fillId="0" borderId="264" xfId="0" applyFont="1" applyBorder="1"/>
    <xf numFmtId="0" fontId="141" fillId="0" borderId="265" xfId="0" applyFont="1" applyBorder="1"/>
    <xf numFmtId="181" fontId="137" fillId="0" borderId="32" xfId="0" applyNumberFormat="1" applyFont="1" applyBorder="1"/>
    <xf numFmtId="181" fontId="137" fillId="0" borderId="16" xfId="0" applyNumberFormat="1" applyFont="1" applyBorder="1"/>
    <xf numFmtId="181" fontId="137" fillId="0" borderId="0" xfId="0" applyNumberFormat="1" applyFont="1" applyFill="1" applyBorder="1"/>
    <xf numFmtId="0" fontId="19" fillId="0" borderId="91" xfId="0" applyFont="1" applyBorder="1"/>
    <xf numFmtId="0" fontId="19" fillId="0" borderId="0" xfId="0" applyFont="1"/>
    <xf numFmtId="0" fontId="108" fillId="0" borderId="0" xfId="0" applyFont="1" applyProtection="1">
      <protection locked="0"/>
    </xf>
    <xf numFmtId="0" fontId="148" fillId="0" borderId="0" xfId="0" applyFont="1"/>
    <xf numFmtId="0" fontId="233" fillId="0" borderId="0" xfId="0" applyFont="1"/>
    <xf numFmtId="0" fontId="108" fillId="0" borderId="0" xfId="0" applyFont="1" applyAlignment="1"/>
    <xf numFmtId="0" fontId="108" fillId="0" borderId="88" xfId="0" applyFont="1" applyBorder="1"/>
    <xf numFmtId="0" fontId="108" fillId="0" borderId="46" xfId="0" applyFont="1" applyBorder="1"/>
    <xf numFmtId="0" fontId="108" fillId="0" borderId="103" xfId="0" applyFont="1" applyBorder="1"/>
    <xf numFmtId="0" fontId="108" fillId="0" borderId="2" xfId="0" applyFont="1" applyBorder="1"/>
    <xf numFmtId="0" fontId="108" fillId="0" borderId="107" xfId="0" applyFont="1" applyBorder="1"/>
    <xf numFmtId="0" fontId="148" fillId="62" borderId="266" xfId="661" applyFont="1" applyFill="1" applyBorder="1" applyAlignment="1">
      <alignment horizontal="center"/>
    </xf>
    <xf numFmtId="0" fontId="148" fillId="62" borderId="268" xfId="661" applyFont="1" applyFill="1" applyBorder="1" applyAlignment="1">
      <alignment horizontal="center"/>
    </xf>
    <xf numFmtId="0" fontId="148" fillId="0" borderId="267" xfId="661" applyFont="1" applyFill="1" applyBorder="1" applyAlignment="1"/>
    <xf numFmtId="0" fontId="148" fillId="0" borderId="269" xfId="661" applyFont="1" applyFill="1" applyBorder="1" applyAlignment="1"/>
    <xf numFmtId="0" fontId="148" fillId="0" borderId="266" xfId="661" applyFont="1" applyFill="1" applyBorder="1" applyAlignment="1"/>
    <xf numFmtId="0" fontId="148" fillId="0" borderId="266" xfId="661" applyFont="1" applyFill="1" applyBorder="1" applyAlignment="1">
      <alignment horizontal="right"/>
    </xf>
    <xf numFmtId="0" fontId="148" fillId="0" borderId="270" xfId="661" applyFont="1" applyFill="1" applyBorder="1" applyAlignment="1"/>
    <xf numFmtId="0" fontId="148" fillId="0" borderId="271" xfId="661" applyFont="1" applyFill="1" applyBorder="1" applyAlignment="1"/>
    <xf numFmtId="0" fontId="238" fillId="0" borderId="0" xfId="661" applyNumberFormat="1" applyFont="1" applyFill="1" applyBorder="1" applyAlignment="1"/>
    <xf numFmtId="0" fontId="148" fillId="0" borderId="0" xfId="661" applyFont="1" applyFill="1" applyBorder="1" applyAlignment="1"/>
    <xf numFmtId="0" fontId="108" fillId="0" borderId="266" xfId="0" applyFont="1" applyBorder="1"/>
    <xf numFmtId="0" fontId="239" fillId="0" borderId="0" xfId="0" applyFont="1"/>
    <xf numFmtId="0" fontId="108" fillId="0" borderId="226" xfId="0" applyFont="1" applyBorder="1" applyAlignment="1">
      <alignment horizontal="center"/>
    </xf>
    <xf numFmtId="0" fontId="108" fillId="0" borderId="144" xfId="0" applyFont="1" applyBorder="1" applyAlignment="1">
      <alignment horizontal="center"/>
    </xf>
    <xf numFmtId="0" fontId="116" fillId="0" borderId="226" xfId="0" applyFont="1" applyBorder="1" applyAlignment="1">
      <alignment horizontal="center"/>
    </xf>
    <xf numFmtId="0" fontId="116" fillId="0" borderId="144" xfId="0" applyFont="1" applyBorder="1" applyAlignment="1">
      <alignment horizontal="center"/>
    </xf>
    <xf numFmtId="43" fontId="108" fillId="0" borderId="226" xfId="301" applyFont="1" applyBorder="1" applyAlignment="1">
      <alignment horizontal="center"/>
    </xf>
    <xf numFmtId="168" fontId="108" fillId="0" borderId="144" xfId="301" applyNumberFormat="1" applyFont="1" applyBorder="1" applyAlignment="1">
      <alignment horizontal="center"/>
    </xf>
    <xf numFmtId="43" fontId="236" fillId="0" borderId="100" xfId="301" applyFont="1" applyBorder="1" applyAlignment="1">
      <alignment horizontal="center"/>
    </xf>
    <xf numFmtId="168" fontId="236" fillId="0" borderId="163" xfId="301" applyNumberFormat="1" applyFont="1" applyBorder="1" applyAlignment="1">
      <alignment horizontal="center"/>
    </xf>
    <xf numFmtId="0" fontId="0" fillId="0" borderId="0" xfId="0"/>
    <xf numFmtId="0" fontId="0" fillId="0" borderId="226" xfId="0" applyBorder="1" applyAlignment="1">
      <alignment horizontal="center"/>
    </xf>
    <xf numFmtId="0" fontId="0" fillId="0" borderId="113" xfId="0" applyBorder="1"/>
    <xf numFmtId="0" fontId="0" fillId="0" borderId="112" xfId="0" applyBorder="1"/>
    <xf numFmtId="173" fontId="0" fillId="0" borderId="226" xfId="301" applyNumberFormat="1" applyFont="1" applyBorder="1"/>
    <xf numFmtId="0" fontId="0" fillId="0" borderId="144" xfId="0" applyBorder="1" applyAlignment="1">
      <alignment horizontal="center"/>
    </xf>
    <xf numFmtId="11" fontId="241" fillId="0" borderId="226" xfId="0" applyNumberFormat="1" applyFont="1" applyFill="1" applyBorder="1"/>
    <xf numFmtId="0" fontId="0" fillId="0" borderId="114" xfId="0" applyBorder="1"/>
    <xf numFmtId="0" fontId="0" fillId="0" borderId="115" xfId="0" applyBorder="1"/>
    <xf numFmtId="0" fontId="137" fillId="25" borderId="53" xfId="0" applyFont="1" applyFill="1" applyBorder="1"/>
    <xf numFmtId="0" fontId="137" fillId="0" borderId="226" xfId="0" applyFont="1" applyBorder="1" applyAlignment="1">
      <alignment horizontal="left" indent="1"/>
    </xf>
    <xf numFmtId="3" fontId="137" fillId="0" borderId="226" xfId="0" applyNumberFormat="1" applyFont="1" applyBorder="1" applyAlignment="1">
      <alignment horizontal="center"/>
    </xf>
    <xf numFmtId="0" fontId="25" fillId="34" borderId="0" xfId="569" applyFont="1" applyFill="1" applyBorder="1"/>
    <xf numFmtId="0" fontId="25" fillId="0" borderId="0" xfId="569" applyFont="1" applyFill="1" applyBorder="1"/>
    <xf numFmtId="0" fontId="22" fillId="0" borderId="0" xfId="0" applyFont="1" applyFill="1" applyBorder="1" applyAlignment="1">
      <alignment horizontal="center"/>
    </xf>
    <xf numFmtId="0" fontId="22" fillId="0" borderId="0" xfId="567" applyFont="1" applyFill="1" applyBorder="1" applyAlignment="1">
      <alignment horizontal="center" wrapText="1"/>
    </xf>
    <xf numFmtId="164" fontId="1" fillId="37" borderId="130" xfId="566" applyNumberFormat="1" applyFont="1" applyFill="1" applyBorder="1" applyProtection="1">
      <protection locked="0"/>
    </xf>
    <xf numFmtId="39" fontId="1" fillId="0" borderId="0" xfId="567" applyNumberFormat="1" applyFont="1" applyFill="1" applyBorder="1"/>
    <xf numFmtId="0" fontId="105" fillId="0" borderId="112" xfId="569" applyFont="1" applyFill="1" applyBorder="1"/>
    <xf numFmtId="0" fontId="64" fillId="0" borderId="13" xfId="0" applyFont="1" applyBorder="1"/>
    <xf numFmtId="0" fontId="0" fillId="0" borderId="32" xfId="0" applyBorder="1"/>
    <xf numFmtId="0" fontId="116" fillId="35" borderId="2" xfId="0" applyFont="1" applyFill="1" applyBorder="1"/>
    <xf numFmtId="0" fontId="116" fillId="35" borderId="226" xfId="0" applyFont="1" applyFill="1" applyBorder="1" applyAlignment="1">
      <alignment horizontal="center"/>
    </xf>
    <xf numFmtId="173" fontId="116" fillId="35" borderId="144" xfId="301" applyNumberFormat="1" applyFont="1" applyFill="1" applyBorder="1" applyAlignment="1">
      <alignment horizontal="center"/>
    </xf>
    <xf numFmtId="173" fontId="1" fillId="0" borderId="226" xfId="301" applyNumberFormat="1" applyFont="1" applyBorder="1"/>
    <xf numFmtId="173" fontId="1" fillId="0" borderId="144" xfId="301" applyNumberFormat="1" applyFont="1" applyBorder="1"/>
    <xf numFmtId="43" fontId="1" fillId="0" borderId="128" xfId="301" applyFont="1" applyBorder="1"/>
    <xf numFmtId="173" fontId="1" fillId="0" borderId="53" xfId="301" applyNumberFormat="1" applyFont="1" applyBorder="1"/>
    <xf numFmtId="173" fontId="1" fillId="0" borderId="160" xfId="301" applyNumberFormat="1" applyFont="1" applyBorder="1"/>
    <xf numFmtId="0" fontId="137" fillId="25" borderId="127" xfId="0" applyFont="1" applyFill="1" applyBorder="1"/>
    <xf numFmtId="0" fontId="137" fillId="0" borderId="186" xfId="0" applyFont="1" applyBorder="1" applyAlignment="1">
      <alignment horizontal="left" indent="1"/>
    </xf>
    <xf numFmtId="3" fontId="137" fillId="0" borderId="46" xfId="0" applyNumberFormat="1" applyFont="1" applyBorder="1" applyAlignment="1">
      <alignment horizontal="center"/>
    </xf>
    <xf numFmtId="0" fontId="137" fillId="0" borderId="46" xfId="0" applyFont="1" applyBorder="1"/>
    <xf numFmtId="0" fontId="137" fillId="0" borderId="103" xfId="0" applyFont="1" applyBorder="1"/>
    <xf numFmtId="0" fontId="137" fillId="0" borderId="182" xfId="0" applyFont="1" applyBorder="1" applyAlignment="1">
      <alignment horizontal="left" indent="1"/>
    </xf>
    <xf numFmtId="3" fontId="137" fillId="0" borderId="100" xfId="0" applyNumberFormat="1" applyFont="1" applyBorder="1" applyAlignment="1">
      <alignment horizontal="center"/>
    </xf>
    <xf numFmtId="0" fontId="137" fillId="0" borderId="100" xfId="0" applyFont="1" applyBorder="1"/>
    <xf numFmtId="0" fontId="137" fillId="0" borderId="163" xfId="0" applyFont="1" applyBorder="1"/>
    <xf numFmtId="0" fontId="137" fillId="0" borderId="174" xfId="0" applyFont="1" applyFill="1" applyBorder="1"/>
    <xf numFmtId="0" fontId="25" fillId="35" borderId="177" xfId="569" applyFont="1" applyFill="1" applyBorder="1"/>
    <xf numFmtId="0" fontId="25" fillId="35" borderId="178" xfId="569" applyFont="1" applyFill="1" applyBorder="1"/>
    <xf numFmtId="0" fontId="25" fillId="35" borderId="179" xfId="569" applyFont="1" applyFill="1" applyBorder="1"/>
    <xf numFmtId="173" fontId="105" fillId="34" borderId="3" xfId="301" applyNumberFormat="1" applyFont="1" applyFill="1" applyBorder="1" applyProtection="1">
      <protection locked="0"/>
    </xf>
    <xf numFmtId="166" fontId="105" fillId="0" borderId="3" xfId="597" applyNumberFormat="1" applyFont="1" applyFill="1" applyBorder="1"/>
    <xf numFmtId="172" fontId="104" fillId="0" borderId="46" xfId="0" applyNumberFormat="1" applyFont="1" applyBorder="1"/>
    <xf numFmtId="0" fontId="105" fillId="0" borderId="46" xfId="569" quotePrefix="1" applyFont="1" applyFill="1" applyBorder="1" applyAlignment="1">
      <alignment horizontal="center"/>
    </xf>
    <xf numFmtId="171" fontId="1" fillId="0" borderId="272" xfId="567" applyNumberFormat="1" applyFont="1" applyBorder="1"/>
    <xf numFmtId="173" fontId="105" fillId="34" borderId="226" xfId="301" applyNumberFormat="1" applyFont="1" applyFill="1" applyBorder="1" applyProtection="1">
      <protection locked="0"/>
    </xf>
    <xf numFmtId="2" fontId="104" fillId="0" borderId="226" xfId="569" applyNumberFormat="1" applyFont="1" applyFill="1" applyBorder="1"/>
    <xf numFmtId="166" fontId="105" fillId="0" borderId="226" xfId="597" applyNumberFormat="1" applyFont="1" applyFill="1" applyBorder="1"/>
    <xf numFmtId="170" fontId="104" fillId="0" borderId="226" xfId="569" applyNumberFormat="1" applyFont="1" applyFill="1" applyBorder="1"/>
    <xf numFmtId="43" fontId="1" fillId="37" borderId="130" xfId="301" applyFont="1" applyFill="1" applyBorder="1" applyProtection="1">
      <protection locked="0"/>
    </xf>
    <xf numFmtId="172" fontId="104" fillId="0" borderId="226" xfId="0" applyNumberFormat="1" applyFont="1" applyBorder="1"/>
    <xf numFmtId="0" fontId="105" fillId="0" borderId="226" xfId="569" quotePrefix="1" applyFont="1" applyFill="1" applyBorder="1" applyAlignment="1">
      <alignment horizontal="center"/>
    </xf>
    <xf numFmtId="170" fontId="1" fillId="0" borderId="226" xfId="567" applyNumberFormat="1" applyFont="1" applyBorder="1"/>
    <xf numFmtId="171" fontId="1" fillId="0" borderId="131" xfId="567" applyNumberFormat="1" applyFont="1" applyBorder="1"/>
    <xf numFmtId="2" fontId="105" fillId="0" borderId="226" xfId="0" applyNumberFormat="1" applyFont="1" applyFill="1" applyBorder="1"/>
    <xf numFmtId="192" fontId="1" fillId="37" borderId="226" xfId="566" applyNumberFormat="1" applyFont="1" applyFill="1" applyBorder="1" applyProtection="1">
      <protection locked="0"/>
    </xf>
    <xf numFmtId="164" fontId="1" fillId="37" borderId="226" xfId="566" applyNumberFormat="1" applyFont="1" applyFill="1" applyBorder="1" applyProtection="1">
      <protection locked="0"/>
    </xf>
    <xf numFmtId="39" fontId="1" fillId="0" borderId="135" xfId="567" applyNumberFormat="1" applyFont="1" applyBorder="1"/>
    <xf numFmtId="170" fontId="103" fillId="25" borderId="131" xfId="569" applyNumberFormat="1" applyFont="1" applyFill="1" applyBorder="1"/>
    <xf numFmtId="0" fontId="0" fillId="0" borderId="139" xfId="0" applyFill="1" applyBorder="1"/>
    <xf numFmtId="0" fontId="64" fillId="0" borderId="88" xfId="0" applyFont="1" applyBorder="1"/>
    <xf numFmtId="0" fontId="137" fillId="0" borderId="46" xfId="0" applyFont="1" applyFill="1" applyBorder="1"/>
    <xf numFmtId="0" fontId="148" fillId="34" borderId="2" xfId="569" applyFont="1" applyFill="1" applyBorder="1"/>
    <xf numFmtId="0" fontId="25" fillId="34" borderId="226" xfId="569" applyFont="1" applyFill="1" applyBorder="1"/>
    <xf numFmtId="0" fontId="59" fillId="34" borderId="226" xfId="569" applyFont="1" applyFill="1" applyBorder="1"/>
    <xf numFmtId="0" fontId="0" fillId="0" borderId="226" xfId="0" applyFill="1" applyBorder="1"/>
    <xf numFmtId="0" fontId="61" fillId="0" borderId="2" xfId="569" applyFont="1" applyFill="1" applyBorder="1"/>
    <xf numFmtId="0" fontId="25" fillId="0" borderId="226" xfId="569" applyFont="1" applyFill="1" applyBorder="1"/>
    <xf numFmtId="0" fontId="61" fillId="0" borderId="226" xfId="569" applyFont="1" applyFill="1" applyBorder="1"/>
    <xf numFmtId="0" fontId="25" fillId="35" borderId="226" xfId="569" applyFont="1" applyFill="1" applyBorder="1"/>
    <xf numFmtId="0" fontId="66" fillId="35" borderId="226" xfId="569" applyFont="1" applyFill="1" applyBorder="1" applyAlignment="1">
      <alignment horizontal="center"/>
    </xf>
    <xf numFmtId="0" fontId="0" fillId="35" borderId="226" xfId="0" applyFill="1" applyBorder="1"/>
    <xf numFmtId="0" fontId="66" fillId="35" borderId="226" xfId="569" applyFont="1" applyFill="1" applyBorder="1" applyAlignment="1">
      <alignment horizontal="left" indent="4"/>
    </xf>
    <xf numFmtId="0" fontId="105" fillId="0" borderId="2" xfId="569" applyFont="1" applyFill="1" applyBorder="1"/>
    <xf numFmtId="0" fontId="104" fillId="0" borderId="226" xfId="0" applyFont="1" applyBorder="1"/>
    <xf numFmtId="0" fontId="105" fillId="0" borderId="226" xfId="569" applyFont="1" applyBorder="1"/>
    <xf numFmtId="41" fontId="104" fillId="0" borderId="226" xfId="0" applyNumberFormat="1" applyFont="1" applyBorder="1"/>
    <xf numFmtId="0" fontId="105" fillId="0" borderId="226" xfId="569" applyFont="1" applyFill="1" applyBorder="1" applyAlignment="1">
      <alignment horizontal="center"/>
    </xf>
    <xf numFmtId="182" fontId="104" fillId="0" borderId="226" xfId="0" applyNumberFormat="1" applyFont="1" applyBorder="1"/>
    <xf numFmtId="191" fontId="1" fillId="0" borderId="226" xfId="567" applyNumberFormat="1" applyFont="1" applyBorder="1"/>
    <xf numFmtId="173" fontId="104" fillId="0" borderId="226" xfId="0" applyNumberFormat="1" applyFont="1" applyBorder="1"/>
    <xf numFmtId="2" fontId="105" fillId="0" borderId="226" xfId="569" applyNumberFormat="1" applyFont="1" applyFill="1" applyBorder="1"/>
    <xf numFmtId="0" fontId="103" fillId="0" borderId="226" xfId="0" applyFont="1" applyBorder="1"/>
    <xf numFmtId="0" fontId="105" fillId="0" borderId="2" xfId="569" applyFont="1" applyBorder="1"/>
    <xf numFmtId="0" fontId="103" fillId="0" borderId="0" xfId="0" applyFont="1" applyFill="1" applyBorder="1" applyAlignment="1">
      <alignment horizontal="center"/>
    </xf>
    <xf numFmtId="172" fontId="104" fillId="0" borderId="0" xfId="301" applyNumberFormat="1" applyFont="1" applyFill="1" applyBorder="1" applyAlignment="1">
      <alignment horizontal="center"/>
    </xf>
    <xf numFmtId="43" fontId="103" fillId="0" borderId="0" xfId="0" applyNumberFormat="1" applyFont="1" applyBorder="1"/>
    <xf numFmtId="0" fontId="0" fillId="30" borderId="0" xfId="0" applyFill="1" applyBorder="1"/>
    <xf numFmtId="173" fontId="150" fillId="30" borderId="0" xfId="301" applyNumberFormat="1" applyFont="1" applyFill="1" applyBorder="1"/>
    <xf numFmtId="0" fontId="150" fillId="30" borderId="0" xfId="0" applyFont="1" applyFill="1" applyBorder="1" applyAlignment="1">
      <alignment horizontal="center"/>
    </xf>
    <xf numFmtId="0" fontId="249" fillId="0" borderId="226" xfId="0" applyFont="1" applyBorder="1" applyAlignment="1">
      <alignment horizontal="center"/>
    </xf>
    <xf numFmtId="0" fontId="240" fillId="0" borderId="226" xfId="0" applyFont="1" applyBorder="1" applyAlignment="1">
      <alignment horizontal="center"/>
    </xf>
    <xf numFmtId="0" fontId="246" fillId="0" borderId="2" xfId="0" applyFont="1" applyBorder="1" applyAlignment="1">
      <alignment horizontal="center"/>
    </xf>
    <xf numFmtId="0" fontId="247" fillId="63" borderId="144" xfId="0" applyFont="1" applyFill="1" applyBorder="1" applyAlignment="1">
      <alignment horizontal="center"/>
    </xf>
    <xf numFmtId="0" fontId="0" fillId="0" borderId="2" xfId="0" applyBorder="1" applyAlignment="1">
      <alignment horizontal="center"/>
    </xf>
    <xf numFmtId="0" fontId="247" fillId="0" borderId="144" xfId="0" applyFont="1" applyBorder="1" applyAlignment="1">
      <alignment horizontal="center"/>
    </xf>
    <xf numFmtId="0" fontId="0" fillId="0" borderId="2" xfId="0" applyFont="1" applyBorder="1"/>
    <xf numFmtId="2" fontId="0" fillId="0" borderId="144" xfId="0" applyNumberFormat="1" applyBorder="1" applyAlignment="1">
      <alignment horizontal="center"/>
    </xf>
    <xf numFmtId="0" fontId="241" fillId="0" borderId="2" xfId="0" applyFont="1" applyFill="1" applyBorder="1"/>
    <xf numFmtId="2" fontId="241" fillId="0" borderId="144" xfId="0" applyNumberFormat="1" applyFont="1" applyFill="1" applyBorder="1"/>
    <xf numFmtId="0" fontId="0" fillId="55" borderId="2" xfId="0" applyFill="1" applyBorder="1"/>
    <xf numFmtId="2" fontId="247" fillId="55" borderId="144" xfId="0" applyNumberFormat="1" applyFont="1" applyFill="1" applyBorder="1" applyAlignment="1">
      <alignment horizontal="center"/>
    </xf>
    <xf numFmtId="202" fontId="0" fillId="0" borderId="226" xfId="0" applyNumberFormat="1" applyBorder="1"/>
    <xf numFmtId="202" fontId="0" fillId="55" borderId="226" xfId="0" applyNumberFormat="1" applyFill="1" applyBorder="1"/>
    <xf numFmtId="0" fontId="0" fillId="55" borderId="2" xfId="0" applyFill="1" applyBorder="1" applyAlignment="1">
      <alignment horizontal="center"/>
    </xf>
    <xf numFmtId="173" fontId="0" fillId="55" borderId="226" xfId="301" applyNumberFormat="1" applyFont="1" applyFill="1" applyBorder="1"/>
    <xf numFmtId="0" fontId="0" fillId="0" borderId="2" xfId="0" applyBorder="1" applyAlignment="1">
      <alignment wrapText="1"/>
    </xf>
    <xf numFmtId="173" fontId="0" fillId="0" borderId="226" xfId="301" applyNumberFormat="1" applyFont="1" applyBorder="1" applyAlignment="1">
      <alignment wrapText="1"/>
    </xf>
    <xf numFmtId="173" fontId="240" fillId="0" borderId="226" xfId="301" applyNumberFormat="1" applyFont="1" applyBorder="1" applyAlignment="1">
      <alignment wrapText="1"/>
    </xf>
    <xf numFmtId="0" fontId="0" fillId="0" borderId="107" xfId="0" applyFill="1" applyBorder="1" applyAlignment="1">
      <alignment horizontal="center"/>
    </xf>
    <xf numFmtId="43" fontId="0" fillId="0" borderId="100" xfId="301" applyFont="1" applyFill="1" applyBorder="1"/>
    <xf numFmtId="0" fontId="0" fillId="0" borderId="163" xfId="0" applyFill="1" applyBorder="1" applyAlignment="1">
      <alignment horizontal="center"/>
    </xf>
    <xf numFmtId="0" fontId="1" fillId="25" borderId="144" xfId="0" applyFont="1" applyFill="1" applyBorder="1" applyAlignment="1">
      <alignment horizontal="center"/>
    </xf>
    <xf numFmtId="0" fontId="0" fillId="0" borderId="216" xfId="0" applyBorder="1"/>
    <xf numFmtId="0" fontId="0" fillId="0" borderId="48" xfId="0" applyBorder="1"/>
    <xf numFmtId="173" fontId="0" fillId="25" borderId="226" xfId="301" applyNumberFormat="1" applyFont="1" applyFill="1" applyBorder="1"/>
    <xf numFmtId="0" fontId="64" fillId="0" borderId="109" xfId="0" applyFont="1" applyBorder="1"/>
    <xf numFmtId="173" fontId="86" fillId="30" borderId="110" xfId="301" applyNumberFormat="1" applyFont="1" applyFill="1" applyBorder="1" applyProtection="1"/>
    <xf numFmtId="0" fontId="24" fillId="0" borderId="110" xfId="570" applyFont="1" applyFill="1" applyBorder="1" applyAlignment="1">
      <alignment horizontal="center"/>
    </xf>
    <xf numFmtId="0" fontId="68" fillId="0" borderId="110" xfId="570" applyFont="1" applyFill="1" applyBorder="1"/>
    <xf numFmtId="166" fontId="68" fillId="0" borderId="110" xfId="597" applyNumberFormat="1" applyFont="1" applyFill="1" applyBorder="1"/>
    <xf numFmtId="0" fontId="25" fillId="0" borderId="110" xfId="570" quotePrefix="1" applyFont="1" applyFill="1" applyBorder="1" applyAlignment="1">
      <alignment horizontal="center"/>
    </xf>
    <xf numFmtId="173" fontId="68" fillId="0" borderId="110" xfId="301" applyNumberFormat="1" applyFont="1" applyFill="1" applyBorder="1"/>
    <xf numFmtId="170" fontId="13" fillId="0" borderId="110" xfId="570" applyNumberFormat="1" applyFont="1" applyFill="1" applyBorder="1"/>
    <xf numFmtId="0" fontId="24" fillId="0" borderId="110" xfId="570" applyFont="1" applyFill="1" applyBorder="1"/>
    <xf numFmtId="0" fontId="0" fillId="0" borderId="110" xfId="0" applyBorder="1"/>
    <xf numFmtId="0" fontId="0" fillId="0" borderId="110" xfId="0" applyFill="1" applyBorder="1"/>
    <xf numFmtId="0" fontId="0" fillId="0" borderId="111" xfId="0" applyBorder="1"/>
    <xf numFmtId="201" fontId="1" fillId="37" borderId="226" xfId="566" applyNumberFormat="1" applyFont="1" applyFill="1" applyBorder="1" applyProtection="1">
      <protection locked="0"/>
    </xf>
    <xf numFmtId="41" fontId="160" fillId="0" borderId="226" xfId="0" applyNumberFormat="1" applyFont="1" applyBorder="1"/>
    <xf numFmtId="43" fontId="1" fillId="0" borderId="53" xfId="301" applyFont="1" applyBorder="1"/>
    <xf numFmtId="164" fontId="1" fillId="37" borderId="53" xfId="566" applyNumberFormat="1" applyFont="1" applyFill="1" applyBorder="1" applyProtection="1">
      <protection locked="0"/>
    </xf>
    <xf numFmtId="183" fontId="104" fillId="0" borderId="53" xfId="0" applyNumberFormat="1" applyFont="1" applyBorder="1"/>
    <xf numFmtId="183" fontId="105" fillId="0" borderId="53" xfId="569" quotePrefix="1" applyNumberFormat="1" applyFont="1" applyFill="1" applyBorder="1" applyAlignment="1">
      <alignment horizontal="center"/>
    </xf>
    <xf numFmtId="0" fontId="0" fillId="0" borderId="237" xfId="0" applyBorder="1"/>
    <xf numFmtId="0" fontId="104" fillId="0" borderId="3" xfId="0" applyFont="1" applyBorder="1"/>
    <xf numFmtId="0" fontId="22" fillId="0" borderId="105" xfId="567" applyFont="1" applyBorder="1" applyAlignment="1">
      <alignment horizontal="center" wrapText="1"/>
    </xf>
    <xf numFmtId="0" fontId="105" fillId="0" borderId="105" xfId="569" quotePrefix="1" applyFont="1" applyFill="1" applyBorder="1" applyAlignment="1">
      <alignment horizontal="center"/>
    </xf>
    <xf numFmtId="164" fontId="1" fillId="0" borderId="105" xfId="566" applyNumberFormat="1" applyFont="1" applyFill="1" applyBorder="1" applyProtection="1">
      <protection locked="0"/>
    </xf>
    <xf numFmtId="191" fontId="1" fillId="0" borderId="105" xfId="567" applyNumberFormat="1" applyFont="1" applyBorder="1"/>
    <xf numFmtId="0" fontId="0" fillId="0" borderId="229" xfId="0" applyFill="1" applyBorder="1"/>
    <xf numFmtId="0" fontId="104" fillId="0" borderId="229" xfId="0" applyFont="1" applyFill="1" applyBorder="1"/>
    <xf numFmtId="0" fontId="22" fillId="0" borderId="229" xfId="567" applyFont="1" applyFill="1" applyBorder="1" applyAlignment="1">
      <alignment horizontal="center" wrapText="1"/>
    </xf>
    <xf numFmtId="0" fontId="104" fillId="0" borderId="127" xfId="0" applyFont="1" applyFill="1" applyBorder="1"/>
    <xf numFmtId="0" fontId="104" fillId="0" borderId="190" xfId="0" applyFont="1" applyFill="1" applyBorder="1"/>
    <xf numFmtId="0" fontId="61" fillId="0" borderId="276" xfId="569" applyFont="1" applyFill="1" applyBorder="1"/>
    <xf numFmtId="0" fontId="25" fillId="0" borderId="53" xfId="569" applyFont="1" applyFill="1" applyBorder="1"/>
    <xf numFmtId="0" fontId="61" fillId="0" borderId="53" xfId="569" applyFont="1" applyFill="1" applyBorder="1"/>
    <xf numFmtId="0" fontId="105" fillId="0" borderId="114" xfId="569" applyFont="1" applyFill="1" applyBorder="1"/>
    <xf numFmtId="0" fontId="106" fillId="0" borderId="46" xfId="569" applyFont="1" applyFill="1" applyBorder="1" applyAlignment="1">
      <alignment horizontal="center"/>
    </xf>
    <xf numFmtId="41" fontId="104" fillId="0" borderId="100" xfId="0" applyNumberFormat="1" applyFont="1" applyBorder="1"/>
    <xf numFmtId="0" fontId="105" fillId="0" borderId="100" xfId="569" applyFont="1" applyBorder="1"/>
    <xf numFmtId="164" fontId="1" fillId="0" borderId="100" xfId="566" applyNumberFormat="1" applyFont="1" applyFill="1" applyBorder="1" applyProtection="1">
      <protection locked="0"/>
    </xf>
    <xf numFmtId="0" fontId="22" fillId="55" borderId="100" xfId="567" applyFont="1" applyFill="1" applyBorder="1" applyAlignment="1">
      <alignment horizontal="center" wrapText="1"/>
    </xf>
    <xf numFmtId="0" fontId="105" fillId="55" borderId="100" xfId="569" quotePrefix="1" applyFont="1" applyFill="1" applyBorder="1" applyAlignment="1">
      <alignment horizontal="center"/>
    </xf>
    <xf numFmtId="170" fontId="1" fillId="55" borderId="100" xfId="567" applyNumberFormat="1" applyFont="1" applyFill="1" applyBorder="1"/>
    <xf numFmtId="179" fontId="241" fillId="55" borderId="163" xfId="567" applyNumberFormat="1" applyFont="1" applyFill="1" applyBorder="1"/>
    <xf numFmtId="0" fontId="105" fillId="0" borderId="278" xfId="569" applyFont="1" applyFill="1" applyBorder="1"/>
    <xf numFmtId="0" fontId="105" fillId="0" borderId="194" xfId="569" applyFont="1" applyFill="1" applyBorder="1"/>
    <xf numFmtId="0" fontId="104" fillId="0" borderId="277" xfId="0" applyFont="1" applyBorder="1" applyAlignment="1"/>
    <xf numFmtId="173" fontId="160" fillId="0" borderId="3" xfId="0" applyNumberFormat="1" applyFont="1" applyBorder="1" applyAlignment="1"/>
    <xf numFmtId="0" fontId="22" fillId="0" borderId="3" xfId="567" applyFont="1" applyBorder="1" applyAlignment="1">
      <alignment horizontal="center" wrapText="1"/>
    </xf>
    <xf numFmtId="192" fontId="1" fillId="37" borderId="3" xfId="566" applyNumberFormat="1" applyFont="1" applyFill="1" applyBorder="1" applyProtection="1">
      <protection locked="0"/>
    </xf>
    <xf numFmtId="201" fontId="1" fillId="37" borderId="3" xfId="566" applyNumberFormat="1" applyFont="1" applyFill="1" applyBorder="1" applyProtection="1">
      <protection locked="0"/>
    </xf>
    <xf numFmtId="172" fontId="104" fillId="0" borderId="3" xfId="0" applyNumberFormat="1" applyFont="1" applyBorder="1"/>
    <xf numFmtId="0" fontId="105" fillId="0" borderId="3" xfId="569" quotePrefix="1" applyFont="1" applyFill="1" applyBorder="1" applyAlignment="1">
      <alignment horizontal="center"/>
    </xf>
    <xf numFmtId="170" fontId="1" fillId="0" borderId="3" xfId="567" applyNumberFormat="1" applyFont="1" applyBorder="1"/>
    <xf numFmtId="0" fontId="106" fillId="0" borderId="194" xfId="569" applyFont="1" applyFill="1" applyBorder="1"/>
    <xf numFmtId="0" fontId="106" fillId="0" borderId="100" xfId="569" applyFont="1" applyFill="1" applyBorder="1" applyAlignment="1">
      <alignment horizontal="center"/>
    </xf>
    <xf numFmtId="0" fontId="105" fillId="0" borderId="100" xfId="569" applyFont="1" applyFill="1" applyBorder="1"/>
    <xf numFmtId="0" fontId="22" fillId="0" borderId="100" xfId="567" applyFont="1" applyBorder="1" applyAlignment="1">
      <alignment horizontal="center" wrapText="1"/>
    </xf>
    <xf numFmtId="0" fontId="104" fillId="0" borderId="100" xfId="0" applyFont="1" applyBorder="1"/>
    <xf numFmtId="0" fontId="22" fillId="0" borderId="163" xfId="567" applyFont="1" applyBorder="1" applyAlignment="1">
      <alignment horizontal="center" wrapText="1"/>
    </xf>
    <xf numFmtId="0" fontId="66" fillId="0" borderId="53" xfId="569" applyFont="1" applyFill="1" applyBorder="1" applyAlignment="1">
      <alignment horizontal="center"/>
    </xf>
    <xf numFmtId="164" fontId="1" fillId="37" borderId="3" xfId="566" applyNumberFormat="1" applyFont="1" applyFill="1" applyBorder="1" applyProtection="1">
      <protection locked="0"/>
    </xf>
    <xf numFmtId="183" fontId="104" fillId="0" borderId="3" xfId="0" applyNumberFormat="1" applyFont="1" applyBorder="1"/>
    <xf numFmtId="183" fontId="105" fillId="0" borderId="3" xfId="569" quotePrefix="1" applyNumberFormat="1" applyFont="1" applyFill="1" applyBorder="1" applyAlignment="1">
      <alignment horizontal="center"/>
    </xf>
    <xf numFmtId="43" fontId="1" fillId="0" borderId="3" xfId="301" applyFont="1" applyBorder="1"/>
    <xf numFmtId="0" fontId="0" fillId="0" borderId="91" xfId="0" applyBorder="1" applyAlignment="1"/>
    <xf numFmtId="0" fontId="22" fillId="0" borderId="280" xfId="567" applyFont="1" applyBorder="1" applyAlignment="1">
      <alignment horizontal="center" wrapText="1"/>
    </xf>
    <xf numFmtId="191" fontId="241" fillId="55" borderId="274" xfId="567" applyNumberFormat="1" applyFont="1" applyFill="1" applyBorder="1"/>
    <xf numFmtId="0" fontId="148" fillId="49" borderId="112" xfId="569" applyFont="1" applyFill="1" applyBorder="1"/>
    <xf numFmtId="0" fontId="25" fillId="49" borderId="226" xfId="569" applyFont="1" applyFill="1" applyBorder="1"/>
    <xf numFmtId="0" fontId="59" fillId="49" borderId="226" xfId="569" applyFont="1" applyFill="1" applyBorder="1"/>
    <xf numFmtId="0" fontId="104" fillId="49" borderId="226" xfId="0" applyFont="1" applyFill="1" applyBorder="1"/>
    <xf numFmtId="0" fontId="104" fillId="49" borderId="113" xfId="0" applyFont="1" applyFill="1" applyBorder="1"/>
    <xf numFmtId="168" fontId="108" fillId="0" borderId="226" xfId="301" applyNumberFormat="1" applyFont="1" applyBorder="1" applyAlignment="1">
      <alignment horizontal="right"/>
    </xf>
    <xf numFmtId="168" fontId="236" fillId="0" borderId="100" xfId="301" applyNumberFormat="1" applyFont="1" applyBorder="1" applyAlignment="1">
      <alignment horizontal="right"/>
    </xf>
    <xf numFmtId="173" fontId="203" fillId="0" borderId="226" xfId="301" applyNumberFormat="1" applyFont="1" applyBorder="1"/>
    <xf numFmtId="0" fontId="203" fillId="0" borderId="0" xfId="0" applyFont="1" applyBorder="1"/>
    <xf numFmtId="173" fontId="203" fillId="0" borderId="144" xfId="301" applyNumberFormat="1" applyFont="1" applyBorder="1"/>
    <xf numFmtId="0" fontId="22" fillId="55" borderId="257" xfId="0" applyFont="1" applyFill="1" applyBorder="1"/>
    <xf numFmtId="183" fontId="22" fillId="55" borderId="24" xfId="0" applyNumberFormat="1" applyFont="1" applyFill="1" applyBorder="1"/>
    <xf numFmtId="168" fontId="22" fillId="55" borderId="257" xfId="0" applyNumberFormat="1" applyFont="1" applyFill="1" applyBorder="1"/>
    <xf numFmtId="0" fontId="4" fillId="55" borderId="257" xfId="0" applyFont="1" applyFill="1" applyBorder="1" applyAlignment="1">
      <alignment horizontal="center"/>
    </xf>
    <xf numFmtId="168" fontId="22" fillId="55" borderId="24" xfId="0" applyNumberFormat="1" applyFont="1" applyFill="1" applyBorder="1"/>
    <xf numFmtId="0" fontId="22" fillId="55" borderId="257" xfId="0" applyFont="1" applyFill="1" applyBorder="1" applyAlignment="1">
      <alignment horizontal="center"/>
    </xf>
    <xf numFmtId="43" fontId="22" fillId="55" borderId="257" xfId="0" applyNumberFormat="1" applyFont="1" applyFill="1" applyBorder="1"/>
    <xf numFmtId="0" fontId="4" fillId="55" borderId="259" xfId="0" applyFont="1" applyFill="1" applyBorder="1" applyAlignment="1">
      <alignment horizontal="center"/>
    </xf>
    <xf numFmtId="171" fontId="22" fillId="55" borderId="224" xfId="0" applyNumberFormat="1" applyFont="1" applyFill="1" applyBorder="1"/>
    <xf numFmtId="0" fontId="4" fillId="55" borderId="56" xfId="0" applyFont="1" applyFill="1" applyBorder="1" applyAlignment="1">
      <alignment horizontal="center"/>
    </xf>
    <xf numFmtId="171" fontId="22" fillId="55" borderId="118" xfId="0" applyNumberFormat="1" applyFont="1" applyFill="1" applyBorder="1"/>
    <xf numFmtId="0" fontId="4" fillId="55" borderId="254" xfId="0" applyFont="1" applyFill="1" applyBorder="1" applyAlignment="1">
      <alignment horizontal="center"/>
    </xf>
    <xf numFmtId="0" fontId="22" fillId="55" borderId="263" xfId="0" applyFont="1" applyFill="1" applyBorder="1"/>
    <xf numFmtId="0" fontId="3" fillId="0" borderId="281" xfId="0" applyFont="1" applyFill="1" applyBorder="1"/>
    <xf numFmtId="182" fontId="1" fillId="0" borderId="3" xfId="0" applyNumberFormat="1" applyFont="1" applyFill="1" applyBorder="1"/>
    <xf numFmtId="182" fontId="1" fillId="0" borderId="253" xfId="301" applyNumberFormat="1" applyFont="1" applyFill="1" applyBorder="1"/>
    <xf numFmtId="171" fontId="1" fillId="0" borderId="255" xfId="0" applyNumberFormat="1" applyFont="1" applyBorder="1"/>
    <xf numFmtId="0" fontId="4" fillId="0" borderId="283" xfId="0" applyFont="1" applyFill="1" applyBorder="1"/>
    <xf numFmtId="0" fontId="4" fillId="0" borderId="100" xfId="0" applyFont="1" applyFill="1" applyBorder="1" applyAlignment="1">
      <alignment horizontal="center"/>
    </xf>
    <xf numFmtId="0" fontId="61" fillId="0" borderId="33" xfId="0" applyFont="1" applyFill="1" applyBorder="1"/>
    <xf numFmtId="9" fontId="25" fillId="0" borderId="3" xfId="597" applyFont="1" applyFill="1" applyBorder="1" applyAlignment="1">
      <alignment horizontal="center"/>
    </xf>
    <xf numFmtId="2" fontId="25" fillId="0" borderId="3" xfId="0" applyNumberFormat="1" applyFont="1" applyFill="1" applyBorder="1" applyAlignment="1">
      <alignment horizontal="center"/>
    </xf>
    <xf numFmtId="166" fontId="25" fillId="0" borderId="3" xfId="597" applyNumberFormat="1" applyFont="1" applyFill="1" applyBorder="1" applyAlignment="1">
      <alignment horizontal="center"/>
    </xf>
    <xf numFmtId="0" fontId="231" fillId="55" borderId="60" xfId="0" applyFont="1" applyFill="1" applyBorder="1"/>
    <xf numFmtId="0" fontId="66" fillId="55" borderId="78" xfId="0" applyFont="1" applyFill="1" applyBorder="1"/>
    <xf numFmtId="168" fontId="66" fillId="55" borderId="79" xfId="0" applyNumberFormat="1" applyFont="1" applyFill="1" applyBorder="1"/>
    <xf numFmtId="0" fontId="4" fillId="55" borderId="1" xfId="0" applyFont="1" applyFill="1" applyBorder="1" applyAlignment="1">
      <alignment horizontal="center"/>
    </xf>
    <xf numFmtId="0" fontId="1" fillId="55" borderId="77" xfId="0" applyFont="1" applyFill="1" applyBorder="1"/>
    <xf numFmtId="179" fontId="61" fillId="0" borderId="3" xfId="0" applyNumberFormat="1" applyFont="1" applyFill="1" applyBorder="1" applyAlignment="1">
      <alignment horizontal="center"/>
    </xf>
    <xf numFmtId="173" fontId="25" fillId="0" borderId="3" xfId="301" applyNumberFormat="1" applyFont="1" applyFill="1" applyBorder="1"/>
    <xf numFmtId="0" fontId="4" fillId="55" borderId="60" xfId="0" applyFont="1" applyFill="1" applyBorder="1"/>
    <xf numFmtId="0" fontId="4" fillId="55" borderId="14" xfId="0" applyFont="1" applyFill="1" applyBorder="1" applyAlignment="1">
      <alignment horizontal="center"/>
    </xf>
    <xf numFmtId="168" fontId="22" fillId="55" borderId="75" xfId="0" applyNumberFormat="1" applyFont="1" applyFill="1" applyBorder="1"/>
    <xf numFmtId="0" fontId="1" fillId="0" borderId="104" xfId="0" applyFont="1" applyBorder="1"/>
    <xf numFmtId="0" fontId="1" fillId="0" borderId="162" xfId="0" applyFont="1" applyBorder="1"/>
    <xf numFmtId="173" fontId="1" fillId="0" borderId="61" xfId="301" applyNumberFormat="1" applyFont="1" applyBorder="1"/>
    <xf numFmtId="173" fontId="1" fillId="0" borderId="188" xfId="301" applyNumberFormat="1" applyFont="1" applyBorder="1"/>
    <xf numFmtId="0" fontId="105" fillId="0" borderId="216" xfId="569" applyFont="1" applyFill="1" applyBorder="1"/>
    <xf numFmtId="0" fontId="160" fillId="0" borderId="216" xfId="569" applyFont="1" applyFill="1" applyBorder="1"/>
    <xf numFmtId="173" fontId="104" fillId="0" borderId="46" xfId="0" applyNumberFormat="1" applyFont="1" applyBorder="1"/>
    <xf numFmtId="0" fontId="104" fillId="0" borderId="46" xfId="0" applyFont="1" applyBorder="1"/>
    <xf numFmtId="173" fontId="105" fillId="34" borderId="46" xfId="301" applyNumberFormat="1" applyFont="1" applyFill="1" applyBorder="1" applyProtection="1">
      <protection locked="0"/>
    </xf>
    <xf numFmtId="0" fontId="105" fillId="0" borderId="46" xfId="569" applyFont="1" applyFill="1" applyBorder="1" applyAlignment="1">
      <alignment horizontal="center"/>
    </xf>
    <xf numFmtId="2" fontId="105" fillId="0" borderId="46" xfId="569" applyNumberFormat="1" applyFont="1" applyFill="1" applyBorder="1"/>
    <xf numFmtId="166" fontId="105" fillId="0" borderId="46" xfId="597" applyNumberFormat="1" applyFont="1" applyFill="1" applyBorder="1"/>
    <xf numFmtId="173" fontId="105" fillId="0" borderId="46" xfId="301" applyNumberFormat="1" applyFont="1" applyFill="1" applyBorder="1"/>
    <xf numFmtId="170" fontId="104" fillId="0" borderId="46" xfId="569" applyNumberFormat="1" applyFont="1" applyFill="1" applyBorder="1"/>
    <xf numFmtId="164" fontId="1" fillId="37" borderId="46" xfId="566" applyNumberFormat="1" applyFont="1" applyFill="1" applyBorder="1" applyAlignment="1" applyProtection="1">
      <alignment horizontal="right"/>
      <protection locked="0"/>
    </xf>
    <xf numFmtId="182" fontId="104" fillId="0" borderId="46" xfId="0" applyNumberFormat="1" applyFont="1" applyBorder="1"/>
    <xf numFmtId="191" fontId="1" fillId="0" borderId="46" xfId="567" applyNumberFormat="1" applyFont="1" applyBorder="1"/>
    <xf numFmtId="191" fontId="1" fillId="0" borderId="272" xfId="567" applyNumberFormat="1" applyFont="1" applyBorder="1"/>
    <xf numFmtId="164" fontId="1" fillId="37" borderId="226" xfId="566" applyNumberFormat="1" applyFont="1" applyFill="1" applyBorder="1" applyAlignment="1" applyProtection="1">
      <alignment horizontal="right"/>
      <protection locked="0"/>
    </xf>
    <xf numFmtId="191" fontId="1" fillId="0" borderId="131" xfId="567" applyNumberFormat="1" applyFont="1" applyBorder="1"/>
    <xf numFmtId="173" fontId="105" fillId="0" borderId="226" xfId="301" applyNumberFormat="1" applyFont="1" applyFill="1" applyBorder="1" applyProtection="1">
      <protection locked="0"/>
    </xf>
    <xf numFmtId="0" fontId="105" fillId="0" borderId="226" xfId="569" applyFont="1" applyFill="1" applyBorder="1" applyProtection="1">
      <protection locked="0"/>
    </xf>
    <xf numFmtId="166" fontId="105" fillId="0" borderId="226" xfId="597" applyNumberFormat="1" applyFont="1" applyFill="1" applyBorder="1" applyProtection="1">
      <protection locked="0"/>
    </xf>
    <xf numFmtId="0" fontId="105" fillId="0" borderId="98" xfId="569" quotePrefix="1" applyFont="1" applyFill="1" applyBorder="1" applyAlignment="1">
      <alignment horizontal="center"/>
    </xf>
    <xf numFmtId="0" fontId="105" fillId="0" borderId="228" xfId="569" quotePrefix="1" applyFont="1" applyFill="1" applyBorder="1" applyAlignment="1">
      <alignment horizontal="center"/>
    </xf>
    <xf numFmtId="173" fontId="105" fillId="0" borderId="284" xfId="301" applyNumberFormat="1" applyFont="1" applyFill="1" applyBorder="1"/>
    <xf numFmtId="170" fontId="104" fillId="0" borderId="272" xfId="569" applyNumberFormat="1" applyFont="1" applyFill="1" applyBorder="1"/>
    <xf numFmtId="0" fontId="105" fillId="0" borderId="85" xfId="569" applyFont="1" applyFill="1" applyBorder="1"/>
    <xf numFmtId="0" fontId="105" fillId="0" borderId="227" xfId="569" applyFont="1" applyFill="1" applyBorder="1"/>
    <xf numFmtId="43" fontId="1" fillId="37" borderId="284" xfId="301" applyFont="1" applyFill="1" applyBorder="1" applyProtection="1">
      <protection locked="0"/>
    </xf>
    <xf numFmtId="0" fontId="104" fillId="0" borderId="130" xfId="0" applyFont="1" applyBorder="1"/>
    <xf numFmtId="170" fontId="1" fillId="0" borderId="131" xfId="567" applyNumberFormat="1" applyFont="1" applyBorder="1"/>
    <xf numFmtId="0" fontId="105" fillId="0" borderId="130" xfId="569" applyFont="1" applyBorder="1"/>
    <xf numFmtId="191" fontId="1" fillId="0" borderId="85" xfId="567" applyNumberFormat="1" applyFont="1" applyFill="1" applyBorder="1"/>
    <xf numFmtId="0" fontId="104" fillId="0" borderId="227" xfId="0" applyFont="1" applyFill="1" applyBorder="1"/>
    <xf numFmtId="164" fontId="1" fillId="37" borderId="284" xfId="566" applyNumberFormat="1" applyFont="1" applyFill="1" applyBorder="1" applyProtection="1">
      <protection locked="0"/>
    </xf>
    <xf numFmtId="0" fontId="104" fillId="55" borderId="32" xfId="0" applyFont="1" applyFill="1" applyBorder="1"/>
    <xf numFmtId="0" fontId="105" fillId="55" borderId="32" xfId="569" applyFont="1" applyFill="1" applyBorder="1"/>
    <xf numFmtId="0" fontId="105" fillId="55" borderId="16" xfId="569" applyFont="1" applyFill="1" applyBorder="1"/>
    <xf numFmtId="0" fontId="22" fillId="55" borderId="16" xfId="567" applyFont="1" applyFill="1" applyBorder="1" applyAlignment="1">
      <alignment horizontal="center" wrapText="1"/>
    </xf>
    <xf numFmtId="0" fontId="105" fillId="55" borderId="285" xfId="569" applyFont="1" applyFill="1" applyBorder="1"/>
    <xf numFmtId="0" fontId="106" fillId="55" borderId="58" xfId="569" applyFont="1" applyFill="1" applyBorder="1" applyAlignment="1">
      <alignment horizontal="center"/>
    </xf>
    <xf numFmtId="0" fontId="104" fillId="55" borderId="58" xfId="0" applyFont="1" applyFill="1" applyBorder="1"/>
    <xf numFmtId="0" fontId="105" fillId="55" borderId="58" xfId="569" applyFont="1" applyFill="1" applyBorder="1"/>
    <xf numFmtId="0" fontId="103" fillId="55" borderId="58" xfId="569" applyFont="1" applyFill="1" applyBorder="1" applyAlignment="1">
      <alignment horizontal="center"/>
    </xf>
    <xf numFmtId="0" fontId="104" fillId="55" borderId="286" xfId="0" applyFont="1" applyFill="1" applyBorder="1"/>
    <xf numFmtId="0" fontId="106" fillId="55" borderId="287" xfId="569" applyFont="1" applyFill="1" applyBorder="1"/>
    <xf numFmtId="0" fontId="106" fillId="55" borderId="61" xfId="569" applyFont="1" applyFill="1" applyBorder="1" applyAlignment="1">
      <alignment horizontal="center"/>
    </xf>
    <xf numFmtId="0" fontId="104" fillId="55" borderId="61" xfId="0" applyFont="1" applyFill="1" applyBorder="1"/>
    <xf numFmtId="0" fontId="105" fillId="55" borderId="61" xfId="569" applyFont="1" applyFill="1" applyBorder="1"/>
    <xf numFmtId="0" fontId="22" fillId="55" borderId="61" xfId="567" applyFont="1" applyFill="1" applyBorder="1" applyAlignment="1">
      <alignment horizontal="center" wrapText="1"/>
    </xf>
    <xf numFmtId="0" fontId="22" fillId="55" borderId="288" xfId="567" applyFont="1" applyFill="1" applyBorder="1" applyAlignment="1">
      <alignment horizontal="center" wrapText="1"/>
    </xf>
    <xf numFmtId="0" fontId="105" fillId="55" borderId="185" xfId="569" applyFont="1" applyFill="1" applyBorder="1"/>
    <xf numFmtId="0" fontId="105" fillId="55" borderId="232" xfId="569" applyFont="1" applyFill="1" applyBorder="1"/>
    <xf numFmtId="0" fontId="103" fillId="55" borderId="289" xfId="569" applyFont="1" applyFill="1" applyBorder="1" applyAlignment="1">
      <alignment horizontal="center"/>
    </xf>
    <xf numFmtId="0" fontId="103" fillId="55" borderId="286" xfId="569" applyFont="1" applyFill="1" applyBorder="1" applyAlignment="1">
      <alignment horizontal="center"/>
    </xf>
    <xf numFmtId="0" fontId="106" fillId="55" borderId="290" xfId="569" applyFont="1" applyFill="1" applyBorder="1" applyAlignment="1">
      <alignment horizontal="center"/>
    </xf>
    <xf numFmtId="0" fontId="103" fillId="55" borderId="288" xfId="569" applyFont="1" applyFill="1" applyBorder="1" applyAlignment="1">
      <alignment horizontal="center"/>
    </xf>
    <xf numFmtId="0" fontId="105" fillId="55" borderId="289" xfId="569" applyFont="1" applyFill="1" applyBorder="1"/>
    <xf numFmtId="0" fontId="22" fillId="55" borderId="290" xfId="567" applyFont="1" applyFill="1" applyBorder="1" applyAlignment="1">
      <alignment horizontal="center" wrapText="1"/>
    </xf>
    <xf numFmtId="0" fontId="104" fillId="55" borderId="289" xfId="0" applyFont="1" applyFill="1" applyBorder="1"/>
    <xf numFmtId="0" fontId="137" fillId="0" borderId="58" xfId="0" applyFont="1" applyBorder="1"/>
    <xf numFmtId="0" fontId="0" fillId="0" borderId="291" xfId="0" applyBorder="1"/>
    <xf numFmtId="0" fontId="0" fillId="0" borderId="292" xfId="0" applyBorder="1"/>
    <xf numFmtId="0" fontId="0" fillId="0" borderId="293" xfId="0" applyBorder="1"/>
    <xf numFmtId="0" fontId="0" fillId="35" borderId="294" xfId="0" applyFill="1" applyBorder="1"/>
    <xf numFmtId="0" fontId="0" fillId="35" borderId="295" xfId="0" applyFill="1" applyBorder="1"/>
    <xf numFmtId="0" fontId="104" fillId="0" borderId="294" xfId="0" applyFont="1" applyBorder="1"/>
    <xf numFmtId="0" fontId="104" fillId="0" borderId="295" xfId="0" applyFont="1" applyBorder="1"/>
    <xf numFmtId="164" fontId="1" fillId="37" borderId="294" xfId="566" applyNumberFormat="1" applyFont="1" applyFill="1" applyBorder="1" applyProtection="1">
      <protection locked="0"/>
    </xf>
    <xf numFmtId="191" fontId="1" fillId="0" borderId="295" xfId="567" applyNumberFormat="1" applyFont="1" applyBorder="1"/>
    <xf numFmtId="0" fontId="104" fillId="0" borderId="297" xfId="0" applyFont="1" applyBorder="1"/>
    <xf numFmtId="0" fontId="104" fillId="0" borderId="298" xfId="0" applyFont="1" applyBorder="1"/>
    <xf numFmtId="0" fontId="104" fillId="0" borderId="299" xfId="0" applyFont="1" applyBorder="1"/>
    <xf numFmtId="0" fontId="137" fillId="0" borderId="228" xfId="0" applyFont="1" applyFill="1" applyBorder="1"/>
    <xf numFmtId="0" fontId="25" fillId="0" borderId="228" xfId="569" applyFont="1" applyFill="1" applyBorder="1"/>
    <xf numFmtId="0" fontId="0" fillId="0" borderId="227" xfId="0" applyFill="1" applyBorder="1"/>
    <xf numFmtId="0" fontId="22" fillId="0" borderId="227" xfId="567" applyFont="1" applyFill="1" applyBorder="1" applyAlignment="1">
      <alignment horizontal="center" wrapText="1"/>
    </xf>
    <xf numFmtId="0" fontId="137" fillId="0" borderId="291" xfId="0" applyFont="1" applyBorder="1"/>
    <xf numFmtId="0" fontId="137" fillId="0" borderId="292" xfId="0" applyFont="1" applyBorder="1"/>
    <xf numFmtId="0" fontId="25" fillId="35" borderId="294" xfId="569" applyFont="1" applyFill="1" applyBorder="1"/>
    <xf numFmtId="0" fontId="105" fillId="0" borderId="294" xfId="569" applyFont="1" applyBorder="1"/>
    <xf numFmtId="170" fontId="1" fillId="0" borderId="295" xfId="567" applyNumberFormat="1" applyFont="1" applyBorder="1"/>
    <xf numFmtId="171" fontId="1" fillId="0" borderId="295" xfId="567" applyNumberFormat="1" applyFont="1" applyBorder="1"/>
    <xf numFmtId="0" fontId="105" fillId="0" borderId="297" xfId="569" applyFont="1" applyBorder="1"/>
    <xf numFmtId="0" fontId="105" fillId="0" borderId="298" xfId="569" applyFont="1" applyBorder="1"/>
    <xf numFmtId="0" fontId="105" fillId="0" borderId="228" xfId="569" applyFont="1" applyBorder="1"/>
    <xf numFmtId="0" fontId="25" fillId="0" borderId="227" xfId="569" applyFont="1" applyFill="1" applyBorder="1"/>
    <xf numFmtId="0" fontId="25" fillId="34" borderId="53" xfId="569" applyFont="1" applyFill="1" applyBorder="1"/>
    <xf numFmtId="0" fontId="25" fillId="35" borderId="291" xfId="569" applyFont="1" applyFill="1" applyBorder="1"/>
    <xf numFmtId="0" fontId="25" fillId="35" borderId="292" xfId="569" applyFont="1" applyFill="1" applyBorder="1"/>
    <xf numFmtId="0" fontId="66" fillId="35" borderId="292" xfId="569" applyFont="1" applyFill="1" applyBorder="1" applyAlignment="1">
      <alignment horizontal="center"/>
    </xf>
    <xf numFmtId="0" fontId="25" fillId="35" borderId="293" xfId="569" applyFont="1" applyFill="1" applyBorder="1"/>
    <xf numFmtId="173" fontId="105" fillId="0" borderId="294" xfId="301" applyNumberFormat="1" applyFont="1" applyFill="1" applyBorder="1"/>
    <xf numFmtId="170" fontId="104" fillId="0" borderId="295" xfId="569" applyNumberFormat="1" applyFont="1" applyFill="1" applyBorder="1"/>
    <xf numFmtId="170" fontId="103" fillId="25" borderId="295" xfId="569" applyNumberFormat="1" applyFont="1" applyFill="1" applyBorder="1"/>
    <xf numFmtId="0" fontId="105" fillId="0" borderId="297" xfId="569" applyFont="1" applyFill="1" applyBorder="1"/>
    <xf numFmtId="0" fontId="105" fillId="0" borderId="298" xfId="569" quotePrefix="1" applyFont="1" applyFill="1" applyBorder="1" applyAlignment="1">
      <alignment horizontal="center"/>
    </xf>
    <xf numFmtId="0" fontId="105" fillId="0" borderId="298" xfId="569" applyFont="1" applyFill="1" applyBorder="1"/>
    <xf numFmtId="0" fontId="105" fillId="0" borderId="298" xfId="569" applyFont="1" applyFill="1" applyBorder="1" applyAlignment="1">
      <alignment horizontal="left"/>
    </xf>
    <xf numFmtId="0" fontId="0" fillId="0" borderId="300" xfId="0" applyBorder="1"/>
    <xf numFmtId="0" fontId="1" fillId="0" borderId="15" xfId="569" applyBorder="1"/>
    <xf numFmtId="0" fontId="1" fillId="0" borderId="16" xfId="569" applyBorder="1"/>
    <xf numFmtId="0" fontId="22" fillId="55" borderId="131" xfId="0" applyFont="1" applyFill="1" applyBorder="1"/>
    <xf numFmtId="0" fontId="22" fillId="55" borderId="296" xfId="0" applyFont="1" applyFill="1" applyBorder="1"/>
    <xf numFmtId="0" fontId="0" fillId="0" borderId="223" xfId="0" applyBorder="1"/>
    <xf numFmtId="0" fontId="106" fillId="55" borderId="226" xfId="569" applyFont="1" applyFill="1" applyBorder="1" applyAlignment="1">
      <alignment horizontal="center"/>
    </xf>
    <xf numFmtId="0" fontId="105" fillId="55" borderId="226" xfId="569" applyFont="1" applyFill="1" applyBorder="1"/>
    <xf numFmtId="0" fontId="103" fillId="55" borderId="226" xfId="569" applyFont="1" applyFill="1" applyBorder="1" applyAlignment="1">
      <alignment horizontal="center"/>
    </xf>
    <xf numFmtId="173" fontId="105" fillId="0" borderId="87" xfId="301" applyNumberFormat="1" applyFont="1" applyFill="1" applyBorder="1" applyProtection="1">
      <protection locked="0"/>
    </xf>
    <xf numFmtId="0" fontId="105" fillId="0" borderId="87" xfId="569" quotePrefix="1" applyFont="1" applyFill="1" applyBorder="1" applyAlignment="1">
      <alignment horizontal="center"/>
    </xf>
    <xf numFmtId="0" fontId="105" fillId="0" borderId="87" xfId="569" applyFont="1" applyFill="1" applyBorder="1" applyAlignment="1">
      <alignment horizontal="center"/>
    </xf>
    <xf numFmtId="9" fontId="105" fillId="0" borderId="87" xfId="597" applyFont="1" applyFill="1" applyBorder="1"/>
    <xf numFmtId="173" fontId="105" fillId="0" borderId="87" xfId="301" applyNumberFormat="1" applyFont="1" applyFill="1" applyBorder="1"/>
    <xf numFmtId="2" fontId="105" fillId="0" borderId="87" xfId="0" applyNumberFormat="1" applyFont="1" applyFill="1" applyBorder="1"/>
    <xf numFmtId="166" fontId="105" fillId="0" borderId="87" xfId="597" applyNumberFormat="1" applyFont="1" applyFill="1" applyBorder="1"/>
    <xf numFmtId="170" fontId="104" fillId="0" borderId="87" xfId="569" applyNumberFormat="1" applyFont="1" applyFill="1" applyBorder="1"/>
    <xf numFmtId="0" fontId="105" fillId="0" borderId="87" xfId="569" applyFont="1" applyBorder="1" applyAlignment="1">
      <alignment horizontal="center"/>
    </xf>
    <xf numFmtId="170" fontId="104" fillId="0" borderId="115" xfId="569" applyNumberFormat="1" applyFont="1" applyFill="1" applyBorder="1"/>
    <xf numFmtId="171" fontId="104" fillId="0" borderId="253" xfId="0" applyNumberFormat="1" applyFont="1" applyBorder="1" applyAlignment="1">
      <alignment horizontal="center"/>
    </xf>
    <xf numFmtId="171" fontId="0" fillId="0" borderId="282" xfId="0" applyNumberFormat="1" applyBorder="1"/>
    <xf numFmtId="171" fontId="104" fillId="0" borderId="282" xfId="301" applyNumberFormat="1" applyFont="1" applyFill="1" applyBorder="1" applyAlignment="1">
      <alignment horizontal="center"/>
    </xf>
    <xf numFmtId="171" fontId="104" fillId="55" borderId="56" xfId="0" applyNumberFormat="1" applyFont="1" applyFill="1" applyBorder="1" applyAlignment="1">
      <alignment horizontal="center"/>
    </xf>
    <xf numFmtId="171" fontId="103" fillId="55" borderId="51" xfId="0" applyNumberFormat="1" applyFont="1" applyFill="1" applyBorder="1"/>
    <xf numFmtId="171" fontId="12" fillId="55" borderId="56" xfId="0" applyNumberFormat="1" applyFont="1" applyFill="1" applyBorder="1" applyAlignment="1">
      <alignment horizontal="center"/>
    </xf>
    <xf numFmtId="171" fontId="0" fillId="55" borderId="51" xfId="0" applyNumberFormat="1" applyFill="1" applyBorder="1"/>
    <xf numFmtId="171" fontId="103" fillId="55" borderId="56" xfId="0" applyNumberFormat="1" applyFont="1" applyFill="1" applyBorder="1" applyAlignment="1">
      <alignment horizontal="center"/>
    </xf>
    <xf numFmtId="0" fontId="105" fillId="55" borderId="2" xfId="569" applyFont="1" applyFill="1" applyBorder="1"/>
    <xf numFmtId="0" fontId="104" fillId="55" borderId="226" xfId="0" applyFont="1" applyFill="1" applyBorder="1"/>
    <xf numFmtId="0" fontId="105" fillId="0" borderId="168" xfId="569" applyFont="1" applyFill="1" applyBorder="1"/>
    <xf numFmtId="41" fontId="104" fillId="0" borderId="3" xfId="0" applyNumberFormat="1" applyFont="1" applyBorder="1"/>
    <xf numFmtId="0" fontId="105" fillId="0" borderId="3" xfId="569" applyFont="1" applyFill="1" applyBorder="1" applyAlignment="1">
      <alignment horizontal="center"/>
    </xf>
    <xf numFmtId="2" fontId="105" fillId="0" borderId="3" xfId="0" applyNumberFormat="1" applyFont="1" applyFill="1" applyBorder="1"/>
    <xf numFmtId="0" fontId="106" fillId="55" borderId="107" xfId="569" applyFont="1" applyFill="1" applyBorder="1"/>
    <xf numFmtId="0" fontId="106" fillId="55" borderId="100" xfId="569" applyFont="1" applyFill="1" applyBorder="1" applyAlignment="1">
      <alignment horizontal="center"/>
    </xf>
    <xf numFmtId="0" fontId="104" fillId="55" borderId="100" xfId="0" applyFont="1" applyFill="1" applyBorder="1"/>
    <xf numFmtId="0" fontId="105" fillId="55" borderId="100" xfId="569" applyFont="1" applyFill="1" applyBorder="1"/>
    <xf numFmtId="0" fontId="103" fillId="55" borderId="294" xfId="569" applyFont="1" applyFill="1" applyBorder="1" applyAlignment="1">
      <alignment horizontal="center"/>
    </xf>
    <xf numFmtId="0" fontId="103" fillId="55" borderId="295" xfId="569" applyFont="1" applyFill="1" applyBorder="1" applyAlignment="1">
      <alignment horizontal="center"/>
    </xf>
    <xf numFmtId="0" fontId="106" fillId="55" borderId="294" xfId="569" applyFont="1" applyFill="1" applyBorder="1" applyAlignment="1">
      <alignment horizontal="center"/>
    </xf>
    <xf numFmtId="0" fontId="105" fillId="55" borderId="294" xfId="569" applyFont="1" applyFill="1" applyBorder="1"/>
    <xf numFmtId="0" fontId="104" fillId="55" borderId="295" xfId="0" applyFont="1" applyFill="1" applyBorder="1"/>
    <xf numFmtId="0" fontId="22" fillId="55" borderId="294" xfId="567" applyFont="1" applyFill="1" applyBorder="1" applyAlignment="1">
      <alignment horizontal="center" wrapText="1"/>
    </xf>
    <xf numFmtId="0" fontId="22" fillId="55" borderId="226" xfId="567" applyFont="1" applyFill="1" applyBorder="1" applyAlignment="1">
      <alignment horizontal="center" wrapText="1"/>
    </xf>
    <xf numFmtId="0" fontId="22" fillId="55" borderId="295" xfId="567" applyFont="1" applyFill="1" applyBorder="1" applyAlignment="1">
      <alignment horizontal="center" wrapText="1"/>
    </xf>
    <xf numFmtId="0" fontId="105" fillId="55" borderId="301" xfId="569" applyFont="1" applyFill="1" applyBorder="1"/>
    <xf numFmtId="0" fontId="105" fillId="55" borderId="201" xfId="569" applyFont="1" applyFill="1" applyBorder="1"/>
    <xf numFmtId="0" fontId="106" fillId="55" borderId="201" xfId="569" applyFont="1" applyFill="1" applyBorder="1" applyAlignment="1">
      <alignment horizontal="center"/>
    </xf>
    <xf numFmtId="0" fontId="105" fillId="55" borderId="201" xfId="569" quotePrefix="1" applyFont="1" applyFill="1" applyBorder="1" applyAlignment="1">
      <alignment horizontal="center"/>
    </xf>
    <xf numFmtId="0" fontId="105" fillId="55" borderId="201" xfId="569" applyFont="1" applyFill="1" applyBorder="1" applyAlignment="1">
      <alignment horizontal="left"/>
    </xf>
    <xf numFmtId="0" fontId="1" fillId="55" borderId="201" xfId="569" applyFill="1" applyBorder="1"/>
    <xf numFmtId="0" fontId="1" fillId="55" borderId="302" xfId="569" applyFill="1" applyBorder="1"/>
    <xf numFmtId="0" fontId="105" fillId="55" borderId="303" xfId="569" applyFont="1" applyFill="1" applyBorder="1"/>
    <xf numFmtId="0" fontId="106" fillId="55" borderId="49" xfId="569" applyFont="1" applyFill="1" applyBorder="1" applyAlignment="1">
      <alignment horizontal="center"/>
    </xf>
    <xf numFmtId="0" fontId="105" fillId="55" borderId="49" xfId="569" applyFont="1" applyFill="1" applyBorder="1"/>
    <xf numFmtId="0" fontId="103" fillId="55" borderId="49" xfId="569" applyFont="1" applyFill="1" applyBorder="1" applyAlignment="1">
      <alignment horizontal="center"/>
    </xf>
    <xf numFmtId="0" fontId="103" fillId="55" borderId="304" xfId="569" applyFont="1" applyFill="1" applyBorder="1" applyAlignment="1">
      <alignment horizontal="center"/>
    </xf>
    <xf numFmtId="0" fontId="243" fillId="0" borderId="278" xfId="569" applyFont="1" applyFill="1" applyBorder="1"/>
    <xf numFmtId="9" fontId="105" fillId="0" borderId="46" xfId="597" applyFont="1" applyFill="1" applyBorder="1"/>
    <xf numFmtId="2" fontId="105" fillId="0" borderId="46" xfId="0" applyNumberFormat="1" applyFont="1" applyFill="1" applyBorder="1"/>
    <xf numFmtId="0" fontId="105" fillId="0" borderId="46" xfId="569" applyFont="1" applyBorder="1" applyAlignment="1">
      <alignment horizontal="center"/>
    </xf>
    <xf numFmtId="170" fontId="103" fillId="25" borderId="279" xfId="569" applyNumberFormat="1" applyFont="1" applyFill="1" applyBorder="1"/>
    <xf numFmtId="0" fontId="103" fillId="55" borderId="305" xfId="0" applyFont="1" applyFill="1" applyBorder="1" applyAlignment="1">
      <alignment horizontal="center"/>
    </xf>
    <xf numFmtId="0" fontId="103" fillId="55" borderId="43" xfId="0" applyFont="1" applyFill="1" applyBorder="1" applyAlignment="1">
      <alignment horizontal="center"/>
    </xf>
    <xf numFmtId="0" fontId="0" fillId="55" borderId="43" xfId="0" applyFill="1" applyBorder="1"/>
    <xf numFmtId="0" fontId="103" fillId="55" borderId="250" xfId="0" applyFont="1" applyFill="1" applyBorder="1" applyAlignment="1">
      <alignment horizontal="center"/>
    </xf>
    <xf numFmtId="0" fontId="103" fillId="55" borderId="16" xfId="0" applyFont="1" applyFill="1" applyBorder="1" applyAlignment="1">
      <alignment horizontal="center"/>
    </xf>
    <xf numFmtId="0" fontId="0" fillId="55" borderId="16" xfId="0" applyFill="1" applyBorder="1"/>
    <xf numFmtId="171" fontId="104" fillId="0" borderId="253" xfId="0" applyNumberFormat="1" applyFont="1" applyFill="1" applyBorder="1" applyAlignment="1">
      <alignment horizontal="center"/>
    </xf>
    <xf numFmtId="0" fontId="0" fillId="0" borderId="273" xfId="0" applyBorder="1"/>
    <xf numFmtId="171" fontId="104" fillId="55" borderId="56" xfId="0" applyNumberFormat="1" applyFont="1" applyFill="1" applyBorder="1"/>
    <xf numFmtId="171" fontId="104" fillId="0" borderId="282" xfId="0" applyNumberFormat="1" applyFont="1" applyBorder="1" applyAlignment="1">
      <alignment horizontal="center"/>
    </xf>
    <xf numFmtId="171" fontId="104" fillId="55" borderId="51" xfId="0" applyNumberFormat="1" applyFont="1" applyFill="1" applyBorder="1" applyAlignment="1">
      <alignment horizontal="center"/>
    </xf>
    <xf numFmtId="0" fontId="104" fillId="55" borderId="305" xfId="0" applyFont="1" applyFill="1" applyBorder="1"/>
    <xf numFmtId="0" fontId="103" fillId="55" borderId="250" xfId="0" applyFont="1" applyFill="1" applyBorder="1"/>
    <xf numFmtId="0" fontId="105" fillId="0" borderId="253" xfId="569" applyFont="1" applyFill="1" applyBorder="1"/>
    <xf numFmtId="0" fontId="105" fillId="0" borderId="124" xfId="569" applyFont="1" applyFill="1" applyBorder="1"/>
    <xf numFmtId="0" fontId="105" fillId="0" borderId="124" xfId="570" applyFont="1" applyFill="1" applyBorder="1"/>
    <xf numFmtId="0" fontId="243" fillId="0" borderId="124" xfId="569" applyFont="1" applyFill="1" applyBorder="1"/>
    <xf numFmtId="0" fontId="106" fillId="55" borderId="56" xfId="570" applyFont="1" applyFill="1" applyBorder="1"/>
    <xf numFmtId="171" fontId="0" fillId="0" borderId="0" xfId="0" applyNumberFormat="1"/>
    <xf numFmtId="0" fontId="203" fillId="0" borderId="0" xfId="0" applyFont="1"/>
    <xf numFmtId="0" fontId="112" fillId="55" borderId="92" xfId="0" applyFont="1" applyFill="1" applyBorder="1"/>
    <xf numFmtId="0" fontId="109" fillId="55" borderId="90" xfId="0" applyFont="1" applyFill="1" applyBorder="1"/>
    <xf numFmtId="0" fontId="112" fillId="55" borderId="17" xfId="0" applyFont="1" applyFill="1" applyBorder="1"/>
    <xf numFmtId="0" fontId="102" fillId="37" borderId="165" xfId="0" applyFont="1" applyFill="1" applyBorder="1" applyProtection="1"/>
    <xf numFmtId="0" fontId="112" fillId="25" borderId="185" xfId="0" applyFont="1" applyFill="1" applyBorder="1" applyAlignment="1" applyProtection="1">
      <alignment horizontal="center" vertical="center" wrapText="1"/>
    </xf>
    <xf numFmtId="173" fontId="102" fillId="0" borderId="306" xfId="301" applyNumberFormat="1" applyFont="1" applyFill="1" applyBorder="1" applyAlignment="1" applyProtection="1">
      <alignment horizontal="center"/>
    </xf>
    <xf numFmtId="0" fontId="102" fillId="0" borderId="307" xfId="0" applyFont="1" applyBorder="1" applyAlignment="1" applyProtection="1">
      <alignment horizontal="center"/>
    </xf>
    <xf numFmtId="0" fontId="102" fillId="37" borderId="93" xfId="0" applyFont="1" applyFill="1" applyBorder="1" applyProtection="1"/>
    <xf numFmtId="169" fontId="163" fillId="0" borderId="308" xfId="301" applyNumberFormat="1" applyFont="1" applyBorder="1" applyAlignment="1">
      <alignment horizontal="center"/>
    </xf>
    <xf numFmtId="173" fontId="102" fillId="0" borderId="309" xfId="301" applyNumberFormat="1" applyFont="1" applyFill="1" applyBorder="1" applyAlignment="1" applyProtection="1">
      <alignment horizontal="center"/>
    </xf>
    <xf numFmtId="0" fontId="102" fillId="0" borderId="309" xfId="0" applyFont="1" applyBorder="1" applyProtection="1"/>
    <xf numFmtId="0" fontId="112" fillId="25" borderId="49" xfId="0" applyFont="1" applyFill="1" applyBorder="1" applyAlignment="1" applyProtection="1">
      <alignment horizontal="center"/>
    </xf>
    <xf numFmtId="0" fontId="164" fillId="0" borderId="310" xfId="0" applyFont="1" applyBorder="1" applyProtection="1"/>
    <xf numFmtId="0" fontId="102" fillId="0" borderId="310" xfId="0" applyFont="1" applyBorder="1" applyProtection="1"/>
    <xf numFmtId="173" fontId="163" fillId="0" borderId="306" xfId="301" applyNumberFormat="1" applyFont="1" applyFill="1" applyBorder="1" applyAlignment="1" applyProtection="1">
      <alignment horizontal="center"/>
    </xf>
    <xf numFmtId="0" fontId="102" fillId="37" borderId="65" xfId="0" applyFont="1" applyFill="1" applyBorder="1" applyProtection="1"/>
    <xf numFmtId="0" fontId="112" fillId="25" borderId="32" xfId="0" applyFont="1" applyFill="1" applyBorder="1" applyAlignment="1" applyProtection="1">
      <alignment horizontal="center" vertical="center" wrapText="1"/>
    </xf>
    <xf numFmtId="169" fontId="163" fillId="0" borderId="307" xfId="301" applyNumberFormat="1" applyFont="1" applyBorder="1" applyAlignment="1">
      <alignment horizontal="center"/>
    </xf>
    <xf numFmtId="173" fontId="102" fillId="0" borderId="307" xfId="301" applyNumberFormat="1" applyFont="1" applyFill="1" applyBorder="1" applyAlignment="1" applyProtection="1">
      <alignment horizontal="center"/>
    </xf>
    <xf numFmtId="0" fontId="164" fillId="0" borderId="310" xfId="0" applyFont="1" applyFill="1" applyBorder="1" applyProtection="1"/>
    <xf numFmtId="0" fontId="102" fillId="0" borderId="310" xfId="0" applyFont="1" applyFill="1" applyBorder="1" applyProtection="1"/>
    <xf numFmtId="0" fontId="102" fillId="0" borderId="310" xfId="0" applyFont="1" applyBorder="1" applyAlignment="1" applyProtection="1">
      <alignment horizontal="center"/>
    </xf>
    <xf numFmtId="0" fontId="102" fillId="0" borderId="61" xfId="0" applyFont="1" applyBorder="1" applyAlignment="1" applyProtection="1">
      <alignment horizontal="center"/>
    </xf>
    <xf numFmtId="0" fontId="102" fillId="0" borderId="307" xfId="0" applyFont="1" applyFill="1" applyBorder="1" applyProtection="1"/>
    <xf numFmtId="0" fontId="64" fillId="55" borderId="92" xfId="561" applyFont="1" applyFill="1" applyBorder="1"/>
    <xf numFmtId="0" fontId="121" fillId="55" borderId="65" xfId="0" applyFont="1" applyFill="1" applyBorder="1"/>
    <xf numFmtId="0" fontId="121" fillId="55" borderId="93" xfId="0" applyFont="1" applyFill="1" applyBorder="1"/>
    <xf numFmtId="0" fontId="120" fillId="55" borderId="311" xfId="572" applyFont="1" applyFill="1" applyBorder="1" applyAlignment="1">
      <alignment vertical="center"/>
    </xf>
    <xf numFmtId="0" fontId="102" fillId="55" borderId="150" xfId="0" applyFont="1" applyFill="1" applyBorder="1"/>
    <xf numFmtId="0" fontId="102" fillId="55" borderId="173" xfId="0" applyFont="1" applyFill="1" applyBorder="1"/>
    <xf numFmtId="0" fontId="0" fillId="55" borderId="150" xfId="0" applyFill="1" applyBorder="1"/>
    <xf numFmtId="0" fontId="0" fillId="55" borderId="173" xfId="0" applyFill="1" applyBorder="1"/>
    <xf numFmtId="0" fontId="110" fillId="0" borderId="109" xfId="561" applyFont="1" applyFill="1" applyBorder="1" applyAlignment="1">
      <alignment horizontal="center" wrapText="1"/>
    </xf>
    <xf numFmtId="0" fontId="110" fillId="0" borderId="110" xfId="561" applyFont="1" applyFill="1" applyBorder="1" applyAlignment="1">
      <alignment horizontal="center" wrapText="1"/>
    </xf>
    <xf numFmtId="0" fontId="112" fillId="0" borderId="110" xfId="561" applyFont="1" applyFill="1" applyBorder="1" applyAlignment="1">
      <alignment horizontal="center" wrapText="1"/>
    </xf>
    <xf numFmtId="0" fontId="109" fillId="0" borderId="110" xfId="561" applyFont="1" applyFill="1" applyBorder="1" applyAlignment="1">
      <alignment horizontal="center" wrapText="1"/>
    </xf>
    <xf numFmtId="0" fontId="102" fillId="0" borderId="110" xfId="572" applyFont="1" applyBorder="1"/>
    <xf numFmtId="0" fontId="110" fillId="0" borderId="111" xfId="561" applyFont="1" applyFill="1" applyBorder="1" applyAlignment="1">
      <alignment horizontal="center" wrapText="1"/>
    </xf>
    <xf numFmtId="0" fontId="112" fillId="0" borderId="112" xfId="561" applyFont="1" applyFill="1" applyBorder="1" applyAlignment="1">
      <alignment horizontal="center"/>
    </xf>
    <xf numFmtId="173" fontId="112" fillId="0" borderId="310" xfId="301" applyNumberFormat="1" applyFont="1" applyFill="1" applyBorder="1" applyAlignment="1" applyProtection="1">
      <protection locked="0"/>
    </xf>
    <xf numFmtId="0" fontId="112" fillId="0" borderId="310" xfId="561" applyFont="1" applyFill="1" applyBorder="1" applyAlignment="1">
      <alignment horizontal="center"/>
    </xf>
    <xf numFmtId="171" fontId="112" fillId="0" borderId="310" xfId="561" applyNumberFormat="1" applyFont="1" applyFill="1" applyBorder="1" applyAlignment="1"/>
    <xf numFmtId="1" fontId="112" fillId="0" borderId="310" xfId="597" applyNumberFormat="1" applyFont="1" applyFill="1" applyBorder="1" applyAlignment="1"/>
    <xf numFmtId="167" fontId="112" fillId="0" borderId="310" xfId="301" applyNumberFormat="1" applyFont="1" applyFill="1" applyBorder="1" applyAlignment="1"/>
    <xf numFmtId="43" fontId="112" fillId="0" borderId="310" xfId="301" applyNumberFormat="1" applyFont="1" applyFill="1" applyBorder="1" applyAlignment="1"/>
    <xf numFmtId="10" fontId="112" fillId="0" borderId="310" xfId="597" applyNumberFormat="1" applyFont="1" applyFill="1" applyBorder="1" applyAlignment="1"/>
    <xf numFmtId="0" fontId="112" fillId="0" borderId="310" xfId="561" quotePrefix="1" applyFont="1" applyFill="1" applyBorder="1" applyAlignment="1">
      <alignment horizontal="center"/>
    </xf>
    <xf numFmtId="173" fontId="112" fillId="0" borderId="310" xfId="301" applyNumberFormat="1" applyFont="1" applyFill="1" applyBorder="1" applyAlignment="1"/>
    <xf numFmtId="177" fontId="112" fillId="0" borderId="310" xfId="301" applyNumberFormat="1" applyFont="1" applyFill="1" applyBorder="1" applyAlignment="1"/>
    <xf numFmtId="0" fontId="112" fillId="0" borderId="310" xfId="561" applyNumberFormat="1" applyFont="1" applyFill="1" applyBorder="1" applyAlignment="1"/>
    <xf numFmtId="0" fontId="109" fillId="0" borderId="110" xfId="561" applyFont="1" applyFill="1" applyBorder="1"/>
    <xf numFmtId="0" fontId="110" fillId="0" borderId="110" xfId="0" applyFont="1" applyFill="1" applyBorder="1" applyAlignment="1">
      <alignment horizontal="center" wrapText="1"/>
    </xf>
    <xf numFmtId="173" fontId="112" fillId="0" borderId="310" xfId="301" applyNumberFormat="1" applyFont="1" applyFill="1" applyBorder="1" applyAlignment="1" applyProtection="1"/>
    <xf numFmtId="9" fontId="112" fillId="0" borderId="310" xfId="597" applyFont="1" applyFill="1" applyBorder="1" applyAlignment="1" applyProtection="1"/>
    <xf numFmtId="174" fontId="112" fillId="0" borderId="310" xfId="301" applyNumberFormat="1" applyFont="1" applyFill="1" applyBorder="1" applyAlignment="1"/>
    <xf numFmtId="187" fontId="112" fillId="0" borderId="310" xfId="301" applyNumberFormat="1" applyFont="1" applyFill="1" applyBorder="1" applyAlignment="1"/>
    <xf numFmtId="2" fontId="112" fillId="0" borderId="310" xfId="561" applyNumberFormat="1" applyFont="1" applyFill="1" applyBorder="1" applyAlignment="1"/>
    <xf numFmtId="170" fontId="112" fillId="0" borderId="310" xfId="561" applyNumberFormat="1" applyFont="1" applyFill="1" applyBorder="1" applyAlignment="1"/>
    <xf numFmtId="0" fontId="14" fillId="0" borderId="110" xfId="561" applyFont="1" applyFill="1" applyBorder="1" applyAlignment="1">
      <alignment horizontal="center" wrapText="1"/>
    </xf>
    <xf numFmtId="0" fontId="15" fillId="0" borderId="110" xfId="561" applyFont="1" applyFill="1" applyBorder="1"/>
    <xf numFmtId="0" fontId="14" fillId="0" borderId="110" xfId="0" applyFont="1" applyBorder="1" applyAlignment="1">
      <alignment horizontal="center" wrapText="1"/>
    </xf>
    <xf numFmtId="0" fontId="15" fillId="0" borderId="110" xfId="561" applyFont="1" applyFill="1" applyBorder="1" applyAlignment="1">
      <alignment horizontal="center" wrapText="1"/>
    </xf>
    <xf numFmtId="0" fontId="15" fillId="0" borderId="110" xfId="572" applyFont="1" applyBorder="1"/>
    <xf numFmtId="0" fontId="14" fillId="0" borderId="111" xfId="561" applyFont="1" applyFill="1" applyBorder="1" applyAlignment="1">
      <alignment horizontal="center" wrapText="1"/>
    </xf>
    <xf numFmtId="0" fontId="15" fillId="0" borderId="310" xfId="561" applyFont="1" applyFill="1" applyBorder="1" applyAlignment="1">
      <alignment horizontal="center"/>
    </xf>
    <xf numFmtId="0" fontId="15" fillId="0" borderId="310" xfId="561" applyFont="1" applyFill="1" applyBorder="1" applyAlignment="1">
      <alignment horizontal="center" vertical="top" wrapText="1"/>
    </xf>
    <xf numFmtId="0" fontId="15" fillId="0" borderId="310" xfId="561" applyFont="1" applyFill="1" applyBorder="1" applyAlignment="1">
      <alignment horizontal="center" vertical="top"/>
    </xf>
    <xf numFmtId="0" fontId="15" fillId="0" borderId="310" xfId="0" applyFont="1" applyBorder="1" applyAlignment="1">
      <alignment horizontal="center" vertical="top"/>
    </xf>
    <xf numFmtId="0" fontId="15" fillId="0" borderId="113" xfId="0" applyFont="1" applyBorder="1" applyAlignment="1">
      <alignment horizontal="center" vertical="top"/>
    </xf>
    <xf numFmtId="43" fontId="112" fillId="0" borderId="310" xfId="301" applyNumberFormat="1" applyFont="1" applyFill="1" applyBorder="1" applyAlignment="1" applyProtection="1">
      <protection locked="0"/>
    </xf>
    <xf numFmtId="9" fontId="112" fillId="0" borderId="310" xfId="597" applyFont="1" applyFill="1" applyBorder="1" applyAlignment="1"/>
    <xf numFmtId="2" fontId="112" fillId="0" borderId="310" xfId="597" applyNumberFormat="1" applyFont="1" applyFill="1" applyBorder="1" applyAlignment="1"/>
    <xf numFmtId="173" fontId="112" fillId="0" borderId="310" xfId="301" quotePrefix="1" applyNumberFormat="1" applyFont="1" applyFill="1" applyBorder="1" applyAlignment="1">
      <alignment horizontal="center"/>
    </xf>
    <xf numFmtId="9" fontId="112" fillId="0" borderId="310" xfId="597" applyFont="1" applyFill="1" applyBorder="1" applyAlignment="1" applyProtection="1">
      <protection locked="0"/>
    </xf>
    <xf numFmtId="170" fontId="112" fillId="0" borderId="310" xfId="597" applyNumberFormat="1" applyFont="1" applyFill="1" applyBorder="1" applyAlignment="1"/>
    <xf numFmtId="170" fontId="112" fillId="0" borderId="310" xfId="561" quotePrefix="1" applyNumberFormat="1" applyFont="1" applyFill="1" applyBorder="1" applyAlignment="1">
      <alignment horizontal="center"/>
    </xf>
    <xf numFmtId="170" fontId="112" fillId="0" borderId="310" xfId="561" applyNumberFormat="1" applyFont="1" applyFill="1" applyBorder="1" applyAlignment="1">
      <alignment horizontal="center"/>
    </xf>
    <xf numFmtId="0" fontId="15" fillId="0" borderId="310" xfId="561" applyFont="1" applyBorder="1"/>
    <xf numFmtId="0" fontId="15" fillId="0" borderId="310" xfId="0" applyFont="1" applyBorder="1" applyAlignment="1">
      <alignment horizontal="center"/>
    </xf>
    <xf numFmtId="0" fontId="15" fillId="0" borderId="310" xfId="572" applyFont="1" applyBorder="1"/>
    <xf numFmtId="0" fontId="15" fillId="0" borderId="113" xfId="0" applyFont="1" applyBorder="1" applyAlignment="1">
      <alignment horizontal="center"/>
    </xf>
    <xf numFmtId="43" fontId="112" fillId="0" borderId="310" xfId="0" applyNumberFormat="1" applyFont="1" applyFill="1" applyBorder="1" applyProtection="1">
      <protection locked="0"/>
    </xf>
    <xf numFmtId="1" fontId="112" fillId="0" borderId="310" xfId="561" applyNumberFormat="1" applyFont="1" applyFill="1" applyBorder="1" applyAlignment="1"/>
    <xf numFmtId="165" fontId="112" fillId="0" borderId="310" xfId="597" applyNumberFormat="1" applyFont="1" applyFill="1" applyBorder="1" applyAlignment="1"/>
    <xf numFmtId="9" fontId="112" fillId="0" borderId="310" xfId="597" applyNumberFormat="1" applyFont="1" applyFill="1" applyBorder="1" applyAlignment="1"/>
    <xf numFmtId="173" fontId="112" fillId="0" borderId="310" xfId="301" applyNumberFormat="1" applyFont="1" applyFill="1" applyBorder="1" applyAlignment="1">
      <alignment horizontal="left"/>
    </xf>
    <xf numFmtId="0" fontId="112" fillId="0" borderId="310" xfId="301" applyNumberFormat="1" applyFont="1" applyFill="1" applyBorder="1" applyAlignment="1">
      <alignment horizontal="right"/>
    </xf>
    <xf numFmtId="181" fontId="112" fillId="0" borderId="113" xfId="561" applyNumberFormat="1" applyFont="1" applyFill="1" applyBorder="1" applyAlignment="1"/>
    <xf numFmtId="182" fontId="3" fillId="0" borderId="36" xfId="301" applyNumberFormat="1" applyFont="1" applyFill="1" applyBorder="1"/>
    <xf numFmtId="182" fontId="61" fillId="0" borderId="36" xfId="301" applyNumberFormat="1" applyFont="1" applyFill="1" applyBorder="1"/>
    <xf numFmtId="0" fontId="3" fillId="0" borderId="35" xfId="0" applyFont="1" applyFill="1" applyBorder="1" applyAlignment="1">
      <alignment horizontal="left" indent="1"/>
    </xf>
    <xf numFmtId="0" fontId="4" fillId="55" borderId="96" xfId="0" applyFont="1" applyFill="1" applyBorder="1"/>
    <xf numFmtId="0" fontId="4" fillId="55" borderId="97" xfId="0" applyFont="1" applyFill="1" applyBorder="1"/>
    <xf numFmtId="0" fontId="4" fillId="55" borderId="37" xfId="0" applyFont="1" applyFill="1" applyBorder="1"/>
    <xf numFmtId="182" fontId="4" fillId="55" borderId="39" xfId="0" applyNumberFormat="1" applyFont="1" applyFill="1" applyBorder="1"/>
    <xf numFmtId="0" fontId="251" fillId="0" borderId="0" xfId="0" applyFont="1" applyAlignment="1">
      <alignment horizontal="left"/>
    </xf>
    <xf numFmtId="0" fontId="201" fillId="0" borderId="0" xfId="0" applyFont="1" applyAlignment="1"/>
    <xf numFmtId="0" fontId="252" fillId="0" borderId="0" xfId="0" applyFont="1"/>
    <xf numFmtId="0" fontId="201" fillId="0" borderId="0" xfId="0" applyFont="1"/>
    <xf numFmtId="43" fontId="143" fillId="0" borderId="0" xfId="0" applyNumberFormat="1" applyFont="1"/>
    <xf numFmtId="37" fontId="13" fillId="0" borderId="1" xfId="301" applyNumberFormat="1" applyFont="1" applyFill="1" applyBorder="1" applyAlignment="1" applyProtection="1">
      <alignment horizontal="right"/>
      <protection locked="0"/>
    </xf>
    <xf numFmtId="173" fontId="3" fillId="32" borderId="36" xfId="301" applyNumberFormat="1" applyFont="1" applyFill="1" applyBorder="1" applyAlignment="1">
      <alignment horizontal="right"/>
    </xf>
    <xf numFmtId="37" fontId="3" fillId="0" borderId="36" xfId="301" applyNumberFormat="1" applyFont="1" applyBorder="1" applyAlignment="1">
      <alignment horizontal="right"/>
    </xf>
    <xf numFmtId="173" fontId="3" fillId="0" borderId="36" xfId="301" applyNumberFormat="1" applyFont="1" applyBorder="1" applyAlignment="1">
      <alignment horizontal="right"/>
    </xf>
    <xf numFmtId="37" fontId="3" fillId="33" borderId="36" xfId="301" applyNumberFormat="1" applyFont="1" applyFill="1" applyBorder="1" applyAlignment="1">
      <alignment horizontal="right"/>
    </xf>
    <xf numFmtId="173" fontId="3" fillId="28" borderId="36" xfId="301" applyNumberFormat="1" applyFont="1" applyFill="1" applyBorder="1" applyAlignment="1">
      <alignment horizontal="right"/>
    </xf>
    <xf numFmtId="173" fontId="3" fillId="37" borderId="39" xfId="301" applyNumberFormat="1" applyFont="1" applyFill="1" applyBorder="1" applyAlignment="1">
      <alignment horizontal="right"/>
    </xf>
    <xf numFmtId="0" fontId="0" fillId="0" borderId="0" xfId="0"/>
    <xf numFmtId="0" fontId="203" fillId="0" borderId="91" xfId="0" applyFont="1" applyBorder="1"/>
    <xf numFmtId="0" fontId="3" fillId="0" borderId="33" xfId="0" applyFont="1" applyBorder="1" applyAlignment="1">
      <alignment vertical="top" wrapText="1"/>
    </xf>
    <xf numFmtId="2" fontId="3" fillId="0" borderId="3" xfId="0" applyNumberFormat="1" applyFont="1" applyBorder="1"/>
    <xf numFmtId="0" fontId="3" fillId="55" borderId="40" xfId="0" applyFont="1" applyFill="1" applyBorder="1"/>
    <xf numFmtId="0" fontId="4" fillId="55" borderId="41" xfId="0" applyFont="1" applyFill="1" applyBorder="1" applyAlignment="1">
      <alignment horizontal="center"/>
    </xf>
    <xf numFmtId="0" fontId="4" fillId="55" borderId="42" xfId="0" applyFont="1" applyFill="1" applyBorder="1" applyAlignment="1">
      <alignment horizontal="center"/>
    </xf>
    <xf numFmtId="0" fontId="3" fillId="55" borderId="60" xfId="0" applyFont="1" applyFill="1" applyBorder="1"/>
    <xf numFmtId="0" fontId="3" fillId="55" borderId="61" xfId="0" applyFont="1" applyFill="1" applyBorder="1"/>
    <xf numFmtId="0" fontId="3" fillId="55" borderId="61" xfId="0" applyFont="1" applyFill="1" applyBorder="1" applyAlignment="1">
      <alignment horizontal="center" wrapText="1"/>
    </xf>
    <xf numFmtId="0" fontId="3" fillId="55" borderId="62" xfId="0" applyFont="1" applyFill="1" applyBorder="1"/>
    <xf numFmtId="0" fontId="3" fillId="55" borderId="77" xfId="0" applyFont="1" applyFill="1" applyBorder="1"/>
    <xf numFmtId="0" fontId="3" fillId="55" borderId="49" xfId="0" applyFont="1" applyFill="1" applyBorder="1"/>
    <xf numFmtId="0" fontId="3" fillId="55" borderId="50" xfId="0" applyFont="1" applyFill="1" applyBorder="1"/>
    <xf numFmtId="173" fontId="3" fillId="55" borderId="61" xfId="301" applyNumberFormat="1" applyFont="1" applyFill="1" applyBorder="1" applyProtection="1">
      <protection locked="0"/>
    </xf>
    <xf numFmtId="173" fontId="3" fillId="55" borderId="61" xfId="301" applyNumberFormat="1" applyFont="1" applyFill="1" applyBorder="1"/>
    <xf numFmtId="173" fontId="3" fillId="55" borderId="62" xfId="301" applyNumberFormat="1" applyFont="1" applyFill="1" applyBorder="1"/>
    <xf numFmtId="0" fontId="4" fillId="55" borderId="64" xfId="563" applyFont="1" applyFill="1" applyBorder="1"/>
    <xf numFmtId="168" fontId="5" fillId="0" borderId="312" xfId="301" applyNumberFormat="1" applyFont="1" applyFill="1" applyBorder="1"/>
    <xf numFmtId="168" fontId="5" fillId="0" borderId="39" xfId="301" applyNumberFormat="1" applyFont="1" applyFill="1" applyBorder="1"/>
    <xf numFmtId="168" fontId="22" fillId="0" borderId="34" xfId="301" applyNumberFormat="1" applyFont="1" applyFill="1" applyBorder="1"/>
    <xf numFmtId="0" fontId="4" fillId="55" borderId="79" xfId="563" applyFont="1" applyFill="1" applyBorder="1"/>
    <xf numFmtId="0" fontId="3" fillId="0" borderId="68" xfId="563" applyFont="1" applyFill="1" applyBorder="1"/>
    <xf numFmtId="0" fontId="3" fillId="0" borderId="35" xfId="563" applyFont="1" applyFill="1" applyBorder="1" applyAlignment="1">
      <alignment horizontal="left" indent="1"/>
    </xf>
    <xf numFmtId="0" fontId="3" fillId="0" borderId="37" xfId="563" applyFont="1" applyFill="1" applyBorder="1"/>
    <xf numFmtId="0" fontId="137" fillId="0" borderId="66" xfId="0" applyFont="1" applyBorder="1"/>
    <xf numFmtId="0" fontId="22" fillId="48" borderId="66" xfId="0" applyFont="1" applyFill="1" applyBorder="1" applyAlignment="1">
      <alignment horizontal="center"/>
    </xf>
    <xf numFmtId="200" fontId="0" fillId="0" borderId="66" xfId="0" applyNumberFormat="1" applyBorder="1"/>
    <xf numFmtId="181" fontId="0" fillId="0" borderId="66" xfId="0" applyNumberFormat="1" applyBorder="1"/>
    <xf numFmtId="0" fontId="3" fillId="55" borderId="96" xfId="0" applyFont="1" applyFill="1" applyBorder="1"/>
    <xf numFmtId="0" fontId="4" fillId="55" borderId="153" xfId="0" applyFont="1" applyFill="1" applyBorder="1" applyAlignment="1">
      <alignment horizontal="center"/>
    </xf>
    <xf numFmtId="0" fontId="4" fillId="55" borderId="97" xfId="0" applyFont="1" applyFill="1" applyBorder="1" applyAlignment="1">
      <alignment horizontal="center"/>
    </xf>
    <xf numFmtId="0" fontId="4" fillId="55" borderId="35" xfId="0" applyFont="1" applyFill="1" applyBorder="1" applyAlignment="1">
      <alignment horizontal="left"/>
    </xf>
    <xf numFmtId="0" fontId="3" fillId="55" borderId="310" xfId="0" applyFont="1" applyFill="1" applyBorder="1"/>
    <xf numFmtId="0" fontId="3" fillId="55" borderId="310" xfId="0" applyFont="1" applyFill="1" applyBorder="1" applyAlignment="1">
      <alignment horizontal="center" wrapText="1"/>
    </xf>
    <xf numFmtId="0" fontId="253" fillId="55" borderId="310" xfId="0" applyFont="1" applyFill="1" applyBorder="1"/>
    <xf numFmtId="0" fontId="253" fillId="55" borderId="312" xfId="0" applyFont="1" applyFill="1" applyBorder="1"/>
    <xf numFmtId="0" fontId="4" fillId="0" borderId="35" xfId="0" applyFont="1" applyBorder="1" applyAlignment="1">
      <alignment horizontal="left" indent="1"/>
    </xf>
    <xf numFmtId="0" fontId="3" fillId="0" borderId="310" xfId="0" applyFont="1" applyBorder="1"/>
    <xf numFmtId="0" fontId="254" fillId="0" borderId="310" xfId="0" applyFont="1" applyBorder="1"/>
    <xf numFmtId="0" fontId="254" fillId="0" borderId="312" xfId="0" applyFont="1" applyBorder="1"/>
    <xf numFmtId="0" fontId="3" fillId="0" borderId="35" xfId="0" applyFont="1" applyBorder="1" applyAlignment="1">
      <alignment horizontal="left" vertical="top" wrapText="1" indent="2"/>
    </xf>
    <xf numFmtId="173" fontId="61" fillId="0" borderId="310" xfId="301" applyNumberFormat="1" applyFont="1" applyFill="1" applyBorder="1" applyProtection="1">
      <protection locked="0"/>
    </xf>
    <xf numFmtId="2" fontId="3" fillId="0" borderId="310" xfId="0" applyNumberFormat="1" applyFont="1" applyBorder="1"/>
    <xf numFmtId="43" fontId="61" fillId="0" borderId="310" xfId="301" applyFont="1" applyBorder="1"/>
    <xf numFmtId="167" fontId="61" fillId="0" borderId="312" xfId="301" applyNumberFormat="1" applyFont="1" applyBorder="1"/>
    <xf numFmtId="173" fontId="61" fillId="0" borderId="310" xfId="301" applyNumberFormat="1" applyFont="1" applyBorder="1"/>
    <xf numFmtId="0" fontId="3" fillId="0" borderId="35" xfId="0" applyFont="1" applyBorder="1"/>
    <xf numFmtId="0" fontId="4" fillId="0" borderId="35" xfId="0" applyFont="1" applyBorder="1" applyAlignment="1">
      <alignment horizontal="left"/>
    </xf>
    <xf numFmtId="0" fontId="3" fillId="0" borderId="35" xfId="0" applyFont="1" applyFill="1" applyBorder="1" applyAlignment="1">
      <alignment horizontal="left" vertical="top" wrapText="1" indent="1"/>
    </xf>
    <xf numFmtId="0" fontId="3" fillId="0" borderId="35" xfId="0" applyFont="1" applyBorder="1" applyAlignment="1">
      <alignment horizontal="left" vertical="top" wrapText="1" indent="1"/>
    </xf>
    <xf numFmtId="0" fontId="3" fillId="55" borderId="38" xfId="0" applyFont="1" applyFill="1" applyBorder="1"/>
    <xf numFmtId="173" fontId="231" fillId="55" borderId="38" xfId="301" applyNumberFormat="1" applyFont="1" applyFill="1" applyBorder="1"/>
    <xf numFmtId="167" fontId="231" fillId="55" borderId="39" xfId="301" applyNumberFormat="1" applyFont="1" applyFill="1" applyBorder="1"/>
    <xf numFmtId="0" fontId="3" fillId="55" borderId="13" xfId="0" applyFont="1" applyFill="1" applyBorder="1"/>
    <xf numFmtId="0" fontId="62" fillId="55" borderId="70" xfId="565" applyFont="1" applyFill="1" applyBorder="1" applyAlignment="1">
      <alignment horizontal="center"/>
    </xf>
    <xf numFmtId="0" fontId="62" fillId="55" borderId="13" xfId="0" applyFont="1" applyFill="1" applyBorder="1" applyAlignment="1">
      <alignment horizontal="center"/>
    </xf>
    <xf numFmtId="0" fontId="62" fillId="55" borderId="70" xfId="0" applyFont="1" applyFill="1" applyBorder="1"/>
    <xf numFmtId="0" fontId="62" fillId="55" borderId="32" xfId="0" applyFont="1" applyFill="1" applyBorder="1"/>
    <xf numFmtId="0" fontId="62" fillId="55" borderId="91" xfId="565" applyFont="1" applyFill="1" applyBorder="1" applyAlignment="1">
      <alignment horizontal="left"/>
    </xf>
    <xf numFmtId="0" fontId="3" fillId="55" borderId="45" xfId="0" applyFont="1" applyFill="1" applyBorder="1"/>
    <xf numFmtId="0" fontId="62" fillId="55" borderId="0" xfId="0" applyFont="1" applyFill="1" applyBorder="1" applyAlignment="1">
      <alignment horizontal="center"/>
    </xf>
    <xf numFmtId="0" fontId="62" fillId="55" borderId="45" xfId="0" applyFont="1" applyFill="1" applyBorder="1"/>
    <xf numFmtId="0" fontId="62" fillId="55" borderId="0" xfId="0" applyFont="1" applyFill="1" applyBorder="1"/>
    <xf numFmtId="0" fontId="3" fillId="55" borderId="15" xfId="0" applyFont="1" applyFill="1" applyBorder="1"/>
    <xf numFmtId="0" fontId="3" fillId="55" borderId="29" xfId="0" applyFont="1" applyFill="1" applyBorder="1"/>
    <xf numFmtId="0" fontId="3" fillId="55" borderId="16" xfId="0" applyFont="1" applyFill="1" applyBorder="1" applyAlignment="1">
      <alignment horizontal="center"/>
    </xf>
    <xf numFmtId="0" fontId="3" fillId="55" borderId="16" xfId="0" applyFont="1" applyFill="1" applyBorder="1"/>
    <xf numFmtId="0" fontId="3" fillId="0" borderId="66" xfId="0" applyFont="1" applyBorder="1"/>
    <xf numFmtId="179" fontId="3" fillId="0" borderId="66" xfId="0" applyNumberFormat="1" applyFont="1" applyBorder="1"/>
    <xf numFmtId="9" fontId="3" fillId="0" borderId="93" xfId="0" applyNumberFormat="1" applyFont="1" applyBorder="1" applyAlignment="1">
      <alignment horizontal="center"/>
    </xf>
    <xf numFmtId="177" fontId="3" fillId="0" borderId="29" xfId="301" applyNumberFormat="1" applyFont="1" applyBorder="1"/>
    <xf numFmtId="184" fontId="3" fillId="0" borderId="16" xfId="301" applyNumberFormat="1" applyFont="1" applyBorder="1"/>
    <xf numFmtId="0" fontId="3" fillId="0" borderId="92" xfId="565" applyFont="1" applyBorder="1"/>
    <xf numFmtId="43" fontId="3" fillId="0" borderId="66" xfId="565" applyNumberFormat="1" applyFont="1" applyFill="1" applyBorder="1"/>
    <xf numFmtId="186" fontId="136" fillId="37" borderId="45" xfId="301" applyNumberFormat="1" applyFont="1" applyFill="1" applyBorder="1" applyAlignment="1">
      <alignment horizontal="center"/>
    </xf>
    <xf numFmtId="186" fontId="136" fillId="0" borderId="142" xfId="301" applyNumberFormat="1" applyFont="1" applyBorder="1" applyAlignment="1">
      <alignment horizontal="center"/>
    </xf>
    <xf numFmtId="186" fontId="137" fillId="37" borderId="45" xfId="301" applyNumberFormat="1" applyFont="1" applyFill="1" applyBorder="1" applyAlignment="1">
      <alignment horizontal="center"/>
    </xf>
    <xf numFmtId="186" fontId="137" fillId="0" borderId="45" xfId="301" applyNumberFormat="1" applyFont="1" applyBorder="1" applyAlignment="1">
      <alignment horizontal="center"/>
    </xf>
    <xf numFmtId="186" fontId="137" fillId="0" borderId="45" xfId="301" applyNumberFormat="1" applyFont="1" applyFill="1" applyBorder="1" applyAlignment="1">
      <alignment horizontal="center"/>
    </xf>
    <xf numFmtId="186" fontId="136" fillId="37" borderId="142" xfId="301" applyNumberFormat="1" applyFont="1" applyFill="1" applyBorder="1" applyAlignment="1">
      <alignment horizontal="center"/>
    </xf>
    <xf numFmtId="186" fontId="104" fillId="0" borderId="45" xfId="301" applyNumberFormat="1" applyFont="1" applyBorder="1" applyAlignment="1">
      <alignment horizontal="center"/>
    </xf>
    <xf numFmtId="186" fontId="136" fillId="37" borderId="142" xfId="301" applyNumberFormat="1" applyFont="1" applyFill="1" applyBorder="1" applyAlignment="1">
      <alignment horizontal="center" wrapText="1"/>
    </xf>
    <xf numFmtId="186" fontId="137" fillId="0" borderId="142" xfId="301" applyNumberFormat="1" applyFont="1" applyBorder="1" applyAlignment="1">
      <alignment horizontal="center"/>
    </xf>
    <xf numFmtId="186" fontId="137" fillId="37" borderId="142" xfId="301" applyNumberFormat="1" applyFont="1" applyFill="1" applyBorder="1" applyAlignment="1">
      <alignment horizontal="center"/>
    </xf>
    <xf numFmtId="186" fontId="137" fillId="0" borderId="45" xfId="0" applyNumberFormat="1" applyFont="1" applyBorder="1"/>
    <xf numFmtId="171" fontId="1" fillId="0" borderId="46" xfId="567" applyNumberFormat="1" applyFont="1" applyBorder="1"/>
    <xf numFmtId="171" fontId="1" fillId="0" borderId="226" xfId="567" applyNumberFormat="1" applyFont="1" applyBorder="1"/>
    <xf numFmtId="171" fontId="103" fillId="0" borderId="226" xfId="0" applyNumberFormat="1" applyFont="1" applyBorder="1"/>
    <xf numFmtId="171" fontId="104" fillId="0" borderId="133" xfId="0" applyNumberFormat="1" applyFont="1" applyBorder="1"/>
    <xf numFmtId="171" fontId="0" fillId="0" borderId="139" xfId="0" applyNumberFormat="1" applyBorder="1"/>
    <xf numFmtId="171" fontId="137" fillId="0" borderId="58" xfId="0" applyNumberFormat="1" applyFont="1" applyBorder="1"/>
    <xf numFmtId="171" fontId="0" fillId="0" borderId="292" xfId="0" applyNumberFormat="1" applyBorder="1"/>
    <xf numFmtId="171" fontId="0" fillId="35" borderId="226" xfId="0" applyNumberFormat="1" applyFill="1" applyBorder="1"/>
    <xf numFmtId="171" fontId="104" fillId="55" borderId="226" xfId="0" applyNumberFormat="1" applyFont="1" applyFill="1" applyBorder="1"/>
    <xf numFmtId="171" fontId="22" fillId="55" borderId="226" xfId="567" applyNumberFormat="1" applyFont="1" applyFill="1" applyBorder="1" applyAlignment="1">
      <alignment horizontal="center" wrapText="1"/>
    </xf>
    <xf numFmtId="0" fontId="202" fillId="0" borderId="0" xfId="660" applyBorder="1" applyAlignment="1" applyProtection="1"/>
    <xf numFmtId="0" fontId="62" fillId="55" borderId="13" xfId="0" applyFont="1" applyFill="1" applyBorder="1"/>
    <xf numFmtId="0" fontId="62" fillId="55" borderId="91" xfId="0" applyFont="1" applyFill="1" applyBorder="1"/>
    <xf numFmtId="177" fontId="3" fillId="0" borderId="15" xfId="301" applyNumberFormat="1" applyFont="1" applyBorder="1"/>
    <xf numFmtId="177" fontId="4" fillId="0" borderId="29" xfId="0" applyNumberFormat="1" applyFont="1" applyBorder="1"/>
    <xf numFmtId="168" fontId="3" fillId="0" borderId="3" xfId="301" applyNumberFormat="1" applyFont="1" applyBorder="1"/>
    <xf numFmtId="168" fontId="3" fillId="0" borderId="1" xfId="301" applyNumberFormat="1" applyFont="1" applyBorder="1"/>
    <xf numFmtId="168" fontId="4" fillId="0" borderId="1" xfId="301" applyNumberFormat="1" applyFont="1" applyBorder="1"/>
    <xf numFmtId="169" fontId="61" fillId="0" borderId="312" xfId="301" applyNumberFormat="1" applyFont="1" applyBorder="1"/>
    <xf numFmtId="0" fontId="110" fillId="0" borderId="313" xfId="0" applyFont="1" applyBorder="1" applyAlignment="1">
      <alignment horizontal="left" indent="1"/>
    </xf>
    <xf numFmtId="0" fontId="110" fillId="0" borderId="314" xfId="0" applyFont="1" applyBorder="1" applyAlignment="1">
      <alignment horizontal="left" indent="1"/>
    </xf>
    <xf numFmtId="3" fontId="109" fillId="0" borderId="314" xfId="0" applyNumberFormat="1" applyFont="1" applyFill="1" applyBorder="1" applyAlignment="1" applyProtection="1">
      <alignment horizontal="center"/>
      <protection locked="0"/>
    </xf>
    <xf numFmtId="0" fontId="102" fillId="0" borderId="314" xfId="0" applyFont="1" applyBorder="1" applyAlignment="1">
      <alignment horizontal="center"/>
    </xf>
    <xf numFmtId="0" fontId="109" fillId="0" borderId="314" xfId="0" applyFont="1" applyFill="1" applyBorder="1" applyAlignment="1">
      <alignment horizontal="center"/>
    </xf>
    <xf numFmtId="173" fontId="109" fillId="0" borderId="314" xfId="301" applyNumberFormat="1" applyFont="1" applyBorder="1" applyProtection="1"/>
    <xf numFmtId="171" fontId="109" fillId="0" borderId="314" xfId="0" applyNumberFormat="1" applyFont="1" applyBorder="1"/>
    <xf numFmtId="170" fontId="109" fillId="0" borderId="314" xfId="0" applyNumberFormat="1" applyFont="1" applyBorder="1"/>
    <xf numFmtId="170" fontId="109" fillId="0" borderId="315" xfId="0" applyNumberFormat="1" applyFont="1" applyBorder="1"/>
    <xf numFmtId="0" fontId="102" fillId="0" borderId="168" xfId="0" applyFont="1" applyBorder="1"/>
    <xf numFmtId="0" fontId="109" fillId="0" borderId="3" xfId="0" applyFont="1" applyBorder="1" applyAlignment="1">
      <alignment horizontal="center"/>
    </xf>
    <xf numFmtId="165" fontId="102" fillId="0" borderId="3" xfId="0" applyNumberFormat="1" applyFont="1" applyBorder="1"/>
    <xf numFmtId="0" fontId="109" fillId="0" borderId="88" xfId="0" applyFont="1" applyFill="1" applyBorder="1" applyAlignment="1">
      <alignment horizontal="left" indent="2"/>
    </xf>
    <xf numFmtId="0" fontId="109" fillId="0" borderId="46" xfId="0" applyFont="1" applyFill="1" applyBorder="1" applyAlignment="1">
      <alignment horizontal="left" indent="2"/>
    </xf>
    <xf numFmtId="3" fontId="110" fillId="0" borderId="46" xfId="0" applyNumberFormat="1" applyFont="1" applyFill="1" applyBorder="1" applyAlignment="1" applyProtection="1">
      <alignment horizontal="center" wrapText="1"/>
      <protection locked="0"/>
    </xf>
    <xf numFmtId="170" fontId="109" fillId="0" borderId="103" xfId="0" applyNumberFormat="1" applyFont="1" applyFill="1" applyBorder="1"/>
    <xf numFmtId="0" fontId="114" fillId="0" borderId="316" xfId="0" applyFont="1" applyBorder="1" applyAlignment="1">
      <alignment horizontal="left" indent="2"/>
    </xf>
    <xf numFmtId="0" fontId="109" fillId="0" borderId="310" xfId="0" applyFont="1" applyBorder="1" applyAlignment="1">
      <alignment horizontal="left" indent="1"/>
    </xf>
    <xf numFmtId="3" fontId="109" fillId="28" borderId="310" xfId="0" applyNumberFormat="1" applyFont="1" applyFill="1" applyBorder="1" applyAlignment="1" applyProtection="1">
      <alignment horizontal="center"/>
      <protection locked="0"/>
    </xf>
    <xf numFmtId="0" fontId="102" fillId="0" borderId="310" xfId="0" applyFont="1" applyFill="1" applyBorder="1" applyAlignment="1">
      <alignment horizontal="center"/>
    </xf>
    <xf numFmtId="165" fontId="109" fillId="0" borderId="310" xfId="0" applyNumberFormat="1" applyFont="1" applyFill="1" applyBorder="1" applyAlignment="1">
      <alignment horizontal="center"/>
    </xf>
    <xf numFmtId="173" fontId="109" fillId="0" borderId="310" xfId="301" applyNumberFormat="1" applyFont="1" applyFill="1" applyBorder="1" applyProtection="1"/>
    <xf numFmtId="173" fontId="109" fillId="0" borderId="310" xfId="301" applyNumberFormat="1" applyFont="1" applyBorder="1"/>
    <xf numFmtId="0" fontId="102" fillId="0" borderId="310" xfId="0" applyFont="1" applyBorder="1" applyAlignment="1">
      <alignment horizontal="center"/>
    </xf>
    <xf numFmtId="170" fontId="109" fillId="0" borderId="317" xfId="0" applyNumberFormat="1" applyFont="1" applyFill="1" applyBorder="1"/>
    <xf numFmtId="0" fontId="110" fillId="0" borderId="107" xfId="0" applyFont="1" applyBorder="1" applyAlignment="1">
      <alignment horizontal="left" indent="1"/>
    </xf>
    <xf numFmtId="0" fontId="109" fillId="0" borderId="100" xfId="0" applyFont="1" applyBorder="1" applyAlignment="1">
      <alignment horizontal="left" indent="1"/>
    </xf>
    <xf numFmtId="37" fontId="109" fillId="28" borderId="100" xfId="301" applyNumberFormat="1" applyFont="1" applyFill="1" applyBorder="1" applyAlignment="1" applyProtection="1">
      <alignment horizontal="center"/>
      <protection locked="0"/>
    </xf>
    <xf numFmtId="0" fontId="102" fillId="0" borderId="100" xfId="0" applyFont="1" applyFill="1" applyBorder="1" applyAlignment="1">
      <alignment horizontal="center"/>
    </xf>
    <xf numFmtId="165" fontId="109" fillId="0" borderId="100" xfId="0" applyNumberFormat="1" applyFont="1" applyFill="1" applyBorder="1" applyAlignment="1">
      <alignment horizontal="center"/>
    </xf>
    <xf numFmtId="173" fontId="109" fillId="0" borderId="100" xfId="301" applyNumberFormat="1" applyFont="1" applyFill="1" applyBorder="1" applyAlignment="1" applyProtection="1">
      <alignment horizontal="right"/>
    </xf>
    <xf numFmtId="173" fontId="109" fillId="0" borderId="100" xfId="301" applyNumberFormat="1" applyFont="1" applyFill="1" applyBorder="1" applyAlignment="1">
      <alignment horizontal="right"/>
    </xf>
    <xf numFmtId="173" fontId="102" fillId="0" borderId="100" xfId="301" applyNumberFormat="1" applyFont="1" applyFill="1" applyBorder="1" applyAlignment="1">
      <alignment horizontal="center"/>
    </xf>
    <xf numFmtId="173" fontId="109" fillId="0" borderId="100" xfId="301" applyNumberFormat="1" applyFont="1" applyBorder="1" applyAlignment="1">
      <alignment horizontal="right"/>
    </xf>
    <xf numFmtId="0" fontId="102" fillId="0" borderId="100" xfId="0" applyFont="1" applyBorder="1" applyAlignment="1">
      <alignment horizontal="center"/>
    </xf>
    <xf numFmtId="170" fontId="109" fillId="0" borderId="163" xfId="0" applyNumberFormat="1" applyFont="1" applyFill="1" applyBorder="1"/>
    <xf numFmtId="173" fontId="109" fillId="55" borderId="1" xfId="301" applyNumberFormat="1" applyFont="1" applyFill="1" applyBorder="1" applyProtection="1"/>
    <xf numFmtId="0" fontId="102" fillId="55" borderId="1" xfId="0" applyFont="1" applyFill="1" applyBorder="1" applyAlignment="1">
      <alignment horizontal="center"/>
    </xf>
    <xf numFmtId="173" fontId="109" fillId="55" borderId="1" xfId="301" applyNumberFormat="1" applyFont="1" applyFill="1" applyBorder="1"/>
    <xf numFmtId="173" fontId="102" fillId="55" borderId="1" xfId="301" applyNumberFormat="1" applyFont="1" applyFill="1" applyBorder="1" applyAlignment="1">
      <alignment horizontal="center"/>
    </xf>
    <xf numFmtId="0" fontId="102" fillId="55" borderId="1" xfId="0" applyFont="1" applyFill="1" applyBorder="1"/>
    <xf numFmtId="0" fontId="102" fillId="55" borderId="144" xfId="0" applyFont="1" applyFill="1" applyBorder="1"/>
    <xf numFmtId="0" fontId="110" fillId="55" borderId="2" xfId="0" applyFont="1" applyFill="1" applyBorder="1" applyAlignment="1">
      <alignment horizontal="left" indent="1"/>
    </xf>
    <xf numFmtId="0" fontId="110" fillId="55" borderId="1" xfId="0" applyFont="1" applyFill="1" applyBorder="1"/>
    <xf numFmtId="3" fontId="110" fillId="55" borderId="1" xfId="0" applyNumberFormat="1" applyFont="1" applyFill="1" applyBorder="1" applyAlignment="1" applyProtection="1">
      <alignment horizontal="center" wrapText="1"/>
      <protection locked="0"/>
    </xf>
    <xf numFmtId="165" fontId="110" fillId="55" borderId="1" xfId="0" applyNumberFormat="1" applyFont="1" applyFill="1" applyBorder="1" applyAlignment="1">
      <alignment horizontal="center" wrapText="1"/>
    </xf>
    <xf numFmtId="0" fontId="110" fillId="55" borderId="1" xfId="0" applyFont="1" applyFill="1" applyBorder="1" applyAlignment="1">
      <alignment horizontal="center" wrapText="1"/>
    </xf>
    <xf numFmtId="0" fontId="110" fillId="55" borderId="144" xfId="0" applyFont="1" applyFill="1" applyBorder="1" applyAlignment="1">
      <alignment horizontal="center" wrapText="1"/>
    </xf>
    <xf numFmtId="0" fontId="110" fillId="0" borderId="168" xfId="0" applyFont="1" applyBorder="1" applyAlignment="1">
      <alignment horizontal="left" indent="1"/>
    </xf>
    <xf numFmtId="0" fontId="110" fillId="0" borderId="3" xfId="0" applyFont="1" applyBorder="1"/>
    <xf numFmtId="0" fontId="109" fillId="0" borderId="3" xfId="0" applyFont="1" applyFill="1" applyBorder="1" applyAlignment="1">
      <alignment horizontal="center"/>
    </xf>
    <xf numFmtId="0" fontId="102" fillId="0" borderId="3" xfId="0" applyFont="1" applyBorder="1" applyAlignment="1">
      <alignment horizontal="center"/>
    </xf>
    <xf numFmtId="0" fontId="109" fillId="0" borderId="3" xfId="0" applyFont="1" applyBorder="1"/>
    <xf numFmtId="0" fontId="112" fillId="55" borderId="78" xfId="0" applyFont="1" applyFill="1" applyBorder="1" applyAlignment="1">
      <alignment horizontal="left"/>
    </xf>
    <xf numFmtId="0" fontId="112" fillId="55" borderId="105" xfId="0" applyFont="1" applyFill="1" applyBorder="1" applyAlignment="1">
      <alignment horizontal="center" wrapText="1"/>
    </xf>
    <xf numFmtId="0" fontId="110" fillId="55" borderId="105" xfId="0" applyFont="1" applyFill="1" applyBorder="1" applyAlignment="1">
      <alignment horizontal="center" wrapText="1"/>
    </xf>
    <xf numFmtId="0" fontId="112" fillId="55" borderId="105" xfId="0" applyFont="1" applyFill="1" applyBorder="1"/>
    <xf numFmtId="0" fontId="102" fillId="55" borderId="105" xfId="0" applyFont="1" applyFill="1" applyBorder="1"/>
    <xf numFmtId="0" fontId="110" fillId="55" borderId="108" xfId="0" applyFont="1" applyFill="1" applyBorder="1" applyAlignment="1">
      <alignment horizontal="center" wrapText="1"/>
    </xf>
    <xf numFmtId="0" fontId="110" fillId="55" borderId="1" xfId="0" applyFont="1" applyFill="1" applyBorder="1" applyAlignment="1">
      <alignment vertical="center"/>
    </xf>
    <xf numFmtId="173" fontId="110" fillId="55" borderId="1" xfId="301" applyNumberFormat="1" applyFont="1" applyFill="1" applyBorder="1" applyAlignment="1">
      <alignment horizontal="center"/>
    </xf>
    <xf numFmtId="0" fontId="14" fillId="0" borderId="98" xfId="560" applyFont="1" applyFill="1" applyBorder="1" applyAlignment="1">
      <alignment horizontal="center" vertical="center" wrapText="1"/>
    </xf>
    <xf numFmtId="0" fontId="16" fillId="0" borderId="85" xfId="560" applyFont="1" applyFill="1" applyBorder="1" applyAlignment="1">
      <alignment vertical="center"/>
    </xf>
    <xf numFmtId="0" fontId="16" fillId="0" borderId="85" xfId="560" applyFont="1" applyFill="1" applyBorder="1" applyAlignment="1">
      <alignment horizontal="center" vertical="center"/>
    </xf>
    <xf numFmtId="0" fontId="14" fillId="0" borderId="85" xfId="560" applyFont="1" applyFill="1" applyBorder="1" applyAlignment="1">
      <alignment horizontal="center" vertical="center" wrapText="1"/>
    </xf>
    <xf numFmtId="0" fontId="15" fillId="0" borderId="85" xfId="560" applyFont="1" applyBorder="1" applyAlignment="1">
      <alignment horizontal="center"/>
    </xf>
    <xf numFmtId="170" fontId="89" fillId="0" borderId="85" xfId="571" applyNumberFormat="1" applyFont="1" applyFill="1" applyBorder="1" applyAlignment="1">
      <alignment horizontal="center" vertical="center" wrapText="1"/>
    </xf>
    <xf numFmtId="0" fontId="15" fillId="0" borderId="85" xfId="571" applyFont="1" applyBorder="1" applyAlignment="1">
      <alignment horizontal="center" vertical="center" wrapText="1"/>
    </xf>
    <xf numFmtId="0" fontId="13" fillId="0" borderId="85" xfId="560" applyFont="1" applyBorder="1" applyAlignment="1">
      <alignment horizontal="center"/>
    </xf>
    <xf numFmtId="0" fontId="14" fillId="0" borderId="85" xfId="571" applyFont="1" applyBorder="1" applyAlignment="1">
      <alignment horizontal="center" vertical="center" wrapText="1"/>
    </xf>
    <xf numFmtId="0" fontId="14" fillId="0" borderId="99" xfId="571" applyFont="1" applyBorder="1" applyAlignment="1">
      <alignment horizontal="center" vertical="center" wrapText="1"/>
    </xf>
    <xf numFmtId="3" fontId="15" fillId="23" borderId="306" xfId="301" applyNumberFormat="1" applyFont="1" applyFill="1" applyBorder="1" applyAlignment="1">
      <alignment horizontal="center"/>
    </xf>
    <xf numFmtId="0" fontId="15" fillId="0" borderId="307" xfId="560" applyFont="1" applyBorder="1" applyAlignment="1">
      <alignment horizontal="center"/>
    </xf>
    <xf numFmtId="3" fontId="15" fillId="0" borderId="307" xfId="301" applyNumberFormat="1" applyFont="1" applyBorder="1" applyAlignment="1">
      <alignment horizontal="center"/>
    </xf>
    <xf numFmtId="165" fontId="15" fillId="0" borderId="307" xfId="560" applyNumberFormat="1" applyFont="1" applyBorder="1" applyAlignment="1">
      <alignment horizontal="center"/>
    </xf>
    <xf numFmtId="173" fontId="15" fillId="0" borderId="307" xfId="301" applyNumberFormat="1" applyFont="1" applyFill="1" applyBorder="1" applyAlignment="1">
      <alignment horizontal="center"/>
    </xf>
    <xf numFmtId="2" fontId="15" fillId="0" borderId="307" xfId="597" applyNumberFormat="1" applyFont="1" applyBorder="1" applyAlignment="1">
      <alignment horizontal="center"/>
    </xf>
    <xf numFmtId="173" fontId="13" fillId="0" borderId="307" xfId="301" applyNumberFormat="1" applyFont="1" applyBorder="1" applyAlignment="1">
      <alignment horizontal="center"/>
    </xf>
    <xf numFmtId="170" fontId="127" fillId="0" borderId="307" xfId="560" applyNumberFormat="1" applyFont="1" applyBorder="1" applyAlignment="1">
      <alignment horizontal="right"/>
    </xf>
    <xf numFmtId="170" fontId="13" fillId="0" borderId="307" xfId="560" applyNumberFormat="1" applyFont="1" applyBorder="1" applyAlignment="1">
      <alignment horizontal="right"/>
    </xf>
    <xf numFmtId="170" fontId="13" fillId="0" borderId="309" xfId="560" applyNumberFormat="1" applyFont="1" applyBorder="1" applyAlignment="1">
      <alignment horizontal="right"/>
    </xf>
    <xf numFmtId="0" fontId="15" fillId="0" borderId="307" xfId="560" applyFont="1" applyFill="1" applyBorder="1" applyAlignment="1">
      <alignment horizontal="center"/>
    </xf>
    <xf numFmtId="166" fontId="15" fillId="0" borderId="307" xfId="597" applyNumberFormat="1" applyFont="1" applyFill="1" applyBorder="1" applyAlignment="1">
      <alignment horizontal="center"/>
    </xf>
    <xf numFmtId="0" fontId="15" fillId="0" borderId="306" xfId="560" applyFont="1" applyBorder="1" applyAlignment="1">
      <alignment horizontal="center"/>
    </xf>
    <xf numFmtId="170" fontId="15" fillId="0" borderId="307" xfId="597" applyNumberFormat="1" applyFont="1" applyBorder="1" applyAlignment="1">
      <alignment horizontal="center"/>
    </xf>
    <xf numFmtId="0" fontId="127" fillId="0" borderId="306" xfId="560" applyFont="1" applyBorder="1" applyAlignment="1">
      <alignment horizontal="center"/>
    </xf>
    <xf numFmtId="0" fontId="127" fillId="0" borderId="307" xfId="560" applyFont="1" applyBorder="1" applyAlignment="1">
      <alignment horizontal="center"/>
    </xf>
    <xf numFmtId="0" fontId="15" fillId="0" borderId="307" xfId="571" applyNumberFormat="1" applyFont="1" applyBorder="1" applyAlignment="1">
      <alignment horizontal="center"/>
    </xf>
    <xf numFmtId="0" fontId="15" fillId="0" borderId="307" xfId="571" applyNumberFormat="1" applyFont="1" applyFill="1" applyBorder="1" applyAlignment="1">
      <alignment horizontal="center"/>
    </xf>
    <xf numFmtId="176" fontId="14" fillId="0" borderId="306" xfId="560" applyNumberFormat="1" applyFont="1" applyFill="1" applyBorder="1" applyAlignment="1" applyProtection="1">
      <alignment horizontal="center" vertical="center" wrapText="1"/>
    </xf>
    <xf numFmtId="0" fontId="16" fillId="0" borderId="307" xfId="560" applyFont="1" applyFill="1" applyBorder="1" applyAlignment="1">
      <alignment vertical="center"/>
    </xf>
    <xf numFmtId="0" fontId="14" fillId="0" borderId="307" xfId="0" applyFont="1" applyFill="1" applyBorder="1"/>
    <xf numFmtId="0" fontId="63" fillId="0" borderId="307" xfId="560" applyBorder="1"/>
    <xf numFmtId="0" fontId="4" fillId="0" borderId="307" xfId="0" applyFont="1" applyBorder="1"/>
    <xf numFmtId="0" fontId="63" fillId="0" borderId="307" xfId="560" applyBorder="1" applyAlignment="1">
      <alignment horizontal="center"/>
    </xf>
    <xf numFmtId="43" fontId="63" fillId="0" borderId="307" xfId="560" applyNumberFormat="1" applyBorder="1"/>
    <xf numFmtId="43" fontId="63" fillId="0" borderId="309" xfId="560" applyNumberFormat="1" applyBorder="1"/>
    <xf numFmtId="176" fontId="15" fillId="0" borderId="306" xfId="301" applyNumberFormat="1" applyFont="1" applyFill="1" applyBorder="1" applyAlignment="1" applyProtection="1">
      <alignment horizontal="center"/>
    </xf>
    <xf numFmtId="173" fontId="15" fillId="0" borderId="307" xfId="301" applyNumberFormat="1" applyFont="1" applyBorder="1"/>
    <xf numFmtId="173" fontId="15" fillId="0" borderId="309" xfId="301" applyNumberFormat="1" applyFont="1" applyFill="1" applyBorder="1" applyAlignment="1">
      <alignment horizontal="center"/>
    </xf>
    <xf numFmtId="169" fontId="15" fillId="0" borderId="307" xfId="301" applyNumberFormat="1" applyFont="1" applyBorder="1" applyAlignment="1">
      <alignment horizontal="center"/>
    </xf>
    <xf numFmtId="173" fontId="15" fillId="0" borderId="307" xfId="301" applyNumberFormat="1" applyFont="1" applyBorder="1" applyAlignment="1">
      <alignment horizontal="center"/>
    </xf>
    <xf numFmtId="173" fontId="15" fillId="0" borderId="309" xfId="301" applyNumberFormat="1" applyFont="1" applyBorder="1" applyAlignment="1">
      <alignment horizontal="center"/>
    </xf>
    <xf numFmtId="0" fontId="1" fillId="0" borderId="88" xfId="0" applyFont="1" applyBorder="1" applyAlignment="1">
      <alignment vertical="center" wrapText="1"/>
    </xf>
    <xf numFmtId="0" fontId="1" fillId="0" borderId="46" xfId="0" quotePrefix="1" applyFont="1" applyBorder="1" applyAlignment="1">
      <alignment horizontal="left" wrapText="1"/>
    </xf>
    <xf numFmtId="0" fontId="22" fillId="0" borderId="46" xfId="0" applyFont="1" applyBorder="1" applyAlignment="1">
      <alignment horizontal="center" wrapText="1"/>
    </xf>
    <xf numFmtId="173" fontId="1" fillId="35" borderId="46" xfId="301" applyNumberFormat="1" applyFont="1" applyFill="1" applyBorder="1" applyAlignment="1" applyProtection="1">
      <alignment horizontal="center" vertical="center" wrapText="1"/>
      <protection locked="0"/>
    </xf>
    <xf numFmtId="0" fontId="22" fillId="0" borderId="46" xfId="0" applyFont="1" applyFill="1" applyBorder="1" applyAlignment="1">
      <alignment wrapText="1"/>
    </xf>
    <xf numFmtId="171" fontId="1" fillId="0" borderId="46" xfId="0" applyNumberFormat="1" applyFont="1" applyBorder="1"/>
    <xf numFmtId="0" fontId="1" fillId="0" borderId="46" xfId="0" applyFont="1" applyBorder="1"/>
    <xf numFmtId="173" fontId="1" fillId="0" borderId="46" xfId="301" applyNumberFormat="1" applyFont="1" applyFill="1" applyBorder="1" applyAlignment="1">
      <alignment horizontal="center"/>
    </xf>
    <xf numFmtId="173" fontId="22" fillId="0" borderId="46" xfId="301" applyNumberFormat="1" applyFont="1" applyFill="1" applyBorder="1" applyAlignment="1">
      <alignment horizontal="center" wrapText="1"/>
    </xf>
    <xf numFmtId="0" fontId="1" fillId="0" borderId="46" xfId="0" applyFont="1" applyFill="1" applyBorder="1" applyAlignment="1">
      <alignment horizontal="center"/>
    </xf>
    <xf numFmtId="173" fontId="1" fillId="0" borderId="46" xfId="301" applyNumberFormat="1" applyFont="1" applyBorder="1" applyAlignment="1">
      <alignment horizontal="center"/>
    </xf>
    <xf numFmtId="0" fontId="1" fillId="0" borderId="46" xfId="0" applyFont="1" applyFill="1" applyBorder="1"/>
    <xf numFmtId="0" fontId="22" fillId="25" borderId="46" xfId="0" applyFont="1" applyFill="1" applyBorder="1" applyAlignment="1">
      <alignment horizontal="right"/>
    </xf>
    <xf numFmtId="174" fontId="22" fillId="0" borderId="46" xfId="301" applyNumberFormat="1" applyFont="1" applyFill="1" applyBorder="1" applyAlignment="1">
      <alignment horizontal="center"/>
    </xf>
    <xf numFmtId="168" fontId="22" fillId="0" borderId="46" xfId="301" applyNumberFormat="1" applyFont="1" applyFill="1" applyBorder="1" applyAlignment="1">
      <alignment horizontal="center"/>
    </xf>
    <xf numFmtId="168" fontId="22" fillId="25" borderId="103" xfId="301" applyNumberFormat="1" applyFont="1" applyFill="1" applyBorder="1" applyAlignment="1">
      <alignment horizontal="center"/>
    </xf>
    <xf numFmtId="0" fontId="1" fillId="0" borderId="1" xfId="0" quotePrefix="1" applyFont="1" applyBorder="1" applyAlignment="1">
      <alignment horizontal="left" wrapText="1"/>
    </xf>
    <xf numFmtId="173" fontId="1" fillId="35" borderId="1" xfId="301" applyNumberFormat="1" applyFont="1" applyFill="1" applyBorder="1" applyAlignment="1" applyProtection="1">
      <alignment horizontal="center" vertical="center"/>
      <protection locked="0"/>
    </xf>
    <xf numFmtId="0" fontId="1" fillId="0" borderId="1" xfId="0" applyFont="1" applyFill="1" applyBorder="1" applyAlignment="1"/>
    <xf numFmtId="171" fontId="1" fillId="0" borderId="1" xfId="0" applyNumberFormat="1" applyFont="1" applyBorder="1"/>
    <xf numFmtId="0" fontId="1" fillId="0" borderId="1" xfId="0" applyFont="1" applyBorder="1"/>
    <xf numFmtId="173" fontId="1" fillId="0" borderId="1" xfId="301" applyNumberFormat="1" applyFont="1" applyBorder="1" applyAlignment="1">
      <alignment horizontal="center"/>
    </xf>
    <xf numFmtId="173" fontId="1" fillId="0" borderId="1" xfId="301" applyNumberFormat="1" applyFont="1" applyFill="1" applyBorder="1" applyAlignment="1">
      <alignment horizontal="center"/>
    </xf>
    <xf numFmtId="0" fontId="1" fillId="0" borderId="1" xfId="0" applyFont="1" applyFill="1" applyBorder="1" applyAlignment="1">
      <alignment horizontal="center"/>
    </xf>
    <xf numFmtId="0" fontId="22" fillId="25" borderId="1" xfId="0" applyFont="1" applyFill="1" applyBorder="1" applyAlignment="1">
      <alignment horizontal="right"/>
    </xf>
    <xf numFmtId="174" fontId="22" fillId="0" borderId="1" xfId="301" applyNumberFormat="1" applyFont="1" applyFill="1" applyBorder="1" applyAlignment="1">
      <alignment horizontal="center"/>
    </xf>
    <xf numFmtId="168" fontId="22" fillId="0" borderId="1" xfId="301" applyNumberFormat="1" applyFont="1" applyFill="1" applyBorder="1" applyAlignment="1">
      <alignment horizontal="center"/>
    </xf>
    <xf numFmtId="168" fontId="22" fillId="25" borderId="144" xfId="301" applyNumberFormat="1" applyFont="1" applyFill="1" applyBorder="1" applyAlignment="1">
      <alignment horizontal="center"/>
    </xf>
    <xf numFmtId="0" fontId="22" fillId="0" borderId="1" xfId="0" applyFont="1" applyFill="1" applyBorder="1"/>
    <xf numFmtId="174" fontId="1" fillId="0" borderId="1" xfId="301" applyNumberFormat="1" applyFont="1" applyFill="1" applyBorder="1"/>
    <xf numFmtId="0" fontId="1" fillId="0" borderId="144" xfId="0" applyFont="1" applyBorder="1"/>
    <xf numFmtId="173" fontId="1" fillId="35" borderId="1" xfId="301" applyNumberFormat="1" applyFont="1" applyFill="1" applyBorder="1" applyAlignment="1" applyProtection="1">
      <alignment horizontal="center" vertical="center" wrapText="1"/>
      <protection locked="0"/>
    </xf>
    <xf numFmtId="179" fontId="1" fillId="0" borderId="1" xfId="301" applyNumberFormat="1" applyFont="1" applyFill="1" applyBorder="1"/>
    <xf numFmtId="0" fontId="1" fillId="0" borderId="2" xfId="0" applyFont="1" applyBorder="1" applyAlignment="1">
      <alignment wrapText="1"/>
    </xf>
    <xf numFmtId="0" fontId="1" fillId="0" borderId="1" xfId="0" applyFont="1" applyBorder="1" applyAlignment="1">
      <alignment vertical="top" wrapText="1"/>
    </xf>
    <xf numFmtId="0" fontId="1" fillId="0" borderId="1" xfId="0" applyFont="1" applyBorder="1" applyAlignment="1">
      <alignment horizontal="left" wrapText="1"/>
    </xf>
    <xf numFmtId="173" fontId="112" fillId="0" borderId="98" xfId="301" applyNumberFormat="1" applyFont="1" applyFill="1" applyBorder="1" applyAlignment="1" applyProtection="1">
      <alignment horizontal="center" wrapText="1"/>
    </xf>
    <xf numFmtId="0" fontId="112" fillId="0" borderId="85" xfId="571" applyFont="1" applyFill="1" applyBorder="1" applyAlignment="1" applyProtection="1">
      <alignment horizontal="center" vertical="center" wrapText="1"/>
    </xf>
    <xf numFmtId="0" fontId="102" fillId="0" borderId="85" xfId="0" applyFont="1" applyBorder="1"/>
    <xf numFmtId="0" fontId="112" fillId="0" borderId="85" xfId="0" applyFont="1" applyFill="1" applyBorder="1" applyAlignment="1" applyProtection="1">
      <alignment horizontal="center" wrapText="1"/>
    </xf>
    <xf numFmtId="0" fontId="102" fillId="0" borderId="85" xfId="0" applyFont="1" applyFill="1" applyBorder="1" applyAlignment="1" applyProtection="1">
      <alignment horizontal="center" wrapText="1"/>
    </xf>
    <xf numFmtId="0" fontId="112" fillId="0" borderId="85" xfId="564" applyFont="1" applyFill="1" applyBorder="1" applyAlignment="1" applyProtection="1">
      <alignment horizontal="center" wrapText="1"/>
    </xf>
    <xf numFmtId="0" fontId="102" fillId="0" borderId="85" xfId="0" applyFont="1" applyFill="1" applyBorder="1" applyAlignment="1" applyProtection="1">
      <alignment horizontal="left"/>
    </xf>
    <xf numFmtId="0" fontId="102" fillId="0" borderId="282" xfId="0" applyFont="1" applyFill="1" applyBorder="1" applyAlignment="1" applyProtection="1">
      <alignment horizontal="center" wrapText="1"/>
    </xf>
    <xf numFmtId="0" fontId="102" fillId="0" borderId="282" xfId="0" applyFont="1" applyFill="1" applyBorder="1" applyAlignment="1" applyProtection="1">
      <alignment horizontal="left"/>
    </xf>
    <xf numFmtId="0" fontId="102" fillId="0" borderId="282" xfId="0" applyFont="1" applyBorder="1" applyProtection="1"/>
    <xf numFmtId="0" fontId="102" fillId="0" borderId="307" xfId="0" applyFont="1" applyBorder="1" applyProtection="1"/>
    <xf numFmtId="0" fontId="102" fillId="0" borderId="307" xfId="0" applyFont="1" applyBorder="1"/>
    <xf numFmtId="0" fontId="102" fillId="0" borderId="309" xfId="0" applyFont="1" applyBorder="1"/>
    <xf numFmtId="174" fontId="102" fillId="0" borderId="306" xfId="301" applyNumberFormat="1" applyFont="1" applyFill="1" applyBorder="1" applyAlignment="1" applyProtection="1">
      <alignment horizontal="center"/>
    </xf>
    <xf numFmtId="0" fontId="102" fillId="0" borderId="307" xfId="0" applyFont="1" applyFill="1" applyBorder="1" applyAlignment="1" applyProtection="1">
      <alignment horizontal="center"/>
    </xf>
    <xf numFmtId="173" fontId="102" fillId="0" borderId="307" xfId="301" applyNumberFormat="1" applyFont="1" applyBorder="1" applyAlignment="1" applyProtection="1">
      <alignment horizontal="center"/>
    </xf>
    <xf numFmtId="173" fontId="102" fillId="0" borderId="307" xfId="0" applyNumberFormat="1" applyFont="1" applyFill="1" applyBorder="1" applyProtection="1"/>
    <xf numFmtId="3" fontId="102" fillId="0" borderId="307" xfId="0" applyNumberFormat="1" applyFont="1" applyBorder="1" applyAlignment="1" applyProtection="1">
      <alignment horizontal="center"/>
    </xf>
    <xf numFmtId="0" fontId="102" fillId="0" borderId="309" xfId="0" applyFont="1" applyFill="1" applyBorder="1" applyProtection="1"/>
    <xf numFmtId="3" fontId="102" fillId="0" borderId="307" xfId="0" applyNumberFormat="1" applyFont="1" applyFill="1" applyBorder="1" applyAlignment="1" applyProtection="1">
      <alignment horizontal="center"/>
    </xf>
    <xf numFmtId="186" fontId="0" fillId="0" borderId="0" xfId="0" applyNumberFormat="1"/>
    <xf numFmtId="168" fontId="143" fillId="0" borderId="1" xfId="301" applyNumberFormat="1" applyFont="1" applyFill="1" applyBorder="1"/>
    <xf numFmtId="171" fontId="112" fillId="0" borderId="113" xfId="561" applyNumberFormat="1" applyFont="1" applyFill="1" applyBorder="1" applyAlignment="1"/>
    <xf numFmtId="173" fontId="25" fillId="29" borderId="310" xfId="301" applyNumberFormat="1" applyFont="1" applyFill="1" applyBorder="1" applyProtection="1">
      <protection locked="0"/>
    </xf>
    <xf numFmtId="173" fontId="25" fillId="0" borderId="310" xfId="301" applyNumberFormat="1" applyFont="1" applyFill="1" applyBorder="1" applyProtection="1">
      <protection locked="0"/>
    </xf>
    <xf numFmtId="9" fontId="25" fillId="0" borderId="310" xfId="597" applyFont="1" applyFill="1" applyBorder="1" applyAlignment="1">
      <alignment horizontal="center"/>
    </xf>
    <xf numFmtId="173" fontId="25" fillId="0" borderId="310" xfId="301" applyNumberFormat="1" applyFont="1" applyFill="1" applyBorder="1" applyAlignment="1">
      <alignment horizontal="center"/>
    </xf>
    <xf numFmtId="2" fontId="25" fillId="0" borderId="310" xfId="0" applyNumberFormat="1" applyFont="1" applyFill="1" applyBorder="1" applyAlignment="1">
      <alignment horizontal="center"/>
    </xf>
    <xf numFmtId="166" fontId="25" fillId="0" borderId="128" xfId="597" applyNumberFormat="1" applyFont="1" applyFill="1" applyBorder="1" applyAlignment="1">
      <alignment horizontal="center"/>
    </xf>
    <xf numFmtId="173" fontId="25" fillId="30" borderId="310" xfId="301" applyNumberFormat="1" applyFont="1" applyFill="1" applyBorder="1" applyAlignment="1">
      <alignment horizontal="center"/>
    </xf>
    <xf numFmtId="200" fontId="25" fillId="0" borderId="310" xfId="0" applyNumberFormat="1" applyFont="1" applyFill="1" applyBorder="1" applyAlignment="1">
      <alignment horizontal="center"/>
    </xf>
    <xf numFmtId="200" fontId="25" fillId="0" borderId="310" xfId="301" applyNumberFormat="1" applyFont="1" applyFill="1" applyBorder="1" applyAlignment="1">
      <alignment horizontal="center"/>
    </xf>
    <xf numFmtId="200" fontId="25" fillId="0" borderId="310" xfId="301" applyNumberFormat="1" applyFont="1" applyFill="1" applyBorder="1"/>
    <xf numFmtId="173" fontId="25" fillId="43" borderId="310" xfId="301" applyNumberFormat="1" applyFont="1" applyFill="1" applyBorder="1" applyProtection="1">
      <protection locked="0"/>
    </xf>
    <xf numFmtId="0" fontId="66" fillId="55" borderId="153" xfId="0" applyFont="1" applyFill="1" applyBorder="1" applyAlignment="1">
      <alignment horizontal="center"/>
    </xf>
    <xf numFmtId="0" fontId="66" fillId="55" borderId="97" xfId="0" applyFont="1" applyFill="1" applyBorder="1" applyAlignment="1">
      <alignment horizontal="center"/>
    </xf>
    <xf numFmtId="0" fontId="61" fillId="0" borderId="35" xfId="0" applyFont="1" applyFill="1" applyBorder="1"/>
    <xf numFmtId="200" fontId="1" fillId="0" borderId="312" xfId="301" applyNumberFormat="1" applyFont="1" applyBorder="1"/>
    <xf numFmtId="200" fontId="66" fillId="0" borderId="38" xfId="0" applyNumberFormat="1" applyFont="1" applyBorder="1" applyAlignment="1">
      <alignment horizontal="center"/>
    </xf>
    <xf numFmtId="168" fontId="66" fillId="0" borderId="38" xfId="0" applyNumberFormat="1" applyFont="1" applyBorder="1" applyAlignment="1">
      <alignment horizontal="center"/>
    </xf>
    <xf numFmtId="200" fontId="22" fillId="0" borderId="38" xfId="0" applyNumberFormat="1" applyFont="1" applyBorder="1" applyAlignment="1">
      <alignment horizontal="center"/>
    </xf>
    <xf numFmtId="200" fontId="22" fillId="48" borderId="39" xfId="0" applyNumberFormat="1" applyFont="1" applyFill="1" applyBorder="1" applyAlignment="1">
      <alignment horizontal="center"/>
    </xf>
    <xf numFmtId="10" fontId="203" fillId="0" borderId="0" xfId="0" applyNumberFormat="1" applyFont="1"/>
    <xf numFmtId="37" fontId="1" fillId="0" borderId="3" xfId="301" applyNumberFormat="1" applyFont="1" applyFill="1" applyBorder="1" applyProtection="1">
      <protection locked="0"/>
    </xf>
    <xf numFmtId="0" fontId="0" fillId="0" borderId="0" xfId="0"/>
    <xf numFmtId="200" fontId="1" fillId="0" borderId="252" xfId="301" applyNumberFormat="1" applyFont="1" applyFill="1" applyBorder="1" applyAlignment="1">
      <alignment horizontal="right"/>
    </xf>
    <xf numFmtId="37" fontId="1" fillId="0" borderId="3" xfId="301" applyNumberFormat="1" applyFont="1" applyFill="1" applyBorder="1"/>
    <xf numFmtId="37" fontId="1" fillId="0" borderId="46" xfId="301" applyNumberFormat="1" applyFont="1" applyFill="1" applyBorder="1" applyProtection="1">
      <protection locked="0"/>
    </xf>
    <xf numFmtId="200" fontId="1" fillId="0" borderId="255" xfId="301" applyNumberFormat="1" applyFont="1" applyFill="1" applyBorder="1"/>
    <xf numFmtId="198" fontId="1" fillId="0" borderId="189" xfId="0" applyNumberFormat="1" applyFont="1" applyBorder="1"/>
    <xf numFmtId="172" fontId="1" fillId="0" borderId="63" xfId="0" applyNumberFormat="1" applyFont="1" applyBorder="1"/>
    <xf numFmtId="39" fontId="1" fillId="0" borderId="253" xfId="301" applyNumberFormat="1" applyFont="1" applyBorder="1"/>
    <xf numFmtId="0" fontId="1" fillId="0" borderId="282" xfId="0" applyFont="1" applyFill="1" applyBorder="1" applyAlignment="1">
      <alignment horizontal="center"/>
    </xf>
    <xf numFmtId="0" fontId="1" fillId="0" borderId="14" xfId="0" applyFont="1" applyFill="1" applyBorder="1" applyAlignment="1">
      <alignment horizontal="center"/>
    </xf>
    <xf numFmtId="200" fontId="1" fillId="0" borderId="34" xfId="301" applyNumberFormat="1" applyFont="1" applyBorder="1"/>
    <xf numFmtId="200" fontId="1" fillId="0" borderId="36" xfId="301" applyNumberFormat="1" applyFont="1" applyBorder="1"/>
    <xf numFmtId="37" fontId="25" fillId="0" borderId="3" xfId="301" applyNumberFormat="1" applyFont="1" applyFill="1" applyBorder="1" applyProtection="1">
      <protection locked="0"/>
    </xf>
    <xf numFmtId="37" fontId="25" fillId="0" borderId="1" xfId="301" applyNumberFormat="1" applyFont="1" applyFill="1" applyBorder="1" applyProtection="1">
      <protection locked="0"/>
    </xf>
    <xf numFmtId="37" fontId="25" fillId="43" borderId="1" xfId="301" applyNumberFormat="1" applyFont="1" applyFill="1" applyBorder="1" applyProtection="1">
      <protection locked="0"/>
    </xf>
    <xf numFmtId="37" fontId="25" fillId="0" borderId="310" xfId="301" applyNumberFormat="1" applyFont="1" applyFill="1" applyBorder="1" applyProtection="1">
      <protection locked="0"/>
    </xf>
    <xf numFmtId="200" fontId="1" fillId="0" borderId="86" xfId="301" applyNumberFormat="1" applyFont="1" applyBorder="1"/>
    <xf numFmtId="200" fontId="1" fillId="0" borderId="75" xfId="301" applyNumberFormat="1" applyFont="1" applyBorder="1"/>
    <xf numFmtId="0" fontId="3" fillId="0" borderId="0" xfId="0" applyFont="1" applyProtection="1">
      <protection locked="0"/>
    </xf>
    <xf numFmtId="0" fontId="256" fillId="0" borderId="0" xfId="0" applyFont="1"/>
    <xf numFmtId="0" fontId="25" fillId="0" borderId="0" xfId="0" applyFont="1" applyProtection="1"/>
    <xf numFmtId="0" fontId="61" fillId="29" borderId="0" xfId="0" applyFont="1" applyFill="1"/>
    <xf numFmtId="0" fontId="25" fillId="29" borderId="0" xfId="0" applyFont="1" applyFill="1"/>
    <xf numFmtId="0" fontId="25" fillId="0" borderId="0" xfId="0" applyFont="1" applyFill="1" applyBorder="1"/>
    <xf numFmtId="0" fontId="61" fillId="55" borderId="40" xfId="0" applyFont="1" applyFill="1" applyBorder="1"/>
    <xf numFmtId="0" fontId="231" fillId="55" borderId="41" xfId="0" applyFont="1" applyFill="1" applyBorder="1" applyAlignment="1">
      <alignment horizontal="center"/>
    </xf>
    <xf numFmtId="0" fontId="25" fillId="55" borderId="41" xfId="0" applyFont="1" applyFill="1" applyBorder="1"/>
    <xf numFmtId="0" fontId="25" fillId="55" borderId="42" xfId="0" applyFont="1" applyFill="1" applyBorder="1"/>
    <xf numFmtId="0" fontId="25" fillId="0" borderId="0" xfId="0" applyFont="1" applyBorder="1" applyProtection="1"/>
    <xf numFmtId="0" fontId="25" fillId="55" borderId="77" xfId="0" applyFont="1" applyFill="1" applyBorder="1"/>
    <xf numFmtId="0" fontId="231" fillId="55" borderId="49" xfId="0" applyFont="1" applyFill="1" applyBorder="1" applyAlignment="1">
      <alignment horizontal="center"/>
    </xf>
    <xf numFmtId="0" fontId="25" fillId="55" borderId="49" xfId="0" applyFont="1" applyFill="1" applyBorder="1"/>
    <xf numFmtId="0" fontId="4" fillId="55" borderId="49" xfId="0" applyFont="1" applyFill="1" applyBorder="1" applyAlignment="1">
      <alignment horizontal="center"/>
    </xf>
    <xf numFmtId="0" fontId="4" fillId="55" borderId="50" xfId="0" applyFont="1" applyFill="1" applyBorder="1" applyAlignment="1">
      <alignment horizontal="center"/>
    </xf>
    <xf numFmtId="0" fontId="4" fillId="0" borderId="0" xfId="0" applyFont="1" applyFill="1" applyBorder="1" applyAlignment="1">
      <alignment horizontal="center"/>
    </xf>
    <xf numFmtId="0" fontId="231" fillId="55" borderId="61" xfId="0" applyFont="1" applyFill="1" applyBorder="1" applyAlignment="1">
      <alignment horizontal="center"/>
    </xf>
    <xf numFmtId="0" fontId="4" fillId="55" borderId="62" xfId="0" applyFont="1" applyFill="1" applyBorder="1" applyAlignment="1">
      <alignment horizontal="center"/>
    </xf>
    <xf numFmtId="0" fontId="231" fillId="0" borderId="0" xfId="0" applyFont="1" applyFill="1" applyBorder="1" applyAlignment="1">
      <alignment horizontal="center"/>
    </xf>
    <xf numFmtId="173" fontId="258" fillId="33" borderId="310" xfId="301" applyNumberFormat="1" applyFont="1" applyFill="1" applyBorder="1" applyProtection="1">
      <protection locked="0"/>
    </xf>
    <xf numFmtId="0" fontId="25" fillId="0" borderId="0" xfId="0" quotePrefix="1" applyFont="1" applyFill="1" applyBorder="1" applyAlignment="1">
      <alignment horizontal="center"/>
    </xf>
    <xf numFmtId="1" fontId="25" fillId="0" borderId="0" xfId="0" quotePrefix="1" applyNumberFormat="1" applyFont="1" applyFill="1" applyBorder="1" applyAlignment="1">
      <alignment horizontal="center"/>
    </xf>
    <xf numFmtId="170" fontId="1" fillId="0" borderId="0" xfId="0" applyNumberFormat="1" applyFont="1" applyFill="1" applyBorder="1"/>
    <xf numFmtId="9" fontId="258" fillId="33" borderId="310" xfId="301" applyNumberFormat="1" applyFont="1" applyFill="1" applyBorder="1" applyProtection="1">
      <protection locked="0"/>
    </xf>
    <xf numFmtId="2" fontId="1" fillId="0" borderId="1" xfId="0" applyNumberFormat="1" applyFont="1" applyFill="1" applyBorder="1" applyAlignment="1">
      <alignment horizontal="center"/>
    </xf>
    <xf numFmtId="168" fontId="1" fillId="0" borderId="312" xfId="301" applyNumberFormat="1" applyFont="1" applyBorder="1"/>
    <xf numFmtId="43" fontId="1" fillId="0" borderId="0" xfId="301" applyFont="1" applyBorder="1"/>
    <xf numFmtId="168" fontId="1" fillId="0" borderId="50" xfId="301" applyNumberFormat="1" applyFont="1" applyBorder="1"/>
    <xf numFmtId="0" fontId="25" fillId="0" borderId="35" xfId="0" applyFont="1" applyBorder="1"/>
    <xf numFmtId="0" fontId="25" fillId="0" borderId="1" xfId="0" applyFont="1" applyBorder="1"/>
    <xf numFmtId="43" fontId="1" fillId="55" borderId="190" xfId="0" applyNumberFormat="1" applyFont="1" applyFill="1" applyBorder="1"/>
    <xf numFmtId="0" fontId="1" fillId="0" borderId="37" xfId="0" applyFont="1" applyBorder="1"/>
    <xf numFmtId="0" fontId="1" fillId="0" borderId="38" xfId="0" applyFont="1" applyBorder="1"/>
    <xf numFmtId="0" fontId="1" fillId="0" borderId="80" xfId="0" applyFont="1" applyBorder="1"/>
    <xf numFmtId="0" fontId="1" fillId="0" borderId="81" xfId="0" applyFont="1" applyBorder="1"/>
    <xf numFmtId="0" fontId="3" fillId="29" borderId="0" xfId="0" applyFont="1" applyFill="1"/>
    <xf numFmtId="0" fontId="4" fillId="55" borderId="61" xfId="0" applyFont="1" applyFill="1" applyBorder="1" applyAlignment="1">
      <alignment horizontal="center"/>
    </xf>
    <xf numFmtId="1" fontId="25" fillId="0" borderId="0" xfId="0" applyNumberFormat="1" applyFont="1" applyFill="1" applyBorder="1" applyAlignment="1">
      <alignment horizontal="center"/>
    </xf>
    <xf numFmtId="0" fontId="25" fillId="0" borderId="310" xfId="0" applyFont="1" applyBorder="1"/>
    <xf numFmtId="170" fontId="22" fillId="0" borderId="0" xfId="0" applyNumberFormat="1" applyFont="1" applyFill="1" applyBorder="1"/>
    <xf numFmtId="0" fontId="1" fillId="0" borderId="39" xfId="0" applyFont="1" applyBorder="1"/>
    <xf numFmtId="0" fontId="25" fillId="0" borderId="74" xfId="0" applyFont="1" applyBorder="1"/>
    <xf numFmtId="0" fontId="25" fillId="0" borderId="307" xfId="0" applyFont="1" applyBorder="1"/>
    <xf numFmtId="0" fontId="25" fillId="0" borderId="14" xfId="0" applyFont="1" applyBorder="1"/>
    <xf numFmtId="0" fontId="25" fillId="0" borderId="22" xfId="0" applyFont="1" applyBorder="1"/>
    <xf numFmtId="0" fontId="25" fillId="0" borderId="23" xfId="0" applyFont="1" applyBorder="1"/>
    <xf numFmtId="0" fontId="25" fillId="0" borderId="24" xfId="0" applyFont="1" applyBorder="1"/>
    <xf numFmtId="0" fontId="61" fillId="28" borderId="0" xfId="0" applyFont="1" applyFill="1"/>
    <xf numFmtId="0" fontId="25" fillId="28" borderId="0" xfId="0" applyFont="1" applyFill="1"/>
    <xf numFmtId="0" fontId="61" fillId="55" borderId="96" xfId="0" applyFont="1" applyFill="1" applyBorder="1"/>
    <xf numFmtId="0" fontId="231" fillId="55" borderId="153" xfId="0" applyFont="1" applyFill="1" applyBorder="1" applyAlignment="1">
      <alignment horizontal="center"/>
    </xf>
    <xf numFmtId="0" fontId="25" fillId="55" borderId="35" xfId="0" applyFont="1" applyFill="1" applyBorder="1"/>
    <xf numFmtId="0" fontId="231" fillId="55" borderId="310" xfId="0" applyFont="1" applyFill="1" applyBorder="1" applyAlignment="1">
      <alignment horizontal="center"/>
    </xf>
    <xf numFmtId="0" fontId="4" fillId="55" borderId="310" xfId="0" applyFont="1" applyFill="1" applyBorder="1" applyAlignment="1">
      <alignment horizontal="center"/>
    </xf>
    <xf numFmtId="0" fontId="4" fillId="55" borderId="312" xfId="0" applyFont="1" applyFill="1" applyBorder="1" applyAlignment="1">
      <alignment horizontal="center"/>
    </xf>
    <xf numFmtId="0" fontId="231" fillId="55" borderId="35" xfId="0" applyFont="1" applyFill="1" applyBorder="1"/>
    <xf numFmtId="0" fontId="25" fillId="0" borderId="37" xfId="0" applyFont="1" applyBorder="1"/>
    <xf numFmtId="0" fontId="25" fillId="0" borderId="38" xfId="0" applyFont="1" applyBorder="1"/>
    <xf numFmtId="0" fontId="259" fillId="0" borderId="0" xfId="660" applyFont="1" applyAlignment="1" applyProtection="1"/>
    <xf numFmtId="37" fontId="25" fillId="0" borderId="3" xfId="301" applyNumberFormat="1" applyFont="1" applyFill="1" applyBorder="1" applyAlignment="1">
      <alignment horizontal="center"/>
    </xf>
    <xf numFmtId="37" fontId="25" fillId="0" borderId="1" xfId="301" applyNumberFormat="1" applyFont="1" applyFill="1" applyBorder="1" applyAlignment="1">
      <alignment horizontal="center"/>
    </xf>
    <xf numFmtId="39" fontId="1" fillId="0" borderId="3" xfId="301" applyNumberFormat="1" applyFont="1" applyBorder="1"/>
    <xf numFmtId="39" fontId="1" fillId="0" borderId="1" xfId="301" applyNumberFormat="1" applyFont="1" applyBorder="1"/>
    <xf numFmtId="39" fontId="1" fillId="0" borderId="310" xfId="301" applyNumberFormat="1" applyFont="1" applyBorder="1"/>
    <xf numFmtId="0" fontId="258" fillId="0" borderId="310" xfId="0" applyFont="1" applyBorder="1"/>
    <xf numFmtId="2" fontId="25" fillId="0" borderId="3" xfId="301" applyNumberFormat="1" applyFont="1" applyFill="1" applyBorder="1"/>
    <xf numFmtId="2" fontId="25" fillId="0" borderId="1" xfId="301" applyNumberFormat="1" applyFont="1" applyFill="1" applyBorder="1"/>
    <xf numFmtId="3" fontId="25" fillId="0" borderId="3" xfId="301" applyNumberFormat="1" applyFont="1" applyFill="1" applyBorder="1" applyAlignment="1" applyProtection="1">
      <alignment horizontal="center"/>
      <protection locked="0"/>
    </xf>
    <xf numFmtId="3" fontId="25" fillId="0" borderId="1" xfId="301" applyNumberFormat="1" applyFont="1" applyFill="1" applyBorder="1" applyAlignment="1" applyProtection="1">
      <alignment horizontal="center"/>
      <protection locked="0"/>
    </xf>
    <xf numFmtId="171" fontId="1" fillId="0" borderId="34" xfId="301" applyNumberFormat="1" applyFont="1" applyBorder="1" applyAlignment="1">
      <alignment horizontal="center"/>
    </xf>
    <xf numFmtId="171" fontId="1" fillId="0" borderId="36" xfId="301" applyNumberFormat="1" applyFont="1" applyBorder="1" applyAlignment="1">
      <alignment horizontal="center"/>
    </xf>
    <xf numFmtId="168" fontId="22" fillId="55" borderId="36" xfId="0" applyNumberFormat="1" applyFont="1" applyFill="1" applyBorder="1" applyAlignment="1">
      <alignment horizontal="center"/>
    </xf>
    <xf numFmtId="37" fontId="25" fillId="0" borderId="3" xfId="301" applyNumberFormat="1" applyFont="1" applyFill="1" applyBorder="1" applyAlignment="1" applyProtection="1">
      <alignment horizontal="center"/>
      <protection locked="0"/>
    </xf>
    <xf numFmtId="37" fontId="25" fillId="0" borderId="1" xfId="301" applyNumberFormat="1" applyFont="1" applyFill="1" applyBorder="1" applyAlignment="1" applyProtection="1">
      <alignment horizontal="center"/>
      <protection locked="0"/>
    </xf>
    <xf numFmtId="37" fontId="25" fillId="30" borderId="46" xfId="301" applyNumberFormat="1" applyFont="1" applyFill="1" applyBorder="1" applyAlignment="1">
      <alignment horizontal="center"/>
    </xf>
    <xf numFmtId="37" fontId="25" fillId="30" borderId="1" xfId="301" applyNumberFormat="1" applyFont="1" applyFill="1" applyBorder="1" applyAlignment="1">
      <alignment horizontal="center"/>
    </xf>
    <xf numFmtId="3" fontId="25" fillId="30" borderId="310" xfId="301" applyNumberFormat="1" applyFont="1" applyFill="1" applyBorder="1" applyAlignment="1">
      <alignment horizontal="center"/>
    </xf>
    <xf numFmtId="191" fontId="136" fillId="37" borderId="142" xfId="301" applyNumberFormat="1" applyFont="1" applyFill="1" applyBorder="1" applyAlignment="1">
      <alignment horizontal="center"/>
    </xf>
    <xf numFmtId="191" fontId="137" fillId="37" borderId="45" xfId="301" applyNumberFormat="1" applyFont="1" applyFill="1" applyBorder="1" applyAlignment="1">
      <alignment horizontal="center"/>
    </xf>
    <xf numFmtId="191" fontId="137" fillId="0" borderId="45" xfId="301" applyNumberFormat="1" applyFont="1" applyBorder="1" applyAlignment="1">
      <alignment horizontal="center"/>
    </xf>
    <xf numFmtId="169" fontId="1" fillId="0" borderId="275" xfId="301" applyNumberFormat="1" applyFont="1" applyBorder="1"/>
    <xf numFmtId="169" fontId="1" fillId="0" borderId="237" xfId="301" applyNumberFormat="1" applyFont="1" applyBorder="1"/>
    <xf numFmtId="169" fontId="1" fillId="0" borderId="144" xfId="301" applyNumberFormat="1" applyFont="1" applyBorder="1"/>
    <xf numFmtId="169" fontId="1" fillId="0" borderId="169" xfId="301" applyNumberFormat="1" applyFont="1" applyBorder="1"/>
    <xf numFmtId="168" fontId="6" fillId="55" borderId="233" xfId="0" applyNumberFormat="1" applyFont="1" applyFill="1" applyBorder="1"/>
    <xf numFmtId="186" fontId="0" fillId="0" borderId="0" xfId="0" applyNumberFormat="1" applyBorder="1"/>
    <xf numFmtId="0" fontId="151" fillId="0" borderId="0" xfId="0" applyFont="1" applyAlignment="1">
      <alignment horizontal="right"/>
    </xf>
    <xf numFmtId="173" fontId="196" fillId="0" borderId="153" xfId="301" applyNumberFormat="1" applyFont="1" applyBorder="1" applyAlignment="1">
      <alignment horizontal="left"/>
    </xf>
    <xf numFmtId="173" fontId="196" fillId="0" borderId="153" xfId="301" applyNumberFormat="1" applyFont="1" applyBorder="1"/>
    <xf numFmtId="173" fontId="196" fillId="0" borderId="3" xfId="301" applyNumberFormat="1" applyFont="1" applyBorder="1" applyAlignment="1">
      <alignment horizontal="left"/>
    </xf>
    <xf numFmtId="173" fontId="196" fillId="0" borderId="226" xfId="301" applyNumberFormat="1" applyFont="1" applyBorder="1"/>
    <xf numFmtId="173" fontId="191" fillId="55" borderId="38" xfId="301" applyNumberFormat="1" applyFont="1" applyFill="1" applyBorder="1" applyAlignment="1">
      <alignment horizontal="left"/>
    </xf>
    <xf numFmtId="173" fontId="201" fillId="55" borderId="38" xfId="301" applyNumberFormat="1" applyFont="1" applyFill="1" applyBorder="1"/>
    <xf numFmtId="0" fontId="103" fillId="25" borderId="176" xfId="0" applyFont="1" applyFill="1" applyBorder="1"/>
    <xf numFmtId="0" fontId="104" fillId="0" borderId="110" xfId="0" applyFont="1" applyBorder="1"/>
    <xf numFmtId="0" fontId="104" fillId="0" borderId="201" xfId="0" applyFont="1" applyBorder="1"/>
    <xf numFmtId="0" fontId="260" fillId="0" borderId="318" xfId="0" applyFont="1" applyBorder="1"/>
    <xf numFmtId="0" fontId="260" fillId="0" borderId="111" xfId="0" applyFont="1" applyBorder="1"/>
    <xf numFmtId="0" fontId="103" fillId="0" borderId="303" xfId="0" applyFont="1" applyFill="1" applyBorder="1"/>
    <xf numFmtId="0" fontId="103" fillId="0" borderId="310" xfId="0" applyFont="1" applyBorder="1" applyAlignment="1">
      <alignment horizontal="center"/>
    </xf>
    <xf numFmtId="0" fontId="103" fillId="0" borderId="310" xfId="0" quotePrefix="1" applyFont="1" applyBorder="1" applyAlignment="1">
      <alignment horizontal="center"/>
    </xf>
    <xf numFmtId="0" fontId="103" fillId="46" borderId="112" xfId="0" applyFont="1" applyFill="1" applyBorder="1"/>
    <xf numFmtId="169" fontId="12" fillId="46" borderId="310" xfId="301" applyNumberFormat="1" applyFont="1" applyFill="1" applyBorder="1"/>
    <xf numFmtId="169" fontId="12" fillId="46" borderId="306" xfId="301" applyNumberFormat="1" applyFont="1" applyFill="1" applyBorder="1"/>
    <xf numFmtId="169" fontId="12" fillId="46" borderId="308" xfId="301" applyNumberFormat="1" applyFont="1" applyFill="1" applyBorder="1"/>
    <xf numFmtId="0" fontId="261" fillId="0" borderId="135" xfId="561" applyFont="1" applyFill="1" applyBorder="1" applyAlignment="1">
      <alignment horizontal="left" wrapText="1"/>
    </xf>
    <xf numFmtId="169" fontId="12" fillId="0" borderId="310" xfId="301" applyNumberFormat="1" applyFont="1" applyBorder="1"/>
    <xf numFmtId="169" fontId="12" fillId="0" borderId="306" xfId="301" applyNumberFormat="1" applyFont="1" applyBorder="1"/>
    <xf numFmtId="169" fontId="12" fillId="0" borderId="308" xfId="301" applyNumberFormat="1" applyFont="1" applyBorder="1"/>
    <xf numFmtId="0" fontId="261" fillId="0" borderId="135" xfId="561" applyFont="1" applyFill="1" applyBorder="1" applyAlignment="1">
      <alignment horizontal="left" wrapText="1" indent="1"/>
    </xf>
    <xf numFmtId="0" fontId="262" fillId="36" borderId="136" xfId="561" applyFont="1" applyFill="1" applyBorder="1" applyAlignment="1">
      <alignment horizontal="left" wrapText="1"/>
    </xf>
    <xf numFmtId="169" fontId="12" fillId="36" borderId="310" xfId="301" applyNumberFormat="1" applyFont="1" applyFill="1" applyBorder="1"/>
    <xf numFmtId="169" fontId="12" fillId="36" borderId="306" xfId="301" applyNumberFormat="1" applyFont="1" applyFill="1" applyBorder="1"/>
    <xf numFmtId="169" fontId="12" fillId="36" borderId="308" xfId="301" applyNumberFormat="1" applyFont="1" applyFill="1" applyBorder="1"/>
    <xf numFmtId="0" fontId="261" fillId="0" borderId="135" xfId="561" applyFont="1" applyFill="1" applyBorder="1" applyAlignment="1">
      <alignment horizontal="left" indent="1"/>
    </xf>
    <xf numFmtId="0" fontId="103" fillId="0" borderId="135" xfId="0" applyFont="1" applyFill="1" applyBorder="1"/>
    <xf numFmtId="169" fontId="12" fillId="0" borderId="310" xfId="301" applyNumberFormat="1" applyFont="1" applyFill="1" applyBorder="1"/>
    <xf numFmtId="169" fontId="12" fillId="0" borderId="310" xfId="0" applyNumberFormat="1" applyFont="1" applyBorder="1"/>
    <xf numFmtId="186" fontId="12" fillId="0" borderId="308" xfId="0" applyNumberFormat="1" applyFont="1" applyBorder="1"/>
    <xf numFmtId="186" fontId="12" fillId="0" borderId="310" xfId="0" applyNumberFormat="1" applyFont="1" applyBorder="1"/>
    <xf numFmtId="0" fontId="104" fillId="0" borderId="135" xfId="0" applyFont="1" applyFill="1" applyBorder="1" applyAlignment="1">
      <alignment horizontal="left" indent="1"/>
    </xf>
    <xf numFmtId="0" fontId="104" fillId="39" borderId="136" xfId="0" applyFont="1" applyFill="1" applyBorder="1"/>
    <xf numFmtId="169" fontId="12" fillId="39" borderId="310" xfId="301" applyNumberFormat="1" applyFont="1" applyFill="1" applyBorder="1"/>
    <xf numFmtId="169" fontId="12" fillId="39" borderId="306" xfId="301" applyNumberFormat="1" applyFont="1" applyFill="1" applyBorder="1"/>
    <xf numFmtId="169" fontId="12" fillId="39" borderId="308" xfId="301" applyNumberFormat="1" applyFont="1" applyFill="1" applyBorder="1"/>
    <xf numFmtId="0" fontId="103" fillId="66" borderId="136" xfId="0" applyFont="1" applyFill="1" applyBorder="1"/>
    <xf numFmtId="169" fontId="12" fillId="66" borderId="310" xfId="301" applyNumberFormat="1" applyFont="1" applyFill="1" applyBorder="1"/>
    <xf numFmtId="169" fontId="12" fillId="66" borderId="306" xfId="301" applyNumberFormat="1" applyFont="1" applyFill="1" applyBorder="1"/>
    <xf numFmtId="169" fontId="12" fillId="66" borderId="308" xfId="301" applyNumberFormat="1" applyFont="1" applyFill="1" applyBorder="1"/>
    <xf numFmtId="0" fontId="261" fillId="0" borderId="135" xfId="0" applyFont="1" applyFill="1" applyBorder="1" applyAlignment="1">
      <alignment horizontal="left" indent="1"/>
    </xf>
    <xf numFmtId="0" fontId="103" fillId="68" borderId="136" xfId="0" applyFont="1" applyFill="1" applyBorder="1"/>
    <xf numFmtId="186" fontId="12" fillId="68" borderId="310" xfId="301" applyNumberFormat="1" applyFont="1" applyFill="1" applyBorder="1"/>
    <xf numFmtId="198" fontId="12" fillId="68" borderId="306" xfId="301" applyNumberFormat="1" applyFont="1" applyFill="1" applyBorder="1"/>
    <xf numFmtId="169" fontId="12" fillId="68" borderId="310" xfId="301" applyNumberFormat="1" applyFont="1" applyFill="1" applyBorder="1"/>
    <xf numFmtId="169" fontId="12" fillId="68" borderId="308" xfId="301" applyNumberFormat="1" applyFont="1" applyFill="1" applyBorder="1"/>
    <xf numFmtId="186" fontId="12" fillId="0" borderId="310" xfId="301" applyNumberFormat="1" applyFont="1" applyBorder="1"/>
    <xf numFmtId="198" fontId="12" fillId="0" borderId="306" xfId="301" applyNumberFormat="1" applyFont="1" applyFill="1" applyBorder="1"/>
    <xf numFmtId="169" fontId="12" fillId="0" borderId="308" xfId="301" applyNumberFormat="1" applyFont="1" applyFill="1" applyBorder="1"/>
    <xf numFmtId="0" fontId="103" fillId="44" borderId="323" xfId="0" applyFont="1" applyFill="1" applyBorder="1"/>
    <xf numFmtId="169" fontId="12" fillId="44" borderId="310" xfId="301" applyNumberFormat="1" applyFont="1" applyFill="1" applyBorder="1"/>
    <xf numFmtId="169" fontId="12" fillId="44" borderId="306" xfId="301" applyNumberFormat="1" applyFont="1" applyFill="1" applyBorder="1"/>
    <xf numFmtId="169" fontId="12" fillId="44" borderId="308" xfId="301" applyNumberFormat="1" applyFont="1" applyFill="1" applyBorder="1"/>
    <xf numFmtId="0" fontId="103" fillId="0" borderId="325" xfId="561" applyFont="1" applyFill="1" applyBorder="1" applyAlignment="1">
      <alignment horizontal="left" wrapText="1" indent="1"/>
    </xf>
    <xf numFmtId="169" fontId="6" fillId="0" borderId="100" xfId="301" applyNumberFormat="1" applyFont="1" applyBorder="1"/>
    <xf numFmtId="169" fontId="6" fillId="0" borderId="101" xfId="301" applyNumberFormat="1" applyFont="1" applyBorder="1"/>
    <xf numFmtId="169" fontId="6" fillId="0" borderId="182" xfId="301" applyNumberFormat="1" applyFont="1" applyBorder="1"/>
    <xf numFmtId="0" fontId="103" fillId="0" borderId="135" xfId="0" applyFont="1" applyBorder="1"/>
    <xf numFmtId="43" fontId="104" fillId="0" borderId="185" xfId="0" applyNumberFormat="1" applyFont="1" applyBorder="1"/>
    <xf numFmtId="0" fontId="104" fillId="0" borderId="32" xfId="0" applyFont="1" applyBorder="1"/>
    <xf numFmtId="0" fontId="260" fillId="0" borderId="0" xfId="0" applyFont="1" applyBorder="1"/>
    <xf numFmtId="0" fontId="104" fillId="0" borderId="185" xfId="0" applyFont="1" applyBorder="1"/>
    <xf numFmtId="0" fontId="260" fillId="0" borderId="137" xfId="0" applyFont="1" applyBorder="1"/>
    <xf numFmtId="0" fontId="104" fillId="0" borderId="138" xfId="0" applyFont="1" applyBorder="1"/>
    <xf numFmtId="0" fontId="104" fillId="0" borderId="139" xfId="0" applyFont="1" applyBorder="1"/>
    <xf numFmtId="0" fontId="104" fillId="0" borderId="327" xfId="0" applyFont="1" applyBorder="1"/>
    <xf numFmtId="0" fontId="104" fillId="0" borderId="140" xfId="0" applyFont="1" applyBorder="1"/>
    <xf numFmtId="0" fontId="103" fillId="0" borderId="306" xfId="0" applyFont="1" applyBorder="1" applyAlignment="1">
      <alignment horizontal="center"/>
    </xf>
    <xf numFmtId="169" fontId="12" fillId="0" borderId="306" xfId="0" applyNumberFormat="1" applyFont="1" applyBorder="1"/>
    <xf numFmtId="186" fontId="12" fillId="0" borderId="306" xfId="0" applyNumberFormat="1" applyFont="1" applyBorder="1"/>
    <xf numFmtId="169" fontId="12" fillId="68" borderId="306" xfId="301" applyNumberFormat="1" applyFont="1" applyFill="1" applyBorder="1"/>
    <xf numFmtId="169" fontId="12" fillId="0" borderId="306" xfId="301" applyNumberFormat="1" applyFont="1" applyFill="1" applyBorder="1"/>
    <xf numFmtId="0" fontId="104" fillId="0" borderId="314" xfId="0" applyFont="1" applyBorder="1" applyAlignment="1">
      <alignment horizontal="center"/>
    </xf>
    <xf numFmtId="169" fontId="12" fillId="64" borderId="320" xfId="301" applyNumberFormat="1" applyFont="1" applyFill="1" applyBorder="1" applyAlignment="1" applyProtection="1"/>
    <xf numFmtId="169" fontId="12" fillId="0" borderId="49" xfId="301" applyNumberFormat="1" applyFont="1" applyFill="1" applyBorder="1" applyAlignment="1" applyProtection="1"/>
    <xf numFmtId="169" fontId="12" fillId="65" borderId="321" xfId="301" applyNumberFormat="1" applyFont="1" applyFill="1" applyBorder="1" applyAlignment="1" applyProtection="1"/>
    <xf numFmtId="169" fontId="12" fillId="0" borderId="321" xfId="301" applyNumberFormat="1" applyFont="1" applyFill="1" applyBorder="1" applyAlignment="1" applyProtection="1"/>
    <xf numFmtId="169" fontId="12" fillId="0" borderId="322" xfId="301" applyNumberFormat="1" applyFont="1" applyFill="1" applyBorder="1" applyAlignment="1" applyProtection="1"/>
    <xf numFmtId="169" fontId="12" fillId="0" borderId="320" xfId="301" applyNumberFormat="1" applyFont="1" applyFill="1" applyBorder="1" applyAlignment="1" applyProtection="1"/>
    <xf numFmtId="169" fontId="12" fillId="39" borderId="321" xfId="301" applyNumberFormat="1" applyFont="1" applyFill="1" applyBorder="1" applyAlignment="1" applyProtection="1"/>
    <xf numFmtId="169" fontId="12" fillId="67" borderId="321" xfId="301" applyNumberFormat="1" applyFont="1" applyFill="1" applyBorder="1" applyAlignment="1" applyProtection="1"/>
    <xf numFmtId="169" fontId="12" fillId="0" borderId="310" xfId="301" applyNumberFormat="1" applyFont="1" applyFill="1" applyBorder="1" applyAlignment="1" applyProtection="1"/>
    <xf numFmtId="169" fontId="12" fillId="69" borderId="310" xfId="301" applyNumberFormat="1" applyFont="1" applyFill="1" applyBorder="1" applyAlignment="1" applyProtection="1"/>
    <xf numFmtId="169" fontId="12" fillId="70" borderId="324" xfId="301" applyNumberFormat="1" applyFont="1" applyFill="1" applyBorder="1" applyAlignment="1" applyProtection="1"/>
    <xf numFmtId="169" fontId="6" fillId="0" borderId="326" xfId="301" applyNumberFormat="1" applyFont="1" applyFill="1" applyBorder="1" applyAlignment="1" applyProtection="1"/>
    <xf numFmtId="0" fontId="103" fillId="0" borderId="319" xfId="0" applyFont="1" applyBorder="1" applyAlignment="1">
      <alignment horizontal="center"/>
    </xf>
    <xf numFmtId="169" fontId="12" fillId="46" borderId="319" xfId="301" applyNumberFormat="1" applyFont="1" applyFill="1" applyBorder="1"/>
    <xf numFmtId="169" fontId="12" fillId="0" borderId="319" xfId="301" applyNumberFormat="1" applyFont="1" applyBorder="1"/>
    <xf numFmtId="169" fontId="12" fillId="36" borderId="319" xfId="301" applyNumberFormat="1" applyFont="1" applyFill="1" applyBorder="1"/>
    <xf numFmtId="169" fontId="12" fillId="0" borderId="319" xfId="0" applyNumberFormat="1" applyFont="1" applyBorder="1"/>
    <xf numFmtId="186" fontId="12" fillId="0" borderId="319" xfId="0" applyNumberFormat="1" applyFont="1" applyBorder="1"/>
    <xf numFmtId="169" fontId="12" fillId="39" borderId="319" xfId="301" applyNumberFormat="1" applyFont="1" applyFill="1" applyBorder="1"/>
    <xf numFmtId="169" fontId="12" fillId="66" borderId="319" xfId="301" applyNumberFormat="1" applyFont="1" applyFill="1" applyBorder="1"/>
    <xf numFmtId="169" fontId="12" fillId="68" borderId="319" xfId="301" applyNumberFormat="1" applyFont="1" applyFill="1" applyBorder="1"/>
    <xf numFmtId="169" fontId="12" fillId="0" borderId="319" xfId="301" applyNumberFormat="1" applyFont="1" applyFill="1" applyBorder="1"/>
    <xf numFmtId="169" fontId="12" fillId="44" borderId="319" xfId="301" applyNumberFormat="1" applyFont="1" applyFill="1" applyBorder="1"/>
    <xf numFmtId="169" fontId="6" fillId="0" borderId="280" xfId="301" applyNumberFormat="1" applyFont="1" applyBorder="1"/>
    <xf numFmtId="0" fontId="103" fillId="71" borderId="136" xfId="0" applyFont="1" applyFill="1" applyBorder="1"/>
    <xf numFmtId="169" fontId="12" fillId="71" borderId="310" xfId="301" applyNumberFormat="1" applyFont="1" applyFill="1" applyBorder="1"/>
    <xf numFmtId="169" fontId="12" fillId="71" borderId="306" xfId="301" applyNumberFormat="1" applyFont="1" applyFill="1" applyBorder="1"/>
    <xf numFmtId="169" fontId="12" fillId="71" borderId="321" xfId="301" applyNumberFormat="1" applyFont="1" applyFill="1" applyBorder="1" applyAlignment="1" applyProtection="1"/>
    <xf numFmtId="169" fontId="12" fillId="71" borderId="308" xfId="301" applyNumberFormat="1" applyFont="1" applyFill="1" applyBorder="1"/>
    <xf numFmtId="169" fontId="12" fillId="71" borderId="319" xfId="301" applyNumberFormat="1" applyFont="1" applyFill="1" applyBorder="1"/>
    <xf numFmtId="0" fontId="136" fillId="0" borderId="122" xfId="0" applyFont="1" applyBorder="1"/>
    <xf numFmtId="0" fontId="136" fillId="0" borderId="244" xfId="0" applyFont="1" applyBorder="1"/>
    <xf numFmtId="0" fontId="36" fillId="47" borderId="92" xfId="0" applyFont="1" applyFill="1" applyBorder="1"/>
    <xf numFmtId="0" fontId="36" fillId="47" borderId="93" xfId="0" applyFont="1" applyFill="1" applyBorder="1"/>
    <xf numFmtId="0" fontId="136" fillId="0" borderId="219" xfId="0" applyFont="1" applyBorder="1"/>
    <xf numFmtId="0" fontId="136" fillId="0" borderId="243" xfId="0" applyFont="1" applyBorder="1"/>
    <xf numFmtId="0" fontId="6" fillId="0" borderId="125" xfId="0" applyFont="1" applyFill="1" applyBorder="1" applyAlignment="1">
      <alignment horizontal="center"/>
    </xf>
    <xf numFmtId="0" fontId="0" fillId="0" borderId="125" xfId="0" applyFill="1" applyBorder="1" applyAlignment="1">
      <alignment horizontal="center"/>
    </xf>
    <xf numFmtId="0" fontId="179" fillId="0" borderId="0" xfId="0" applyFont="1" applyFill="1" applyBorder="1" applyAlignment="1">
      <alignment horizontal="center"/>
    </xf>
    <xf numFmtId="0" fontId="179" fillId="0" borderId="106" xfId="0" applyFont="1" applyFill="1" applyBorder="1" applyAlignment="1">
      <alignment horizontal="center"/>
    </xf>
    <xf numFmtId="0" fontId="179" fillId="0" borderId="85" xfId="0" applyFont="1" applyFill="1" applyBorder="1" applyAlignment="1">
      <alignment horizontal="center"/>
    </xf>
    <xf numFmtId="0" fontId="178" fillId="0" borderId="85" xfId="0" applyFont="1" applyFill="1" applyBorder="1" applyAlignment="1"/>
    <xf numFmtId="0" fontId="178" fillId="0" borderId="99" xfId="0" applyFont="1" applyFill="1" applyBorder="1" applyAlignment="1"/>
    <xf numFmtId="0" fontId="0" fillId="0" borderId="0" xfId="0"/>
    <xf numFmtId="0" fontId="6" fillId="0" borderId="0" xfId="0" applyFont="1" applyFill="1" applyAlignment="1"/>
    <xf numFmtId="0" fontId="12" fillId="0" borderId="0" xfId="0" applyFont="1" applyFill="1" applyAlignment="1"/>
    <xf numFmtId="0" fontId="69" fillId="0" borderId="92" xfId="0" applyFont="1" applyBorder="1" applyAlignment="1">
      <alignment horizontal="center" shrinkToFit="1"/>
    </xf>
    <xf numFmtId="0" fontId="69" fillId="0" borderId="65" xfId="0" applyFont="1" applyBorder="1" applyAlignment="1">
      <alignment horizontal="center" shrinkToFit="1"/>
    </xf>
    <xf numFmtId="0" fontId="69" fillId="0" borderId="93" xfId="0" applyFont="1" applyBorder="1" applyAlignment="1">
      <alignment horizontal="center" shrinkToFit="1"/>
    </xf>
    <xf numFmtId="0" fontId="69" fillId="0" borderId="0" xfId="0" applyFont="1" applyAlignment="1"/>
    <xf numFmtId="0" fontId="0" fillId="0" borderId="0" xfId="0" applyAlignment="1"/>
    <xf numFmtId="0" fontId="234" fillId="0" borderId="0" xfId="0" applyFont="1" applyAlignment="1">
      <alignment horizontal="left" wrapText="1"/>
    </xf>
    <xf numFmtId="0" fontId="116" fillId="25" borderId="92" xfId="0" applyFont="1" applyFill="1" applyBorder="1" applyAlignment="1"/>
    <xf numFmtId="0" fontId="108" fillId="0" borderId="65" xfId="0" applyFont="1" applyBorder="1" applyAlignment="1"/>
    <xf numFmtId="0" fontId="108" fillId="0" borderId="93" xfId="0" applyFont="1" applyBorder="1" applyAlignment="1"/>
    <xf numFmtId="0" fontId="244" fillId="0" borderId="106" xfId="0" applyFont="1" applyBorder="1" applyAlignment="1">
      <alignment horizontal="center"/>
    </xf>
    <xf numFmtId="0" fontId="244" fillId="0" borderId="85" xfId="0" applyFont="1" applyBorder="1" applyAlignment="1">
      <alignment horizontal="center"/>
    </xf>
    <xf numFmtId="0" fontId="244" fillId="0" borderId="99" xfId="0" applyFont="1" applyBorder="1" applyAlignment="1">
      <alignment horizontal="center"/>
    </xf>
    <xf numFmtId="0" fontId="248" fillId="0" borderId="216" xfId="0" applyFont="1" applyBorder="1" applyAlignment="1">
      <alignment horizontal="center"/>
    </xf>
    <xf numFmtId="0" fontId="248" fillId="0" borderId="227" xfId="0" applyFont="1" applyBorder="1" applyAlignment="1">
      <alignment horizontal="center"/>
    </xf>
    <xf numFmtId="0" fontId="248" fillId="0" borderId="48" xfId="0" applyFont="1" applyBorder="1" applyAlignment="1">
      <alignment horizontal="center"/>
    </xf>
    <xf numFmtId="0" fontId="66" fillId="35" borderId="98" xfId="569" applyFont="1" applyFill="1" applyBorder="1" applyAlignment="1">
      <alignment horizontal="center"/>
    </xf>
    <xf numFmtId="0" fontId="66" fillId="35" borderId="85" xfId="569" applyFont="1" applyFill="1" applyBorder="1" applyAlignment="1">
      <alignment horizontal="center"/>
    </xf>
    <xf numFmtId="0" fontId="66" fillId="35" borderId="195" xfId="569" applyFont="1" applyFill="1" applyBorder="1" applyAlignment="1">
      <alignment horizontal="center"/>
    </xf>
    <xf numFmtId="0" fontId="66" fillId="35" borderId="99" xfId="569" applyFont="1" applyFill="1" applyBorder="1" applyAlignment="1">
      <alignment horizontal="center"/>
    </xf>
    <xf numFmtId="0" fontId="19" fillId="0" borderId="0" xfId="0" applyFont="1" applyAlignment="1">
      <alignment horizontal="left" wrapText="1"/>
    </xf>
    <xf numFmtId="0" fontId="244" fillId="55" borderId="88" xfId="0" applyFont="1" applyFill="1" applyBorder="1" applyAlignment="1">
      <alignment horizontal="center"/>
    </xf>
    <xf numFmtId="0" fontId="0" fillId="55" borderId="46" xfId="0" applyFill="1" applyBorder="1" applyAlignment="1">
      <alignment horizontal="center"/>
    </xf>
    <xf numFmtId="0" fontId="0" fillId="55" borderId="103" xfId="0" applyFill="1" applyBorder="1" applyAlignment="1">
      <alignment horizontal="center"/>
    </xf>
    <xf numFmtId="0" fontId="1" fillId="55" borderId="226" xfId="0" applyFont="1" applyFill="1" applyBorder="1" applyAlignment="1">
      <alignment horizontal="center"/>
    </xf>
    <xf numFmtId="0" fontId="0" fillId="55" borderId="226" xfId="0" applyFill="1" applyBorder="1" applyAlignment="1"/>
    <xf numFmtId="0" fontId="137" fillId="0" borderId="0" xfId="0" applyFont="1" applyBorder="1" applyAlignment="1"/>
    <xf numFmtId="0" fontId="0" fillId="0" borderId="0" xfId="0" applyBorder="1" applyAlignment="1"/>
    <xf numFmtId="0" fontId="6" fillId="28" borderId="221" xfId="0" applyFont="1" applyFill="1" applyBorder="1" applyAlignment="1"/>
    <xf numFmtId="0" fontId="12" fillId="0" borderId="73" xfId="0" applyFont="1" applyBorder="1" applyAlignment="1"/>
    <xf numFmtId="0" fontId="12" fillId="0" borderId="222" xfId="0" applyFont="1" applyBorder="1" applyAlignment="1"/>
    <xf numFmtId="3" fontId="6" fillId="31" borderId="47" xfId="0" applyNumberFormat="1" applyFont="1" applyFill="1" applyBorder="1" applyAlignment="1"/>
    <xf numFmtId="0" fontId="0" fillId="0" borderId="89" xfId="0" applyBorder="1" applyAlignment="1"/>
    <xf numFmtId="3" fontId="6" fillId="60" borderId="47" xfId="0" applyNumberFormat="1" applyFont="1" applyFill="1" applyBorder="1" applyAlignment="1"/>
    <xf numFmtId="0" fontId="0" fillId="60" borderId="89" xfId="0" applyFill="1" applyBorder="1" applyAlignment="1"/>
    <xf numFmtId="0" fontId="6" fillId="61" borderId="74" xfId="0" applyFont="1" applyFill="1" applyBorder="1" applyAlignment="1"/>
    <xf numFmtId="0" fontId="0" fillId="61" borderId="14" xfId="0" applyFill="1" applyBorder="1" applyAlignment="1"/>
    <xf numFmtId="0" fontId="0" fillId="61" borderId="89" xfId="0" applyFill="1" applyBorder="1" applyAlignment="1"/>
    <xf numFmtId="0" fontId="6" fillId="44" borderId="74" xfId="0" applyFont="1" applyFill="1" applyBorder="1" applyAlignment="1"/>
    <xf numFmtId="0" fontId="0" fillId="44" borderId="14" xfId="0" applyFill="1" applyBorder="1" applyAlignment="1"/>
    <xf numFmtId="0" fontId="0" fillId="44" borderId="89" xfId="0" applyFill="1" applyBorder="1" applyAlignment="1"/>
    <xf numFmtId="0" fontId="6" fillId="58" borderId="74" xfId="0" applyFont="1" applyFill="1" applyBorder="1" applyAlignment="1"/>
    <xf numFmtId="0" fontId="0" fillId="58" borderId="14" xfId="0" applyFill="1" applyBorder="1" applyAlignment="1"/>
    <xf numFmtId="0" fontId="0" fillId="58" borderId="89" xfId="0" applyFill="1" applyBorder="1" applyAlignment="1"/>
    <xf numFmtId="0" fontId="6" fillId="36" borderId="74" xfId="0" applyFont="1" applyFill="1" applyBorder="1" applyAlignment="1"/>
    <xf numFmtId="0" fontId="0" fillId="0" borderId="14" xfId="0" applyBorder="1" applyAlignment="1"/>
    <xf numFmtId="0" fontId="137" fillId="0" borderId="240" xfId="0" applyFont="1" applyFill="1" applyBorder="1" applyAlignment="1"/>
    <xf numFmtId="0" fontId="0" fillId="0" borderId="241" xfId="0" applyBorder="1" applyAlignment="1"/>
    <xf numFmtId="0" fontId="0" fillId="0" borderId="242" xfId="0" applyBorder="1" applyAlignment="1"/>
    <xf numFmtId="0" fontId="136" fillId="0" borderId="167" xfId="0" applyFont="1" applyFill="1" applyBorder="1" applyAlignment="1">
      <alignment horizontal="center" textRotation="90"/>
    </xf>
    <xf numFmtId="0" fontId="22" fillId="0" borderId="102" xfId="0" applyFont="1" applyFill="1" applyBorder="1" applyAlignment="1">
      <alignment horizontal="center" textRotation="90"/>
    </xf>
    <xf numFmtId="0" fontId="22" fillId="0" borderId="147" xfId="0" applyFont="1" applyFill="1" applyBorder="1" applyAlignment="1">
      <alignment horizontal="center" textRotation="90"/>
    </xf>
    <xf numFmtId="0" fontId="136" fillId="25" borderId="167" xfId="0" quotePrefix="1" applyFont="1" applyFill="1" applyBorder="1" applyAlignment="1">
      <alignment horizontal="center" textRotation="90"/>
    </xf>
    <xf numFmtId="0" fontId="0" fillId="0" borderId="102" xfId="0" applyBorder="1" applyAlignment="1">
      <alignment horizontal="center" textRotation="90"/>
    </xf>
    <xf numFmtId="0" fontId="0" fillId="0" borderId="147" xfId="0" applyBorder="1" applyAlignment="1">
      <alignment horizontal="center" textRotation="90"/>
    </xf>
    <xf numFmtId="0" fontId="137" fillId="0" borderId="136" xfId="0" applyFont="1" applyBorder="1" applyAlignment="1"/>
    <xf numFmtId="0" fontId="137" fillId="0" borderId="227" xfId="0" applyFont="1" applyBorder="1" applyAlignment="1"/>
    <xf numFmtId="0" fontId="162" fillId="0" borderId="136" xfId="0" applyFont="1" applyBorder="1" applyAlignment="1"/>
    <xf numFmtId="0" fontId="162" fillId="0" borderId="227" xfId="0" applyFont="1" applyBorder="1" applyAlignment="1"/>
    <xf numFmtId="0" fontId="0" fillId="0" borderId="227" xfId="0" applyBorder="1" applyAlignment="1"/>
    <xf numFmtId="0" fontId="137" fillId="0" borderId="109" xfId="0" applyFont="1" applyBorder="1" applyAlignment="1"/>
    <xf numFmtId="0" fontId="137" fillId="0" borderId="230" xfId="0" applyFont="1" applyBorder="1" applyAlignment="1"/>
    <xf numFmtId="0" fontId="137" fillId="0" borderId="112" xfId="0" applyFont="1" applyBorder="1" applyAlignment="1"/>
    <xf numFmtId="0" fontId="137" fillId="0" borderId="228" xfId="0" applyFont="1" applyBorder="1" applyAlignment="1"/>
    <xf numFmtId="0" fontId="4" fillId="55" borderId="94" xfId="563" applyFont="1" applyFill="1" applyBorder="1" applyAlignment="1">
      <alignment horizontal="center"/>
    </xf>
    <xf numFmtId="0" fontId="4" fillId="55" borderId="95" xfId="563" applyFont="1" applyFill="1" applyBorder="1" applyAlignment="1">
      <alignment horizontal="center"/>
    </xf>
    <xf numFmtId="0" fontId="0" fillId="0" borderId="0" xfId="0" applyAlignment="1">
      <alignment wrapText="1"/>
    </xf>
    <xf numFmtId="0" fontId="1" fillId="0" borderId="0" xfId="0" applyFont="1" applyAlignment="1">
      <alignment wrapText="1"/>
    </xf>
    <xf numFmtId="0" fontId="62" fillId="55" borderId="65" xfId="0" applyFont="1" applyFill="1" applyBorder="1" applyAlignment="1"/>
    <xf numFmtId="0" fontId="62" fillId="55" borderId="93" xfId="0" applyFont="1" applyFill="1" applyBorder="1" applyAlignment="1"/>
    <xf numFmtId="0" fontId="3" fillId="55" borderId="49" xfId="0" applyFont="1" applyFill="1" applyBorder="1" applyAlignment="1">
      <alignment horizontal="center" wrapText="1"/>
    </xf>
    <xf numFmtId="0" fontId="0" fillId="55" borderId="61" xfId="0" applyFill="1" applyBorder="1" applyAlignment="1"/>
    <xf numFmtId="0" fontId="3" fillId="0" borderId="0" xfId="0" applyFont="1" applyAlignment="1">
      <alignment horizontal="left" wrapText="1"/>
    </xf>
    <xf numFmtId="0" fontId="120" fillId="55" borderId="311" xfId="572" applyFont="1" applyFill="1" applyBorder="1" applyAlignment="1">
      <alignment vertical="center"/>
    </xf>
    <xf numFmtId="0" fontId="54" fillId="55" borderId="150" xfId="0" applyFont="1" applyFill="1" applyBorder="1" applyAlignment="1"/>
    <xf numFmtId="0" fontId="163" fillId="0" borderId="1" xfId="564" applyFont="1" applyFill="1" applyBorder="1" applyAlignment="1" applyProtection="1">
      <alignment horizontal="right" wrapText="1"/>
    </xf>
    <xf numFmtId="0" fontId="3" fillId="0" borderId="0" xfId="0" applyFont="1" applyBorder="1" applyAlignment="1"/>
    <xf numFmtId="0" fontId="22" fillId="0" borderId="23" xfId="0" applyFont="1" applyBorder="1" applyAlignment="1">
      <alignment horizontal="center" vertical="top" wrapText="1"/>
    </xf>
    <xf numFmtId="0" fontId="22" fillId="30" borderId="23" xfId="0" applyFont="1" applyFill="1" applyBorder="1" applyAlignment="1">
      <alignment horizontal="center" vertical="top" wrapText="1"/>
    </xf>
    <xf numFmtId="9" fontId="22" fillId="0" borderId="23" xfId="597" applyFont="1" applyBorder="1" applyAlignment="1">
      <alignment horizontal="center"/>
    </xf>
    <xf numFmtId="9" fontId="22" fillId="0" borderId="23" xfId="597" applyFont="1" applyFill="1" applyBorder="1" applyAlignment="1">
      <alignment horizontal="center"/>
    </xf>
    <xf numFmtId="0" fontId="22" fillId="0" borderId="0" xfId="0" applyFont="1" applyBorder="1" applyAlignment="1">
      <alignment horizontal="center"/>
    </xf>
    <xf numFmtId="0" fontId="22" fillId="0" borderId="0" xfId="0" applyFont="1" applyBorder="1" applyAlignment="1">
      <alignment horizontal="center" vertical="top" wrapText="1"/>
    </xf>
    <xf numFmtId="0" fontId="22" fillId="0" borderId="23" xfId="0" applyFont="1" applyFill="1" applyBorder="1" applyAlignment="1">
      <alignment horizontal="center" vertical="top" wrapText="1"/>
    </xf>
  </cellXfs>
  <cellStyles count="662">
    <cellStyle name="20% - Accent1 2" xfId="1"/>
    <cellStyle name="20% - Accent1 2 2" xfId="2"/>
    <cellStyle name="20% - Accent1 2 3" xfId="3"/>
    <cellStyle name="20% - Accent1 2 4" xfId="4"/>
    <cellStyle name="20% - Accent1 3" xfId="5"/>
    <cellStyle name="20% - Accent1 3 2" xfId="6"/>
    <cellStyle name="20% - Accent1 3 2 2" xfId="7"/>
    <cellStyle name="20% - Accent1 3 2 2 2" xfId="8"/>
    <cellStyle name="20% - Accent1 3 3" xfId="9"/>
    <cellStyle name="20% - Accent1 4" xfId="10"/>
    <cellStyle name="20% - Accent1 4 2" xfId="11"/>
    <cellStyle name="20% - Accent2 2" xfId="12"/>
    <cellStyle name="20% - Accent2 2 2" xfId="13"/>
    <cellStyle name="20% - Accent2 2 3" xfId="14"/>
    <cellStyle name="20% - Accent2 2 4" xfId="15"/>
    <cellStyle name="20% - Accent2 3" xfId="16"/>
    <cellStyle name="20% - Accent2 3 2" xfId="17"/>
    <cellStyle name="20% - Accent2 3 2 2" xfId="18"/>
    <cellStyle name="20% - Accent2 3 2 2 2" xfId="19"/>
    <cellStyle name="20% - Accent2 3 3" xfId="20"/>
    <cellStyle name="20% - Accent2 4" xfId="21"/>
    <cellStyle name="20% - Accent2 4 2" xfId="22"/>
    <cellStyle name="20% - Accent3 2" xfId="23"/>
    <cellStyle name="20% - Accent3 2 2" xfId="24"/>
    <cellStyle name="20% - Accent3 2 3" xfId="25"/>
    <cellStyle name="20% - Accent3 2 4" xfId="26"/>
    <cellStyle name="20% - Accent3 3" xfId="27"/>
    <cellStyle name="20% - Accent3 3 2" xfId="28"/>
    <cellStyle name="20% - Accent3 3 2 2" xfId="29"/>
    <cellStyle name="20% - Accent3 3 2 2 2" xfId="30"/>
    <cellStyle name="20% - Accent3 3 3" xfId="31"/>
    <cellStyle name="20% - Accent3 4" xfId="32"/>
    <cellStyle name="20% - Accent3 4 2" xfId="33"/>
    <cellStyle name="20% - Accent4 2" xfId="34"/>
    <cellStyle name="20% - Accent4 2 2" xfId="35"/>
    <cellStyle name="20% - Accent4 2 3" xfId="36"/>
    <cellStyle name="20% - Accent4 2 4" xfId="37"/>
    <cellStyle name="20% - Accent4 3" xfId="38"/>
    <cellStyle name="20% - Accent4 3 2" xfId="39"/>
    <cellStyle name="20% - Accent4 3 2 2" xfId="40"/>
    <cellStyle name="20% - Accent4 3 2 2 2" xfId="41"/>
    <cellStyle name="20% - Accent4 3 3" xfId="42"/>
    <cellStyle name="20% - Accent4 4" xfId="43"/>
    <cellStyle name="20% - Accent4 4 2" xfId="44"/>
    <cellStyle name="20% - Accent5 2" xfId="45"/>
    <cellStyle name="20% - Accent5 2 2" xfId="46"/>
    <cellStyle name="20% - Accent5 2 3" xfId="47"/>
    <cellStyle name="20% - Accent5 2 4" xfId="48"/>
    <cellStyle name="20% - Accent5 3" xfId="49"/>
    <cellStyle name="20% - Accent5 3 2" xfId="50"/>
    <cellStyle name="20% - Accent5 3 2 2" xfId="51"/>
    <cellStyle name="20% - Accent5 3 2 2 2" xfId="52"/>
    <cellStyle name="20% - Accent5 3 3" xfId="53"/>
    <cellStyle name="20% - Accent5 4" xfId="54"/>
    <cellStyle name="20% - Accent5 4 2" xfId="55"/>
    <cellStyle name="20% - Accent6 2" xfId="56"/>
    <cellStyle name="20% - Accent6 2 2" xfId="57"/>
    <cellStyle name="20% - Accent6 2 3" xfId="58"/>
    <cellStyle name="20% - Accent6 2 4" xfId="59"/>
    <cellStyle name="20% - Accent6 3" xfId="60"/>
    <cellStyle name="20% - Accent6 3 2" xfId="61"/>
    <cellStyle name="20% - Accent6 3 2 2" xfId="62"/>
    <cellStyle name="20% - Accent6 3 2 2 2" xfId="63"/>
    <cellStyle name="20% - Accent6 3 3" xfId="64"/>
    <cellStyle name="20% - Accent6 4" xfId="65"/>
    <cellStyle name="20% - Accent6 4 2" xfId="66"/>
    <cellStyle name="2x indented GHG Textfiels" xfId="67"/>
    <cellStyle name="40% - Accent1 2" xfId="68"/>
    <cellStyle name="40% - Accent1 2 2" xfId="69"/>
    <cellStyle name="40% - Accent1 2 3" xfId="70"/>
    <cellStyle name="40% - Accent1 2 4" xfId="71"/>
    <cellStyle name="40% - Accent1 3" xfId="72"/>
    <cellStyle name="40% - Accent1 3 2" xfId="73"/>
    <cellStyle name="40% - Accent1 3 2 2" xfId="74"/>
    <cellStyle name="40% - Accent1 3 2 2 2" xfId="75"/>
    <cellStyle name="40% - Accent1 3 3" xfId="76"/>
    <cellStyle name="40% - Accent1 4" xfId="77"/>
    <cellStyle name="40% - Accent1 4 2" xfId="78"/>
    <cellStyle name="40% - Accent2 2" xfId="79"/>
    <cellStyle name="40% - Accent2 2 2" xfId="80"/>
    <cellStyle name="40% - Accent2 2 3" xfId="81"/>
    <cellStyle name="40% - Accent2 2 4" xfId="82"/>
    <cellStyle name="40% - Accent2 3" xfId="83"/>
    <cellStyle name="40% - Accent2 3 2" xfId="84"/>
    <cellStyle name="40% - Accent2 3 2 2" xfId="85"/>
    <cellStyle name="40% - Accent2 3 2 2 2" xfId="86"/>
    <cellStyle name="40% - Accent2 3 3" xfId="87"/>
    <cellStyle name="40% - Accent2 4" xfId="88"/>
    <cellStyle name="40% - Accent2 4 2" xfId="89"/>
    <cellStyle name="40% - Accent3 2" xfId="90"/>
    <cellStyle name="40% - Accent3 2 2" xfId="91"/>
    <cellStyle name="40% - Accent3 2 3" xfId="92"/>
    <cellStyle name="40% - Accent3 2 4" xfId="93"/>
    <cellStyle name="40% - Accent3 3" xfId="94"/>
    <cellStyle name="40% - Accent3 3 2" xfId="95"/>
    <cellStyle name="40% - Accent3 3 2 2" xfId="96"/>
    <cellStyle name="40% - Accent3 3 2 2 2" xfId="97"/>
    <cellStyle name="40% - Accent3 3 3" xfId="98"/>
    <cellStyle name="40% - Accent3 4" xfId="99"/>
    <cellStyle name="40% - Accent3 4 2" xfId="100"/>
    <cellStyle name="40% - Accent4 2" xfId="101"/>
    <cellStyle name="40% - Accent4 2 2" xfId="102"/>
    <cellStyle name="40% - Accent4 2 3" xfId="103"/>
    <cellStyle name="40% - Accent4 2 4" xfId="104"/>
    <cellStyle name="40% - Accent4 3" xfId="105"/>
    <cellStyle name="40% - Accent4 3 2" xfId="106"/>
    <cellStyle name="40% - Accent4 3 2 2" xfId="107"/>
    <cellStyle name="40% - Accent4 3 2 2 2" xfId="108"/>
    <cellStyle name="40% - Accent4 3 3" xfId="109"/>
    <cellStyle name="40% - Accent4 4" xfId="110"/>
    <cellStyle name="40% - Accent4 4 2" xfId="111"/>
    <cellStyle name="40% - Accent5 2" xfId="112"/>
    <cellStyle name="40% - Accent5 2 2" xfId="113"/>
    <cellStyle name="40% - Accent5 2 3" xfId="114"/>
    <cellStyle name="40% - Accent5 2 4" xfId="115"/>
    <cellStyle name="40% - Accent5 3" xfId="116"/>
    <cellStyle name="40% - Accent5 3 2" xfId="117"/>
    <cellStyle name="40% - Accent5 3 2 2" xfId="118"/>
    <cellStyle name="40% - Accent5 3 2 2 2" xfId="119"/>
    <cellStyle name="40% - Accent5 3 3" xfId="120"/>
    <cellStyle name="40% - Accent5 4" xfId="121"/>
    <cellStyle name="40% - Accent5 4 2" xfId="122"/>
    <cellStyle name="40% - Accent6 2" xfId="123"/>
    <cellStyle name="40% - Accent6 2 2" xfId="124"/>
    <cellStyle name="40% - Accent6 2 3" xfId="125"/>
    <cellStyle name="40% - Accent6 2 4" xfId="126"/>
    <cellStyle name="40% - Accent6 3" xfId="127"/>
    <cellStyle name="40% - Accent6 3 2" xfId="128"/>
    <cellStyle name="40% - Accent6 3 2 2" xfId="129"/>
    <cellStyle name="40% - Accent6 3 2 2 2" xfId="130"/>
    <cellStyle name="40% - Accent6 3 3" xfId="131"/>
    <cellStyle name="40% - Accent6 4" xfId="132"/>
    <cellStyle name="40% - Accent6 4 2" xfId="133"/>
    <cellStyle name="5x indented GHG Textfiels" xfId="134"/>
    <cellStyle name="60% - Accent1 2" xfId="135"/>
    <cellStyle name="60% - Accent1 2 2" xfId="136"/>
    <cellStyle name="60% - Accent1 2 3" xfId="137"/>
    <cellStyle name="60% - Accent1 2 4" xfId="138"/>
    <cellStyle name="60% - Accent1 3" xfId="139"/>
    <cellStyle name="60% - Accent1 3 2" xfId="140"/>
    <cellStyle name="60% - Accent1 3 2 2" xfId="141"/>
    <cellStyle name="60% - Accent1 3 2 2 2" xfId="142"/>
    <cellStyle name="60% - Accent1 3 3" xfId="143"/>
    <cellStyle name="60% - Accent1 4" xfId="144"/>
    <cellStyle name="60% - Accent1 4 2" xfId="145"/>
    <cellStyle name="60% - Accent2 2" xfId="146"/>
    <cellStyle name="60% - Accent2 2 2" xfId="147"/>
    <cellStyle name="60% - Accent2 2 3" xfId="148"/>
    <cellStyle name="60% - Accent2 2 4" xfId="149"/>
    <cellStyle name="60% - Accent2 3" xfId="150"/>
    <cellStyle name="60% - Accent2 3 2" xfId="151"/>
    <cellStyle name="60% - Accent2 3 2 2" xfId="152"/>
    <cellStyle name="60% - Accent2 3 2 2 2" xfId="153"/>
    <cellStyle name="60% - Accent2 3 3" xfId="154"/>
    <cellStyle name="60% - Accent2 4" xfId="155"/>
    <cellStyle name="60% - Accent2 4 2" xfId="156"/>
    <cellStyle name="60% - Accent3 2" xfId="157"/>
    <cellStyle name="60% - Accent3 2 2" xfId="158"/>
    <cellStyle name="60% - Accent3 2 3" xfId="159"/>
    <cellStyle name="60% - Accent3 2 4" xfId="160"/>
    <cellStyle name="60% - Accent3 3" xfId="161"/>
    <cellStyle name="60% - Accent3 3 2" xfId="162"/>
    <cellStyle name="60% - Accent3 3 2 2" xfId="163"/>
    <cellStyle name="60% - Accent3 3 2 2 2" xfId="164"/>
    <cellStyle name="60% - Accent3 3 3" xfId="165"/>
    <cellStyle name="60% - Accent3 4" xfId="166"/>
    <cellStyle name="60% - Accent3 4 2" xfId="167"/>
    <cellStyle name="60% - Accent4 2" xfId="168"/>
    <cellStyle name="60% - Accent4 2 2" xfId="169"/>
    <cellStyle name="60% - Accent4 2 3" xfId="170"/>
    <cellStyle name="60% - Accent4 2 4" xfId="171"/>
    <cellStyle name="60% - Accent4 3" xfId="172"/>
    <cellStyle name="60% - Accent4 3 2" xfId="173"/>
    <cellStyle name="60% - Accent4 3 2 2" xfId="174"/>
    <cellStyle name="60% - Accent4 3 2 2 2" xfId="175"/>
    <cellStyle name="60% - Accent4 3 3" xfId="176"/>
    <cellStyle name="60% - Accent4 4" xfId="177"/>
    <cellStyle name="60% - Accent4 4 2" xfId="178"/>
    <cellStyle name="60% - Accent5 2" xfId="179"/>
    <cellStyle name="60% - Accent5 2 2" xfId="180"/>
    <cellStyle name="60% - Accent5 2 3" xfId="181"/>
    <cellStyle name="60% - Accent5 2 4" xfId="182"/>
    <cellStyle name="60% - Accent5 3" xfId="183"/>
    <cellStyle name="60% - Accent5 3 2" xfId="184"/>
    <cellStyle name="60% - Accent5 3 2 2" xfId="185"/>
    <cellStyle name="60% - Accent5 3 2 2 2" xfId="186"/>
    <cellStyle name="60% - Accent5 3 3" xfId="187"/>
    <cellStyle name="60% - Accent5 4" xfId="188"/>
    <cellStyle name="60% - Accent5 4 2" xfId="189"/>
    <cellStyle name="60% - Accent6 2" xfId="190"/>
    <cellStyle name="60% - Accent6 2 2" xfId="191"/>
    <cellStyle name="60% - Accent6 2 3" xfId="192"/>
    <cellStyle name="60% - Accent6 2 4" xfId="193"/>
    <cellStyle name="60% - Accent6 3" xfId="194"/>
    <cellStyle name="60% - Accent6 3 2" xfId="195"/>
    <cellStyle name="60% - Accent6 3 2 2" xfId="196"/>
    <cellStyle name="60% - Accent6 3 2 2 2" xfId="197"/>
    <cellStyle name="60% - Accent6 3 3" xfId="198"/>
    <cellStyle name="60% - Accent6 4" xfId="199"/>
    <cellStyle name="60% - Accent6 4 2" xfId="200"/>
    <cellStyle name="Accent1 2" xfId="201"/>
    <cellStyle name="Accent1 2 2" xfId="202"/>
    <cellStyle name="Accent1 2 3" xfId="203"/>
    <cellStyle name="Accent1 2 4" xfId="204"/>
    <cellStyle name="Accent1 3" xfId="205"/>
    <cellStyle name="Accent1 3 2" xfId="206"/>
    <cellStyle name="Accent1 3 2 2" xfId="207"/>
    <cellStyle name="Accent1 3 2 2 2" xfId="208"/>
    <cellStyle name="Accent1 3 3" xfId="209"/>
    <cellStyle name="Accent1 4" xfId="210"/>
    <cellStyle name="Accent1 4 2" xfId="211"/>
    <cellStyle name="Accent2 2" xfId="212"/>
    <cellStyle name="Accent2 2 2" xfId="213"/>
    <cellStyle name="Accent2 2 3" xfId="214"/>
    <cellStyle name="Accent2 2 4" xfId="215"/>
    <cellStyle name="Accent2 3" xfId="216"/>
    <cellStyle name="Accent2 3 2" xfId="217"/>
    <cellStyle name="Accent2 3 2 2" xfId="218"/>
    <cellStyle name="Accent2 3 2 2 2" xfId="219"/>
    <cellStyle name="Accent2 3 3" xfId="220"/>
    <cellStyle name="Accent2 4" xfId="221"/>
    <cellStyle name="Accent2 4 2" xfId="222"/>
    <cellStyle name="Accent3 2" xfId="223"/>
    <cellStyle name="Accent3 2 2" xfId="224"/>
    <cellStyle name="Accent3 2 3" xfId="225"/>
    <cellStyle name="Accent3 2 4" xfId="226"/>
    <cellStyle name="Accent3 3" xfId="227"/>
    <cellStyle name="Accent3 3 2" xfId="228"/>
    <cellStyle name="Accent3 3 2 2" xfId="229"/>
    <cellStyle name="Accent3 3 2 2 2" xfId="230"/>
    <cellStyle name="Accent3 3 3" xfId="231"/>
    <cellStyle name="Accent3 4" xfId="232"/>
    <cellStyle name="Accent3 4 2" xfId="233"/>
    <cellStyle name="Accent4 2" xfId="234"/>
    <cellStyle name="Accent4 2 2" xfId="235"/>
    <cellStyle name="Accent4 2 3" xfId="236"/>
    <cellStyle name="Accent4 2 4" xfId="237"/>
    <cellStyle name="Accent4 3" xfId="238"/>
    <cellStyle name="Accent4 3 2" xfId="239"/>
    <cellStyle name="Accent4 3 2 2" xfId="240"/>
    <cellStyle name="Accent4 3 2 2 2" xfId="241"/>
    <cellStyle name="Accent4 3 3" xfId="242"/>
    <cellStyle name="Accent4 4" xfId="243"/>
    <cellStyle name="Accent4 4 2" xfId="244"/>
    <cellStyle name="Accent5 2" xfId="245"/>
    <cellStyle name="Accent5 2 2" xfId="246"/>
    <cellStyle name="Accent5 2 3" xfId="247"/>
    <cellStyle name="Accent5 2 4" xfId="248"/>
    <cellStyle name="Accent5 3" xfId="249"/>
    <cellStyle name="Accent5 3 2" xfId="250"/>
    <cellStyle name="Accent5 3 2 2" xfId="251"/>
    <cellStyle name="Accent5 3 2 2 2" xfId="252"/>
    <cellStyle name="Accent5 3 3" xfId="253"/>
    <cellStyle name="Accent5 4" xfId="254"/>
    <cellStyle name="Accent5 4 2" xfId="255"/>
    <cellStyle name="Accent6 2" xfId="256"/>
    <cellStyle name="Accent6 2 2" xfId="257"/>
    <cellStyle name="Accent6 2 3" xfId="258"/>
    <cellStyle name="Accent6 2 4" xfId="259"/>
    <cellStyle name="Accent6 3" xfId="260"/>
    <cellStyle name="Accent6 3 2" xfId="261"/>
    <cellStyle name="Accent6 3 2 2" xfId="262"/>
    <cellStyle name="Accent6 3 2 2 2" xfId="263"/>
    <cellStyle name="Accent6 3 3" xfId="264"/>
    <cellStyle name="Accent6 4" xfId="265"/>
    <cellStyle name="Accent6 4 2" xfId="266"/>
    <cellStyle name="Bad 2" xfId="267"/>
    <cellStyle name="Bad 2 2" xfId="268"/>
    <cellStyle name="Bad 2 3" xfId="269"/>
    <cellStyle name="Bad 2 4" xfId="270"/>
    <cellStyle name="Bad 3" xfId="271"/>
    <cellStyle name="Bad 3 2" xfId="272"/>
    <cellStyle name="Bad 3 2 2" xfId="273"/>
    <cellStyle name="Bad 3 2 2 2" xfId="274"/>
    <cellStyle name="Bad 3 3" xfId="275"/>
    <cellStyle name="Bad 4" xfId="276"/>
    <cellStyle name="Bad 4 2" xfId="277"/>
    <cellStyle name="Bold GHG Numbers (0.00)" xfId="278"/>
    <cellStyle name="Calculation 2" xfId="279"/>
    <cellStyle name="Calculation 2 2" xfId="280"/>
    <cellStyle name="Calculation 2 3" xfId="281"/>
    <cellStyle name="Calculation 2 4" xfId="282"/>
    <cellStyle name="Calculation 3" xfId="283"/>
    <cellStyle name="Calculation 3 2" xfId="284"/>
    <cellStyle name="Calculation 3 2 2" xfId="285"/>
    <cellStyle name="Calculation 3 2 2 2" xfId="286"/>
    <cellStyle name="Calculation 3 3" xfId="287"/>
    <cellStyle name="Calculation 4" xfId="288"/>
    <cellStyle name="Calculation 4 2" xfId="289"/>
    <cellStyle name="Check Cell 2" xfId="290"/>
    <cellStyle name="Check Cell 2 2" xfId="291"/>
    <cellStyle name="Check Cell 2 3" xfId="292"/>
    <cellStyle name="Check Cell 2 4" xfId="293"/>
    <cellStyle name="Check Cell 3" xfId="294"/>
    <cellStyle name="Check Cell 3 2" xfId="295"/>
    <cellStyle name="Check Cell 3 2 2" xfId="296"/>
    <cellStyle name="Check Cell 3 2 2 2" xfId="297"/>
    <cellStyle name="Check Cell 3 3" xfId="298"/>
    <cellStyle name="Check Cell 4" xfId="299"/>
    <cellStyle name="Check Cell 4 2" xfId="300"/>
    <cellStyle name="Comma" xfId="301" builtinId="3"/>
    <cellStyle name="Comma 10" xfId="302"/>
    <cellStyle name="Comma 11" xfId="303"/>
    <cellStyle name="Comma 2" xfId="304"/>
    <cellStyle name="Comma 2 2" xfId="305"/>
    <cellStyle name="Comma 2 3" xfId="306"/>
    <cellStyle name="Comma 2 4" xfId="307"/>
    <cellStyle name="Comma 3" xfId="308"/>
    <cellStyle name="Comma 4" xfId="309"/>
    <cellStyle name="Comma 5" xfId="310"/>
    <cellStyle name="Comma 6" xfId="311"/>
    <cellStyle name="Comma 7" xfId="312"/>
    <cellStyle name="Comma 8" xfId="313"/>
    <cellStyle name="Comma 9" xfId="314"/>
    <cellStyle name="Comma0" xfId="315"/>
    <cellStyle name="Comma0 10" xfId="316"/>
    <cellStyle name="Comma0 10 2" xfId="317"/>
    <cellStyle name="Comma0 10 3" xfId="318"/>
    <cellStyle name="Comma0 10 4" xfId="319"/>
    <cellStyle name="Comma0 11" xfId="320"/>
    <cellStyle name="Comma0 12" xfId="321"/>
    <cellStyle name="Comma0 13" xfId="322"/>
    <cellStyle name="Comma0 2" xfId="323"/>
    <cellStyle name="Comma0 3" xfId="324"/>
    <cellStyle name="Comma0 4" xfId="325"/>
    <cellStyle name="Comma0 5" xfId="326"/>
    <cellStyle name="Comma0 6" xfId="327"/>
    <cellStyle name="Comma0 7" xfId="328"/>
    <cellStyle name="Comma0 8" xfId="329"/>
    <cellStyle name="Comma0 9" xfId="330"/>
    <cellStyle name="Comma0 9 2" xfId="331"/>
    <cellStyle name="Comma0 9 3" xfId="332"/>
    <cellStyle name="Comma0 9 4" xfId="333"/>
    <cellStyle name="Currency0" xfId="334"/>
    <cellStyle name="Currency0 10" xfId="335"/>
    <cellStyle name="Currency0 10 2" xfId="336"/>
    <cellStyle name="Currency0 10 3" xfId="337"/>
    <cellStyle name="Currency0 10 4" xfId="338"/>
    <cellStyle name="Currency0 11" xfId="339"/>
    <cellStyle name="Currency0 12" xfId="340"/>
    <cellStyle name="Currency0 13" xfId="341"/>
    <cellStyle name="Currency0 2" xfId="342"/>
    <cellStyle name="Currency0 3" xfId="343"/>
    <cellStyle name="Currency0 4" xfId="344"/>
    <cellStyle name="Currency0 5" xfId="345"/>
    <cellStyle name="Currency0 6" xfId="346"/>
    <cellStyle name="Currency0 7" xfId="347"/>
    <cellStyle name="Currency0 8" xfId="348"/>
    <cellStyle name="Currency0 9" xfId="349"/>
    <cellStyle name="Currency0 9 2" xfId="350"/>
    <cellStyle name="Currency0 9 3" xfId="351"/>
    <cellStyle name="Currency0 9 4" xfId="352"/>
    <cellStyle name="Data Field" xfId="353"/>
    <cellStyle name="Data Field 2" xfId="354"/>
    <cellStyle name="Data Field_IA_NaturalGasIndustry_FuelCombustion_CO2" xfId="355"/>
    <cellStyle name="Data Name" xfId="356"/>
    <cellStyle name="Data Name 10" xfId="357"/>
    <cellStyle name="Data Name 10 2" xfId="358"/>
    <cellStyle name="Data Name 10 3" xfId="359"/>
    <cellStyle name="Data Name 10 4" xfId="360"/>
    <cellStyle name="Data Name 11" xfId="361"/>
    <cellStyle name="Data Name 12" xfId="362"/>
    <cellStyle name="Data Name 13" xfId="363"/>
    <cellStyle name="Data Name 2" xfId="364"/>
    <cellStyle name="Data Name 3" xfId="365"/>
    <cellStyle name="Data Name 4" xfId="366"/>
    <cellStyle name="Data Name 5" xfId="367"/>
    <cellStyle name="Data Name 6" xfId="368"/>
    <cellStyle name="Data Name 7" xfId="369"/>
    <cellStyle name="Data Name 8" xfId="370"/>
    <cellStyle name="Data Name 9" xfId="371"/>
    <cellStyle name="Data Name 9 2" xfId="372"/>
    <cellStyle name="Data Name 9 3" xfId="373"/>
    <cellStyle name="Data Name 9 4" xfId="374"/>
    <cellStyle name="Data Name_IA_NaturalGasIndustry_FuelCombustion_CO2" xfId="375"/>
    <cellStyle name="Euro" xfId="376"/>
    <cellStyle name="Euro 10" xfId="377"/>
    <cellStyle name="Euro 10 2" xfId="378"/>
    <cellStyle name="Euro 10 3" xfId="379"/>
    <cellStyle name="Euro 10 4" xfId="380"/>
    <cellStyle name="Euro 11" xfId="381"/>
    <cellStyle name="Euro 12" xfId="382"/>
    <cellStyle name="Euro 13" xfId="383"/>
    <cellStyle name="Euro 2" xfId="384"/>
    <cellStyle name="Euro 3" xfId="385"/>
    <cellStyle name="Euro 4" xfId="386"/>
    <cellStyle name="Euro 5" xfId="387"/>
    <cellStyle name="Euro 6" xfId="388"/>
    <cellStyle name="Euro 7" xfId="389"/>
    <cellStyle name="Euro 8" xfId="390"/>
    <cellStyle name="Euro 9" xfId="391"/>
    <cellStyle name="Euro 9 2" xfId="392"/>
    <cellStyle name="Euro 9 3" xfId="393"/>
    <cellStyle name="Euro 9 4" xfId="394"/>
    <cellStyle name="Explanatory Text 2" xfId="395"/>
    <cellStyle name="Explanatory Text 2 2" xfId="396"/>
    <cellStyle name="Explanatory Text 2 3" xfId="397"/>
    <cellStyle name="Explanatory Text 2 4" xfId="398"/>
    <cellStyle name="Explanatory Text 3" xfId="399"/>
    <cellStyle name="Explanatory Text 3 2" xfId="400"/>
    <cellStyle name="Explanatory Text 3 2 2" xfId="401"/>
    <cellStyle name="Explanatory Text 3 2 2 2" xfId="402"/>
    <cellStyle name="Explanatory Text 3 3" xfId="403"/>
    <cellStyle name="Explanatory Text 4" xfId="404"/>
    <cellStyle name="Explanatory Text 4 2" xfId="405"/>
    <cellStyle name="Good 2" xfId="406"/>
    <cellStyle name="Good 2 2" xfId="407"/>
    <cellStyle name="Good 2 3" xfId="408"/>
    <cellStyle name="Good 2 4" xfId="409"/>
    <cellStyle name="Good 3" xfId="410"/>
    <cellStyle name="Good 3 2" xfId="411"/>
    <cellStyle name="Good 3 2 2" xfId="412"/>
    <cellStyle name="Good 3 2 2 2" xfId="413"/>
    <cellStyle name="Good 3 3" xfId="414"/>
    <cellStyle name="Good 4" xfId="415"/>
    <cellStyle name="Good 4 2" xfId="416"/>
    <cellStyle name="Heading 1 2" xfId="417"/>
    <cellStyle name="Heading 1 2 2" xfId="418"/>
    <cellStyle name="Heading 1 2 3" xfId="419"/>
    <cellStyle name="Heading 1 2 4" xfId="420"/>
    <cellStyle name="Heading 1 3" xfId="421"/>
    <cellStyle name="Heading 1 3 2" xfId="422"/>
    <cellStyle name="Heading 1 3 2 2" xfId="423"/>
    <cellStyle name="Heading 1 3 2 2 2" xfId="424"/>
    <cellStyle name="Heading 1 3 3" xfId="425"/>
    <cellStyle name="Heading 1 4" xfId="426"/>
    <cellStyle name="Heading 1 4 2" xfId="427"/>
    <cellStyle name="Heading 2 2" xfId="428"/>
    <cellStyle name="Heading 2 2 2" xfId="429"/>
    <cellStyle name="Heading 2 2 3" xfId="430"/>
    <cellStyle name="Heading 2 2 4" xfId="431"/>
    <cellStyle name="Heading 2 3" xfId="432"/>
    <cellStyle name="Heading 2 3 2" xfId="433"/>
    <cellStyle name="Heading 2 3 2 2" xfId="434"/>
    <cellStyle name="Heading 2 3 2 2 2" xfId="435"/>
    <cellStyle name="Heading 2 3 3" xfId="436"/>
    <cellStyle name="Heading 2 4" xfId="437"/>
    <cellStyle name="Heading 2 4 2" xfId="438"/>
    <cellStyle name="Heading 3 2" xfId="439"/>
    <cellStyle name="Heading 3 2 2" xfId="440"/>
    <cellStyle name="Heading 3 2 3" xfId="441"/>
    <cellStyle name="Heading 3 2 4" xfId="442"/>
    <cellStyle name="Heading 3 3" xfId="443"/>
    <cellStyle name="Heading 3 3 2" xfId="444"/>
    <cellStyle name="Heading 3 3 2 2" xfId="445"/>
    <cellStyle name="Heading 3 3 2 2 2" xfId="446"/>
    <cellStyle name="Heading 3 3 3" xfId="447"/>
    <cellStyle name="Heading 3 4" xfId="448"/>
    <cellStyle name="Heading 3 4 2" xfId="449"/>
    <cellStyle name="Heading 4 2" xfId="450"/>
    <cellStyle name="Heading 4 2 2" xfId="451"/>
    <cellStyle name="Heading 4 2 3" xfId="452"/>
    <cellStyle name="Heading 4 2 4" xfId="453"/>
    <cellStyle name="Heading 4 3" xfId="454"/>
    <cellStyle name="Heading 4 3 2" xfId="455"/>
    <cellStyle name="Heading 4 3 2 2" xfId="456"/>
    <cellStyle name="Heading 4 3 2 2 2" xfId="457"/>
    <cellStyle name="Heading 4 3 3" xfId="458"/>
    <cellStyle name="Heading 4 4" xfId="459"/>
    <cellStyle name="Heading 4 4 2" xfId="460"/>
    <cellStyle name="Headline" xfId="461"/>
    <cellStyle name="Hyperlink" xfId="660" builtinId="8"/>
    <cellStyle name="Hyperlink 2" xfId="462"/>
    <cellStyle name="Input 2" xfId="463"/>
    <cellStyle name="Input 2 2" xfId="464"/>
    <cellStyle name="Input 2 3" xfId="465"/>
    <cellStyle name="Input 2 4" xfId="466"/>
    <cellStyle name="Input 3" xfId="467"/>
    <cellStyle name="Input 3 2" xfId="468"/>
    <cellStyle name="Input 3 2 2" xfId="469"/>
    <cellStyle name="Input 3 2 2 2" xfId="470"/>
    <cellStyle name="Input 3 3" xfId="471"/>
    <cellStyle name="Input 4" xfId="472"/>
    <cellStyle name="Input 4 2" xfId="473"/>
    <cellStyle name="Linked Cell 2" xfId="474"/>
    <cellStyle name="Linked Cell 2 2" xfId="475"/>
    <cellStyle name="Linked Cell 2 3" xfId="476"/>
    <cellStyle name="Linked Cell 2 4" xfId="477"/>
    <cellStyle name="Linked Cell 3" xfId="478"/>
    <cellStyle name="Linked Cell 3 2" xfId="479"/>
    <cellStyle name="Linked Cell 3 2 2" xfId="480"/>
    <cellStyle name="Linked Cell 3 2 2 2" xfId="481"/>
    <cellStyle name="Linked Cell 3 3" xfId="482"/>
    <cellStyle name="Linked Cell 4" xfId="483"/>
    <cellStyle name="Linked Cell 4 2" xfId="484"/>
    <cellStyle name="Neutral 2" xfId="485"/>
    <cellStyle name="Neutral 2 2" xfId="486"/>
    <cellStyle name="Neutral 2 3" xfId="487"/>
    <cellStyle name="Neutral 2 4" xfId="488"/>
    <cellStyle name="Neutral 3" xfId="489"/>
    <cellStyle name="Neutral 3 2" xfId="490"/>
    <cellStyle name="Neutral 3 2 2" xfId="491"/>
    <cellStyle name="Neutral 3 2 2 2" xfId="492"/>
    <cellStyle name="Neutral 3 3" xfId="493"/>
    <cellStyle name="Neutral 4" xfId="494"/>
    <cellStyle name="Neutral 4 2" xfId="495"/>
    <cellStyle name="Normal" xfId="0" builtinId="0"/>
    <cellStyle name="Normal 10" xfId="496"/>
    <cellStyle name="Normal 10 2" xfId="497"/>
    <cellStyle name="Normal 10 3" xfId="498"/>
    <cellStyle name="Normal 10 4" xfId="499"/>
    <cellStyle name="Normal 10 5" xfId="500"/>
    <cellStyle name="Normal 10 6" xfId="501"/>
    <cellStyle name="Normal 11" xfId="502"/>
    <cellStyle name="Normal 12" xfId="503"/>
    <cellStyle name="Normal 13" xfId="504"/>
    <cellStyle name="Normal 14" xfId="505"/>
    <cellStyle name="Normal 15" xfId="506"/>
    <cellStyle name="Normal 16" xfId="507"/>
    <cellStyle name="Normal 17" xfId="508"/>
    <cellStyle name="Normal 17 2" xfId="509"/>
    <cellStyle name="Normal 18" xfId="510"/>
    <cellStyle name="Normal 2" xfId="511"/>
    <cellStyle name="Normal 2 2" xfId="512"/>
    <cellStyle name="Normal 2 3" xfId="513"/>
    <cellStyle name="Normal 2 4" xfId="514"/>
    <cellStyle name="Normal 2 5" xfId="515"/>
    <cellStyle name="Normal 2 6" xfId="516"/>
    <cellStyle name="Normal 2 6 2" xfId="517"/>
    <cellStyle name="Normal 2 6 2 2" xfId="518"/>
    <cellStyle name="Normal 2 6 2 2 2" xfId="519"/>
    <cellStyle name="Normal 2 6 3" xfId="520"/>
    <cellStyle name="Normal 2 7" xfId="521"/>
    <cellStyle name="Normal 2 7 2" xfId="522"/>
    <cellStyle name="Normal 2_IA_NaturalGasIndustry_FuelCombustion_CO2" xfId="523"/>
    <cellStyle name="Normal 3" xfId="524"/>
    <cellStyle name="Normal 3 2" xfId="525"/>
    <cellStyle name="Normal 3 3" xfId="526"/>
    <cellStyle name="Normal 3 4" xfId="527"/>
    <cellStyle name="Normal 3 5" xfId="528"/>
    <cellStyle name="Normal 3 6" xfId="529"/>
    <cellStyle name="Normal 4" xfId="530"/>
    <cellStyle name="Normal 4 2" xfId="531"/>
    <cellStyle name="Normal 4 3" xfId="532"/>
    <cellStyle name="Normal 4 4" xfId="533"/>
    <cellStyle name="Normal 5" xfId="534"/>
    <cellStyle name="Normal 5 2" xfId="535"/>
    <cellStyle name="Normal 5 3" xfId="536"/>
    <cellStyle name="Normal 5 4" xfId="537"/>
    <cellStyle name="Normal 6" xfId="538"/>
    <cellStyle name="Normal 6 2" xfId="539"/>
    <cellStyle name="Normal 6 3" xfId="540"/>
    <cellStyle name="Normal 6 4" xfId="541"/>
    <cellStyle name="Normal 7" xfId="542"/>
    <cellStyle name="Normal 7 2" xfId="543"/>
    <cellStyle name="Normal 7 3" xfId="544"/>
    <cellStyle name="Normal 7 4" xfId="545"/>
    <cellStyle name="Normal 7 5" xfId="546"/>
    <cellStyle name="Normal 7 6" xfId="547"/>
    <cellStyle name="Normal 7 7" xfId="548"/>
    <cellStyle name="Normal 8" xfId="549"/>
    <cellStyle name="Normal 9" xfId="550"/>
    <cellStyle name="Normal 9 2" xfId="551"/>
    <cellStyle name="Normal 9 3" xfId="552"/>
    <cellStyle name="Normal 9 4" xfId="553"/>
    <cellStyle name="Normal 9 5" xfId="554"/>
    <cellStyle name="Normal 9 6" xfId="555"/>
    <cellStyle name="Normal GHG Numbers (0.00)" xfId="556"/>
    <cellStyle name="Normal GHG Textfiels Bold" xfId="557"/>
    <cellStyle name="Normal GHG whole table" xfId="558"/>
    <cellStyle name="Normal GHG-Shade" xfId="559"/>
    <cellStyle name="Normal_agtool additions" xfId="560"/>
    <cellStyle name="Normal_Book1" xfId="561"/>
    <cellStyle name="Normal_C_2" xfId="562"/>
    <cellStyle name="Normal_Coal Module_7.23" xfId="563"/>
    <cellStyle name="Normal_E_2" xfId="564"/>
    <cellStyle name="Normal_IA_NaturalGasIndustry_FuelCombustion_CO2" xfId="565"/>
    <cellStyle name="Normal_Non-highway" xfId="566"/>
    <cellStyle name="Normal_othergasolineuse" xfId="567"/>
    <cellStyle name="Normal_POULPOPS_rev" xfId="568"/>
    <cellStyle name="Normal_Sheet1" xfId="661"/>
    <cellStyle name="Normal_Sheet18" xfId="569"/>
    <cellStyle name="Normal_Sheet19" xfId="570"/>
    <cellStyle name="Normal_State Template" xfId="571"/>
    <cellStyle name="Normal_State Transportation Module 02.13.02" xfId="572"/>
    <cellStyle name="Normal_USDA" xfId="573"/>
    <cellStyle name="Note 2" xfId="574"/>
    <cellStyle name="Note 2 2" xfId="575"/>
    <cellStyle name="Note 2 3" xfId="576"/>
    <cellStyle name="Note 2 4" xfId="577"/>
    <cellStyle name="Note 3" xfId="578"/>
    <cellStyle name="Note 3 2" xfId="579"/>
    <cellStyle name="Note 3 2 2" xfId="580"/>
    <cellStyle name="Note 3 2 2 2" xfId="581"/>
    <cellStyle name="Note 3 3" xfId="582"/>
    <cellStyle name="Note 4" xfId="583"/>
    <cellStyle name="Note 4 2" xfId="584"/>
    <cellStyle name="Output 2" xfId="585"/>
    <cellStyle name="Output 2 2" xfId="586"/>
    <cellStyle name="Output 2 3" xfId="587"/>
    <cellStyle name="Output 2 4" xfId="588"/>
    <cellStyle name="Output 3" xfId="589"/>
    <cellStyle name="Output 3 2" xfId="590"/>
    <cellStyle name="Output 3 2 2" xfId="591"/>
    <cellStyle name="Output 3 2 2 2" xfId="592"/>
    <cellStyle name="Output 3 3" xfId="593"/>
    <cellStyle name="Output 4" xfId="594"/>
    <cellStyle name="Output 4 2" xfId="595"/>
    <cellStyle name="Pattern" xfId="596"/>
    <cellStyle name="Percent" xfId="597" builtinId="5"/>
    <cellStyle name="Percent 2" xfId="598"/>
    <cellStyle name="Style 35" xfId="599"/>
    <cellStyle name="Style 35 10" xfId="600"/>
    <cellStyle name="Style 35 11" xfId="601"/>
    <cellStyle name="Style 35 12" xfId="602"/>
    <cellStyle name="Style 35 13" xfId="603"/>
    <cellStyle name="Style 35 2" xfId="604"/>
    <cellStyle name="Style 35 3" xfId="605"/>
    <cellStyle name="Style 35 4" xfId="606"/>
    <cellStyle name="Style 35 5" xfId="607"/>
    <cellStyle name="Style 35 6" xfId="608"/>
    <cellStyle name="Style 35 7" xfId="609"/>
    <cellStyle name="Style 35 8" xfId="610"/>
    <cellStyle name="Style 35 9" xfId="611"/>
    <cellStyle name="Style 35_AR_Transportation_CO2" xfId="612"/>
    <cellStyle name="Style 36" xfId="613"/>
    <cellStyle name="Style 36 10" xfId="614"/>
    <cellStyle name="Style 36 11" xfId="615"/>
    <cellStyle name="Style 36 12" xfId="616"/>
    <cellStyle name="Style 36 13" xfId="617"/>
    <cellStyle name="Style 36 2" xfId="618"/>
    <cellStyle name="Style 36 3" xfId="619"/>
    <cellStyle name="Style 36 4" xfId="620"/>
    <cellStyle name="Style 36 5" xfId="621"/>
    <cellStyle name="Style 36 6" xfId="622"/>
    <cellStyle name="Style 36 7" xfId="623"/>
    <cellStyle name="Style 36 8" xfId="624"/>
    <cellStyle name="Style 36 9" xfId="625"/>
    <cellStyle name="Style 36_AR_Transportation_CO2" xfId="626"/>
    <cellStyle name="Title 2" xfId="627"/>
    <cellStyle name="Title 2 2" xfId="628"/>
    <cellStyle name="Title 2 3" xfId="629"/>
    <cellStyle name="Title 2 4" xfId="630"/>
    <cellStyle name="Title 3" xfId="631"/>
    <cellStyle name="Title 3 2" xfId="632"/>
    <cellStyle name="Title 3 2 2" xfId="633"/>
    <cellStyle name="Title 3 2 2 2" xfId="634"/>
    <cellStyle name="Title 3 3" xfId="635"/>
    <cellStyle name="Title 4" xfId="636"/>
    <cellStyle name="Title 4 2" xfId="637"/>
    <cellStyle name="Total 2" xfId="638"/>
    <cellStyle name="Total 2 2" xfId="639"/>
    <cellStyle name="Total 2 3" xfId="640"/>
    <cellStyle name="Total 2 4" xfId="641"/>
    <cellStyle name="Total 3" xfId="642"/>
    <cellStyle name="Total 3 2" xfId="643"/>
    <cellStyle name="Total 3 2 2" xfId="644"/>
    <cellStyle name="Total 3 2 2 2" xfId="645"/>
    <cellStyle name="Total 3 3" xfId="646"/>
    <cellStyle name="Total 4" xfId="647"/>
    <cellStyle name="Total 4 2" xfId="648"/>
    <cellStyle name="Warning Text 2" xfId="649"/>
    <cellStyle name="Warning Text 2 2" xfId="650"/>
    <cellStyle name="Warning Text 2 3" xfId="651"/>
    <cellStyle name="Warning Text 2 4" xfId="652"/>
    <cellStyle name="Warning Text 3" xfId="653"/>
    <cellStyle name="Warning Text 3 2" xfId="654"/>
    <cellStyle name="Warning Text 3 2 2" xfId="655"/>
    <cellStyle name="Warning Text 3 2 2 2" xfId="656"/>
    <cellStyle name="Warning Text 3 3" xfId="657"/>
    <cellStyle name="Warning Text 4" xfId="658"/>
    <cellStyle name="Warning Text 4 2" xfId="659"/>
  </cellStyles>
  <dxfs count="2">
    <dxf>
      <font>
        <condense val="0"/>
        <extend val="0"/>
        <color auto="1"/>
      </font>
      <fill>
        <patternFill>
          <bgColor indexed="43"/>
        </patternFill>
      </fill>
      <border>
        <left style="thin">
          <color indexed="64"/>
        </left>
        <right style="thin">
          <color indexed="64"/>
        </right>
        <top style="thin">
          <color indexed="64"/>
        </top>
        <bottom style="thin">
          <color indexed="64"/>
        </bottom>
      </border>
    </dxf>
    <dxf>
      <font>
        <condense val="0"/>
        <extend val="0"/>
        <color indexed="9"/>
      </font>
      <border>
        <left/>
        <right/>
        <top/>
        <bottom/>
      </border>
    </dxf>
  </dxfs>
  <tableStyles count="0" defaultTableStyle="TableStyleMedium9"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9" Type="http://schemas.openxmlformats.org/officeDocument/2006/relationships/externalLink" Target="externalLinks/externalLink14.xml"/><Relationship Id="rId21" Type="http://schemas.openxmlformats.org/officeDocument/2006/relationships/worksheet" Target="worksheets/sheet21.xml"/><Relationship Id="rId34" Type="http://schemas.openxmlformats.org/officeDocument/2006/relationships/externalLink" Target="externalLinks/externalLink9.xml"/><Relationship Id="rId42" Type="http://schemas.openxmlformats.org/officeDocument/2006/relationships/externalLink" Target="externalLinks/externalLink17.xml"/><Relationship Id="rId47"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4.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7.xml"/><Relationship Id="rId37" Type="http://schemas.openxmlformats.org/officeDocument/2006/relationships/externalLink" Target="externalLinks/externalLink12.xml"/><Relationship Id="rId40" Type="http://schemas.openxmlformats.org/officeDocument/2006/relationships/externalLink" Target="externalLinks/externalLink15.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36" Type="http://schemas.openxmlformats.org/officeDocument/2006/relationships/externalLink" Target="externalLinks/externalLink11.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6.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externalLink" Target="externalLinks/externalLink5.xml"/><Relationship Id="rId35" Type="http://schemas.openxmlformats.org/officeDocument/2006/relationships/externalLink" Target="externalLinks/externalLink10.xml"/><Relationship Id="rId43" Type="http://schemas.openxmlformats.org/officeDocument/2006/relationships/theme" Target="theme/theme1.xml"/><Relationship Id="rId48"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8.xml"/><Relationship Id="rId38" Type="http://schemas.openxmlformats.org/officeDocument/2006/relationships/externalLink" Target="externalLinks/externalLink13.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externalLink" Target="externalLinks/externalLink16.xml"/><Relationship Id="rId1" Type="http://schemas.openxmlformats.org/officeDocument/2006/relationships/worksheet" Target="worksheets/sheet1.xml"/><Relationship Id="rId6" Type="http://schemas.openxmlformats.org/officeDocument/2006/relationships/worksheet" Target="worksheets/sheet6.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drawings/_rels/vmlDrawing14.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oneCellAnchor>
    <xdr:from>
      <xdr:col>2</xdr:col>
      <xdr:colOff>2479120</xdr:colOff>
      <xdr:row>12</xdr:row>
      <xdr:rowOff>122361</xdr:rowOff>
    </xdr:from>
    <xdr:ext cx="937629" cy="6720773"/>
    <xdr:sp macro="" textlink="">
      <xdr:nvSpPr>
        <xdr:cNvPr id="4" name="Rectangle 3"/>
        <xdr:cNvSpPr/>
      </xdr:nvSpPr>
      <xdr:spPr>
        <a:xfrm rot="17987120">
          <a:off x="309773" y="5808631"/>
          <a:ext cx="6720773" cy="937629"/>
        </a:xfrm>
        <a:prstGeom prst="rect">
          <a:avLst/>
        </a:prstGeom>
        <a:no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bodyPr>
        <a:lstStyle/>
        <a:p>
          <a:pPr algn="ctr"/>
          <a:r>
            <a:rPr lang="en-US" sz="5400" b="1"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rPr>
            <a:t>F     I     N     A     L</a:t>
          </a:r>
        </a:p>
      </xdr:txBody>
    </xdr:sp>
    <xdr:clientData/>
  </xdr:oneCellAnchor>
  <xdr:oneCellAnchor>
    <xdr:from>
      <xdr:col>2</xdr:col>
      <xdr:colOff>2271346</xdr:colOff>
      <xdr:row>53</xdr:row>
      <xdr:rowOff>146540</xdr:rowOff>
    </xdr:from>
    <xdr:ext cx="937629" cy="6720773"/>
    <xdr:sp macro="" textlink="">
      <xdr:nvSpPr>
        <xdr:cNvPr id="3" name="Rectangle 2"/>
        <xdr:cNvSpPr/>
      </xdr:nvSpPr>
      <xdr:spPr>
        <a:xfrm rot="17987120">
          <a:off x="101999" y="14729788"/>
          <a:ext cx="6720773" cy="937629"/>
        </a:xfrm>
        <a:prstGeom prst="rect">
          <a:avLst/>
        </a:prstGeom>
        <a:no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bodyPr>
        <a:lstStyle/>
        <a:p>
          <a:pPr algn="ctr"/>
          <a:r>
            <a:rPr lang="en-US" sz="5400" b="1"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rPr>
            <a:t>F     I     N     A     L</a:t>
          </a:r>
        </a:p>
      </xdr:txBody>
    </xdr:sp>
    <xdr:clientData/>
  </xdr:oneCellAnchor>
  <xdr:oneCellAnchor>
    <xdr:from>
      <xdr:col>2</xdr:col>
      <xdr:colOff>1952623</xdr:colOff>
      <xdr:row>89</xdr:row>
      <xdr:rowOff>63500</xdr:rowOff>
    </xdr:from>
    <xdr:ext cx="937629" cy="6720773"/>
    <xdr:sp macro="" textlink="">
      <xdr:nvSpPr>
        <xdr:cNvPr id="5" name="Rectangle 4"/>
        <xdr:cNvSpPr/>
      </xdr:nvSpPr>
      <xdr:spPr>
        <a:xfrm rot="17987120">
          <a:off x="-224574" y="22068572"/>
          <a:ext cx="6720773" cy="937629"/>
        </a:xfrm>
        <a:prstGeom prst="rect">
          <a:avLst/>
        </a:prstGeom>
        <a:no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bodyPr>
        <a:lstStyle/>
        <a:p>
          <a:pPr algn="ctr"/>
          <a:r>
            <a:rPr lang="en-US" sz="5400" b="1"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rPr>
            <a:t>F     I     N     A     L</a:t>
          </a:r>
        </a:p>
      </xdr:txBody>
    </xdr:sp>
    <xdr:clientData/>
  </xdr:oneCellAnchor>
  <xdr:oneCellAnchor>
    <xdr:from>
      <xdr:col>2</xdr:col>
      <xdr:colOff>2095500</xdr:colOff>
      <xdr:row>123</xdr:row>
      <xdr:rowOff>206375</xdr:rowOff>
    </xdr:from>
    <xdr:ext cx="937629" cy="6720773"/>
    <xdr:sp macro="" textlink="">
      <xdr:nvSpPr>
        <xdr:cNvPr id="6" name="Rectangle 5"/>
        <xdr:cNvSpPr/>
      </xdr:nvSpPr>
      <xdr:spPr>
        <a:xfrm rot="17987120">
          <a:off x="-81697" y="29513947"/>
          <a:ext cx="6720773" cy="937629"/>
        </a:xfrm>
        <a:prstGeom prst="rect">
          <a:avLst/>
        </a:prstGeom>
        <a:no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bodyPr>
        <a:lstStyle/>
        <a:p>
          <a:pPr algn="ctr"/>
          <a:r>
            <a:rPr lang="en-US" sz="5400" b="1"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rPr>
            <a:t>F     I     N     A     L</a:t>
          </a: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0</xdr:col>
      <xdr:colOff>466725</xdr:colOff>
      <xdr:row>1</xdr:row>
      <xdr:rowOff>66675</xdr:rowOff>
    </xdr:from>
    <xdr:to>
      <xdr:col>11</xdr:col>
      <xdr:colOff>428625</xdr:colOff>
      <xdr:row>1</xdr:row>
      <xdr:rowOff>1485900</xdr:rowOff>
    </xdr:to>
    <xdr:sp macro="" textlink="">
      <xdr:nvSpPr>
        <xdr:cNvPr id="1831943" name="Text Box 79"/>
        <xdr:cNvSpPr txBox="1">
          <a:spLocks noChangeArrowheads="1"/>
        </xdr:cNvSpPr>
      </xdr:nvSpPr>
      <xdr:spPr bwMode="auto">
        <a:xfrm>
          <a:off x="466725" y="485775"/>
          <a:ext cx="8467725" cy="1419225"/>
        </a:xfrm>
        <a:prstGeom prst="rect">
          <a:avLst/>
        </a:prstGeom>
        <a:solidFill>
          <a:srgbClr val="C0C0C0"/>
        </a:solidFill>
        <a:ln w="3175">
          <a:solidFill>
            <a:srgbClr val="000000"/>
          </a:solidFill>
          <a:miter lim="800000"/>
          <a:headEnd/>
          <a:tailEnd/>
        </a:ln>
      </xdr:spPr>
      <xdr:txBody>
        <a:bodyPr vertOverflow="clip" wrap="square" lIns="27432" tIns="22860" rIns="0" bIns="0" anchor="t" upright="1"/>
        <a:lstStyle/>
        <a:p>
          <a:pPr algn="l" rtl="0">
            <a:defRPr sz="1000"/>
          </a:pPr>
          <a:r>
            <a:rPr lang="en-US" sz="800" b="0" i="0" u="none" strike="noStrike" baseline="0">
              <a:solidFill>
                <a:srgbClr val="000000"/>
              </a:solidFill>
              <a:latin typeface="Arial"/>
              <a:cs typeface="Arial"/>
            </a:rPr>
            <a:t>CO</a:t>
          </a:r>
          <a:r>
            <a:rPr lang="en-US" sz="800" b="0" i="0" u="none" strike="noStrike" baseline="-25000">
              <a:solidFill>
                <a:srgbClr val="000000"/>
              </a:solidFill>
              <a:latin typeface="Arial"/>
              <a:cs typeface="Arial"/>
            </a:rPr>
            <a:t>2</a:t>
          </a:r>
          <a:r>
            <a:rPr lang="en-US" sz="800" b="0" i="0" u="none" strike="noStrike" baseline="0">
              <a:solidFill>
                <a:srgbClr val="000000"/>
              </a:solidFill>
              <a:latin typeface="Arial"/>
              <a:cs typeface="Arial"/>
            </a:rPr>
            <a:t> emissions from fossil fuel combustion in the residential sector are calculated by multiplying energy consumption (in the residential sector) by carbon content coefficients for each fuel.  These quantities are then multiplied by fuel-specific percentages of carbon oxidized during combustion ("combustion efficiency").  The resulting fuel emission values, in pounds of carbon, are then converted to short tons of carbon and million metric tons of carbon equivalent (MMTCE), then to million metric tons of carbon dioxide equivalent (MMTCO</a:t>
          </a:r>
          <a:r>
            <a:rPr lang="en-US" sz="800" b="0" i="0" u="none" strike="noStrike" baseline="-25000">
              <a:solidFill>
                <a:srgbClr val="000000"/>
              </a:solidFill>
              <a:latin typeface="Arial"/>
              <a:cs typeface="Arial"/>
            </a:rPr>
            <a:t>2</a:t>
          </a:r>
          <a:r>
            <a:rPr lang="en-US" sz="800" b="0" i="0" u="none" strike="noStrike" baseline="0">
              <a:solidFill>
                <a:srgbClr val="000000"/>
              </a:solidFill>
              <a:latin typeface="Arial"/>
              <a:cs typeface="Arial"/>
            </a:rPr>
            <a:t>E), and summed.     For further detail on this method, refer to the CO</a:t>
          </a:r>
          <a:r>
            <a:rPr lang="en-US" sz="800" b="0" i="0" u="none" strike="noStrike" baseline="-25000">
              <a:solidFill>
                <a:srgbClr val="000000"/>
              </a:solidFill>
              <a:latin typeface="Arial"/>
              <a:cs typeface="Arial"/>
            </a:rPr>
            <a:t>2</a:t>
          </a:r>
          <a:r>
            <a:rPr lang="en-US" sz="800" b="0" i="0" u="none" strike="noStrike" baseline="0">
              <a:solidFill>
                <a:srgbClr val="000000"/>
              </a:solidFill>
              <a:latin typeface="Arial"/>
              <a:cs typeface="Arial"/>
            </a:rPr>
            <a:t>FFC Chapter in the User's Guide.</a:t>
          </a:r>
        </a:p>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According to the methods developed by the International Panel on Climate Change, CO</a:t>
          </a:r>
          <a:r>
            <a:rPr lang="en-US" sz="800" b="0" i="0" u="none" strike="noStrike" baseline="-25000">
              <a:solidFill>
                <a:srgbClr val="000000"/>
              </a:solidFill>
              <a:latin typeface="Arial"/>
              <a:cs typeface="Arial"/>
            </a:rPr>
            <a:t>2</a:t>
          </a:r>
          <a:r>
            <a:rPr lang="en-US" sz="800" b="0" i="0" u="none" strike="noStrike" baseline="0">
              <a:solidFill>
                <a:srgbClr val="000000"/>
              </a:solidFill>
              <a:latin typeface="Arial"/>
              <a:cs typeface="Arial"/>
            </a:rPr>
            <a:t> emissions from the combustion of biogenic sources (e.g., fuel wood) are not counted in greenhouse gas inventories, provided that those sources are harvested on a sustainable basis. The carbon in wood fuel was originally removed from the atmosphere by photosynthesis, and under natural conditions, it would cycle back to the atmosphere eventually as CO</a:t>
          </a:r>
          <a:r>
            <a:rPr lang="en-US" sz="800" b="0" i="0" u="none" strike="noStrike" baseline="-25000">
              <a:solidFill>
                <a:srgbClr val="000000"/>
              </a:solidFill>
              <a:latin typeface="Arial"/>
              <a:cs typeface="Arial"/>
            </a:rPr>
            <a:t>2</a:t>
          </a:r>
          <a:r>
            <a:rPr lang="en-US" sz="800" b="0" i="0" u="none" strike="noStrike" baseline="0">
              <a:solidFill>
                <a:srgbClr val="000000"/>
              </a:solidFill>
              <a:latin typeface="Arial"/>
              <a:cs typeface="Arial"/>
            </a:rPr>
            <a:t> due to degradation processes. For processes with CO</a:t>
          </a:r>
          <a:r>
            <a:rPr lang="en-US" sz="800" b="0" i="0" u="none" strike="noStrike" baseline="-25000">
              <a:solidFill>
                <a:srgbClr val="000000"/>
              </a:solidFill>
              <a:latin typeface="Arial"/>
              <a:cs typeface="Arial"/>
            </a:rPr>
            <a:t>2</a:t>
          </a:r>
          <a:r>
            <a:rPr lang="en-US" sz="800" b="0" i="0" u="none" strike="noStrike" baseline="0">
              <a:solidFill>
                <a:srgbClr val="000000"/>
              </a:solidFill>
              <a:latin typeface="Arial"/>
              <a:cs typeface="Arial"/>
            </a:rPr>
            <a:t> emissions, if the emissions are from biogenic materials and the materials are grown on a sustainable basis, then those emissions are considered to close the loop in the natural carbon cycle. </a:t>
          </a:r>
        </a:p>
      </xdr:txBody>
    </xdr:sp>
    <xdr:clientData/>
  </xdr:twoCellAnchor>
  <xdr:oneCellAnchor>
    <xdr:from>
      <xdr:col>0</xdr:col>
      <xdr:colOff>0</xdr:colOff>
      <xdr:row>11</xdr:row>
      <xdr:rowOff>147498</xdr:rowOff>
    </xdr:from>
    <xdr:ext cx="11471894" cy="937629"/>
    <xdr:sp macro="" textlink="">
      <xdr:nvSpPr>
        <xdr:cNvPr id="3" name="Rectangle 2"/>
        <xdr:cNvSpPr/>
      </xdr:nvSpPr>
      <xdr:spPr>
        <a:xfrm rot="19028361">
          <a:off x="0" y="3776523"/>
          <a:ext cx="11471894" cy="937629"/>
        </a:xfrm>
        <a:prstGeom prst="rect">
          <a:avLst/>
        </a:prstGeom>
        <a:no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bodyPr>
        <a:lstStyle/>
        <a:p>
          <a:pPr algn="ctr"/>
          <a:r>
            <a:rPr lang="en-US" sz="5400" b="1"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rPr>
            <a:t>F               I            N           A       L</a:t>
          </a:r>
        </a:p>
      </xdr:txBody>
    </xdr:sp>
    <xdr:clientData/>
  </xdr:oneCellAnchor>
</xdr:wsDr>
</file>

<file path=xl/drawings/drawing11.xml><?xml version="1.0" encoding="utf-8"?>
<xdr:wsDr xmlns:xdr="http://schemas.openxmlformats.org/drawingml/2006/spreadsheetDrawing" xmlns:a="http://schemas.openxmlformats.org/drawingml/2006/main">
  <xdr:twoCellAnchor>
    <xdr:from>
      <xdr:col>0</xdr:col>
      <xdr:colOff>495300</xdr:colOff>
      <xdr:row>1</xdr:row>
      <xdr:rowOff>47625</xdr:rowOff>
    </xdr:from>
    <xdr:to>
      <xdr:col>8</xdr:col>
      <xdr:colOff>504825</xdr:colOff>
      <xdr:row>1</xdr:row>
      <xdr:rowOff>800100</xdr:rowOff>
    </xdr:to>
    <xdr:sp macro="" textlink="">
      <xdr:nvSpPr>
        <xdr:cNvPr id="1832970" name="Text Box 78"/>
        <xdr:cNvSpPr txBox="1">
          <a:spLocks noChangeArrowheads="1"/>
        </xdr:cNvSpPr>
      </xdr:nvSpPr>
      <xdr:spPr bwMode="auto">
        <a:xfrm>
          <a:off x="495300" y="466725"/>
          <a:ext cx="7705725" cy="752475"/>
        </a:xfrm>
        <a:prstGeom prst="rect">
          <a:avLst/>
        </a:prstGeom>
        <a:solidFill>
          <a:srgbClr val="C0C0C0"/>
        </a:solidFill>
        <a:ln w="3175">
          <a:solidFill>
            <a:srgbClr val="000000"/>
          </a:solidFill>
          <a:miter lim="800000"/>
          <a:headEnd/>
          <a:tailEnd/>
        </a:ln>
      </xdr:spPr>
      <xdr:txBody>
        <a:bodyPr vertOverflow="clip" wrap="square" lIns="27432" tIns="22860" rIns="0" bIns="0" anchor="t" upright="1"/>
        <a:lstStyle/>
        <a:p>
          <a:pPr algn="l" rtl="0">
            <a:defRPr sz="1000"/>
          </a:pPr>
          <a:r>
            <a:rPr lang="en-US" sz="800" b="0" i="0" u="none" strike="noStrike" baseline="0">
              <a:solidFill>
                <a:srgbClr val="000000"/>
              </a:solidFill>
              <a:latin typeface="Arial"/>
              <a:cs typeface="Arial"/>
            </a:rPr>
            <a:t>CO</a:t>
          </a:r>
          <a:r>
            <a:rPr lang="en-US" sz="800" b="0" i="0" u="none" strike="noStrike" baseline="-25000">
              <a:solidFill>
                <a:srgbClr val="000000"/>
              </a:solidFill>
              <a:latin typeface="Arial"/>
              <a:cs typeface="Arial"/>
            </a:rPr>
            <a:t>2</a:t>
          </a:r>
          <a:r>
            <a:rPr lang="en-US" sz="800" b="0" i="0" u="none" strike="noStrike" baseline="0">
              <a:solidFill>
                <a:srgbClr val="000000"/>
              </a:solidFill>
              <a:latin typeface="Arial"/>
              <a:cs typeface="Arial"/>
            </a:rPr>
            <a:t> emissions from fossil fuel combustion in the commercial sector are calculated by multiplying energy consumption (in the commercial sector) by carbon content coefficients for each fuel.  These quantities are then multiplied by fuel-specific percentages of carbon oxidized during combustion ("combustion efficiency").  The resulting fuel emissions, in pounds of carbon, are then converted to short tons of carbon and million metric tons of carbon equivalent (MMTCE), then to million metric tons of carbon dioxide equivalent (MMTCO</a:t>
          </a:r>
          <a:r>
            <a:rPr lang="en-US" sz="800" b="0" i="0" u="none" strike="noStrike" baseline="-25000">
              <a:solidFill>
                <a:srgbClr val="000000"/>
              </a:solidFill>
              <a:latin typeface="Arial"/>
              <a:cs typeface="Arial"/>
            </a:rPr>
            <a:t>2</a:t>
          </a:r>
          <a:r>
            <a:rPr lang="en-US" sz="800" b="0" i="0" u="none" strike="noStrike" baseline="0">
              <a:solidFill>
                <a:srgbClr val="000000"/>
              </a:solidFill>
              <a:latin typeface="Arial"/>
              <a:cs typeface="Arial"/>
            </a:rPr>
            <a:t>E), and summed.   For further detail on this method, refer to CO</a:t>
          </a:r>
          <a:r>
            <a:rPr lang="en-US" sz="800" b="0" i="0" u="none" strike="noStrike" baseline="-25000">
              <a:solidFill>
                <a:srgbClr val="000000"/>
              </a:solidFill>
              <a:latin typeface="Arial"/>
              <a:cs typeface="Arial"/>
            </a:rPr>
            <a:t>2</a:t>
          </a:r>
          <a:r>
            <a:rPr lang="en-US" sz="800" b="0" i="0" u="none" strike="noStrike" baseline="0">
              <a:solidFill>
                <a:srgbClr val="000000"/>
              </a:solidFill>
              <a:latin typeface="Arial"/>
              <a:cs typeface="Arial"/>
            </a:rPr>
            <a:t>FFC Chapter in the User's Guide.</a:t>
          </a:r>
        </a:p>
      </xdr:txBody>
    </xdr:sp>
    <xdr:clientData/>
  </xdr:twoCellAnchor>
  <xdr:oneCellAnchor>
    <xdr:from>
      <xdr:col>0</xdr:col>
      <xdr:colOff>0</xdr:colOff>
      <xdr:row>16</xdr:row>
      <xdr:rowOff>80823</xdr:rowOff>
    </xdr:from>
    <xdr:ext cx="11471894" cy="937629"/>
    <xdr:sp macro="" textlink="">
      <xdr:nvSpPr>
        <xdr:cNvPr id="3" name="Rectangle 2"/>
        <xdr:cNvSpPr/>
      </xdr:nvSpPr>
      <xdr:spPr>
        <a:xfrm rot="19028361">
          <a:off x="0" y="3776523"/>
          <a:ext cx="11471894" cy="937629"/>
        </a:xfrm>
        <a:prstGeom prst="rect">
          <a:avLst/>
        </a:prstGeom>
        <a:no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bodyPr>
        <a:lstStyle/>
        <a:p>
          <a:pPr algn="ctr"/>
          <a:r>
            <a:rPr lang="en-US" sz="5400" b="1"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rPr>
            <a:t>F               I            N           A       L</a:t>
          </a:r>
        </a:p>
      </xdr:txBody>
    </xdr:sp>
    <xdr:clientData/>
  </xdr:oneCellAnchor>
</xdr:wsDr>
</file>

<file path=xl/drawings/drawing12.xml><?xml version="1.0" encoding="utf-8"?>
<xdr:wsDr xmlns:xdr="http://schemas.openxmlformats.org/drawingml/2006/spreadsheetDrawing" xmlns:a="http://schemas.openxmlformats.org/drawingml/2006/main">
  <xdr:twoCellAnchor>
    <xdr:from>
      <xdr:col>1</xdr:col>
      <xdr:colOff>171450</xdr:colOff>
      <xdr:row>1</xdr:row>
      <xdr:rowOff>104775</xdr:rowOff>
    </xdr:from>
    <xdr:to>
      <xdr:col>9</xdr:col>
      <xdr:colOff>1009650</xdr:colOff>
      <xdr:row>1</xdr:row>
      <xdr:rowOff>866775</xdr:rowOff>
    </xdr:to>
    <xdr:sp macro="" textlink="">
      <xdr:nvSpPr>
        <xdr:cNvPr id="1834002" name="Text Box 79"/>
        <xdr:cNvSpPr txBox="1">
          <a:spLocks noChangeArrowheads="1"/>
        </xdr:cNvSpPr>
      </xdr:nvSpPr>
      <xdr:spPr bwMode="auto">
        <a:xfrm>
          <a:off x="704850" y="561975"/>
          <a:ext cx="8553450" cy="762000"/>
        </a:xfrm>
        <a:prstGeom prst="rect">
          <a:avLst/>
        </a:prstGeom>
        <a:solidFill>
          <a:srgbClr val="C0C0C0"/>
        </a:solidFill>
        <a:ln w="3175">
          <a:solidFill>
            <a:srgbClr val="000000"/>
          </a:solidFill>
          <a:miter lim="800000"/>
          <a:headEnd/>
          <a:tailEnd/>
        </a:ln>
      </xdr:spPr>
      <xdr:txBody>
        <a:bodyPr vertOverflow="clip" wrap="square" lIns="27432" tIns="22860" rIns="0" bIns="0" anchor="t" upright="1"/>
        <a:lstStyle/>
        <a:p>
          <a:pPr algn="l" rtl="0">
            <a:defRPr sz="1000"/>
          </a:pPr>
          <a:r>
            <a:rPr lang="en-US" sz="800" b="0" i="0" u="none" strike="noStrike" baseline="0">
              <a:solidFill>
                <a:srgbClr val="000000"/>
              </a:solidFill>
              <a:latin typeface="Arial"/>
              <a:cs typeface="Arial"/>
            </a:rPr>
            <a:t>CO</a:t>
          </a:r>
          <a:r>
            <a:rPr lang="en-US" sz="800" b="0" i="0" u="none" strike="noStrike" baseline="-25000">
              <a:solidFill>
                <a:srgbClr val="000000"/>
              </a:solidFill>
              <a:latin typeface="Arial"/>
              <a:cs typeface="Arial"/>
            </a:rPr>
            <a:t>2</a:t>
          </a:r>
          <a:r>
            <a:rPr lang="en-US" sz="800" b="0" i="0" u="none" strike="noStrike" baseline="0">
              <a:solidFill>
                <a:srgbClr val="000000"/>
              </a:solidFill>
              <a:latin typeface="Arial"/>
              <a:cs typeface="Arial"/>
            </a:rPr>
            <a:t> emissions from fossil fuel combustion in the industrial sector are calculated by first subtracting non-energy consumption multiplied by carbon storage factors from the energy consumption for each fuel type.  The resulting combustible consumption for each fuel is then multiplied by a carbon content coefficient and by the percentage of carbon oxidized during combustion ("combustion efficiency").  The resulting fuel emissions, in pounds of carbon, are then converted to short tons of carbon and million metric tons of carbon equivalent (MMTCE), then to million metric tons of carbon dioxide equivalent (MMTCO</a:t>
          </a:r>
          <a:r>
            <a:rPr lang="en-US" sz="800" b="0" i="0" u="none" strike="noStrike" baseline="-25000">
              <a:solidFill>
                <a:srgbClr val="000000"/>
              </a:solidFill>
              <a:latin typeface="Arial"/>
              <a:cs typeface="Arial"/>
            </a:rPr>
            <a:t>2</a:t>
          </a:r>
          <a:r>
            <a:rPr lang="en-US" sz="800" b="0" i="0" u="none" strike="noStrike" baseline="0">
              <a:solidFill>
                <a:srgbClr val="000000"/>
              </a:solidFill>
              <a:latin typeface="Arial"/>
              <a:cs typeface="Arial"/>
            </a:rPr>
            <a:t>E), and summed.  For further detail on this method, refer to CO</a:t>
          </a:r>
          <a:r>
            <a:rPr lang="en-US" sz="800" b="0" i="0" u="none" strike="noStrike" baseline="-25000">
              <a:solidFill>
                <a:srgbClr val="000000"/>
              </a:solidFill>
              <a:latin typeface="Arial"/>
              <a:cs typeface="Arial"/>
            </a:rPr>
            <a:t>2</a:t>
          </a:r>
          <a:r>
            <a:rPr lang="en-US" sz="800" b="0" i="0" u="none" strike="noStrike" baseline="0">
              <a:solidFill>
                <a:srgbClr val="000000"/>
              </a:solidFill>
              <a:latin typeface="Arial"/>
              <a:cs typeface="Arial"/>
            </a:rPr>
            <a:t>FFC Chapter in the User's Guide.</a:t>
          </a:r>
        </a:p>
      </xdr:txBody>
    </xdr:sp>
    <xdr:clientData/>
  </xdr:twoCellAnchor>
  <xdr:oneCellAnchor>
    <xdr:from>
      <xdr:col>0</xdr:col>
      <xdr:colOff>0</xdr:colOff>
      <xdr:row>15</xdr:row>
      <xdr:rowOff>90347</xdr:rowOff>
    </xdr:from>
    <xdr:ext cx="11471894" cy="937629"/>
    <xdr:sp macro="" textlink="">
      <xdr:nvSpPr>
        <xdr:cNvPr id="3" name="Rectangle 2"/>
        <xdr:cNvSpPr/>
      </xdr:nvSpPr>
      <xdr:spPr>
        <a:xfrm rot="19028361">
          <a:off x="0" y="3776522"/>
          <a:ext cx="11471894" cy="937629"/>
        </a:xfrm>
        <a:prstGeom prst="rect">
          <a:avLst/>
        </a:prstGeom>
        <a:no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bodyPr>
        <a:lstStyle/>
        <a:p>
          <a:pPr algn="ctr"/>
          <a:r>
            <a:rPr lang="en-US" sz="5400" b="1"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rPr>
            <a:t>F               I            N           A       L</a:t>
          </a:r>
        </a:p>
      </xdr:txBody>
    </xdr:sp>
    <xdr:clientData/>
  </xdr:oneCellAnchor>
</xdr:wsDr>
</file>

<file path=xl/drawings/drawing13.xml><?xml version="1.0" encoding="utf-8"?>
<xdr:wsDr xmlns:xdr="http://schemas.openxmlformats.org/drawingml/2006/spreadsheetDrawing" xmlns:a="http://schemas.openxmlformats.org/drawingml/2006/main">
  <xdr:twoCellAnchor>
    <xdr:from>
      <xdr:col>0</xdr:col>
      <xdr:colOff>219075</xdr:colOff>
      <xdr:row>1</xdr:row>
      <xdr:rowOff>38100</xdr:rowOff>
    </xdr:from>
    <xdr:to>
      <xdr:col>15</xdr:col>
      <xdr:colOff>171450</xdr:colOff>
      <xdr:row>1</xdr:row>
      <xdr:rowOff>2676525</xdr:rowOff>
    </xdr:to>
    <xdr:sp macro="" textlink="">
      <xdr:nvSpPr>
        <xdr:cNvPr id="1849358" name="Text Box 79"/>
        <xdr:cNvSpPr txBox="1">
          <a:spLocks noChangeArrowheads="1"/>
        </xdr:cNvSpPr>
      </xdr:nvSpPr>
      <xdr:spPr bwMode="auto">
        <a:xfrm>
          <a:off x="219075" y="457200"/>
          <a:ext cx="9915525" cy="2638425"/>
        </a:xfrm>
        <a:prstGeom prst="rect">
          <a:avLst/>
        </a:prstGeom>
        <a:solidFill>
          <a:srgbClr val="C0C0C0"/>
        </a:solidFill>
        <a:ln w="3175">
          <a:solidFill>
            <a:srgbClr val="000000"/>
          </a:solidFill>
          <a:miter lim="800000"/>
          <a:headEnd/>
          <a:tailEnd/>
        </a:ln>
      </xdr:spPr>
      <xdr:txBody>
        <a:bodyPr vertOverflow="clip" wrap="square" lIns="27432" tIns="22860" rIns="0" bIns="0" anchor="t" upright="1"/>
        <a:lstStyle/>
        <a:p>
          <a:pPr algn="l" rtl="0">
            <a:defRPr sz="1000"/>
          </a:pPr>
          <a:r>
            <a:rPr lang="en-US" sz="800" b="1" i="0" u="none" strike="noStrike" baseline="0">
              <a:solidFill>
                <a:srgbClr val="000000"/>
              </a:solidFill>
              <a:latin typeface="Arial"/>
              <a:cs typeface="Arial"/>
            </a:rPr>
            <a:t>Limestone</a:t>
          </a: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Emissions from limestone and dolomite use result from industrial consumption.  The quantities of limestone consumed for industrial purposes, dolomite consumed for industrial purposes, and magnesium produced from dolomite are multiplied by their respective emission factors.  Industrial uses include the consumption of limestone and dolomite for flux stone production, glass manufacturing, flue gas desulfurization (FGD), Mg production through the thermic reduction of dolomite, chemical stone manufacturing, mine dusting or acid water treatment, acid neutralization, and sugar refining. </a:t>
          </a:r>
        </a:p>
        <a:p>
          <a:pPr algn="l" rtl="0">
            <a:defRPr sz="1000"/>
          </a:pPr>
          <a:endParaRPr lang="en-US" sz="800" b="0" i="0" u="none" strike="noStrike" baseline="0">
            <a:solidFill>
              <a:srgbClr val="000000"/>
            </a:solidFill>
            <a:latin typeface="Arial"/>
            <a:cs typeface="Arial"/>
          </a:endParaRPr>
        </a:p>
        <a:p>
          <a:pPr algn="l" rtl="0">
            <a:defRPr sz="1000"/>
          </a:pPr>
          <a:r>
            <a:rPr lang="en-US" sz="800" b="1" i="0" u="none" strike="noStrike" baseline="0">
              <a:solidFill>
                <a:srgbClr val="000000"/>
              </a:solidFill>
              <a:latin typeface="Arial"/>
              <a:cs typeface="Arial"/>
            </a:rPr>
            <a:t>Soda Ash</a:t>
          </a: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Emissions from soda ash manufacture and consumption are calculated by multiplying the quantity of soda ash manufactured and the quantity of soda ash consumed by their respective emission factors.  Maryland does not manufacture soda ash. </a:t>
          </a:r>
        </a:p>
        <a:p>
          <a:pPr algn="l" rtl="0">
            <a:defRPr sz="1000"/>
          </a:pPr>
          <a:endParaRPr lang="en-US" sz="800" b="0" i="0" u="none" strike="noStrike" baseline="0">
            <a:solidFill>
              <a:srgbClr val="000000"/>
            </a:solidFill>
            <a:latin typeface="Arial"/>
            <a:cs typeface="Arial"/>
          </a:endParaRPr>
        </a:p>
        <a:p>
          <a:pPr algn="l" rtl="0">
            <a:defRPr sz="1000"/>
          </a:pPr>
          <a:r>
            <a:rPr lang="en-US" sz="800" b="1" i="0" u="none" strike="noStrike" baseline="0">
              <a:solidFill>
                <a:srgbClr val="000000"/>
              </a:solidFill>
              <a:latin typeface="Arial"/>
              <a:cs typeface="Arial"/>
            </a:rPr>
            <a:t>Electric Power Transmission and Distribution</a:t>
          </a: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Emissions from electric power transmission and distribution are calculated by multiplying the quantity of SF6 consumed by an emission factor.  </a:t>
          </a:r>
        </a:p>
        <a:p>
          <a:pPr algn="l" rtl="0">
            <a:defRPr sz="1000"/>
          </a:pPr>
          <a:endParaRPr lang="en-US" sz="800" b="0" i="0" u="none" strike="noStrike" baseline="0">
            <a:solidFill>
              <a:srgbClr val="000000"/>
            </a:solidFill>
            <a:latin typeface="Arial"/>
            <a:cs typeface="Arial"/>
          </a:endParaRPr>
        </a:p>
        <a:p>
          <a:pPr algn="l" rtl="0">
            <a:defRPr sz="1000"/>
          </a:pPr>
          <a:r>
            <a:rPr lang="en-US" sz="800" b="1" i="0" u="none" strike="noStrike" baseline="0">
              <a:solidFill>
                <a:srgbClr val="000000"/>
              </a:solidFill>
              <a:latin typeface="Arial"/>
              <a:cs typeface="Arial"/>
            </a:rPr>
            <a:t>ODS</a:t>
          </a: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Emissions of HFCs, PFCs, and SF6 from ODS substitute production are estimated by apportioning national emissions to each state based on population.  State population data was provided by the U.S. Census Bureau (http://www.census.gov).  </a:t>
          </a:r>
        </a:p>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All emissions are then converted from metric tons of carbon equivalents (MTCE) to metric tons of carbon dioxide equivalents (MTCO2E).  Additional information on these calculations is available in the EPA SIT tool Industrial Processes Chapter of the User's Guide.  </a:t>
          </a:r>
        </a:p>
        <a:p>
          <a:pPr algn="l" rtl="0">
            <a:defRPr sz="1000"/>
          </a:pPr>
          <a:endParaRPr lang="en-US" sz="800" b="0" i="0" u="none" strike="noStrike" baseline="0">
            <a:solidFill>
              <a:srgbClr val="000000"/>
            </a:solidFill>
            <a:latin typeface="Arial"/>
            <a:cs typeface="Arial"/>
          </a:endParaRPr>
        </a:p>
      </xdr:txBody>
    </xdr:sp>
    <xdr:clientData/>
  </xdr:twoCellAnchor>
  <xdr:oneCellAnchor>
    <xdr:from>
      <xdr:col>0</xdr:col>
      <xdr:colOff>0</xdr:colOff>
      <xdr:row>20</xdr:row>
      <xdr:rowOff>19050</xdr:rowOff>
    </xdr:from>
    <xdr:ext cx="11471894" cy="937629"/>
    <xdr:sp macro="" textlink="">
      <xdr:nvSpPr>
        <xdr:cNvPr id="3" name="Rectangle 2"/>
        <xdr:cNvSpPr/>
      </xdr:nvSpPr>
      <xdr:spPr>
        <a:xfrm rot="19028361">
          <a:off x="0" y="7581900"/>
          <a:ext cx="11471894" cy="937629"/>
        </a:xfrm>
        <a:prstGeom prst="rect">
          <a:avLst/>
        </a:prstGeom>
        <a:no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bodyPr>
        <a:lstStyle/>
        <a:p>
          <a:pPr algn="ctr"/>
          <a:r>
            <a:rPr lang="en-US" sz="5400" b="1"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rPr>
            <a:t>F               I            N           A       L</a:t>
          </a: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0</xdr:col>
      <xdr:colOff>381000</xdr:colOff>
      <xdr:row>1</xdr:row>
      <xdr:rowOff>28575</xdr:rowOff>
    </xdr:from>
    <xdr:to>
      <xdr:col>9</xdr:col>
      <xdr:colOff>466725</xdr:colOff>
      <xdr:row>1</xdr:row>
      <xdr:rowOff>952500</xdr:rowOff>
    </xdr:to>
    <xdr:sp macro="" textlink="">
      <xdr:nvSpPr>
        <xdr:cNvPr id="1835021" name="Text Box 79"/>
        <xdr:cNvSpPr txBox="1">
          <a:spLocks noChangeArrowheads="1"/>
        </xdr:cNvSpPr>
      </xdr:nvSpPr>
      <xdr:spPr bwMode="auto">
        <a:xfrm>
          <a:off x="171450" y="447675"/>
          <a:ext cx="9801225" cy="923925"/>
        </a:xfrm>
        <a:prstGeom prst="rect">
          <a:avLst/>
        </a:prstGeom>
        <a:solidFill>
          <a:srgbClr val="C0C0C0"/>
        </a:solidFill>
        <a:ln w="3175">
          <a:solidFill>
            <a:srgbClr val="000000"/>
          </a:solidFill>
          <a:miter lim="800000"/>
          <a:headEnd/>
          <a:tailEnd/>
        </a:ln>
      </xdr:spPr>
      <xdr:txBody>
        <a:bodyPr vertOverflow="clip" wrap="square" lIns="27432" tIns="22860" rIns="0" bIns="0" anchor="t" upright="1"/>
        <a:lstStyle/>
        <a:p>
          <a:pPr algn="l" rtl="0">
            <a:defRPr sz="1000"/>
          </a:pPr>
          <a:r>
            <a:rPr lang="en-US" sz="800" b="0" i="0" u="none" strike="noStrike" baseline="0">
              <a:solidFill>
                <a:srgbClr val="000000"/>
              </a:solidFill>
              <a:latin typeface="Arial"/>
              <a:cs typeface="Arial"/>
            </a:rPr>
            <a:t>Emissions from cement production consist of CO2 emissions produced from the following processes that follow the EPA Mandatory Greenhouse Gases Reporting  Methodolgy.</a:t>
          </a:r>
        </a:p>
        <a:p>
          <a:pPr algn="l" rtl="0">
            <a:defRPr sz="1000"/>
          </a:pPr>
          <a:r>
            <a:rPr lang="en-US" sz="800" b="0" i="0" u="none" strike="noStrike" baseline="0">
              <a:solidFill>
                <a:srgbClr val="000000"/>
              </a:solidFill>
              <a:latin typeface="Arial"/>
              <a:cs typeface="Arial"/>
            </a:rPr>
            <a:t>        - Raw materials converted to Clinker;</a:t>
          </a:r>
        </a:p>
        <a:p>
          <a:pPr algn="l" rtl="0">
            <a:defRPr sz="1000"/>
          </a:pPr>
          <a:r>
            <a:rPr lang="en-US" sz="800" b="0" i="0" u="none" strike="noStrike" baseline="0">
              <a:solidFill>
                <a:srgbClr val="000000"/>
              </a:solidFill>
              <a:latin typeface="Arial"/>
              <a:cs typeface="Arial"/>
            </a:rPr>
            <a:t>        - Calcinations of Clinker Kiln Dust (CKD) leaving the Kiln system;</a:t>
          </a:r>
        </a:p>
        <a:p>
          <a:pPr algn="l" rtl="0">
            <a:defRPr sz="1000"/>
          </a:pPr>
          <a:r>
            <a:rPr lang="en-US" sz="800" b="0" i="0" u="none" strike="noStrike" baseline="0">
              <a:solidFill>
                <a:srgbClr val="000000"/>
              </a:solidFill>
              <a:latin typeface="Arial"/>
              <a:cs typeface="Arial"/>
            </a:rPr>
            <a:t>        - Organic carbon content of Raw Meal.</a:t>
          </a:r>
        </a:p>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(Emissions from masonry cement are accounted for in the Lime Production estimates). </a:t>
          </a:r>
        </a:p>
        <a:p>
          <a:pPr algn="l" rtl="0">
            <a:defRPr sz="1000"/>
          </a:pPr>
          <a:endParaRPr lang="en-US" sz="800" b="0" i="0" u="none" strike="noStrike" baseline="0">
            <a:solidFill>
              <a:srgbClr val="000000"/>
            </a:solidFill>
            <a:latin typeface="Arial"/>
            <a:cs typeface="Arial"/>
          </a:endParaRPr>
        </a:p>
      </xdr:txBody>
    </xdr:sp>
    <xdr:clientData/>
  </xdr:twoCellAnchor>
  <xdr:oneCellAnchor>
    <xdr:from>
      <xdr:col>0</xdr:col>
      <xdr:colOff>0</xdr:colOff>
      <xdr:row>27</xdr:row>
      <xdr:rowOff>109090</xdr:rowOff>
    </xdr:from>
    <xdr:ext cx="14613654" cy="937629"/>
    <xdr:sp macro="" textlink="">
      <xdr:nvSpPr>
        <xdr:cNvPr id="3" name="Rectangle 2"/>
        <xdr:cNvSpPr/>
      </xdr:nvSpPr>
      <xdr:spPr>
        <a:xfrm rot="19028361">
          <a:off x="0" y="5738365"/>
          <a:ext cx="14613654" cy="937629"/>
        </a:xfrm>
        <a:prstGeom prst="rect">
          <a:avLst/>
        </a:prstGeom>
        <a:no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bodyPr>
        <a:lstStyle/>
        <a:p>
          <a:pPr algn="ctr"/>
          <a:r>
            <a:rPr lang="en-US" sz="5400" b="1"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rPr>
            <a:t>F               I            N           A       L</a:t>
          </a:r>
        </a:p>
      </xdr:txBody>
    </xdr:sp>
    <xdr:clientData/>
  </xdr:oneCellAnchor>
</xdr:wsDr>
</file>

<file path=xl/drawings/drawing15.xml><?xml version="1.0" encoding="utf-8"?>
<xdr:wsDr xmlns:xdr="http://schemas.openxmlformats.org/drawingml/2006/spreadsheetDrawing" xmlns:a="http://schemas.openxmlformats.org/drawingml/2006/main">
  <xdr:twoCellAnchor>
    <xdr:from>
      <xdr:col>0</xdr:col>
      <xdr:colOff>495300</xdr:colOff>
      <xdr:row>1</xdr:row>
      <xdr:rowOff>57150</xdr:rowOff>
    </xdr:from>
    <xdr:to>
      <xdr:col>9</xdr:col>
      <xdr:colOff>742950</xdr:colOff>
      <xdr:row>1</xdr:row>
      <xdr:rowOff>676275</xdr:rowOff>
    </xdr:to>
    <xdr:sp macro="" textlink="">
      <xdr:nvSpPr>
        <xdr:cNvPr id="1845249" name="Text Box 79"/>
        <xdr:cNvSpPr txBox="1">
          <a:spLocks noChangeArrowheads="1"/>
        </xdr:cNvSpPr>
      </xdr:nvSpPr>
      <xdr:spPr bwMode="auto">
        <a:xfrm>
          <a:off x="495300" y="476250"/>
          <a:ext cx="7905750" cy="619125"/>
        </a:xfrm>
        <a:prstGeom prst="rect">
          <a:avLst/>
        </a:prstGeom>
        <a:solidFill>
          <a:srgbClr val="C0C0C0"/>
        </a:solidFill>
        <a:ln w="3175">
          <a:solidFill>
            <a:srgbClr val="000000"/>
          </a:solidFill>
          <a:miter lim="800000"/>
          <a:headEnd/>
          <a:tailEnd/>
        </a:ln>
      </xdr:spPr>
      <xdr:txBody>
        <a:bodyPr vertOverflow="clip" wrap="square" lIns="27432" tIns="22860" rIns="0" bIns="0" anchor="t" upright="1"/>
        <a:lstStyle/>
        <a:p>
          <a:pPr algn="l" rtl="0">
            <a:defRPr sz="1000"/>
          </a:pPr>
          <a:r>
            <a:rPr lang="en-US" sz="800" b="0" i="0" u="none" strike="noStrike" baseline="0">
              <a:solidFill>
                <a:srgbClr val="000000"/>
              </a:solidFill>
              <a:latin typeface="Arial"/>
              <a:cs typeface="Arial"/>
            </a:rPr>
            <a:t>Emissions from ammonia production and urea application are calculated by multiplying the quantity of ammonia produced and urea applied by their respective emission factors. Emissions from urea application are subtracted from emissions due to ammonia production. The emissions are then converted from metric tons of carbon equivalents (MTCE) to metric tons of carbon dioxide equivalents (MTCO2E).  Additional information on these calculations is available in the Industrial Processes Chapter of the EPA State Inventory Tool User's Guide.  </a:t>
          </a:r>
        </a:p>
      </xdr:txBody>
    </xdr:sp>
    <xdr:clientData/>
  </xdr:twoCellAnchor>
  <xdr:oneCellAnchor>
    <xdr:from>
      <xdr:col>0</xdr:col>
      <xdr:colOff>0</xdr:colOff>
      <xdr:row>19</xdr:row>
      <xdr:rowOff>14149</xdr:rowOff>
    </xdr:from>
    <xdr:ext cx="11471894" cy="937629"/>
    <xdr:sp macro="" textlink="">
      <xdr:nvSpPr>
        <xdr:cNvPr id="3" name="Rectangle 2"/>
        <xdr:cNvSpPr/>
      </xdr:nvSpPr>
      <xdr:spPr>
        <a:xfrm rot="19028361">
          <a:off x="0" y="3776524"/>
          <a:ext cx="11471894" cy="937629"/>
        </a:xfrm>
        <a:prstGeom prst="rect">
          <a:avLst/>
        </a:prstGeom>
        <a:no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bodyPr>
        <a:lstStyle/>
        <a:p>
          <a:pPr algn="ctr"/>
          <a:r>
            <a:rPr lang="en-US" sz="5400" b="1"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rPr>
            <a:t>F               I            N           A       L</a:t>
          </a:r>
        </a:p>
      </xdr:txBody>
    </xdr:sp>
    <xdr:clientData/>
  </xdr:oneCellAnchor>
</xdr:wsDr>
</file>

<file path=xl/drawings/drawing16.xml><?xml version="1.0" encoding="utf-8"?>
<xdr:wsDr xmlns:xdr="http://schemas.openxmlformats.org/drawingml/2006/spreadsheetDrawing" xmlns:a="http://schemas.openxmlformats.org/drawingml/2006/main">
  <xdr:twoCellAnchor>
    <xdr:from>
      <xdr:col>0</xdr:col>
      <xdr:colOff>504825</xdr:colOff>
      <xdr:row>1</xdr:row>
      <xdr:rowOff>19050</xdr:rowOff>
    </xdr:from>
    <xdr:to>
      <xdr:col>9</xdr:col>
      <xdr:colOff>714375</xdr:colOff>
      <xdr:row>1</xdr:row>
      <xdr:rowOff>809625</xdr:rowOff>
    </xdr:to>
    <xdr:sp macro="" textlink="">
      <xdr:nvSpPr>
        <xdr:cNvPr id="1836036" name="Text Box 79"/>
        <xdr:cNvSpPr txBox="1">
          <a:spLocks noChangeArrowheads="1"/>
        </xdr:cNvSpPr>
      </xdr:nvSpPr>
      <xdr:spPr bwMode="auto">
        <a:xfrm>
          <a:off x="504825" y="438150"/>
          <a:ext cx="8610600" cy="790575"/>
        </a:xfrm>
        <a:prstGeom prst="rect">
          <a:avLst/>
        </a:prstGeom>
        <a:solidFill>
          <a:srgbClr val="C0C0C0"/>
        </a:solidFill>
        <a:ln w="3175">
          <a:solidFill>
            <a:srgbClr val="000000"/>
          </a:solidFill>
          <a:miter lim="800000"/>
          <a:headEnd/>
          <a:tailEnd/>
        </a:ln>
      </xdr:spPr>
      <xdr:txBody>
        <a:bodyPr vertOverflow="clip" wrap="square" lIns="27432" tIns="22860" rIns="0" bIns="0" anchor="t" upright="1"/>
        <a:lstStyle/>
        <a:p>
          <a:pPr algn="l" rtl="0">
            <a:defRPr sz="1000"/>
          </a:pPr>
          <a:r>
            <a:rPr lang="en-US" sz="800" b="0" i="0" u="none" strike="noStrike" baseline="0">
              <a:solidFill>
                <a:srgbClr val="000000"/>
              </a:solidFill>
              <a:latin typeface="Arial"/>
              <a:cs typeface="Arial"/>
            </a:rPr>
            <a:t>Emissions from iron &amp; steel production processes produce greenhouse gas emissions. Predominant sources of process-related CO2 emissions in the iron and steel manufacturing industry include:</a:t>
          </a:r>
        </a:p>
        <a:p>
          <a:pPr algn="l" rtl="0">
            <a:defRPr sz="1000"/>
          </a:pPr>
          <a:r>
            <a:rPr lang="en-US" sz="800" b="0" i="0" u="none" strike="noStrike" baseline="0">
              <a:solidFill>
                <a:srgbClr val="000000"/>
              </a:solidFill>
              <a:latin typeface="Arial"/>
              <a:cs typeface="Arial"/>
            </a:rPr>
            <a:t>        • Sinter Strand;</a:t>
          </a:r>
        </a:p>
        <a:p>
          <a:pPr algn="l" rtl="0">
            <a:defRPr sz="1000"/>
          </a:pPr>
          <a:r>
            <a:rPr lang="en-US" sz="800" b="0" i="0" u="none" strike="noStrike" baseline="0">
              <a:solidFill>
                <a:srgbClr val="000000"/>
              </a:solidFill>
              <a:latin typeface="Arial"/>
              <a:cs typeface="Arial"/>
            </a:rPr>
            <a:t>        • L-Blast Furnace (Iron production);</a:t>
          </a:r>
        </a:p>
        <a:p>
          <a:pPr algn="l" rtl="0">
            <a:defRPr sz="1000"/>
          </a:pPr>
          <a:r>
            <a:rPr lang="en-US" sz="800" b="0" i="0" u="none" strike="noStrike" baseline="0">
              <a:solidFill>
                <a:srgbClr val="000000"/>
              </a:solidFill>
              <a:latin typeface="Arial"/>
              <a:cs typeface="Arial"/>
            </a:rPr>
            <a:t>        • Basic Oxygen Furnace –Steel Production (BOF).</a:t>
          </a:r>
        </a:p>
        <a:p>
          <a:pPr algn="l" rtl="0">
            <a:defRPr sz="1000"/>
          </a:pPr>
          <a:endParaRPr lang="en-US" sz="800" b="0" i="0" u="none" strike="noStrike" baseline="0">
            <a:solidFill>
              <a:srgbClr val="000000"/>
            </a:solidFill>
            <a:latin typeface="Arial"/>
            <a:cs typeface="Arial"/>
          </a:endParaRPr>
        </a:p>
        <a:p>
          <a:pPr algn="l" rtl="0">
            <a:defRPr sz="1000"/>
          </a:pPr>
          <a:endParaRPr lang="en-US" sz="800" b="0" i="0" u="none" strike="noStrike" baseline="0">
            <a:solidFill>
              <a:srgbClr val="000000"/>
            </a:solidFill>
            <a:latin typeface="Arial"/>
            <a:cs typeface="Arial"/>
          </a:endParaRPr>
        </a:p>
      </xdr:txBody>
    </xdr:sp>
    <xdr:clientData/>
  </xdr:twoCellAnchor>
  <xdr:oneCellAnchor>
    <xdr:from>
      <xdr:col>0</xdr:col>
      <xdr:colOff>0</xdr:colOff>
      <xdr:row>15</xdr:row>
      <xdr:rowOff>118923</xdr:rowOff>
    </xdr:from>
    <xdr:ext cx="11471894" cy="937629"/>
    <xdr:sp macro="" textlink="">
      <xdr:nvSpPr>
        <xdr:cNvPr id="3" name="Rectangle 2"/>
        <xdr:cNvSpPr/>
      </xdr:nvSpPr>
      <xdr:spPr>
        <a:xfrm rot="19028361">
          <a:off x="0" y="3776523"/>
          <a:ext cx="11471894" cy="937629"/>
        </a:xfrm>
        <a:prstGeom prst="rect">
          <a:avLst/>
        </a:prstGeom>
        <a:no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bodyPr>
        <a:lstStyle/>
        <a:p>
          <a:pPr algn="ctr"/>
          <a:r>
            <a:rPr lang="en-US" sz="5400" b="1"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rPr>
            <a:t>F               I            N           A       L</a:t>
          </a:r>
        </a:p>
      </xdr:txBody>
    </xdr:sp>
    <xdr:clientData/>
  </xdr:oneCellAnchor>
</xdr:wsDr>
</file>

<file path=xl/drawings/drawing17.xml><?xml version="1.0" encoding="utf-8"?>
<xdr:wsDr xmlns:xdr="http://schemas.openxmlformats.org/drawingml/2006/spreadsheetDrawing" xmlns:a="http://schemas.openxmlformats.org/drawingml/2006/main">
  <xdr:twoCellAnchor>
    <xdr:from>
      <xdr:col>0</xdr:col>
      <xdr:colOff>152400</xdr:colOff>
      <xdr:row>1</xdr:row>
      <xdr:rowOff>28575</xdr:rowOff>
    </xdr:from>
    <xdr:to>
      <xdr:col>9</xdr:col>
      <xdr:colOff>762000</xdr:colOff>
      <xdr:row>1</xdr:row>
      <xdr:rowOff>1285875</xdr:rowOff>
    </xdr:to>
    <xdr:sp macro="" textlink="">
      <xdr:nvSpPr>
        <xdr:cNvPr id="1843235" name="Text Box 79"/>
        <xdr:cNvSpPr txBox="1">
          <a:spLocks noChangeArrowheads="1"/>
        </xdr:cNvSpPr>
      </xdr:nvSpPr>
      <xdr:spPr bwMode="auto">
        <a:xfrm>
          <a:off x="152400" y="447675"/>
          <a:ext cx="9648825" cy="1257300"/>
        </a:xfrm>
        <a:prstGeom prst="rect">
          <a:avLst/>
        </a:prstGeom>
        <a:solidFill>
          <a:srgbClr val="C0C0C0"/>
        </a:solidFill>
        <a:ln w="3175">
          <a:solidFill>
            <a:srgbClr val="000000"/>
          </a:solidFill>
          <a:miter lim="800000"/>
          <a:headEnd/>
          <a:tailEnd/>
        </a:ln>
      </xdr:spPr>
      <xdr:txBody>
        <a:bodyPr vertOverflow="clip" wrap="square" lIns="27432" tIns="22860" rIns="0" bIns="0" anchor="t" upright="1"/>
        <a:lstStyle/>
        <a:p>
          <a:pPr algn="l" rtl="0">
            <a:defRPr sz="1000"/>
          </a:pPr>
          <a:r>
            <a:rPr lang="en-US" sz="800" b="0" i="0" u="none" strike="noStrike" baseline="0">
              <a:solidFill>
                <a:srgbClr val="000000"/>
              </a:solidFill>
              <a:latin typeface="Arial"/>
              <a:cs typeface="Arial"/>
            </a:rPr>
            <a:t>Estimation of carbon dioxide (CO2) emission from Landfill gas flaring / conversion to energy generation was based on the amount of CH4 collected by the collection system from the total amount of CH4 generated from the Landfill and the control devices efficiency. CO2 emission estimate was based on the stoichiometric combustion reactionequation (1) below. </a:t>
          </a:r>
        </a:p>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        CH</a:t>
          </a:r>
          <a:r>
            <a:rPr lang="en-US" sz="800" b="0" i="0" u="none" strike="noStrike" baseline="-25000">
              <a:solidFill>
                <a:srgbClr val="000000"/>
              </a:solidFill>
              <a:latin typeface="Arial"/>
              <a:cs typeface="Arial"/>
            </a:rPr>
            <a:t>4</a:t>
          </a:r>
          <a:r>
            <a:rPr lang="en-US" sz="800" b="0" i="0" u="none" strike="noStrike" baseline="0">
              <a:solidFill>
                <a:srgbClr val="000000"/>
              </a:solidFill>
              <a:latin typeface="Arial"/>
              <a:cs typeface="Arial"/>
            </a:rPr>
            <a:t> + 2O</a:t>
          </a:r>
          <a:r>
            <a:rPr lang="en-US" sz="800" b="0" i="0" u="none" strike="noStrike" baseline="-25000">
              <a:solidFill>
                <a:srgbClr val="000000"/>
              </a:solidFill>
              <a:latin typeface="Arial"/>
              <a:cs typeface="Arial"/>
            </a:rPr>
            <a:t>2</a:t>
          </a:r>
          <a:r>
            <a:rPr lang="en-US" sz="800" b="0" i="0" u="none" strike="noStrike" baseline="0">
              <a:solidFill>
                <a:srgbClr val="000000"/>
              </a:solidFill>
              <a:latin typeface="Arial"/>
              <a:cs typeface="Arial"/>
            </a:rPr>
            <a:t> → CO</a:t>
          </a:r>
          <a:r>
            <a:rPr lang="en-US" sz="800" b="0" i="0" u="none" strike="noStrike" baseline="-25000">
              <a:solidFill>
                <a:srgbClr val="000000"/>
              </a:solidFill>
              <a:latin typeface="Arial"/>
              <a:cs typeface="Arial"/>
            </a:rPr>
            <a:t>2</a:t>
          </a:r>
          <a:r>
            <a:rPr lang="en-US" sz="800" b="0" i="0" u="none" strike="noStrike" baseline="0">
              <a:solidFill>
                <a:srgbClr val="000000"/>
              </a:solidFill>
              <a:latin typeface="Arial"/>
              <a:cs typeface="Arial"/>
            </a:rPr>
            <a:t> + 2H</a:t>
          </a:r>
          <a:r>
            <a:rPr lang="en-US" sz="800" b="0" i="0" u="none" strike="noStrike" baseline="-25000">
              <a:solidFill>
                <a:srgbClr val="000000"/>
              </a:solidFill>
              <a:latin typeface="Arial"/>
              <a:cs typeface="Arial"/>
            </a:rPr>
            <a:t>2</a:t>
          </a:r>
          <a:r>
            <a:rPr lang="en-US" sz="800" b="0" i="0" u="none" strike="noStrike" baseline="0">
              <a:solidFill>
                <a:srgbClr val="000000"/>
              </a:solidFill>
              <a:latin typeface="Arial"/>
              <a:cs typeface="Arial"/>
            </a:rPr>
            <a:t>O (Equation 1)</a:t>
          </a:r>
        </a:p>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    1 Kmol CH</a:t>
          </a:r>
          <a:r>
            <a:rPr lang="en-US" sz="800" b="0" i="0" u="none" strike="noStrike" baseline="-25000">
              <a:solidFill>
                <a:srgbClr val="000000"/>
              </a:solidFill>
              <a:latin typeface="Arial"/>
              <a:cs typeface="Arial"/>
            </a:rPr>
            <a:t>4</a:t>
          </a:r>
          <a:r>
            <a:rPr lang="en-US" sz="800" b="0" i="0" u="none" strike="noStrike" baseline="0">
              <a:solidFill>
                <a:srgbClr val="000000"/>
              </a:solidFill>
              <a:latin typeface="Arial"/>
              <a:cs typeface="Arial"/>
            </a:rPr>
            <a:t> =&gt; 1 Kmol CO</a:t>
          </a:r>
          <a:r>
            <a:rPr lang="en-US" sz="800" b="0" i="0" u="none" strike="noStrike" baseline="-25000">
              <a:solidFill>
                <a:srgbClr val="000000"/>
              </a:solidFill>
              <a:latin typeface="Arial"/>
              <a:cs typeface="Arial"/>
            </a:rPr>
            <a:t>2</a:t>
          </a: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     16 g CH</a:t>
          </a:r>
          <a:r>
            <a:rPr lang="en-US" sz="800" b="0" i="0" u="none" strike="noStrike" baseline="-25000">
              <a:solidFill>
                <a:srgbClr val="000000"/>
              </a:solidFill>
              <a:latin typeface="Arial"/>
              <a:cs typeface="Arial"/>
            </a:rPr>
            <a:t>4</a:t>
          </a:r>
          <a:r>
            <a:rPr lang="en-US" sz="800" b="0" i="0" u="none" strike="noStrike" baseline="0">
              <a:solidFill>
                <a:srgbClr val="000000"/>
              </a:solidFill>
              <a:latin typeface="Arial"/>
              <a:cs typeface="Arial"/>
            </a:rPr>
            <a:t>     =&gt;  44 g CO</a:t>
          </a:r>
          <a:r>
            <a:rPr lang="en-US" sz="800" b="0" i="0" u="none" strike="noStrike" baseline="-25000">
              <a:solidFill>
                <a:srgbClr val="000000"/>
              </a:solidFill>
              <a:latin typeface="Arial"/>
              <a:cs typeface="Arial"/>
            </a:rPr>
            <a:t>2</a:t>
          </a: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      1 g CH</a:t>
          </a:r>
          <a:r>
            <a:rPr lang="en-US" sz="800" b="0" i="0" u="none" strike="noStrike" baseline="-25000">
              <a:solidFill>
                <a:srgbClr val="000000"/>
              </a:solidFill>
              <a:latin typeface="Arial"/>
              <a:cs typeface="Arial"/>
            </a:rPr>
            <a:t>4</a:t>
          </a:r>
          <a:r>
            <a:rPr lang="en-US" sz="800" b="0" i="0" u="none" strike="noStrike" baseline="0">
              <a:solidFill>
                <a:srgbClr val="000000"/>
              </a:solidFill>
              <a:latin typeface="Arial"/>
              <a:cs typeface="Arial"/>
            </a:rPr>
            <a:t>      =&gt;   2.75 g CO</a:t>
          </a:r>
          <a:r>
            <a:rPr lang="en-US" sz="800" b="0" i="0" u="none" strike="noStrike" baseline="-25000">
              <a:solidFill>
                <a:srgbClr val="000000"/>
              </a:solidFill>
              <a:latin typeface="Arial"/>
              <a:cs typeface="Arial"/>
            </a:rPr>
            <a:t>2</a:t>
          </a:r>
          <a:r>
            <a:rPr lang="en-US" sz="800" b="0" i="0" u="none" strike="noStrike" baseline="0">
              <a:solidFill>
                <a:srgbClr val="000000"/>
              </a:solidFill>
              <a:latin typeface="Arial"/>
              <a:cs typeface="Arial"/>
            </a:rPr>
            <a:t>   </a:t>
          </a:r>
        </a:p>
        <a:p>
          <a:pPr algn="l" rtl="0">
            <a:defRPr sz="1000"/>
          </a:pPr>
          <a:endParaRPr lang="en-US" sz="800" b="0" i="0" u="none" strike="noStrike" baseline="0">
            <a:solidFill>
              <a:srgbClr val="000000"/>
            </a:solidFill>
            <a:latin typeface="Arial"/>
            <a:cs typeface="Arial"/>
          </a:endParaRPr>
        </a:p>
      </xdr:txBody>
    </xdr:sp>
    <xdr:clientData/>
  </xdr:twoCellAnchor>
  <xdr:oneCellAnchor>
    <xdr:from>
      <xdr:col>1</xdr:col>
      <xdr:colOff>506623</xdr:colOff>
      <xdr:row>30</xdr:row>
      <xdr:rowOff>69188</xdr:rowOff>
    </xdr:from>
    <xdr:ext cx="14727994" cy="937629"/>
    <xdr:sp macro="" textlink="">
      <xdr:nvSpPr>
        <xdr:cNvPr id="3" name="Rectangle 2"/>
        <xdr:cNvSpPr/>
      </xdr:nvSpPr>
      <xdr:spPr>
        <a:xfrm rot="19028361">
          <a:off x="685917" y="7084070"/>
          <a:ext cx="14727994" cy="937629"/>
        </a:xfrm>
        <a:prstGeom prst="rect">
          <a:avLst/>
        </a:prstGeom>
        <a:no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bodyPr>
        <a:lstStyle/>
        <a:p>
          <a:pPr algn="ctr"/>
          <a:r>
            <a:rPr lang="en-US" sz="5400" b="1"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rPr>
            <a:t>F               I            N           A       L</a:t>
          </a:r>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0</xdr:col>
      <xdr:colOff>0</xdr:colOff>
      <xdr:row>27</xdr:row>
      <xdr:rowOff>148877</xdr:rowOff>
    </xdr:from>
    <xdr:ext cx="14106370" cy="937629"/>
    <xdr:sp macro="" textlink="">
      <xdr:nvSpPr>
        <xdr:cNvPr id="2" name="Rectangle 1"/>
        <xdr:cNvSpPr/>
      </xdr:nvSpPr>
      <xdr:spPr>
        <a:xfrm rot="19028361">
          <a:off x="0" y="8948163"/>
          <a:ext cx="14106370" cy="937629"/>
        </a:xfrm>
        <a:prstGeom prst="rect">
          <a:avLst/>
        </a:prstGeom>
        <a:no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bodyPr>
        <a:lstStyle/>
        <a:p>
          <a:pPr algn="ctr"/>
          <a:r>
            <a:rPr lang="en-US" sz="5400" b="1"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rPr>
            <a:t>F               I            N           A       L</a:t>
          </a:r>
        </a:p>
      </xdr:txBody>
    </xdr:sp>
    <xdr:clientData/>
  </xdr:oneCellAnchor>
</xdr:wsDr>
</file>

<file path=xl/drawings/drawing19.xml><?xml version="1.0" encoding="utf-8"?>
<xdr:wsDr xmlns:xdr="http://schemas.openxmlformats.org/drawingml/2006/spreadsheetDrawing" xmlns:a="http://schemas.openxmlformats.org/drawingml/2006/main">
  <xdr:twoCellAnchor>
    <xdr:from>
      <xdr:col>0</xdr:col>
      <xdr:colOff>504825</xdr:colOff>
      <xdr:row>1</xdr:row>
      <xdr:rowOff>38100</xdr:rowOff>
    </xdr:from>
    <xdr:to>
      <xdr:col>9</xdr:col>
      <xdr:colOff>180975</xdr:colOff>
      <xdr:row>1</xdr:row>
      <xdr:rowOff>657225</xdr:rowOff>
    </xdr:to>
    <xdr:sp macro="" textlink="">
      <xdr:nvSpPr>
        <xdr:cNvPr id="1838085" name="Text Box 79"/>
        <xdr:cNvSpPr txBox="1">
          <a:spLocks noChangeArrowheads="1"/>
        </xdr:cNvSpPr>
      </xdr:nvSpPr>
      <xdr:spPr bwMode="auto">
        <a:xfrm>
          <a:off x="504825" y="457200"/>
          <a:ext cx="9039225" cy="619125"/>
        </a:xfrm>
        <a:prstGeom prst="rect">
          <a:avLst/>
        </a:prstGeom>
        <a:solidFill>
          <a:srgbClr val="C0C0C0"/>
        </a:solidFill>
        <a:ln w="3175">
          <a:solidFill>
            <a:srgbClr val="000000"/>
          </a:solidFill>
          <a:miter lim="800000"/>
          <a:headEnd/>
          <a:tailEnd/>
        </a:ln>
      </xdr:spPr>
      <xdr:txBody>
        <a:bodyPr vertOverflow="clip" wrap="square" lIns="27432" tIns="22860" rIns="0" bIns="0" anchor="t" upright="1"/>
        <a:lstStyle/>
        <a:p>
          <a:pPr algn="l" rtl="0">
            <a:defRPr sz="1000"/>
          </a:pPr>
          <a:r>
            <a:rPr lang="en-US" sz="800" b="0" i="0" u="none" strike="noStrike" baseline="0">
              <a:solidFill>
                <a:srgbClr val="000000"/>
              </a:solidFill>
              <a:latin typeface="Arial"/>
              <a:cs typeface="Arial"/>
            </a:rPr>
            <a:t>Carbon dioxide (CO2) emission from Municipal Solid Waste (MSW) combustion in incinerators was estimated from the CO2 Emissions CEM reading at the Incinerators plant (except for harford County),while CH4 and N2O emissions were estimated by  by multiplying the tonnages of MSW combusted in Maryland in 2011 by the default EPA Municipal Solid Waste heat value and an updated CO2 emission factor from the Mandatory Greenhouse Gas Reporting Rule.  All material burned was included in the analysis.</a:t>
          </a:r>
        </a:p>
      </xdr:txBody>
    </xdr:sp>
    <xdr:clientData/>
  </xdr:twoCellAnchor>
  <xdr:oneCellAnchor>
    <xdr:from>
      <xdr:col>1</xdr:col>
      <xdr:colOff>247650</xdr:colOff>
      <xdr:row>20</xdr:row>
      <xdr:rowOff>80824</xdr:rowOff>
    </xdr:from>
    <xdr:ext cx="11471894" cy="937629"/>
    <xdr:sp macro="" textlink="">
      <xdr:nvSpPr>
        <xdr:cNvPr id="3" name="Rectangle 2"/>
        <xdr:cNvSpPr/>
      </xdr:nvSpPr>
      <xdr:spPr>
        <a:xfrm rot="19028361">
          <a:off x="390525" y="3776524"/>
          <a:ext cx="11471894" cy="937629"/>
        </a:xfrm>
        <a:prstGeom prst="rect">
          <a:avLst/>
        </a:prstGeom>
        <a:no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bodyPr>
        <a:lstStyle/>
        <a:p>
          <a:pPr algn="ctr"/>
          <a:r>
            <a:rPr lang="en-US" sz="5400" b="1"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rPr>
            <a:t>F               I            N           A       L</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0</xdr:col>
      <xdr:colOff>161925</xdr:colOff>
      <xdr:row>1</xdr:row>
      <xdr:rowOff>104774</xdr:rowOff>
    </xdr:from>
    <xdr:to>
      <xdr:col>8</xdr:col>
      <xdr:colOff>581025</xdr:colOff>
      <xdr:row>1</xdr:row>
      <xdr:rowOff>1650999</xdr:rowOff>
    </xdr:to>
    <xdr:sp macro="" textlink="">
      <xdr:nvSpPr>
        <xdr:cNvPr id="1829894" name="Text Box 67"/>
        <xdr:cNvSpPr txBox="1">
          <a:spLocks noChangeArrowheads="1"/>
        </xdr:cNvSpPr>
      </xdr:nvSpPr>
      <xdr:spPr bwMode="auto">
        <a:xfrm>
          <a:off x="161925" y="523874"/>
          <a:ext cx="9702800" cy="1546225"/>
        </a:xfrm>
        <a:prstGeom prst="rect">
          <a:avLst/>
        </a:prstGeom>
        <a:solidFill>
          <a:srgbClr val="C0C0C0"/>
        </a:solidFill>
        <a:ln w="3175">
          <a:solidFill>
            <a:srgbClr val="000000"/>
          </a:solidFill>
          <a:miter lim="800000"/>
          <a:headEnd/>
          <a:tailEnd/>
        </a:ln>
      </xdr:spPr>
      <xdr:txBody>
        <a:bodyPr vertOverflow="clip" wrap="square" lIns="27432" tIns="22860" rIns="0" bIns="0" anchor="t" upright="1"/>
        <a:lstStyle/>
        <a:p>
          <a:pPr algn="l" rtl="0">
            <a:defRPr sz="1000"/>
          </a:pPr>
          <a:r>
            <a:rPr lang="en-US" sz="800" b="0" i="0" u="none" strike="noStrike" baseline="0">
              <a:solidFill>
                <a:srgbClr val="000000"/>
              </a:solidFill>
              <a:latin typeface="Arial"/>
              <a:cs typeface="Arial"/>
            </a:rPr>
            <a:t>CO2 emissions from fossil fuel combustion in the base unit electric power generation sector were collected from the Regional Greenhouse Gas Initiative (RGGI) Program.  RGGI piggybacks on the EPA Clean Air Markets Division (CAMD) program. Facilities report emissions directly to CAMD.  Facility CO2 emissions are reported directly from continuous emissions monitors (CEM) or are calculated by the facility and sent RGGI/CAMD.  </a:t>
          </a:r>
        </a:p>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CH4 and N2O emissions from stationary combustion in the electric power sector are calculated using the IPCC Tier 1 approach.  Consumption of each fuel is multiplied by a fuel-specific CH4 or N2O emission factor.  The resulting fuel emission values, in metric tons CH4 and N2O, are then multiplied by the global warming potential, converted to million metric tons of carbon equivalent (MMTCE), then to million metric tons of carbon dioxide equivalent (MMTCO2E), and summed.  For further detail on this method, please refer to the Stationary Chapter in the User's Guide.</a:t>
          </a:r>
        </a:p>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Note that this worksheet estimates the direct emissions associated with the electric power sector. Direct emissions result from the combustion of fossil fuels at the electricity generating station, whereas indirect emissions occur at the point of use (e.g., residential electricity consumption).  Because electricity consumption within a state does not correspond to electricity generated in that same state, emissions from electricity consumption (indirect emissions) are not likely to be the same as emissions from generation (direct emissions). Please refer to the electricity generation module to estimate indirect emissions from electricity consumption.</a:t>
          </a:r>
        </a:p>
        <a:p>
          <a:pPr algn="l" rtl="0">
            <a:defRPr sz="1000"/>
          </a:pPr>
          <a:endParaRPr lang="en-US" sz="800" b="0" i="0" u="none" strike="noStrike" baseline="0">
            <a:solidFill>
              <a:srgbClr val="000000"/>
            </a:solidFill>
            <a:latin typeface="Arial"/>
            <a:cs typeface="Arial"/>
          </a:endParaRPr>
        </a:p>
      </xdr:txBody>
    </xdr:sp>
    <xdr:clientData/>
  </xdr:twoCellAnchor>
  <xdr:oneCellAnchor>
    <xdr:from>
      <xdr:col>0</xdr:col>
      <xdr:colOff>0</xdr:colOff>
      <xdr:row>213</xdr:row>
      <xdr:rowOff>131709</xdr:rowOff>
    </xdr:from>
    <xdr:ext cx="17054432" cy="1557257"/>
    <xdr:sp macro="" textlink="">
      <xdr:nvSpPr>
        <xdr:cNvPr id="3" name="Rectangle 2"/>
        <xdr:cNvSpPr/>
      </xdr:nvSpPr>
      <xdr:spPr>
        <a:xfrm rot="19028361">
          <a:off x="0" y="36528754"/>
          <a:ext cx="17054432" cy="1557257"/>
        </a:xfrm>
        <a:prstGeom prst="rect">
          <a:avLst/>
        </a:prstGeom>
        <a:no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bodyPr>
        <a:lstStyle/>
        <a:p>
          <a:pPr algn="ctr"/>
          <a:r>
            <a:rPr lang="en-US" sz="5400" b="1"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rPr>
            <a:t>F               I            N           A       L</a:t>
          </a:r>
        </a:p>
      </xdr:txBody>
    </xdr:sp>
    <xdr:clientData/>
  </xdr:oneCellAnchor>
  <xdr:oneCellAnchor>
    <xdr:from>
      <xdr:col>2</xdr:col>
      <xdr:colOff>85756</xdr:colOff>
      <xdr:row>23</xdr:row>
      <xdr:rowOff>31376</xdr:rowOff>
    </xdr:from>
    <xdr:ext cx="16378755" cy="937629"/>
    <xdr:sp macro="" textlink="">
      <xdr:nvSpPr>
        <xdr:cNvPr id="4" name="Rectangle 3"/>
        <xdr:cNvSpPr/>
      </xdr:nvSpPr>
      <xdr:spPr>
        <a:xfrm rot="19028361">
          <a:off x="1178330" y="5886450"/>
          <a:ext cx="16378755" cy="937629"/>
        </a:xfrm>
        <a:prstGeom prst="rect">
          <a:avLst/>
        </a:prstGeom>
        <a:no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bodyPr>
        <a:lstStyle/>
        <a:p>
          <a:pPr algn="ctr"/>
          <a:r>
            <a:rPr lang="en-US" sz="5400" b="1"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rPr>
            <a:t>F               I            N           A       L</a:t>
          </a:r>
        </a:p>
      </xdr:txBody>
    </xdr:sp>
    <xdr:clientData/>
  </xdr:oneCellAnchor>
  <xdr:oneCellAnchor>
    <xdr:from>
      <xdr:col>4</xdr:col>
      <xdr:colOff>0</xdr:colOff>
      <xdr:row>124</xdr:row>
      <xdr:rowOff>0</xdr:rowOff>
    </xdr:from>
    <xdr:ext cx="16378755" cy="937629"/>
    <xdr:sp macro="" textlink="">
      <xdr:nvSpPr>
        <xdr:cNvPr id="5" name="Rectangle 4"/>
        <xdr:cNvSpPr/>
      </xdr:nvSpPr>
      <xdr:spPr>
        <a:xfrm rot="19028361">
          <a:off x="4874559" y="22972059"/>
          <a:ext cx="16378755" cy="937629"/>
        </a:xfrm>
        <a:prstGeom prst="rect">
          <a:avLst/>
        </a:prstGeom>
        <a:no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bodyPr>
        <a:lstStyle/>
        <a:p>
          <a:pPr algn="ctr"/>
          <a:r>
            <a:rPr lang="en-US" sz="5400" b="1"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rPr>
            <a:t>F               I            N           A       L</a:t>
          </a:r>
        </a:p>
      </xdr:txBody>
    </xdr:sp>
    <xdr:clientData/>
  </xdr:oneCellAnchor>
  <xdr:oneCellAnchor>
    <xdr:from>
      <xdr:col>2</xdr:col>
      <xdr:colOff>0</xdr:colOff>
      <xdr:row>314</xdr:row>
      <xdr:rowOff>0</xdr:rowOff>
    </xdr:from>
    <xdr:ext cx="16378755" cy="937629"/>
    <xdr:sp macro="" textlink="">
      <xdr:nvSpPr>
        <xdr:cNvPr id="6" name="Rectangle 5"/>
        <xdr:cNvSpPr/>
      </xdr:nvSpPr>
      <xdr:spPr>
        <a:xfrm rot="19028361">
          <a:off x="1092574" y="55188971"/>
          <a:ext cx="16378755" cy="937629"/>
        </a:xfrm>
        <a:prstGeom prst="rect">
          <a:avLst/>
        </a:prstGeom>
        <a:no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bodyPr>
        <a:lstStyle/>
        <a:p>
          <a:pPr algn="ctr"/>
          <a:r>
            <a:rPr lang="en-US" sz="5400" b="1"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rPr>
            <a:t>F               I            N           A       L</a:t>
          </a:r>
        </a:p>
      </xdr:txBody>
    </xdr:sp>
    <xdr:clientData/>
  </xdr:oneCellAnchor>
  <xdr:oneCellAnchor>
    <xdr:from>
      <xdr:col>0</xdr:col>
      <xdr:colOff>0</xdr:colOff>
      <xdr:row>457</xdr:row>
      <xdr:rowOff>154082</xdr:rowOff>
    </xdr:from>
    <xdr:ext cx="16378755" cy="937629"/>
    <xdr:sp macro="" textlink="">
      <xdr:nvSpPr>
        <xdr:cNvPr id="7" name="Rectangle 6"/>
        <xdr:cNvSpPr/>
      </xdr:nvSpPr>
      <xdr:spPr>
        <a:xfrm rot="19028361">
          <a:off x="0" y="81410736"/>
          <a:ext cx="16378755" cy="937629"/>
        </a:xfrm>
        <a:prstGeom prst="rect">
          <a:avLst/>
        </a:prstGeom>
        <a:no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bodyPr>
        <a:lstStyle/>
        <a:p>
          <a:pPr algn="ctr"/>
          <a:r>
            <a:rPr lang="en-US" sz="5400" b="1"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rPr>
            <a:t>F               I            N           A       L</a:t>
          </a:r>
        </a:p>
      </xdr:txBody>
    </xdr:sp>
    <xdr:clientData/>
  </xdr:oneCellAnchor>
</xdr:wsDr>
</file>

<file path=xl/drawings/drawing20.xml><?xml version="1.0" encoding="utf-8"?>
<xdr:wsDr xmlns:xdr="http://schemas.openxmlformats.org/drawingml/2006/spreadsheetDrawing" xmlns:a="http://schemas.openxmlformats.org/drawingml/2006/main">
  <xdr:twoCellAnchor>
    <xdr:from>
      <xdr:col>0</xdr:col>
      <xdr:colOff>523875</xdr:colOff>
      <xdr:row>1</xdr:row>
      <xdr:rowOff>19050</xdr:rowOff>
    </xdr:from>
    <xdr:to>
      <xdr:col>10</xdr:col>
      <xdr:colOff>9525</xdr:colOff>
      <xdr:row>1</xdr:row>
      <xdr:rowOff>1371600</xdr:rowOff>
    </xdr:to>
    <xdr:sp macro="" textlink="">
      <xdr:nvSpPr>
        <xdr:cNvPr id="1850369" name="Text Box 79"/>
        <xdr:cNvSpPr txBox="1">
          <a:spLocks noChangeArrowheads="1"/>
        </xdr:cNvSpPr>
      </xdr:nvSpPr>
      <xdr:spPr bwMode="auto">
        <a:xfrm>
          <a:off x="523875" y="438150"/>
          <a:ext cx="6819900" cy="1352550"/>
        </a:xfrm>
        <a:prstGeom prst="rect">
          <a:avLst/>
        </a:prstGeom>
        <a:solidFill>
          <a:srgbClr val="C0C0C0"/>
        </a:solidFill>
        <a:ln w="3175">
          <a:solidFill>
            <a:srgbClr val="000000"/>
          </a:solidFill>
          <a:miter lim="800000"/>
          <a:headEnd/>
          <a:tailEnd/>
        </a:ln>
      </xdr:spPr>
      <xdr:txBody>
        <a:bodyPr vertOverflow="clip" wrap="square" lIns="27432" tIns="22860" rIns="0" bIns="0" anchor="t" upright="1"/>
        <a:lstStyle/>
        <a:p>
          <a:pPr algn="l" rtl="0">
            <a:defRPr sz="1000"/>
          </a:pPr>
          <a:r>
            <a:rPr lang="en-US" sz="800" b="0" i="0" u="none" strike="noStrike" baseline="0">
              <a:solidFill>
                <a:srgbClr val="000000"/>
              </a:solidFill>
              <a:latin typeface="Arial"/>
              <a:cs typeface="Arial"/>
            </a:rPr>
            <a:t>The method used to calculate emissions is presented in a study/survey conducted by the Mid-Atlantic/Northeast Visibility Union (MANE-VU), titled “Open Burning in Residential Areas Emissions Inventory Development Report.” User's Guide.  The purpose of the survey was to obtain data for developing activity estimates and control information (e.g., bans on burning) that would form the basis of an improved open burning emission inventory for Mid-Atlantic/Northeast Visibility Union (MANE-VU) states.</a:t>
          </a:r>
        </a:p>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Emission factors in lbs/ton total mass were taken from AP-42 Table 2.5-1, Emission Factors for Open Burning of Municipal Refuse and from a 1997 EPA research paper on open burning.</a:t>
          </a:r>
        </a:p>
      </xdr:txBody>
    </xdr:sp>
    <xdr:clientData/>
  </xdr:twoCellAnchor>
  <xdr:oneCellAnchor>
    <xdr:from>
      <xdr:col>0</xdr:col>
      <xdr:colOff>0</xdr:colOff>
      <xdr:row>12</xdr:row>
      <xdr:rowOff>109398</xdr:rowOff>
    </xdr:from>
    <xdr:ext cx="11471894" cy="937629"/>
    <xdr:sp macro="" textlink="">
      <xdr:nvSpPr>
        <xdr:cNvPr id="3" name="Rectangle 2"/>
        <xdr:cNvSpPr/>
      </xdr:nvSpPr>
      <xdr:spPr>
        <a:xfrm rot="19028361">
          <a:off x="0" y="3776523"/>
          <a:ext cx="11471894" cy="937629"/>
        </a:xfrm>
        <a:prstGeom prst="rect">
          <a:avLst/>
        </a:prstGeom>
        <a:no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bodyPr>
        <a:lstStyle/>
        <a:p>
          <a:pPr algn="ctr"/>
          <a:r>
            <a:rPr lang="en-US" sz="5400" b="1"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rPr>
            <a:t>F               I            N           A       L</a:t>
          </a:r>
        </a:p>
      </xdr:txBody>
    </xdr:sp>
    <xdr:clientData/>
  </xdr:oneCellAnchor>
</xdr:wsDr>
</file>

<file path=xl/drawings/drawing21.xml><?xml version="1.0" encoding="utf-8"?>
<xdr:wsDr xmlns:xdr="http://schemas.openxmlformats.org/drawingml/2006/spreadsheetDrawing" xmlns:a="http://schemas.openxmlformats.org/drawingml/2006/main">
  <xdr:twoCellAnchor>
    <xdr:from>
      <xdr:col>1</xdr:col>
      <xdr:colOff>0</xdr:colOff>
      <xdr:row>1</xdr:row>
      <xdr:rowOff>66675</xdr:rowOff>
    </xdr:from>
    <xdr:to>
      <xdr:col>10</xdr:col>
      <xdr:colOff>19050</xdr:colOff>
      <xdr:row>1</xdr:row>
      <xdr:rowOff>2114550</xdr:rowOff>
    </xdr:to>
    <xdr:sp macro="" textlink="">
      <xdr:nvSpPr>
        <xdr:cNvPr id="1842180" name="Text Box 79"/>
        <xdr:cNvSpPr txBox="1">
          <a:spLocks noChangeArrowheads="1"/>
        </xdr:cNvSpPr>
      </xdr:nvSpPr>
      <xdr:spPr bwMode="auto">
        <a:xfrm>
          <a:off x="209550" y="485775"/>
          <a:ext cx="10125075" cy="2047875"/>
        </a:xfrm>
        <a:prstGeom prst="rect">
          <a:avLst/>
        </a:prstGeom>
        <a:solidFill>
          <a:srgbClr val="C0C0C0"/>
        </a:solidFill>
        <a:ln w="3175">
          <a:solidFill>
            <a:srgbClr val="000000"/>
          </a:solidFill>
          <a:miter lim="800000"/>
          <a:headEnd/>
          <a:tailEnd/>
        </a:ln>
      </xdr:spPr>
      <xdr:txBody>
        <a:bodyPr vertOverflow="clip" wrap="square" lIns="27432" tIns="22860" rIns="0" bIns="0" anchor="t" upright="1"/>
        <a:lstStyle/>
        <a:p>
          <a:pPr algn="l" rtl="0">
            <a:defRPr sz="1000"/>
          </a:pPr>
          <a:r>
            <a:rPr lang="en-US" sz="800" b="0" i="0" u="none" strike="noStrike" baseline="0">
              <a:solidFill>
                <a:srgbClr val="000000"/>
              </a:solidFill>
              <a:latin typeface="Arial"/>
              <a:cs typeface="Arial"/>
            </a:rPr>
            <a:t>Emissions from Natural Gas Production are calculated as the sum of emissions from the three categories of production sites: onshore wells, offshore shallow water platforms, and offshore deepwater platforms.  The number of gas production sites (wells or platforms) is multiplied by a site-specific emission factor. </a:t>
          </a:r>
        </a:p>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Emissions from Natural Gas Transmission are calculated as the sum of methane emissions from the pipelines that transport gas, the gas processing stations, the transmission compressor stations, and gas storage compressor facilities.  Emissions from each source are calculated as the product of the activity factor (e.g., miles of pipeline or number of stations) and the source-specific emission factor.</a:t>
          </a:r>
        </a:p>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Emissions from Natural Gas Distribution are calculated as the sum of emissions from distribution pipelines and end services.  The activity factor for each type of pipeline (e.g., miles of plastic distribution pipeline) is multiplied by the corresponding emission factor.  The number of services is multiplied by a general emission factor and type-specific emission factors.  </a:t>
          </a:r>
        </a:p>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Emissions from Natural Gas Venting and Flaring are calculated as the percent of emissions flared (20% is vented with the remaining 80% flared).  The amount of gas that is vented or flared is multiplied by a national emission factor. This total of potential emissions is then multiplied by the percentage of gas flared and converted to million metric tons of carbon equivalent.  </a:t>
          </a:r>
        </a:p>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Source emissions are converted to metric tons of CO2 equivalent and metric tons of carbon equivalent, and then summed across all sources.  For further details, refer to the Methane Emissions from Natural Gas and Oil Systems Chapter of the EPA SIT User's Guide.</a:t>
          </a:r>
        </a:p>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Source emissions are converted to metric tons of CO2 equivalent and metric tons of carbon equivalent, and then summed across all sources.  For further details, refer to the Methane Emissions from Natural Gas and Oil Systems Chapter of the User's Guide.</a:t>
          </a:r>
        </a:p>
      </xdr:txBody>
    </xdr:sp>
    <xdr:clientData/>
  </xdr:twoCellAnchor>
  <xdr:oneCellAnchor>
    <xdr:from>
      <xdr:col>0</xdr:col>
      <xdr:colOff>0</xdr:colOff>
      <xdr:row>32</xdr:row>
      <xdr:rowOff>57150</xdr:rowOff>
    </xdr:from>
    <xdr:ext cx="11471894" cy="937629"/>
    <xdr:sp macro="" textlink="">
      <xdr:nvSpPr>
        <xdr:cNvPr id="3" name="Rectangle 2"/>
        <xdr:cNvSpPr/>
      </xdr:nvSpPr>
      <xdr:spPr>
        <a:xfrm rot="19028361">
          <a:off x="0" y="9201150"/>
          <a:ext cx="11471894" cy="937629"/>
        </a:xfrm>
        <a:prstGeom prst="rect">
          <a:avLst/>
        </a:prstGeom>
        <a:no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bodyPr>
        <a:lstStyle/>
        <a:p>
          <a:pPr algn="ctr"/>
          <a:r>
            <a:rPr lang="en-US" sz="5400" b="1"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rPr>
            <a:t>F               I            N           A       L</a:t>
          </a:r>
        </a:p>
      </xdr:txBody>
    </xdr:sp>
    <xdr:clientData/>
  </xdr:oneCellAnchor>
</xdr:wsDr>
</file>

<file path=xl/drawings/drawing22.xml><?xml version="1.0" encoding="utf-8"?>
<xdr:wsDr xmlns:xdr="http://schemas.openxmlformats.org/drawingml/2006/spreadsheetDrawing" xmlns:a="http://schemas.openxmlformats.org/drawingml/2006/main">
  <xdr:twoCellAnchor>
    <xdr:from>
      <xdr:col>1</xdr:col>
      <xdr:colOff>0</xdr:colOff>
      <xdr:row>1</xdr:row>
      <xdr:rowOff>47625</xdr:rowOff>
    </xdr:from>
    <xdr:to>
      <xdr:col>15</xdr:col>
      <xdr:colOff>285750</xdr:colOff>
      <xdr:row>1</xdr:row>
      <xdr:rowOff>2514600</xdr:rowOff>
    </xdr:to>
    <xdr:sp macro="" textlink="">
      <xdr:nvSpPr>
        <xdr:cNvPr id="1846273" name="Text Box 79"/>
        <xdr:cNvSpPr txBox="1">
          <a:spLocks noChangeArrowheads="1"/>
        </xdr:cNvSpPr>
      </xdr:nvSpPr>
      <xdr:spPr bwMode="auto">
        <a:xfrm>
          <a:off x="266700" y="466725"/>
          <a:ext cx="9477375" cy="2466975"/>
        </a:xfrm>
        <a:prstGeom prst="rect">
          <a:avLst/>
        </a:prstGeom>
        <a:solidFill>
          <a:srgbClr val="C0C0C0"/>
        </a:solidFill>
        <a:ln w="3175">
          <a:solidFill>
            <a:srgbClr val="000000"/>
          </a:solidFill>
          <a:miter lim="800000"/>
          <a:headEnd/>
          <a:tailEnd/>
        </a:ln>
      </xdr:spPr>
      <xdr:txBody>
        <a:bodyPr vertOverflow="clip" wrap="square" lIns="27432" tIns="22860" rIns="0" bIns="0" anchor="t" upright="1"/>
        <a:lstStyle/>
        <a:p>
          <a:pPr algn="l" rtl="0">
            <a:defRPr sz="1000"/>
          </a:pPr>
          <a:r>
            <a:rPr lang="en-US" sz="800" b="0" i="0" u="none" strike="noStrike" baseline="0">
              <a:solidFill>
                <a:srgbClr val="000000"/>
              </a:solidFill>
              <a:latin typeface="Arial"/>
              <a:cs typeface="Arial"/>
            </a:rPr>
            <a:t>Emissions from Coal Mining are calculated by summing the emissions from underground mines, surface mines, and post-mining activities.</a:t>
          </a:r>
        </a:p>
        <a:p>
          <a:pPr algn="l" rtl="0">
            <a:defRPr sz="1000"/>
          </a:pPr>
          <a:r>
            <a:rPr lang="en-US" sz="800" b="0" i="0" u="none" strike="noStrike" baseline="0">
              <a:solidFill>
                <a:srgbClr val="000000"/>
              </a:solidFill>
              <a:latin typeface="Arial"/>
              <a:cs typeface="Arial"/>
            </a:rPr>
            <a:t>- Underground mine emissions are comprised of two parts: methane emitted from ventilation systems and methane emitted from degasification systems. Emissions from degasification systems are equal to the difference between methane removed through degasification and methane used for energy purposes. </a:t>
          </a:r>
        </a:p>
        <a:p>
          <a:pPr algn="l" rtl="0">
            <a:defRPr sz="1000"/>
          </a:pPr>
          <a:r>
            <a:rPr lang="en-US" sz="800" b="0" i="0" u="none" strike="noStrike" baseline="0">
              <a:solidFill>
                <a:srgbClr val="000000"/>
              </a:solidFill>
              <a:latin typeface="Arial"/>
              <a:cs typeface="Arial"/>
            </a:rPr>
            <a:t>- Surface mine emissions are the product of surface coal mine production and a basin-specific EF.  </a:t>
          </a:r>
        </a:p>
        <a:p>
          <a:pPr algn="l" rtl="0">
            <a:defRPr sz="1000"/>
          </a:pPr>
          <a:r>
            <a:rPr lang="en-US" sz="800" b="0" i="0" u="none" strike="noStrike" baseline="0">
              <a:solidFill>
                <a:srgbClr val="000000"/>
              </a:solidFill>
              <a:latin typeface="Arial"/>
              <a:cs typeface="Arial"/>
            </a:rPr>
            <a:t>- Emissions from post-mining activities, such as transportation and coal handling, are equal to the sum of post-mining emissions from underground and surface mines; the emissions are each calculated as the product of coal production times a basin and mine-type specific EF.  </a:t>
          </a:r>
        </a:p>
        <a:p>
          <a:pPr algn="l" rtl="0">
            <a:defRPr sz="1000"/>
          </a:pPr>
          <a:r>
            <a:rPr lang="en-US" sz="800" b="0" i="0" u="none" strike="noStrike" baseline="0">
              <a:solidFill>
                <a:srgbClr val="000000"/>
              </a:solidFill>
              <a:latin typeface="Arial"/>
              <a:cs typeface="Arial"/>
            </a:rPr>
            <a:t>- Total emissions from coal mining are the sum of emissions from underground mines, surface mines, and post-mining activities at both types of mines.</a:t>
          </a:r>
        </a:p>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Emissions from Abandoned Coal Mines are calculated by summing the emissions from mines that are vented, sealed, or flooded.</a:t>
          </a:r>
        </a:p>
        <a:p>
          <a:pPr algn="l" rtl="0">
            <a:defRPr sz="1000"/>
          </a:pPr>
          <a:r>
            <a:rPr lang="en-US" sz="800" b="0" i="0" u="none" strike="noStrike" baseline="0">
              <a:solidFill>
                <a:srgbClr val="000000"/>
              </a:solidFill>
              <a:latin typeface="Arial"/>
              <a:cs typeface="Arial"/>
            </a:rPr>
            <a:t>- Different coal seams vary in the amount of gas present initially and the way the methane is adsorbed to the coal (i.e. some coals release methane more readily than others).</a:t>
          </a:r>
        </a:p>
        <a:p>
          <a:pPr algn="l" rtl="0">
            <a:defRPr sz="1000"/>
          </a:pPr>
          <a:r>
            <a:rPr lang="en-US" sz="800" b="0" i="0" u="none" strike="noStrike" baseline="0">
              <a:solidFill>
                <a:srgbClr val="000000"/>
              </a:solidFill>
              <a:latin typeface="Arial"/>
              <a:cs typeface="Arial"/>
            </a:rPr>
            <a:t>- A vented mine is one that can release methane to the atmosphere freely.  The emissions of vented mines will depend on time since abandonment and coal characteristics.</a:t>
          </a:r>
        </a:p>
        <a:p>
          <a:pPr algn="l" rtl="0">
            <a:defRPr sz="1000"/>
          </a:pPr>
          <a:r>
            <a:rPr lang="en-US" sz="800" b="0" i="0" u="none" strike="noStrike" baseline="0">
              <a:solidFill>
                <a:srgbClr val="000000"/>
              </a:solidFill>
              <a:latin typeface="Arial"/>
              <a:cs typeface="Arial"/>
            </a:rPr>
            <a:t>- A sealed mine has been sealed to prevent the escape of methane.  However given the nature of the rock used to seal mines, such sealing is never 100 percent effective.  The effect of a seal is to slow the methane emissions to spread them out over a longer period of time.</a:t>
          </a:r>
        </a:p>
        <a:p>
          <a:pPr algn="l" rtl="0">
            <a:defRPr sz="1000"/>
          </a:pPr>
          <a:r>
            <a:rPr lang="en-US" sz="800" b="0" i="0" u="none" strike="noStrike" baseline="0">
              <a:solidFill>
                <a:srgbClr val="000000"/>
              </a:solidFill>
              <a:latin typeface="Arial"/>
              <a:cs typeface="Arial"/>
            </a:rPr>
            <a:t>- After a mine is abandoned and in a flood prone area, the mine will fill up with water.  A completely flooded mine releases little to no methane to the atmosphere.  Therefore, most emissions will occur in the first few years following abandonment.</a:t>
          </a:r>
        </a:p>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For more information, please refer to the Coal Mining chapter of the EPA SIT User's Guide.</a:t>
          </a:r>
        </a:p>
        <a:p>
          <a:pPr algn="l" rtl="0">
            <a:defRPr sz="1000"/>
          </a:pPr>
          <a:endParaRPr lang="en-US" sz="800" b="0" i="0" u="none" strike="noStrike" baseline="0">
            <a:solidFill>
              <a:srgbClr val="000000"/>
            </a:solidFill>
            <a:latin typeface="Arial"/>
            <a:cs typeface="Arial"/>
          </a:endParaRPr>
        </a:p>
      </xdr:txBody>
    </xdr:sp>
    <xdr:clientData/>
  </xdr:twoCellAnchor>
  <xdr:oneCellAnchor>
    <xdr:from>
      <xdr:col>0</xdr:col>
      <xdr:colOff>0</xdr:colOff>
      <xdr:row>8</xdr:row>
      <xdr:rowOff>28575</xdr:rowOff>
    </xdr:from>
    <xdr:ext cx="11471894" cy="937629"/>
    <xdr:sp macro="" textlink="">
      <xdr:nvSpPr>
        <xdr:cNvPr id="3" name="Rectangle 2"/>
        <xdr:cNvSpPr/>
      </xdr:nvSpPr>
      <xdr:spPr>
        <a:xfrm rot="19028361">
          <a:off x="0" y="4772025"/>
          <a:ext cx="11471894" cy="937629"/>
        </a:xfrm>
        <a:prstGeom prst="rect">
          <a:avLst/>
        </a:prstGeom>
        <a:no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bodyPr>
        <a:lstStyle/>
        <a:p>
          <a:pPr algn="ctr"/>
          <a:r>
            <a:rPr lang="en-US" sz="5400" b="1"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rPr>
            <a:t>F               I            N           A       L</a:t>
          </a:r>
        </a:p>
      </xdr:txBody>
    </xdr:sp>
    <xdr:clientData/>
  </xdr:oneCellAnchor>
</xdr:wsDr>
</file>

<file path=xl/drawings/drawing23.xml><?xml version="1.0" encoding="utf-8"?>
<xdr:wsDr xmlns:xdr="http://schemas.openxmlformats.org/drawingml/2006/spreadsheetDrawing" xmlns:a="http://schemas.openxmlformats.org/drawingml/2006/main">
  <xdr:twoCellAnchor>
    <xdr:from>
      <xdr:col>1</xdr:col>
      <xdr:colOff>9525</xdr:colOff>
      <xdr:row>1</xdr:row>
      <xdr:rowOff>57150</xdr:rowOff>
    </xdr:from>
    <xdr:to>
      <xdr:col>15</xdr:col>
      <xdr:colOff>381000</xdr:colOff>
      <xdr:row>1</xdr:row>
      <xdr:rowOff>3676650</xdr:rowOff>
    </xdr:to>
    <xdr:sp macro="" textlink="">
      <xdr:nvSpPr>
        <xdr:cNvPr id="1847307" name="Text Box 79"/>
        <xdr:cNvSpPr txBox="1">
          <a:spLocks noChangeArrowheads="1"/>
        </xdr:cNvSpPr>
      </xdr:nvSpPr>
      <xdr:spPr bwMode="auto">
        <a:xfrm>
          <a:off x="228600" y="476250"/>
          <a:ext cx="10115550" cy="3619500"/>
        </a:xfrm>
        <a:prstGeom prst="rect">
          <a:avLst/>
        </a:prstGeom>
        <a:solidFill>
          <a:srgbClr val="C0C0C0"/>
        </a:solidFill>
        <a:ln w="3175">
          <a:solidFill>
            <a:srgbClr val="000000"/>
          </a:solidFill>
          <a:miter lim="800000"/>
          <a:headEnd/>
          <a:tailEnd/>
        </a:ln>
      </xdr:spPr>
      <xdr:txBody>
        <a:bodyPr vertOverflow="clip" wrap="square" lIns="27432" tIns="22860" rIns="0" bIns="0" anchor="t" upright="1"/>
        <a:lstStyle/>
        <a:p>
          <a:pPr algn="l" rtl="0">
            <a:defRPr sz="1000"/>
          </a:pPr>
          <a:r>
            <a:rPr lang="en-US" sz="800" b="0" i="0" u="none" strike="noStrike" baseline="0">
              <a:solidFill>
                <a:srgbClr val="000000"/>
              </a:solidFill>
              <a:latin typeface="Arial"/>
              <a:cs typeface="Arial"/>
            </a:rPr>
            <a:t>To calculate methane emissions from municipal wastewater treatment, the total annual BOD5 production in metric tons is multiplied by the fraction that is treated anaerobically and by the CH4 produced per metric ton of BOD5, converted to million metric tons carbon equivalent (MMTCE), and converted to million metric tons carbon dioxide equivalent (MMTCO2E).  .</a:t>
          </a:r>
        </a:p>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Municipal wastewater treatment direct N2O emissions are calculated by multiplying total population served by an N2O emission factor per person per year, converted to million metric tons carbon equivalent (MMTCE), and converted to million metric tons carbon dioxide equivalent (MMTCO2E).  </a:t>
          </a:r>
        </a:p>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Municipal wastewater N2O emissions from biosolids are calculated by multiplying the total annual protein consumption by the nitrogen content of protein and fraction of nitrogen not consumed, an N2O emission factor per metric ton of nitrogen treated, subtracting direct emissions, converted to million metric tons carbon equivalent (MMTCE), and converted to million metric tons carbon dioxide equivalent (MMTCO2E).   Direct and biosolids N2O emissions are then added to produce an estimate of total municipal wastewater treatment N2O emissions.  </a:t>
          </a:r>
        </a:p>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Emissions from treatment of industrial wastewater from fruit and vegetables is based annual metric tons produced and factored by the volume of wastewater produced per unit production, the average organic matter content of wastewater from those processes, a CH4 emission factor, the percent treated anaerobically, converted to million metric tons carbon equivalent (MMTCE), and converted to million metric tons carbon dioxide equivalent (MMTCO2E).  </a:t>
          </a:r>
        </a:p>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Emissions from treatment of industrial wastewater from red meat is based annual metric tons produced and factored by the volume of wastewater produced per unit production, the average organic matter content of wastewater from those processes, a CH4 emission factor, the percent treated anaerobically, converted to million metric tons carbon equivalent (MMTCE), and converted to million metric tons carbon dioxide equivalent (MMTCO2E).  </a:t>
          </a:r>
        </a:p>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Emissions from treatment of industrial wastewater from poultry is based annual metric tons produced and factored by the volume of wastewater produced per unit production, the average organic matter content of wastewater from those processes, a CH4 emission factor, the percent treated anaerobically, converted to million metric tons carbon equivalent (MMTCE), and converted to million metric tons carbon dioxide equivalent (MMTCO2E).  </a:t>
          </a:r>
        </a:p>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Emissions from treatment of industrial wastewater from pulp and paper production is based annual metric tons produced and factored by the volume of wastewater produced per unit production, the average organic matter content of wastewater from those processes, a CH4 emission factor, the percent treated anaerobically, converted to million metric tons carbon equivalent (MMTCE), and converted to million metric tons carbon dioxide equivalent (MMTCO2E).  </a:t>
          </a:r>
        </a:p>
      </xdr:txBody>
    </xdr:sp>
    <xdr:clientData/>
  </xdr:twoCellAnchor>
  <xdr:oneCellAnchor>
    <xdr:from>
      <xdr:col>2</xdr:col>
      <xdr:colOff>19050</xdr:colOff>
      <xdr:row>7</xdr:row>
      <xdr:rowOff>133349</xdr:rowOff>
    </xdr:from>
    <xdr:ext cx="11471894" cy="937629"/>
    <xdr:sp macro="" textlink="">
      <xdr:nvSpPr>
        <xdr:cNvPr id="3" name="Rectangle 2"/>
        <xdr:cNvSpPr/>
      </xdr:nvSpPr>
      <xdr:spPr>
        <a:xfrm rot="19028361">
          <a:off x="1552575" y="5486399"/>
          <a:ext cx="11471894" cy="937629"/>
        </a:xfrm>
        <a:prstGeom prst="rect">
          <a:avLst/>
        </a:prstGeom>
        <a:no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bodyPr>
        <a:lstStyle/>
        <a:p>
          <a:pPr algn="ctr"/>
          <a:r>
            <a:rPr lang="en-US" sz="5400" b="1"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rPr>
            <a:t>F               I            N           A       L</a:t>
          </a:r>
        </a:p>
      </xdr:txBody>
    </xdr:sp>
    <xdr:clientData/>
  </xdr:oneCellAnchor>
</xdr:wsDr>
</file>

<file path=xl/drawings/drawing24.xml><?xml version="1.0" encoding="utf-8"?>
<xdr:wsDr xmlns:xdr="http://schemas.openxmlformats.org/drawingml/2006/spreadsheetDrawing" xmlns:a="http://schemas.openxmlformats.org/drawingml/2006/main">
  <xdr:twoCellAnchor>
    <xdr:from>
      <xdr:col>24</xdr:col>
      <xdr:colOff>295275</xdr:colOff>
      <xdr:row>0</xdr:row>
      <xdr:rowOff>238125</xdr:rowOff>
    </xdr:from>
    <xdr:to>
      <xdr:col>42</xdr:col>
      <xdr:colOff>428625</xdr:colOff>
      <xdr:row>42</xdr:row>
      <xdr:rowOff>19050</xdr:rowOff>
    </xdr:to>
    <xdr:sp macro="" textlink="">
      <xdr:nvSpPr>
        <xdr:cNvPr id="1848393" name="Text Box 79"/>
        <xdr:cNvSpPr txBox="1">
          <a:spLocks noChangeArrowheads="1"/>
        </xdr:cNvSpPr>
      </xdr:nvSpPr>
      <xdr:spPr bwMode="auto">
        <a:xfrm>
          <a:off x="13115925" y="238125"/>
          <a:ext cx="9477375" cy="10191750"/>
        </a:xfrm>
        <a:prstGeom prst="rect">
          <a:avLst/>
        </a:prstGeom>
        <a:solidFill>
          <a:srgbClr val="C0C0C0"/>
        </a:solidFill>
        <a:ln w="3175">
          <a:solidFill>
            <a:srgbClr val="000000"/>
          </a:solidFill>
          <a:miter lim="800000"/>
          <a:headEnd/>
          <a:tailEnd/>
        </a:ln>
      </xdr:spPr>
      <xdr:txBody>
        <a:bodyPr vertOverflow="clip" wrap="square" lIns="27432" tIns="22860" rIns="0" bIns="0" anchor="t" upright="1"/>
        <a:lstStyle/>
        <a:p>
          <a:pPr algn="l" rtl="0">
            <a:defRPr sz="1000"/>
          </a:pPr>
          <a:r>
            <a:rPr lang="en-US" sz="800" b="0" i="0" u="none" strike="noStrike" baseline="0">
              <a:solidFill>
                <a:srgbClr val="000000"/>
              </a:solidFill>
              <a:latin typeface="Arial"/>
              <a:cs typeface="Arial"/>
            </a:rPr>
            <a:t>Emissions from the Agricultural Sector are calculated by summing the emissions from the following sources:</a:t>
          </a:r>
        </a:p>
        <a:p>
          <a:pPr algn="l" rtl="0">
            <a:defRPr sz="1000"/>
          </a:pPr>
          <a:r>
            <a:rPr lang="en-US" sz="800" b="0" i="0" u="none" strike="noStrike" baseline="0">
              <a:solidFill>
                <a:srgbClr val="000000"/>
              </a:solidFill>
              <a:latin typeface="Arial"/>
              <a:cs typeface="Arial"/>
            </a:rPr>
            <a:t>        • Enteric Fermentation</a:t>
          </a:r>
        </a:p>
        <a:p>
          <a:pPr algn="l" rtl="0">
            <a:defRPr sz="1000"/>
          </a:pPr>
          <a:r>
            <a:rPr lang="en-US" sz="800" b="0" i="0" u="none" strike="noStrike" baseline="0">
              <a:solidFill>
                <a:srgbClr val="000000"/>
              </a:solidFill>
              <a:latin typeface="Arial"/>
              <a:cs typeface="Arial"/>
            </a:rPr>
            <a:t>        • Manure Management</a:t>
          </a:r>
        </a:p>
        <a:p>
          <a:pPr algn="l" rtl="0">
            <a:defRPr sz="1000"/>
          </a:pPr>
          <a:r>
            <a:rPr lang="en-US" sz="800" b="0" i="0" u="none" strike="noStrike" baseline="0">
              <a:solidFill>
                <a:srgbClr val="000000"/>
              </a:solidFill>
              <a:latin typeface="Arial"/>
              <a:cs typeface="Arial"/>
            </a:rPr>
            <a:t>        • Plant Residues</a:t>
          </a:r>
        </a:p>
        <a:p>
          <a:pPr algn="l" rtl="0">
            <a:defRPr sz="1000"/>
          </a:pPr>
          <a:r>
            <a:rPr lang="en-US" sz="800" b="0" i="0" u="none" strike="noStrike" baseline="0">
              <a:solidFill>
                <a:srgbClr val="000000"/>
              </a:solidFill>
              <a:latin typeface="Arial"/>
              <a:cs typeface="Arial"/>
            </a:rPr>
            <a:t>        • Fertilizers</a:t>
          </a:r>
        </a:p>
        <a:p>
          <a:pPr algn="l" rtl="0">
            <a:defRPr sz="1000"/>
          </a:pPr>
          <a:r>
            <a:rPr lang="en-US" sz="800" b="0" i="0" u="none" strike="noStrike" baseline="0">
              <a:solidFill>
                <a:srgbClr val="000000"/>
              </a:solidFill>
              <a:latin typeface="Arial"/>
              <a:cs typeface="Arial"/>
            </a:rPr>
            <a:t>        • Animals</a:t>
          </a:r>
        </a:p>
        <a:p>
          <a:pPr algn="l" rtl="0">
            <a:defRPr sz="1000"/>
          </a:pPr>
          <a:r>
            <a:rPr lang="en-US" sz="800" b="0" i="0" u="none" strike="noStrike" baseline="0">
              <a:solidFill>
                <a:srgbClr val="000000"/>
              </a:solidFill>
              <a:latin typeface="Arial"/>
              <a:cs typeface="Arial"/>
            </a:rPr>
            <a:t>        • Rice Cultivation</a:t>
          </a:r>
        </a:p>
        <a:p>
          <a:pPr algn="l" rtl="0">
            <a:defRPr sz="1000"/>
          </a:pPr>
          <a:r>
            <a:rPr lang="en-US" sz="800" b="0" i="0" u="none" strike="noStrike" baseline="0">
              <a:solidFill>
                <a:srgbClr val="000000"/>
              </a:solidFill>
              <a:latin typeface="Arial"/>
              <a:cs typeface="Arial"/>
            </a:rPr>
            <a:t>        • Agricultural Residue Burning</a:t>
          </a:r>
        </a:p>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Emissions from Enteric Fermentation are calculated by multiplying each animal population by an animal- and region-specific emission factor.  Those resulting values, in kg CH4, are then converted to million metric tons (MMTCH4), MMT carbon equivalent (MMTCE), MMT carbon dioxide  equivalent (MMTCO2E), and then summed across animal types within a given year.  </a:t>
          </a:r>
        </a:p>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Methane emissions from Manure Management are calculated by multiplying each animal population by the typical animal mass (TAM) and the average volatile solids (VS) produced per kilogram (kg) of animal mass per year to estimate the amount of VS produced.  For each animal, this VS total is muliplied by the maximum potential emissions factor and by the methane conversion factor (MCF) of the manure system by the percentage manure managed in that system.  This yields methane emissions in cubic meters which are then converted to MMTCE, MMT carbon dioxide  equivalent (MMTCO2E), and then summed.  </a:t>
          </a:r>
        </a:p>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N2O emissions from Manure Management are calculated by multiplying each animal population by the typical animal mass (TAM) by the amount of nitrogen produced per kilogram of animal mass per year.  This value is then multiplied by a non-volatization factor and the proportion of waste processed in liquid and solid management systems to give two totals of unvolatized N.  Each of these are multiplied by an emission factor specific to the management system to give two totals of nitrogen emissions.  These totals are then summed and converted to N2O.  This amount is then converted to MMTCE, MMT carbon dioxide equivalent (MMTCO2E), and then summed.  </a:t>
          </a:r>
        </a:p>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Emissions from Plant Residues are calculated by first converting the crop production to metric tons.  This value is multiplied by the ratio of plant residue to crop mass, the fraction of dry matter in the residue, the fraction of residue applied, and the N content of the residue.  These values are summed to yield total N returned to soils, multiplied by an emission factor (EF), and converted to N2O.  For Legumes, the crop production is multiplied by the residue to crop mass ratio, the dry matter fraction, and the N content of above-ground biomass.  These values are then summed to yield total N-fixed by crops, multiplied by an EF, and converted to N2O.  Emissions from histosols are calculated by converting acres cultivated into hectares, multiplying by an EF, and then converting to N2O.  This amount is also converted to MMTCE, MMT carbon dioxide equivalent (MMTCO2E).  </a:t>
          </a:r>
        </a:p>
        <a:p>
          <a:pPr algn="l" rtl="0">
            <a:defRPr sz="1000"/>
          </a:pPr>
          <a:r>
            <a:rPr lang="en-US" sz="800" b="0" i="0" u="none" strike="noStrike" baseline="0">
              <a:solidFill>
                <a:srgbClr val="000000"/>
              </a:solidFill>
              <a:latin typeface="Arial"/>
              <a:cs typeface="Arial"/>
            </a:rPr>
            <a:t>Emissions of N2O from Fertilizers are calculated by first adjusting synthetic and organic fertilizer use data (in kg N) to calendar year.  The amount of N in synthetic fertilizer is multiplied by a synthetic volatilization rate to estimate volatilized N.  According to the IPCC Good Practice Guidance, the manure portion of organic fertilizers is subtracted from the total of organic fertilizers. Then, the amount of N in non-manure organic fertilizer is multiplied by the fraction N in other organics and by an organic volatilization rate to estimate organic volatilized N.  Unvolatilized N for synthetic and organic fertilizer is calculated using the remaining fraction of the volatilization rates.  These categories are summed, multiplied by an EF, and converted to metric tons of N2O emitted.  This amount is also converted to MMTCE, MMT carbon dioxide equivalent (MMTCO2E).  </a:t>
          </a:r>
        </a:p>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Emissions from Animals are calculated by multiplying each animal population by the typical animal mass (TAM) by the amount of K-Nitrogen (K-N) produced per kilogram of animal mass per year for total K-N excreted.  Indirect emissions are estimated by multiplying K-N by a volatization rate and EF to give emissions of N.  Direct emissions from pasture, range, and paddock are calculated by multiplying K-N by the percent of manure in pastures and an EF for that system.  Direct emissions from manure applied to soils are calculated by multiplying K-N for daily spread and managed systems by the percent of manure in these systems and an EF for each system, excluding a small percent of managed manure used as feed.  These totals are then summed and converted to N2O.  Unvolatized N from fertilizers, calculated on the previous worksheet, and K-N from manure are multiplied by a leaching EF to give emissions from leaching and runoff.  The emissions summary for each year converts the total direct and indirect estimates for livestock and runoff/leaching to MTN2O, MMTCE, and then MMT carbon dioxide equivalent (MMTCO2E).  </a:t>
          </a:r>
        </a:p>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Emissions from Rice Cultivation are calculated using the area harvested.  There is no rice cultivation in Maryland.  </a:t>
          </a:r>
        </a:p>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Emissions from Agricultural Residue Burning are calculated by multiplying the amount of crop produced by a series of factors to calculate the amount of crop residue produced and burned, the resultant dry matter, and the carbon/nitrogen content of this dry matter.  From these, the amount of carbon and nitrogen released can be determined, and thus methane and nitrous oxide emissions quantified.  Those resulting values, in metric tons of gas, are converted to million metric tons carbon equivalent (MMTCE), then to million metric tons carbon dioxide equivalent MMTCO2E, and then summed.  Note that default emission factors are available through 2007.</a:t>
          </a:r>
        </a:p>
        <a:p>
          <a:pPr algn="l" rtl="0">
            <a:defRPr sz="1000"/>
          </a:pPr>
          <a:endParaRPr lang="en-US" sz="800" b="0" i="0" u="none" strike="noStrike" baseline="0">
            <a:solidFill>
              <a:srgbClr val="000000"/>
            </a:solidFill>
            <a:latin typeface="Arial"/>
            <a:cs typeface="Arial"/>
          </a:endParaRPr>
        </a:p>
      </xdr:txBody>
    </xdr:sp>
    <xdr:clientData/>
  </xdr:twoCellAnchor>
  <xdr:twoCellAnchor>
    <xdr:from>
      <xdr:col>1</xdr:col>
      <xdr:colOff>19050</xdr:colOff>
      <xdr:row>1</xdr:row>
      <xdr:rowOff>76200</xdr:rowOff>
    </xdr:from>
    <xdr:to>
      <xdr:col>19</xdr:col>
      <xdr:colOff>171450</xdr:colOff>
      <xdr:row>1</xdr:row>
      <xdr:rowOff>3076575</xdr:rowOff>
    </xdr:to>
    <xdr:sp macro="" textlink="">
      <xdr:nvSpPr>
        <xdr:cNvPr id="1848394" name="Text Box 79"/>
        <xdr:cNvSpPr txBox="1">
          <a:spLocks noChangeArrowheads="1"/>
        </xdr:cNvSpPr>
      </xdr:nvSpPr>
      <xdr:spPr bwMode="auto">
        <a:xfrm>
          <a:off x="361950" y="495300"/>
          <a:ext cx="10572750" cy="3000375"/>
        </a:xfrm>
        <a:prstGeom prst="rect">
          <a:avLst/>
        </a:prstGeom>
        <a:solidFill>
          <a:srgbClr val="C0C0C0"/>
        </a:solidFill>
        <a:ln w="3175">
          <a:solidFill>
            <a:srgbClr val="000000"/>
          </a:solidFill>
          <a:miter lim="800000"/>
          <a:headEnd/>
          <a:tailEnd/>
        </a:ln>
      </xdr:spPr>
      <xdr:txBody>
        <a:bodyPr vertOverflow="clip" wrap="square" lIns="27432" tIns="22860" rIns="0" bIns="0" anchor="t" upright="1"/>
        <a:lstStyle/>
        <a:p>
          <a:pPr algn="l" rtl="0">
            <a:defRPr sz="1000"/>
          </a:pPr>
          <a:r>
            <a:rPr lang="en-US" sz="800" b="1" i="0" u="none" strike="noStrike" baseline="0">
              <a:solidFill>
                <a:srgbClr val="000000"/>
              </a:solidFill>
              <a:latin typeface="Arial"/>
              <a:cs typeface="Arial"/>
            </a:rPr>
            <a:t>Enteric Fermentation</a:t>
          </a: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Emissions from Enteric Fermentation are calculated by multiplying each animal population by an animal- and region-specific emission factor.  Those resulting values, in kg CH4, are then converted to million metric tons (MMTCH4), MMT carbon equivalent (MMTCE), MMT carbon dioxide  equivalent (MMTCO2E), and then summed across animal types within a given year.  </a:t>
          </a:r>
        </a:p>
        <a:p>
          <a:pPr algn="l" rtl="0">
            <a:defRPr sz="1000"/>
          </a:pPr>
          <a:endParaRPr lang="en-US" sz="800" b="0" i="0" u="none" strike="noStrike" baseline="0">
            <a:solidFill>
              <a:srgbClr val="000000"/>
            </a:solidFill>
            <a:latin typeface="Arial"/>
            <a:cs typeface="Arial"/>
          </a:endParaRPr>
        </a:p>
        <a:p>
          <a:pPr algn="l" rtl="0">
            <a:defRPr sz="1000"/>
          </a:pPr>
          <a:r>
            <a:rPr lang="en-US" sz="800" b="1" i="0" u="none" strike="noStrike" baseline="0">
              <a:solidFill>
                <a:srgbClr val="000000"/>
              </a:solidFill>
              <a:latin typeface="Arial"/>
              <a:cs typeface="Arial"/>
            </a:rPr>
            <a:t>Manure Management</a:t>
          </a: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Methane emissions from Manure Management are calculated by multiplying each animal population by the typical animal mass (TAM) and the average volatile solids (VS) produced per kilogram (kg) of animal mass per year to estimate the amount of VS produced.  For each animal, this VS total is muliplied by the maximum potential emissions factor and by the methane conversion factor (MCF) of the manure system by the percentage manure managed in that system.  This yields methane emissions in cubic meters which are then converted to MMTCE, MMT carbon dioxide equivalent (MMTCO2E), and then summed.  </a:t>
          </a:r>
        </a:p>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N2O emissions from Manure Management are calculated by multiplying each animal population by the typical animal mass (TAM) by the amount of Kjejdahl nitrogen produced per kilogram of animal mass per year.  This value is then multiplied by a non-volatization factor and the proportion of waste processed in liquid and solid management systems to give two totals of unvolatized N.  Each of these are multiplied by an emission factor specific to the management system to give two totals of nitrogen emissions.  These totals are then summed and converted to N2O.  This amount is then converted to MMTCE, MMT carbon dioxide equivalent (MMTCO2E), and then summed.  </a:t>
          </a:r>
        </a:p>
        <a:p>
          <a:pPr algn="l" rtl="0">
            <a:defRPr sz="1000"/>
          </a:pPr>
          <a:endParaRPr lang="en-US" sz="800" b="0" i="0" u="none" strike="noStrike" baseline="0">
            <a:solidFill>
              <a:srgbClr val="000000"/>
            </a:solidFill>
            <a:latin typeface="Arial"/>
            <a:cs typeface="Arial"/>
          </a:endParaRPr>
        </a:p>
        <a:p>
          <a:pPr algn="l" rtl="0">
            <a:defRPr sz="1000"/>
          </a:pPr>
          <a:r>
            <a:rPr lang="en-US" sz="800" b="1" i="0" u="none" strike="noStrike" baseline="0">
              <a:solidFill>
                <a:srgbClr val="000000"/>
              </a:solidFill>
              <a:latin typeface="Arial"/>
              <a:cs typeface="Arial"/>
            </a:rPr>
            <a:t>Ag Soils – Plant: Residues &amp; Legumes</a:t>
          </a: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Emissions from Plant Residues are calculated by first converting the crop production to metric tons.  This value is multiplied by the ratio of plant residue to crop mass, the fraction of dry matter in the residue, the fraction of residue applied, and the N content of the residue.  These values are summed to yield total N returned to soils, multiplied by an emission factor (EF), and converted to N2O.  For Legumes, the crop production is multiplied by the residue to crop mass ratio, the dry matter fraction, and the N content of above-ground biomass.  These values are then summed to yield total N-fixed by crops, multiplied by an EF, and converted to N2O.  Emissions from histosols are calculated by converting acres cultivated into hectares, multiplying by an EF, and then converting to N2O.  This amount is also converted to MMTCE, MMT carbon dioxide equivalent (MMTCO2E).  </a:t>
          </a:r>
        </a:p>
        <a:p>
          <a:pPr algn="l" rtl="0">
            <a:defRPr sz="1000"/>
          </a:pPr>
          <a:endParaRPr lang="en-US" sz="800" b="0" i="0" u="none" strike="noStrike" baseline="0">
            <a:solidFill>
              <a:srgbClr val="000000"/>
            </a:solidFill>
            <a:latin typeface="Arial"/>
            <a:cs typeface="Arial"/>
          </a:endParaRPr>
        </a:p>
        <a:p>
          <a:pPr algn="l" rtl="0">
            <a:defRPr sz="1000"/>
          </a:pPr>
          <a:r>
            <a:rPr lang="en-US" sz="800" b="1" i="0" u="none" strike="noStrike" baseline="0">
              <a:solidFill>
                <a:srgbClr val="000000"/>
              </a:solidFill>
              <a:latin typeface="Arial"/>
              <a:cs typeface="Arial"/>
            </a:rPr>
            <a:t>Ag Soils – Plant: Fertilizers</a:t>
          </a: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Emissions of N2O from Fertilizers are calculated by first adjusting synthetic and organic fertilizer use data (in kg N) to calendar year.  The amount of N in synthetic fertilizer is multiplied by a synthetic volatilization rate to estimate volatilized N.  According to the IPCC Good Practice Guidance, the manure portion of organic fertilizers is subtracted from the total of organic fertilizers. Then, the amount of N in non-manure organic fertilizer is multiplied by the fraction N in other organics and by an organic volatilization rate to estimate organic volatilized N.  Unvolatilized N for synthetic and organic fertilizer is calculated using the remaining fraction of the volatilization rates.  These categories are summed, multiplied by an EF, and converted to metric tons of N2O emitted.  </a:t>
          </a:r>
        </a:p>
        <a:p>
          <a:pPr algn="l" rtl="0">
            <a:defRPr sz="1000"/>
          </a:pPr>
          <a:endParaRPr lang="en-US" sz="800" b="0" i="0" u="none" strike="noStrike" baseline="0">
            <a:solidFill>
              <a:srgbClr val="000000"/>
            </a:solidFill>
            <a:latin typeface="Arial"/>
            <a:cs typeface="Arial"/>
          </a:endParaRPr>
        </a:p>
        <a:p>
          <a:pPr algn="l" rtl="0">
            <a:defRPr sz="1000"/>
          </a:pPr>
          <a:r>
            <a:rPr lang="en-US" sz="800" b="1" i="0" u="none" strike="noStrike" baseline="0">
              <a:solidFill>
                <a:srgbClr val="000000"/>
              </a:solidFill>
              <a:latin typeface="Arial"/>
              <a:cs typeface="Arial"/>
            </a:rPr>
            <a:t>Ag Soils – Animals</a:t>
          </a: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Emissions from Animals are calculated by multiplying each animal population by the typical animal mass (TAM) by the amount of K-Nitrogen (K-N) produced per kilogram of animal mass per year for total K-N excreted.  Indirect emissions are estimated by multiplying K-N by a volatization rate and EF to give emissions of N.  Direct emissions from pasture, range, and paddock are calculated by multiplying K-N by the percent of manure in pastures and an EF for that system.  Direct emissions from manure applied to soils are calculated by multiplying K-N for daily spread and managed systems by the percent of manure in these systems and an EF for each system, excluding a small percent of managed manure used as feed.  These totals are then summed and converted to N2O.  Unvolatized N from fertilizers, calculated on the previous worksheet, and K-N from manure are multiplied by a leaching EF to give emissions from leaching and runoff.  The emissions summary for each year converts the total direct and indirect estimates for livestock and runoff/leaching to MTN2O, MMTCE, and then MMT carbon dioxide equivalent (MMTCO2E</a:t>
          </a:r>
        </a:p>
        <a:p>
          <a:pPr algn="l" rtl="0">
            <a:defRPr sz="1000"/>
          </a:pPr>
          <a:endParaRPr lang="en-US" sz="800" b="0" i="0" u="none" strike="noStrike" baseline="0">
            <a:solidFill>
              <a:srgbClr val="000000"/>
            </a:solidFill>
            <a:latin typeface="Arial"/>
            <a:cs typeface="Arial"/>
          </a:endParaRPr>
        </a:p>
        <a:p>
          <a:pPr algn="l" rtl="0">
            <a:defRPr sz="1000"/>
          </a:pPr>
          <a:r>
            <a:rPr lang="en-US" sz="800" b="1" i="0" u="none" strike="noStrike" baseline="0">
              <a:solidFill>
                <a:srgbClr val="000000"/>
              </a:solidFill>
              <a:latin typeface="Arial"/>
              <a:cs typeface="Arial"/>
            </a:rPr>
            <a:t>Ag Residue Burning</a:t>
          </a: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Emissions from Agricultural Residue Burning are calculated by multiplying the amount of crop produced by a series of factors to calculate the amount of crop residue produced and burned, the resultant dry matter, and the carbon/nitrogen content of this dry matter.  From these, the amount of carbon and nitrogen released can be determined, and thus methane and nitrous oxide emissions quantified.  Those resulting values, in metric tons of gas, are converted to million metric tons carbon equivalent (MMTCE), then to million metric tons carbon dioxide equivalent MMTCO2E, and then summed.</a:t>
          </a:r>
        </a:p>
        <a:p>
          <a:pPr algn="l" rtl="0">
            <a:defRPr sz="1000"/>
          </a:pPr>
          <a:endParaRPr lang="en-US" sz="800" b="0" i="0" u="none" strike="noStrike" baseline="0">
            <a:solidFill>
              <a:srgbClr val="000000"/>
            </a:solidFill>
            <a:latin typeface="Arial"/>
            <a:cs typeface="Arial"/>
          </a:endParaRPr>
        </a:p>
      </xdr:txBody>
    </xdr:sp>
    <xdr:clientData/>
  </xdr:twoCellAnchor>
  <xdr:oneCellAnchor>
    <xdr:from>
      <xdr:col>0</xdr:col>
      <xdr:colOff>0</xdr:colOff>
      <xdr:row>26</xdr:row>
      <xdr:rowOff>44970</xdr:rowOff>
    </xdr:from>
    <xdr:ext cx="15064069" cy="937629"/>
    <xdr:sp macro="" textlink="">
      <xdr:nvSpPr>
        <xdr:cNvPr id="4" name="Rectangle 3"/>
        <xdr:cNvSpPr/>
      </xdr:nvSpPr>
      <xdr:spPr>
        <a:xfrm rot="19028361">
          <a:off x="0" y="7653631"/>
          <a:ext cx="15064069" cy="937629"/>
        </a:xfrm>
        <a:prstGeom prst="rect">
          <a:avLst/>
        </a:prstGeom>
        <a:no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bodyPr>
        <a:lstStyle/>
        <a:p>
          <a:pPr algn="ctr"/>
          <a:r>
            <a:rPr lang="en-US" sz="5400" b="1"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rPr>
            <a:t>F               I            N           A       L</a:t>
          </a:r>
        </a:p>
      </xdr:txBody>
    </xdr:sp>
    <xdr:clientData/>
  </xdr:oneCellAnchor>
</xdr:wsDr>
</file>

<file path=xl/drawings/drawing25.xml><?xml version="1.0" encoding="utf-8"?>
<xdr:wsDr xmlns:xdr="http://schemas.openxmlformats.org/drawingml/2006/spreadsheetDrawing" xmlns:a="http://schemas.openxmlformats.org/drawingml/2006/main">
  <xdr:twoCellAnchor>
    <xdr:from>
      <xdr:col>1</xdr:col>
      <xdr:colOff>19050</xdr:colOff>
      <xdr:row>1</xdr:row>
      <xdr:rowOff>38100</xdr:rowOff>
    </xdr:from>
    <xdr:to>
      <xdr:col>15</xdr:col>
      <xdr:colOff>333375</xdr:colOff>
      <xdr:row>1</xdr:row>
      <xdr:rowOff>3248025</xdr:rowOff>
    </xdr:to>
    <xdr:sp macro="" textlink="">
      <xdr:nvSpPr>
        <xdr:cNvPr id="1851393" name="Text Box 79"/>
        <xdr:cNvSpPr txBox="1">
          <a:spLocks noChangeArrowheads="1"/>
        </xdr:cNvSpPr>
      </xdr:nvSpPr>
      <xdr:spPr bwMode="auto">
        <a:xfrm>
          <a:off x="238125" y="457200"/>
          <a:ext cx="10410825" cy="3209925"/>
        </a:xfrm>
        <a:prstGeom prst="rect">
          <a:avLst/>
        </a:prstGeom>
        <a:solidFill>
          <a:srgbClr val="C0C0C0"/>
        </a:solidFill>
        <a:ln w="3175">
          <a:solidFill>
            <a:srgbClr val="000000"/>
          </a:solidFill>
          <a:miter lim="800000"/>
          <a:headEnd/>
          <a:tailEnd/>
        </a:ln>
      </xdr:spPr>
      <xdr:txBody>
        <a:bodyPr vertOverflow="clip" wrap="square" lIns="27432" tIns="22860" rIns="0" bIns="0" anchor="t" upright="1"/>
        <a:lstStyle/>
        <a:p>
          <a:pPr algn="l" rtl="0">
            <a:defRPr sz="1000"/>
          </a:pPr>
          <a:r>
            <a:rPr lang="en-US" sz="800" b="0" i="0" u="none" strike="noStrike" baseline="0">
              <a:solidFill>
                <a:srgbClr val="000000"/>
              </a:solidFill>
              <a:latin typeface="Arial"/>
              <a:cs typeface="Arial"/>
            </a:rPr>
            <a:t>To calculate GHG emissions from land use, land-use change, and forestry, the data listed beloware required inputs.  Additional information on these calculations is available in the Land Use, Land Use Change and Forestry Chapter of the EPA State Inventory Tool User's Guide.  </a:t>
          </a:r>
        </a:p>
        <a:p>
          <a:pPr algn="l" rtl="0">
            <a:defRPr sz="1000"/>
          </a:pPr>
          <a:endParaRPr lang="en-US" sz="800" b="0" i="0" u="none" strike="noStrike" baseline="0">
            <a:solidFill>
              <a:srgbClr val="000000"/>
            </a:solidFill>
            <a:latin typeface="Arial"/>
            <a:cs typeface="Arial"/>
          </a:endParaRPr>
        </a:p>
        <a:p>
          <a:pPr algn="l" rtl="0">
            <a:defRPr sz="1000"/>
          </a:pPr>
          <a:r>
            <a:rPr lang="en-US" sz="800" b="1" i="0" u="none" strike="noStrike" baseline="0">
              <a:solidFill>
                <a:srgbClr val="000000"/>
              </a:solidFill>
              <a:latin typeface="Arial"/>
              <a:cs typeface="Arial"/>
            </a:rPr>
            <a:t>Forestry Worksheets                     Input Data Required </a:t>
          </a: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Forest Carbon Flux                       Carbon emitted from or sequestered in aboveground biomass, belowground biomass, dead wood, litter, soil organic carbon, wood products and landfills (million metric tons)</a:t>
          </a:r>
        </a:p>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Liming of Agricultural Soils            Emission factors for CO</a:t>
          </a:r>
          <a:r>
            <a:rPr lang="en-US" sz="800" b="0" i="0" u="none" strike="noStrike" baseline="-25000">
              <a:solidFill>
                <a:srgbClr val="000000"/>
              </a:solidFill>
              <a:latin typeface="Arial"/>
              <a:cs typeface="Arial"/>
            </a:rPr>
            <a:t>2</a:t>
          </a:r>
          <a:r>
            <a:rPr lang="en-US" sz="800" b="0" i="0" u="none" strike="noStrike" baseline="0">
              <a:solidFill>
                <a:srgbClr val="000000"/>
              </a:solidFill>
              <a:latin typeface="Arial"/>
              <a:cs typeface="Arial"/>
            </a:rPr>
            <a:t> emitted from use of crushed limestone and dolomite (ton C/ton limestone) </a:t>
          </a:r>
        </a:p>
        <a:p>
          <a:pPr algn="l" rtl="0">
            <a:defRPr sz="1000"/>
          </a:pPr>
          <a:r>
            <a:rPr lang="en-US" sz="800" b="0" i="0" u="none" strike="noStrike" baseline="0">
              <a:solidFill>
                <a:srgbClr val="000000"/>
              </a:solidFill>
              <a:latin typeface="Arial"/>
              <a:cs typeface="Arial"/>
            </a:rPr>
            <a:t>                                                      Total limestone and dolomite applied to soils (metric tons)</a:t>
          </a:r>
        </a:p>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Urea Fertilization                           Emission factors for CO</a:t>
          </a:r>
          <a:r>
            <a:rPr lang="en-US" sz="800" b="0" i="0" u="none" strike="noStrike" baseline="-25000">
              <a:solidFill>
                <a:srgbClr val="000000"/>
              </a:solidFill>
              <a:latin typeface="Arial"/>
              <a:cs typeface="Arial"/>
            </a:rPr>
            <a:t>2</a:t>
          </a:r>
          <a:r>
            <a:rPr lang="en-US" sz="800" b="0" i="0" u="none" strike="noStrike" baseline="0">
              <a:solidFill>
                <a:srgbClr val="000000"/>
              </a:solidFill>
              <a:latin typeface="Arial"/>
              <a:cs typeface="Arial"/>
            </a:rPr>
            <a:t> emitted from the use of urea as a fertilizer (tons C/ ton urea)</a:t>
          </a:r>
        </a:p>
        <a:p>
          <a:pPr algn="l" rtl="0">
            <a:defRPr sz="1000"/>
          </a:pPr>
          <a:r>
            <a:rPr lang="en-US" sz="800" b="0" i="0" u="none" strike="noStrike" baseline="0">
              <a:solidFill>
                <a:srgbClr val="000000"/>
              </a:solidFill>
              <a:latin typeface="Arial"/>
              <a:cs typeface="Arial"/>
            </a:rPr>
            <a:t>                                                     Total urea applied to soils (metric tons)</a:t>
          </a:r>
        </a:p>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Urban Trees                                  Carbon sequestration factor for urban trees (metric ton C/hectare/year)</a:t>
          </a:r>
        </a:p>
        <a:p>
          <a:pPr algn="l" rtl="0">
            <a:defRPr sz="1000"/>
          </a:pPr>
          <a:r>
            <a:rPr lang="en-US" sz="800" b="0" i="0" u="none" strike="noStrike" baseline="0">
              <a:solidFill>
                <a:srgbClr val="000000"/>
              </a:solidFill>
              <a:latin typeface="Arial"/>
              <a:cs typeface="Arial"/>
            </a:rPr>
            <a:t>                                                      Total urban area (square kilometers)</a:t>
          </a:r>
        </a:p>
        <a:p>
          <a:pPr algn="l" rtl="0">
            <a:defRPr sz="1000"/>
          </a:pPr>
          <a:r>
            <a:rPr lang="en-US" sz="800" b="0" i="0" u="none" strike="noStrike" baseline="0">
              <a:solidFill>
                <a:srgbClr val="000000"/>
              </a:solidFill>
              <a:latin typeface="Arial"/>
              <a:cs typeface="Arial"/>
            </a:rPr>
            <a:t>                                                      Urban area tree cover (percent)</a:t>
          </a:r>
        </a:p>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N</a:t>
          </a:r>
          <a:r>
            <a:rPr lang="en-US" sz="800" b="0" i="0" u="none" strike="noStrike" baseline="-25000">
              <a:solidFill>
                <a:srgbClr val="000000"/>
              </a:solidFill>
              <a:latin typeface="Arial"/>
              <a:cs typeface="Arial"/>
            </a:rPr>
            <a:t>2</a:t>
          </a:r>
          <a:r>
            <a:rPr lang="en-US" sz="800" b="0" i="0" u="none" strike="noStrike" baseline="0">
              <a:solidFill>
                <a:srgbClr val="000000"/>
              </a:solidFill>
              <a:latin typeface="Arial"/>
              <a:cs typeface="Arial"/>
            </a:rPr>
            <a:t>O from Settlement Soils            Direct N</a:t>
          </a:r>
          <a:r>
            <a:rPr lang="en-US" sz="800" b="0" i="0" u="none" strike="noStrike" baseline="-25000">
              <a:solidFill>
                <a:srgbClr val="000000"/>
              </a:solidFill>
              <a:latin typeface="Arial"/>
              <a:cs typeface="Arial"/>
            </a:rPr>
            <a:t>2</a:t>
          </a:r>
          <a:r>
            <a:rPr lang="en-US" sz="800" b="0" i="0" u="none" strike="noStrike" baseline="0">
              <a:solidFill>
                <a:srgbClr val="000000"/>
              </a:solidFill>
              <a:latin typeface="Arial"/>
              <a:cs typeface="Arial"/>
            </a:rPr>
            <a:t>O emission factor for managed soils (percent)</a:t>
          </a:r>
        </a:p>
        <a:p>
          <a:pPr algn="l" rtl="0">
            <a:defRPr sz="1000"/>
          </a:pPr>
          <a:r>
            <a:rPr lang="en-US" sz="800" b="0" i="0" u="none" strike="noStrike" baseline="0">
              <a:solidFill>
                <a:srgbClr val="000000"/>
              </a:solidFill>
              <a:latin typeface="Arial"/>
              <a:cs typeface="Arial"/>
            </a:rPr>
            <a:t>                                                     Total synthetic fertilizer applied to settlements (metric tons nitrogen)</a:t>
          </a:r>
        </a:p>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Non-CO</a:t>
          </a:r>
          <a:r>
            <a:rPr lang="en-US" sz="800" b="0" i="0" u="none" strike="noStrike" baseline="-25000">
              <a:solidFill>
                <a:srgbClr val="000000"/>
              </a:solidFill>
              <a:latin typeface="Arial"/>
              <a:cs typeface="Arial"/>
            </a:rPr>
            <a:t>2</a:t>
          </a:r>
          <a:r>
            <a:rPr lang="en-US" sz="800" b="0" i="0" u="none" strike="noStrike" baseline="0">
              <a:solidFill>
                <a:srgbClr val="000000"/>
              </a:solidFill>
              <a:latin typeface="Arial"/>
              <a:cs typeface="Arial"/>
            </a:rPr>
            <a:t> Emissions                      Emission factors for CH</a:t>
          </a:r>
          <a:r>
            <a:rPr lang="en-US" sz="800" b="0" i="0" u="none" strike="noStrike" baseline="-25000">
              <a:solidFill>
                <a:srgbClr val="000000"/>
              </a:solidFill>
              <a:latin typeface="Arial"/>
              <a:cs typeface="Arial"/>
            </a:rPr>
            <a:t>4</a:t>
          </a:r>
          <a:r>
            <a:rPr lang="en-US" sz="800" b="0" i="0" u="none" strike="noStrike" baseline="0">
              <a:solidFill>
                <a:srgbClr val="000000"/>
              </a:solidFill>
              <a:latin typeface="Arial"/>
              <a:cs typeface="Arial"/>
            </a:rPr>
            <a:t> and N</a:t>
          </a:r>
          <a:r>
            <a:rPr lang="en-US" sz="800" b="0" i="0" u="none" strike="noStrike" baseline="-25000">
              <a:solidFill>
                <a:srgbClr val="000000"/>
              </a:solidFill>
              <a:latin typeface="Arial"/>
              <a:cs typeface="Arial"/>
            </a:rPr>
            <a:t>2</a:t>
          </a:r>
          <a:r>
            <a:rPr lang="en-US" sz="800" b="0" i="0" u="none" strike="noStrike" baseline="0">
              <a:solidFill>
                <a:srgbClr val="000000"/>
              </a:solidFill>
              <a:latin typeface="Arial"/>
              <a:cs typeface="Arial"/>
            </a:rPr>
            <a:t>O emitted from burning forest and savanna (grams of gas/kilogram of</a:t>
          </a:r>
        </a:p>
        <a:p>
          <a:pPr algn="l" rtl="0">
            <a:defRPr sz="1000"/>
          </a:pPr>
          <a:r>
            <a:rPr lang="en-US" sz="800" b="0" i="0" u="none" strike="noStrike" baseline="0">
              <a:solidFill>
                <a:srgbClr val="000000"/>
              </a:solidFill>
              <a:latin typeface="Arial"/>
              <a:cs typeface="Arial"/>
            </a:rPr>
            <a:t>from Forest Fires                          dry matter combusted) </a:t>
          </a:r>
        </a:p>
        <a:p>
          <a:pPr algn="l" rtl="0">
            <a:defRPr sz="1000"/>
          </a:pPr>
          <a:r>
            <a:rPr lang="en-US" sz="800" b="0" i="0" u="none" strike="noStrike" baseline="0">
              <a:solidFill>
                <a:srgbClr val="000000"/>
              </a:solidFill>
              <a:latin typeface="Arial"/>
              <a:cs typeface="Arial"/>
            </a:rPr>
            <a:t>                                                     Combustion efficiency of different vegetation types (percent)</a:t>
          </a:r>
        </a:p>
      </xdr:txBody>
    </xdr:sp>
    <xdr:clientData/>
  </xdr:twoCellAnchor>
  <xdr:oneCellAnchor>
    <xdr:from>
      <xdr:col>2</xdr:col>
      <xdr:colOff>1485322</xdr:colOff>
      <xdr:row>3</xdr:row>
      <xdr:rowOff>0</xdr:rowOff>
    </xdr:from>
    <xdr:ext cx="13557040" cy="937629"/>
    <xdr:sp macro="" textlink="">
      <xdr:nvSpPr>
        <xdr:cNvPr id="3" name="Rectangle 2"/>
        <xdr:cNvSpPr/>
      </xdr:nvSpPr>
      <xdr:spPr>
        <a:xfrm rot="19028361">
          <a:off x="1924937" y="4721622"/>
          <a:ext cx="13557040" cy="937629"/>
        </a:xfrm>
        <a:prstGeom prst="rect">
          <a:avLst/>
        </a:prstGeom>
        <a:no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bodyPr>
        <a:lstStyle/>
        <a:p>
          <a:pPr algn="ctr"/>
          <a:r>
            <a:rPr lang="en-US" sz="5400" b="1"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rPr>
            <a:t>F               I            N           A       L</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23</xdr:row>
      <xdr:rowOff>4623</xdr:rowOff>
    </xdr:from>
    <xdr:ext cx="11471894" cy="937629"/>
    <xdr:sp macro="" textlink="">
      <xdr:nvSpPr>
        <xdr:cNvPr id="2" name="Rectangle 1"/>
        <xdr:cNvSpPr/>
      </xdr:nvSpPr>
      <xdr:spPr>
        <a:xfrm rot="19028361">
          <a:off x="0" y="3776523"/>
          <a:ext cx="11471894" cy="937629"/>
        </a:xfrm>
        <a:prstGeom prst="rect">
          <a:avLst/>
        </a:prstGeom>
        <a:no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bodyPr>
        <a:lstStyle/>
        <a:p>
          <a:pPr algn="ctr"/>
          <a:r>
            <a:rPr lang="en-US" sz="5400" b="1"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rPr>
            <a:t>F               I            N           A       L</a:t>
          </a: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18</xdr:row>
      <xdr:rowOff>157024</xdr:rowOff>
    </xdr:from>
    <xdr:ext cx="11471894" cy="937629"/>
    <xdr:sp macro="" textlink="">
      <xdr:nvSpPr>
        <xdr:cNvPr id="2" name="Rectangle 1"/>
        <xdr:cNvSpPr/>
      </xdr:nvSpPr>
      <xdr:spPr>
        <a:xfrm rot="19028361">
          <a:off x="0" y="3776524"/>
          <a:ext cx="11471894" cy="937629"/>
        </a:xfrm>
        <a:prstGeom prst="rect">
          <a:avLst/>
        </a:prstGeom>
        <a:no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bodyPr>
        <a:lstStyle/>
        <a:p>
          <a:pPr algn="ctr"/>
          <a:r>
            <a:rPr lang="en-US" sz="5400" b="1"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rPr>
            <a:t>F               I            N           A       L</a:t>
          </a: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1</xdr:col>
      <xdr:colOff>267165</xdr:colOff>
      <xdr:row>27</xdr:row>
      <xdr:rowOff>92927</xdr:rowOff>
    </xdr:from>
    <xdr:ext cx="11471894" cy="937629"/>
    <xdr:sp macro="" textlink="">
      <xdr:nvSpPr>
        <xdr:cNvPr id="2" name="Rectangle 1"/>
        <xdr:cNvSpPr/>
      </xdr:nvSpPr>
      <xdr:spPr>
        <a:xfrm rot="19028361">
          <a:off x="487866" y="4588262"/>
          <a:ext cx="11471894" cy="937629"/>
        </a:xfrm>
        <a:prstGeom prst="rect">
          <a:avLst/>
        </a:prstGeom>
        <a:no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bodyPr>
        <a:lstStyle/>
        <a:p>
          <a:pPr algn="ctr"/>
          <a:r>
            <a:rPr lang="en-US" sz="5400" b="1"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rPr>
            <a:t>F               I            N           A       L</a:t>
          </a:r>
        </a:p>
      </xdr:txBody>
    </xdr:sp>
    <xdr:clientData/>
  </xdr:oneCellAnchor>
  <xdr:oneCellAnchor>
    <xdr:from>
      <xdr:col>2</xdr:col>
      <xdr:colOff>1300975</xdr:colOff>
      <xdr:row>320</xdr:row>
      <xdr:rowOff>3</xdr:rowOff>
    </xdr:from>
    <xdr:ext cx="11471894" cy="937629"/>
    <xdr:sp macro="" textlink="">
      <xdr:nvSpPr>
        <xdr:cNvPr id="3" name="Rectangle 2"/>
        <xdr:cNvSpPr/>
      </xdr:nvSpPr>
      <xdr:spPr>
        <a:xfrm rot="19028361">
          <a:off x="2346402" y="53096070"/>
          <a:ext cx="11471894" cy="937629"/>
        </a:xfrm>
        <a:prstGeom prst="rect">
          <a:avLst/>
        </a:prstGeom>
        <a:no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bodyPr>
        <a:lstStyle/>
        <a:p>
          <a:pPr algn="ctr"/>
          <a:r>
            <a:rPr lang="en-US" sz="5400" b="1"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rPr>
            <a:t>F               I            N           A       L</a:t>
          </a:r>
        </a:p>
      </xdr:txBody>
    </xdr:sp>
    <xdr:clientData/>
  </xdr:oneCellAnchor>
</xdr:wsDr>
</file>

<file path=xl/drawings/drawing6.xml><?xml version="1.0" encoding="utf-8"?>
<xdr:wsDr xmlns:xdr="http://schemas.openxmlformats.org/drawingml/2006/spreadsheetDrawing" xmlns:a="http://schemas.openxmlformats.org/drawingml/2006/main">
  <xdr:twoCellAnchor>
    <xdr:from>
      <xdr:col>0</xdr:col>
      <xdr:colOff>152400</xdr:colOff>
      <xdr:row>1</xdr:row>
      <xdr:rowOff>104775</xdr:rowOff>
    </xdr:from>
    <xdr:to>
      <xdr:col>10</xdr:col>
      <xdr:colOff>247650</xdr:colOff>
      <xdr:row>1</xdr:row>
      <xdr:rowOff>904875</xdr:rowOff>
    </xdr:to>
    <xdr:sp macro="" textlink="">
      <xdr:nvSpPr>
        <xdr:cNvPr id="2" name="Text Box 67"/>
        <xdr:cNvSpPr txBox="1">
          <a:spLocks noChangeArrowheads="1"/>
        </xdr:cNvSpPr>
      </xdr:nvSpPr>
      <xdr:spPr bwMode="auto">
        <a:xfrm>
          <a:off x="152400" y="523875"/>
          <a:ext cx="10448925" cy="800100"/>
        </a:xfrm>
        <a:prstGeom prst="rect">
          <a:avLst/>
        </a:prstGeom>
        <a:solidFill>
          <a:srgbClr val="C0C0C0"/>
        </a:solidFill>
        <a:ln w="3175">
          <a:solidFill>
            <a:srgbClr val="000000"/>
          </a:solidFill>
          <a:miter lim="800000"/>
          <a:headEnd/>
          <a:tailEnd/>
        </a:ln>
      </xdr:spPr>
      <xdr:txBody>
        <a:bodyPr vertOverflow="clip" wrap="square" lIns="27432" tIns="22860" rIns="0" bIns="0" anchor="t"/>
        <a:lstStyle/>
        <a:p>
          <a:pPr algn="l" rtl="0">
            <a:defRPr sz="1000"/>
          </a:pPr>
          <a:r>
            <a:rPr lang="en-US" sz="800" b="0" i="0" u="none" strike="noStrike" baseline="0">
              <a:solidFill>
                <a:srgbClr val="000000"/>
              </a:solidFill>
              <a:latin typeface="Arial"/>
              <a:cs typeface="Arial"/>
            </a:rPr>
            <a:t>Maryland is a net importer of electricity, meaning that the State consumes more electricity than is produced in the State. For this analysis, it was assumed that all power generated in Maryland was consumed in Maryland, and that remaining electricity demand was met by imported power.  The electricity imported to meet Maryland demand was assume to come from the PJM Interconnection.</a:t>
          </a:r>
        </a:p>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The fuel mix within the PJM region required to generate the electricity was obtained and CO2 emission rates per fuel type were calculated.  These emission rates were applied to the amount of electricity Maryland imported to meet demand. </a:t>
          </a:r>
        </a:p>
        <a:p>
          <a:pPr algn="l" rtl="0">
            <a:defRPr sz="1000"/>
          </a:pPr>
          <a:endParaRPr lang="en-US" sz="800" b="0" i="0" u="none" strike="noStrike" baseline="0">
            <a:solidFill>
              <a:srgbClr val="000000"/>
            </a:solidFill>
            <a:latin typeface="Arial"/>
            <a:cs typeface="Arial"/>
          </a:endParaRPr>
        </a:p>
        <a:p>
          <a:pPr algn="l" rtl="0">
            <a:defRPr sz="1000"/>
          </a:pPr>
          <a:endParaRPr lang="en-US" sz="800" b="0" i="0" u="none" strike="noStrike" baseline="0">
            <a:solidFill>
              <a:srgbClr val="000000"/>
            </a:solidFill>
            <a:latin typeface="Arial"/>
            <a:cs typeface="Arial"/>
          </a:endParaRPr>
        </a:p>
      </xdr:txBody>
    </xdr:sp>
    <xdr:clientData/>
  </xdr:twoCellAnchor>
  <xdr:oneCellAnchor>
    <xdr:from>
      <xdr:col>0</xdr:col>
      <xdr:colOff>0</xdr:colOff>
      <xdr:row>27</xdr:row>
      <xdr:rowOff>146143</xdr:rowOff>
    </xdr:from>
    <xdr:ext cx="16947225" cy="937629"/>
    <xdr:sp macro="" textlink="">
      <xdr:nvSpPr>
        <xdr:cNvPr id="4" name="Rectangle 3"/>
        <xdr:cNvSpPr/>
      </xdr:nvSpPr>
      <xdr:spPr>
        <a:xfrm rot="19028361">
          <a:off x="0" y="6423118"/>
          <a:ext cx="16947225" cy="937629"/>
        </a:xfrm>
        <a:prstGeom prst="rect">
          <a:avLst/>
        </a:prstGeom>
        <a:no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bodyPr>
        <a:lstStyle/>
        <a:p>
          <a:pPr algn="ctr"/>
          <a:r>
            <a:rPr lang="en-US" sz="5400" b="1"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rPr>
            <a:t>F               I            N           A       L</a:t>
          </a:r>
        </a:p>
      </xdr:txBody>
    </xdr:sp>
    <xdr:clientData/>
  </xdr:oneCellAnchor>
</xdr:wsDr>
</file>

<file path=xl/drawings/drawing7.xml><?xml version="1.0" encoding="utf-8"?>
<xdr:wsDr xmlns:xdr="http://schemas.openxmlformats.org/drawingml/2006/spreadsheetDrawing" xmlns:a="http://schemas.openxmlformats.org/drawingml/2006/main">
  <xdr:twoCellAnchor>
    <xdr:from>
      <xdr:col>0</xdr:col>
      <xdr:colOff>238125</xdr:colOff>
      <xdr:row>1</xdr:row>
      <xdr:rowOff>152400</xdr:rowOff>
    </xdr:from>
    <xdr:to>
      <xdr:col>6</xdr:col>
      <xdr:colOff>2116667</xdr:colOff>
      <xdr:row>1</xdr:row>
      <xdr:rowOff>1093611</xdr:rowOff>
    </xdr:to>
    <xdr:sp macro="" textlink="">
      <xdr:nvSpPr>
        <xdr:cNvPr id="2" name="Text Box 105"/>
        <xdr:cNvSpPr txBox="1">
          <a:spLocks noChangeArrowheads="1"/>
        </xdr:cNvSpPr>
      </xdr:nvSpPr>
      <xdr:spPr bwMode="auto">
        <a:xfrm>
          <a:off x="238125" y="575733"/>
          <a:ext cx="8499005" cy="941211"/>
        </a:xfrm>
        <a:prstGeom prst="rect">
          <a:avLst/>
        </a:prstGeom>
        <a:solidFill>
          <a:srgbClr val="C0C0C0"/>
        </a:solidFill>
        <a:ln w="3175">
          <a:solidFill>
            <a:srgbClr val="000000"/>
          </a:solidFill>
          <a:miter lim="800000"/>
          <a:headEnd/>
          <a:tailEnd/>
        </a:ln>
      </xdr:spPr>
      <xdr:txBody>
        <a:bodyPr vertOverflow="clip" wrap="square" lIns="27432" tIns="22860" rIns="0" bIns="0" anchor="t" upright="1"/>
        <a:lstStyle/>
        <a:p>
          <a:pPr algn="l" rtl="0">
            <a:defRPr sz="1000"/>
          </a:pPr>
          <a:r>
            <a:rPr lang="en-US" sz="800" b="0" i="0" u="none" strike="noStrike" baseline="0">
              <a:solidFill>
                <a:srgbClr val="000000"/>
              </a:solidFill>
              <a:latin typeface="Arial"/>
              <a:cs typeface="Arial"/>
            </a:rPr>
            <a:t>GHG emissions from fossil fuel combustion in the transportation sector are calculated by multiplying energy consumption (in the transportation sector) by carbon content coefficients for each fuel.  These quantities are then multiplied by fuel-specific percentages of carbon oxidized during combustion ("combustion efficiency").  The non-energy consumption of lubricants multiplied by its carbon storage factor must be subtracted from its energy consumption before carrying out the above calculations.  The resulting fuel emissions, in pounds of carbon, are then converted to short tons of carbon and million metric tons of carbon equivalent (MMTCE), then to million metric tons of carbon dioxide equivalent (MMTCO2E), and summed.   For further detail on this method, refer to EPA SIT User's Guide.</a:t>
          </a:r>
        </a:p>
      </xdr:txBody>
    </xdr:sp>
    <xdr:clientData/>
  </xdr:twoCellAnchor>
  <xdr:oneCellAnchor>
    <xdr:from>
      <xdr:col>0</xdr:col>
      <xdr:colOff>0</xdr:colOff>
      <xdr:row>42</xdr:row>
      <xdr:rowOff>180975</xdr:rowOff>
    </xdr:from>
    <xdr:ext cx="11471894" cy="937629"/>
    <xdr:sp macro="" textlink="">
      <xdr:nvSpPr>
        <xdr:cNvPr id="3" name="Rectangle 2"/>
        <xdr:cNvSpPr/>
      </xdr:nvSpPr>
      <xdr:spPr>
        <a:xfrm rot="19028361">
          <a:off x="0" y="11163300"/>
          <a:ext cx="11471894" cy="937629"/>
        </a:xfrm>
        <a:prstGeom prst="rect">
          <a:avLst/>
        </a:prstGeom>
        <a:no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bodyPr>
        <a:lstStyle/>
        <a:p>
          <a:pPr algn="ctr"/>
          <a:r>
            <a:rPr lang="en-US" sz="5400" b="1"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rPr>
            <a:t>F               I            N           A       L</a:t>
          </a:r>
        </a:p>
      </xdr:txBody>
    </xdr:sp>
    <xdr:clientData/>
  </xdr:oneCellAnchor>
</xdr:wsDr>
</file>

<file path=xl/drawings/drawing8.xml><?xml version="1.0" encoding="utf-8"?>
<xdr:wsDr xmlns:xdr="http://schemas.openxmlformats.org/drawingml/2006/spreadsheetDrawing" xmlns:a="http://schemas.openxmlformats.org/drawingml/2006/main">
  <xdr:twoCellAnchor>
    <xdr:from>
      <xdr:col>0</xdr:col>
      <xdr:colOff>238125</xdr:colOff>
      <xdr:row>1</xdr:row>
      <xdr:rowOff>152400</xdr:rowOff>
    </xdr:from>
    <xdr:to>
      <xdr:col>10</xdr:col>
      <xdr:colOff>923925</xdr:colOff>
      <xdr:row>1</xdr:row>
      <xdr:rowOff>838200</xdr:rowOff>
    </xdr:to>
    <xdr:sp macro="" textlink="">
      <xdr:nvSpPr>
        <xdr:cNvPr id="2" name="Text Box 105"/>
        <xdr:cNvSpPr txBox="1">
          <a:spLocks noChangeArrowheads="1"/>
        </xdr:cNvSpPr>
      </xdr:nvSpPr>
      <xdr:spPr bwMode="auto">
        <a:xfrm>
          <a:off x="238125" y="571500"/>
          <a:ext cx="10448925" cy="685800"/>
        </a:xfrm>
        <a:prstGeom prst="rect">
          <a:avLst/>
        </a:prstGeom>
        <a:solidFill>
          <a:srgbClr val="C0C0C0"/>
        </a:solidFill>
        <a:ln w="3175">
          <a:solidFill>
            <a:srgbClr val="000000"/>
          </a:solidFill>
          <a:miter lim="800000"/>
          <a:headEnd/>
          <a:tailEnd/>
        </a:ln>
      </xdr:spPr>
      <xdr:txBody>
        <a:bodyPr vertOverflow="clip" wrap="square" lIns="27432" tIns="22860" rIns="0" bIns="0" anchor="t" upright="1"/>
        <a:lstStyle/>
        <a:p>
          <a:pPr algn="l" rtl="0">
            <a:defRPr sz="1000"/>
          </a:pPr>
          <a:r>
            <a:rPr lang="en-US" sz="800" b="0" i="0" u="none" strike="noStrike" baseline="0">
              <a:solidFill>
                <a:srgbClr val="000000"/>
              </a:solidFill>
              <a:latin typeface="Arial"/>
              <a:cs typeface="Arial"/>
            </a:rPr>
            <a:t>GHG emissions from fossil fuel combustion in the transportation sector are calculated by multiplying energy consumption (in the transportation sector) by carbon content coefficients for each fuel.  These quantities are then multiplied by fuel-specific percentages of carbon oxidized during combustion ("combustion efficiency").  The non-energy consumption of lubricants multiplied by its carbon storage factor must be subtracted from its energy consumption before carrying out the above calculations.  The resulting fuel emissions, in pounds of carbon, are then converted to short tons of carbon and million metric tons of carbon equivalent (MMTCE), then to million metric tons of carbon dioxide equivalent (MMTCO2E), and summed.   For further detail on this method, refer to EPA SIT User's Guide.</a:t>
          </a:r>
        </a:p>
      </xdr:txBody>
    </xdr:sp>
    <xdr:clientData/>
  </xdr:twoCellAnchor>
  <xdr:twoCellAnchor>
    <xdr:from>
      <xdr:col>0</xdr:col>
      <xdr:colOff>238125</xdr:colOff>
      <xdr:row>1</xdr:row>
      <xdr:rowOff>152399</xdr:rowOff>
    </xdr:from>
    <xdr:to>
      <xdr:col>10</xdr:col>
      <xdr:colOff>923925</xdr:colOff>
      <xdr:row>1</xdr:row>
      <xdr:rowOff>895350</xdr:rowOff>
    </xdr:to>
    <xdr:sp macro="" textlink="">
      <xdr:nvSpPr>
        <xdr:cNvPr id="3" name="Text Box 105"/>
        <xdr:cNvSpPr txBox="1">
          <a:spLocks noChangeArrowheads="1"/>
        </xdr:cNvSpPr>
      </xdr:nvSpPr>
      <xdr:spPr bwMode="auto">
        <a:xfrm>
          <a:off x="238125" y="571499"/>
          <a:ext cx="10448925" cy="742951"/>
        </a:xfrm>
        <a:prstGeom prst="rect">
          <a:avLst/>
        </a:prstGeom>
        <a:solidFill>
          <a:srgbClr val="C0C0C0"/>
        </a:solidFill>
        <a:ln w="3175">
          <a:solidFill>
            <a:srgbClr val="000000"/>
          </a:solidFill>
          <a:miter lim="800000"/>
          <a:headEnd/>
          <a:tailEnd/>
        </a:ln>
      </xdr:spPr>
      <xdr:txBody>
        <a:bodyPr vertOverflow="clip" wrap="square" lIns="27432" tIns="22860" rIns="0" bIns="0" anchor="t" upright="1"/>
        <a:lstStyle/>
        <a:p>
          <a:pPr algn="l" rtl="0">
            <a:defRPr sz="1000"/>
          </a:pPr>
          <a:r>
            <a:rPr lang="en-US" sz="800" b="0" i="0" u="none" strike="noStrike" baseline="0">
              <a:solidFill>
                <a:srgbClr val="000000"/>
              </a:solidFill>
              <a:latin typeface="Arial"/>
              <a:cs typeface="Arial"/>
            </a:rPr>
            <a:t>GHG emissions from fossil fuel combustion in the onroad transportation sector are calculated  within the EPA MOVES model.  MOVES is the U.S. EPA Motor Vehicle Emission Simulator.  It is used to create emission factors or emission inventories for both onroad motor vehicles and nonroad equipment.   In the modeling process, the user specifies vehicle types, time perioeds, geographical areas, pollutants, vehicle operating characteristics, and road types to be modeled.  The model than performs a series of calculations, which have bee ccarefully developed to accurately reflect vehiclae operating processes, such as running, starts, or hoteling , and provide estimates of total emissions or emission rates per vehicle or unit of activity.  The resulting fuel emissions, in grams, are then converted to million metric tons of carbon dioxide equivalent (MMTCO</a:t>
          </a:r>
          <a:r>
            <a:rPr lang="en-US" sz="800" b="0" i="0" u="none" strike="noStrike" baseline="-25000">
              <a:solidFill>
                <a:srgbClr val="000000"/>
              </a:solidFill>
              <a:latin typeface="Arial"/>
              <a:cs typeface="Arial"/>
            </a:rPr>
            <a:t>2</a:t>
          </a:r>
          <a:r>
            <a:rPr lang="en-US" sz="800" b="0" i="0" u="none" strike="noStrike" baseline="0">
              <a:solidFill>
                <a:srgbClr val="000000"/>
              </a:solidFill>
              <a:latin typeface="Arial"/>
              <a:cs typeface="Arial"/>
            </a:rPr>
            <a:t>E), and summed.   For further detail on this method, refer to EPA MOVES User's Guide.</a:t>
          </a:r>
        </a:p>
      </xdr:txBody>
    </xdr:sp>
    <xdr:clientData/>
  </xdr:twoCellAnchor>
  <xdr:oneCellAnchor>
    <xdr:from>
      <xdr:col>0</xdr:col>
      <xdr:colOff>0</xdr:colOff>
      <xdr:row>21</xdr:row>
      <xdr:rowOff>61773</xdr:rowOff>
    </xdr:from>
    <xdr:ext cx="11471894" cy="937629"/>
    <xdr:sp macro="" textlink="">
      <xdr:nvSpPr>
        <xdr:cNvPr id="4" name="Rectangle 3"/>
        <xdr:cNvSpPr/>
      </xdr:nvSpPr>
      <xdr:spPr>
        <a:xfrm rot="19028361">
          <a:off x="0" y="3776523"/>
          <a:ext cx="11471894" cy="937629"/>
        </a:xfrm>
        <a:prstGeom prst="rect">
          <a:avLst/>
        </a:prstGeom>
        <a:no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bodyPr>
        <a:lstStyle/>
        <a:p>
          <a:pPr algn="ctr"/>
          <a:r>
            <a:rPr lang="en-US" sz="5400" b="1"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rPr>
            <a:t>F               I            N           A       L</a:t>
          </a:r>
        </a:p>
      </xdr:txBody>
    </xdr:sp>
    <xdr:clientData/>
  </xdr:oneCellAnchor>
</xdr:wsDr>
</file>

<file path=xl/drawings/drawing9.xml><?xml version="1.0" encoding="utf-8"?>
<xdr:wsDr xmlns:xdr="http://schemas.openxmlformats.org/drawingml/2006/spreadsheetDrawing" xmlns:a="http://schemas.openxmlformats.org/drawingml/2006/main">
  <xdr:twoCellAnchor>
    <xdr:from>
      <xdr:col>0</xdr:col>
      <xdr:colOff>238125</xdr:colOff>
      <xdr:row>1</xdr:row>
      <xdr:rowOff>152400</xdr:rowOff>
    </xdr:from>
    <xdr:to>
      <xdr:col>10</xdr:col>
      <xdr:colOff>923925</xdr:colOff>
      <xdr:row>1</xdr:row>
      <xdr:rowOff>838200</xdr:rowOff>
    </xdr:to>
    <xdr:sp macro="" textlink="">
      <xdr:nvSpPr>
        <xdr:cNvPr id="2" name="Text Box 105"/>
        <xdr:cNvSpPr txBox="1">
          <a:spLocks noChangeArrowheads="1"/>
        </xdr:cNvSpPr>
      </xdr:nvSpPr>
      <xdr:spPr bwMode="auto">
        <a:xfrm>
          <a:off x="238125" y="571500"/>
          <a:ext cx="10315575" cy="685800"/>
        </a:xfrm>
        <a:prstGeom prst="rect">
          <a:avLst/>
        </a:prstGeom>
        <a:solidFill>
          <a:srgbClr val="C0C0C0"/>
        </a:solidFill>
        <a:ln w="3175">
          <a:solidFill>
            <a:srgbClr val="000000"/>
          </a:solidFill>
          <a:miter lim="800000"/>
          <a:headEnd/>
          <a:tailEnd/>
        </a:ln>
      </xdr:spPr>
      <xdr:txBody>
        <a:bodyPr vertOverflow="clip" wrap="square" lIns="27432" tIns="22860" rIns="0" bIns="0" anchor="t" upright="1"/>
        <a:lstStyle/>
        <a:p>
          <a:pPr algn="l" rtl="0">
            <a:defRPr sz="1000"/>
          </a:pPr>
          <a:r>
            <a:rPr lang="en-US" sz="800" b="0" i="0" u="none" strike="noStrike" baseline="0">
              <a:solidFill>
                <a:srgbClr val="000000"/>
              </a:solidFill>
              <a:latin typeface="Arial"/>
              <a:cs typeface="Arial"/>
            </a:rPr>
            <a:t>GHG emissions from fossil fuel combustion in the transportation sector are calculated by multiplying energy consumption (in the transportation sector) by carbon content coefficients for each fuel.  These quantities are then multiplied by fuel-specific percentages of carbon oxidized during combustion ("combustion efficiency").  The non-energy consumption of lubricants multiplied by its carbon storage factor must be subtracted from its energy consumption before carrying out the above calculations.  The resulting fuel emissions, in pounds of carbon, are then converted to short tons of carbon and million metric tons of carbon equivalent (MMTCE), then to million metric tons of carbon dioxide equivalent (MMTCO2E), and summed.   For further detail on this method, refer to EPA SIT User's Guide.</a:t>
          </a:r>
        </a:p>
      </xdr:txBody>
    </xdr:sp>
    <xdr:clientData/>
  </xdr:twoCellAnchor>
  <xdr:twoCellAnchor>
    <xdr:from>
      <xdr:col>0</xdr:col>
      <xdr:colOff>238125</xdr:colOff>
      <xdr:row>1</xdr:row>
      <xdr:rowOff>152400</xdr:rowOff>
    </xdr:from>
    <xdr:to>
      <xdr:col>10</xdr:col>
      <xdr:colOff>923925</xdr:colOff>
      <xdr:row>1</xdr:row>
      <xdr:rowOff>838200</xdr:rowOff>
    </xdr:to>
    <xdr:sp macro="" textlink="">
      <xdr:nvSpPr>
        <xdr:cNvPr id="3" name="Text Box 105"/>
        <xdr:cNvSpPr txBox="1">
          <a:spLocks noChangeArrowheads="1"/>
        </xdr:cNvSpPr>
      </xdr:nvSpPr>
      <xdr:spPr bwMode="auto">
        <a:xfrm>
          <a:off x="238125" y="571500"/>
          <a:ext cx="10315575" cy="685800"/>
        </a:xfrm>
        <a:prstGeom prst="rect">
          <a:avLst/>
        </a:prstGeom>
        <a:solidFill>
          <a:srgbClr val="C0C0C0"/>
        </a:solidFill>
        <a:ln w="3175">
          <a:solidFill>
            <a:srgbClr val="000000"/>
          </a:solidFill>
          <a:miter lim="800000"/>
          <a:headEnd/>
          <a:tailEnd/>
        </a:ln>
      </xdr:spPr>
      <xdr:txBody>
        <a:bodyPr vertOverflow="clip" wrap="square" lIns="27432" tIns="22860" rIns="0" bIns="0" anchor="t" upright="1"/>
        <a:lstStyle/>
        <a:p>
          <a:pPr algn="l" rtl="0">
            <a:defRPr sz="1000"/>
          </a:pPr>
          <a:r>
            <a:rPr lang="en-US" sz="800" b="0" i="0" u="none" strike="noStrike" baseline="0">
              <a:solidFill>
                <a:srgbClr val="000000"/>
              </a:solidFill>
              <a:latin typeface="Arial"/>
              <a:cs typeface="Arial"/>
            </a:rPr>
            <a:t>GHG emissions from fossil fuel combustion in the transportation sector are calculated by multiplying energy consumption (in the transportation sector) by carbon content coefficients for each fuel.  These quantities are then multiplied by fuel-specific percentages of carbon oxidized during combustion ("combustion efficiency").  The non-energy consumption of lubricants multiplied by its carbon storage factor must be subtracted from its energy consumption before carrying out the above calculations.  The resulting fuel emissions, in pounds of carbon, are then converted to short tons of carbon and million metric tons of carbon equivalent (MMTCE), then to million metric tons of carbon dioxide equivalent (MMTCO</a:t>
          </a:r>
          <a:r>
            <a:rPr lang="en-US" sz="800" b="0" i="0" u="none" strike="noStrike" baseline="-25000">
              <a:solidFill>
                <a:srgbClr val="000000"/>
              </a:solidFill>
              <a:latin typeface="Arial"/>
              <a:cs typeface="Arial"/>
            </a:rPr>
            <a:t>2</a:t>
          </a:r>
          <a:r>
            <a:rPr lang="en-US" sz="800" b="0" i="0" u="none" strike="noStrike" baseline="0">
              <a:solidFill>
                <a:srgbClr val="000000"/>
              </a:solidFill>
              <a:latin typeface="Arial"/>
              <a:cs typeface="Arial"/>
            </a:rPr>
            <a:t>E), and summed.   For further detail on this method, refer to EPA SIT User's Guide.</a:t>
          </a:r>
        </a:p>
      </xdr:txBody>
    </xdr:sp>
    <xdr:clientData/>
  </xdr:twoCellAnchor>
  <xdr:oneCellAnchor>
    <xdr:from>
      <xdr:col>0</xdr:col>
      <xdr:colOff>0</xdr:colOff>
      <xdr:row>26</xdr:row>
      <xdr:rowOff>11668</xdr:rowOff>
    </xdr:from>
    <xdr:ext cx="14517247" cy="937629"/>
    <xdr:sp macro="" textlink="">
      <xdr:nvSpPr>
        <xdr:cNvPr id="4" name="Rectangle 3"/>
        <xdr:cNvSpPr/>
      </xdr:nvSpPr>
      <xdr:spPr>
        <a:xfrm rot="19028361">
          <a:off x="0" y="5172889"/>
          <a:ext cx="14517247" cy="937629"/>
        </a:xfrm>
        <a:prstGeom prst="rect">
          <a:avLst/>
        </a:prstGeom>
        <a:no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lnRef>
        <a:fillRef idx="1">
          <a:schemeClr val="lt1"/>
        </a:fillRef>
        <a:effectRef idx="0">
          <a:schemeClr val="accent1"/>
        </a:effectRef>
        <a:fontRef idx="minor">
          <a:schemeClr val="dk1"/>
        </a:fontRef>
      </xdr:style>
      <xdr:txBody>
        <a:bodyPr wrap="square" lIns="91440" tIns="45720" rIns="91440" bIns="45720">
          <a:noAutofit/>
        </a:bodyPr>
        <a:lstStyle/>
        <a:p>
          <a:pPr algn="ctr"/>
          <a:r>
            <a:rPr lang="en-US" sz="5400" b="1"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rPr>
            <a:t>F               I            N           A       L</a:t>
          </a: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Documents%20and%20Settings\AMohammed\My%20Documents\CSS-\MD_AgProjection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L:\DOCUME~1\Andy\LOCALS~1\Temp\MD_Mobile_Combustion_Modul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L:\MDE%20-%20WORK\Emission%20Inventory\Greenhouse%20Gas\2011\2011%20GHG%20Emissions\2011%20SIT%20specific\2012%20Modules\CO2FFC%20Module.xls%202010%20updated.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L:\Documents%20and%20Settings\AMohammed\My%20Documents\CSS-\MD_IP_Module.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L:\DOCUME~1\Andy\LOCALS~1\Temp\MD_Waste_Summary.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L:\MDE%20-%20WORK\Emission%20Inventory\Greenhouse%20Gas\2010%20SIT%20Tool\SIT%20Modules\Wastewater%20Modul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L:\Documents%20and%20Settings\AMohammed\My%20Documents\CSS-\MD_Natural_Gas_and_Oil_Module.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L:\Documents%20and%20Settings\AMohammed\My%20Documents\CSS-\MD_Stationary_Combustion_Modul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L:\DOCUME~1\AMOHAM~1\LOCALS~1\Temp\Temporary%20Directory%201%20for%20SIT%202010%20new.zip\SIT%20Modules\Solid%20Waste%20Modul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MDE%20-%20WORK\Emission%20Inventory\Greenhouse%20Gas\2010%20SIT%20Tool\SIT%20Modules\IP%20Modul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DOCUME~1\rthunell\LOCALS~1\Temp\XPGrpWise\2006\Sept%202010%20SIT%20Runs\IP%20Modul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Documents%20and%20Settings\AMohammed\My%20Documents\CSS-\MD_CO2FFC_Modul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MDE%20-%20WORK\Emission%20Inventory\Greenhouse%20Gas\2010%20SIT%20Tool\SIT%20Modules\Coal%20Modul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MDE%20-%20WORK\Emission%20Inventory\Greenhouse%20Gas\2010%20SIT%20Tool\SIT%20Modules\Ag%20Modul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DOCUME~1\Andy\LOCALS~1\Temp\MD_CO2FFC_Module.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L:\AQPlanning%20and%20Monitoring\Planning%20Division\Inventories\2006%20Emission%20Inventory\2010%20Version\2010%20SIT%20Release\Ag%20Module.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L:\DOCUME~1\Andy\LOCALS~1\Temp\MD_Natural_Gas_and_Oil_Module.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Enteric Fermentation"/>
      <sheetName val="Manure Mgmt"/>
      <sheetName val="Livestock Growth Factors"/>
      <sheetName val="MD Projected Animal Pop"/>
    </sheetNames>
    <sheetDataSet>
      <sheetData sheetId="0">
        <row r="12">
          <cell r="B12">
            <v>0</v>
          </cell>
        </row>
      </sheetData>
      <sheetData sheetId="1">
        <row r="5">
          <cell r="D5">
            <v>9.305286463300031E-4</v>
          </cell>
        </row>
        <row r="8">
          <cell r="D8">
            <v>1.8851453859971456E-4</v>
          </cell>
        </row>
      </sheetData>
      <sheetData sheetId="2">
        <row r="1">
          <cell r="D1" t="str">
            <v>2015-2020</v>
          </cell>
        </row>
      </sheetData>
      <sheetData sheetId="3">
        <row r="9">
          <cell r="C9">
            <v>4.0039999999999996</v>
          </cell>
          <cell r="D9">
            <v>3.9649999999999999</v>
          </cell>
          <cell r="E9">
            <v>4.915</v>
          </cell>
          <cell r="F9">
            <v>4.9870000000000001</v>
          </cell>
          <cell r="G9">
            <v>5.016</v>
          </cell>
          <cell r="H9">
            <v>5.0170000000000003</v>
          </cell>
          <cell r="I9">
            <v>4.9459999999999997</v>
          </cell>
          <cell r="J9">
            <v>4.923</v>
          </cell>
          <cell r="K9">
            <v>4.9109999999999996</v>
          </cell>
          <cell r="L9">
            <v>3.8319999999999999</v>
          </cell>
          <cell r="M9">
            <v>3.847</v>
          </cell>
          <cell r="N9">
            <v>3.8719999999999999</v>
          </cell>
          <cell r="O9">
            <v>3.8679999999999999</v>
          </cell>
          <cell r="P9">
            <v>4</v>
          </cell>
          <cell r="Q9">
            <v>3.8924886225386381</v>
          </cell>
        </row>
        <row r="10">
          <cell r="C10">
            <v>76.406999999999996</v>
          </cell>
          <cell r="D10">
            <v>74.974000000000004</v>
          </cell>
          <cell r="E10">
            <v>73.491</v>
          </cell>
          <cell r="F10">
            <v>68.781000000000006</v>
          </cell>
          <cell r="G10">
            <v>82.341999999999999</v>
          </cell>
          <cell r="H10">
            <v>65.384</v>
          </cell>
          <cell r="I10">
            <v>62.869</v>
          </cell>
          <cell r="J10">
            <v>66.203999999999994</v>
          </cell>
          <cell r="K10">
            <v>63.573</v>
          </cell>
          <cell r="L10">
            <v>55.92</v>
          </cell>
          <cell r="M10">
            <v>62.317999999999998</v>
          </cell>
          <cell r="N10">
            <v>64.465000000000003</v>
          </cell>
          <cell r="O10">
            <v>57.311</v>
          </cell>
          <cell r="P10">
            <v>42</v>
          </cell>
          <cell r="Q10">
            <v>60.935000000000002</v>
          </cell>
        </row>
        <row r="11">
          <cell r="C11">
            <v>53.717264558822635</v>
          </cell>
          <cell r="D11">
            <v>54.730649441933174</v>
          </cell>
          <cell r="E11">
            <v>65.472301730261435</v>
          </cell>
          <cell r="F11">
            <v>64.922096124891254</v>
          </cell>
          <cell r="G11">
            <v>69.891855141899896</v>
          </cell>
          <cell r="H11">
            <v>64.345471379184403</v>
          </cell>
          <cell r="I11">
            <v>52.258129485546128</v>
          </cell>
          <cell r="J11">
            <v>49.372362402242878</v>
          </cell>
          <cell r="K11">
            <v>49.290076562055553</v>
          </cell>
          <cell r="L11">
            <v>41.228965003723012</v>
          </cell>
          <cell r="M11">
            <v>37.277958093549955</v>
          </cell>
          <cell r="N11">
            <v>41.381308154537528</v>
          </cell>
          <cell r="O11">
            <v>41.383295485897413</v>
          </cell>
          <cell r="P11">
            <v>42.344256009348385</v>
          </cell>
          <cell r="Q11">
            <v>43.349195209537172</v>
          </cell>
        </row>
        <row r="12">
          <cell r="C12">
            <v>22.018999999999998</v>
          </cell>
          <cell r="D12">
            <v>15.032999999999999</v>
          </cell>
          <cell r="E12">
            <v>14.038</v>
          </cell>
          <cell r="F12">
            <v>8.907</v>
          </cell>
          <cell r="G12">
            <v>10.172000000000001</v>
          </cell>
          <cell r="H12">
            <v>7.6059999999999999</v>
          </cell>
          <cell r="I12">
            <v>12.167999999999999</v>
          </cell>
          <cell r="J12">
            <v>7.6909999999999998</v>
          </cell>
          <cell r="K12">
            <v>4.4290000000000003</v>
          </cell>
          <cell r="L12">
            <v>8.1539999999999999</v>
          </cell>
          <cell r="M12">
            <v>9.4480000000000004</v>
          </cell>
          <cell r="N12">
            <v>8.4139999999999997</v>
          </cell>
          <cell r="O12">
            <v>12.412000000000001</v>
          </cell>
          <cell r="P12">
            <v>20</v>
          </cell>
          <cell r="Q12">
            <v>9.7379999999999995</v>
          </cell>
        </row>
        <row r="13">
          <cell r="C13">
            <v>18.559999999999999</v>
          </cell>
          <cell r="D13">
            <v>18.777999999999999</v>
          </cell>
          <cell r="E13">
            <v>21.126000000000001</v>
          </cell>
          <cell r="F13">
            <v>21.004000000000001</v>
          </cell>
          <cell r="G13">
            <v>20.521000000000001</v>
          </cell>
          <cell r="H13">
            <v>19.145</v>
          </cell>
          <cell r="I13">
            <v>21.190999999999999</v>
          </cell>
          <cell r="J13">
            <v>18.373999999999999</v>
          </cell>
          <cell r="K13">
            <v>15.714</v>
          </cell>
          <cell r="L13">
            <v>13.613</v>
          </cell>
          <cell r="M13">
            <v>12.465</v>
          </cell>
          <cell r="N13">
            <v>16.821000000000002</v>
          </cell>
          <cell r="O13">
            <v>14.648</v>
          </cell>
          <cell r="P13">
            <v>14.926</v>
          </cell>
          <cell r="Q13">
            <v>16.885999999999999</v>
          </cell>
        </row>
        <row r="14">
          <cell r="C14">
            <v>175</v>
          </cell>
          <cell r="D14">
            <v>180</v>
          </cell>
          <cell r="E14">
            <v>170</v>
          </cell>
          <cell r="F14">
            <v>120</v>
          </cell>
          <cell r="G14">
            <v>80</v>
          </cell>
          <cell r="H14">
            <v>75</v>
          </cell>
          <cell r="I14">
            <v>85</v>
          </cell>
          <cell r="J14">
            <v>65</v>
          </cell>
          <cell r="K14">
            <v>55</v>
          </cell>
          <cell r="L14">
            <v>58</v>
          </cell>
          <cell r="M14">
            <v>52</v>
          </cell>
          <cell r="N14">
            <v>35</v>
          </cell>
          <cell r="O14">
            <v>35</v>
          </cell>
          <cell r="P14">
            <v>26</v>
          </cell>
          <cell r="Q14">
            <v>35</v>
          </cell>
          <cell r="R14">
            <v>35</v>
          </cell>
          <cell r="S14">
            <v>35</v>
          </cell>
          <cell r="T14">
            <v>35</v>
          </cell>
          <cell r="X14">
            <v>35</v>
          </cell>
          <cell r="Y14">
            <v>35</v>
          </cell>
          <cell r="Z14">
            <v>35</v>
          </cell>
          <cell r="AA14">
            <v>35</v>
          </cell>
          <cell r="AB14">
            <v>35</v>
          </cell>
          <cell r="AC14">
            <v>35</v>
          </cell>
          <cell r="AD14">
            <v>35</v>
          </cell>
          <cell r="AE14">
            <v>35</v>
          </cell>
          <cell r="AF14">
            <v>35</v>
          </cell>
        </row>
        <row r="15">
          <cell r="C15">
            <v>30</v>
          </cell>
          <cell r="D15">
            <v>30</v>
          </cell>
          <cell r="E15">
            <v>29</v>
          </cell>
          <cell r="F15">
            <v>17</v>
          </cell>
          <cell r="G15">
            <v>13</v>
          </cell>
          <cell r="H15">
            <v>12</v>
          </cell>
          <cell r="I15">
            <v>11</v>
          </cell>
          <cell r="J15">
            <v>7</v>
          </cell>
          <cell r="K15">
            <v>6</v>
          </cell>
          <cell r="L15">
            <v>7</v>
          </cell>
          <cell r="M15">
            <v>7</v>
          </cell>
          <cell r="N15">
            <v>6</v>
          </cell>
          <cell r="O15">
            <v>6</v>
          </cell>
          <cell r="P15">
            <v>4</v>
          </cell>
          <cell r="Q15">
            <v>5</v>
          </cell>
        </row>
        <row r="16">
          <cell r="C16">
            <v>64</v>
          </cell>
          <cell r="D16">
            <v>66</v>
          </cell>
          <cell r="E16">
            <v>62</v>
          </cell>
          <cell r="F16">
            <v>44</v>
          </cell>
          <cell r="G16">
            <v>28</v>
          </cell>
          <cell r="H16">
            <v>27</v>
          </cell>
          <cell r="I16">
            <v>33</v>
          </cell>
          <cell r="J16">
            <v>14</v>
          </cell>
          <cell r="K16">
            <v>13</v>
          </cell>
          <cell r="L16">
            <v>11</v>
          </cell>
          <cell r="M16">
            <v>14</v>
          </cell>
          <cell r="N16">
            <v>8</v>
          </cell>
          <cell r="O16">
            <v>9</v>
          </cell>
          <cell r="P16">
            <v>7</v>
          </cell>
          <cell r="Q16">
            <v>12</v>
          </cell>
        </row>
        <row r="17">
          <cell r="C17">
            <v>34</v>
          </cell>
          <cell r="D17">
            <v>35</v>
          </cell>
          <cell r="E17">
            <v>34</v>
          </cell>
          <cell r="F17">
            <v>24</v>
          </cell>
          <cell r="G17">
            <v>16</v>
          </cell>
          <cell r="H17">
            <v>14</v>
          </cell>
          <cell r="I17">
            <v>17</v>
          </cell>
          <cell r="J17">
            <v>11</v>
          </cell>
          <cell r="K17">
            <v>12</v>
          </cell>
          <cell r="L17">
            <v>11</v>
          </cell>
          <cell r="M17">
            <v>7</v>
          </cell>
          <cell r="N17">
            <v>5</v>
          </cell>
          <cell r="O17">
            <v>6</v>
          </cell>
          <cell r="P17">
            <v>5</v>
          </cell>
          <cell r="Q17">
            <v>3</v>
          </cell>
        </row>
        <row r="18">
          <cell r="C18">
            <v>26</v>
          </cell>
          <cell r="D18">
            <v>27</v>
          </cell>
          <cell r="E18">
            <v>25</v>
          </cell>
          <cell r="F18">
            <v>19</v>
          </cell>
          <cell r="G18">
            <v>13</v>
          </cell>
          <cell r="H18">
            <v>12</v>
          </cell>
          <cell r="I18">
            <v>13</v>
          </cell>
          <cell r="J18">
            <v>12</v>
          </cell>
          <cell r="K18">
            <v>11</v>
          </cell>
          <cell r="L18">
            <v>13</v>
          </cell>
          <cell r="M18">
            <v>12</v>
          </cell>
          <cell r="N18">
            <v>7</v>
          </cell>
          <cell r="O18">
            <v>7</v>
          </cell>
          <cell r="P18">
            <v>5</v>
          </cell>
          <cell r="Q18">
            <v>7</v>
          </cell>
        </row>
        <row r="19">
          <cell r="C19">
            <v>21</v>
          </cell>
          <cell r="D19">
            <v>22</v>
          </cell>
          <cell r="E19">
            <v>20</v>
          </cell>
          <cell r="F19">
            <v>16</v>
          </cell>
          <cell r="G19">
            <v>10</v>
          </cell>
          <cell r="H19">
            <v>10</v>
          </cell>
          <cell r="I19">
            <v>11</v>
          </cell>
          <cell r="J19">
            <v>21</v>
          </cell>
          <cell r="K19">
            <v>13</v>
          </cell>
          <cell r="L19">
            <v>16</v>
          </cell>
          <cell r="M19">
            <v>12</v>
          </cell>
          <cell r="N19">
            <v>9</v>
          </cell>
          <cell r="O19">
            <v>7</v>
          </cell>
          <cell r="P19">
            <v>5</v>
          </cell>
          <cell r="Q19">
            <v>8</v>
          </cell>
        </row>
        <row r="21">
          <cell r="C21">
            <v>4668</v>
          </cell>
          <cell r="D21">
            <v>4717</v>
          </cell>
          <cell r="E21">
            <v>4810</v>
          </cell>
          <cell r="F21">
            <v>4351</v>
          </cell>
          <cell r="G21">
            <v>4450</v>
          </cell>
          <cell r="H21">
            <v>4389</v>
          </cell>
          <cell r="I21">
            <v>4115</v>
          </cell>
          <cell r="J21">
            <v>4603</v>
          </cell>
          <cell r="K21">
            <v>4768</v>
          </cell>
          <cell r="L21">
            <v>4631</v>
          </cell>
          <cell r="M21">
            <v>4424</v>
          </cell>
          <cell r="N21">
            <v>4420</v>
          </cell>
          <cell r="O21">
            <v>3769</v>
          </cell>
          <cell r="P21">
            <v>4641</v>
          </cell>
          <cell r="Q21">
            <v>4187</v>
          </cell>
          <cell r="R21">
            <v>4343.2750000000015</v>
          </cell>
          <cell r="S21">
            <v>4333.4838235294119</v>
          </cell>
          <cell r="T21">
            <v>4323.6926470588223</v>
          </cell>
          <cell r="X21">
            <v>4284.5279411764714</v>
          </cell>
          <cell r="Y21">
            <v>4274.7367647058818</v>
          </cell>
          <cell r="Z21">
            <v>4264.9455882352959</v>
          </cell>
          <cell r="AA21">
            <v>4255.1544117647063</v>
          </cell>
          <cell r="AB21">
            <v>4245.3632352941167</v>
          </cell>
          <cell r="AC21">
            <v>4235.5720588235308</v>
          </cell>
          <cell r="AD21">
            <v>4225.7808823529413</v>
          </cell>
          <cell r="AE21">
            <v>4215.9897058823517</v>
          </cell>
          <cell r="AF21">
            <v>4206.1985294117658</v>
          </cell>
        </row>
        <row r="22">
          <cell r="C22">
            <v>3625</v>
          </cell>
          <cell r="D22">
            <v>3631</v>
          </cell>
          <cell r="E22">
            <v>3635</v>
          </cell>
          <cell r="F22">
            <v>3360</v>
          </cell>
          <cell r="G22">
            <v>3449</v>
          </cell>
          <cell r="H22">
            <v>3518</v>
          </cell>
          <cell r="I22">
            <v>3162</v>
          </cell>
          <cell r="J22">
            <v>3648</v>
          </cell>
          <cell r="K22">
            <v>3504</v>
          </cell>
          <cell r="L22">
            <v>3490</v>
          </cell>
          <cell r="M22">
            <v>3476</v>
          </cell>
          <cell r="N22">
            <v>3488</v>
          </cell>
          <cell r="O22">
            <v>2929</v>
          </cell>
          <cell r="P22">
            <v>3230</v>
          </cell>
          <cell r="Q22">
            <v>2957</v>
          </cell>
        </row>
        <row r="23">
          <cell r="C23">
            <v>946</v>
          </cell>
          <cell r="D23">
            <v>1002</v>
          </cell>
          <cell r="E23">
            <v>1097</v>
          </cell>
          <cell r="F23">
            <v>917</v>
          </cell>
          <cell r="G23">
            <v>950</v>
          </cell>
          <cell r="H23">
            <v>829</v>
          </cell>
          <cell r="I23">
            <v>911</v>
          </cell>
          <cell r="J23">
            <v>917</v>
          </cell>
          <cell r="K23">
            <v>1188</v>
          </cell>
          <cell r="L23">
            <v>1069</v>
          </cell>
          <cell r="M23">
            <v>875</v>
          </cell>
          <cell r="N23">
            <v>884</v>
          </cell>
          <cell r="O23">
            <v>810</v>
          </cell>
          <cell r="P23">
            <v>1381</v>
          </cell>
          <cell r="Q23">
            <v>1210</v>
          </cell>
        </row>
        <row r="24">
          <cell r="C24">
            <v>97</v>
          </cell>
          <cell r="D24">
            <v>84</v>
          </cell>
          <cell r="E24">
            <v>78</v>
          </cell>
          <cell r="F24">
            <v>74</v>
          </cell>
          <cell r="G24">
            <v>51</v>
          </cell>
          <cell r="H24">
            <v>42</v>
          </cell>
          <cell r="I24">
            <v>42</v>
          </cell>
          <cell r="J24">
            <v>38</v>
          </cell>
          <cell r="K24">
            <v>76</v>
          </cell>
          <cell r="L24">
            <v>72</v>
          </cell>
          <cell r="M24">
            <v>73</v>
          </cell>
          <cell r="N24">
            <v>48</v>
          </cell>
          <cell r="O24">
            <v>30</v>
          </cell>
          <cell r="P24">
            <v>30</v>
          </cell>
          <cell r="Q24">
            <v>20</v>
          </cell>
        </row>
        <row r="25">
          <cell r="C25">
            <v>48872.726999999999</v>
          </cell>
          <cell r="D25">
            <v>51000</v>
          </cell>
          <cell r="E25">
            <v>53818.181999999993</v>
          </cell>
          <cell r="F25">
            <v>51818.182000000001</v>
          </cell>
          <cell r="G25">
            <v>53763.635999999999</v>
          </cell>
          <cell r="H25">
            <v>53600</v>
          </cell>
          <cell r="I25">
            <v>53690.909000000007</v>
          </cell>
          <cell r="J25">
            <v>52890.909</v>
          </cell>
          <cell r="K25">
            <v>53527.273000000008</v>
          </cell>
          <cell r="L25">
            <v>51509.091</v>
          </cell>
          <cell r="M25">
            <v>52327.273000000001</v>
          </cell>
          <cell r="N25">
            <v>53254.545000000006</v>
          </cell>
          <cell r="O25">
            <v>53163.635999999999</v>
          </cell>
          <cell r="P25">
            <v>51745.455000000009</v>
          </cell>
          <cell r="Q25">
            <v>46545.455000000002</v>
          </cell>
          <cell r="R25">
            <v>52132.727475003478</v>
          </cell>
          <cell r="S25">
            <v>52164.652633827413</v>
          </cell>
          <cell r="T25">
            <v>52196.577792651355</v>
          </cell>
          <cell r="X25">
            <v>52324.278427947109</v>
          </cell>
          <cell r="Y25">
            <v>52356.203586771051</v>
          </cell>
          <cell r="Z25">
            <v>52388.128745594986</v>
          </cell>
          <cell r="AA25">
            <v>52420.053904418928</v>
          </cell>
          <cell r="AB25">
            <v>52451.979063242863</v>
          </cell>
          <cell r="AC25">
            <v>52483.904222066805</v>
          </cell>
          <cell r="AD25">
            <v>52515.82938089074</v>
          </cell>
          <cell r="AE25">
            <v>52547.754539714682</v>
          </cell>
          <cell r="AF25">
            <v>52579.679698538625</v>
          </cell>
        </row>
        <row r="26">
          <cell r="C26">
            <v>48.648648650000005</v>
          </cell>
          <cell r="D26">
            <v>49.342105259999997</v>
          </cell>
          <cell r="E26">
            <v>61.53846154</v>
          </cell>
          <cell r="F26">
            <v>52.5</v>
          </cell>
          <cell r="G26">
            <v>95.12195122</v>
          </cell>
          <cell r="H26">
            <v>128.57142859999999</v>
          </cell>
          <cell r="I26">
            <v>258.1395349</v>
          </cell>
          <cell r="J26">
            <v>1.02272727272727</v>
          </cell>
          <cell r="K26">
            <v>200</v>
          </cell>
          <cell r="L26">
            <v>143.47800000000001</v>
          </cell>
          <cell r="M26">
            <v>146.809</v>
          </cell>
          <cell r="N26">
            <v>135.93799999999999</v>
          </cell>
          <cell r="O26">
            <v>153.06100000000001</v>
          </cell>
          <cell r="P26">
            <v>250</v>
          </cell>
          <cell r="Q26">
            <v>266.66699999999997</v>
          </cell>
          <cell r="R26">
            <v>234.78805450272921</v>
          </cell>
          <cell r="S26">
            <v>247.43465510031092</v>
          </cell>
          <cell r="T26">
            <v>260.08125569788899</v>
          </cell>
          <cell r="X26">
            <v>310.66765808821219</v>
          </cell>
          <cell r="Y26">
            <v>323.3142586857939</v>
          </cell>
          <cell r="Z26">
            <v>335.96085928337197</v>
          </cell>
          <cell r="AA26">
            <v>348.60745988095368</v>
          </cell>
          <cell r="AB26">
            <v>361.25406047853539</v>
          </cell>
          <cell r="AC26">
            <v>373.90066107611347</v>
          </cell>
          <cell r="AD26">
            <v>386.54726167369517</v>
          </cell>
          <cell r="AE26">
            <v>399.19386227127688</v>
          </cell>
          <cell r="AF26">
            <v>411.84046286885496</v>
          </cell>
        </row>
        <row r="28">
          <cell r="C28">
            <v>26</v>
          </cell>
          <cell r="D28">
            <v>28</v>
          </cell>
          <cell r="E28">
            <v>26</v>
          </cell>
          <cell r="F28">
            <v>29</v>
          </cell>
          <cell r="G28">
            <v>25</v>
          </cell>
          <cell r="H28">
            <v>25</v>
          </cell>
          <cell r="I28">
            <v>23</v>
          </cell>
          <cell r="J28">
            <v>22</v>
          </cell>
          <cell r="K28">
            <v>9.8000000000000007</v>
          </cell>
          <cell r="L28">
            <v>10</v>
          </cell>
          <cell r="M28">
            <v>9.8666666666666671</v>
          </cell>
          <cell r="N28">
            <v>9.7333333333333325</v>
          </cell>
          <cell r="O28">
            <v>12</v>
          </cell>
          <cell r="P28">
            <v>25</v>
          </cell>
          <cell r="Q28">
            <v>23</v>
          </cell>
          <cell r="R28">
            <v>13.99272727272978</v>
          </cell>
          <cell r="S28">
            <v>13.379393939397005</v>
          </cell>
          <cell r="T28">
            <v>12.766060606064002</v>
          </cell>
          <cell r="X28">
            <v>10.312727272732218</v>
          </cell>
          <cell r="Y28">
            <v>9.6993939393994424</v>
          </cell>
          <cell r="Z28">
            <v>9.0860606060664395</v>
          </cell>
          <cell r="AA28">
            <v>8.4727272727334366</v>
          </cell>
          <cell r="AB28">
            <v>7.8593939394006611</v>
          </cell>
          <cell r="AC28">
            <v>7.2460606060676582</v>
          </cell>
          <cell r="AD28">
            <v>6.6327272727346553</v>
          </cell>
          <cell r="AE28">
            <v>6.0193939394018798</v>
          </cell>
          <cell r="AF28">
            <v>5.406060606068877</v>
          </cell>
        </row>
        <row r="29">
          <cell r="C29">
            <v>0</v>
          </cell>
          <cell r="D29">
            <v>0</v>
          </cell>
          <cell r="E29">
            <v>0</v>
          </cell>
          <cell r="F29">
            <v>0</v>
          </cell>
          <cell r="G29">
            <v>0</v>
          </cell>
          <cell r="H29">
            <v>0</v>
          </cell>
          <cell r="I29">
            <v>0</v>
          </cell>
          <cell r="J29">
            <v>0</v>
          </cell>
          <cell r="K29">
            <v>7.2154316034622319</v>
          </cell>
          <cell r="L29">
            <v>7.3626853096553377</v>
          </cell>
          <cell r="M29">
            <v>7.2645161721932672</v>
          </cell>
          <cell r="N29">
            <v>7.1663470347311948</v>
          </cell>
          <cell r="O29">
            <v>0</v>
          </cell>
          <cell r="P29">
            <v>0</v>
          </cell>
          <cell r="Q29">
            <v>0</v>
          </cell>
        </row>
        <row r="30">
          <cell r="C30">
            <v>26</v>
          </cell>
          <cell r="D30">
            <v>28</v>
          </cell>
          <cell r="E30">
            <v>26</v>
          </cell>
          <cell r="F30">
            <v>29</v>
          </cell>
          <cell r="G30">
            <v>25</v>
          </cell>
          <cell r="H30">
            <v>25</v>
          </cell>
          <cell r="I30">
            <v>23</v>
          </cell>
          <cell r="J30">
            <v>22</v>
          </cell>
          <cell r="K30">
            <v>2.5845683965377688</v>
          </cell>
          <cell r="L30">
            <v>2.6373146903446623</v>
          </cell>
          <cell r="M30">
            <v>2.6021504944734</v>
          </cell>
          <cell r="N30">
            <v>2.5669862986021377</v>
          </cell>
          <cell r="O30">
            <v>12</v>
          </cell>
          <cell r="P30">
            <v>25</v>
          </cell>
          <cell r="Q30">
            <v>23</v>
          </cell>
        </row>
        <row r="31">
          <cell r="C31">
            <v>5.1509999999999998</v>
          </cell>
          <cell r="D31">
            <v>5.1509999999999998</v>
          </cell>
          <cell r="E31">
            <v>5.1829999999999998</v>
          </cell>
          <cell r="F31">
            <v>5.2149999999999999</v>
          </cell>
          <cell r="G31">
            <v>5.2469999999999999</v>
          </cell>
          <cell r="H31">
            <v>5.2789999999999999</v>
          </cell>
          <cell r="I31">
            <v>5.3109999999999999</v>
          </cell>
          <cell r="J31">
            <v>5.3109999999999999</v>
          </cell>
          <cell r="K31">
            <v>5.3109999999999999</v>
          </cell>
          <cell r="L31">
            <v>5.3109999999999999</v>
          </cell>
          <cell r="M31">
            <v>5.3109999999999999</v>
          </cell>
          <cell r="N31">
            <v>5.3109999999999999</v>
          </cell>
          <cell r="O31">
            <v>5.3109999999999999</v>
          </cell>
          <cell r="P31">
            <v>9.6010000000000009</v>
          </cell>
          <cell r="Q31">
            <v>9.6010000000000009</v>
          </cell>
          <cell r="R31">
            <v>7.4047500000004334</v>
          </cell>
          <cell r="S31">
            <v>7.5938676470593123</v>
          </cell>
          <cell r="T31">
            <v>7.7829852941181912</v>
          </cell>
          <cell r="X31">
            <v>8.5394558823537068</v>
          </cell>
          <cell r="Y31">
            <v>8.7285735294125288</v>
          </cell>
          <cell r="Z31">
            <v>8.9176911764714077</v>
          </cell>
          <cell r="AA31">
            <v>9.1068088235302866</v>
          </cell>
          <cell r="AB31">
            <v>9.2959264705891655</v>
          </cell>
          <cell r="AC31">
            <v>9.4850441176480444</v>
          </cell>
          <cell r="AD31">
            <v>9.6741617647069233</v>
          </cell>
          <cell r="AE31">
            <v>9.8632794117658023</v>
          </cell>
          <cell r="AF31">
            <v>10.052397058824681</v>
          </cell>
        </row>
        <row r="32">
          <cell r="C32">
            <v>60.695928868954134</v>
          </cell>
          <cell r="D32">
            <v>60.945853281943947</v>
          </cell>
          <cell r="E32">
            <v>61.052963744653866</v>
          </cell>
          <cell r="F32">
            <v>60.814940494187383</v>
          </cell>
          <cell r="G32">
            <v>47.766650041178046</v>
          </cell>
          <cell r="H32">
            <v>47.952874797673857</v>
          </cell>
          <cell r="I32">
            <v>48.139099554169682</v>
          </cell>
          <cell r="J32">
            <v>48.762952488430685</v>
          </cell>
          <cell r="K32">
            <v>48.139099554169682</v>
          </cell>
          <cell r="L32">
            <v>48.79088620190506</v>
          </cell>
          <cell r="M32">
            <v>49.349560471392529</v>
          </cell>
          <cell r="N32">
            <v>49.349560471392529</v>
          </cell>
          <cell r="O32">
            <v>49.201000000000001</v>
          </cell>
          <cell r="P32">
            <v>37.74</v>
          </cell>
          <cell r="Q32">
            <v>37.74</v>
          </cell>
          <cell r="R32">
            <v>39.22664848166778</v>
          </cell>
          <cell r="S32">
            <v>37.835898576563977</v>
          </cell>
          <cell r="T32">
            <v>36.445148671460629</v>
          </cell>
          <cell r="X32">
            <v>30.882149051045872</v>
          </cell>
          <cell r="Y32">
            <v>29.491399145942069</v>
          </cell>
          <cell r="Z32">
            <v>28.10064924083872</v>
          </cell>
          <cell r="AA32">
            <v>26.709899335734917</v>
          </cell>
          <cell r="AB32">
            <v>25.319149430631114</v>
          </cell>
          <cell r="AC32">
            <v>23.928399525527766</v>
          </cell>
          <cell r="AD32">
            <v>22.537649620423963</v>
          </cell>
          <cell r="AE32">
            <v>21.14689971532016</v>
          </cell>
          <cell r="AF32">
            <v>19.756149810216812</v>
          </cell>
        </row>
        <row r="39">
          <cell r="C39">
            <v>2006</v>
          </cell>
          <cell r="D39">
            <v>2007</v>
          </cell>
          <cell r="E39">
            <v>2008</v>
          </cell>
          <cell r="F39">
            <v>2009</v>
          </cell>
          <cell r="G39">
            <v>2010</v>
          </cell>
          <cell r="H39">
            <v>2011</v>
          </cell>
          <cell r="I39">
            <v>2012</v>
          </cell>
          <cell r="J39">
            <v>2013</v>
          </cell>
          <cell r="K39">
            <v>2014</v>
          </cell>
          <cell r="L39">
            <v>2015</v>
          </cell>
          <cell r="M39">
            <v>2016</v>
          </cell>
          <cell r="N39">
            <v>2017</v>
          </cell>
          <cell r="O39">
            <v>2018</v>
          </cell>
          <cell r="P39">
            <v>2019</v>
          </cell>
          <cell r="Q39">
            <v>2020</v>
          </cell>
        </row>
        <row r="40">
          <cell r="C40">
            <v>71</v>
          </cell>
          <cell r="D40">
            <v>70</v>
          </cell>
          <cell r="E40">
            <v>69</v>
          </cell>
          <cell r="F40">
            <v>68</v>
          </cell>
          <cell r="G40">
            <v>67</v>
          </cell>
          <cell r="H40">
            <v>67</v>
          </cell>
          <cell r="I40">
            <v>66</v>
          </cell>
          <cell r="J40">
            <v>66</v>
          </cell>
          <cell r="K40">
            <v>66</v>
          </cell>
          <cell r="L40">
            <v>66</v>
          </cell>
          <cell r="M40">
            <v>65.801798221594765</v>
          </cell>
          <cell r="N40">
            <v>65.60419165447685</v>
          </cell>
          <cell r="O40">
            <v>65.407178511192683</v>
          </cell>
          <cell r="P40">
            <v>65.210757009656518</v>
          </cell>
          <cell r="Q40">
            <v>65.014925373134318</v>
          </cell>
        </row>
      </sheetData>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Lookups"/>
      <sheetName val="Control"/>
      <sheetName val="Highway1"/>
      <sheetName val="Highway2"/>
      <sheetName val="Highway3"/>
      <sheetName val="Highway"/>
      <sheetName val="Emissions"/>
      <sheetName val="Summary"/>
      <sheetName val="Tracker"/>
      <sheetName val="Uncertainty"/>
      <sheetName val="Aviation"/>
      <sheetName val="Boats"/>
      <sheetName val="Locomotives"/>
      <sheetName val="Other"/>
      <sheetName val="AFV"/>
      <sheetName val="Aviation Activity"/>
      <sheetName val="Boat Activity"/>
      <sheetName val="Locomotive Activity"/>
      <sheetName val="Farm Activity"/>
      <sheetName val="Construction Activity"/>
      <sheetName val="Other Activity"/>
      <sheetName val="AFVActivity"/>
      <sheetName val="VMT Correction"/>
      <sheetName val="Non_HW_Calcs"/>
      <sheetName val="AFV Calcs"/>
      <sheetName val="VMT"/>
      <sheetName val="LDGV"/>
      <sheetName val="LDGT"/>
      <sheetName val="HDGV"/>
      <sheetName val="LDDV"/>
      <sheetName val="LDDT"/>
      <sheetName val="HDDV"/>
      <sheetName val="MC"/>
      <sheetName val="Notes"/>
      <sheetName val="Data Sources"/>
    </sheetNames>
    <sheetDataSet>
      <sheetData sheetId="0">
        <row r="27">
          <cell r="B27">
            <v>1000000000000</v>
          </cell>
        </row>
        <row r="28">
          <cell r="B28">
            <v>0.27272727272727271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Control"/>
      <sheetName val="Default State Energy Data Table"/>
      <sheetName val="Residential"/>
      <sheetName val="Commercial"/>
      <sheetName val="Transportation"/>
      <sheetName val="Electric Power"/>
      <sheetName val="Bunker Fuels"/>
      <sheetName val="Industrial"/>
      <sheetName val="Summary-MMTCO2E"/>
      <sheetName val="Summary-MMTCE"/>
      <sheetName val="Tracker"/>
      <sheetName val="Uncertainty"/>
      <sheetName val="FF Consumption"/>
      <sheetName val="Coal CC"/>
      <sheetName val="Non-Energy Consump."/>
      <sheetName val="Variable CC's"/>
      <sheetName val="Code Key"/>
      <sheetName val="SNG"/>
      <sheetName val="Ethanol"/>
      <sheetName val="Data Sources"/>
      <sheetName val="List Data"/>
      <sheetName val="Notes"/>
    </sheetNames>
    <sheetDataSet>
      <sheetData sheetId="0">
        <row r="22">
          <cell r="D22">
            <v>43.39</v>
          </cell>
        </row>
      </sheetData>
      <sheetData sheetId="1">
        <row r="6">
          <cell r="A6" t="str">
            <v>MD Commercial Coal</v>
          </cell>
          <cell r="C6" t="str">
            <v>Commercial Coal</v>
          </cell>
          <cell r="D6">
            <v>962.57587000000001</v>
          </cell>
          <cell r="E6">
            <v>866.70636000000002</v>
          </cell>
          <cell r="F6">
            <v>274.11129</v>
          </cell>
          <cell r="G6">
            <v>306.92153000000002</v>
          </cell>
          <cell r="H6">
            <v>772.84767999999997</v>
          </cell>
          <cell r="I6">
            <v>6417.8804799999998</v>
          </cell>
          <cell r="J6">
            <v>905.11501999999996</v>
          </cell>
          <cell r="K6">
            <v>1230.8022100000001</v>
          </cell>
          <cell r="L6">
            <v>1193.95749</v>
          </cell>
          <cell r="M6">
            <v>1026.00404</v>
          </cell>
          <cell r="N6">
            <v>1864.4667400000001</v>
          </cell>
          <cell r="O6">
            <v>1676.1022</v>
          </cell>
          <cell r="P6">
            <v>67.436160000000001</v>
          </cell>
          <cell r="Q6">
            <v>122.07692</v>
          </cell>
          <cell r="R6">
            <v>1249.31627</v>
          </cell>
          <cell r="S6">
            <v>717.70361000000003</v>
          </cell>
          <cell r="T6">
            <v>951.31425000000002</v>
          </cell>
          <cell r="U6">
            <v>808.85798</v>
          </cell>
          <cell r="V6">
            <v>809.87643000000003</v>
          </cell>
          <cell r="W6">
            <v>626.71929999999998</v>
          </cell>
          <cell r="X6">
            <v>419.61752999999999</v>
          </cell>
          <cell r="Y6">
            <v>0</v>
          </cell>
          <cell r="Z6">
            <v>0</v>
          </cell>
          <cell r="AA6">
            <v>0</v>
          </cell>
          <cell r="AB6">
            <v>0</v>
          </cell>
          <cell r="AC6">
            <v>0</v>
          </cell>
          <cell r="AD6">
            <v>0</v>
          </cell>
          <cell r="AE6">
            <v>0</v>
          </cell>
          <cell r="AF6">
            <v>0</v>
          </cell>
          <cell r="AG6">
            <v>0</v>
          </cell>
          <cell r="AH6">
            <v>0</v>
          </cell>
        </row>
        <row r="7">
          <cell r="A7" t="str">
            <v>MD Commercial Distillate Fuel</v>
          </cell>
          <cell r="C7" t="str">
            <v>Commercial Distillate Fuel</v>
          </cell>
          <cell r="D7">
            <v>14499.3079</v>
          </cell>
          <cell r="E7">
            <v>15489.628549999999</v>
          </cell>
          <cell r="F7">
            <v>17441.78125</v>
          </cell>
          <cell r="G7">
            <v>16703.857550000001</v>
          </cell>
          <cell r="H7">
            <v>19845.043089999999</v>
          </cell>
          <cell r="I7">
            <v>18042.305199999999</v>
          </cell>
          <cell r="J7">
            <v>19046.007450000001</v>
          </cell>
          <cell r="K7">
            <v>14450.74021</v>
          </cell>
          <cell r="L7">
            <v>14883.715899999999</v>
          </cell>
          <cell r="M7">
            <v>12885.171039999999</v>
          </cell>
          <cell r="N7">
            <v>15038.08556</v>
          </cell>
          <cell r="O7">
            <v>14637.984490000001</v>
          </cell>
          <cell r="P7">
            <v>14554.888059999999</v>
          </cell>
          <cell r="Q7">
            <v>13001.27412</v>
          </cell>
          <cell r="R7">
            <v>12280.3434</v>
          </cell>
          <cell r="S7">
            <v>10395.59924</v>
          </cell>
          <cell r="T7">
            <v>10493.920109999999</v>
          </cell>
          <cell r="U7">
            <v>6922.8491700000004</v>
          </cell>
          <cell r="V7">
            <v>7089.0687500000004</v>
          </cell>
          <cell r="W7">
            <v>9663.7058699999998</v>
          </cell>
          <cell r="X7">
            <v>13730.400030000001</v>
          </cell>
          <cell r="Y7">
            <v>0</v>
          </cell>
          <cell r="Z7">
            <v>0</v>
          </cell>
          <cell r="AA7">
            <v>0</v>
          </cell>
          <cell r="AB7">
            <v>0</v>
          </cell>
          <cell r="AC7">
            <v>0</v>
          </cell>
          <cell r="AD7">
            <v>0</v>
          </cell>
          <cell r="AE7">
            <v>0</v>
          </cell>
          <cell r="AF7">
            <v>0</v>
          </cell>
          <cell r="AG7">
            <v>0</v>
          </cell>
          <cell r="AH7">
            <v>0</v>
          </cell>
        </row>
        <row r="8">
          <cell r="A8" t="str">
            <v>MD Commercial Kerosene</v>
          </cell>
          <cell r="C8" t="str">
            <v>Commercial Kerosene</v>
          </cell>
          <cell r="D8">
            <v>269.59789999999998</v>
          </cell>
          <cell r="E8">
            <v>295.87687</v>
          </cell>
          <cell r="F8">
            <v>238.48043000000001</v>
          </cell>
          <cell r="G8">
            <v>483.60007999999999</v>
          </cell>
          <cell r="H8">
            <v>1205.74676</v>
          </cell>
          <cell r="I8">
            <v>1188.8942199999999</v>
          </cell>
          <cell r="J8">
            <v>853.69635000000005</v>
          </cell>
          <cell r="K8">
            <v>1286.67354</v>
          </cell>
          <cell r="L8">
            <v>1777.27692</v>
          </cell>
          <cell r="M8">
            <v>1442.0903900000001</v>
          </cell>
          <cell r="N8">
            <v>2055.5677799999999</v>
          </cell>
          <cell r="O8">
            <v>1966.0009399999999</v>
          </cell>
          <cell r="P8">
            <v>971.20528000000002</v>
          </cell>
          <cell r="Q8">
            <v>1107.9666500000001</v>
          </cell>
          <cell r="R8">
            <v>714.54678000000001</v>
          </cell>
          <cell r="S8">
            <v>714.43110999999999</v>
          </cell>
          <cell r="T8">
            <v>353.45787999999999</v>
          </cell>
          <cell r="U8">
            <v>232.32326</v>
          </cell>
          <cell r="V8">
            <v>66.409880000000001</v>
          </cell>
          <cell r="W8">
            <v>179.93892</v>
          </cell>
          <cell r="X8">
            <v>161.69672</v>
          </cell>
          <cell r="Y8">
            <v>0</v>
          </cell>
          <cell r="Z8">
            <v>0</v>
          </cell>
          <cell r="AA8">
            <v>0</v>
          </cell>
          <cell r="AB8">
            <v>0</v>
          </cell>
          <cell r="AC8">
            <v>0</v>
          </cell>
          <cell r="AD8">
            <v>0</v>
          </cell>
          <cell r="AE8">
            <v>0</v>
          </cell>
          <cell r="AF8">
            <v>0</v>
          </cell>
          <cell r="AG8">
            <v>0</v>
          </cell>
          <cell r="AH8">
            <v>0</v>
          </cell>
        </row>
        <row r="9">
          <cell r="A9" t="str">
            <v>MD Commercial LPG</v>
          </cell>
          <cell r="C9" t="str">
            <v>Commercial LPG</v>
          </cell>
          <cell r="D9">
            <v>1537.3173200000001</v>
          </cell>
          <cell r="E9">
            <v>1716.1521700000001</v>
          </cell>
          <cell r="F9">
            <v>1928.62925</v>
          </cell>
          <cell r="G9">
            <v>1983.17644</v>
          </cell>
          <cell r="H9">
            <v>2021.87355</v>
          </cell>
          <cell r="I9">
            <v>2326.5953800000002</v>
          </cell>
          <cell r="J9">
            <v>2616.7522199999999</v>
          </cell>
          <cell r="K9">
            <v>2809.7627499999999</v>
          </cell>
          <cell r="L9">
            <v>2562.4685599999998</v>
          </cell>
          <cell r="M9">
            <v>2346.4884099999999</v>
          </cell>
          <cell r="N9">
            <v>1901.1842799999999</v>
          </cell>
          <cell r="O9">
            <v>2286.64167</v>
          </cell>
          <cell r="P9">
            <v>2381.6280499999998</v>
          </cell>
          <cell r="Q9">
            <v>3340.7656099999999</v>
          </cell>
          <cell r="R9">
            <v>2906.3991000000001</v>
          </cell>
          <cell r="S9">
            <v>2781.8138399999998</v>
          </cell>
          <cell r="T9">
            <v>2919.9973</v>
          </cell>
          <cell r="U9">
            <v>2255.7278099999999</v>
          </cell>
          <cell r="V9">
            <v>3226.8591999999999</v>
          </cell>
          <cell r="W9">
            <v>3037.3613300000002</v>
          </cell>
          <cell r="X9">
            <v>3342.3665299999998</v>
          </cell>
          <cell r="Y9">
            <v>0</v>
          </cell>
          <cell r="Z9">
            <v>0</v>
          </cell>
          <cell r="AA9">
            <v>0</v>
          </cell>
          <cell r="AB9">
            <v>0</v>
          </cell>
          <cell r="AC9">
            <v>0</v>
          </cell>
          <cell r="AD9">
            <v>0</v>
          </cell>
          <cell r="AE9">
            <v>0</v>
          </cell>
          <cell r="AF9">
            <v>0</v>
          </cell>
          <cell r="AG9">
            <v>0</v>
          </cell>
          <cell r="AH9">
            <v>0</v>
          </cell>
        </row>
        <row r="10">
          <cell r="A10" t="str">
            <v>MD Commercial Motor Gasoline</v>
          </cell>
          <cell r="C10" t="str">
            <v>Commercial Motor Gasoline</v>
          </cell>
          <cell r="D10">
            <v>1215.2105799999999</v>
          </cell>
          <cell r="E10">
            <v>621.65299000000005</v>
          </cell>
          <cell r="F10">
            <v>541.65044</v>
          </cell>
          <cell r="G10">
            <v>163.52500000000001</v>
          </cell>
          <cell r="H10">
            <v>163.55329</v>
          </cell>
          <cell r="I10">
            <v>165.66361000000001</v>
          </cell>
          <cell r="J10">
            <v>165.33389</v>
          </cell>
          <cell r="K10">
            <v>163.21978000000001</v>
          </cell>
          <cell r="L10">
            <v>164.04000000000002</v>
          </cell>
          <cell r="M10">
            <v>163.63309999999998</v>
          </cell>
          <cell r="N10">
            <v>604.60554999999999</v>
          </cell>
          <cell r="O10">
            <v>171.34799999999998</v>
          </cell>
          <cell r="P10">
            <v>170.38331000000002</v>
          </cell>
          <cell r="Q10">
            <v>171.29096999999999</v>
          </cell>
          <cell r="R10">
            <v>172.83356000000001</v>
          </cell>
          <cell r="S10">
            <v>172.51647</v>
          </cell>
          <cell r="T10">
            <v>170.8648</v>
          </cell>
          <cell r="U10">
            <v>169.79559</v>
          </cell>
          <cell r="V10">
            <v>170.96665999999999</v>
          </cell>
          <cell r="W10">
            <v>169.56</v>
          </cell>
          <cell r="X10">
            <v>167.89625000000001</v>
          </cell>
          <cell r="Y10">
            <v>0</v>
          </cell>
          <cell r="Z10">
            <v>0</v>
          </cell>
          <cell r="AA10">
            <v>0</v>
          </cell>
          <cell r="AB10">
            <v>0</v>
          </cell>
          <cell r="AC10">
            <v>0</v>
          </cell>
          <cell r="AD10">
            <v>0</v>
          </cell>
          <cell r="AE10">
            <v>0</v>
          </cell>
          <cell r="AF10">
            <v>0</v>
          </cell>
          <cell r="AG10">
            <v>0</v>
          </cell>
          <cell r="AH10">
            <v>0</v>
          </cell>
        </row>
        <row r="11">
          <cell r="A11" t="str">
            <v>MD Commercial Natural Gas</v>
          </cell>
          <cell r="C11" t="str">
            <v>Commercial Natural Gas</v>
          </cell>
          <cell r="D11">
            <v>24705.352579999999</v>
          </cell>
          <cell r="E11">
            <v>39069.659529999997</v>
          </cell>
          <cell r="F11">
            <v>43606.537830000001</v>
          </cell>
          <cell r="G11">
            <v>44834.495329999998</v>
          </cell>
          <cell r="H11">
            <v>45467.959580000002</v>
          </cell>
          <cell r="I11">
            <v>48048.818249999997</v>
          </cell>
          <cell r="J11">
            <v>47169.310080000003</v>
          </cell>
          <cell r="K11">
            <v>51483.871169999999</v>
          </cell>
          <cell r="L11">
            <v>59480.143600000003</v>
          </cell>
          <cell r="M11">
            <v>60056.218200000003</v>
          </cell>
          <cell r="N11">
            <v>57498.036489999999</v>
          </cell>
          <cell r="O11">
            <v>62040.576050000003</v>
          </cell>
          <cell r="P11">
            <v>66321.077069999999</v>
          </cell>
          <cell r="Q11">
            <v>73239.318669999993</v>
          </cell>
          <cell r="R11">
            <v>72776.316900000005</v>
          </cell>
          <cell r="S11">
            <v>73060.237949999995</v>
          </cell>
          <cell r="T11">
            <v>65183.66001</v>
          </cell>
          <cell r="U11">
            <v>73483.734719999993</v>
          </cell>
          <cell r="V11">
            <v>73059.861820000006</v>
          </cell>
          <cell r="W11">
            <v>71599.680909999995</v>
          </cell>
          <cell r="X11">
            <v>69295.892349999995</v>
          </cell>
          <cell r="Y11">
            <v>0</v>
          </cell>
          <cell r="Z11">
            <v>0</v>
          </cell>
          <cell r="AA11">
            <v>0</v>
          </cell>
          <cell r="AB11">
            <v>0</v>
          </cell>
          <cell r="AC11">
            <v>0</v>
          </cell>
          <cell r="AD11">
            <v>0</v>
          </cell>
          <cell r="AE11">
            <v>0</v>
          </cell>
          <cell r="AF11">
            <v>0</v>
          </cell>
          <cell r="AG11">
            <v>0</v>
          </cell>
          <cell r="AH11">
            <v>0</v>
          </cell>
        </row>
        <row r="12">
          <cell r="A12" t="str">
            <v>MD Commercial Residual Fuel</v>
          </cell>
          <cell r="C12" t="str">
            <v>Commercial Residual Fuel</v>
          </cell>
          <cell r="D12">
            <v>3446.0290599999998</v>
          </cell>
          <cell r="E12">
            <v>834.39139999999998</v>
          </cell>
          <cell r="F12">
            <v>2972.47442</v>
          </cell>
          <cell r="G12">
            <v>1200.3826899999999</v>
          </cell>
          <cell r="H12">
            <v>1345.9355499999999</v>
          </cell>
          <cell r="I12">
            <v>748.47684000000004</v>
          </cell>
          <cell r="J12">
            <v>676.08298000000002</v>
          </cell>
          <cell r="K12">
            <v>313.36577</v>
          </cell>
          <cell r="L12">
            <v>264.18180999999998</v>
          </cell>
          <cell r="M12">
            <v>327.79896000000002</v>
          </cell>
          <cell r="N12">
            <v>546.34645999999998</v>
          </cell>
          <cell r="O12">
            <v>212.60245</v>
          </cell>
          <cell r="P12">
            <v>397.50626</v>
          </cell>
          <cell r="Q12">
            <v>1759.5425600000001</v>
          </cell>
          <cell r="R12">
            <v>544.98954000000003</v>
          </cell>
          <cell r="S12">
            <v>616.23740999999995</v>
          </cell>
          <cell r="T12">
            <v>301.52722</v>
          </cell>
          <cell r="U12">
            <v>114.38844</v>
          </cell>
          <cell r="V12">
            <v>73.232860000000002</v>
          </cell>
          <cell r="W12">
            <v>18.78172</v>
          </cell>
          <cell r="X12">
            <v>38.202080000000002</v>
          </cell>
          <cell r="Y12">
            <v>0</v>
          </cell>
          <cell r="Z12">
            <v>0</v>
          </cell>
          <cell r="AA12">
            <v>0</v>
          </cell>
          <cell r="AB12">
            <v>0</v>
          </cell>
          <cell r="AC12">
            <v>0</v>
          </cell>
          <cell r="AD12">
            <v>0</v>
          </cell>
          <cell r="AE12">
            <v>0</v>
          </cell>
          <cell r="AF12">
            <v>0</v>
          </cell>
          <cell r="AG12">
            <v>0</v>
          </cell>
          <cell r="AH12">
            <v>0</v>
          </cell>
        </row>
        <row r="13">
          <cell r="A13" t="str">
            <v>MD Commercial Wood</v>
          </cell>
          <cell r="C13" t="str">
            <v>Commercial Wood</v>
          </cell>
          <cell r="D13">
            <v>1384.26701</v>
          </cell>
          <cell r="E13">
            <v>895.98902999999996</v>
          </cell>
          <cell r="F13">
            <v>1471.0344</v>
          </cell>
          <cell r="G13">
            <v>2165.4924599999999</v>
          </cell>
          <cell r="H13">
            <v>2101.7585800000002</v>
          </cell>
          <cell r="I13">
            <v>2119.75108</v>
          </cell>
          <cell r="J13">
            <v>2204.23117</v>
          </cell>
          <cell r="K13">
            <v>2028.0030999999999</v>
          </cell>
          <cell r="L13">
            <v>1792.4700399999999</v>
          </cell>
          <cell r="M13">
            <v>1808.3184100000001</v>
          </cell>
          <cell r="N13">
            <v>2041.8077499999999</v>
          </cell>
          <cell r="O13">
            <v>1548.67913</v>
          </cell>
          <cell r="P13">
            <v>1394.33186</v>
          </cell>
          <cell r="Q13">
            <v>1455.29982</v>
          </cell>
          <cell r="R13">
            <v>1662.3498300000001</v>
          </cell>
          <cell r="S13">
            <v>1567.93625</v>
          </cell>
          <cell r="T13">
            <v>1660.4653699999999</v>
          </cell>
          <cell r="U13">
            <v>1719.1486299999999</v>
          </cell>
          <cell r="V13">
            <v>1873.3381999999999</v>
          </cell>
          <cell r="W13">
            <v>1797.66461</v>
          </cell>
          <cell r="X13">
            <v>1698.32438</v>
          </cell>
          <cell r="Y13">
            <v>0</v>
          </cell>
          <cell r="Z13">
            <v>0</v>
          </cell>
          <cell r="AA13">
            <v>0</v>
          </cell>
          <cell r="AB13">
            <v>0</v>
          </cell>
          <cell r="AC13">
            <v>0</v>
          </cell>
          <cell r="AD13">
            <v>0</v>
          </cell>
          <cell r="AE13">
            <v>0</v>
          </cell>
          <cell r="AF13">
            <v>0</v>
          </cell>
          <cell r="AG13">
            <v>0</v>
          </cell>
          <cell r="AH13">
            <v>0</v>
          </cell>
        </row>
        <row r="14">
          <cell r="A14" t="str">
            <v>MD Commercial Other</v>
          </cell>
          <cell r="C14" t="str">
            <v>Commercial Other</v>
          </cell>
        </row>
        <row r="15">
          <cell r="A15" t="str">
            <v>MD Electric Power Coal</v>
          </cell>
          <cell r="C15" t="str">
            <v>Electric Power Coal</v>
          </cell>
          <cell r="D15">
            <v>227901.99991000001</v>
          </cell>
          <cell r="E15">
            <v>220903.00270000001</v>
          </cell>
          <cell r="F15">
            <v>229355.96877000001</v>
          </cell>
          <cell r="G15">
            <v>242865.95955999999</v>
          </cell>
          <cell r="H15">
            <v>249201.02961999999</v>
          </cell>
          <cell r="I15">
            <v>262938.97788999998</v>
          </cell>
          <cell r="J15">
            <v>271710.96139999997</v>
          </cell>
          <cell r="K15">
            <v>269025.00338000001</v>
          </cell>
          <cell r="L15">
            <v>283308.03697999998</v>
          </cell>
          <cell r="M15">
            <v>284088.02948000003</v>
          </cell>
          <cell r="N15">
            <v>289747.02270999999</v>
          </cell>
          <cell r="O15">
            <v>283345.00916000002</v>
          </cell>
          <cell r="P15">
            <v>291705.99352999998</v>
          </cell>
          <cell r="Q15">
            <v>297613.01543000003</v>
          </cell>
          <cell r="R15">
            <v>291314.87640000001</v>
          </cell>
          <cell r="S15">
            <v>295545.52770999999</v>
          </cell>
          <cell r="T15">
            <v>293180.84454999998</v>
          </cell>
          <cell r="U15">
            <v>297199.78973999998</v>
          </cell>
          <cell r="V15">
            <v>279847.17216000002</v>
          </cell>
          <cell r="W15">
            <v>243998.48116</v>
          </cell>
          <cell r="X15">
            <v>242943.92767999999</v>
          </cell>
          <cell r="Y15">
            <v>0</v>
          </cell>
          <cell r="Z15">
            <v>0</v>
          </cell>
          <cell r="AA15">
            <v>0</v>
          </cell>
          <cell r="AB15">
            <v>0</v>
          </cell>
          <cell r="AC15">
            <v>0</v>
          </cell>
          <cell r="AD15">
            <v>0</v>
          </cell>
          <cell r="AE15">
            <v>0</v>
          </cell>
          <cell r="AF15">
            <v>0</v>
          </cell>
          <cell r="AG15">
            <v>0</v>
          </cell>
          <cell r="AH15">
            <v>0</v>
          </cell>
        </row>
        <row r="16">
          <cell r="A16" t="str">
            <v>MD Electric Power Distillate Fuel</v>
          </cell>
          <cell r="C16" t="str">
            <v>Electric Power Distillate Fuel</v>
          </cell>
          <cell r="D16">
            <v>3483.5538799999999</v>
          </cell>
          <cell r="E16">
            <v>3216.9203299999999</v>
          </cell>
          <cell r="F16">
            <v>2666.0792000000001</v>
          </cell>
          <cell r="G16">
            <v>3451.26008</v>
          </cell>
          <cell r="H16">
            <v>6058.8096800000003</v>
          </cell>
          <cell r="I16">
            <v>3927.69848</v>
          </cell>
          <cell r="J16">
            <v>4614.1688999999997</v>
          </cell>
          <cell r="K16">
            <v>3784.7529800000002</v>
          </cell>
          <cell r="L16">
            <v>4042.4043799999999</v>
          </cell>
          <cell r="M16">
            <v>3115.3090299999999</v>
          </cell>
          <cell r="N16">
            <v>3390.36553</v>
          </cell>
          <cell r="O16">
            <v>5683.8486000000003</v>
          </cell>
          <cell r="P16">
            <v>4132.4355800000003</v>
          </cell>
          <cell r="Q16">
            <v>6720.6228799999999</v>
          </cell>
          <cell r="R16">
            <v>6625.8736600000002</v>
          </cell>
          <cell r="S16">
            <v>6968.1392400000004</v>
          </cell>
          <cell r="T16">
            <v>2617.5342300000002</v>
          </cell>
          <cell r="U16">
            <v>4449.8631299999997</v>
          </cell>
          <cell r="V16">
            <v>2971.5130800000002</v>
          </cell>
          <cell r="W16">
            <v>2042.3731499999999</v>
          </cell>
          <cell r="X16">
            <v>2979.5166300000001</v>
          </cell>
          <cell r="Y16">
            <v>0</v>
          </cell>
          <cell r="Z16">
            <v>0</v>
          </cell>
          <cell r="AA16">
            <v>0</v>
          </cell>
          <cell r="AB16">
            <v>0</v>
          </cell>
          <cell r="AC16">
            <v>0</v>
          </cell>
          <cell r="AD16">
            <v>0</v>
          </cell>
          <cell r="AE16">
            <v>0</v>
          </cell>
          <cell r="AF16">
            <v>0</v>
          </cell>
          <cell r="AG16">
            <v>0</v>
          </cell>
          <cell r="AH16">
            <v>0</v>
          </cell>
        </row>
        <row r="17">
          <cell r="A17" t="str">
            <v>MD Electric Power Natural Gas</v>
          </cell>
          <cell r="C17" t="str">
            <v>Electric Power Natural Gas</v>
          </cell>
          <cell r="D17">
            <v>21650.931949999998</v>
          </cell>
          <cell r="E17">
            <v>22087.91388</v>
          </cell>
          <cell r="F17">
            <v>15799.99201</v>
          </cell>
          <cell r="G17">
            <v>10454.954009999999</v>
          </cell>
          <cell r="H17">
            <v>15822.96306</v>
          </cell>
          <cell r="I17">
            <v>19537.064679999999</v>
          </cell>
          <cell r="J17">
            <v>12306.0106</v>
          </cell>
          <cell r="K17">
            <v>16095.92801</v>
          </cell>
          <cell r="L17">
            <v>22347.069920000002</v>
          </cell>
          <cell r="M17">
            <v>23685.100289999998</v>
          </cell>
          <cell r="N17">
            <v>30119.135429999998</v>
          </cell>
          <cell r="O17">
            <v>18097.053820000001</v>
          </cell>
          <cell r="P17">
            <v>23220.94541</v>
          </cell>
          <cell r="Q17">
            <v>11409.26136</v>
          </cell>
          <cell r="R17">
            <v>12532.009770000001</v>
          </cell>
          <cell r="S17">
            <v>21472.049749999998</v>
          </cell>
          <cell r="T17">
            <v>22845.937679999999</v>
          </cell>
          <cell r="U17">
            <v>24109.780139999999</v>
          </cell>
          <cell r="V17">
            <v>20537.277450000001</v>
          </cell>
          <cell r="W17">
            <v>18904.007140000002</v>
          </cell>
          <cell r="X17">
            <v>31776.195159999999</v>
          </cell>
          <cell r="Y17">
            <v>0</v>
          </cell>
          <cell r="Z17">
            <v>0</v>
          </cell>
          <cell r="AA17">
            <v>0</v>
          </cell>
          <cell r="AB17">
            <v>0</v>
          </cell>
          <cell r="AC17">
            <v>0</v>
          </cell>
          <cell r="AD17">
            <v>0</v>
          </cell>
          <cell r="AE17">
            <v>0</v>
          </cell>
          <cell r="AF17">
            <v>0</v>
          </cell>
          <cell r="AG17">
            <v>0</v>
          </cell>
          <cell r="AH17">
            <v>0</v>
          </cell>
        </row>
        <row r="18">
          <cell r="A18" t="str">
            <v>MD Electric Power Petroleum Coke</v>
          </cell>
          <cell r="C18" t="str">
            <v>Electric Power Petroleum Coke</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row>
        <row r="19">
          <cell r="A19" t="str">
            <v>MD Electric Power Residual Fuel</v>
          </cell>
          <cell r="C19" t="str">
            <v>Electric Power Residual Fuel</v>
          </cell>
          <cell r="D19">
            <v>43665.390299999999</v>
          </cell>
          <cell r="E19">
            <v>47250.65264</v>
          </cell>
          <cell r="F19">
            <v>31917.024290000001</v>
          </cell>
          <cell r="G19">
            <v>48464.823230000002</v>
          </cell>
          <cell r="H19">
            <v>44371.778760000001</v>
          </cell>
          <cell r="I19">
            <v>14375.87306</v>
          </cell>
          <cell r="J19">
            <v>14415.83952</v>
          </cell>
          <cell r="K19">
            <v>16345.961090000001</v>
          </cell>
          <cell r="L19">
            <v>36170.292959999999</v>
          </cell>
          <cell r="M19">
            <v>46915.40466</v>
          </cell>
          <cell r="N19">
            <v>23472.388760000002</v>
          </cell>
          <cell r="O19">
            <v>28855.393599999999</v>
          </cell>
          <cell r="P19">
            <v>21385.46312</v>
          </cell>
          <cell r="Q19">
            <v>31572.565849999999</v>
          </cell>
          <cell r="R19">
            <v>28393.764469999998</v>
          </cell>
          <cell r="S19">
            <v>33495.765500000001</v>
          </cell>
          <cell r="T19">
            <v>3735.9617899999998</v>
          </cell>
          <cell r="U19">
            <v>6566.5451700000003</v>
          </cell>
          <cell r="V19">
            <v>1908.6388999999999</v>
          </cell>
          <cell r="W19">
            <v>1758.3984599999999</v>
          </cell>
          <cell r="X19">
            <v>872.48470999999995</v>
          </cell>
          <cell r="Y19">
            <v>0</v>
          </cell>
          <cell r="Z19">
            <v>0</v>
          </cell>
          <cell r="AA19">
            <v>0</v>
          </cell>
          <cell r="AB19">
            <v>0</v>
          </cell>
          <cell r="AC19">
            <v>0</v>
          </cell>
          <cell r="AD19">
            <v>0</v>
          </cell>
          <cell r="AE19">
            <v>0</v>
          </cell>
          <cell r="AF19">
            <v>0</v>
          </cell>
          <cell r="AG19">
            <v>0</v>
          </cell>
          <cell r="AH19">
            <v>0</v>
          </cell>
        </row>
        <row r="20">
          <cell r="A20" t="str">
            <v>MD Electric Power Wood</v>
          </cell>
          <cell r="C20" t="str">
            <v>Electric Power Wood</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row>
        <row r="21">
          <cell r="A21" t="str">
            <v>MD Electric Power Other</v>
          </cell>
          <cell r="C21" t="str">
            <v>Electric Power Other</v>
          </cell>
        </row>
        <row r="22">
          <cell r="A22" t="str">
            <v>MD Industrial Asphalt and Road Oil</v>
          </cell>
          <cell r="C22" t="str">
            <v>Industrial Asphalt and Road Oil</v>
          </cell>
          <cell r="D22">
            <v>33233.434730000001</v>
          </cell>
          <cell r="E22">
            <v>24572.874879999999</v>
          </cell>
          <cell r="F22">
            <v>23288.49984</v>
          </cell>
          <cell r="G22">
            <v>31085.509709999998</v>
          </cell>
          <cell r="H22">
            <v>28949.856049999999</v>
          </cell>
          <cell r="I22">
            <v>28109.149239999999</v>
          </cell>
          <cell r="J22">
            <v>23953.182100000002</v>
          </cell>
          <cell r="K22">
            <v>37284.585780000001</v>
          </cell>
          <cell r="L22">
            <v>31053.1338</v>
          </cell>
          <cell r="M22">
            <v>29029.51194</v>
          </cell>
          <cell r="N22">
            <v>31194.664219999999</v>
          </cell>
          <cell r="O22">
            <v>28631.337869999999</v>
          </cell>
          <cell r="P22">
            <v>30264.568289999999</v>
          </cell>
          <cell r="Q22">
            <v>22929.134819999999</v>
          </cell>
          <cell r="R22">
            <v>21005.167239999999</v>
          </cell>
          <cell r="S22">
            <v>19765.367869999998</v>
          </cell>
          <cell r="T22">
            <v>19576.189249999999</v>
          </cell>
          <cell r="U22">
            <v>28066.493030000001</v>
          </cell>
          <cell r="V22">
            <v>25417.083170000002</v>
          </cell>
          <cell r="W22">
            <v>21928.790669999998</v>
          </cell>
          <cell r="X22">
            <v>22046.461619999998</v>
          </cell>
          <cell r="Y22">
            <v>0</v>
          </cell>
          <cell r="Z22">
            <v>0</v>
          </cell>
          <cell r="AA22">
            <v>0</v>
          </cell>
          <cell r="AB22">
            <v>0</v>
          </cell>
          <cell r="AC22">
            <v>0</v>
          </cell>
          <cell r="AD22">
            <v>0</v>
          </cell>
          <cell r="AE22">
            <v>0</v>
          </cell>
          <cell r="AF22">
            <v>0</v>
          </cell>
          <cell r="AG22">
            <v>0</v>
          </cell>
          <cell r="AH22">
            <v>0</v>
          </cell>
        </row>
        <row r="23">
          <cell r="A23" t="str">
            <v>MD Industrial Aviation Gasoline Blending Components</v>
          </cell>
          <cell r="C23" t="str">
            <v>Industrial Aviation Gasoline Blending Components</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row>
        <row r="24">
          <cell r="A24" t="str">
            <v>MD Industrial Coal</v>
          </cell>
          <cell r="C24" t="str">
            <v>Industrial Coal</v>
          </cell>
          <cell r="D24">
            <v>57377.24136</v>
          </cell>
          <cell r="E24">
            <v>52801.410559999997</v>
          </cell>
          <cell r="F24">
            <v>17802.26816</v>
          </cell>
          <cell r="G24">
            <v>18490.151829999999</v>
          </cell>
          <cell r="H24">
            <v>18752.12904</v>
          </cell>
          <cell r="I24">
            <v>19245.996800000001</v>
          </cell>
          <cell r="J24">
            <v>19736.807830000002</v>
          </cell>
          <cell r="K24">
            <v>19278.044190000001</v>
          </cell>
          <cell r="L24">
            <v>19246.184219999999</v>
          </cell>
          <cell r="M24">
            <v>19932.547610000001</v>
          </cell>
          <cell r="N24">
            <v>20319.753580000001</v>
          </cell>
          <cell r="O24">
            <v>33622.633470000001</v>
          </cell>
          <cell r="P24">
            <v>34051.12371</v>
          </cell>
          <cell r="Q24">
            <v>31837.155709999999</v>
          </cell>
          <cell r="R24">
            <v>34535.970860000001</v>
          </cell>
          <cell r="S24">
            <v>32977.960099999997</v>
          </cell>
          <cell r="T24">
            <v>30431.223549999999</v>
          </cell>
          <cell r="U24">
            <v>29880.435229999999</v>
          </cell>
          <cell r="V24">
            <v>28546.537759999999</v>
          </cell>
          <cell r="W24">
            <v>22156.88711</v>
          </cell>
          <cell r="X24">
            <v>22648.912120000001</v>
          </cell>
          <cell r="Y24">
            <v>0</v>
          </cell>
          <cell r="Z24">
            <v>0</v>
          </cell>
          <cell r="AA24">
            <v>0</v>
          </cell>
          <cell r="AB24">
            <v>0</v>
          </cell>
          <cell r="AC24">
            <v>0</v>
          </cell>
          <cell r="AD24">
            <v>0</v>
          </cell>
          <cell r="AE24">
            <v>0</v>
          </cell>
          <cell r="AF24">
            <v>0</v>
          </cell>
          <cell r="AG24">
            <v>0</v>
          </cell>
          <cell r="AH24">
            <v>0</v>
          </cell>
        </row>
        <row r="25">
          <cell r="A25" t="str">
            <v>MD Industrial Coking Coal</v>
          </cell>
          <cell r="C25" t="str">
            <v>Industrial Coking Coal</v>
          </cell>
          <cell r="D25">
            <v>33634</v>
          </cell>
          <cell r="E25">
            <v>26639.200000000001</v>
          </cell>
          <cell r="F25">
            <v>0</v>
          </cell>
          <cell r="G25">
            <v>26.8</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row>
        <row r="26">
          <cell r="A26" t="str">
            <v>MD Industrial Crude Oil</v>
          </cell>
          <cell r="C26" t="str">
            <v>Industrial Crude Oil</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row>
        <row r="27">
          <cell r="A27" t="str">
            <v>MD Industrial Distillate Fuel</v>
          </cell>
          <cell r="C27" t="str">
            <v>Industrial Distillate Fuel</v>
          </cell>
          <cell r="D27">
            <v>11993.98984</v>
          </cell>
          <cell r="E27">
            <v>10489.95673</v>
          </cell>
          <cell r="F27">
            <v>9535.6141800000005</v>
          </cell>
          <cell r="G27">
            <v>11101.80255</v>
          </cell>
          <cell r="H27">
            <v>10996.05422</v>
          </cell>
          <cell r="I27">
            <v>10120.55812</v>
          </cell>
          <cell r="J27">
            <v>11983.99315</v>
          </cell>
          <cell r="K27">
            <v>9964.9647999999997</v>
          </cell>
          <cell r="L27">
            <v>15859.149950000001</v>
          </cell>
          <cell r="M27">
            <v>13783.02151</v>
          </cell>
          <cell r="N27">
            <v>12287.645039999999</v>
          </cell>
          <cell r="O27">
            <v>13594.77032</v>
          </cell>
          <cell r="P27">
            <v>10291.92554</v>
          </cell>
          <cell r="Q27">
            <v>11569.438330000001</v>
          </cell>
          <cell r="R27">
            <v>11983.38654</v>
          </cell>
          <cell r="S27">
            <v>12011.543830000001</v>
          </cell>
          <cell r="T27">
            <v>12446.073039999999</v>
          </cell>
          <cell r="U27">
            <v>8981.1846800000003</v>
          </cell>
          <cell r="V27">
            <v>9972.7982599999996</v>
          </cell>
          <cell r="W27">
            <v>7107.5844999999999</v>
          </cell>
          <cell r="X27">
            <v>6425.3842599999998</v>
          </cell>
          <cell r="Y27">
            <v>0</v>
          </cell>
          <cell r="Z27">
            <v>0</v>
          </cell>
          <cell r="AA27">
            <v>0</v>
          </cell>
          <cell r="AB27">
            <v>0</v>
          </cell>
          <cell r="AC27">
            <v>0</v>
          </cell>
          <cell r="AD27">
            <v>0</v>
          </cell>
          <cell r="AE27">
            <v>0</v>
          </cell>
          <cell r="AF27">
            <v>0</v>
          </cell>
          <cell r="AG27">
            <v>0</v>
          </cell>
          <cell r="AH27">
            <v>0</v>
          </cell>
        </row>
        <row r="28">
          <cell r="A28" t="str">
            <v>MD Industrial Feedstocks, Naphtha less than 401 F</v>
          </cell>
          <cell r="C28" t="str">
            <v>Industrial Feedstocks, Naphtha less than 401 F</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row>
        <row r="29">
          <cell r="A29" t="str">
            <v>MD Industrial Feedstocks, Other Oils greater than 401 F</v>
          </cell>
          <cell r="C29" t="str">
            <v>Industrial Feedstocks, Other Oils greater than 401 F</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row>
        <row r="30">
          <cell r="A30" t="str">
            <v>MD Industrial Kerosene</v>
          </cell>
          <cell r="C30" t="str">
            <v>Industrial Kerosene</v>
          </cell>
          <cell r="D30">
            <v>189.54203000000001</v>
          </cell>
          <cell r="E30">
            <v>158.6369</v>
          </cell>
          <cell r="F30">
            <v>109.77154</v>
          </cell>
          <cell r="G30">
            <v>153.80850000000001</v>
          </cell>
          <cell r="H30">
            <v>376.10356999999999</v>
          </cell>
          <cell r="I30">
            <v>324.64078000000001</v>
          </cell>
          <cell r="J30">
            <v>330.07916</v>
          </cell>
          <cell r="K30">
            <v>231.98731000000001</v>
          </cell>
          <cell r="L30">
            <v>641.28817000000004</v>
          </cell>
          <cell r="M30">
            <v>205.25621000000001</v>
          </cell>
          <cell r="N30">
            <v>169.26814999999999</v>
          </cell>
          <cell r="O30">
            <v>420.67572999999999</v>
          </cell>
          <cell r="P30">
            <v>254.84348</v>
          </cell>
          <cell r="Q30">
            <v>146.82068000000001</v>
          </cell>
          <cell r="R30">
            <v>215.79453000000001</v>
          </cell>
          <cell r="S30">
            <v>404.70582999999999</v>
          </cell>
          <cell r="T30">
            <v>172.24553</v>
          </cell>
          <cell r="U30">
            <v>44.830820000000003</v>
          </cell>
          <cell r="V30">
            <v>28.339169999999999</v>
          </cell>
          <cell r="W30">
            <v>20.702760000000001</v>
          </cell>
          <cell r="X30">
            <v>19.288830000000001</v>
          </cell>
          <cell r="Y30">
            <v>0</v>
          </cell>
          <cell r="Z30">
            <v>0</v>
          </cell>
          <cell r="AA30">
            <v>0</v>
          </cell>
          <cell r="AB30">
            <v>0</v>
          </cell>
          <cell r="AC30">
            <v>0</v>
          </cell>
          <cell r="AD30">
            <v>0</v>
          </cell>
          <cell r="AE30">
            <v>0</v>
          </cell>
          <cell r="AF30">
            <v>0</v>
          </cell>
          <cell r="AG30">
            <v>0</v>
          </cell>
          <cell r="AH30">
            <v>0</v>
          </cell>
        </row>
        <row r="31">
          <cell r="A31" t="str">
            <v>MD Industrial LPG</v>
          </cell>
          <cell r="C31" t="str">
            <v>Industrial LPG</v>
          </cell>
          <cell r="D31">
            <v>2256.3242100000002</v>
          </cell>
          <cell r="E31">
            <v>1942.98946</v>
          </cell>
          <cell r="F31">
            <v>3313.8131899999998</v>
          </cell>
          <cell r="G31">
            <v>2525.1043300000001</v>
          </cell>
          <cell r="H31">
            <v>3781.1200899999999</v>
          </cell>
          <cell r="I31">
            <v>2504.0730800000001</v>
          </cell>
          <cell r="J31">
            <v>2723.9260300000001</v>
          </cell>
          <cell r="K31">
            <v>1472.6948600000001</v>
          </cell>
          <cell r="L31">
            <v>936.05517999999995</v>
          </cell>
          <cell r="M31">
            <v>625.24811999999997</v>
          </cell>
          <cell r="N31">
            <v>2643.8776400000002</v>
          </cell>
          <cell r="O31">
            <v>2243.5981400000001</v>
          </cell>
          <cell r="P31">
            <v>1317.4277300000001</v>
          </cell>
          <cell r="Q31">
            <v>2506.7094400000001</v>
          </cell>
          <cell r="R31">
            <v>1619.14285</v>
          </cell>
          <cell r="S31">
            <v>2797.85878</v>
          </cell>
          <cell r="T31">
            <v>3186.4293499999999</v>
          </cell>
          <cell r="U31">
            <v>2281.8047200000001</v>
          </cell>
          <cell r="V31">
            <v>1458.4278200000001</v>
          </cell>
          <cell r="W31">
            <v>1454.91005</v>
          </cell>
          <cell r="X31">
            <v>1617.2959599999999</v>
          </cell>
          <cell r="Y31">
            <v>0</v>
          </cell>
          <cell r="Z31">
            <v>0</v>
          </cell>
          <cell r="AA31">
            <v>0</v>
          </cell>
          <cell r="AB31">
            <v>0</v>
          </cell>
          <cell r="AC31">
            <v>0</v>
          </cell>
          <cell r="AD31">
            <v>0</v>
          </cell>
          <cell r="AE31">
            <v>0</v>
          </cell>
          <cell r="AF31">
            <v>0</v>
          </cell>
          <cell r="AG31">
            <v>0</v>
          </cell>
          <cell r="AH31">
            <v>0</v>
          </cell>
        </row>
        <row r="32">
          <cell r="A32" t="str">
            <v>MD Industrial Lubricants</v>
          </cell>
          <cell r="C32" t="str">
            <v>Industrial Lubricants</v>
          </cell>
          <cell r="D32">
            <v>2571.84942</v>
          </cell>
          <cell r="E32">
            <v>2300.8157299999998</v>
          </cell>
          <cell r="F32">
            <v>2345.7584099999999</v>
          </cell>
          <cell r="G32">
            <v>2388.59175</v>
          </cell>
          <cell r="H32">
            <v>2496.5574799999999</v>
          </cell>
          <cell r="I32">
            <v>2453.6811499999999</v>
          </cell>
          <cell r="J32">
            <v>2381.2734799999998</v>
          </cell>
          <cell r="K32">
            <v>2515.5419000000002</v>
          </cell>
          <cell r="L32">
            <v>2633.4088099999999</v>
          </cell>
          <cell r="M32">
            <v>2660.9599199999998</v>
          </cell>
          <cell r="N32">
            <v>2621.0539199999998</v>
          </cell>
          <cell r="O32">
            <v>2401.4632499999998</v>
          </cell>
          <cell r="P32">
            <v>2373.0512199999998</v>
          </cell>
          <cell r="Q32">
            <v>2193.8831700000001</v>
          </cell>
          <cell r="R32">
            <v>2222.5965799999999</v>
          </cell>
          <cell r="S32">
            <v>2211.01649</v>
          </cell>
          <cell r="T32">
            <v>2154.1493500000001</v>
          </cell>
          <cell r="U32">
            <v>2224.5337399999999</v>
          </cell>
          <cell r="V32">
            <v>2065.2110400000001</v>
          </cell>
          <cell r="W32">
            <v>1856.7699700000001</v>
          </cell>
          <cell r="X32">
            <v>2063.01557</v>
          </cell>
          <cell r="Y32">
            <v>0</v>
          </cell>
          <cell r="Z32">
            <v>0</v>
          </cell>
          <cell r="AA32">
            <v>0</v>
          </cell>
          <cell r="AB32">
            <v>0</v>
          </cell>
          <cell r="AC32">
            <v>0</v>
          </cell>
          <cell r="AD32">
            <v>0</v>
          </cell>
          <cell r="AE32">
            <v>0</v>
          </cell>
          <cell r="AF32">
            <v>0</v>
          </cell>
          <cell r="AG32">
            <v>0</v>
          </cell>
          <cell r="AH32">
            <v>0</v>
          </cell>
        </row>
        <row r="33">
          <cell r="A33" t="str">
            <v>MD Industrial Misc. Petro Products</v>
          </cell>
          <cell r="C33" t="str">
            <v>Industrial Misc. Petro Products</v>
          </cell>
          <cell r="D33">
            <v>495.67160000000001</v>
          </cell>
          <cell r="E33">
            <v>954.57209999999998</v>
          </cell>
          <cell r="F33">
            <v>625.82055000000003</v>
          </cell>
          <cell r="G33">
            <v>592.39802999999995</v>
          </cell>
          <cell r="H33">
            <v>662.03435999999999</v>
          </cell>
          <cell r="I33">
            <v>607.44177999999999</v>
          </cell>
          <cell r="J33">
            <v>568.71388999999999</v>
          </cell>
          <cell r="K33">
            <v>624.39688000000001</v>
          </cell>
          <cell r="L33">
            <v>760.05</v>
          </cell>
          <cell r="M33">
            <v>714.84461999999996</v>
          </cell>
          <cell r="N33">
            <v>761.45686000000001</v>
          </cell>
          <cell r="O33">
            <v>367.97187000000002</v>
          </cell>
          <cell r="P33">
            <v>395.29097000000002</v>
          </cell>
          <cell r="Q33">
            <v>371.06229999999999</v>
          </cell>
          <cell r="R33">
            <v>334.13024000000001</v>
          </cell>
          <cell r="S33">
            <v>332.26915000000002</v>
          </cell>
          <cell r="T33">
            <v>413.76159999999999</v>
          </cell>
          <cell r="U33">
            <v>405.98707999999999</v>
          </cell>
          <cell r="V33">
            <v>432.00805000000003</v>
          </cell>
          <cell r="W33">
            <v>461.80169000000001</v>
          </cell>
          <cell r="X33">
            <v>482.71012000000002</v>
          </cell>
          <cell r="Y33">
            <v>0</v>
          </cell>
          <cell r="Z33">
            <v>0</v>
          </cell>
          <cell r="AA33">
            <v>0</v>
          </cell>
          <cell r="AB33">
            <v>0</v>
          </cell>
          <cell r="AC33">
            <v>0</v>
          </cell>
          <cell r="AD33">
            <v>0</v>
          </cell>
          <cell r="AE33">
            <v>0</v>
          </cell>
          <cell r="AF33">
            <v>0</v>
          </cell>
          <cell r="AG33">
            <v>0</v>
          </cell>
          <cell r="AH33">
            <v>0</v>
          </cell>
        </row>
        <row r="34">
          <cell r="A34" t="str">
            <v>MD Industrial Motor Gasoline</v>
          </cell>
          <cell r="C34" t="str">
            <v>Industrial Motor Gasoline</v>
          </cell>
          <cell r="D34">
            <v>1558.66895</v>
          </cell>
          <cell r="E34">
            <v>1498.02727</v>
          </cell>
          <cell r="F34">
            <v>1446.35304</v>
          </cell>
          <cell r="G34">
            <v>1522.04015</v>
          </cell>
          <cell r="H34">
            <v>1536.2237500000001</v>
          </cell>
          <cell r="I34">
            <v>1710.25126</v>
          </cell>
          <cell r="J34">
            <v>1787.30385</v>
          </cell>
          <cell r="K34">
            <v>1891.7758900000001</v>
          </cell>
          <cell r="L34">
            <v>1529.48234</v>
          </cell>
          <cell r="M34">
            <v>1238.41319</v>
          </cell>
          <cell r="N34">
            <v>1305.3788400000001</v>
          </cell>
          <cell r="O34">
            <v>4102.1648000000005</v>
          </cell>
          <cell r="P34">
            <v>4435.3174399999998</v>
          </cell>
          <cell r="Q34">
            <v>4926.3570600000003</v>
          </cell>
          <cell r="R34">
            <v>5405.4590600000001</v>
          </cell>
          <cell r="S34">
            <v>5017.9894599999998</v>
          </cell>
          <cell r="T34">
            <v>5172.7202799999995</v>
          </cell>
          <cell r="U34">
            <v>5152.4712399999999</v>
          </cell>
          <cell r="V34">
            <v>4405.6795599999996</v>
          </cell>
          <cell r="W34">
            <v>4203.2527200000004</v>
          </cell>
          <cell r="X34">
            <v>5021.7202700000007</v>
          </cell>
          <cell r="Y34">
            <v>0</v>
          </cell>
          <cell r="Z34">
            <v>0</v>
          </cell>
          <cell r="AA34">
            <v>0</v>
          </cell>
          <cell r="AB34">
            <v>0</v>
          </cell>
          <cell r="AC34">
            <v>0</v>
          </cell>
          <cell r="AD34">
            <v>0</v>
          </cell>
          <cell r="AE34">
            <v>0</v>
          </cell>
          <cell r="AF34">
            <v>0</v>
          </cell>
          <cell r="AG34">
            <v>0</v>
          </cell>
          <cell r="AH34">
            <v>0</v>
          </cell>
        </row>
        <row r="35">
          <cell r="A35" t="str">
            <v>MD Industrial Motor Gasoline Blending Components</v>
          </cell>
          <cell r="C35" t="str">
            <v>Industrial Motor Gasoline Blending Components</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row>
        <row r="36">
          <cell r="A36" t="str">
            <v>MD Industrial Natural Gas</v>
          </cell>
          <cell r="C36" t="str">
            <v>Industrial Natural Gas</v>
          </cell>
          <cell r="D36">
            <v>63531.292800000003</v>
          </cell>
          <cell r="E36">
            <v>48328.75</v>
          </cell>
          <cell r="F36">
            <v>51057.965199999999</v>
          </cell>
          <cell r="G36">
            <v>50185.466990000001</v>
          </cell>
          <cell r="H36">
            <v>49131.363100000002</v>
          </cell>
          <cell r="I36">
            <v>50190.790800000002</v>
          </cell>
          <cell r="J36">
            <v>51473.57359</v>
          </cell>
          <cell r="K36">
            <v>68184.653229999996</v>
          </cell>
          <cell r="L36">
            <v>39950.384389999999</v>
          </cell>
          <cell r="M36">
            <v>38464.919690000002</v>
          </cell>
          <cell r="N36">
            <v>41384.117019999998</v>
          </cell>
          <cell r="O36">
            <v>28438.527290000002</v>
          </cell>
          <cell r="P36">
            <v>28169.75605</v>
          </cell>
          <cell r="Q36">
            <v>22658.891869999999</v>
          </cell>
          <cell r="R36">
            <v>24219.037400000001</v>
          </cell>
          <cell r="S36">
            <v>24911.486110000002</v>
          </cell>
          <cell r="T36">
            <v>23863.07893</v>
          </cell>
          <cell r="U36">
            <v>21170.72811</v>
          </cell>
          <cell r="V36">
            <v>21948.775860000002</v>
          </cell>
          <cell r="W36">
            <v>24784.704140000002</v>
          </cell>
          <cell r="X36">
            <v>23701.441620000001</v>
          </cell>
          <cell r="Y36">
            <v>0</v>
          </cell>
          <cell r="Z36">
            <v>0</v>
          </cell>
          <cell r="AA36">
            <v>0</v>
          </cell>
          <cell r="AB36">
            <v>0</v>
          </cell>
          <cell r="AC36">
            <v>0</v>
          </cell>
          <cell r="AD36">
            <v>0</v>
          </cell>
          <cell r="AE36">
            <v>0</v>
          </cell>
          <cell r="AF36">
            <v>0</v>
          </cell>
          <cell r="AG36">
            <v>0</v>
          </cell>
          <cell r="AH36">
            <v>0</v>
          </cell>
        </row>
        <row r="37">
          <cell r="A37" t="str">
            <v>MD Industrial Pentanes Plus</v>
          </cell>
          <cell r="C37" t="str">
            <v>Industrial Pentanes Plus</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row>
        <row r="38">
          <cell r="A38" t="str">
            <v>MD Industrial Petroleum Coke</v>
          </cell>
          <cell r="C38" t="str">
            <v>Industrial Petroleum Coke</v>
          </cell>
          <cell r="D38">
            <v>7486.9752099999996</v>
          </cell>
          <cell r="E38">
            <v>6547.4632499999998</v>
          </cell>
          <cell r="F38">
            <v>9479.4615200000007</v>
          </cell>
          <cell r="G38">
            <v>6842.7023799999997</v>
          </cell>
          <cell r="H38">
            <v>8469.2476200000001</v>
          </cell>
          <cell r="I38">
            <v>8012.3154199999999</v>
          </cell>
          <cell r="J38">
            <v>8441.2978899999998</v>
          </cell>
          <cell r="K38">
            <v>5878.0831799999996</v>
          </cell>
          <cell r="L38">
            <v>12302.783149999999</v>
          </cell>
          <cell r="M38">
            <v>13692.457</v>
          </cell>
          <cell r="N38">
            <v>9337.2746399999996</v>
          </cell>
          <cell r="O38">
            <v>19222.85008</v>
          </cell>
          <cell r="P38">
            <v>18809.726930000001</v>
          </cell>
          <cell r="Q38">
            <v>17981.869699999999</v>
          </cell>
          <cell r="R38">
            <v>26475.95421</v>
          </cell>
          <cell r="S38">
            <v>22082.687699999999</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row>
        <row r="39">
          <cell r="A39" t="str">
            <v>MD Industrial Residual Fuel</v>
          </cell>
          <cell r="C39" t="str">
            <v>Industrial Residual Fuel</v>
          </cell>
          <cell r="D39">
            <v>7692.4383500000004</v>
          </cell>
          <cell r="E39">
            <v>4856.18084</v>
          </cell>
          <cell r="F39">
            <v>6671.0891099999999</v>
          </cell>
          <cell r="G39">
            <v>7719.5119400000003</v>
          </cell>
          <cell r="H39">
            <v>7753.9435100000001</v>
          </cell>
          <cell r="I39">
            <v>4579.8430500000004</v>
          </cell>
          <cell r="J39">
            <v>8558.5003300000008</v>
          </cell>
          <cell r="K39">
            <v>5273.0445900000004</v>
          </cell>
          <cell r="L39">
            <v>3999.6090300000001</v>
          </cell>
          <cell r="M39">
            <v>3724.7357900000002</v>
          </cell>
          <cell r="N39">
            <v>3440.1688199999999</v>
          </cell>
          <cell r="O39">
            <v>3392.5002800000002</v>
          </cell>
          <cell r="P39">
            <v>2594.3786500000001</v>
          </cell>
          <cell r="Q39">
            <v>3727.18363</v>
          </cell>
          <cell r="R39">
            <v>4521.5460199999998</v>
          </cell>
          <cell r="S39">
            <v>5322.4043300000003</v>
          </cell>
          <cell r="T39">
            <v>4766.90751</v>
          </cell>
          <cell r="U39">
            <v>4111.4349499999998</v>
          </cell>
          <cell r="V39">
            <v>3348.3004099999998</v>
          </cell>
          <cell r="W39">
            <v>2115.5650599999999</v>
          </cell>
          <cell r="X39">
            <v>1373.2873300000001</v>
          </cell>
          <cell r="Y39">
            <v>0</v>
          </cell>
          <cell r="Z39">
            <v>0</v>
          </cell>
          <cell r="AA39">
            <v>0</v>
          </cell>
          <cell r="AB39">
            <v>0</v>
          </cell>
          <cell r="AC39">
            <v>0</v>
          </cell>
          <cell r="AD39">
            <v>0</v>
          </cell>
          <cell r="AE39">
            <v>0</v>
          </cell>
          <cell r="AF39">
            <v>0</v>
          </cell>
          <cell r="AG39">
            <v>0</v>
          </cell>
          <cell r="AH39">
            <v>0</v>
          </cell>
        </row>
        <row r="40">
          <cell r="A40" t="str">
            <v>MD Industrial Special Naphthas</v>
          </cell>
          <cell r="C40" t="str">
            <v>Industrial Special Naphthas</v>
          </cell>
          <cell r="D40">
            <v>3849.3220900000001</v>
          </cell>
          <cell r="E40">
            <v>2443.4615100000001</v>
          </cell>
          <cell r="F40">
            <v>2903.8512799999999</v>
          </cell>
          <cell r="G40">
            <v>2904.28854</v>
          </cell>
          <cell r="H40">
            <v>2250.7944600000001</v>
          </cell>
          <cell r="I40">
            <v>1966.7489800000001</v>
          </cell>
          <cell r="J40">
            <v>2719.8142600000001</v>
          </cell>
          <cell r="K40">
            <v>2636.7109700000001</v>
          </cell>
          <cell r="L40">
            <v>3914.08923</v>
          </cell>
          <cell r="M40">
            <v>5305.0164800000002</v>
          </cell>
          <cell r="N40">
            <v>3552.9536199999998</v>
          </cell>
          <cell r="O40">
            <v>2838.39093</v>
          </cell>
          <cell r="P40">
            <v>3702.8514100000002</v>
          </cell>
          <cell r="Q40">
            <v>2910.50837</v>
          </cell>
          <cell r="R40">
            <v>1845.63732</v>
          </cell>
          <cell r="S40">
            <v>2260.6922399999999</v>
          </cell>
          <cell r="T40">
            <v>1656.5207</v>
          </cell>
          <cell r="U40">
            <v>1845.4047800000001</v>
          </cell>
          <cell r="V40">
            <v>2007.3585800000001</v>
          </cell>
          <cell r="W40">
            <v>1091.85411</v>
          </cell>
          <cell r="X40">
            <v>617.28602999999998</v>
          </cell>
          <cell r="Y40">
            <v>0</v>
          </cell>
          <cell r="Z40">
            <v>0</v>
          </cell>
          <cell r="AA40">
            <v>0</v>
          </cell>
          <cell r="AB40">
            <v>0</v>
          </cell>
          <cell r="AC40">
            <v>0</v>
          </cell>
          <cell r="AD40">
            <v>0</v>
          </cell>
          <cell r="AE40">
            <v>0</v>
          </cell>
          <cell r="AF40">
            <v>0</v>
          </cell>
          <cell r="AG40">
            <v>0</v>
          </cell>
          <cell r="AH40">
            <v>0</v>
          </cell>
        </row>
        <row r="41">
          <cell r="A41" t="str">
            <v>MD Industrial Still Gas</v>
          </cell>
          <cell r="C41" t="str">
            <v>Industrial Still Gas</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row>
        <row r="42">
          <cell r="A42" t="str">
            <v>MD Industrial Unfinished Oils</v>
          </cell>
          <cell r="C42" t="str">
            <v>Industrial Unfinished Oils</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row>
        <row r="43">
          <cell r="A43" t="str">
            <v>MD Industrial Waxes</v>
          </cell>
          <cell r="C43" t="str">
            <v>Industrial Waxes</v>
          </cell>
          <cell r="D43">
            <v>3537.9691400000002</v>
          </cell>
          <cell r="E43">
            <v>414.94826</v>
          </cell>
          <cell r="F43">
            <v>440.13037000000003</v>
          </cell>
          <cell r="G43">
            <v>472.83438999999998</v>
          </cell>
          <cell r="H43">
            <v>479.44058000000001</v>
          </cell>
          <cell r="I43">
            <v>479.50596999999999</v>
          </cell>
          <cell r="J43">
            <v>507.49633999999998</v>
          </cell>
          <cell r="K43">
            <v>456.16347000000002</v>
          </cell>
          <cell r="L43">
            <v>441.84341000000001</v>
          </cell>
          <cell r="M43">
            <v>390.39510000000001</v>
          </cell>
          <cell r="N43">
            <v>345.00975</v>
          </cell>
          <cell r="O43">
            <v>346.43630000000002</v>
          </cell>
          <cell r="P43">
            <v>306.68822999999998</v>
          </cell>
          <cell r="Q43">
            <v>295.91987</v>
          </cell>
          <cell r="R43">
            <v>293.22778</v>
          </cell>
          <cell r="S43">
            <v>299.03426999999999</v>
          </cell>
          <cell r="T43">
            <v>184.23459</v>
          </cell>
          <cell r="U43">
            <v>154.23114000000001</v>
          </cell>
          <cell r="V43">
            <v>134.87911</v>
          </cell>
          <cell r="W43">
            <v>86.108819999999994</v>
          </cell>
          <cell r="X43">
            <v>120.36502</v>
          </cell>
          <cell r="Y43">
            <v>0</v>
          </cell>
          <cell r="Z43">
            <v>0</v>
          </cell>
          <cell r="AA43">
            <v>0</v>
          </cell>
          <cell r="AB43">
            <v>0</v>
          </cell>
          <cell r="AC43">
            <v>0</v>
          </cell>
          <cell r="AD43">
            <v>0</v>
          </cell>
          <cell r="AE43">
            <v>0</v>
          </cell>
          <cell r="AF43">
            <v>0</v>
          </cell>
          <cell r="AG43">
            <v>0</v>
          </cell>
          <cell r="AH43">
            <v>0</v>
          </cell>
        </row>
        <row r="44">
          <cell r="A44" t="str">
            <v>MD Industrial Wood</v>
          </cell>
          <cell r="C44" t="str">
            <v>Industrial Wood</v>
          </cell>
          <cell r="D44">
            <v>9631.6854299999995</v>
          </cell>
          <cell r="E44">
            <v>10112.909460000001</v>
          </cell>
          <cell r="F44">
            <v>9764.7757399999991</v>
          </cell>
          <cell r="G44">
            <v>9904.3936699999995</v>
          </cell>
          <cell r="H44">
            <v>10125.099329999999</v>
          </cell>
          <cell r="I44">
            <v>11012.92704</v>
          </cell>
          <cell r="J44">
            <v>12016.62398</v>
          </cell>
          <cell r="K44">
            <v>11605.34845</v>
          </cell>
          <cell r="L44">
            <v>10882.7037</v>
          </cell>
          <cell r="M44">
            <v>11523.848019999999</v>
          </cell>
          <cell r="N44">
            <v>11146.18147</v>
          </cell>
          <cell r="O44">
            <v>5559.6417499999998</v>
          </cell>
          <cell r="P44">
            <v>5649.59148</v>
          </cell>
          <cell r="Q44">
            <v>11367.4791</v>
          </cell>
          <cell r="R44">
            <v>11478.60014</v>
          </cell>
          <cell r="S44">
            <v>11593.70081</v>
          </cell>
          <cell r="T44">
            <v>9731.4758600000005</v>
          </cell>
          <cell r="U44">
            <v>9249.8470099999995</v>
          </cell>
          <cell r="V44">
            <v>9058.7178100000001</v>
          </cell>
          <cell r="W44">
            <v>8601.5462800000005</v>
          </cell>
          <cell r="X44">
            <v>8903.5489400000006</v>
          </cell>
          <cell r="Y44">
            <v>0</v>
          </cell>
          <cell r="Z44">
            <v>0</v>
          </cell>
          <cell r="AA44">
            <v>0</v>
          </cell>
          <cell r="AB44">
            <v>0</v>
          </cell>
          <cell r="AC44">
            <v>0</v>
          </cell>
          <cell r="AD44">
            <v>0</v>
          </cell>
          <cell r="AE44">
            <v>0</v>
          </cell>
          <cell r="AF44">
            <v>0</v>
          </cell>
          <cell r="AG44">
            <v>0</v>
          </cell>
          <cell r="AH44">
            <v>0</v>
          </cell>
        </row>
        <row r="45">
          <cell r="A45" t="str">
            <v>MD Industrial Other Coal</v>
          </cell>
          <cell r="C45" t="str">
            <v>Industrial Other Coal</v>
          </cell>
          <cell r="D45">
            <v>23743.24136</v>
          </cell>
          <cell r="E45">
            <v>26162.21056</v>
          </cell>
          <cell r="F45">
            <v>17802.26816</v>
          </cell>
          <cell r="G45">
            <v>18463.35183</v>
          </cell>
          <cell r="H45">
            <v>18752.12904</v>
          </cell>
          <cell r="I45">
            <v>19245.996800000001</v>
          </cell>
          <cell r="J45">
            <v>19736.807830000002</v>
          </cell>
          <cell r="K45">
            <v>19278.044190000001</v>
          </cell>
          <cell r="L45">
            <v>19246.184219999999</v>
          </cell>
          <cell r="M45">
            <v>19932.547610000001</v>
          </cell>
          <cell r="N45">
            <v>20319.753580000001</v>
          </cell>
          <cell r="O45">
            <v>33622.633470000001</v>
          </cell>
          <cell r="P45">
            <v>34051.12371</v>
          </cell>
          <cell r="Q45">
            <v>31837.155709999999</v>
          </cell>
          <cell r="R45">
            <v>34535.970860000001</v>
          </cell>
          <cell r="S45">
            <v>32977.960099999997</v>
          </cell>
          <cell r="T45">
            <v>30431.223549999999</v>
          </cell>
          <cell r="U45">
            <v>29880.435229999999</v>
          </cell>
          <cell r="V45">
            <v>28546.537759999999</v>
          </cell>
          <cell r="W45">
            <v>22156.88711</v>
          </cell>
          <cell r="X45">
            <v>22648.912120000001</v>
          </cell>
          <cell r="Y45">
            <v>0</v>
          </cell>
          <cell r="Z45">
            <v>0</v>
          </cell>
          <cell r="AA45">
            <v>0</v>
          </cell>
          <cell r="AB45">
            <v>0</v>
          </cell>
          <cell r="AC45">
            <v>0</v>
          </cell>
          <cell r="AD45">
            <v>0</v>
          </cell>
          <cell r="AE45">
            <v>0</v>
          </cell>
          <cell r="AF45">
            <v>0</v>
          </cell>
          <cell r="AG45">
            <v>0</v>
          </cell>
          <cell r="AH45">
            <v>0</v>
          </cell>
        </row>
        <row r="46">
          <cell r="A46" t="str">
            <v>MD Industrial Other</v>
          </cell>
          <cell r="C46" t="str">
            <v>Industrial Other</v>
          </cell>
        </row>
        <row r="47">
          <cell r="A47" t="str">
            <v>MD Residential Coal</v>
          </cell>
          <cell r="C47" t="str">
            <v>Residential Coal</v>
          </cell>
          <cell r="D47">
            <v>240.64397</v>
          </cell>
          <cell r="E47">
            <v>190.25262000000001</v>
          </cell>
          <cell r="F47">
            <v>60.170769999999997</v>
          </cell>
          <cell r="G47">
            <v>67.373019999999997</v>
          </cell>
          <cell r="H47">
            <v>136.38488000000001</v>
          </cell>
          <cell r="I47">
            <v>958.99364000000003</v>
          </cell>
          <cell r="J47">
            <v>123.42471</v>
          </cell>
          <cell r="K47">
            <v>152.12175999999999</v>
          </cell>
          <cell r="L47">
            <v>147.56771000000001</v>
          </cell>
          <cell r="M47">
            <v>139.90964</v>
          </cell>
          <cell r="N47">
            <v>230.43976000000001</v>
          </cell>
          <cell r="O47">
            <v>207.15872999999999</v>
          </cell>
          <cell r="P47">
            <v>9.1957799999999992</v>
          </cell>
          <cell r="Q47">
            <v>18.241489999999999</v>
          </cell>
          <cell r="R47">
            <v>138.81281000000001</v>
          </cell>
          <cell r="S47">
            <v>62.409089999999999</v>
          </cell>
          <cell r="T47">
            <v>94.086020000000005</v>
          </cell>
          <cell r="U47">
            <v>89.873109999999997</v>
          </cell>
          <cell r="V47">
            <v>89.98639</v>
          </cell>
          <cell r="W47">
            <v>77.459599999999995</v>
          </cell>
          <cell r="X47">
            <v>51.862780000000001</v>
          </cell>
          <cell r="Y47">
            <v>0</v>
          </cell>
          <cell r="Z47">
            <v>0</v>
          </cell>
          <cell r="AA47">
            <v>0</v>
          </cell>
          <cell r="AB47">
            <v>0</v>
          </cell>
          <cell r="AC47">
            <v>0</v>
          </cell>
          <cell r="AD47">
            <v>0</v>
          </cell>
          <cell r="AE47">
            <v>0</v>
          </cell>
          <cell r="AF47">
            <v>0</v>
          </cell>
          <cell r="AG47">
            <v>0</v>
          </cell>
          <cell r="AH47">
            <v>0</v>
          </cell>
        </row>
        <row r="48">
          <cell r="A48" t="str">
            <v>MD Residential Distillate Fuel</v>
          </cell>
          <cell r="C48" t="str">
            <v>Residential Distillate Fuel</v>
          </cell>
          <cell r="D48">
            <v>29649.087479999998</v>
          </cell>
          <cell r="E48">
            <v>28189.628959999998</v>
          </cell>
          <cell r="F48">
            <v>30190.834620000001</v>
          </cell>
          <cell r="G48">
            <v>32493.804810000001</v>
          </cell>
          <cell r="H48">
            <v>32299.935359999999</v>
          </cell>
          <cell r="I48">
            <v>28674.345850000002</v>
          </cell>
          <cell r="J48">
            <v>33851.374129999997</v>
          </cell>
          <cell r="K48">
            <v>29216.361799999999</v>
          </cell>
          <cell r="L48">
            <v>25128.42772</v>
          </cell>
          <cell r="M48">
            <v>27190.664290000001</v>
          </cell>
          <cell r="N48">
            <v>28341.447100000001</v>
          </cell>
          <cell r="O48">
            <v>27945.976839999999</v>
          </cell>
          <cell r="P48">
            <v>25630.678899999999</v>
          </cell>
          <cell r="Q48">
            <v>23992.756649999999</v>
          </cell>
          <cell r="R48">
            <v>23868.058430000001</v>
          </cell>
          <cell r="S48">
            <v>23861.273349999999</v>
          </cell>
          <cell r="T48">
            <v>19718.99265</v>
          </cell>
          <cell r="U48">
            <v>19519.793730000001</v>
          </cell>
          <cell r="V48">
            <v>17837.03371</v>
          </cell>
          <cell r="W48">
            <v>19696.983240000001</v>
          </cell>
          <cell r="X48">
            <v>20558.54017</v>
          </cell>
          <cell r="Y48">
            <v>0</v>
          </cell>
          <cell r="Z48">
            <v>0</v>
          </cell>
          <cell r="AA48">
            <v>0</v>
          </cell>
          <cell r="AB48">
            <v>0</v>
          </cell>
          <cell r="AC48">
            <v>0</v>
          </cell>
          <cell r="AD48">
            <v>0</v>
          </cell>
          <cell r="AE48">
            <v>0</v>
          </cell>
          <cell r="AF48">
            <v>0</v>
          </cell>
          <cell r="AG48">
            <v>0</v>
          </cell>
          <cell r="AH48">
            <v>0</v>
          </cell>
        </row>
        <row r="49">
          <cell r="A49" t="str">
            <v>MD Residential Kerosene</v>
          </cell>
          <cell r="C49" t="str">
            <v>Residential Kerosene</v>
          </cell>
          <cell r="D49">
            <v>2181.0834399999999</v>
          </cell>
          <cell r="E49">
            <v>2245.5455499999998</v>
          </cell>
          <cell r="F49">
            <v>1793.3596500000001</v>
          </cell>
          <cell r="G49">
            <v>2886.4646600000001</v>
          </cell>
          <cell r="H49">
            <v>2226.5214599999999</v>
          </cell>
          <cell r="I49">
            <v>3030.7764200000001</v>
          </cell>
          <cell r="J49">
            <v>3364.8235100000002</v>
          </cell>
          <cell r="K49">
            <v>3386.5176099999999</v>
          </cell>
          <cell r="L49">
            <v>4080.5350800000001</v>
          </cell>
          <cell r="M49">
            <v>2967.74116</v>
          </cell>
          <cell r="N49">
            <v>2864.77198</v>
          </cell>
          <cell r="O49">
            <v>2667.7822299999998</v>
          </cell>
          <cell r="P49">
            <v>1728.4333300000001</v>
          </cell>
          <cell r="Q49">
            <v>2292.0527099999999</v>
          </cell>
          <cell r="R49">
            <v>3118.5859599999999</v>
          </cell>
          <cell r="S49">
            <v>3499.4479099999999</v>
          </cell>
          <cell r="T49">
            <v>2477.4286499999998</v>
          </cell>
          <cell r="U49">
            <v>1275.5916400000001</v>
          </cell>
          <cell r="V49">
            <v>586.94780000000003</v>
          </cell>
          <cell r="W49">
            <v>662.64882</v>
          </cell>
          <cell r="X49">
            <v>829.33025999999995</v>
          </cell>
          <cell r="Y49">
            <v>0</v>
          </cell>
          <cell r="Z49">
            <v>0</v>
          </cell>
          <cell r="AA49">
            <v>0</v>
          </cell>
          <cell r="AB49">
            <v>0</v>
          </cell>
          <cell r="AC49">
            <v>0</v>
          </cell>
          <cell r="AD49">
            <v>0</v>
          </cell>
          <cell r="AE49">
            <v>0</v>
          </cell>
          <cell r="AF49">
            <v>0</v>
          </cell>
          <cell r="AG49">
            <v>0</v>
          </cell>
          <cell r="AH49">
            <v>0</v>
          </cell>
        </row>
        <row r="50">
          <cell r="A50" t="str">
            <v>MD Residential LPG</v>
          </cell>
          <cell r="C50" t="str">
            <v>Residential LPG</v>
          </cell>
          <cell r="D50">
            <v>3374.2395799999999</v>
          </cell>
          <cell r="E50">
            <v>3766.76208</v>
          </cell>
          <cell r="F50">
            <v>4233.1255099999998</v>
          </cell>
          <cell r="G50">
            <v>4352.85052</v>
          </cell>
          <cell r="H50">
            <v>4437.7863100000004</v>
          </cell>
          <cell r="I50">
            <v>5106.6166499999999</v>
          </cell>
          <cell r="J50">
            <v>5743.4785000000002</v>
          </cell>
          <cell r="K50">
            <v>6167.11499</v>
          </cell>
          <cell r="L50">
            <v>5624.3319199999996</v>
          </cell>
          <cell r="M50">
            <v>5150.2797300000002</v>
          </cell>
          <cell r="N50">
            <v>4172.8869199999999</v>
          </cell>
          <cell r="O50">
            <v>5018.9227799999999</v>
          </cell>
          <cell r="P50">
            <v>5227.4073099999996</v>
          </cell>
          <cell r="Q50">
            <v>7264.8395200000004</v>
          </cell>
          <cell r="R50">
            <v>6233.2207799999996</v>
          </cell>
          <cell r="S50">
            <v>6250.0492700000004</v>
          </cell>
          <cell r="T50">
            <v>5399.08331</v>
          </cell>
          <cell r="U50">
            <v>5976.8553700000002</v>
          </cell>
          <cell r="V50">
            <v>7115.6382599999997</v>
          </cell>
          <cell r="W50">
            <v>7545.7792200000004</v>
          </cell>
          <cell r="X50">
            <v>7761.84123</v>
          </cell>
          <cell r="Y50">
            <v>0</v>
          </cell>
          <cell r="Z50">
            <v>0</v>
          </cell>
          <cell r="AA50">
            <v>0</v>
          </cell>
          <cell r="AB50">
            <v>0</v>
          </cell>
          <cell r="AC50">
            <v>0</v>
          </cell>
          <cell r="AD50">
            <v>0</v>
          </cell>
          <cell r="AE50">
            <v>0</v>
          </cell>
          <cell r="AF50">
            <v>0</v>
          </cell>
          <cell r="AG50">
            <v>0</v>
          </cell>
          <cell r="AH50">
            <v>0</v>
          </cell>
        </row>
        <row r="51">
          <cell r="A51" t="str">
            <v>MD Residential Natural Gas</v>
          </cell>
          <cell r="C51" t="str">
            <v>Residential Natural Gas</v>
          </cell>
          <cell r="D51">
            <v>68234.330050000004</v>
          </cell>
          <cell r="E51">
            <v>70966.378280000004</v>
          </cell>
          <cell r="F51">
            <v>77143.910919999995</v>
          </cell>
          <cell r="G51">
            <v>78984.51053</v>
          </cell>
          <cell r="H51">
            <v>79002.390270000004</v>
          </cell>
          <cell r="I51">
            <v>78470.411569999997</v>
          </cell>
          <cell r="J51">
            <v>88009.010569999999</v>
          </cell>
          <cell r="K51">
            <v>80117.791830000002</v>
          </cell>
          <cell r="L51">
            <v>70560.896859999993</v>
          </cell>
          <cell r="M51">
            <v>77364.626459999999</v>
          </cell>
          <cell r="N51">
            <v>86845.02231</v>
          </cell>
          <cell r="O51">
            <v>73337.61606</v>
          </cell>
          <cell r="P51">
            <v>83029.875050000002</v>
          </cell>
          <cell r="Q51">
            <v>94116.380699999994</v>
          </cell>
          <cell r="R51">
            <v>89558.094039999996</v>
          </cell>
          <cell r="S51">
            <v>89880.001910000006</v>
          </cell>
          <cell r="T51">
            <v>73973.263739999995</v>
          </cell>
          <cell r="U51">
            <v>86556.768259999997</v>
          </cell>
          <cell r="V51">
            <v>84233.991599999994</v>
          </cell>
          <cell r="W51">
            <v>85667.067110000004</v>
          </cell>
          <cell r="X51">
            <v>85990.299100000004</v>
          </cell>
          <cell r="Y51">
            <v>0</v>
          </cell>
          <cell r="Z51">
            <v>0</v>
          </cell>
          <cell r="AA51">
            <v>0</v>
          </cell>
          <cell r="AB51">
            <v>0</v>
          </cell>
          <cell r="AC51">
            <v>0</v>
          </cell>
          <cell r="AD51">
            <v>0</v>
          </cell>
          <cell r="AE51">
            <v>0</v>
          </cell>
          <cell r="AF51">
            <v>0</v>
          </cell>
          <cell r="AG51">
            <v>0</v>
          </cell>
          <cell r="AH51">
            <v>0</v>
          </cell>
        </row>
        <row r="52">
          <cell r="A52" t="str">
            <v>MD Residential Wood</v>
          </cell>
          <cell r="C52" t="str">
            <v>Residential Wood</v>
          </cell>
          <cell r="D52">
            <v>7853.0889999999999</v>
          </cell>
          <cell r="E52">
            <v>8232.7124000000003</v>
          </cell>
          <cell r="F52">
            <v>8637.5998</v>
          </cell>
          <cell r="G52">
            <v>12388.0828</v>
          </cell>
          <cell r="H52">
            <v>11758.829400000001</v>
          </cell>
          <cell r="I52">
            <v>11758.829400000001</v>
          </cell>
          <cell r="J52">
            <v>12211.092000000001</v>
          </cell>
          <cell r="K52">
            <v>9151.6725999999999</v>
          </cell>
          <cell r="L52">
            <v>8132.5397999999996</v>
          </cell>
          <cell r="M52">
            <v>8346.5540000000001</v>
          </cell>
          <cell r="N52">
            <v>8988.5966000000008</v>
          </cell>
          <cell r="O52">
            <v>5800.7676000000001</v>
          </cell>
          <cell r="P52">
            <v>5888.1459999999997</v>
          </cell>
          <cell r="Q52">
            <v>6198.0483999999997</v>
          </cell>
          <cell r="R52">
            <v>6352.9996000000001</v>
          </cell>
          <cell r="S52">
            <v>4578.259</v>
          </cell>
          <cell r="T52">
            <v>4060.4717999999998</v>
          </cell>
          <cell r="U52">
            <v>4381.0353999999998</v>
          </cell>
          <cell r="V52">
            <v>4808.4535999999998</v>
          </cell>
          <cell r="W52">
            <v>4594.7446</v>
          </cell>
          <cell r="X52">
            <v>4487.8900000000003</v>
          </cell>
          <cell r="Y52">
            <v>0</v>
          </cell>
          <cell r="Z52">
            <v>0</v>
          </cell>
          <cell r="AA52">
            <v>0</v>
          </cell>
          <cell r="AB52">
            <v>0</v>
          </cell>
          <cell r="AC52">
            <v>0</v>
          </cell>
          <cell r="AD52">
            <v>0</v>
          </cell>
          <cell r="AE52">
            <v>0</v>
          </cell>
          <cell r="AF52">
            <v>0</v>
          </cell>
          <cell r="AG52">
            <v>0</v>
          </cell>
          <cell r="AH52">
            <v>0</v>
          </cell>
        </row>
        <row r="53">
          <cell r="A53" t="str">
            <v>MD Residential Other</v>
          </cell>
          <cell r="C53" t="str">
            <v>Residential Other</v>
          </cell>
        </row>
        <row r="54">
          <cell r="A54" t="str">
            <v>MD Transportation Aviation Gasoline</v>
          </cell>
          <cell r="C54" t="str">
            <v>Transportation Aviation Gasoline</v>
          </cell>
          <cell r="D54">
            <v>375.33541000000002</v>
          </cell>
          <cell r="E54">
            <v>379.39530999999999</v>
          </cell>
          <cell r="F54">
            <v>484.56736000000001</v>
          </cell>
          <cell r="G54">
            <v>513.00300000000004</v>
          </cell>
          <cell r="H54">
            <v>357.15499</v>
          </cell>
          <cell r="I54">
            <v>240.34517</v>
          </cell>
          <cell r="J54">
            <v>176.82548</v>
          </cell>
          <cell r="K54">
            <v>218.78273999999999</v>
          </cell>
          <cell r="L54">
            <v>281.26128</v>
          </cell>
          <cell r="M54">
            <v>196.25023999999999</v>
          </cell>
          <cell r="N54">
            <v>203.83662000000001</v>
          </cell>
          <cell r="O54">
            <v>528.73947999999996</v>
          </cell>
          <cell r="P54">
            <v>504.18157000000002</v>
          </cell>
          <cell r="Q54">
            <v>441.88385</v>
          </cell>
          <cell r="R54">
            <v>415.29048</v>
          </cell>
          <cell r="S54">
            <v>621.95731999999998</v>
          </cell>
          <cell r="T54">
            <v>544.44442000000004</v>
          </cell>
          <cell r="U54">
            <v>538.43012999999996</v>
          </cell>
          <cell r="V54">
            <v>405.68074999999999</v>
          </cell>
          <cell r="W54">
            <v>394.09120000000001</v>
          </cell>
          <cell r="X54">
            <v>216.91332</v>
          </cell>
          <cell r="Y54">
            <v>0</v>
          </cell>
          <cell r="Z54">
            <v>0</v>
          </cell>
          <cell r="AA54">
            <v>0</v>
          </cell>
          <cell r="AB54">
            <v>0</v>
          </cell>
          <cell r="AC54">
            <v>0</v>
          </cell>
          <cell r="AD54">
            <v>0</v>
          </cell>
          <cell r="AE54">
            <v>0</v>
          </cell>
          <cell r="AF54">
            <v>0</v>
          </cell>
          <cell r="AG54">
            <v>0</v>
          </cell>
          <cell r="AH54">
            <v>0</v>
          </cell>
        </row>
        <row r="55">
          <cell r="A55" t="str">
            <v>MD Transportation Distillate Fuel</v>
          </cell>
          <cell r="C55" t="str">
            <v>Transportation Distillate Fuel</v>
          </cell>
          <cell r="D55">
            <v>47129.08481</v>
          </cell>
          <cell r="E55">
            <v>51226.404900000001</v>
          </cell>
          <cell r="F55">
            <v>54880.816850000003</v>
          </cell>
          <cell r="G55">
            <v>53662.042439999997</v>
          </cell>
          <cell r="H55">
            <v>49554.27562</v>
          </cell>
          <cell r="I55">
            <v>50933.942770000001</v>
          </cell>
          <cell r="J55">
            <v>56734.303659999998</v>
          </cell>
          <cell r="K55">
            <v>56671.546799999996</v>
          </cell>
          <cell r="L55">
            <v>60415.999459999999</v>
          </cell>
          <cell r="M55">
            <v>69667.576730000001</v>
          </cell>
          <cell r="N55">
            <v>71345.426389999993</v>
          </cell>
          <cell r="O55">
            <v>72890.454169999997</v>
          </cell>
          <cell r="P55">
            <v>70505.829880000005</v>
          </cell>
          <cell r="Q55">
            <v>71856.469599999997</v>
          </cell>
          <cell r="R55">
            <v>78229.168260000006</v>
          </cell>
          <cell r="S55">
            <v>84520.01384</v>
          </cell>
          <cell r="T55">
            <v>86411.507719999994</v>
          </cell>
          <cell r="U55">
            <v>86521.199810000006</v>
          </cell>
          <cell r="V55">
            <v>79059.999599999996</v>
          </cell>
          <cell r="W55">
            <v>76354.889049999998</v>
          </cell>
          <cell r="X55">
            <v>80357.741450000001</v>
          </cell>
          <cell r="Y55">
            <v>0</v>
          </cell>
          <cell r="Z55">
            <v>0</v>
          </cell>
          <cell r="AA55">
            <v>0</v>
          </cell>
          <cell r="AB55">
            <v>0</v>
          </cell>
          <cell r="AC55">
            <v>0</v>
          </cell>
          <cell r="AD55">
            <v>0</v>
          </cell>
          <cell r="AE55">
            <v>0</v>
          </cell>
          <cell r="AF55">
            <v>0</v>
          </cell>
          <cell r="AG55">
            <v>0</v>
          </cell>
          <cell r="AH55">
            <v>0</v>
          </cell>
        </row>
        <row r="56">
          <cell r="A56" t="str">
            <v>MD Transportation Ethanol</v>
          </cell>
          <cell r="C56" t="str">
            <v>Transportation Ethanol</v>
          </cell>
          <cell r="D56">
            <v>0</v>
          </cell>
          <cell r="E56">
            <v>0</v>
          </cell>
          <cell r="F56">
            <v>0</v>
          </cell>
          <cell r="G56">
            <v>0</v>
          </cell>
          <cell r="H56">
            <v>0</v>
          </cell>
          <cell r="I56">
            <v>270.42379</v>
          </cell>
          <cell r="J56">
            <v>228.03501</v>
          </cell>
          <cell r="K56">
            <v>259.88189999999997</v>
          </cell>
          <cell r="L56">
            <v>214.6593</v>
          </cell>
          <cell r="M56">
            <v>218.31347</v>
          </cell>
          <cell r="N56">
            <v>243.18382</v>
          </cell>
          <cell r="O56">
            <v>25.81305</v>
          </cell>
          <cell r="P56">
            <v>3091.23731</v>
          </cell>
          <cell r="Q56">
            <v>19.790489999999998</v>
          </cell>
          <cell r="R56">
            <v>24.589449999999999</v>
          </cell>
          <cell r="S56">
            <v>4940.4853199999998</v>
          </cell>
          <cell r="T56">
            <v>13869.38911</v>
          </cell>
          <cell r="U56">
            <v>17349.908879999999</v>
          </cell>
          <cell r="V56">
            <v>15572.815339999999</v>
          </cell>
          <cell r="W56">
            <v>18405.734120000001</v>
          </cell>
          <cell r="X56">
            <v>19791.539150000001</v>
          </cell>
          <cell r="Y56">
            <v>0</v>
          </cell>
          <cell r="Z56">
            <v>0</v>
          </cell>
          <cell r="AA56">
            <v>0</v>
          </cell>
          <cell r="AB56">
            <v>0</v>
          </cell>
          <cell r="AC56">
            <v>0</v>
          </cell>
          <cell r="AD56">
            <v>0</v>
          </cell>
          <cell r="AE56">
            <v>0</v>
          </cell>
          <cell r="AF56">
            <v>0</v>
          </cell>
          <cell r="AG56">
            <v>0</v>
          </cell>
          <cell r="AH56">
            <v>0</v>
          </cell>
        </row>
        <row r="57">
          <cell r="A57" t="str">
            <v>MD Transportation Jet Fuel, Kerosene</v>
          </cell>
          <cell r="C57" t="str">
            <v>Transportation Jet Fuel, Kerosene</v>
          </cell>
          <cell r="D57">
            <v>14705.96732</v>
          </cell>
          <cell r="E57">
            <v>13427.213519999999</v>
          </cell>
          <cell r="F57">
            <v>12857.38278</v>
          </cell>
          <cell r="G57">
            <v>13259.128129999999</v>
          </cell>
          <cell r="H57">
            <v>17254.027330000001</v>
          </cell>
          <cell r="I57">
            <v>19422.52348</v>
          </cell>
          <cell r="J57">
            <v>22089.74467</v>
          </cell>
          <cell r="K57">
            <v>23231.159609999999</v>
          </cell>
          <cell r="L57">
            <v>22246.542389999999</v>
          </cell>
          <cell r="M57">
            <v>22326.454290000001</v>
          </cell>
          <cell r="N57">
            <v>23291.798269999999</v>
          </cell>
          <cell r="O57">
            <v>16605.724289999998</v>
          </cell>
          <cell r="P57">
            <v>9738.5982000000004</v>
          </cell>
          <cell r="Q57">
            <v>13284.66167</v>
          </cell>
          <cell r="R57">
            <v>17801.20609</v>
          </cell>
          <cell r="S57">
            <v>24733.950410000001</v>
          </cell>
          <cell r="T57">
            <v>23496.60151</v>
          </cell>
          <cell r="U57">
            <v>19969.900799999999</v>
          </cell>
          <cell r="V57">
            <v>21748.75892</v>
          </cell>
          <cell r="W57">
            <v>18957.02334</v>
          </cell>
          <cell r="X57">
            <v>16725.410909999999</v>
          </cell>
          <cell r="Y57">
            <v>0</v>
          </cell>
          <cell r="Z57">
            <v>0</v>
          </cell>
          <cell r="AA57">
            <v>0</v>
          </cell>
          <cell r="AB57">
            <v>0</v>
          </cell>
          <cell r="AC57">
            <v>0</v>
          </cell>
          <cell r="AD57">
            <v>0</v>
          </cell>
          <cell r="AE57">
            <v>0</v>
          </cell>
          <cell r="AF57">
            <v>0</v>
          </cell>
          <cell r="AG57">
            <v>0</v>
          </cell>
          <cell r="AH57">
            <v>0</v>
          </cell>
        </row>
        <row r="58">
          <cell r="A58" t="str">
            <v>MD Transportation Jet Fuel, Naphtha</v>
          </cell>
          <cell r="C58" t="str">
            <v>Transportation Jet Fuel, Naphtha</v>
          </cell>
          <cell r="D58">
            <v>5587.2743</v>
          </cell>
          <cell r="E58">
            <v>4955.4020799999998</v>
          </cell>
          <cell r="F58">
            <v>4246.7896000000001</v>
          </cell>
          <cell r="G58">
            <v>3543.3494099999998</v>
          </cell>
          <cell r="H58">
            <v>993.77822000000003</v>
          </cell>
          <cell r="I58">
            <v>24.120100000000001</v>
          </cell>
          <cell r="J58">
            <v>6.0327299999999999</v>
          </cell>
          <cell r="K58">
            <v>2.0643500000000001</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row>
        <row r="59">
          <cell r="A59" t="str">
            <v>MD Transportation LPG</v>
          </cell>
          <cell r="C59" t="str">
            <v>Transportation LPG</v>
          </cell>
          <cell r="D59">
            <v>197.74822</v>
          </cell>
          <cell r="E59">
            <v>162.1163</v>
          </cell>
          <cell r="F59">
            <v>388.04293000000001</v>
          </cell>
          <cell r="G59">
            <v>439.41131000000001</v>
          </cell>
          <cell r="H59">
            <v>370.95542999999998</v>
          </cell>
          <cell r="I59">
            <v>184.80233000000001</v>
          </cell>
          <cell r="J59">
            <v>186.96714</v>
          </cell>
          <cell r="K59">
            <v>391.86293999999998</v>
          </cell>
          <cell r="L59">
            <v>48.447949999999999</v>
          </cell>
          <cell r="M59">
            <v>47.576830000000001</v>
          </cell>
          <cell r="N59">
            <v>290.70792</v>
          </cell>
          <cell r="O59">
            <v>26.571819999999999</v>
          </cell>
          <cell r="P59">
            <v>44.886569999999999</v>
          </cell>
          <cell r="Q59">
            <v>113.40927000000001</v>
          </cell>
          <cell r="R59">
            <v>130.46213</v>
          </cell>
          <cell r="S59">
            <v>176.36474000000001</v>
          </cell>
          <cell r="T59">
            <v>167.33929000000001</v>
          </cell>
          <cell r="U59">
            <v>156.27945</v>
          </cell>
          <cell r="V59">
            <v>290.80774000000002</v>
          </cell>
          <cell r="W59">
            <v>216.03896</v>
          </cell>
          <cell r="X59">
            <v>308.03598</v>
          </cell>
          <cell r="Y59">
            <v>0</v>
          </cell>
          <cell r="Z59">
            <v>0</v>
          </cell>
          <cell r="AA59">
            <v>0</v>
          </cell>
          <cell r="AB59">
            <v>0</v>
          </cell>
          <cell r="AC59">
            <v>0</v>
          </cell>
          <cell r="AD59">
            <v>0</v>
          </cell>
          <cell r="AE59">
            <v>0</v>
          </cell>
          <cell r="AF59">
            <v>0</v>
          </cell>
          <cell r="AG59">
            <v>0</v>
          </cell>
          <cell r="AH59">
            <v>0</v>
          </cell>
        </row>
        <row r="60">
          <cell r="A60" t="str">
            <v>MD Transportation Lubricants</v>
          </cell>
          <cell r="C60" t="str">
            <v>Transportation Lubricants</v>
          </cell>
          <cell r="D60">
            <v>1926.10366</v>
          </cell>
          <cell r="E60">
            <v>1723.12175</v>
          </cell>
          <cell r="F60">
            <v>1756.7801400000001</v>
          </cell>
          <cell r="G60">
            <v>1788.85877</v>
          </cell>
          <cell r="H60">
            <v>1869.7162599999999</v>
          </cell>
          <cell r="I60">
            <v>1837.60536</v>
          </cell>
          <cell r="J60">
            <v>1783.3780099999999</v>
          </cell>
          <cell r="K60">
            <v>1883.9340099999999</v>
          </cell>
          <cell r="L60">
            <v>1972.2066299999999</v>
          </cell>
          <cell r="M60">
            <v>1992.84007</v>
          </cell>
          <cell r="N60">
            <v>1962.95381</v>
          </cell>
          <cell r="O60">
            <v>1798.49848</v>
          </cell>
          <cell r="P60">
            <v>1777.2201600000001</v>
          </cell>
          <cell r="Q60">
            <v>1643.0380399999999</v>
          </cell>
          <cell r="R60">
            <v>1664.54198</v>
          </cell>
          <cell r="S60">
            <v>1655.8694499999999</v>
          </cell>
          <cell r="T60">
            <v>1613.2806599999999</v>
          </cell>
          <cell r="U60">
            <v>1665.99279</v>
          </cell>
          <cell r="V60">
            <v>1546.67319</v>
          </cell>
          <cell r="W60">
            <v>1390.56798</v>
          </cell>
          <cell r="X60">
            <v>1545.0289700000001</v>
          </cell>
          <cell r="Y60">
            <v>0</v>
          </cell>
          <cell r="Z60">
            <v>0</v>
          </cell>
          <cell r="AA60">
            <v>0</v>
          </cell>
          <cell r="AB60">
            <v>0</v>
          </cell>
          <cell r="AC60">
            <v>0</v>
          </cell>
          <cell r="AD60">
            <v>0</v>
          </cell>
          <cell r="AE60">
            <v>0</v>
          </cell>
          <cell r="AF60">
            <v>0</v>
          </cell>
          <cell r="AG60">
            <v>0</v>
          </cell>
          <cell r="AH60">
            <v>0</v>
          </cell>
        </row>
        <row r="61">
          <cell r="A61" t="str">
            <v>MD Transportation Motor Gasoline</v>
          </cell>
          <cell r="C61" t="str">
            <v>Transportation Motor Gasoline</v>
          </cell>
          <cell r="D61">
            <v>246295.91011</v>
          </cell>
          <cell r="E61">
            <v>252379.90372</v>
          </cell>
          <cell r="F61">
            <v>255638.99462000001</v>
          </cell>
          <cell r="G61">
            <v>258874.83484</v>
          </cell>
          <cell r="H61">
            <v>263456.6078</v>
          </cell>
          <cell r="I61">
            <v>266296.39801</v>
          </cell>
          <cell r="J61">
            <v>268007.13185000001</v>
          </cell>
          <cell r="K61">
            <v>277069.21393000003</v>
          </cell>
          <cell r="L61">
            <v>282588.03565999999</v>
          </cell>
          <cell r="M61">
            <v>294813.35496999999</v>
          </cell>
          <cell r="N61">
            <v>295634.44856000005</v>
          </cell>
          <cell r="O61">
            <v>304459.52645</v>
          </cell>
          <cell r="P61">
            <v>307056.28594000003</v>
          </cell>
          <cell r="Q61">
            <v>317237.19576999999</v>
          </cell>
          <cell r="R61">
            <v>326144.45539999998</v>
          </cell>
          <cell r="S61">
            <v>326630.26040000003</v>
          </cell>
          <cell r="T61">
            <v>323237.94066000002</v>
          </cell>
          <cell r="U61">
            <v>322870.78856999998</v>
          </cell>
          <cell r="V61">
            <v>319722.75407000002</v>
          </cell>
          <cell r="W61">
            <v>337885.63417000003</v>
          </cell>
          <cell r="X61">
            <v>309555.05889999995</v>
          </cell>
          <cell r="Y61">
            <v>0</v>
          </cell>
          <cell r="Z61">
            <v>0</v>
          </cell>
          <cell r="AA61">
            <v>0</v>
          </cell>
          <cell r="AB61">
            <v>0</v>
          </cell>
          <cell r="AC61">
            <v>0</v>
          </cell>
          <cell r="AD61">
            <v>0</v>
          </cell>
          <cell r="AE61">
            <v>0</v>
          </cell>
          <cell r="AF61">
            <v>0</v>
          </cell>
          <cell r="AG61">
            <v>0</v>
          </cell>
          <cell r="AH61">
            <v>0</v>
          </cell>
        </row>
        <row r="62">
          <cell r="A62" t="str">
            <v>MD Transportation Natural Gas</v>
          </cell>
          <cell r="C62" t="str">
            <v>Transportation Natural Gas</v>
          </cell>
          <cell r="D62">
            <v>2468.3616000000002</v>
          </cell>
          <cell r="E62">
            <v>2581.9749999999999</v>
          </cell>
          <cell r="F62">
            <v>2484.0952900000002</v>
          </cell>
          <cell r="G62">
            <v>2533.5281500000001</v>
          </cell>
          <cell r="H62">
            <v>2590.0953599999998</v>
          </cell>
          <cell r="I62">
            <v>2953.9855499999999</v>
          </cell>
          <cell r="J62">
            <v>2775.8977599999998</v>
          </cell>
          <cell r="K62">
            <v>3310.6727000000001</v>
          </cell>
          <cell r="L62">
            <v>3201.7087700000002</v>
          </cell>
          <cell r="M62">
            <v>3469.2578199999998</v>
          </cell>
          <cell r="N62">
            <v>3514.15852</v>
          </cell>
          <cell r="O62">
            <v>3061.5269400000002</v>
          </cell>
          <cell r="P62">
            <v>2797.3560400000001</v>
          </cell>
          <cell r="Q62">
            <v>3087.3133400000002</v>
          </cell>
          <cell r="R62">
            <v>2843.0700900000002</v>
          </cell>
          <cell r="S62">
            <v>2905.8454000000002</v>
          </cell>
          <cell r="T62">
            <v>3355.3583600000002</v>
          </cell>
          <cell r="U62">
            <v>3373.3217</v>
          </cell>
          <cell r="V62">
            <v>3543.4722999999999</v>
          </cell>
          <cell r="W62">
            <v>2824.87203</v>
          </cell>
          <cell r="X62">
            <v>3083.4646200000002</v>
          </cell>
          <cell r="Y62">
            <v>0</v>
          </cell>
          <cell r="Z62">
            <v>0</v>
          </cell>
          <cell r="AA62">
            <v>0</v>
          </cell>
          <cell r="AB62">
            <v>0</v>
          </cell>
          <cell r="AC62">
            <v>0</v>
          </cell>
          <cell r="AD62">
            <v>0</v>
          </cell>
          <cell r="AE62">
            <v>0</v>
          </cell>
          <cell r="AF62">
            <v>0</v>
          </cell>
          <cell r="AG62">
            <v>0</v>
          </cell>
          <cell r="AH62">
            <v>0</v>
          </cell>
        </row>
        <row r="63">
          <cell r="A63" t="str">
            <v>MD Transportation Residual Fuel</v>
          </cell>
          <cell r="C63" t="str">
            <v>Transportation Residual Fuel</v>
          </cell>
          <cell r="D63">
            <v>11473.223690000001</v>
          </cell>
          <cell r="E63">
            <v>8580.5411700000004</v>
          </cell>
          <cell r="F63">
            <v>10142.795599999999</v>
          </cell>
          <cell r="G63">
            <v>8011.8262500000001</v>
          </cell>
          <cell r="H63">
            <v>6121.6059400000004</v>
          </cell>
          <cell r="I63">
            <v>5854.0822099999996</v>
          </cell>
          <cell r="J63">
            <v>4749.6657299999997</v>
          </cell>
          <cell r="K63">
            <v>4550.7454299999999</v>
          </cell>
          <cell r="L63">
            <v>7173.8476099999998</v>
          </cell>
          <cell r="M63">
            <v>6143.0194000000001</v>
          </cell>
          <cell r="N63">
            <v>4945.5445099999997</v>
          </cell>
          <cell r="O63">
            <v>3851.1458600000001</v>
          </cell>
          <cell r="P63">
            <v>4363.5527099999999</v>
          </cell>
          <cell r="Q63">
            <v>2541.90508</v>
          </cell>
          <cell r="R63">
            <v>7826.7143999999998</v>
          </cell>
          <cell r="S63">
            <v>7292.6821</v>
          </cell>
          <cell r="T63">
            <v>7679.4170299999996</v>
          </cell>
          <cell r="U63">
            <v>4591.6702100000002</v>
          </cell>
          <cell r="V63">
            <v>4933.4321600000003</v>
          </cell>
          <cell r="W63">
            <v>2766.5539899999999</v>
          </cell>
          <cell r="X63">
            <v>5484.8663200000001</v>
          </cell>
          <cell r="Y63">
            <v>0</v>
          </cell>
          <cell r="Z63">
            <v>0</v>
          </cell>
          <cell r="AA63">
            <v>0</v>
          </cell>
          <cell r="AB63">
            <v>0</v>
          </cell>
          <cell r="AC63">
            <v>0</v>
          </cell>
          <cell r="AD63">
            <v>0</v>
          </cell>
          <cell r="AE63">
            <v>0</v>
          </cell>
          <cell r="AF63">
            <v>0</v>
          </cell>
          <cell r="AG63">
            <v>0</v>
          </cell>
          <cell r="AH63">
            <v>0</v>
          </cell>
        </row>
        <row r="64">
          <cell r="A64" t="str">
            <v>MD Transportation Other</v>
          </cell>
          <cell r="C64" t="str">
            <v>Transportation Other</v>
          </cell>
        </row>
        <row r="65">
          <cell r="A65" t="str">
            <v>MD Bunker Fuels Distillate Fuel</v>
          </cell>
          <cell r="C65" t="str">
            <v>Bunker Fuels Distillate Fuel</v>
          </cell>
          <cell r="D65">
            <v>0</v>
          </cell>
          <cell r="E65">
            <v>4.2140943600000007</v>
          </cell>
          <cell r="F65">
            <v>4.7644198979999999</v>
          </cell>
          <cell r="G65">
            <v>6.4329892200000005</v>
          </cell>
          <cell r="H65">
            <v>5.0568549779999996</v>
          </cell>
          <cell r="I65">
            <v>6.0888245879999996</v>
          </cell>
          <cell r="J65">
            <v>7.43990961</v>
          </cell>
          <cell r="K65">
            <v>8.7190509419999991</v>
          </cell>
          <cell r="L65">
            <v>6.9196431359999995</v>
          </cell>
          <cell r="M65">
            <v>3.7087409099999999</v>
          </cell>
          <cell r="N65">
            <v>1.6512678839999999</v>
          </cell>
          <cell r="O65">
            <v>0.24099679799999998</v>
          </cell>
          <cell r="P65">
            <v>0</v>
          </cell>
          <cell r="Q65">
            <v>0.51461583600000005</v>
          </cell>
          <cell r="R65">
            <v>0.83396426400000001</v>
          </cell>
          <cell r="S65">
            <v>0</v>
          </cell>
          <cell r="T65">
            <v>3.4633750619999999</v>
          </cell>
          <cell r="U65">
            <v>2.8063281959999999</v>
          </cell>
          <cell r="V65">
            <v>2.5607293320000002</v>
          </cell>
          <cell r="W65">
            <v>11.353063806</v>
          </cell>
          <cell r="X65">
            <v>18.226103741999999</v>
          </cell>
          <cell r="Y65">
            <v>0</v>
          </cell>
          <cell r="Z65">
            <v>0</v>
          </cell>
          <cell r="AA65">
            <v>0</v>
          </cell>
          <cell r="AB65">
            <v>0</v>
          </cell>
          <cell r="AC65">
            <v>0</v>
          </cell>
          <cell r="AD65">
            <v>0</v>
          </cell>
          <cell r="AE65">
            <v>0</v>
          </cell>
          <cell r="AF65">
            <v>0</v>
          </cell>
          <cell r="AG65">
            <v>0</v>
          </cell>
          <cell r="AH65">
            <v>0</v>
          </cell>
        </row>
        <row r="66">
          <cell r="A66" t="str">
            <v>MD Bunker Fuels Residual Fuel</v>
          </cell>
          <cell r="C66" t="str">
            <v>Bunker Fuels Residual Fuel</v>
          </cell>
          <cell r="D66">
            <v>0</v>
          </cell>
          <cell r="E66">
            <v>38.172502997999999</v>
          </cell>
          <cell r="F66">
            <v>33.143526108000003</v>
          </cell>
          <cell r="G66">
            <v>19.214671643999999</v>
          </cell>
          <cell r="H66">
            <v>24.745823172000005</v>
          </cell>
          <cell r="I66">
            <v>28.124106066</v>
          </cell>
          <cell r="J66">
            <v>27.523973736000002</v>
          </cell>
          <cell r="K66">
            <v>63.016283862000009</v>
          </cell>
          <cell r="L66">
            <v>56.038778837999999</v>
          </cell>
          <cell r="M66">
            <v>32.762635416000002</v>
          </cell>
          <cell r="N66">
            <v>23.403966264000001</v>
          </cell>
          <cell r="O66">
            <v>7.4539013220000001</v>
          </cell>
          <cell r="P66">
            <v>0</v>
          </cell>
          <cell r="Q66">
            <v>0.96241231800000004</v>
          </cell>
          <cell r="R66">
            <v>1.117711098</v>
          </cell>
          <cell r="S66">
            <v>0</v>
          </cell>
          <cell r="T66">
            <v>0.76888614600000016</v>
          </cell>
          <cell r="U66">
            <v>0.20572372800000002</v>
          </cell>
          <cell r="V66">
            <v>2.2005899999999998E-2</v>
          </cell>
          <cell r="W66">
            <v>6.9161400000000003E-3</v>
          </cell>
          <cell r="X66">
            <v>5.7844080000000006E-2</v>
          </cell>
          <cell r="Y66">
            <v>0</v>
          </cell>
          <cell r="Z66">
            <v>0</v>
          </cell>
          <cell r="AA66">
            <v>0</v>
          </cell>
          <cell r="AB66">
            <v>0</v>
          </cell>
          <cell r="AC66">
            <v>0</v>
          </cell>
          <cell r="AD66">
            <v>0</v>
          </cell>
          <cell r="AE66">
            <v>0</v>
          </cell>
          <cell r="AF66">
            <v>0</v>
          </cell>
          <cell r="AG66">
            <v>0</v>
          </cell>
          <cell r="AH66">
            <v>0</v>
          </cell>
        </row>
        <row r="67">
          <cell r="A67" t="str">
            <v>MD Bunker Fuels Jet Fuel, Kerosene</v>
          </cell>
          <cell r="C67" t="str">
            <v>Bunker Fuels Jet Fuel, Kerosene</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row>
      </sheetData>
      <sheetData sheetId="2"/>
      <sheetData sheetId="3"/>
      <sheetData sheetId="4"/>
      <sheetData sheetId="5"/>
      <sheetData sheetId="6"/>
      <sheetData sheetId="7"/>
      <sheetData sheetId="8"/>
      <sheetData sheetId="9"/>
      <sheetData sheetId="10"/>
      <sheetData sheetId="11"/>
      <sheetData sheetId="12"/>
      <sheetData sheetId="13"/>
      <sheetData sheetId="14">
        <row r="63">
          <cell r="A63" t="str">
            <v>Industrial Sector</v>
          </cell>
        </row>
        <row r="64">
          <cell r="A64" t="str">
            <v>Coking Coal</v>
          </cell>
          <cell r="B64">
            <v>0</v>
          </cell>
          <cell r="C64">
            <v>0</v>
          </cell>
          <cell r="D64">
            <v>0</v>
          </cell>
          <cell r="E64">
            <v>1</v>
          </cell>
          <cell r="F64">
            <v>1</v>
          </cell>
          <cell r="G64">
            <v>1</v>
          </cell>
          <cell r="H64">
            <v>1</v>
          </cell>
          <cell r="I64">
            <v>0</v>
          </cell>
          <cell r="J64">
            <v>1</v>
          </cell>
          <cell r="K64">
            <v>1</v>
          </cell>
          <cell r="L64">
            <v>1</v>
          </cell>
          <cell r="M64">
            <v>1</v>
          </cell>
          <cell r="N64">
            <v>1</v>
          </cell>
          <cell r="O64">
            <v>1</v>
          </cell>
          <cell r="P64">
            <v>1</v>
          </cell>
          <cell r="Q64">
            <v>1</v>
          </cell>
          <cell r="R64">
            <v>1</v>
          </cell>
          <cell r="S64">
            <v>1</v>
          </cell>
          <cell r="T64">
            <v>1</v>
          </cell>
          <cell r="U64">
            <v>1</v>
          </cell>
          <cell r="V64">
            <v>1</v>
          </cell>
        </row>
        <row r="65">
          <cell r="A65" t="str">
            <v>Other Coal</v>
          </cell>
          <cell r="B65">
            <v>4.982292725225242E-3</v>
          </cell>
          <cell r="C65">
            <v>5.2717916963045848E-3</v>
          </cell>
          <cell r="D65">
            <v>6.1001266988702568E-3</v>
          </cell>
          <cell r="E65">
            <v>6.2526098796064104E-3</v>
          </cell>
          <cell r="F65">
            <v>6.8008296910005515E-3</v>
          </cell>
          <cell r="G65">
            <v>7.3428488318609915E-3</v>
          </cell>
          <cell r="H65">
            <v>7.800006887885738E-3</v>
          </cell>
          <cell r="I65">
            <v>7.5964275894458378E-3</v>
          </cell>
          <cell r="J65">
            <v>7.0400433856277738E-3</v>
          </cell>
          <cell r="K65">
            <v>8.0215540808911152E-3</v>
          </cell>
          <cell r="L65">
            <v>9.0991208621943234E-3</v>
          </cell>
          <cell r="M65">
            <v>8.246099290488057E-3</v>
          </cell>
          <cell r="N65">
            <v>9.5913984514642472E-3</v>
          </cell>
          <cell r="O65">
            <v>9.4444334436061678E-3</v>
          </cell>
          <cell r="P65">
            <v>9.346274254511568E-3</v>
          </cell>
          <cell r="Q65">
            <v>9.671780325519486E-3</v>
          </cell>
          <cell r="R65">
            <v>9.9165073163107065E-3</v>
          </cell>
          <cell r="S65">
            <v>1.041948363806813E-2</v>
          </cell>
          <cell r="T65">
            <v>1.0865965176989078E-2</v>
          </cell>
          <cell r="U65">
            <v>1.3342891944305954E-2</v>
          </cell>
          <cell r="V65">
            <v>1.0068939588109451E-2</v>
          </cell>
        </row>
        <row r="66">
          <cell r="A66" t="str">
            <v>Natural Gas</v>
          </cell>
          <cell r="B66">
            <v>3.2866751634411315E-2</v>
          </cell>
          <cell r="C66">
            <v>3.3941225898863253E-2</v>
          </cell>
          <cell r="D66">
            <v>3.4558124914442899E-2</v>
          </cell>
          <cell r="E66">
            <v>3.4603334241561583E-2</v>
          </cell>
          <cell r="F66">
            <v>3.8105201354466045E-2</v>
          </cell>
          <cell r="G66">
            <v>3.6860987015549032E-2</v>
          </cell>
          <cell r="H66">
            <v>3.5963969462675952E-2</v>
          </cell>
          <cell r="I66">
            <v>3.8200985245727445E-2</v>
          </cell>
          <cell r="J66">
            <v>4.4117475182689492E-2</v>
          </cell>
          <cell r="K66">
            <v>4.7427050963820987E-2</v>
          </cell>
          <cell r="L66">
            <v>4.6304696554998519E-2</v>
          </cell>
          <cell r="M66">
            <v>4.8284185445506937E-2</v>
          </cell>
          <cell r="N66">
            <v>4.3272465107646707E-2</v>
          </cell>
          <cell r="O66">
            <v>4.3336964496473167E-2</v>
          </cell>
          <cell r="P66">
            <v>4.391166820286127E-2</v>
          </cell>
          <cell r="Q66">
            <v>5.1325045195656283E-2</v>
          </cell>
          <cell r="R66">
            <v>3.0215420735007322E-2</v>
          </cell>
          <cell r="S66">
            <v>2.8753400694293142E-2</v>
          </cell>
          <cell r="T66">
            <v>2.9144762919512689E-2</v>
          </cell>
          <cell r="U66">
            <v>2.998986349048597E-2</v>
          </cell>
          <cell r="V66">
            <v>2.9042706189653978E-2</v>
          </cell>
        </row>
        <row r="67">
          <cell r="A67" t="str">
            <v>Asphalt and Road Oil</v>
          </cell>
          <cell r="B67">
            <v>1</v>
          </cell>
          <cell r="C67">
            <v>1</v>
          </cell>
          <cell r="D67">
            <v>1</v>
          </cell>
          <cell r="E67">
            <v>1</v>
          </cell>
          <cell r="F67">
            <v>1</v>
          </cell>
          <cell r="G67">
            <v>1</v>
          </cell>
          <cell r="H67">
            <v>1</v>
          </cell>
          <cell r="I67">
            <v>1</v>
          </cell>
          <cell r="J67">
            <v>1</v>
          </cell>
          <cell r="K67">
            <v>1</v>
          </cell>
          <cell r="L67">
            <v>1</v>
          </cell>
          <cell r="M67">
            <v>1</v>
          </cell>
          <cell r="N67">
            <v>1</v>
          </cell>
          <cell r="O67">
            <v>1</v>
          </cell>
          <cell r="P67">
            <v>1</v>
          </cell>
          <cell r="Q67">
            <v>1</v>
          </cell>
          <cell r="R67">
            <v>1</v>
          </cell>
          <cell r="S67">
            <v>1</v>
          </cell>
          <cell r="T67">
            <v>1</v>
          </cell>
          <cell r="U67">
            <v>1</v>
          </cell>
          <cell r="V67">
            <v>1</v>
          </cell>
        </row>
        <row r="68">
          <cell r="A68" t="str">
            <v>LPG</v>
          </cell>
          <cell r="B68">
            <v>0.73891001607558771</v>
          </cell>
          <cell r="C68">
            <v>0.76181919197357428</v>
          </cell>
          <cell r="D68">
            <v>0.75891632619118998</v>
          </cell>
          <cell r="E68">
            <v>0.75326262691010604</v>
          </cell>
          <cell r="F68">
            <v>0.78494245692019071</v>
          </cell>
          <cell r="G68">
            <v>0.76705465040504528</v>
          </cell>
          <cell r="H68">
            <v>0.7833383022651369</v>
          </cell>
          <cell r="I68">
            <v>0.775889778267015</v>
          </cell>
          <cell r="J68">
            <v>0.81338610169764758</v>
          </cell>
          <cell r="K68">
            <v>0.85472349471497788</v>
          </cell>
          <cell r="L68">
            <v>0.8097384476898597</v>
          </cell>
          <cell r="M68">
            <v>0.84792797989577495</v>
          </cell>
          <cell r="N68">
            <v>0.82569760781864776</v>
          </cell>
          <cell r="O68">
            <v>0.82269257292109366</v>
          </cell>
          <cell r="P68">
            <v>0.78725537983560012</v>
          </cell>
          <cell r="Q68">
            <v>0.83018109629681569</v>
          </cell>
          <cell r="R68">
            <v>0.83388967256418167</v>
          </cell>
          <cell r="S68">
            <v>0.80884558232306147</v>
          </cell>
          <cell r="T68">
            <v>0.88255161693914219</v>
          </cell>
          <cell r="U68">
            <v>0.87322230655210564</v>
          </cell>
          <cell r="V68">
            <v>0.85665679125113336</v>
          </cell>
        </row>
        <row r="69">
          <cell r="A69" t="str">
            <v>Lubricants</v>
          </cell>
          <cell r="B69">
            <v>1</v>
          </cell>
          <cell r="C69">
            <v>1</v>
          </cell>
          <cell r="D69">
            <v>1</v>
          </cell>
          <cell r="E69">
            <v>1</v>
          </cell>
          <cell r="F69">
            <v>1</v>
          </cell>
          <cell r="G69">
            <v>1</v>
          </cell>
          <cell r="H69">
            <v>1</v>
          </cell>
          <cell r="I69">
            <v>1</v>
          </cell>
          <cell r="J69">
            <v>1</v>
          </cell>
          <cell r="K69">
            <v>1</v>
          </cell>
          <cell r="L69">
            <v>1</v>
          </cell>
          <cell r="M69">
            <v>1</v>
          </cell>
          <cell r="N69">
            <v>1</v>
          </cell>
          <cell r="O69">
            <v>1</v>
          </cell>
          <cell r="P69">
            <v>1</v>
          </cell>
          <cell r="Q69">
            <v>1</v>
          </cell>
          <cell r="R69">
            <v>1</v>
          </cell>
          <cell r="S69">
            <v>1</v>
          </cell>
          <cell r="T69">
            <v>1</v>
          </cell>
          <cell r="U69">
            <v>1</v>
          </cell>
          <cell r="V69">
            <v>1</v>
          </cell>
        </row>
        <row r="70">
          <cell r="A70" t="str">
            <v>Pentanes Plus</v>
          </cell>
          <cell r="B70">
            <v>0.33913940795918363</v>
          </cell>
          <cell r="C70">
            <v>0.42184919171037882</v>
          </cell>
          <cell r="D70">
            <v>0.43360155780209619</v>
          </cell>
          <cell r="E70">
            <v>0.40730258009482845</v>
          </cell>
          <cell r="F70">
            <v>0.41442583733745375</v>
          </cell>
          <cell r="G70">
            <v>0.48887482830960699</v>
          </cell>
          <cell r="H70">
            <v>0.50476034903403166</v>
          </cell>
          <cell r="I70">
            <v>0.48243506112520762</v>
          </cell>
          <cell r="J70">
            <v>0.50658811232097667</v>
          </cell>
          <cell r="K70">
            <v>0.54517936794687183</v>
          </cell>
          <cell r="L70">
            <v>0.61618984788627007</v>
          </cell>
          <cell r="M70">
            <v>0.56285454301584936</v>
          </cell>
          <cell r="N70">
            <v>0.52809569186970062</v>
          </cell>
          <cell r="O70">
            <v>0.53588029389537339</v>
          </cell>
          <cell r="P70">
            <v>0.5321541319104427</v>
          </cell>
          <cell r="Q70">
            <v>0.53588347459841157</v>
          </cell>
          <cell r="R70">
            <v>0.5303920364736463</v>
          </cell>
          <cell r="S70">
            <v>0.51064901717061739</v>
          </cell>
          <cell r="T70">
            <v>0.42388600243710522</v>
          </cell>
          <cell r="U70">
            <v>0.54945248890625242</v>
          </cell>
          <cell r="V70">
            <v>0.48229839621743414</v>
          </cell>
        </row>
        <row r="71">
          <cell r="A71" t="str">
            <v>Feedstocks, Naphtha less than 401 F</v>
          </cell>
          <cell r="B71">
            <v>0.93800732175211499</v>
          </cell>
          <cell r="C71">
            <v>0.93493939805202364</v>
          </cell>
          <cell r="D71">
            <v>0.94218645706964055</v>
          </cell>
          <cell r="E71">
            <v>0.93065737954992056</v>
          </cell>
          <cell r="F71">
            <v>0.94587989515943505</v>
          </cell>
          <cell r="G71">
            <v>0.9519423860061913</v>
          </cell>
          <cell r="H71">
            <v>0.95257233493750426</v>
          </cell>
          <cell r="I71">
            <v>0.94737324466202255</v>
          </cell>
          <cell r="J71">
            <v>0.96637812600804551</v>
          </cell>
          <cell r="K71">
            <v>0.96919657046225782</v>
          </cell>
          <cell r="L71">
            <v>0.96917462142377231</v>
          </cell>
          <cell r="M71">
            <v>0.99251922511749002</v>
          </cell>
          <cell r="N71">
            <v>0.97062741205230196</v>
          </cell>
          <cell r="O71">
            <v>0.94099888511357344</v>
          </cell>
          <cell r="P71">
            <v>0.92472749148591449</v>
          </cell>
          <cell r="Q71">
            <v>0.97405342464749345</v>
          </cell>
          <cell r="R71">
            <v>0.98319181473804507</v>
          </cell>
          <cell r="S71">
            <v>0.96460983758682273</v>
          </cell>
          <cell r="T71">
            <v>0.97912672553248137</v>
          </cell>
          <cell r="U71">
            <v>0.9564014902777177</v>
          </cell>
          <cell r="V71">
            <v>0.96402561768033712</v>
          </cell>
        </row>
        <row r="72">
          <cell r="A72" t="str">
            <v>Feedstocks, Other Oils greater than 401 F</v>
          </cell>
          <cell r="B72">
            <v>0.87817919067256334</v>
          </cell>
          <cell r="C72">
            <v>0.89832327729843242</v>
          </cell>
          <cell r="D72">
            <v>0.82629261525199638</v>
          </cell>
          <cell r="E72">
            <v>0.79023845945294457</v>
          </cell>
          <cell r="F72">
            <v>0.76548997458065371</v>
          </cell>
          <cell r="G72">
            <v>0.74883154053761369</v>
          </cell>
          <cell r="H72">
            <v>0.71745018979742836</v>
          </cell>
          <cell r="I72">
            <v>0.74500296236710351</v>
          </cell>
          <cell r="J72">
            <v>0.75377866852454622</v>
          </cell>
          <cell r="K72">
            <v>0.78735169185943099</v>
          </cell>
          <cell r="L72">
            <v>0.74053122777234226</v>
          </cell>
          <cell r="M72">
            <v>0.76504020742840495</v>
          </cell>
          <cell r="N72">
            <v>0.69129789999497449</v>
          </cell>
          <cell r="O72">
            <v>0.69259273891260109</v>
          </cell>
          <cell r="P72">
            <v>0.68187153101513542</v>
          </cell>
          <cell r="Q72">
            <v>0.70681931323245384</v>
          </cell>
          <cell r="R72">
            <v>0.72545101823813429</v>
          </cell>
          <cell r="S72">
            <v>0.89923730630043741</v>
          </cell>
          <cell r="T72">
            <v>0.92486448121595244</v>
          </cell>
          <cell r="U72">
            <v>0.92523182848983021</v>
          </cell>
          <cell r="V72">
            <v>0.89439360065754492</v>
          </cell>
        </row>
        <row r="73">
          <cell r="A73" t="str">
            <v>Still Gas</v>
          </cell>
          <cell r="B73">
            <v>1.4460810067811103E-2</v>
          </cell>
          <cell r="C73">
            <v>1.5433902256766959E-2</v>
          </cell>
          <cell r="D73">
            <v>7.8034693426218219E-3</v>
          </cell>
          <cell r="E73">
            <v>1.9883881162642839E-2</v>
          </cell>
          <cell r="F73">
            <v>1.8185199311382644E-2</v>
          </cell>
          <cell r="G73">
            <v>2.8312538272900874E-2</v>
          </cell>
          <cell r="H73">
            <v>0</v>
          </cell>
          <cell r="I73">
            <v>1.4544692011914558E-3</v>
          </cell>
          <cell r="J73">
            <v>0</v>
          </cell>
          <cell r="K73">
            <v>1.1168957359162847E-2</v>
          </cell>
          <cell r="L73">
            <v>8.6941437242351281E-3</v>
          </cell>
          <cell r="M73">
            <v>2.4412522518040231E-2</v>
          </cell>
          <cell r="N73">
            <v>3.9555285667941045E-2</v>
          </cell>
          <cell r="O73">
            <v>3.8414222166677676E-2</v>
          </cell>
          <cell r="P73">
            <v>4.0653656151407425E-2</v>
          </cell>
          <cell r="Q73">
            <v>4.5199868544450489E-2</v>
          </cell>
          <cell r="R73">
            <v>3.6829887250717355E-2</v>
          </cell>
          <cell r="S73">
            <v>2.8961473773558233E-2</v>
          </cell>
          <cell r="T73">
            <v>3.2193429912262837E-2</v>
          </cell>
          <cell r="U73">
            <v>9.2007109190401712E-2</v>
          </cell>
          <cell r="V73">
            <v>0.10040052202871166</v>
          </cell>
        </row>
        <row r="74">
          <cell r="A74" t="str">
            <v>Petroleum Coke</v>
          </cell>
          <cell r="B74">
            <v>3.8020085902772165E-2</v>
          </cell>
          <cell r="C74">
            <v>1.5772922075099574E-2</v>
          </cell>
          <cell r="D74">
            <v>9.9858233076787289E-2</v>
          </cell>
          <cell r="E74">
            <v>3.6922432843493259E-2</v>
          </cell>
          <cell r="F74">
            <v>7.089587723485534E-2</v>
          </cell>
          <cell r="G74">
            <v>5.7663607498383541E-2</v>
          </cell>
          <cell r="H74">
            <v>4.3156475507594737E-2</v>
          </cell>
          <cell r="I74">
            <v>1.8656678534647136E-4</v>
          </cell>
          <cell r="J74">
            <v>6.5223608589617496E-2</v>
          </cell>
          <cell r="K74">
            <v>0.12880682987940384</v>
          </cell>
          <cell r="L74">
            <v>9.3727983172247533E-3</v>
          </cell>
          <cell r="M74">
            <v>0.11243031864659964</v>
          </cell>
          <cell r="N74">
            <v>7.7880001051231162E-2</v>
          </cell>
          <cell r="O74">
            <v>4.9041470113619784E-2</v>
          </cell>
          <cell r="P74">
            <v>0.14533039402086034</v>
          </cell>
          <cell r="Q74">
            <v>0.11830507420989149</v>
          </cell>
          <cell r="R74">
            <v>0.14372435873900896</v>
          </cell>
          <cell r="S74">
            <v>0.13007144829811509</v>
          </cell>
          <cell r="T74">
            <v>0.16981276535676554</v>
          </cell>
          <cell r="U74">
            <v>0.1402977867074762</v>
          </cell>
          <cell r="V74">
            <v>1.5912791612634287E-3</v>
          </cell>
        </row>
        <row r="75">
          <cell r="A75" t="str">
            <v>Special Naphthas</v>
          </cell>
          <cell r="B75">
            <v>0.94173472344272724</v>
          </cell>
          <cell r="C75">
            <v>0.93885126320363788</v>
          </cell>
          <cell r="D75">
            <v>0.94566258205325915</v>
          </cell>
          <cell r="E75">
            <v>0.93482670741253682</v>
          </cell>
          <cell r="F75">
            <v>0.94913394670197693</v>
          </cell>
          <cell r="G75">
            <v>0.95483192129826311</v>
          </cell>
          <cell r="H75">
            <v>0.95542399361611219</v>
          </cell>
          <cell r="I75">
            <v>0.95053750635166656</v>
          </cell>
          <cell r="J75">
            <v>0.96839969102993495</v>
          </cell>
          <cell r="K75">
            <v>0.97104867233268388</v>
          </cell>
          <cell r="L75">
            <v>0.97102804301267942</v>
          </cell>
          <cell r="M75">
            <v>0.99296901779837177</v>
          </cell>
          <cell r="N75">
            <v>0.97239348245074686</v>
          </cell>
          <cell r="O75">
            <v>0.94454641462175648</v>
          </cell>
          <cell r="P75">
            <v>0.92925336266008984</v>
          </cell>
          <cell r="Q75">
            <v>0.97561350095921229</v>
          </cell>
          <cell r="R75">
            <v>0.98420243179690192</v>
          </cell>
          <cell r="S75">
            <v>0.96673772357171972</v>
          </cell>
          <cell r="T75">
            <v>0.9803817621067642</v>
          </cell>
          <cell r="U75">
            <v>0.95902291531435191</v>
          </cell>
          <cell r="V75">
            <v>0.9661886307532821</v>
          </cell>
        </row>
        <row r="76">
          <cell r="A76" t="str">
            <v>Distillate Fuel</v>
          </cell>
          <cell r="B76">
            <v>6.3718418165765282E-3</v>
          </cell>
          <cell r="C76">
            <v>6.6956219568408398E-3</v>
          </cell>
          <cell r="D76">
            <v>6.8400884350325666E-3</v>
          </cell>
          <cell r="E76">
            <v>7.1046361923168388E-3</v>
          </cell>
          <cell r="F76">
            <v>6.9654445775609074E-3</v>
          </cell>
          <cell r="G76">
            <v>7.0215986084613234E-3</v>
          </cell>
          <cell r="H76">
            <v>6.4817945826651392E-3</v>
          </cell>
          <cell r="I76">
            <v>6.4319574413366949E-3</v>
          </cell>
          <cell r="J76">
            <v>1.1207009336528507E-2</v>
          </cell>
          <cell r="K76">
            <v>1.1707980935934304E-2</v>
          </cell>
          <cell r="L76">
            <v>1.1473314790068323E-2</v>
          </cell>
          <cell r="M76">
            <v>9.7619925619725854E-3</v>
          </cell>
          <cell r="N76">
            <v>1.0989831475497218E-2</v>
          </cell>
          <cell r="O76">
            <v>1.0916825996017111E-2</v>
          </cell>
          <cell r="P76">
            <v>1.0119817827010951E-2</v>
          </cell>
          <cell r="Q76">
            <v>1.0214209812904711E-2</v>
          </cell>
          <cell r="R76">
            <v>1.4360998932851888E-2</v>
          </cell>
          <cell r="S76">
            <v>1.4526185427413015E-2</v>
          </cell>
          <cell r="T76">
            <v>1.4378166829962773E-2</v>
          </cell>
          <cell r="U76">
            <v>1.6138016648356644E-2</v>
          </cell>
          <cell r="V76">
            <v>1.4891559818251188E-2</v>
          </cell>
        </row>
        <row r="77">
          <cell r="A77" t="str">
            <v>Residual Fuel</v>
          </cell>
          <cell r="B77">
            <v>0</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row>
        <row r="78">
          <cell r="A78" t="str">
            <v>Waxes</v>
          </cell>
          <cell r="B78">
            <v>1</v>
          </cell>
          <cell r="C78">
            <v>1</v>
          </cell>
          <cell r="D78">
            <v>1</v>
          </cell>
          <cell r="E78">
            <v>1</v>
          </cell>
          <cell r="F78">
            <v>1</v>
          </cell>
          <cell r="G78">
            <v>1</v>
          </cell>
          <cell r="H78">
            <v>1</v>
          </cell>
          <cell r="I78">
            <v>1</v>
          </cell>
          <cell r="J78">
            <v>1</v>
          </cell>
          <cell r="K78">
            <v>1</v>
          </cell>
          <cell r="L78">
            <v>1</v>
          </cell>
          <cell r="M78">
            <v>1</v>
          </cell>
          <cell r="N78">
            <v>1</v>
          </cell>
          <cell r="O78">
            <v>1</v>
          </cell>
          <cell r="P78">
            <v>1</v>
          </cell>
          <cell r="Q78">
            <v>1</v>
          </cell>
          <cell r="R78">
            <v>1</v>
          </cell>
          <cell r="S78">
            <v>1</v>
          </cell>
          <cell r="T78">
            <v>1</v>
          </cell>
          <cell r="U78">
            <v>1</v>
          </cell>
          <cell r="V78">
            <v>1</v>
          </cell>
        </row>
        <row r="79">
          <cell r="A79" t="str">
            <v>Misc. Petro Products</v>
          </cell>
          <cell r="B79">
            <v>1</v>
          </cell>
          <cell r="C79">
            <v>1</v>
          </cell>
          <cell r="D79">
            <v>1</v>
          </cell>
          <cell r="E79">
            <v>1</v>
          </cell>
          <cell r="F79">
            <v>1</v>
          </cell>
          <cell r="G79">
            <v>1</v>
          </cell>
          <cell r="H79">
            <v>1</v>
          </cell>
          <cell r="I79">
            <v>1</v>
          </cell>
          <cell r="J79">
            <v>1</v>
          </cell>
          <cell r="K79">
            <v>1</v>
          </cell>
          <cell r="L79">
            <v>1</v>
          </cell>
          <cell r="M79">
            <v>1</v>
          </cell>
          <cell r="N79">
            <v>1</v>
          </cell>
          <cell r="O79">
            <v>1</v>
          </cell>
          <cell r="P79">
            <v>1</v>
          </cell>
          <cell r="Q79">
            <v>1</v>
          </cell>
          <cell r="R79">
            <v>1</v>
          </cell>
          <cell r="S79">
            <v>1</v>
          </cell>
          <cell r="T79">
            <v>1</v>
          </cell>
          <cell r="U79">
            <v>1</v>
          </cell>
          <cell r="V79">
            <v>1</v>
          </cell>
        </row>
        <row r="80">
          <cell r="A80" t="str">
            <v>Other Coal</v>
          </cell>
          <cell r="B80">
            <v>4.982292725225242E-3</v>
          </cell>
          <cell r="C80">
            <v>5.2717916963045848E-3</v>
          </cell>
          <cell r="D80">
            <v>6.1001266988702568E-3</v>
          </cell>
          <cell r="E80">
            <v>6.2526098796064104E-3</v>
          </cell>
          <cell r="F80">
            <v>6.8008296910005515E-3</v>
          </cell>
          <cell r="G80">
            <v>7.3428488318609915E-3</v>
          </cell>
          <cell r="H80">
            <v>7.800006887885738E-3</v>
          </cell>
          <cell r="I80">
            <v>7.5964275894458378E-3</v>
          </cell>
          <cell r="J80">
            <v>7.0400433856277738E-3</v>
          </cell>
          <cell r="K80">
            <v>8.0215540808911152E-3</v>
          </cell>
          <cell r="L80">
            <v>9.0991208621943234E-3</v>
          </cell>
          <cell r="M80">
            <v>8.246099290488057E-3</v>
          </cell>
          <cell r="N80">
            <v>9.5913984514642472E-3</v>
          </cell>
          <cell r="O80">
            <v>9.4444334436061678E-3</v>
          </cell>
          <cell r="P80">
            <v>9.346274254511568E-3</v>
          </cell>
          <cell r="Q80">
            <v>9.671780325519486E-3</v>
          </cell>
          <cell r="R80">
            <v>9.9165073163107065E-3</v>
          </cell>
          <cell r="S80">
            <v>1.041948363806813E-2</v>
          </cell>
          <cell r="T80">
            <v>1.0865965176989078E-2</v>
          </cell>
          <cell r="U80">
            <v>1.3342891944305954E-2</v>
          </cell>
          <cell r="V80">
            <v>1.0068939588109451E-2</v>
          </cell>
        </row>
        <row r="81">
          <cell r="A81" t="str">
            <v>Aviation Gasoline Blending Components</v>
          </cell>
          <cell r="B81">
            <v>0</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row>
        <row r="82">
          <cell r="A82" t="str">
            <v>Crude Oil</v>
          </cell>
          <cell r="B82">
            <v>0</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row>
        <row r="83">
          <cell r="A83" t="str">
            <v>Kerosene</v>
          </cell>
          <cell r="B83">
            <v>0</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row>
        <row r="84">
          <cell r="A84" t="str">
            <v>Motor Gasoline</v>
          </cell>
          <cell r="B84">
            <v>0</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row>
        <row r="85">
          <cell r="A85" t="str">
            <v>Motor Gasoline Blending Components</v>
          </cell>
          <cell r="B85">
            <v>0</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row>
        <row r="86">
          <cell r="A86" t="str">
            <v>Unfinished Oils</v>
          </cell>
          <cell r="B86">
            <v>0</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row>
        <row r="87">
          <cell r="A87" t="str">
            <v>Transportation</v>
          </cell>
          <cell r="B87">
            <v>1990</v>
          </cell>
          <cell r="C87">
            <v>1991</v>
          </cell>
          <cell r="D87">
            <v>1992</v>
          </cell>
          <cell r="E87">
            <v>1993</v>
          </cell>
          <cell r="F87">
            <v>1994</v>
          </cell>
          <cell r="G87">
            <v>1995</v>
          </cell>
          <cell r="H87">
            <v>1996</v>
          </cell>
          <cell r="I87">
            <v>1997</v>
          </cell>
          <cell r="J87">
            <v>1998</v>
          </cell>
          <cell r="K87">
            <v>1999</v>
          </cell>
          <cell r="L87">
            <v>2000</v>
          </cell>
          <cell r="M87">
            <v>2001</v>
          </cell>
          <cell r="N87">
            <v>2002</v>
          </cell>
          <cell r="O87">
            <v>2003</v>
          </cell>
          <cell r="P87">
            <v>2004</v>
          </cell>
          <cell r="Q87">
            <v>2005</v>
          </cell>
          <cell r="R87">
            <v>2006</v>
          </cell>
          <cell r="S87">
            <v>2007</v>
          </cell>
          <cell r="T87">
            <v>2008</v>
          </cell>
          <cell r="U87">
            <v>2009</v>
          </cell>
          <cell r="V87">
            <v>2010</v>
          </cell>
          <cell r="W87">
            <v>2011</v>
          </cell>
          <cell r="X87">
            <v>2012</v>
          </cell>
          <cell r="Y87">
            <v>2013</v>
          </cell>
          <cell r="Z87">
            <v>2014</v>
          </cell>
          <cell r="AA87">
            <v>2015</v>
          </cell>
          <cell r="AB87">
            <v>2016</v>
          </cell>
          <cell r="AC87">
            <v>2017</v>
          </cell>
          <cell r="AD87">
            <v>2018</v>
          </cell>
          <cell r="AE87">
            <v>2019</v>
          </cell>
          <cell r="AF87">
            <v>2020</v>
          </cell>
        </row>
        <row r="88">
          <cell r="A88" t="str">
            <v>Lubricants</v>
          </cell>
          <cell r="B88">
            <v>1</v>
          </cell>
          <cell r="C88">
            <v>1</v>
          </cell>
          <cell r="D88">
            <v>1</v>
          </cell>
          <cell r="E88">
            <v>1</v>
          </cell>
          <cell r="F88">
            <v>1</v>
          </cell>
          <cell r="G88">
            <v>1</v>
          </cell>
          <cell r="H88">
            <v>1</v>
          </cell>
          <cell r="I88">
            <v>1</v>
          </cell>
          <cell r="J88">
            <v>1</v>
          </cell>
          <cell r="K88">
            <v>1</v>
          </cell>
          <cell r="L88">
            <v>1</v>
          </cell>
          <cell r="M88">
            <v>1</v>
          </cell>
          <cell r="N88">
            <v>1</v>
          </cell>
          <cell r="O88">
            <v>1</v>
          </cell>
          <cell r="P88">
            <v>1</v>
          </cell>
          <cell r="Q88">
            <v>1</v>
          </cell>
          <cell r="R88">
            <v>1</v>
          </cell>
          <cell r="S88">
            <v>1</v>
          </cell>
          <cell r="T88">
            <v>1</v>
          </cell>
          <cell r="U88">
            <v>1</v>
          </cell>
          <cell r="V88">
            <v>1</v>
          </cell>
        </row>
      </sheetData>
      <sheetData sheetId="15"/>
      <sheetData sheetId="16"/>
      <sheetData sheetId="17"/>
      <sheetData sheetId="18"/>
      <sheetData sheetId="19"/>
      <sheetData sheetId="20"/>
      <sheetData sheetId="2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Control"/>
      <sheetName val="Cement"/>
      <sheetName val="Lime"/>
      <sheetName val="Limestone"/>
      <sheetName val="Soda Ash"/>
      <sheetName val="Iron &amp; Steel"/>
      <sheetName val="Ammonia &amp; Urea"/>
      <sheetName val="Nitric"/>
      <sheetName val="Adipic"/>
      <sheetName val="Aluminum"/>
      <sheetName val="HCFC-22"/>
      <sheetName val="ODS"/>
      <sheetName val="Semiconductor"/>
      <sheetName val="Electric Power"/>
      <sheetName val="Magnesium"/>
      <sheetName val="Summary, MTCE"/>
      <sheetName val="Summary, MTCO2E"/>
      <sheetName val="Tracker"/>
      <sheetName val="Uncertainty"/>
      <sheetName val="Data Sources"/>
      <sheetName val="Data"/>
      <sheetName val="EF"/>
      <sheetName val="ODS subs method"/>
      <sheetName val="List Data"/>
      <sheetName val="Lime Proportion Data"/>
      <sheetName val="Soda Ash Method"/>
      <sheetName val="Industrial Limestone Ratios"/>
      <sheetName val="semiconductors method"/>
      <sheetName val="Electric Power method"/>
      <sheetName val="Iron &amp; Steel Data"/>
      <sheetName val="Ammonia Defaults"/>
      <sheetName val="state population"/>
      <sheetName val="Notes"/>
    </sheetNames>
    <sheetDataSet>
      <sheetData sheetId="0">
        <row r="13">
          <cell r="D13">
            <v>0.50700000000000001</v>
          </cell>
        </row>
        <row r="14">
          <cell r="D14">
            <v>0.02</v>
          </cell>
        </row>
        <row r="15">
          <cell r="D15">
            <v>2.24E-2</v>
          </cell>
        </row>
        <row r="17">
          <cell r="D17">
            <v>0.75</v>
          </cell>
        </row>
        <row r="18">
          <cell r="D18">
            <v>0.87</v>
          </cell>
        </row>
        <row r="20">
          <cell r="D20">
            <v>0.44</v>
          </cell>
        </row>
        <row r="21">
          <cell r="D21">
            <v>0.48400000000000004</v>
          </cell>
        </row>
        <row r="22">
          <cell r="D22">
            <v>1.7966666666666669</v>
          </cell>
        </row>
        <row r="24">
          <cell r="D24">
            <v>9.74E-2</v>
          </cell>
        </row>
        <row r="25">
          <cell r="D25">
            <v>0.41499999999999998</v>
          </cell>
        </row>
        <row r="32">
          <cell r="D32">
            <v>1.2</v>
          </cell>
        </row>
        <row r="36">
          <cell r="D36">
            <v>8.0000000000000002E-3</v>
          </cell>
        </row>
        <row r="37">
          <cell r="D37">
            <v>0.3</v>
          </cell>
        </row>
        <row r="40">
          <cell r="D40" t="str">
            <v>Variable by year</v>
          </cell>
        </row>
        <row r="41">
          <cell r="D41">
            <v>0.02</v>
          </cell>
        </row>
        <row r="44">
          <cell r="D44">
            <v>1</v>
          </cell>
        </row>
        <row r="46">
          <cell r="D46" t="str">
            <v>Variable by year</v>
          </cell>
        </row>
        <row r="48">
          <cell r="D48" t="str">
            <v>Variable by year</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Waste Mgmt. Emissions"/>
      <sheetName val="REFUSE IN PLACE"/>
      <sheetName val="CONTROLLED LANDFILLS"/>
    </sheetNames>
    <sheetDataSet>
      <sheetData sheetId="0"/>
      <sheetData sheetId="1"/>
      <sheetData sheetId="2"/>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Control"/>
      <sheetName val="Municipal WW, CH4"/>
      <sheetName val="Municipal WW, N2O, direct"/>
      <sheetName val="Municipal WW, N2O, effluent"/>
      <sheetName val="Ind WW Fruit"/>
      <sheetName val="Ind WW Meat"/>
      <sheetName val="Ind WW Poultry"/>
      <sheetName val="Ind WW P&amp;P"/>
      <sheetName val="Summary"/>
      <sheetName val="Tracker"/>
      <sheetName val="Uncertainty"/>
      <sheetName val="Population"/>
      <sheetName val="Vegetable Data"/>
      <sheetName val="Red Meat Data"/>
      <sheetName val="Data Sources"/>
      <sheetName val="Lookups"/>
      <sheetName val="No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7">
          <cell r="B7" t="str">
            <v>AL</v>
          </cell>
          <cell r="C7">
            <v>94757.040000000008</v>
          </cell>
          <cell r="D7">
            <v>86864.400000000009</v>
          </cell>
          <cell r="E7">
            <v>17917.2</v>
          </cell>
          <cell r="F7">
            <v>18325.440000000002</v>
          </cell>
          <cell r="G7">
            <v>18234.72</v>
          </cell>
          <cell r="H7">
            <v>51846.48</v>
          </cell>
          <cell r="I7">
            <v>62596.80000000001</v>
          </cell>
          <cell r="J7">
            <v>60419.519999999997</v>
          </cell>
          <cell r="K7">
            <v>69718.320000000007</v>
          </cell>
          <cell r="L7">
            <v>42366.240000000005</v>
          </cell>
          <cell r="M7">
            <v>19141.920000000002</v>
          </cell>
          <cell r="N7">
            <v>20684.160000000003</v>
          </cell>
          <cell r="O7">
            <v>22634.639999999999</v>
          </cell>
          <cell r="P7">
            <v>18370.800000000003</v>
          </cell>
          <cell r="Q7">
            <v>15286.320000000003</v>
          </cell>
          <cell r="R7">
            <v>14061.6</v>
          </cell>
          <cell r="S7">
            <v>13880.160000000002</v>
          </cell>
          <cell r="T7">
            <v>12519.360000000002</v>
          </cell>
          <cell r="U7">
            <v>0</v>
          </cell>
        </row>
        <row r="8">
          <cell r="B8" t="str">
            <v>AK</v>
          </cell>
          <cell r="C8">
            <v>0</v>
          </cell>
          <cell r="D8">
            <v>0</v>
          </cell>
          <cell r="E8">
            <v>0</v>
          </cell>
          <cell r="F8">
            <v>0</v>
          </cell>
          <cell r="G8">
            <v>0</v>
          </cell>
          <cell r="H8">
            <v>0</v>
          </cell>
          <cell r="I8">
            <v>0</v>
          </cell>
          <cell r="J8">
            <v>0</v>
          </cell>
          <cell r="K8">
            <v>0</v>
          </cell>
          <cell r="L8">
            <v>181.44000000000003</v>
          </cell>
          <cell r="M8">
            <v>272.16000000000003</v>
          </cell>
          <cell r="N8">
            <v>226.8</v>
          </cell>
          <cell r="O8">
            <v>272.16000000000003</v>
          </cell>
          <cell r="P8">
            <v>226.8</v>
          </cell>
          <cell r="Q8">
            <v>226.8</v>
          </cell>
          <cell r="R8">
            <v>317.52</v>
          </cell>
          <cell r="S8">
            <v>317.52</v>
          </cell>
          <cell r="T8">
            <v>226.8</v>
          </cell>
          <cell r="U8">
            <v>0</v>
          </cell>
        </row>
        <row r="9">
          <cell r="B9" t="str">
            <v>AZ</v>
          </cell>
          <cell r="C9">
            <v>102649.68000000001</v>
          </cell>
          <cell r="D9">
            <v>108274.32</v>
          </cell>
          <cell r="E9">
            <v>108546.48000000001</v>
          </cell>
          <cell r="F9">
            <v>112855.68000000001</v>
          </cell>
          <cell r="G9">
            <v>123197.76000000002</v>
          </cell>
          <cell r="H9">
            <v>141750.00000000003</v>
          </cell>
          <cell r="I9">
            <v>152364.24000000002</v>
          </cell>
          <cell r="J9">
            <v>145923.12000000002</v>
          </cell>
          <cell r="K9">
            <v>149189.04</v>
          </cell>
          <cell r="L9">
            <v>162660.96000000002</v>
          </cell>
          <cell r="M9">
            <v>177040.08000000002</v>
          </cell>
          <cell r="N9">
            <v>189287.28000000003</v>
          </cell>
          <cell r="O9">
            <v>203666.40000000002</v>
          </cell>
          <cell r="P9">
            <v>192643.92</v>
          </cell>
          <cell r="Q9">
            <v>160529.04</v>
          </cell>
          <cell r="R9">
            <v>163522.80000000002</v>
          </cell>
          <cell r="S9">
            <v>175316.40000000002</v>
          </cell>
          <cell r="T9">
            <v>184116.24000000002</v>
          </cell>
          <cell r="U9">
            <v>0</v>
          </cell>
        </row>
        <row r="10">
          <cell r="B10" t="str">
            <v>AR</v>
          </cell>
          <cell r="C10">
            <v>30391.200000000004</v>
          </cell>
          <cell r="D10">
            <v>32976.720000000001</v>
          </cell>
          <cell r="E10">
            <v>32568.480000000003</v>
          </cell>
          <cell r="F10">
            <v>29892.240000000005</v>
          </cell>
          <cell r="G10">
            <v>31389.120000000006</v>
          </cell>
          <cell r="H10">
            <v>35471.520000000004</v>
          </cell>
          <cell r="I10">
            <v>34972.559999999998</v>
          </cell>
          <cell r="J10">
            <v>31842.720000000005</v>
          </cell>
          <cell r="K10">
            <v>31026.240000000005</v>
          </cell>
          <cell r="L10">
            <v>31661.279999999999</v>
          </cell>
          <cell r="M10">
            <v>25310.880000000001</v>
          </cell>
          <cell r="N10">
            <v>26898.480000000003</v>
          </cell>
          <cell r="O10">
            <v>30300.48</v>
          </cell>
          <cell r="P10">
            <v>29756.16</v>
          </cell>
          <cell r="Q10">
            <v>27397.440000000002</v>
          </cell>
          <cell r="R10">
            <v>25764.48</v>
          </cell>
          <cell r="S10">
            <v>24630.48</v>
          </cell>
          <cell r="T10">
            <v>26399.520000000004</v>
          </cell>
          <cell r="U10">
            <v>0</v>
          </cell>
        </row>
        <row r="11">
          <cell r="B11" t="str">
            <v>CA</v>
          </cell>
          <cell r="C11">
            <v>509846.4</v>
          </cell>
          <cell r="D11">
            <v>485215.9200000001</v>
          </cell>
          <cell r="E11">
            <v>430375.68000000005</v>
          </cell>
          <cell r="F11">
            <v>413274.96</v>
          </cell>
          <cell r="G11">
            <v>434412.72000000003</v>
          </cell>
          <cell r="H11">
            <v>473104.80000000005</v>
          </cell>
          <cell r="I11">
            <v>477187.2</v>
          </cell>
          <cell r="J11">
            <v>470020.32000000007</v>
          </cell>
          <cell r="K11">
            <v>473195.52000000002</v>
          </cell>
          <cell r="L11">
            <v>480952.08</v>
          </cell>
          <cell r="M11">
            <v>487302.48000000004</v>
          </cell>
          <cell r="N11">
            <v>513429.84000000014</v>
          </cell>
          <cell r="O11">
            <v>613720.80000000005</v>
          </cell>
          <cell r="P11">
            <v>647650.08000000007</v>
          </cell>
          <cell r="Q11">
            <v>648149.04</v>
          </cell>
          <cell r="R11">
            <v>666383.76</v>
          </cell>
          <cell r="S11">
            <v>729207.36</v>
          </cell>
          <cell r="T11">
            <v>758600.64000000013</v>
          </cell>
          <cell r="U11">
            <v>0</v>
          </cell>
        </row>
        <row r="12">
          <cell r="B12" t="str">
            <v>CO</v>
          </cell>
          <cell r="C12">
            <v>720997.2</v>
          </cell>
          <cell r="D12">
            <v>795523.68</v>
          </cell>
          <cell r="E12">
            <v>878577.8400000002</v>
          </cell>
          <cell r="F12">
            <v>861522.4800000001</v>
          </cell>
          <cell r="G12">
            <v>885744.72000000009</v>
          </cell>
          <cell r="H12">
            <v>917269.92</v>
          </cell>
          <cell r="I12">
            <v>921034.8</v>
          </cell>
          <cell r="J12">
            <v>919311.12000000011</v>
          </cell>
          <cell r="K12">
            <v>887014.8</v>
          </cell>
          <cell r="L12">
            <v>969751.44000000018</v>
          </cell>
          <cell r="M12">
            <v>975421.44000000006</v>
          </cell>
          <cell r="N12">
            <v>969887.52</v>
          </cell>
          <cell r="O12">
            <v>991070.64000000013</v>
          </cell>
          <cell r="P12">
            <v>898989.8400000002</v>
          </cell>
          <cell r="Q12">
            <v>894998.16</v>
          </cell>
          <cell r="R12">
            <v>798971.04</v>
          </cell>
          <cell r="S12">
            <v>829452.96</v>
          </cell>
          <cell r="T12">
            <v>856079.28</v>
          </cell>
          <cell r="U12">
            <v>0</v>
          </cell>
        </row>
        <row r="13">
          <cell r="B13" t="str">
            <v>DE</v>
          </cell>
          <cell r="C13">
            <v>17214.120000000003</v>
          </cell>
          <cell r="D13">
            <v>17599.68</v>
          </cell>
          <cell r="E13">
            <v>18779.04</v>
          </cell>
          <cell r="F13">
            <v>18166.68</v>
          </cell>
          <cell r="G13">
            <v>17667.72</v>
          </cell>
          <cell r="H13">
            <v>17010</v>
          </cell>
          <cell r="I13">
            <v>17282.16</v>
          </cell>
          <cell r="J13">
            <v>16080.120000000003</v>
          </cell>
          <cell r="K13">
            <v>17327.520000000004</v>
          </cell>
          <cell r="L13">
            <v>15785.279999999999</v>
          </cell>
          <cell r="M13">
            <v>9911.1600000000017</v>
          </cell>
          <cell r="N13">
            <v>7643.1600000000017</v>
          </cell>
          <cell r="O13">
            <v>8006.0400000000009</v>
          </cell>
          <cell r="P13">
            <v>7393.68</v>
          </cell>
          <cell r="Q13">
            <v>7507.0800000000008</v>
          </cell>
          <cell r="R13">
            <v>8573.0400000000009</v>
          </cell>
          <cell r="S13">
            <v>8935.92</v>
          </cell>
          <cell r="T13">
            <v>8595.7200000000012</v>
          </cell>
          <cell r="U13">
            <v>0</v>
          </cell>
        </row>
        <row r="14">
          <cell r="B14" t="str">
            <v>MD</v>
          </cell>
          <cell r="C14">
            <v>17214.120000000003</v>
          </cell>
          <cell r="D14">
            <v>17599.68</v>
          </cell>
          <cell r="E14">
            <v>18779.04</v>
          </cell>
          <cell r="F14">
            <v>18166.68</v>
          </cell>
          <cell r="G14">
            <v>17667.72</v>
          </cell>
          <cell r="H14">
            <v>17010</v>
          </cell>
          <cell r="I14">
            <v>17282.16</v>
          </cell>
          <cell r="J14">
            <v>16080.120000000003</v>
          </cell>
          <cell r="K14">
            <v>17327.520000000004</v>
          </cell>
          <cell r="L14">
            <v>15785.279999999999</v>
          </cell>
          <cell r="M14">
            <v>9911.1600000000017</v>
          </cell>
          <cell r="N14">
            <v>7643.1600000000017</v>
          </cell>
          <cell r="O14">
            <v>8006.0400000000009</v>
          </cell>
          <cell r="P14">
            <v>7393.68</v>
          </cell>
          <cell r="Q14">
            <v>7507.0800000000008</v>
          </cell>
          <cell r="R14">
            <v>8573.0400000000009</v>
          </cell>
          <cell r="S14">
            <v>8935.92</v>
          </cell>
          <cell r="T14">
            <v>8595.7200000000012</v>
          </cell>
          <cell r="U14">
            <v>0</v>
          </cell>
        </row>
        <row r="15">
          <cell r="B15" t="str">
            <v>FL</v>
          </cell>
          <cell r="C15">
            <v>44543.520000000004</v>
          </cell>
          <cell r="D15">
            <v>22543.920000000002</v>
          </cell>
          <cell r="E15">
            <v>18234.72</v>
          </cell>
          <cell r="F15">
            <v>18416.16</v>
          </cell>
          <cell r="G15">
            <v>19459.440000000002</v>
          </cell>
          <cell r="H15">
            <v>20412.000000000004</v>
          </cell>
          <cell r="I15">
            <v>22453.200000000004</v>
          </cell>
          <cell r="J15">
            <v>21092.400000000001</v>
          </cell>
          <cell r="K15">
            <v>20230.560000000001</v>
          </cell>
          <cell r="L15">
            <v>21273.840000000004</v>
          </cell>
          <cell r="M15">
            <v>25356.240000000002</v>
          </cell>
          <cell r="N15">
            <v>28622.160000000003</v>
          </cell>
          <cell r="O15">
            <v>31162.320000000003</v>
          </cell>
          <cell r="P15">
            <v>30209.759999999998</v>
          </cell>
          <cell r="Q15">
            <v>24993.360000000004</v>
          </cell>
          <cell r="R15">
            <v>24494.400000000001</v>
          </cell>
          <cell r="S15">
            <v>30255.120000000003</v>
          </cell>
          <cell r="T15">
            <v>39327.12000000001</v>
          </cell>
          <cell r="U15">
            <v>0</v>
          </cell>
        </row>
        <row r="16">
          <cell r="B16" t="str">
            <v>GA</v>
          </cell>
          <cell r="C16">
            <v>179716.32</v>
          </cell>
          <cell r="D16">
            <v>194957.28</v>
          </cell>
          <cell r="E16">
            <v>202305.60000000003</v>
          </cell>
          <cell r="F16">
            <v>194186.16000000003</v>
          </cell>
          <cell r="G16">
            <v>205480.80000000002</v>
          </cell>
          <cell r="H16">
            <v>207295.2</v>
          </cell>
          <cell r="I16">
            <v>158034.23999999999</v>
          </cell>
          <cell r="J16">
            <v>133766.63999999998</v>
          </cell>
          <cell r="K16">
            <v>127416.24000000002</v>
          </cell>
          <cell r="L16">
            <v>137077.92000000001</v>
          </cell>
          <cell r="M16">
            <v>148780.80000000002</v>
          </cell>
          <cell r="N16">
            <v>148327.20000000001</v>
          </cell>
          <cell r="O16">
            <v>116393.76000000002</v>
          </cell>
          <cell r="P16">
            <v>112447.44</v>
          </cell>
          <cell r="Q16">
            <v>72258.48000000001</v>
          </cell>
          <cell r="R16">
            <v>61372.080000000009</v>
          </cell>
          <cell r="S16">
            <v>67087.440000000017</v>
          </cell>
          <cell r="T16">
            <v>74118.240000000005</v>
          </cell>
          <cell r="U16">
            <v>0</v>
          </cell>
        </row>
        <row r="17">
          <cell r="B17" t="str">
            <v>HI</v>
          </cell>
          <cell r="C17">
            <v>17554.320000000003</v>
          </cell>
          <cell r="D17">
            <v>15603.84</v>
          </cell>
          <cell r="E17">
            <v>13154.400000000001</v>
          </cell>
          <cell r="F17">
            <v>7892.6399999999994</v>
          </cell>
          <cell r="G17">
            <v>7212.2400000000007</v>
          </cell>
          <cell r="H17">
            <v>6577.2000000000007</v>
          </cell>
          <cell r="I17">
            <v>7076.1600000000008</v>
          </cell>
          <cell r="J17">
            <v>7529.760000000002</v>
          </cell>
          <cell r="K17">
            <v>6940.0800000000008</v>
          </cell>
          <cell r="L17">
            <v>6577.2000000000007</v>
          </cell>
          <cell r="M17">
            <v>6486.4800000000014</v>
          </cell>
          <cell r="N17">
            <v>5579.2800000000007</v>
          </cell>
          <cell r="O17">
            <v>5307.12</v>
          </cell>
          <cell r="P17">
            <v>4853.5200000000004</v>
          </cell>
          <cell r="Q17">
            <v>4762.8</v>
          </cell>
          <cell r="R17">
            <v>4173.12</v>
          </cell>
          <cell r="S17">
            <v>4581.3600000000006</v>
          </cell>
          <cell r="T17">
            <v>4536</v>
          </cell>
          <cell r="U17">
            <v>0</v>
          </cell>
        </row>
        <row r="18">
          <cell r="B18" t="str">
            <v>ID</v>
          </cell>
          <cell r="C18">
            <v>210198.24000000002</v>
          </cell>
          <cell r="D18">
            <v>200491.2</v>
          </cell>
          <cell r="E18">
            <v>215822.88000000003</v>
          </cell>
          <cell r="F18">
            <v>207385.92</v>
          </cell>
          <cell r="G18">
            <v>227162.88</v>
          </cell>
          <cell r="H18">
            <v>236325.60000000003</v>
          </cell>
          <cell r="I18">
            <v>247983.12000000002</v>
          </cell>
          <cell r="J18">
            <v>246531.6</v>
          </cell>
          <cell r="K18">
            <v>248436.72000000003</v>
          </cell>
          <cell r="L18">
            <v>263768.40000000002</v>
          </cell>
          <cell r="M18">
            <v>266716.80000000005</v>
          </cell>
          <cell r="N18">
            <v>291392.64000000001</v>
          </cell>
          <cell r="O18">
            <v>283726.8</v>
          </cell>
          <cell r="P18">
            <v>259822.08000000002</v>
          </cell>
          <cell r="Q18">
            <v>203666.40000000002</v>
          </cell>
          <cell r="R18">
            <v>141840.72</v>
          </cell>
          <cell r="S18">
            <v>102241.44000000002</v>
          </cell>
          <cell r="T18">
            <v>81194.399999999994</v>
          </cell>
          <cell r="U18">
            <v>0</v>
          </cell>
        </row>
        <row r="19">
          <cell r="B19" t="str">
            <v>IL</v>
          </cell>
          <cell r="C19">
            <v>1121027.0400000003</v>
          </cell>
          <cell r="D19">
            <v>1072128.9600000002</v>
          </cell>
          <cell r="E19">
            <v>1082198.8800000001</v>
          </cell>
          <cell r="F19">
            <v>1023140.16</v>
          </cell>
          <cell r="G19">
            <v>1168201.44</v>
          </cell>
          <cell r="H19">
            <v>1183124.8800000004</v>
          </cell>
          <cell r="I19">
            <v>1102384.0800000003</v>
          </cell>
          <cell r="J19">
            <v>1085782.32</v>
          </cell>
          <cell r="K19">
            <v>1166069.52</v>
          </cell>
          <cell r="L19">
            <v>1182126.96</v>
          </cell>
          <cell r="M19">
            <v>1216192.32</v>
          </cell>
          <cell r="N19">
            <v>1201450.32</v>
          </cell>
          <cell r="O19">
            <v>1190926.8000000003</v>
          </cell>
          <cell r="P19">
            <v>1131686.6400000001</v>
          </cell>
          <cell r="Q19">
            <v>1200769.92</v>
          </cell>
          <cell r="R19">
            <v>1213788.2400000002</v>
          </cell>
          <cell r="S19">
            <v>1241684.6400000001</v>
          </cell>
          <cell r="T19">
            <v>1297976.4000000001</v>
          </cell>
          <cell r="U19">
            <v>0</v>
          </cell>
        </row>
        <row r="20">
          <cell r="B20" t="str">
            <v>IN</v>
          </cell>
          <cell r="C20">
            <v>327680.64000000001</v>
          </cell>
          <cell r="D20">
            <v>330084.72000000003</v>
          </cell>
          <cell r="E20">
            <v>405563.76000000007</v>
          </cell>
          <cell r="F20">
            <v>367642.80000000005</v>
          </cell>
          <cell r="G20">
            <v>333758.88</v>
          </cell>
          <cell r="H20">
            <v>321919.92000000004</v>
          </cell>
          <cell r="I20">
            <v>370591.2</v>
          </cell>
          <cell r="J20">
            <v>440490.96</v>
          </cell>
          <cell r="K20">
            <v>557519.76</v>
          </cell>
          <cell r="L20">
            <v>552666.24000000011</v>
          </cell>
          <cell r="M20">
            <v>574302.96000000008</v>
          </cell>
          <cell r="N20">
            <v>597527.28</v>
          </cell>
          <cell r="O20">
            <v>627419.52000000014</v>
          </cell>
          <cell r="P20">
            <v>644248.07999999996</v>
          </cell>
          <cell r="Q20">
            <v>652322.16</v>
          </cell>
          <cell r="R20">
            <v>651777.84000000008</v>
          </cell>
          <cell r="S20">
            <v>680626.8</v>
          </cell>
          <cell r="T20">
            <v>709566.48</v>
          </cell>
          <cell r="U20">
            <v>0</v>
          </cell>
        </row>
        <row r="21">
          <cell r="B21" t="str">
            <v>IA</v>
          </cell>
          <cell r="C21">
            <v>2790093.6</v>
          </cell>
          <cell r="D21">
            <v>2908800.72</v>
          </cell>
          <cell r="E21">
            <v>3059441.2800000003</v>
          </cell>
          <cell r="F21">
            <v>3013400.8800000004</v>
          </cell>
          <cell r="G21">
            <v>3244328.64</v>
          </cell>
          <cell r="H21">
            <v>3151295.2800000003</v>
          </cell>
          <cell r="I21">
            <v>2628748.08</v>
          </cell>
          <cell r="J21">
            <v>2445221.52</v>
          </cell>
          <cell r="K21">
            <v>2804427.3600000003</v>
          </cell>
          <cell r="L21">
            <v>2860265.52</v>
          </cell>
          <cell r="M21">
            <v>2697559.2</v>
          </cell>
          <cell r="N21">
            <v>2710622.8800000004</v>
          </cell>
          <cell r="O21">
            <v>2823523.92</v>
          </cell>
          <cell r="P21">
            <v>2913109.92</v>
          </cell>
          <cell r="Q21">
            <v>2981875.68</v>
          </cell>
          <cell r="R21">
            <v>2940053.7600000007</v>
          </cell>
          <cell r="S21">
            <v>2966407.92</v>
          </cell>
          <cell r="T21">
            <v>2992807.44</v>
          </cell>
          <cell r="U21">
            <v>0</v>
          </cell>
        </row>
        <row r="22">
          <cell r="B22" t="str">
            <v>KS</v>
          </cell>
          <cell r="C22">
            <v>2096221.6800000002</v>
          </cell>
          <cell r="D22">
            <v>2030857.92</v>
          </cell>
          <cell r="E22">
            <v>2045010.2399999998</v>
          </cell>
          <cell r="F22">
            <v>2063018.1600000004</v>
          </cell>
          <cell r="G22">
            <v>2382216.4800000004</v>
          </cell>
          <cell r="H22">
            <v>2438961.8400000003</v>
          </cell>
          <cell r="I22">
            <v>2373189.8400000003</v>
          </cell>
          <cell r="J22">
            <v>2469489.12</v>
          </cell>
          <cell r="K22">
            <v>2604798</v>
          </cell>
          <cell r="L22">
            <v>2811367.44</v>
          </cell>
          <cell r="M22">
            <v>2875824</v>
          </cell>
          <cell r="N22">
            <v>2549322.7200000002</v>
          </cell>
          <cell r="O22">
            <v>2668664.8800000004</v>
          </cell>
          <cell r="P22">
            <v>2597676.4800000004</v>
          </cell>
          <cell r="Q22">
            <v>2541203.2800000003</v>
          </cell>
          <cell r="R22">
            <v>2636005.6800000002</v>
          </cell>
          <cell r="S22">
            <v>2782609.2000000007</v>
          </cell>
          <cell r="T22">
            <v>2823523.92</v>
          </cell>
          <cell r="U22">
            <v>0</v>
          </cell>
        </row>
        <row r="23">
          <cell r="B23" t="str">
            <v>KY</v>
          </cell>
          <cell r="C23">
            <v>255104.63999999998</v>
          </cell>
          <cell r="D23">
            <v>264902.40000000002</v>
          </cell>
          <cell r="E23">
            <v>254016.00000000003</v>
          </cell>
          <cell r="F23">
            <v>246849.12000000002</v>
          </cell>
          <cell r="G23">
            <v>263949.83999999997</v>
          </cell>
          <cell r="H23">
            <v>281232.00000000006</v>
          </cell>
          <cell r="I23">
            <v>232515.36000000004</v>
          </cell>
          <cell r="J23">
            <v>203484.96000000002</v>
          </cell>
          <cell r="K23">
            <v>232787.52000000005</v>
          </cell>
          <cell r="L23">
            <v>215913.60000000001</v>
          </cell>
          <cell r="M23">
            <v>198268.56000000003</v>
          </cell>
          <cell r="N23">
            <v>195365.52000000002</v>
          </cell>
          <cell r="O23">
            <v>203212.80000000002</v>
          </cell>
          <cell r="P23">
            <v>213509.52000000002</v>
          </cell>
          <cell r="Q23">
            <v>227253.60000000003</v>
          </cell>
          <cell r="R23">
            <v>214189.92</v>
          </cell>
          <cell r="S23">
            <v>226391.76000000004</v>
          </cell>
          <cell r="T23">
            <v>255376.80000000002</v>
          </cell>
          <cell r="U23">
            <v>0</v>
          </cell>
        </row>
        <row r="24">
          <cell r="B24" t="str">
            <v>LA</v>
          </cell>
          <cell r="C24">
            <v>16783.2</v>
          </cell>
          <cell r="D24">
            <v>14424.480000000001</v>
          </cell>
          <cell r="E24">
            <v>13426.560000000003</v>
          </cell>
          <cell r="F24">
            <v>12247.2</v>
          </cell>
          <cell r="G24">
            <v>11702.880000000001</v>
          </cell>
          <cell r="H24">
            <v>11702.880000000001</v>
          </cell>
          <cell r="I24">
            <v>12791.52</v>
          </cell>
          <cell r="J24">
            <v>10886.400000000001</v>
          </cell>
          <cell r="K24">
            <v>9797.76</v>
          </cell>
          <cell r="L24">
            <v>8663.760000000002</v>
          </cell>
          <cell r="M24">
            <v>7847.2800000000016</v>
          </cell>
          <cell r="N24">
            <v>7756.5600000000013</v>
          </cell>
          <cell r="O24">
            <v>7529.760000000002</v>
          </cell>
          <cell r="P24">
            <v>6849.3600000000006</v>
          </cell>
          <cell r="Q24">
            <v>5987.52</v>
          </cell>
          <cell r="R24">
            <v>5488.56</v>
          </cell>
          <cell r="S24">
            <v>4037.0400000000004</v>
          </cell>
          <cell r="T24">
            <v>3402</v>
          </cell>
          <cell r="U24">
            <v>0</v>
          </cell>
        </row>
        <row r="25">
          <cell r="B25" t="str">
            <v>MI</v>
          </cell>
          <cell r="C25">
            <v>451967.04000000004</v>
          </cell>
          <cell r="D25">
            <v>423889.2</v>
          </cell>
          <cell r="E25">
            <v>409782.24000000005</v>
          </cell>
          <cell r="F25">
            <v>397897.9200000001</v>
          </cell>
          <cell r="G25">
            <v>452738.16000000003</v>
          </cell>
          <cell r="H25">
            <v>474737.76</v>
          </cell>
          <cell r="I25">
            <v>466164.72000000003</v>
          </cell>
          <cell r="J25">
            <v>435773.52000000008</v>
          </cell>
          <cell r="K25">
            <v>280007.28000000003</v>
          </cell>
          <cell r="L25">
            <v>159803.28000000003</v>
          </cell>
          <cell r="M25">
            <v>162207.36000000002</v>
          </cell>
          <cell r="N25">
            <v>175180.32</v>
          </cell>
          <cell r="O25">
            <v>190829.52</v>
          </cell>
          <cell r="P25">
            <v>182029.68000000002</v>
          </cell>
          <cell r="Q25">
            <v>173184.48000000004</v>
          </cell>
          <cell r="R25">
            <v>177720.48</v>
          </cell>
          <cell r="S25">
            <v>206614.80000000002</v>
          </cell>
          <cell r="T25">
            <v>224758.80000000002</v>
          </cell>
          <cell r="U25">
            <v>0</v>
          </cell>
        </row>
        <row r="26">
          <cell r="B26" t="str">
            <v>MN</v>
          </cell>
          <cell r="C26">
            <v>777924.00000000012</v>
          </cell>
          <cell r="D26">
            <v>948659.04000000015</v>
          </cell>
          <cell r="E26">
            <v>1020191.7600000001</v>
          </cell>
          <cell r="F26">
            <v>1015746.4800000002</v>
          </cell>
          <cell r="G26">
            <v>937364.40000000014</v>
          </cell>
          <cell r="H26">
            <v>926840.88000000012</v>
          </cell>
          <cell r="I26">
            <v>931921.20000000007</v>
          </cell>
          <cell r="J26">
            <v>938453.04</v>
          </cell>
          <cell r="K26">
            <v>895224.96000000008</v>
          </cell>
          <cell r="L26">
            <v>936048.96000000008</v>
          </cell>
          <cell r="M26">
            <v>918131.76000000013</v>
          </cell>
          <cell r="N26">
            <v>969706.08000000019</v>
          </cell>
          <cell r="O26">
            <v>1031985.36</v>
          </cell>
          <cell r="P26">
            <v>1053077.76</v>
          </cell>
          <cell r="Q26">
            <v>1040785.2000000002</v>
          </cell>
          <cell r="R26">
            <v>1038970.8000000002</v>
          </cell>
          <cell r="S26">
            <v>1083106.08</v>
          </cell>
          <cell r="T26">
            <v>1107645.8400000003</v>
          </cell>
          <cell r="U26">
            <v>0</v>
          </cell>
        </row>
        <row r="27">
          <cell r="B27" t="str">
            <v>MS</v>
          </cell>
          <cell r="C27">
            <v>179943.12000000002</v>
          </cell>
          <cell r="D27">
            <v>168603.12</v>
          </cell>
          <cell r="E27">
            <v>161436.24000000002</v>
          </cell>
          <cell r="F27">
            <v>140117.04</v>
          </cell>
          <cell r="G27">
            <v>144970.56000000003</v>
          </cell>
          <cell r="H27">
            <v>137985.12000000002</v>
          </cell>
          <cell r="I27">
            <v>125102.88000000003</v>
          </cell>
          <cell r="J27">
            <v>132133.68</v>
          </cell>
          <cell r="K27">
            <v>133993.44</v>
          </cell>
          <cell r="L27">
            <v>133857.36000000002</v>
          </cell>
          <cell r="M27">
            <v>126735.83999999998</v>
          </cell>
          <cell r="N27">
            <v>132224.40000000002</v>
          </cell>
          <cell r="O27">
            <v>133766.63999999998</v>
          </cell>
          <cell r="P27">
            <v>136170.72</v>
          </cell>
          <cell r="Q27">
            <v>135308.88000000003</v>
          </cell>
          <cell r="R27">
            <v>131770.80000000002</v>
          </cell>
          <cell r="S27">
            <v>131589.36000000002</v>
          </cell>
          <cell r="T27">
            <v>35698.320000000007</v>
          </cell>
          <cell r="U27">
            <v>0</v>
          </cell>
        </row>
        <row r="28">
          <cell r="B28" t="str">
            <v>MO</v>
          </cell>
          <cell r="C28">
            <v>307223.27999999997</v>
          </cell>
          <cell r="D28">
            <v>234420.47999999998</v>
          </cell>
          <cell r="E28">
            <v>264811.68</v>
          </cell>
          <cell r="F28">
            <v>307676.88</v>
          </cell>
          <cell r="G28">
            <v>200037.6</v>
          </cell>
          <cell r="H28">
            <v>288126.72000000003</v>
          </cell>
          <cell r="I28">
            <v>329495.04000000004</v>
          </cell>
          <cell r="J28">
            <v>334212.48000000004</v>
          </cell>
          <cell r="K28">
            <v>361519.2</v>
          </cell>
          <cell r="L28">
            <v>368187.12000000005</v>
          </cell>
          <cell r="M28">
            <v>356983.20000000007</v>
          </cell>
          <cell r="N28">
            <v>288671.03999999998</v>
          </cell>
          <cell r="O28">
            <v>197951.04</v>
          </cell>
          <cell r="P28">
            <v>202895.28</v>
          </cell>
          <cell r="Q28">
            <v>204800.40000000002</v>
          </cell>
          <cell r="R28">
            <v>219769.2</v>
          </cell>
          <cell r="S28">
            <v>430103.52000000008</v>
          </cell>
          <cell r="T28">
            <v>680490.72000000009</v>
          </cell>
          <cell r="U28">
            <v>0</v>
          </cell>
        </row>
        <row r="29">
          <cell r="B29" t="str">
            <v>MT</v>
          </cell>
          <cell r="C29">
            <v>9344.16</v>
          </cell>
          <cell r="D29">
            <v>7484.4000000000005</v>
          </cell>
          <cell r="E29">
            <v>7801.92</v>
          </cell>
          <cell r="F29">
            <v>7847.2800000000016</v>
          </cell>
          <cell r="G29">
            <v>9026.6400000000012</v>
          </cell>
          <cell r="H29">
            <v>8074.0800000000008</v>
          </cell>
          <cell r="I29">
            <v>8210.1600000000017</v>
          </cell>
          <cell r="J29">
            <v>6940.0800000000008</v>
          </cell>
          <cell r="K29">
            <v>8799.84</v>
          </cell>
          <cell r="L29">
            <v>10069.920000000002</v>
          </cell>
          <cell r="M29">
            <v>9752.4000000000015</v>
          </cell>
          <cell r="N29">
            <v>7439.04</v>
          </cell>
          <cell r="O29">
            <v>7620.4800000000005</v>
          </cell>
          <cell r="P29">
            <v>7257.6</v>
          </cell>
          <cell r="Q29">
            <v>7030.8</v>
          </cell>
          <cell r="R29">
            <v>7892.6399999999994</v>
          </cell>
          <cell r="S29">
            <v>7348.3200000000006</v>
          </cell>
          <cell r="T29">
            <v>7348.3200000000006</v>
          </cell>
          <cell r="U29">
            <v>0</v>
          </cell>
        </row>
        <row r="30">
          <cell r="B30" t="str">
            <v>NE</v>
          </cell>
          <cell r="C30">
            <v>2289863.52</v>
          </cell>
          <cell r="D30">
            <v>2493030.9600000004</v>
          </cell>
          <cell r="E30">
            <v>2626842.9600000004</v>
          </cell>
          <cell r="F30">
            <v>2592278.64</v>
          </cell>
          <cell r="G30">
            <v>2663992.8000000003</v>
          </cell>
          <cell r="H30">
            <v>2724140.1600000006</v>
          </cell>
          <cell r="I30">
            <v>2868475.6800000006</v>
          </cell>
          <cell r="J30">
            <v>2940915.6</v>
          </cell>
          <cell r="K30">
            <v>3043701.3600000003</v>
          </cell>
          <cell r="L30">
            <v>3110879.52</v>
          </cell>
          <cell r="M30">
            <v>3222964.0800000005</v>
          </cell>
          <cell r="N30">
            <v>3248274.9600000004</v>
          </cell>
          <cell r="O30">
            <v>3446861.04</v>
          </cell>
          <cell r="P30">
            <v>3286422.72</v>
          </cell>
          <cell r="Q30">
            <v>3084480</v>
          </cell>
          <cell r="R30">
            <v>3196746</v>
          </cell>
          <cell r="S30">
            <v>3278076.48</v>
          </cell>
          <cell r="T30">
            <v>3275082.72</v>
          </cell>
          <cell r="U30">
            <v>0</v>
          </cell>
        </row>
        <row r="31">
          <cell r="B31" t="str">
            <v>NV</v>
          </cell>
          <cell r="C31">
            <v>544.32000000000005</v>
          </cell>
          <cell r="D31">
            <v>635.04</v>
          </cell>
          <cell r="E31">
            <v>544.32000000000005</v>
          </cell>
          <cell r="F31">
            <v>544.32000000000005</v>
          </cell>
          <cell r="G31">
            <v>544.32000000000005</v>
          </cell>
          <cell r="H31">
            <v>544.32000000000005</v>
          </cell>
          <cell r="I31">
            <v>589.68000000000006</v>
          </cell>
          <cell r="J31">
            <v>498.96000000000009</v>
          </cell>
          <cell r="K31">
            <v>408.24</v>
          </cell>
          <cell r="L31">
            <v>408.24</v>
          </cell>
          <cell r="M31">
            <v>408.24</v>
          </cell>
          <cell r="N31">
            <v>408.24</v>
          </cell>
          <cell r="O31">
            <v>408.24</v>
          </cell>
          <cell r="P31">
            <v>408.24</v>
          </cell>
          <cell r="Q31">
            <v>453.6</v>
          </cell>
          <cell r="R31">
            <v>498.96000000000009</v>
          </cell>
          <cell r="S31">
            <v>362.88000000000005</v>
          </cell>
          <cell r="T31">
            <v>453.6</v>
          </cell>
          <cell r="U31">
            <v>0</v>
          </cell>
        </row>
        <row r="32">
          <cell r="B32" t="str">
            <v>NJ</v>
          </cell>
          <cell r="C32">
            <v>13199.760000000002</v>
          </cell>
          <cell r="D32">
            <v>14288.400000000001</v>
          </cell>
          <cell r="E32">
            <v>14696.640000000001</v>
          </cell>
          <cell r="F32">
            <v>13925.52</v>
          </cell>
          <cell r="G32">
            <v>13834.800000000001</v>
          </cell>
          <cell r="H32">
            <v>16193.520000000002</v>
          </cell>
          <cell r="I32">
            <v>19459.440000000002</v>
          </cell>
          <cell r="J32">
            <v>23178.960000000003</v>
          </cell>
          <cell r="K32">
            <v>24811.920000000006</v>
          </cell>
          <cell r="L32">
            <v>24766.560000000005</v>
          </cell>
          <cell r="M32">
            <v>25673.760000000002</v>
          </cell>
          <cell r="N32">
            <v>27079.920000000006</v>
          </cell>
          <cell r="O32">
            <v>27397.440000000002</v>
          </cell>
          <cell r="P32">
            <v>24358.320000000003</v>
          </cell>
          <cell r="Q32">
            <v>22543.920000000002</v>
          </cell>
          <cell r="R32">
            <v>22271.760000000002</v>
          </cell>
          <cell r="S32">
            <v>23541.84</v>
          </cell>
          <cell r="T32">
            <v>23904.720000000005</v>
          </cell>
          <cell r="U32">
            <v>0</v>
          </cell>
        </row>
        <row r="33">
          <cell r="B33" t="str">
            <v>NM</v>
          </cell>
          <cell r="C33">
            <v>40461.120000000003</v>
          </cell>
          <cell r="D33">
            <v>38011.68</v>
          </cell>
          <cell r="E33">
            <v>26127.360000000001</v>
          </cell>
          <cell r="F33">
            <v>13562.640000000001</v>
          </cell>
          <cell r="G33">
            <v>12700.800000000001</v>
          </cell>
          <cell r="H33">
            <v>9117.36</v>
          </cell>
          <cell r="I33">
            <v>9162.7200000000012</v>
          </cell>
          <cell r="J33">
            <v>6214.3200000000006</v>
          </cell>
          <cell r="K33">
            <v>5397.8400000000011</v>
          </cell>
          <cell r="L33">
            <v>6078.2400000000007</v>
          </cell>
          <cell r="M33">
            <v>4490.6400000000003</v>
          </cell>
          <cell r="N33">
            <v>4490.6400000000003</v>
          </cell>
          <cell r="O33">
            <v>4853.5200000000004</v>
          </cell>
          <cell r="P33">
            <v>5624.6400000000012</v>
          </cell>
          <cell r="Q33">
            <v>3583.4400000000005</v>
          </cell>
          <cell r="R33">
            <v>3039.1200000000003</v>
          </cell>
          <cell r="S33">
            <v>2766.96</v>
          </cell>
          <cell r="T33">
            <v>2222.6400000000003</v>
          </cell>
          <cell r="U33">
            <v>0</v>
          </cell>
        </row>
        <row r="34">
          <cell r="B34" t="str">
            <v>NY</v>
          </cell>
          <cell r="C34">
            <v>39463.200000000004</v>
          </cell>
          <cell r="D34">
            <v>41504.400000000001</v>
          </cell>
          <cell r="E34">
            <v>46675.44</v>
          </cell>
          <cell r="F34">
            <v>37195.200000000004</v>
          </cell>
          <cell r="G34">
            <v>41368.320000000007</v>
          </cell>
          <cell r="H34">
            <v>45405.36</v>
          </cell>
          <cell r="I34">
            <v>50803.200000000004</v>
          </cell>
          <cell r="J34">
            <v>42366.240000000005</v>
          </cell>
          <cell r="K34">
            <v>30300.48</v>
          </cell>
          <cell r="L34">
            <v>23950.080000000002</v>
          </cell>
          <cell r="M34">
            <v>22770.720000000005</v>
          </cell>
          <cell r="N34">
            <v>18552.240000000002</v>
          </cell>
          <cell r="O34">
            <v>20412.000000000004</v>
          </cell>
          <cell r="P34">
            <v>20457.36</v>
          </cell>
          <cell r="Q34">
            <v>17327.520000000004</v>
          </cell>
          <cell r="R34">
            <v>17871.84</v>
          </cell>
          <cell r="S34">
            <v>15921.360000000002</v>
          </cell>
          <cell r="T34">
            <v>15240.960000000001</v>
          </cell>
          <cell r="U34">
            <v>0</v>
          </cell>
        </row>
        <row r="35">
          <cell r="B35" t="str">
            <v>NC</v>
          </cell>
          <cell r="C35">
            <v>243492.48000000001</v>
          </cell>
          <cell r="D35">
            <v>273157.92000000004</v>
          </cell>
          <cell r="E35">
            <v>343919.52</v>
          </cell>
          <cell r="F35">
            <v>509075.28</v>
          </cell>
          <cell r="G35">
            <v>568043.28</v>
          </cell>
          <cell r="H35">
            <v>665884.80000000005</v>
          </cell>
          <cell r="I35">
            <v>786587.76</v>
          </cell>
          <cell r="J35">
            <v>823284</v>
          </cell>
          <cell r="K35">
            <v>844194.96000000008</v>
          </cell>
          <cell r="L35">
            <v>873542.88</v>
          </cell>
          <cell r="M35">
            <v>878396.4</v>
          </cell>
          <cell r="N35">
            <v>898989.8400000002</v>
          </cell>
          <cell r="O35">
            <v>935504.64000000013</v>
          </cell>
          <cell r="P35">
            <v>997965.36</v>
          </cell>
          <cell r="Q35">
            <v>983404.8</v>
          </cell>
          <cell r="R35">
            <v>1014884.6400000002</v>
          </cell>
          <cell r="S35">
            <v>1039878.0000000001</v>
          </cell>
          <cell r="T35">
            <v>1058702.4000000001</v>
          </cell>
          <cell r="U35">
            <v>0</v>
          </cell>
        </row>
        <row r="36">
          <cell r="B36" t="str">
            <v>ND</v>
          </cell>
          <cell r="C36">
            <v>55974.240000000005</v>
          </cell>
          <cell r="D36">
            <v>57743.28</v>
          </cell>
          <cell r="E36">
            <v>58242.240000000005</v>
          </cell>
          <cell r="F36">
            <v>55157.760000000002</v>
          </cell>
          <cell r="G36">
            <v>51302.159999999996</v>
          </cell>
          <cell r="H36">
            <v>49034.16</v>
          </cell>
          <cell r="I36">
            <v>56427.840000000004</v>
          </cell>
          <cell r="J36">
            <v>49397.040000000008</v>
          </cell>
          <cell r="K36">
            <v>48535.200000000004</v>
          </cell>
          <cell r="L36">
            <v>13698.720000000001</v>
          </cell>
          <cell r="M36">
            <v>12610.080000000002</v>
          </cell>
          <cell r="N36">
            <v>15739.920000000002</v>
          </cell>
          <cell r="O36">
            <v>16238.880000000001</v>
          </cell>
          <cell r="P36">
            <v>14515.2</v>
          </cell>
          <cell r="Q36">
            <v>14787.36</v>
          </cell>
          <cell r="R36">
            <v>15377.039999999999</v>
          </cell>
          <cell r="S36">
            <v>14923.44</v>
          </cell>
          <cell r="T36">
            <v>13517.28</v>
          </cell>
          <cell r="U36">
            <v>0</v>
          </cell>
        </row>
        <row r="37">
          <cell r="B37" t="str">
            <v>OH</v>
          </cell>
          <cell r="C37">
            <v>283091.76</v>
          </cell>
          <cell r="D37">
            <v>291891.60000000003</v>
          </cell>
          <cell r="E37">
            <v>304184.16000000003</v>
          </cell>
          <cell r="F37">
            <v>280415.52</v>
          </cell>
          <cell r="G37">
            <v>181530.72</v>
          </cell>
          <cell r="H37">
            <v>159485.76000000004</v>
          </cell>
          <cell r="I37">
            <v>147918.96000000002</v>
          </cell>
          <cell r="J37">
            <v>141387.12</v>
          </cell>
          <cell r="K37">
            <v>154405.44</v>
          </cell>
          <cell r="L37">
            <v>152681.76000000004</v>
          </cell>
          <cell r="M37">
            <v>143020.08000000002</v>
          </cell>
          <cell r="N37">
            <v>134719.20000000001</v>
          </cell>
          <cell r="O37">
            <v>142158.24</v>
          </cell>
          <cell r="P37">
            <v>146784.96000000002</v>
          </cell>
          <cell r="Q37">
            <v>144607.68000000002</v>
          </cell>
          <cell r="R37">
            <v>131725.44</v>
          </cell>
          <cell r="S37">
            <v>131045.04000000001</v>
          </cell>
          <cell r="T37">
            <v>131226.48000000001</v>
          </cell>
          <cell r="U37">
            <v>0</v>
          </cell>
        </row>
        <row r="38">
          <cell r="B38" t="str">
            <v>OK</v>
          </cell>
          <cell r="C38">
            <v>27714.960000000003</v>
          </cell>
          <cell r="D38">
            <v>26444.880000000001</v>
          </cell>
          <cell r="E38">
            <v>29211.840000000007</v>
          </cell>
          <cell r="F38">
            <v>25401.600000000002</v>
          </cell>
          <cell r="G38">
            <v>25129.440000000002</v>
          </cell>
          <cell r="H38">
            <v>23859.360000000004</v>
          </cell>
          <cell r="I38">
            <v>144562.32</v>
          </cell>
          <cell r="J38">
            <v>305091.36000000004</v>
          </cell>
          <cell r="K38">
            <v>376578.72000000003</v>
          </cell>
          <cell r="L38">
            <v>416949.12000000005</v>
          </cell>
          <cell r="M38">
            <v>431555.04</v>
          </cell>
          <cell r="N38">
            <v>437769.36000000004</v>
          </cell>
          <cell r="O38">
            <v>441352.80000000005</v>
          </cell>
          <cell r="P38">
            <v>446886.72000000009</v>
          </cell>
          <cell r="Q38">
            <v>473331.60000000003</v>
          </cell>
          <cell r="R38">
            <v>484535.52000000008</v>
          </cell>
          <cell r="S38">
            <v>476280.00000000006</v>
          </cell>
          <cell r="T38">
            <v>469929.60000000003</v>
          </cell>
          <cell r="U38">
            <v>0</v>
          </cell>
        </row>
        <row r="39">
          <cell r="B39" t="str">
            <v>OR</v>
          </cell>
          <cell r="C39">
            <v>27669.600000000002</v>
          </cell>
          <cell r="D39">
            <v>21546.000000000004</v>
          </cell>
          <cell r="E39">
            <v>21137.760000000002</v>
          </cell>
          <cell r="F39">
            <v>22044.960000000003</v>
          </cell>
          <cell r="G39">
            <v>15513.120000000003</v>
          </cell>
          <cell r="H39">
            <v>16873.920000000006</v>
          </cell>
          <cell r="I39">
            <v>18189.36</v>
          </cell>
          <cell r="J39">
            <v>18688.32</v>
          </cell>
          <cell r="K39">
            <v>18779.04</v>
          </cell>
          <cell r="L39">
            <v>19550.160000000003</v>
          </cell>
          <cell r="M39">
            <v>20412.000000000004</v>
          </cell>
          <cell r="N39">
            <v>20321.28</v>
          </cell>
          <cell r="O39">
            <v>19686.240000000002</v>
          </cell>
          <cell r="P39">
            <v>19504.800000000003</v>
          </cell>
          <cell r="Q39">
            <v>18915.120000000003</v>
          </cell>
          <cell r="R39">
            <v>19822.320000000003</v>
          </cell>
          <cell r="S39">
            <v>22997.520000000004</v>
          </cell>
          <cell r="T39">
            <v>25673.760000000002</v>
          </cell>
          <cell r="U39">
            <v>0</v>
          </cell>
        </row>
        <row r="40">
          <cell r="B40" t="str">
            <v>PA</v>
          </cell>
          <cell r="C40">
            <v>450606.24000000005</v>
          </cell>
          <cell r="D40">
            <v>471290.40000000008</v>
          </cell>
          <cell r="E40">
            <v>486712.80000000005</v>
          </cell>
          <cell r="F40">
            <v>492201.36</v>
          </cell>
          <cell r="G40">
            <v>500411.52000000014</v>
          </cell>
          <cell r="H40">
            <v>514155.60000000003</v>
          </cell>
          <cell r="I40">
            <v>526811.04000000015</v>
          </cell>
          <cell r="J40">
            <v>509755.68000000005</v>
          </cell>
          <cell r="K40">
            <v>512568</v>
          </cell>
          <cell r="L40">
            <v>541553.04</v>
          </cell>
          <cell r="M40">
            <v>537470.64000000013</v>
          </cell>
          <cell r="N40">
            <v>529850.15999999992</v>
          </cell>
          <cell r="O40">
            <v>568179.36</v>
          </cell>
          <cell r="P40">
            <v>573259.68000000005</v>
          </cell>
          <cell r="Q40">
            <v>529215.12</v>
          </cell>
          <cell r="R40">
            <v>524679.12000000011</v>
          </cell>
          <cell r="S40">
            <v>554571.36</v>
          </cell>
          <cell r="T40">
            <v>584372.88</v>
          </cell>
          <cell r="U40">
            <v>0</v>
          </cell>
        </row>
        <row r="41">
          <cell r="B41" t="str">
            <v>SC</v>
          </cell>
          <cell r="C41">
            <v>78699.600000000006</v>
          </cell>
          <cell r="D41">
            <v>76340.880000000019</v>
          </cell>
          <cell r="E41">
            <v>81103.680000000008</v>
          </cell>
          <cell r="F41">
            <v>81149.040000000008</v>
          </cell>
          <cell r="G41">
            <v>77429.52</v>
          </cell>
          <cell r="H41">
            <v>74481.119999999995</v>
          </cell>
          <cell r="I41">
            <v>72530.640000000014</v>
          </cell>
          <cell r="J41">
            <v>74798.640000000014</v>
          </cell>
          <cell r="K41">
            <v>81920.160000000003</v>
          </cell>
          <cell r="L41">
            <v>100381.68000000001</v>
          </cell>
          <cell r="M41">
            <v>99202.319999999992</v>
          </cell>
          <cell r="N41">
            <v>105053.76000000001</v>
          </cell>
          <cell r="O41">
            <v>111948.48000000001</v>
          </cell>
          <cell r="P41">
            <v>110587.68000000001</v>
          </cell>
          <cell r="Q41">
            <v>111812.40000000001</v>
          </cell>
          <cell r="R41">
            <v>109589.76000000001</v>
          </cell>
          <cell r="S41">
            <v>112538.16000000002</v>
          </cell>
          <cell r="T41">
            <v>115350.48000000003</v>
          </cell>
          <cell r="U41">
            <v>0</v>
          </cell>
        </row>
        <row r="42">
          <cell r="B42" t="str">
            <v>SD</v>
          </cell>
          <cell r="C42">
            <v>562146.48</v>
          </cell>
          <cell r="D42">
            <v>571672.08000000007</v>
          </cell>
          <cell r="E42">
            <v>571082.40000000014</v>
          </cell>
          <cell r="F42">
            <v>524180.16000000003</v>
          </cell>
          <cell r="G42">
            <v>564641.28000000003</v>
          </cell>
          <cell r="H42">
            <v>579836.88</v>
          </cell>
          <cell r="I42">
            <v>543684.96</v>
          </cell>
          <cell r="J42">
            <v>504947.52000000008</v>
          </cell>
          <cell r="K42">
            <v>467616.24000000005</v>
          </cell>
          <cell r="L42">
            <v>452057.76</v>
          </cell>
          <cell r="M42">
            <v>441534.24000000005</v>
          </cell>
          <cell r="N42">
            <v>460494.72000000009</v>
          </cell>
          <cell r="O42">
            <v>425839.68</v>
          </cell>
          <cell r="P42">
            <v>445888.80000000005</v>
          </cell>
          <cell r="Q42">
            <v>446977.44</v>
          </cell>
          <cell r="R42">
            <v>454915.44</v>
          </cell>
          <cell r="S42">
            <v>429786.00000000006</v>
          </cell>
          <cell r="T42">
            <v>465892.56</v>
          </cell>
          <cell r="U42">
            <v>0</v>
          </cell>
        </row>
        <row r="43">
          <cell r="B43" t="str">
            <v>TN</v>
          </cell>
          <cell r="C43">
            <v>107684.64000000001</v>
          </cell>
          <cell r="D43">
            <v>77656.320000000007</v>
          </cell>
          <cell r="E43">
            <v>87227.280000000013</v>
          </cell>
          <cell r="F43">
            <v>97569.36</v>
          </cell>
          <cell r="G43">
            <v>104872.32000000001</v>
          </cell>
          <cell r="H43">
            <v>89903.52</v>
          </cell>
          <cell r="I43">
            <v>91808.640000000014</v>
          </cell>
          <cell r="J43">
            <v>95392.080000000016</v>
          </cell>
          <cell r="K43">
            <v>102060.00000000001</v>
          </cell>
          <cell r="L43">
            <v>105552.72</v>
          </cell>
          <cell r="M43">
            <v>106097.04000000002</v>
          </cell>
          <cell r="N43">
            <v>102921.84000000001</v>
          </cell>
          <cell r="O43">
            <v>103239.36</v>
          </cell>
          <cell r="P43">
            <v>105643.44</v>
          </cell>
          <cell r="Q43">
            <v>100744.56000000001</v>
          </cell>
          <cell r="R43">
            <v>97796.160000000003</v>
          </cell>
          <cell r="S43">
            <v>95709.6</v>
          </cell>
          <cell r="T43">
            <v>98748.72</v>
          </cell>
          <cell r="U43">
            <v>0</v>
          </cell>
        </row>
        <row r="44">
          <cell r="B44" t="str">
            <v>TX</v>
          </cell>
          <cell r="C44">
            <v>1760194.8</v>
          </cell>
          <cell r="D44">
            <v>1781876.8800000001</v>
          </cell>
          <cell r="E44">
            <v>1805055.8400000003</v>
          </cell>
          <cell r="F44">
            <v>1881941.04</v>
          </cell>
          <cell r="G44">
            <v>1966446.72</v>
          </cell>
          <cell r="H44">
            <v>2034577.4400000002</v>
          </cell>
          <cell r="I44">
            <v>2102436</v>
          </cell>
          <cell r="J44">
            <v>2088283.6800000004</v>
          </cell>
          <cell r="K44">
            <v>2205448.56</v>
          </cell>
          <cell r="L44">
            <v>2227402.8000000003</v>
          </cell>
          <cell r="M44">
            <v>2197238.4000000004</v>
          </cell>
          <cell r="N44">
            <v>2168570.8800000004</v>
          </cell>
          <cell r="O44">
            <v>2213568</v>
          </cell>
          <cell r="P44">
            <v>2197056.9600000004</v>
          </cell>
          <cell r="Q44">
            <v>2090597.04</v>
          </cell>
          <cell r="R44">
            <v>2125977.84</v>
          </cell>
          <cell r="S44">
            <v>2234841.84</v>
          </cell>
          <cell r="T44">
            <v>2121124.3200000003</v>
          </cell>
          <cell r="U44">
            <v>0</v>
          </cell>
        </row>
        <row r="45">
          <cell r="B45" t="str">
            <v>US</v>
          </cell>
          <cell r="C45">
            <v>17511726.960000001</v>
          </cell>
          <cell r="D45">
            <v>17872520.400000002</v>
          </cell>
          <cell r="E45">
            <v>18505065.600000001</v>
          </cell>
          <cell r="F45">
            <v>18401780.880000003</v>
          </cell>
          <cell r="G45">
            <v>19289657.52</v>
          </cell>
          <cell r="H45">
            <v>19739674.080000006</v>
          </cell>
          <cell r="I45">
            <v>19567215.360000003</v>
          </cell>
          <cell r="J45">
            <v>19599420.960000001</v>
          </cell>
          <cell r="K45">
            <v>20472374.16</v>
          </cell>
          <cell r="L45">
            <v>20924704.080000002</v>
          </cell>
          <cell r="M45">
            <v>20934275.040000003</v>
          </cell>
          <cell r="N45">
            <v>20713371.84</v>
          </cell>
          <cell r="O45">
            <v>21395813.040000003</v>
          </cell>
          <cell r="P45">
            <v>21126873.600000001</v>
          </cell>
          <cell r="Q45">
            <v>20601604.800000001</v>
          </cell>
          <cell r="R45">
            <v>20734282.800000001</v>
          </cell>
          <cell r="S45">
            <v>21562964.640000004</v>
          </cell>
          <cell r="T45">
            <v>22082971.680000003</v>
          </cell>
          <cell r="U45">
            <v>0</v>
          </cell>
        </row>
        <row r="46">
          <cell r="B46" t="str">
            <v>UT</v>
          </cell>
          <cell r="C46">
            <v>178582.32</v>
          </cell>
          <cell r="D46">
            <v>182301.84</v>
          </cell>
          <cell r="E46">
            <v>190920.24000000002</v>
          </cell>
          <cell r="F46">
            <v>197814.96000000005</v>
          </cell>
          <cell r="G46">
            <v>210515.76000000004</v>
          </cell>
          <cell r="H46">
            <v>192281.04</v>
          </cell>
          <cell r="I46">
            <v>188561.52000000002</v>
          </cell>
          <cell r="J46">
            <v>184978.08000000002</v>
          </cell>
          <cell r="K46">
            <v>208429.2</v>
          </cell>
          <cell r="L46">
            <v>224486.64</v>
          </cell>
          <cell r="M46">
            <v>225529.92</v>
          </cell>
          <cell r="N46">
            <v>236507.04</v>
          </cell>
          <cell r="O46">
            <v>230746.32</v>
          </cell>
          <cell r="P46">
            <v>208746.72000000003</v>
          </cell>
          <cell r="Q46">
            <v>186021.36000000002</v>
          </cell>
          <cell r="R46">
            <v>209245.68000000002</v>
          </cell>
          <cell r="S46">
            <v>227707.20000000004</v>
          </cell>
          <cell r="T46">
            <v>215641.44000000003</v>
          </cell>
          <cell r="U46">
            <v>0</v>
          </cell>
        </row>
        <row r="47">
          <cell r="B47" t="str">
            <v>VA</v>
          </cell>
          <cell r="C47">
            <v>370182.96000000008</v>
          </cell>
          <cell r="D47">
            <v>383745.60000000003</v>
          </cell>
          <cell r="E47">
            <v>387283.68</v>
          </cell>
          <cell r="F47">
            <v>322600.32000000007</v>
          </cell>
          <cell r="G47">
            <v>381205.44</v>
          </cell>
          <cell r="H47">
            <v>399757.68</v>
          </cell>
          <cell r="I47">
            <v>371861.28</v>
          </cell>
          <cell r="J47">
            <v>351721.44</v>
          </cell>
          <cell r="K47">
            <v>351131.76</v>
          </cell>
          <cell r="L47">
            <v>334983.60000000003</v>
          </cell>
          <cell r="M47">
            <v>327635.28000000003</v>
          </cell>
          <cell r="N47">
            <v>348682.32000000007</v>
          </cell>
          <cell r="O47">
            <v>366236.64</v>
          </cell>
          <cell r="P47">
            <v>341832.96000000002</v>
          </cell>
          <cell r="Q47">
            <v>344191.68</v>
          </cell>
          <cell r="R47">
            <v>298468.80000000005</v>
          </cell>
          <cell r="S47">
            <v>186248.16000000003</v>
          </cell>
          <cell r="T47">
            <v>217546.56000000003</v>
          </cell>
          <cell r="U47">
            <v>0</v>
          </cell>
        </row>
        <row r="48">
          <cell r="B48" t="str">
            <v>WA</v>
          </cell>
          <cell r="C48">
            <v>275516.64</v>
          </cell>
          <cell r="D48">
            <v>272658.96000000002</v>
          </cell>
          <cell r="E48">
            <v>279825.83999999997</v>
          </cell>
          <cell r="F48">
            <v>273974.40000000002</v>
          </cell>
          <cell r="G48">
            <v>294749.28000000003</v>
          </cell>
          <cell r="H48">
            <v>308357.28000000003</v>
          </cell>
          <cell r="I48">
            <v>333622.80000000005</v>
          </cell>
          <cell r="J48">
            <v>313528.32000000001</v>
          </cell>
          <cell r="K48">
            <v>317973.60000000003</v>
          </cell>
          <cell r="L48">
            <v>298242</v>
          </cell>
          <cell r="M48">
            <v>314798.40000000002</v>
          </cell>
          <cell r="N48">
            <v>304365.60000000003</v>
          </cell>
          <cell r="O48">
            <v>293887.44</v>
          </cell>
          <cell r="P48">
            <v>271207.44</v>
          </cell>
          <cell r="Q48">
            <v>221220.72</v>
          </cell>
          <cell r="R48">
            <v>280324.80000000005</v>
          </cell>
          <cell r="S48">
            <v>343239.12000000005</v>
          </cell>
          <cell r="T48">
            <v>399893.76000000007</v>
          </cell>
          <cell r="U48">
            <v>0</v>
          </cell>
        </row>
        <row r="49">
          <cell r="B49" t="str">
            <v>WV</v>
          </cell>
          <cell r="C49">
            <v>7257.6</v>
          </cell>
          <cell r="D49">
            <v>7847.2800000000016</v>
          </cell>
          <cell r="E49">
            <v>8119.4400000000005</v>
          </cell>
          <cell r="F49">
            <v>7756.5600000000013</v>
          </cell>
          <cell r="G49">
            <v>8663.760000000002</v>
          </cell>
          <cell r="H49">
            <v>8346.24</v>
          </cell>
          <cell r="I49">
            <v>9162.7200000000012</v>
          </cell>
          <cell r="J49">
            <v>6078.2400000000007</v>
          </cell>
          <cell r="K49">
            <v>4263.84</v>
          </cell>
          <cell r="L49">
            <v>4445.2800000000007</v>
          </cell>
          <cell r="M49">
            <v>3810.2400000000002</v>
          </cell>
          <cell r="N49">
            <v>3447.36</v>
          </cell>
          <cell r="O49">
            <v>3492.7200000000003</v>
          </cell>
          <cell r="P49">
            <v>3220.56</v>
          </cell>
          <cell r="Q49">
            <v>3175.2000000000003</v>
          </cell>
          <cell r="R49">
            <v>2812.3200000000006</v>
          </cell>
          <cell r="S49">
            <v>2676.2400000000002</v>
          </cell>
          <cell r="T49">
            <v>3039.1200000000003</v>
          </cell>
          <cell r="U49">
            <v>0</v>
          </cell>
        </row>
        <row r="50">
          <cell r="B50" t="str">
            <v>WI</v>
          </cell>
          <cell r="C50">
            <v>396491.76</v>
          </cell>
          <cell r="D50">
            <v>383881.68</v>
          </cell>
          <cell r="E50">
            <v>435138.48</v>
          </cell>
          <cell r="F50">
            <v>456321.60000000003</v>
          </cell>
          <cell r="G50">
            <v>450334.08</v>
          </cell>
          <cell r="H50">
            <v>461084.40000000008</v>
          </cell>
          <cell r="I50">
            <v>506671.2</v>
          </cell>
          <cell r="J50">
            <v>531210.96</v>
          </cell>
          <cell r="K50">
            <v>557565.12</v>
          </cell>
          <cell r="L50">
            <v>593399.52</v>
          </cell>
          <cell r="M50">
            <v>611498.16</v>
          </cell>
          <cell r="N50">
            <v>591358.32000000007</v>
          </cell>
          <cell r="O50">
            <v>614628.00000000012</v>
          </cell>
          <cell r="P50">
            <v>596620.07999999996</v>
          </cell>
          <cell r="Q50">
            <v>556521.84000000008</v>
          </cell>
          <cell r="R50">
            <v>559606.32000000007</v>
          </cell>
          <cell r="S50">
            <v>605782.80000000005</v>
          </cell>
          <cell r="T50">
            <v>643839.84000000008</v>
          </cell>
          <cell r="U50">
            <v>0</v>
          </cell>
        </row>
        <row r="51">
          <cell r="B51" t="str">
            <v>WY</v>
          </cell>
          <cell r="C51">
            <v>2041.2</v>
          </cell>
          <cell r="D51">
            <v>1814.4</v>
          </cell>
          <cell r="E51">
            <v>1905.1200000000001</v>
          </cell>
          <cell r="F51">
            <v>2086.56</v>
          </cell>
          <cell r="G51">
            <v>2222.6400000000003</v>
          </cell>
          <cell r="H51">
            <v>2540.16</v>
          </cell>
          <cell r="I51">
            <v>2494.8000000000002</v>
          </cell>
          <cell r="J51">
            <v>2268</v>
          </cell>
          <cell r="K51">
            <v>2449.44</v>
          </cell>
          <cell r="L51">
            <v>2540.16</v>
          </cell>
          <cell r="M51">
            <v>2268</v>
          </cell>
          <cell r="N51">
            <v>2086.56</v>
          </cell>
          <cell r="O51">
            <v>2585.5200000000004</v>
          </cell>
          <cell r="P51">
            <v>2993.76</v>
          </cell>
          <cell r="Q51">
            <v>3129.8400000000006</v>
          </cell>
          <cell r="R51">
            <v>2948.4000000000005</v>
          </cell>
          <cell r="S51">
            <v>2812.3200000000006</v>
          </cell>
          <cell r="T51">
            <v>2766.96</v>
          </cell>
          <cell r="U51">
            <v>0</v>
          </cell>
        </row>
      </sheetData>
      <sheetData sheetId="14"/>
      <sheetData sheetId="15"/>
      <sheetData sheetId="16"/>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Control"/>
      <sheetName val="Natural Gas - Production"/>
      <sheetName val="Natural Gas - Transmission"/>
      <sheetName val="Natural Gas - Distribution"/>
      <sheetName val="Natural Gas - Venting_Flaring"/>
      <sheetName val="Petroleum Systems"/>
      <sheetName val="Summary"/>
      <sheetName val="Tracker"/>
      <sheetName val="Uncertainty"/>
      <sheetName val="Gas Data Sources"/>
      <sheetName val="Oil Data Sources"/>
      <sheetName val="Emission Factors"/>
      <sheetName val="Production Data"/>
      <sheetName val="Number of Wells"/>
      <sheetName val="Data"/>
      <sheetName val="ListData"/>
      <sheetName val="No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2">
          <cell r="E2">
            <v>1</v>
          </cell>
        </row>
        <row r="3">
          <cell r="H3">
            <v>1</v>
          </cell>
          <cell r="I3">
            <v>2.7801668220797371</v>
          </cell>
        </row>
        <row r="4">
          <cell r="H4">
            <v>2</v>
          </cell>
          <cell r="I4">
            <v>2.7820946386247414</v>
          </cell>
        </row>
        <row r="5">
          <cell r="H5">
            <v>3</v>
          </cell>
          <cell r="I5">
            <v>3.7137318090564362</v>
          </cell>
        </row>
      </sheetData>
      <sheetData sheetId="16"/>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Control"/>
      <sheetName val="Residential N2O"/>
      <sheetName val="Residential CH4"/>
      <sheetName val="Commercial N2O"/>
      <sheetName val="Commercial CH4"/>
      <sheetName val="Electric Power N2O"/>
      <sheetName val="Electric Power CH4"/>
      <sheetName val="Industrial N2O"/>
      <sheetName val="Industrial CH4"/>
      <sheetName val="Summary N2O"/>
      <sheetName val="Summary CH4"/>
      <sheetName val="Total Summary"/>
      <sheetName val="Tracker"/>
      <sheetName val="Uncertainty"/>
      <sheetName val="Constants"/>
      <sheetName val="SED Btu 1990-2005"/>
      <sheetName val="FF Consumption"/>
      <sheetName val="Non-Energy Consump."/>
      <sheetName val="synthetic NG"/>
      <sheetName val="Emission Factors"/>
      <sheetName val="Code Key"/>
      <sheetName val="Documentation"/>
      <sheetName val="Data Sources"/>
      <sheetName val="No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
          <cell r="G2" t="str">
            <v>Maryland</v>
          </cell>
        </row>
      </sheetData>
      <sheetData sheetId="15"/>
      <sheetData sheetId="16"/>
      <sheetData sheetId="17"/>
      <sheetData sheetId="18"/>
      <sheetData sheetId="19"/>
      <sheetData sheetId="20"/>
      <sheetData sheetId="21"/>
      <sheetData sheetId="22"/>
      <sheetData sheetId="23"/>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Control"/>
      <sheetName val="Results"/>
      <sheetName val="Tracker"/>
      <sheetName val="Uncertainty"/>
      <sheetName val="Flaring"/>
      <sheetName val="LFGTE"/>
      <sheetName val="State Population"/>
      <sheetName val="State Disposal"/>
      <sheetName val="FOD Calcs"/>
      <sheetName val="State MSW Combusted"/>
      <sheetName val="CO2_Plastics"/>
      <sheetName val="CO2_Syn. Rubber"/>
      <sheetName val="CO2_Syn. Fibers"/>
      <sheetName val="N2O_MSW"/>
      <sheetName val="State WIP"/>
      <sheetName val="MSW Landfilled"/>
      <sheetName val="MSW Discarded"/>
      <sheetName val="MSW Combusted"/>
      <sheetName val="MSW Generated"/>
      <sheetName val="MSW Flared"/>
      <sheetName val="Default LFGTE"/>
      <sheetName val="Population"/>
      <sheetName val="Lookups"/>
      <sheetName val="Data Sources"/>
      <sheetName val="Notes"/>
    </sheetNames>
    <sheetDataSet>
      <sheetData sheetId="0" refreshError="1">
        <row r="76">
          <cell r="G76">
            <v>0.98</v>
          </cell>
        </row>
      </sheetData>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refreshError="1"/>
      <sheetData sheetId="17"/>
      <sheetData sheetId="18"/>
      <sheetData sheetId="19"/>
      <sheetData sheetId="20"/>
      <sheetData sheetId="21"/>
      <sheetData sheetId="22" refreshError="1"/>
      <sheetData sheetId="23"/>
      <sheetData sheetId="24"/>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Control"/>
      <sheetName val="Cement"/>
      <sheetName val="Lime"/>
      <sheetName val="Limestone"/>
      <sheetName val="Soda Ash"/>
      <sheetName val="Iron &amp; Steel"/>
      <sheetName val="Ammonia &amp; Urea"/>
      <sheetName val="Nitric"/>
      <sheetName val="Adipic"/>
      <sheetName val="Aluminum"/>
      <sheetName val="HCFC-22"/>
      <sheetName val="ODS"/>
      <sheetName val="Semiconductor"/>
      <sheetName val="Electric Power"/>
      <sheetName val="Magnesium"/>
      <sheetName val="Summary, MTCE"/>
      <sheetName val="Summary, MTCO2E"/>
      <sheetName val="Tracker"/>
      <sheetName val="Uncertainty"/>
      <sheetName val="Data Sources"/>
      <sheetName val="Data"/>
      <sheetName val="EF"/>
      <sheetName val="ODS subs method"/>
      <sheetName val="List Data"/>
      <sheetName val="Lime Proportion Data"/>
      <sheetName val="Soda Ash Method"/>
      <sheetName val="Industrial Limestone Ratios"/>
      <sheetName val="semiconductors method"/>
      <sheetName val="Electric Power method"/>
      <sheetName val="Iron &amp; Steel Data"/>
      <sheetName val="Ammonia Defaults"/>
      <sheetName val="state population"/>
      <sheetName val="No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2">
          <cell r="E2">
            <v>1990</v>
          </cell>
          <cell r="F2">
            <v>1991</v>
          </cell>
          <cell r="G2">
            <v>1992</v>
          </cell>
          <cell r="H2">
            <v>1993</v>
          </cell>
          <cell r="I2">
            <v>1994</v>
          </cell>
          <cell r="J2">
            <v>1995</v>
          </cell>
          <cell r="K2">
            <v>1996</v>
          </cell>
          <cell r="L2">
            <v>1997</v>
          </cell>
          <cell r="M2">
            <v>1998</v>
          </cell>
          <cell r="N2">
            <v>1999</v>
          </cell>
          <cell r="O2">
            <v>2000</v>
          </cell>
          <cell r="P2">
            <v>2001</v>
          </cell>
          <cell r="Q2">
            <v>2002</v>
          </cell>
          <cell r="R2">
            <v>2003</v>
          </cell>
          <cell r="S2">
            <v>2004</v>
          </cell>
          <cell r="T2">
            <v>2005</v>
          </cell>
          <cell r="U2">
            <v>2006</v>
          </cell>
          <cell r="V2">
            <v>2007</v>
          </cell>
          <cell r="W2">
            <v>2008</v>
          </cell>
          <cell r="X2">
            <v>2009</v>
          </cell>
          <cell r="Y2">
            <v>2010</v>
          </cell>
          <cell r="Z2">
            <v>2011</v>
          </cell>
          <cell r="AA2">
            <v>2012</v>
          </cell>
          <cell r="AB2">
            <v>2013</v>
          </cell>
          <cell r="AC2">
            <v>2014</v>
          </cell>
          <cell r="AD2">
            <v>2015</v>
          </cell>
          <cell r="AE2">
            <v>2016</v>
          </cell>
          <cell r="AF2">
            <v>2017</v>
          </cell>
          <cell r="AG2">
            <v>2018</v>
          </cell>
          <cell r="AH2">
            <v>2019</v>
          </cell>
          <cell r="AI2">
            <v>2020</v>
          </cell>
        </row>
        <row r="3">
          <cell r="D3" t="str">
            <v>Year</v>
          </cell>
          <cell r="E3">
            <v>2</v>
          </cell>
          <cell r="F3">
            <v>3</v>
          </cell>
          <cell r="G3">
            <v>4</v>
          </cell>
          <cell r="H3">
            <v>5</v>
          </cell>
          <cell r="I3">
            <v>6</v>
          </cell>
          <cell r="J3">
            <v>7</v>
          </cell>
          <cell r="K3">
            <v>8</v>
          </cell>
          <cell r="L3">
            <v>9</v>
          </cell>
          <cell r="M3">
            <v>10</v>
          </cell>
          <cell r="N3">
            <v>11</v>
          </cell>
          <cell r="O3">
            <v>12</v>
          </cell>
          <cell r="P3">
            <v>13</v>
          </cell>
          <cell r="Q3">
            <v>14</v>
          </cell>
          <cell r="R3">
            <v>15</v>
          </cell>
          <cell r="S3">
            <v>16</v>
          </cell>
          <cell r="T3">
            <v>17</v>
          </cell>
          <cell r="U3">
            <v>18</v>
          </cell>
          <cell r="V3">
            <v>19</v>
          </cell>
          <cell r="W3">
            <v>20</v>
          </cell>
          <cell r="X3">
            <v>21</v>
          </cell>
          <cell r="Y3">
            <v>22</v>
          </cell>
          <cell r="Z3">
            <v>23</v>
          </cell>
          <cell r="AA3">
            <v>24</v>
          </cell>
          <cell r="AB3">
            <v>25</v>
          </cell>
          <cell r="AC3">
            <v>26</v>
          </cell>
          <cell r="AD3">
            <v>27</v>
          </cell>
          <cell r="AE3">
            <v>28</v>
          </cell>
          <cell r="AF3">
            <v>29</v>
          </cell>
          <cell r="AG3">
            <v>30</v>
          </cell>
          <cell r="AH3">
            <v>31</v>
          </cell>
          <cell r="AI3">
            <v>32</v>
          </cell>
        </row>
        <row r="4">
          <cell r="D4" t="str">
            <v>AL Cement Cl</v>
          </cell>
          <cell r="E4">
            <v>3213281.3208745345</v>
          </cell>
          <cell r="F4">
            <v>3148870.5434092348</v>
          </cell>
          <cell r="G4">
            <v>2968338.9276966341</v>
          </cell>
          <cell r="H4">
            <v>3567000</v>
          </cell>
          <cell r="I4">
            <v>3816000</v>
          </cell>
          <cell r="J4">
            <v>3683000</v>
          </cell>
          <cell r="K4">
            <v>3886000</v>
          </cell>
          <cell r="L4">
            <v>4007000</v>
          </cell>
          <cell r="M4">
            <v>4180000</v>
          </cell>
          <cell r="N4">
            <v>3990000</v>
          </cell>
          <cell r="O4">
            <v>4150870</v>
          </cell>
          <cell r="P4">
            <v>4150000</v>
          </cell>
          <cell r="Q4">
            <v>4397000</v>
          </cell>
          <cell r="R4">
            <v>4590000</v>
          </cell>
          <cell r="S4">
            <v>5047994.5237440001</v>
          </cell>
          <cell r="T4">
            <v>4884000</v>
          </cell>
          <cell r="U4">
            <v>5185749.7801649999</v>
          </cell>
          <cell r="V4">
            <v>4898054.2011150001</v>
          </cell>
        </row>
        <row r="5">
          <cell r="D5" t="str">
            <v>AK Cement Cl</v>
          </cell>
          <cell r="E5">
            <v>0</v>
          </cell>
          <cell r="F5">
            <v>267924.64241434576</v>
          </cell>
          <cell r="G5">
            <v>335359.40004233574</v>
          </cell>
          <cell r="H5">
            <v>372500</v>
          </cell>
          <cell r="I5">
            <v>413000</v>
          </cell>
          <cell r="J5">
            <v>400000</v>
          </cell>
          <cell r="K5">
            <v>62000</v>
          </cell>
          <cell r="L5">
            <v>0</v>
          </cell>
          <cell r="M5">
            <v>0</v>
          </cell>
          <cell r="N5">
            <v>0</v>
          </cell>
          <cell r="O5">
            <v>0</v>
          </cell>
          <cell r="P5">
            <v>0</v>
          </cell>
          <cell r="Q5">
            <v>0</v>
          </cell>
          <cell r="R5">
            <v>0</v>
          </cell>
          <cell r="S5">
            <v>2536422.053936</v>
          </cell>
          <cell r="T5">
            <v>0</v>
          </cell>
          <cell r="U5">
            <v>0</v>
          </cell>
          <cell r="V5">
            <v>0</v>
          </cell>
        </row>
        <row r="6">
          <cell r="D6" t="str">
            <v>AZ Cement Cl</v>
          </cell>
          <cell r="E6">
            <v>557319.54398379149</v>
          </cell>
          <cell r="F6">
            <v>953460.94529619883</v>
          </cell>
          <cell r="G6">
            <v>545526.02134929993</v>
          </cell>
          <cell r="H6">
            <v>788500</v>
          </cell>
          <cell r="I6">
            <v>940000</v>
          </cell>
          <cell r="J6">
            <v>987000</v>
          </cell>
          <cell r="K6">
            <v>1055000</v>
          </cell>
          <cell r="L6">
            <v>1085000</v>
          </cell>
          <cell r="M6">
            <v>1092000</v>
          </cell>
          <cell r="N6">
            <v>1113000</v>
          </cell>
          <cell r="O6">
            <v>1094173</v>
          </cell>
          <cell r="P6">
            <v>1100500</v>
          </cell>
          <cell r="Q6">
            <v>1073500</v>
          </cell>
          <cell r="R6">
            <v>1277000</v>
          </cell>
          <cell r="S6">
            <v>1282890.6248639999</v>
          </cell>
          <cell r="T6">
            <v>1302000</v>
          </cell>
          <cell r="U6">
            <v>1313621.5701075001</v>
          </cell>
          <cell r="V6">
            <v>1249832.8568325001</v>
          </cell>
        </row>
        <row r="7">
          <cell r="D7" t="str">
            <v>AR Cement Cl</v>
          </cell>
          <cell r="E7">
            <v>591036.9227977863</v>
          </cell>
          <cell r="F7">
            <v>564274.69835797872</v>
          </cell>
          <cell r="G7">
            <v>593758.5049442075</v>
          </cell>
          <cell r="H7">
            <v>1177000</v>
          </cell>
          <cell r="I7">
            <v>1186000</v>
          </cell>
          <cell r="J7">
            <v>1250000</v>
          </cell>
          <cell r="K7">
            <v>1253000</v>
          </cell>
          <cell r="L7">
            <v>1262000</v>
          </cell>
          <cell r="M7">
            <v>1251000</v>
          </cell>
          <cell r="N7">
            <v>1231000</v>
          </cell>
          <cell r="O7">
            <v>1259479</v>
          </cell>
          <cell r="P7">
            <v>1261000</v>
          </cell>
          <cell r="Q7">
            <v>1265500</v>
          </cell>
          <cell r="R7">
            <v>1244500</v>
          </cell>
          <cell r="S7">
            <v>1268211.026968</v>
          </cell>
          <cell r="T7">
            <v>1314000</v>
          </cell>
          <cell r="U7">
            <v>1287414.3562350001</v>
          </cell>
          <cell r="V7">
            <v>1231749.4846350001</v>
          </cell>
        </row>
        <row r="8">
          <cell r="D8" t="str">
            <v>CA Cement Cl</v>
          </cell>
          <cell r="E8">
            <v>8874172.1854304634</v>
          </cell>
          <cell r="F8">
            <v>8178354.3499954641</v>
          </cell>
          <cell r="G8">
            <v>7819105.5066678757</v>
          </cell>
          <cell r="H8">
            <v>8024000</v>
          </cell>
          <cell r="I8">
            <v>9123000</v>
          </cell>
          <cell r="J8">
            <v>9227000</v>
          </cell>
          <cell r="K8">
            <v>9543000</v>
          </cell>
          <cell r="L8">
            <v>9824000</v>
          </cell>
          <cell r="M8">
            <v>9964000</v>
          </cell>
          <cell r="N8">
            <v>10645000</v>
          </cell>
          <cell r="O8">
            <v>10621222</v>
          </cell>
          <cell r="P8">
            <v>10148000</v>
          </cell>
          <cell r="Q8">
            <v>11187000</v>
          </cell>
          <cell r="R8">
            <v>11283000</v>
          </cell>
          <cell r="S8">
            <v>11592857.162432002</v>
          </cell>
          <cell r="T8">
            <v>11466000</v>
          </cell>
          <cell r="U8">
            <v>11169862.276470002</v>
          </cell>
          <cell r="V8">
            <v>10878756.589004999</v>
          </cell>
        </row>
        <row r="9">
          <cell r="D9" t="str">
            <v>CO Cement Cl</v>
          </cell>
          <cell r="E9">
            <v>613867.97302609694</v>
          </cell>
          <cell r="F9">
            <v>647509.75233602466</v>
          </cell>
          <cell r="G9">
            <v>694457.0443617889</v>
          </cell>
          <cell r="H9">
            <v>848500</v>
          </cell>
          <cell r="I9">
            <v>849000</v>
          </cell>
          <cell r="J9">
            <v>920000</v>
          </cell>
          <cell r="K9">
            <v>914000</v>
          </cell>
          <cell r="L9">
            <v>982000</v>
          </cell>
          <cell r="M9">
            <v>979000</v>
          </cell>
          <cell r="N9">
            <v>998000</v>
          </cell>
          <cell r="O9">
            <v>1070888</v>
          </cell>
          <cell r="P9">
            <v>896500</v>
          </cell>
          <cell r="Q9">
            <v>958000</v>
          </cell>
          <cell r="R9">
            <v>1175000</v>
          </cell>
          <cell r="S9">
            <v>1242896.51104</v>
          </cell>
          <cell r="T9">
            <v>1204500</v>
          </cell>
          <cell r="U9">
            <v>1246704.42936</v>
          </cell>
          <cell r="V9">
            <v>1097126.4057825</v>
          </cell>
        </row>
        <row r="10">
          <cell r="D10" t="str">
            <v>CT Cement Cl</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row>
        <row r="11">
          <cell r="D11" t="str">
            <v>DC Cement Cl</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row>
        <row r="12">
          <cell r="D12" t="str">
            <v>DE Cement Cl</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row>
        <row r="13">
          <cell r="D13" t="str">
            <v>FL Cement Cl</v>
          </cell>
          <cell r="E13">
            <v>2302458.4958722671</v>
          </cell>
          <cell r="F13">
            <v>2300644.107774653</v>
          </cell>
          <cell r="G13">
            <v>2488433.27587771</v>
          </cell>
          <cell r="H13">
            <v>3052000</v>
          </cell>
          <cell r="I13">
            <v>2826000</v>
          </cell>
          <cell r="J13">
            <v>2787000</v>
          </cell>
          <cell r="K13">
            <v>2957000</v>
          </cell>
          <cell r="L13">
            <v>2874000</v>
          </cell>
          <cell r="M13">
            <v>2952000</v>
          </cell>
          <cell r="N13">
            <v>2990000</v>
          </cell>
          <cell r="O13">
            <v>3471985</v>
          </cell>
          <cell r="P13">
            <v>3589000</v>
          </cell>
          <cell r="Q13">
            <v>3677000</v>
          </cell>
          <cell r="R13">
            <v>3868000</v>
          </cell>
          <cell r="S13">
            <v>4757710.1586880004</v>
          </cell>
          <cell r="T13">
            <v>5285000</v>
          </cell>
          <cell r="U13">
            <v>5629612.7210400002</v>
          </cell>
          <cell r="V13">
            <v>5229118.6662750002</v>
          </cell>
        </row>
        <row r="14">
          <cell r="D14" t="str">
            <v>GA Cement Cl</v>
          </cell>
          <cell r="E14">
            <v>946656.98993014602</v>
          </cell>
          <cell r="F14">
            <v>839608.09217091533</v>
          </cell>
          <cell r="G14">
            <v>859112.7642202666</v>
          </cell>
          <cell r="H14">
            <v>1569500</v>
          </cell>
          <cell r="I14">
            <v>1596000</v>
          </cell>
          <cell r="J14">
            <v>1625000</v>
          </cell>
          <cell r="K14">
            <v>810000</v>
          </cell>
          <cell r="L14">
            <v>816000</v>
          </cell>
          <cell r="M14">
            <v>867000</v>
          </cell>
          <cell r="N14">
            <v>895000</v>
          </cell>
          <cell r="O14">
            <v>981393</v>
          </cell>
          <cell r="P14">
            <v>956333.33333333337</v>
          </cell>
          <cell r="Q14">
            <v>882333.33333333337</v>
          </cell>
          <cell r="R14">
            <v>807333.33333333337</v>
          </cell>
          <cell r="S14">
            <v>806968.29070399993</v>
          </cell>
          <cell r="T14">
            <v>748333.33333333337</v>
          </cell>
          <cell r="U14">
            <v>821270.64936499996</v>
          </cell>
          <cell r="V14">
            <v>778551.91250500001</v>
          </cell>
        </row>
        <row r="15">
          <cell r="D15" t="str">
            <v>HI Cement Cl</v>
          </cell>
          <cell r="E15">
            <v>195046.72049351357</v>
          </cell>
          <cell r="F15">
            <v>201397.07883516283</v>
          </cell>
          <cell r="G15">
            <v>195046.72049351357</v>
          </cell>
          <cell r="H15">
            <v>372500</v>
          </cell>
          <cell r="I15">
            <v>413000</v>
          </cell>
          <cell r="J15">
            <v>400000</v>
          </cell>
          <cell r="K15">
            <v>62000</v>
          </cell>
          <cell r="L15">
            <v>0</v>
          </cell>
          <cell r="M15">
            <v>0</v>
          </cell>
          <cell r="N15">
            <v>0</v>
          </cell>
          <cell r="O15">
            <v>0</v>
          </cell>
          <cell r="P15">
            <v>0</v>
          </cell>
          <cell r="Q15">
            <v>0</v>
          </cell>
          <cell r="R15">
            <v>0</v>
          </cell>
          <cell r="S15">
            <v>0</v>
          </cell>
          <cell r="T15">
            <v>0</v>
          </cell>
          <cell r="U15">
            <v>0</v>
          </cell>
          <cell r="V15">
            <v>0</v>
          </cell>
        </row>
        <row r="16">
          <cell r="D16" t="str">
            <v>ID Cement Cl</v>
          </cell>
          <cell r="E16">
            <v>506516.67725059722</v>
          </cell>
          <cell r="F16">
            <v>591188.12180592085</v>
          </cell>
          <cell r="G16">
            <v>520426.98599897174</v>
          </cell>
          <cell r="H16">
            <v>485250</v>
          </cell>
          <cell r="I16">
            <v>517000</v>
          </cell>
          <cell r="J16">
            <v>522000</v>
          </cell>
          <cell r="K16">
            <v>519000</v>
          </cell>
          <cell r="L16">
            <v>556000</v>
          </cell>
          <cell r="M16">
            <v>626000</v>
          </cell>
          <cell r="N16">
            <v>663000</v>
          </cell>
          <cell r="O16">
            <v>694030</v>
          </cell>
          <cell r="P16">
            <v>673750</v>
          </cell>
          <cell r="Q16">
            <v>667500</v>
          </cell>
          <cell r="R16">
            <v>689750</v>
          </cell>
          <cell r="S16">
            <v>694260.65772799996</v>
          </cell>
          <cell r="T16">
            <v>699250</v>
          </cell>
          <cell r="U16">
            <v>700119.34336125001</v>
          </cell>
          <cell r="V16">
            <v>680502.82851374999</v>
          </cell>
        </row>
        <row r="17">
          <cell r="D17" t="str">
            <v>IL Cement Cl</v>
          </cell>
          <cell r="E17">
            <v>2229882.9719677037</v>
          </cell>
          <cell r="F17">
            <v>2305180.0780186881</v>
          </cell>
          <cell r="G17">
            <v>2414043.363875533</v>
          </cell>
          <cell r="H17">
            <v>2279000</v>
          </cell>
          <cell r="I17">
            <v>2332000</v>
          </cell>
          <cell r="J17">
            <v>2345000</v>
          </cell>
          <cell r="K17">
            <v>2557000</v>
          </cell>
          <cell r="L17">
            <v>2412000</v>
          </cell>
          <cell r="M17">
            <v>2474000</v>
          </cell>
          <cell r="N17">
            <v>2561000</v>
          </cell>
          <cell r="O17">
            <v>2524895</v>
          </cell>
          <cell r="P17">
            <v>2497000</v>
          </cell>
          <cell r="Q17">
            <v>2550000</v>
          </cell>
          <cell r="R17">
            <v>2572000</v>
          </cell>
          <cell r="S17">
            <v>2654179.0730559998</v>
          </cell>
          <cell r="T17">
            <v>2721000</v>
          </cell>
          <cell r="U17">
            <v>2575204.28706</v>
          </cell>
          <cell r="V17">
            <v>2868979.8199800001</v>
          </cell>
        </row>
        <row r="18">
          <cell r="D18" t="str">
            <v>IN Cement Cl</v>
          </cell>
          <cell r="E18">
            <v>2299736.9137258455</v>
          </cell>
          <cell r="F18">
            <v>2220811.0314796334</v>
          </cell>
          <cell r="G18">
            <v>2184523.2695273515</v>
          </cell>
          <cell r="H18">
            <v>2149000</v>
          </cell>
          <cell r="I18">
            <v>2317000</v>
          </cell>
          <cell r="J18">
            <v>2435000</v>
          </cell>
          <cell r="K18">
            <v>2355000</v>
          </cell>
          <cell r="L18">
            <v>2495000</v>
          </cell>
          <cell r="M18">
            <v>2577000</v>
          </cell>
          <cell r="N18">
            <v>2481000</v>
          </cell>
          <cell r="O18">
            <v>2537004</v>
          </cell>
          <cell r="P18">
            <v>2855000</v>
          </cell>
          <cell r="Q18">
            <v>3070000</v>
          </cell>
          <cell r="R18">
            <v>2975000</v>
          </cell>
          <cell r="S18">
            <v>3162927.860256</v>
          </cell>
          <cell r="T18">
            <v>3161000</v>
          </cell>
          <cell r="U18">
            <v>3100595.943885</v>
          </cell>
          <cell r="V18">
            <v>3082464.0372899999</v>
          </cell>
        </row>
        <row r="19">
          <cell r="D19" t="str">
            <v>IA Cement Cl</v>
          </cell>
          <cell r="E19">
            <v>1923251.3834709243</v>
          </cell>
          <cell r="F19">
            <v>2099247.0289394902</v>
          </cell>
          <cell r="G19">
            <v>2130091.6265989295</v>
          </cell>
          <cell r="H19">
            <v>1115666.6666666667</v>
          </cell>
          <cell r="I19">
            <v>1212000</v>
          </cell>
          <cell r="J19">
            <v>1157000</v>
          </cell>
          <cell r="K19">
            <v>1211000</v>
          </cell>
          <cell r="L19">
            <v>1312000</v>
          </cell>
          <cell r="M19">
            <v>1340000</v>
          </cell>
          <cell r="N19">
            <v>1297000</v>
          </cell>
          <cell r="O19">
            <v>1325320</v>
          </cell>
          <cell r="P19">
            <v>1313000</v>
          </cell>
          <cell r="Q19">
            <v>1375666.6666666667</v>
          </cell>
          <cell r="R19">
            <v>1353333.3333333333</v>
          </cell>
          <cell r="S19">
            <v>1282945.0559039998</v>
          </cell>
          <cell r="T19">
            <v>1364333.3333333333</v>
          </cell>
          <cell r="U19">
            <v>1407269.5216700002</v>
          </cell>
          <cell r="V19">
            <v>1396892.5348499999</v>
          </cell>
        </row>
        <row r="20">
          <cell r="D20" t="str">
            <v>KS Cement Cl</v>
          </cell>
          <cell r="E20">
            <v>1529529.166288669</v>
          </cell>
          <cell r="F20">
            <v>1395264.4470652272</v>
          </cell>
          <cell r="G20">
            <v>0</v>
          </cell>
          <cell r="H20">
            <v>1458000</v>
          </cell>
          <cell r="I20">
            <v>1588000</v>
          </cell>
          <cell r="J20">
            <v>1643000</v>
          </cell>
          <cell r="K20">
            <v>1619000</v>
          </cell>
          <cell r="L20">
            <v>1635000</v>
          </cell>
          <cell r="M20">
            <v>1672000</v>
          </cell>
          <cell r="N20">
            <v>1735000</v>
          </cell>
          <cell r="O20">
            <v>1793058</v>
          </cell>
          <cell r="P20">
            <v>1789000</v>
          </cell>
          <cell r="Q20">
            <v>2373000</v>
          </cell>
          <cell r="R20">
            <v>2203000</v>
          </cell>
          <cell r="S20">
            <v>2607939.9045759998</v>
          </cell>
          <cell r="T20">
            <v>2792000</v>
          </cell>
          <cell r="U20">
            <v>2951001.137385</v>
          </cell>
          <cell r="V20">
            <v>2626479.2904449999</v>
          </cell>
        </row>
        <row r="21">
          <cell r="D21" t="str">
            <v>KY Cement Cl</v>
          </cell>
          <cell r="E21">
            <v>707006.56203695305</v>
          </cell>
          <cell r="F21">
            <v>596631.28609876311</v>
          </cell>
          <cell r="G21">
            <v>623242.31153043639</v>
          </cell>
          <cell r="H21">
            <v>621666.66666666663</v>
          </cell>
          <cell r="I21">
            <v>629000</v>
          </cell>
          <cell r="J21">
            <v>693000</v>
          </cell>
          <cell r="K21">
            <v>684000</v>
          </cell>
          <cell r="L21">
            <v>727000</v>
          </cell>
          <cell r="M21">
            <v>745000</v>
          </cell>
          <cell r="N21">
            <v>759000</v>
          </cell>
          <cell r="O21">
            <v>680446</v>
          </cell>
          <cell r="P21">
            <v>973333.33333333337</v>
          </cell>
          <cell r="Q21">
            <v>989333.33333333337</v>
          </cell>
          <cell r="R21">
            <v>1013666.6666666666</v>
          </cell>
          <cell r="S21">
            <v>1036154.1157546665</v>
          </cell>
          <cell r="T21">
            <v>1044333.3333333334</v>
          </cell>
          <cell r="U21">
            <v>1093404.0745300001</v>
          </cell>
          <cell r="V21">
            <v>1105536.4643250001</v>
          </cell>
        </row>
        <row r="22">
          <cell r="D22" t="str">
            <v>LA Cement Cl</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row>
        <row r="23">
          <cell r="D23" t="str">
            <v>ME Cement Cl</v>
          </cell>
          <cell r="E23">
            <v>1292751.5195500315</v>
          </cell>
          <cell r="F23">
            <v>1281411.5939399437</v>
          </cell>
          <cell r="G23">
            <v>1387099.7006259637</v>
          </cell>
          <cell r="H23">
            <v>1525500</v>
          </cell>
          <cell r="I23">
            <v>1402000</v>
          </cell>
          <cell r="J23">
            <v>1475000</v>
          </cell>
          <cell r="K23">
            <v>1370000</v>
          </cell>
          <cell r="L23">
            <v>1484000</v>
          </cell>
          <cell r="M23">
            <v>1554500</v>
          </cell>
          <cell r="N23">
            <v>1551000</v>
          </cell>
          <cell r="O23">
            <v>1543872</v>
          </cell>
          <cell r="P23">
            <v>1547000</v>
          </cell>
          <cell r="Q23">
            <v>1554500</v>
          </cell>
          <cell r="R23">
            <v>1452500</v>
          </cell>
          <cell r="S23">
            <v>1527501.4506639999</v>
          </cell>
          <cell r="T23">
            <v>1536000</v>
          </cell>
          <cell r="U23">
            <v>1546997.6329125001</v>
          </cell>
          <cell r="V23">
            <v>1589489.7247200001</v>
          </cell>
        </row>
        <row r="24">
          <cell r="D24" t="str">
            <v>MD Cement Cl</v>
          </cell>
          <cell r="E24">
            <v>1662886.6914633038</v>
          </cell>
          <cell r="F24">
            <v>1591218.3616075478</v>
          </cell>
          <cell r="G24">
            <v>1412501.1339925609</v>
          </cell>
          <cell r="H24">
            <v>1034000</v>
          </cell>
          <cell r="I24">
            <v>1036000</v>
          </cell>
          <cell r="J24">
            <v>1032000</v>
          </cell>
          <cell r="K24">
            <v>1562000</v>
          </cell>
          <cell r="L24">
            <v>1684000</v>
          </cell>
          <cell r="M24">
            <v>1682000</v>
          </cell>
          <cell r="N24">
            <v>1635000</v>
          </cell>
          <cell r="O24">
            <v>1652435</v>
          </cell>
          <cell r="P24">
            <v>1622000</v>
          </cell>
          <cell r="Q24">
            <v>1975000</v>
          </cell>
          <cell r="R24">
            <v>2083000</v>
          </cell>
          <cell r="S24">
            <v>2494564.5841759997</v>
          </cell>
          <cell r="T24">
            <v>2458000</v>
          </cell>
          <cell r="U24">
            <v>2663159.5015500002</v>
          </cell>
          <cell r="V24">
            <v>2828704.4347200003</v>
          </cell>
        </row>
        <row r="25">
          <cell r="D25" t="str">
            <v>MA Cement Cl</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row>
        <row r="26">
          <cell r="D26" t="str">
            <v>MI Cement Cl</v>
          </cell>
          <cell r="E26">
            <v>4385376.0319332303</v>
          </cell>
          <cell r="F26">
            <v>3965345.1873355708</v>
          </cell>
          <cell r="G26">
            <v>3847409.9609906557</v>
          </cell>
          <cell r="H26">
            <v>3895000</v>
          </cell>
          <cell r="I26">
            <v>3896000</v>
          </cell>
          <cell r="J26">
            <v>4150000</v>
          </cell>
          <cell r="K26">
            <v>4116000</v>
          </cell>
          <cell r="L26">
            <v>4254000</v>
          </cell>
          <cell r="M26">
            <v>4201000</v>
          </cell>
          <cell r="N26">
            <v>4252000</v>
          </cell>
          <cell r="O26">
            <v>4355232</v>
          </cell>
          <cell r="P26">
            <v>4305000</v>
          </cell>
          <cell r="Q26">
            <v>4082000</v>
          </cell>
          <cell r="R26">
            <v>4001000</v>
          </cell>
          <cell r="S26">
            <v>4076874.0097920001</v>
          </cell>
          <cell r="T26">
            <v>4111000</v>
          </cell>
          <cell r="U26">
            <v>4118531.9030550001</v>
          </cell>
          <cell r="V26">
            <v>4112331.2935800003</v>
          </cell>
        </row>
        <row r="27">
          <cell r="D27" t="str">
            <v>MN Cement Cl</v>
          </cell>
          <cell r="E27">
            <v>0</v>
          </cell>
          <cell r="F27">
            <v>0</v>
          </cell>
          <cell r="G27">
            <v>0</v>
          </cell>
          <cell r="H27">
            <v>0</v>
          </cell>
          <cell r="I27">
            <v>629000</v>
          </cell>
          <cell r="J27">
            <v>0</v>
          </cell>
          <cell r="K27">
            <v>0</v>
          </cell>
          <cell r="L27">
            <v>0</v>
          </cell>
          <cell r="M27">
            <v>0</v>
          </cell>
          <cell r="N27">
            <v>0</v>
          </cell>
          <cell r="O27">
            <v>0</v>
          </cell>
          <cell r="P27">
            <v>0</v>
          </cell>
          <cell r="Q27">
            <v>0</v>
          </cell>
          <cell r="R27">
            <v>0</v>
          </cell>
          <cell r="S27">
            <v>0</v>
          </cell>
          <cell r="T27">
            <v>0</v>
          </cell>
          <cell r="U27">
            <v>0</v>
          </cell>
          <cell r="V27">
            <v>0</v>
          </cell>
        </row>
        <row r="28">
          <cell r="D28" t="str">
            <v>MS Cement Cl</v>
          </cell>
          <cell r="E28">
            <v>591036.9227977863</v>
          </cell>
          <cell r="F28">
            <v>564274.69835797872</v>
          </cell>
          <cell r="G28">
            <v>593758.5049442075</v>
          </cell>
          <cell r="H28">
            <v>621666.66666666663</v>
          </cell>
          <cell r="I28">
            <v>0</v>
          </cell>
          <cell r="J28">
            <v>693000</v>
          </cell>
          <cell r="K28">
            <v>684000</v>
          </cell>
          <cell r="L28">
            <v>727000</v>
          </cell>
          <cell r="M28">
            <v>745000</v>
          </cell>
          <cell r="N28">
            <v>759000</v>
          </cell>
          <cell r="O28">
            <v>680446</v>
          </cell>
          <cell r="P28">
            <v>973333.33333333337</v>
          </cell>
          <cell r="Q28">
            <v>989333.33333333337</v>
          </cell>
          <cell r="R28">
            <v>1013666.6666666666</v>
          </cell>
          <cell r="S28">
            <v>1036154.1157546665</v>
          </cell>
          <cell r="T28">
            <v>1044333.3333333334</v>
          </cell>
          <cell r="U28">
            <v>1093404.0745300001</v>
          </cell>
          <cell r="V28">
            <v>1105536.4643250001</v>
          </cell>
        </row>
        <row r="29">
          <cell r="D29" t="str">
            <v>MO Cement Cl</v>
          </cell>
          <cell r="E29">
            <v>4037920.7112401342</v>
          </cell>
          <cell r="F29">
            <v>3954458.8587498865</v>
          </cell>
          <cell r="G29">
            <v>4036106.3231425202</v>
          </cell>
          <cell r="H29">
            <v>3975000</v>
          </cell>
          <cell r="I29">
            <v>4322000</v>
          </cell>
          <cell r="J29">
            <v>4160000</v>
          </cell>
          <cell r="K29">
            <v>4195000</v>
          </cell>
          <cell r="L29">
            <v>4711000</v>
          </cell>
          <cell r="M29">
            <v>4472000</v>
          </cell>
          <cell r="N29">
            <v>4526000</v>
          </cell>
          <cell r="O29">
            <v>4525827</v>
          </cell>
          <cell r="P29">
            <v>4308000</v>
          </cell>
          <cell r="Q29">
            <v>4512000</v>
          </cell>
          <cell r="R29">
            <v>4869000</v>
          </cell>
          <cell r="S29">
            <v>5015077.3523040004</v>
          </cell>
          <cell r="T29">
            <v>4871000</v>
          </cell>
          <cell r="U29">
            <v>4757255.4603749998</v>
          </cell>
          <cell r="V29">
            <v>4927050.5552700004</v>
          </cell>
        </row>
        <row r="30">
          <cell r="D30" t="str">
            <v>MT Cement Cl</v>
          </cell>
          <cell r="E30">
            <v>506516.67725059722</v>
          </cell>
          <cell r="F30">
            <v>591188.12180592085</v>
          </cell>
          <cell r="G30">
            <v>520426.98599897174</v>
          </cell>
          <cell r="H30">
            <v>485250</v>
          </cell>
          <cell r="I30">
            <v>517000</v>
          </cell>
          <cell r="J30">
            <v>522000</v>
          </cell>
          <cell r="K30">
            <v>519000</v>
          </cell>
          <cell r="L30">
            <v>556000</v>
          </cell>
          <cell r="M30">
            <v>626000</v>
          </cell>
          <cell r="N30">
            <v>663000</v>
          </cell>
          <cell r="O30">
            <v>694030</v>
          </cell>
          <cell r="P30">
            <v>673750</v>
          </cell>
          <cell r="Q30">
            <v>667500</v>
          </cell>
          <cell r="R30">
            <v>689750</v>
          </cell>
          <cell r="S30">
            <v>694260.65772799996</v>
          </cell>
          <cell r="T30">
            <v>699250</v>
          </cell>
          <cell r="U30">
            <v>700119.34336125001</v>
          </cell>
          <cell r="V30">
            <v>680502.82851374999</v>
          </cell>
        </row>
        <row r="31">
          <cell r="D31" t="str">
            <v>NE Cement Cl</v>
          </cell>
          <cell r="E31">
            <v>613867.97302609694</v>
          </cell>
          <cell r="F31">
            <v>647509.75233602466</v>
          </cell>
          <cell r="G31">
            <v>694457.0443617889</v>
          </cell>
          <cell r="H31">
            <v>1115666.6666666667</v>
          </cell>
          <cell r="I31">
            <v>1212000</v>
          </cell>
          <cell r="J31">
            <v>1157000</v>
          </cell>
          <cell r="K31">
            <v>1211000</v>
          </cell>
          <cell r="L31">
            <v>1312000</v>
          </cell>
          <cell r="M31">
            <v>1340000</v>
          </cell>
          <cell r="N31">
            <v>1297000</v>
          </cell>
          <cell r="O31">
            <v>1325320</v>
          </cell>
          <cell r="P31">
            <v>1313000</v>
          </cell>
          <cell r="Q31">
            <v>1375666.6666666667</v>
          </cell>
          <cell r="R31">
            <v>1353333.3333333333</v>
          </cell>
          <cell r="S31">
            <v>1282945.0559039998</v>
          </cell>
          <cell r="T31">
            <v>1364333.3333333333</v>
          </cell>
          <cell r="U31">
            <v>1407269.5216700002</v>
          </cell>
          <cell r="V31">
            <v>1396892.5348499999</v>
          </cell>
        </row>
        <row r="32">
          <cell r="D32" t="str">
            <v>NV Cement Cl</v>
          </cell>
          <cell r="E32">
            <v>557319.54398379149</v>
          </cell>
          <cell r="F32">
            <v>953460.94529619883</v>
          </cell>
          <cell r="G32">
            <v>545526.02134929993</v>
          </cell>
          <cell r="H32">
            <v>485250</v>
          </cell>
          <cell r="I32">
            <v>517000</v>
          </cell>
          <cell r="J32">
            <v>522000</v>
          </cell>
          <cell r="K32">
            <v>519000</v>
          </cell>
          <cell r="L32">
            <v>556000</v>
          </cell>
          <cell r="M32">
            <v>626000</v>
          </cell>
          <cell r="N32">
            <v>663000</v>
          </cell>
          <cell r="O32">
            <v>694030</v>
          </cell>
          <cell r="P32">
            <v>673750</v>
          </cell>
          <cell r="Q32">
            <v>667500</v>
          </cell>
          <cell r="R32">
            <v>689750</v>
          </cell>
          <cell r="S32">
            <v>694260.65772799996</v>
          </cell>
          <cell r="T32">
            <v>699250</v>
          </cell>
          <cell r="U32">
            <v>700119.34336125001</v>
          </cell>
          <cell r="V32">
            <v>680502.82851374999</v>
          </cell>
        </row>
        <row r="33">
          <cell r="D33" t="str">
            <v>NH Cement Cl</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row>
        <row r="34">
          <cell r="D34" t="str">
            <v>NJ Cement Cl</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row>
        <row r="35">
          <cell r="D35" t="str">
            <v>NM Cement Cl</v>
          </cell>
          <cell r="E35">
            <v>557319.54398379149</v>
          </cell>
          <cell r="F35">
            <v>953460.94529619883</v>
          </cell>
          <cell r="G35">
            <v>545526.02134929993</v>
          </cell>
          <cell r="H35">
            <v>788500</v>
          </cell>
          <cell r="I35">
            <v>940000</v>
          </cell>
          <cell r="J35">
            <v>987000</v>
          </cell>
          <cell r="K35">
            <v>1055000</v>
          </cell>
          <cell r="L35">
            <v>1085000</v>
          </cell>
          <cell r="M35">
            <v>1092000</v>
          </cell>
          <cell r="N35">
            <v>1113000</v>
          </cell>
          <cell r="O35">
            <v>1094173</v>
          </cell>
          <cell r="P35">
            <v>1100500</v>
          </cell>
          <cell r="Q35">
            <v>1073500</v>
          </cell>
          <cell r="R35">
            <v>1277000</v>
          </cell>
          <cell r="S35">
            <v>1282890.6248639999</v>
          </cell>
          <cell r="T35">
            <v>1302000</v>
          </cell>
          <cell r="U35">
            <v>1313621.5701075001</v>
          </cell>
          <cell r="V35">
            <v>1249832.8568325001</v>
          </cell>
        </row>
        <row r="36">
          <cell r="D36" t="str">
            <v>NY Cement Cl</v>
          </cell>
          <cell r="E36">
            <v>1292751.5195500315</v>
          </cell>
          <cell r="F36">
            <v>1281411.5939399437</v>
          </cell>
          <cell r="G36">
            <v>1387099.7006259637</v>
          </cell>
          <cell r="H36">
            <v>1525500</v>
          </cell>
          <cell r="I36">
            <v>1402000</v>
          </cell>
          <cell r="J36">
            <v>1475000</v>
          </cell>
          <cell r="K36">
            <v>1370000</v>
          </cell>
          <cell r="L36">
            <v>1484000</v>
          </cell>
          <cell r="M36">
            <v>1554500</v>
          </cell>
          <cell r="N36">
            <v>1551000</v>
          </cell>
          <cell r="O36">
            <v>1543872</v>
          </cell>
          <cell r="P36">
            <v>1547000</v>
          </cell>
          <cell r="Q36">
            <v>1554500</v>
          </cell>
          <cell r="R36">
            <v>1452500</v>
          </cell>
          <cell r="S36">
            <v>1527501.4506639999</v>
          </cell>
          <cell r="T36">
            <v>1536000</v>
          </cell>
          <cell r="U36">
            <v>1546997.6329125001</v>
          </cell>
          <cell r="V36">
            <v>1589489.7247200001</v>
          </cell>
        </row>
        <row r="37">
          <cell r="D37" t="str">
            <v>NC Cement Cl</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row>
        <row r="38">
          <cell r="D38" t="str">
            <v>ND Cement Cl</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row>
        <row r="39">
          <cell r="D39" t="str">
            <v>OH Cement Cl</v>
          </cell>
          <cell r="E39">
            <v>1215640.0254014335</v>
          </cell>
          <cell r="F39">
            <v>1233783.9063775742</v>
          </cell>
          <cell r="G39">
            <v>1182981.0396443799</v>
          </cell>
          <cell r="H39">
            <v>1240000</v>
          </cell>
          <cell r="I39">
            <v>901000</v>
          </cell>
          <cell r="J39">
            <v>902000</v>
          </cell>
          <cell r="K39">
            <v>928000</v>
          </cell>
          <cell r="L39">
            <v>980000</v>
          </cell>
          <cell r="M39">
            <v>1016000</v>
          </cell>
          <cell r="N39">
            <v>1062000</v>
          </cell>
          <cell r="O39">
            <v>1026340</v>
          </cell>
          <cell r="P39">
            <v>1058000</v>
          </cell>
          <cell r="Q39">
            <v>976000</v>
          </cell>
          <cell r="R39">
            <v>993000</v>
          </cell>
          <cell r="S39">
            <v>1014776.0224</v>
          </cell>
          <cell r="T39">
            <v>1010000</v>
          </cell>
          <cell r="U39">
            <v>1048763.012655</v>
          </cell>
          <cell r="V39">
            <v>877042.87118999998</v>
          </cell>
        </row>
        <row r="40">
          <cell r="D40" t="str">
            <v>OK Cement Cl</v>
          </cell>
          <cell r="E40">
            <v>1208382.473010977</v>
          </cell>
          <cell r="F40">
            <v>1216547.2194502405</v>
          </cell>
          <cell r="G40">
            <v>1257370.9516465571</v>
          </cell>
          <cell r="H40">
            <v>1177000</v>
          </cell>
          <cell r="I40">
            <v>1186000</v>
          </cell>
          <cell r="J40">
            <v>1250000</v>
          </cell>
          <cell r="K40">
            <v>1253000</v>
          </cell>
          <cell r="L40">
            <v>1262000</v>
          </cell>
          <cell r="M40">
            <v>1251000</v>
          </cell>
          <cell r="N40">
            <v>1231000</v>
          </cell>
          <cell r="O40">
            <v>1259479</v>
          </cell>
          <cell r="P40">
            <v>1261000</v>
          </cell>
          <cell r="Q40">
            <v>1265500</v>
          </cell>
          <cell r="R40">
            <v>1244500</v>
          </cell>
          <cell r="S40">
            <v>1268211.026968</v>
          </cell>
          <cell r="T40">
            <v>1314000</v>
          </cell>
          <cell r="U40">
            <v>1287414.3562350001</v>
          </cell>
          <cell r="V40">
            <v>1231749.4846350001</v>
          </cell>
        </row>
        <row r="41">
          <cell r="D41" t="str">
            <v>OR Cement Cl</v>
          </cell>
          <cell r="E41">
            <v>0</v>
          </cell>
          <cell r="F41">
            <v>267924.64241434576</v>
          </cell>
          <cell r="G41">
            <v>335359.40004233574</v>
          </cell>
          <cell r="H41">
            <v>372500</v>
          </cell>
          <cell r="I41">
            <v>413000</v>
          </cell>
          <cell r="J41">
            <v>400000</v>
          </cell>
          <cell r="K41">
            <v>694000</v>
          </cell>
          <cell r="L41">
            <v>733000</v>
          </cell>
          <cell r="M41">
            <v>768000</v>
          </cell>
          <cell r="N41">
            <v>883000</v>
          </cell>
          <cell r="O41">
            <v>860339</v>
          </cell>
          <cell r="P41">
            <v>828000</v>
          </cell>
          <cell r="Q41">
            <v>830000</v>
          </cell>
          <cell r="R41">
            <v>715000</v>
          </cell>
          <cell r="S41">
            <v>816081.40757599997</v>
          </cell>
          <cell r="T41">
            <v>857500</v>
          </cell>
          <cell r="U41">
            <v>878790.56309249997</v>
          </cell>
          <cell r="V41">
            <v>871274.53536750004</v>
          </cell>
        </row>
        <row r="42">
          <cell r="D42" t="str">
            <v>PA Cement Cl</v>
          </cell>
          <cell r="E42">
            <v>5141975.8686383013</v>
          </cell>
          <cell r="F42">
            <v>4848952.1908736276</v>
          </cell>
          <cell r="G42">
            <v>5327950.6486437451</v>
          </cell>
          <cell r="H42">
            <v>5309000</v>
          </cell>
          <cell r="I42">
            <v>5511000</v>
          </cell>
          <cell r="J42">
            <v>5956000</v>
          </cell>
          <cell r="K42">
            <v>5538000</v>
          </cell>
          <cell r="L42">
            <v>6082000</v>
          </cell>
          <cell r="M42">
            <v>6290000</v>
          </cell>
          <cell r="N42">
            <v>6490000</v>
          </cell>
          <cell r="O42">
            <v>6500478</v>
          </cell>
          <cell r="P42">
            <v>6101000</v>
          </cell>
          <cell r="Q42">
            <v>6128000</v>
          </cell>
          <cell r="R42">
            <v>5498000</v>
          </cell>
          <cell r="S42">
            <v>5927972.075584</v>
          </cell>
          <cell r="T42">
            <v>6054000</v>
          </cell>
          <cell r="U42">
            <v>5716820.4150899993</v>
          </cell>
          <cell r="V42">
            <v>5470652.1365999999</v>
          </cell>
        </row>
        <row r="43">
          <cell r="D43" t="str">
            <v>PR Cement Cl</v>
          </cell>
          <cell r="E43">
            <v>0</v>
          </cell>
          <cell r="F43">
            <v>0</v>
          </cell>
          <cell r="G43">
            <v>0</v>
          </cell>
          <cell r="H43">
            <v>0</v>
          </cell>
          <cell r="I43">
            <v>0</v>
          </cell>
          <cell r="J43">
            <v>1274000</v>
          </cell>
          <cell r="K43">
            <v>1345000</v>
          </cell>
          <cell r="L43">
            <v>1426000</v>
          </cell>
          <cell r="M43">
            <v>1319000</v>
          </cell>
          <cell r="N43">
            <v>1334000</v>
          </cell>
          <cell r="O43">
            <v>1472682</v>
          </cell>
          <cell r="P43">
            <v>1546000</v>
          </cell>
          <cell r="Q43">
            <v>1443000</v>
          </cell>
          <cell r="R43">
            <v>1434000</v>
          </cell>
          <cell r="S43">
            <v>1532786.2510559999</v>
          </cell>
          <cell r="T43">
            <v>1532786.2510559999</v>
          </cell>
          <cell r="U43">
            <v>1490170.203735</v>
          </cell>
          <cell r="V43">
            <v>1335928.7956650001</v>
          </cell>
        </row>
        <row r="44">
          <cell r="D44" t="str">
            <v>RI Cement Cl</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row>
        <row r="45">
          <cell r="D45" t="str">
            <v>SC Cement Cl</v>
          </cell>
          <cell r="E45">
            <v>2139163.5670869998</v>
          </cell>
          <cell r="F45">
            <v>2028485.8931325409</v>
          </cell>
          <cell r="G45">
            <v>2004898.847863558</v>
          </cell>
          <cell r="H45">
            <v>1569500</v>
          </cell>
          <cell r="I45">
            <v>1596000</v>
          </cell>
          <cell r="J45">
            <v>1625000</v>
          </cell>
          <cell r="K45">
            <v>2175000</v>
          </cell>
          <cell r="L45">
            <v>2221000</v>
          </cell>
          <cell r="M45">
            <v>2315000</v>
          </cell>
          <cell r="N45">
            <v>2358000</v>
          </cell>
          <cell r="O45">
            <v>2510360</v>
          </cell>
          <cell r="P45">
            <v>2478000</v>
          </cell>
          <cell r="Q45">
            <v>2445000</v>
          </cell>
          <cell r="R45">
            <v>2628000</v>
          </cell>
          <cell r="S45">
            <v>3145474.5472800001</v>
          </cell>
          <cell r="T45">
            <v>3147000</v>
          </cell>
          <cell r="U45">
            <v>3524919.0270449999</v>
          </cell>
          <cell r="V45">
            <v>3511872.7995600002</v>
          </cell>
        </row>
        <row r="46">
          <cell r="D46" t="str">
            <v>SD Cement Cl</v>
          </cell>
          <cell r="E46">
            <v>0</v>
          </cell>
          <cell r="F46">
            <v>647509.75233602466</v>
          </cell>
          <cell r="G46">
            <v>694457.0443617889</v>
          </cell>
          <cell r="H46">
            <v>1115666.6666666667</v>
          </cell>
          <cell r="I46">
            <v>1212000</v>
          </cell>
          <cell r="J46">
            <v>1157000</v>
          </cell>
          <cell r="K46">
            <v>1211000</v>
          </cell>
          <cell r="L46">
            <v>1312000</v>
          </cell>
          <cell r="M46">
            <v>1340000</v>
          </cell>
          <cell r="N46">
            <v>1297000</v>
          </cell>
          <cell r="O46">
            <v>1325320</v>
          </cell>
          <cell r="P46">
            <v>1313000</v>
          </cell>
          <cell r="Q46">
            <v>1375666.6666666667</v>
          </cell>
          <cell r="R46">
            <v>1353333.3333333333</v>
          </cell>
          <cell r="S46">
            <v>1282945.0559039998</v>
          </cell>
          <cell r="T46">
            <v>1364333.3333333333</v>
          </cell>
          <cell r="U46">
            <v>1407269.5216700002</v>
          </cell>
          <cell r="V46">
            <v>1396892.5348499999</v>
          </cell>
        </row>
        <row r="47">
          <cell r="D47" t="str">
            <v>TN Cement Cl</v>
          </cell>
          <cell r="E47">
            <v>946656.98993014602</v>
          </cell>
          <cell r="F47">
            <v>839608.09217091533</v>
          </cell>
          <cell r="G47">
            <v>859112.7642202666</v>
          </cell>
          <cell r="H47">
            <v>621666.66666666663</v>
          </cell>
          <cell r="I47">
            <v>629000</v>
          </cell>
          <cell r="J47">
            <v>693000</v>
          </cell>
          <cell r="K47">
            <v>684000</v>
          </cell>
          <cell r="L47">
            <v>727000</v>
          </cell>
          <cell r="M47">
            <v>745000</v>
          </cell>
          <cell r="N47">
            <v>759000</v>
          </cell>
          <cell r="O47">
            <v>680446</v>
          </cell>
          <cell r="P47">
            <v>973333.33333333337</v>
          </cell>
          <cell r="Q47">
            <v>989333.33333333337</v>
          </cell>
          <cell r="R47">
            <v>1013666.6666666666</v>
          </cell>
          <cell r="S47">
            <v>1036154.1157546665</v>
          </cell>
          <cell r="T47">
            <v>1044333.3333333334</v>
          </cell>
          <cell r="U47">
            <v>1093404.0745300001</v>
          </cell>
          <cell r="V47">
            <v>1105536.4643250001</v>
          </cell>
        </row>
        <row r="48">
          <cell r="D48" t="str">
            <v>TX Cement Cl</v>
          </cell>
          <cell r="E48">
            <v>6756781.2755148327</v>
          </cell>
          <cell r="F48">
            <v>6587135.9883879162</v>
          </cell>
          <cell r="G48">
            <v>6985394.1758142067</v>
          </cell>
          <cell r="H48">
            <v>7320000</v>
          </cell>
          <cell r="I48">
            <v>7587000</v>
          </cell>
          <cell r="J48">
            <v>7862000</v>
          </cell>
          <cell r="K48">
            <v>8042000</v>
          </cell>
          <cell r="L48">
            <v>7885000</v>
          </cell>
          <cell r="M48">
            <v>8072000</v>
          </cell>
          <cell r="N48">
            <v>8220000</v>
          </cell>
          <cell r="O48">
            <v>8879836</v>
          </cell>
          <cell r="P48">
            <v>9864000</v>
          </cell>
          <cell r="Q48">
            <v>10373000</v>
          </cell>
          <cell r="R48">
            <v>10308000</v>
          </cell>
          <cell r="S48">
            <v>10728760.773696</v>
          </cell>
          <cell r="T48">
            <v>10748000</v>
          </cell>
          <cell r="U48">
            <v>10799957.59272</v>
          </cell>
          <cell r="V48">
            <v>10174300.220954999</v>
          </cell>
        </row>
        <row r="49">
          <cell r="D49" t="str">
            <v>UT Cement Cl</v>
          </cell>
          <cell r="E49">
            <v>506516.67725059722</v>
          </cell>
          <cell r="F49">
            <v>591188.12180592085</v>
          </cell>
          <cell r="G49">
            <v>520426.98599897174</v>
          </cell>
          <cell r="H49">
            <v>485250</v>
          </cell>
          <cell r="I49">
            <v>517000</v>
          </cell>
          <cell r="J49">
            <v>522000</v>
          </cell>
          <cell r="K49">
            <v>519000</v>
          </cell>
          <cell r="L49">
            <v>556000</v>
          </cell>
          <cell r="M49">
            <v>626000</v>
          </cell>
          <cell r="N49">
            <v>663000</v>
          </cell>
          <cell r="O49">
            <v>694030</v>
          </cell>
          <cell r="P49">
            <v>673750</v>
          </cell>
          <cell r="Q49">
            <v>667500</v>
          </cell>
          <cell r="R49">
            <v>689750</v>
          </cell>
          <cell r="S49">
            <v>694260.65772799996</v>
          </cell>
          <cell r="T49">
            <v>699250</v>
          </cell>
          <cell r="U49">
            <v>700119.34336125001</v>
          </cell>
          <cell r="V49">
            <v>680502.82851374999</v>
          </cell>
        </row>
        <row r="50">
          <cell r="D50" t="str">
            <v>VT Cement Cl</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row>
        <row r="51">
          <cell r="D51" t="str">
            <v>VA Cement Cl</v>
          </cell>
          <cell r="E51">
            <v>707006.56203695305</v>
          </cell>
          <cell r="F51">
            <v>596631.28609876311</v>
          </cell>
          <cell r="G51">
            <v>623242.31153043639</v>
          </cell>
          <cell r="H51">
            <v>1034000</v>
          </cell>
          <cell r="I51">
            <v>1036000</v>
          </cell>
          <cell r="J51">
            <v>1032000</v>
          </cell>
          <cell r="K51">
            <v>810000</v>
          </cell>
          <cell r="L51">
            <v>816000</v>
          </cell>
          <cell r="M51">
            <v>867000</v>
          </cell>
          <cell r="N51">
            <v>895000</v>
          </cell>
          <cell r="O51">
            <v>981393</v>
          </cell>
          <cell r="P51">
            <v>956333.33333333337</v>
          </cell>
          <cell r="Q51">
            <v>882333.33333333337</v>
          </cell>
          <cell r="R51">
            <v>807333.33333333337</v>
          </cell>
          <cell r="S51">
            <v>806968.29070399993</v>
          </cell>
          <cell r="T51">
            <v>748333.33333333337</v>
          </cell>
          <cell r="U51">
            <v>821270.64936499996</v>
          </cell>
          <cell r="V51">
            <v>778551.91250500001</v>
          </cell>
        </row>
        <row r="52">
          <cell r="D52" t="str">
            <v>WA Cement Cl</v>
          </cell>
          <cell r="E52">
            <v>0</v>
          </cell>
          <cell r="F52">
            <v>267924.64241434576</v>
          </cell>
          <cell r="G52">
            <v>335359.40004233574</v>
          </cell>
          <cell r="H52">
            <v>372500</v>
          </cell>
          <cell r="I52">
            <v>413000</v>
          </cell>
          <cell r="J52">
            <v>400000</v>
          </cell>
          <cell r="K52">
            <v>694000</v>
          </cell>
          <cell r="L52">
            <v>733000</v>
          </cell>
          <cell r="M52">
            <v>768000</v>
          </cell>
          <cell r="N52">
            <v>883000</v>
          </cell>
          <cell r="O52">
            <v>860339</v>
          </cell>
          <cell r="P52">
            <v>828000</v>
          </cell>
          <cell r="Q52">
            <v>830000</v>
          </cell>
          <cell r="R52">
            <v>715000</v>
          </cell>
          <cell r="S52">
            <v>816081.40757599997</v>
          </cell>
          <cell r="T52">
            <v>857500</v>
          </cell>
          <cell r="U52">
            <v>878790.56309249997</v>
          </cell>
          <cell r="V52">
            <v>871274.53536750004</v>
          </cell>
        </row>
        <row r="53">
          <cell r="D53" t="str">
            <v>WV Cement Cl</v>
          </cell>
          <cell r="E53">
            <v>707006.56203695305</v>
          </cell>
          <cell r="F53">
            <v>596631.28609876311</v>
          </cell>
          <cell r="G53">
            <v>623242.31153043639</v>
          </cell>
          <cell r="H53">
            <v>1034000</v>
          </cell>
          <cell r="I53">
            <v>1036000</v>
          </cell>
          <cell r="J53">
            <v>1032000</v>
          </cell>
          <cell r="K53">
            <v>810000</v>
          </cell>
          <cell r="L53">
            <v>816000</v>
          </cell>
          <cell r="M53">
            <v>867000</v>
          </cell>
          <cell r="N53">
            <v>895000</v>
          </cell>
          <cell r="O53">
            <v>981393</v>
          </cell>
          <cell r="P53">
            <v>956333.33333333337</v>
          </cell>
          <cell r="Q53">
            <v>882333.33333333337</v>
          </cell>
          <cell r="R53">
            <v>807333.33333333337</v>
          </cell>
          <cell r="S53">
            <v>806968.29070399993</v>
          </cell>
          <cell r="T53">
            <v>748333.33333333337</v>
          </cell>
          <cell r="U53">
            <v>821270.64936499996</v>
          </cell>
          <cell r="V53">
            <v>778551.91250500001</v>
          </cell>
        </row>
        <row r="54">
          <cell r="D54" t="str">
            <v>WI Cement Cl</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row>
        <row r="55">
          <cell r="D55" t="str">
            <v>WY Cement Cl</v>
          </cell>
          <cell r="E55">
            <v>613867.97302609694</v>
          </cell>
          <cell r="F55">
            <v>647509.75233602466</v>
          </cell>
          <cell r="G55">
            <v>694457.0443617889</v>
          </cell>
          <cell r="H55">
            <v>848500</v>
          </cell>
          <cell r="I55">
            <v>849000</v>
          </cell>
          <cell r="J55">
            <v>920000</v>
          </cell>
          <cell r="K55">
            <v>914000</v>
          </cell>
          <cell r="L55">
            <v>982000</v>
          </cell>
          <cell r="M55">
            <v>979000</v>
          </cell>
          <cell r="N55">
            <v>998000</v>
          </cell>
          <cell r="O55">
            <v>1070888</v>
          </cell>
          <cell r="P55">
            <v>896500</v>
          </cell>
          <cell r="Q55">
            <v>958000</v>
          </cell>
          <cell r="R55">
            <v>1175000</v>
          </cell>
          <cell r="S55">
            <v>1242896.51104</v>
          </cell>
          <cell r="T55">
            <v>1204500</v>
          </cell>
          <cell r="U55">
            <v>1246704.42936</v>
          </cell>
          <cell r="V55">
            <v>1097126.4057825</v>
          </cell>
        </row>
        <row r="56">
          <cell r="D56" t="str">
            <v>AL Cement Ma</v>
          </cell>
          <cell r="E56">
            <v>191417.94429828538</v>
          </cell>
          <cell r="F56">
            <v>191417.94429828538</v>
          </cell>
          <cell r="G56">
            <v>237684.84078744441</v>
          </cell>
          <cell r="H56">
            <v>277000</v>
          </cell>
          <cell r="I56">
            <v>312000</v>
          </cell>
          <cell r="J56">
            <v>306000</v>
          </cell>
          <cell r="K56">
            <v>309000</v>
          </cell>
          <cell r="L56">
            <v>346000</v>
          </cell>
          <cell r="M56">
            <v>371000</v>
          </cell>
          <cell r="N56">
            <v>429000</v>
          </cell>
          <cell r="O56">
            <v>437529</v>
          </cell>
          <cell r="P56">
            <v>380000</v>
          </cell>
          <cell r="Q56">
            <v>380000</v>
          </cell>
          <cell r="R56">
            <v>565000</v>
          </cell>
          <cell r="S56">
            <v>429504.016695</v>
          </cell>
          <cell r="T56">
            <v>475000</v>
          </cell>
          <cell r="U56">
            <v>525660.18358499999</v>
          </cell>
          <cell r="V56">
            <v>450170.59818000003</v>
          </cell>
        </row>
        <row r="57">
          <cell r="D57" t="str">
            <v>AK Cement Ma</v>
          </cell>
          <cell r="E57">
            <v>0</v>
          </cell>
          <cell r="F57">
            <v>0</v>
          </cell>
          <cell r="G57">
            <v>0</v>
          </cell>
          <cell r="H57">
            <v>0</v>
          </cell>
          <cell r="I57">
            <v>0</v>
          </cell>
          <cell r="J57">
            <v>0</v>
          </cell>
          <cell r="K57">
            <v>2500</v>
          </cell>
          <cell r="L57">
            <v>1500</v>
          </cell>
          <cell r="M57">
            <v>1500</v>
          </cell>
          <cell r="N57">
            <v>1500</v>
          </cell>
          <cell r="O57">
            <v>1794</v>
          </cell>
          <cell r="P57">
            <v>1500</v>
          </cell>
          <cell r="Q57">
            <v>0</v>
          </cell>
          <cell r="R57">
            <v>2000</v>
          </cell>
          <cell r="S57">
            <v>0</v>
          </cell>
          <cell r="T57">
            <v>0</v>
          </cell>
          <cell r="U57">
            <v>0</v>
          </cell>
          <cell r="V57">
            <v>0</v>
          </cell>
        </row>
        <row r="58">
          <cell r="D58" t="str">
            <v>AZ Cement Ma</v>
          </cell>
          <cell r="E58">
            <v>16631.890894795728</v>
          </cell>
          <cell r="F58">
            <v>16027.094862257705</v>
          </cell>
          <cell r="G58">
            <v>13607.910732105596</v>
          </cell>
          <cell r="H58">
            <v>0</v>
          </cell>
          <cell r="I58">
            <v>0</v>
          </cell>
          <cell r="J58">
            <v>0</v>
          </cell>
          <cell r="K58">
            <v>69841</v>
          </cell>
          <cell r="L58">
            <v>2385</v>
          </cell>
          <cell r="M58">
            <v>63700</v>
          </cell>
          <cell r="N58">
            <v>69995</v>
          </cell>
          <cell r="O58">
            <v>76289</v>
          </cell>
          <cell r="P58">
            <v>54500</v>
          </cell>
          <cell r="Q58">
            <v>0</v>
          </cell>
          <cell r="R58">
            <v>0</v>
          </cell>
          <cell r="S58">
            <v>0</v>
          </cell>
          <cell r="T58">
            <v>0</v>
          </cell>
          <cell r="U58">
            <v>0</v>
          </cell>
          <cell r="V58">
            <v>0</v>
          </cell>
        </row>
        <row r="59">
          <cell r="D59" t="str">
            <v>AR Cement Ma</v>
          </cell>
          <cell r="E59">
            <v>0</v>
          </cell>
          <cell r="F59">
            <v>0</v>
          </cell>
          <cell r="G59">
            <v>0</v>
          </cell>
          <cell r="H59">
            <v>51000</v>
          </cell>
          <cell r="I59">
            <v>52000</v>
          </cell>
          <cell r="J59">
            <v>55000</v>
          </cell>
          <cell r="K59">
            <v>52000</v>
          </cell>
          <cell r="L59">
            <v>58000</v>
          </cell>
          <cell r="M59">
            <v>63000</v>
          </cell>
          <cell r="N59">
            <v>69000</v>
          </cell>
          <cell r="O59">
            <v>69100</v>
          </cell>
          <cell r="P59">
            <v>65000</v>
          </cell>
          <cell r="Q59">
            <v>72500</v>
          </cell>
          <cell r="R59">
            <v>74500</v>
          </cell>
          <cell r="S59">
            <v>80557.120815000002</v>
          </cell>
          <cell r="T59">
            <v>94000</v>
          </cell>
          <cell r="U59">
            <v>96294.966195000001</v>
          </cell>
          <cell r="V59">
            <v>74093.881282500006</v>
          </cell>
        </row>
        <row r="60">
          <cell r="D60" t="str">
            <v>CA Cement Ma</v>
          </cell>
          <cell r="E60">
            <v>0</v>
          </cell>
          <cell r="F60">
            <v>0</v>
          </cell>
          <cell r="G60">
            <v>0</v>
          </cell>
          <cell r="H60">
            <v>0</v>
          </cell>
          <cell r="I60">
            <v>0</v>
          </cell>
          <cell r="J60">
            <v>0</v>
          </cell>
          <cell r="K60">
            <v>229841</v>
          </cell>
          <cell r="L60">
            <v>4770</v>
          </cell>
          <cell r="M60">
            <v>127400</v>
          </cell>
          <cell r="N60">
            <v>320677</v>
          </cell>
          <cell r="O60">
            <v>513954</v>
          </cell>
          <cell r="P60">
            <v>507333.33333333331</v>
          </cell>
          <cell r="Q60">
            <v>514333.33333333337</v>
          </cell>
          <cell r="R60">
            <v>543333.33333333337</v>
          </cell>
          <cell r="S60">
            <v>631921.48418999999</v>
          </cell>
          <cell r="T60">
            <v>694000</v>
          </cell>
          <cell r="U60">
            <v>697721.42661000008</v>
          </cell>
          <cell r="V60">
            <v>521630.46781499998</v>
          </cell>
        </row>
        <row r="61">
          <cell r="D61" t="str">
            <v>CO Cement Ma</v>
          </cell>
          <cell r="E61">
            <v>7862.3484229943442</v>
          </cell>
          <cell r="F61">
            <v>0</v>
          </cell>
          <cell r="G61">
            <v>8164.7464392633574</v>
          </cell>
          <cell r="H61">
            <v>0</v>
          </cell>
          <cell r="I61">
            <v>0</v>
          </cell>
          <cell r="J61">
            <v>0</v>
          </cell>
          <cell r="K61">
            <v>69841</v>
          </cell>
          <cell r="L61">
            <v>2385</v>
          </cell>
          <cell r="M61">
            <v>63700</v>
          </cell>
          <cell r="N61">
            <v>69995</v>
          </cell>
          <cell r="O61">
            <v>76289</v>
          </cell>
          <cell r="P61">
            <v>0</v>
          </cell>
          <cell r="Q61">
            <v>0</v>
          </cell>
          <cell r="R61">
            <v>0</v>
          </cell>
          <cell r="S61">
            <v>0</v>
          </cell>
          <cell r="T61">
            <v>0</v>
          </cell>
          <cell r="U61">
            <v>0</v>
          </cell>
          <cell r="V61">
            <v>0</v>
          </cell>
        </row>
        <row r="62">
          <cell r="D62" t="str">
            <v>CT Cement Ma</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row>
        <row r="63">
          <cell r="D63" t="str">
            <v>DC Cement Ma</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row>
        <row r="64">
          <cell r="D64" t="str">
            <v>DE Cement Ma</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row>
        <row r="65">
          <cell r="D65" t="str">
            <v>FL Cement Ma</v>
          </cell>
          <cell r="E65">
            <v>396443.79932867637</v>
          </cell>
          <cell r="F65">
            <v>301188.42420393717</v>
          </cell>
          <cell r="G65">
            <v>305724.39444797242</v>
          </cell>
          <cell r="H65">
            <v>351000</v>
          </cell>
          <cell r="I65">
            <v>400000</v>
          </cell>
          <cell r="J65">
            <v>383000</v>
          </cell>
          <cell r="K65">
            <v>422000</v>
          </cell>
          <cell r="L65">
            <v>406000</v>
          </cell>
          <cell r="M65">
            <v>442000</v>
          </cell>
          <cell r="N65">
            <v>494000</v>
          </cell>
          <cell r="O65">
            <v>516757</v>
          </cell>
          <cell r="P65">
            <v>556000</v>
          </cell>
          <cell r="Q65">
            <v>591000</v>
          </cell>
          <cell r="R65">
            <v>674000</v>
          </cell>
          <cell r="S65">
            <v>762834.62998500001</v>
          </cell>
          <cell r="T65">
            <v>902000</v>
          </cell>
          <cell r="U65">
            <v>899848.59490500006</v>
          </cell>
          <cell r="V65">
            <v>524487.19337999995</v>
          </cell>
        </row>
        <row r="66">
          <cell r="D66" t="str">
            <v>GA Cement Ma</v>
          </cell>
          <cell r="E66">
            <v>79833.076295019491</v>
          </cell>
          <cell r="F66">
            <v>69853.941758142057</v>
          </cell>
          <cell r="G66">
            <v>73936.314977773742</v>
          </cell>
          <cell r="H66">
            <v>187000</v>
          </cell>
          <cell r="I66">
            <v>208000</v>
          </cell>
          <cell r="J66">
            <v>218000</v>
          </cell>
          <cell r="K66">
            <v>125000</v>
          </cell>
          <cell r="L66">
            <v>127000</v>
          </cell>
          <cell r="M66">
            <v>114000</v>
          </cell>
          <cell r="N66">
            <v>123000</v>
          </cell>
          <cell r="O66">
            <v>98144</v>
          </cell>
          <cell r="P66">
            <v>106000</v>
          </cell>
          <cell r="Q66">
            <v>114333.33333333333</v>
          </cell>
          <cell r="R66">
            <v>123666.66666666667</v>
          </cell>
          <cell r="S66">
            <v>139598.23259</v>
          </cell>
          <cell r="T66">
            <v>135750</v>
          </cell>
          <cell r="U66">
            <v>127750</v>
          </cell>
          <cell r="V66">
            <v>116923.89950249999</v>
          </cell>
        </row>
        <row r="67">
          <cell r="D67" t="str">
            <v>HI Cement Ma</v>
          </cell>
          <cell r="E67">
            <v>10886.328585684478</v>
          </cell>
          <cell r="F67">
            <v>9071.9404880703987</v>
          </cell>
          <cell r="G67">
            <v>6350.3583416492784</v>
          </cell>
          <cell r="H67">
            <v>0</v>
          </cell>
          <cell r="I67">
            <v>0</v>
          </cell>
          <cell r="J67">
            <v>0</v>
          </cell>
          <cell r="K67">
            <v>2500</v>
          </cell>
          <cell r="L67">
            <v>1500</v>
          </cell>
          <cell r="M67">
            <v>1500</v>
          </cell>
          <cell r="N67">
            <v>1500</v>
          </cell>
          <cell r="O67">
            <v>1794</v>
          </cell>
          <cell r="P67">
            <v>1500</v>
          </cell>
          <cell r="Q67">
            <v>0</v>
          </cell>
          <cell r="R67">
            <v>2000</v>
          </cell>
          <cell r="S67">
            <v>0</v>
          </cell>
          <cell r="T67">
            <v>0</v>
          </cell>
          <cell r="U67">
            <v>0</v>
          </cell>
          <cell r="V67">
            <v>0</v>
          </cell>
        </row>
        <row r="68">
          <cell r="D68" t="str">
            <v>ID Cement Ma</v>
          </cell>
          <cell r="E68">
            <v>3628.7761952281594</v>
          </cell>
          <cell r="F68">
            <v>3326.3781789591458</v>
          </cell>
          <cell r="G68">
            <v>3023.9801626901326</v>
          </cell>
          <cell r="H68">
            <v>0</v>
          </cell>
          <cell r="I68">
            <v>0</v>
          </cell>
          <cell r="J68">
            <v>0</v>
          </cell>
          <cell r="K68">
            <v>69841</v>
          </cell>
          <cell r="L68">
            <v>2385</v>
          </cell>
          <cell r="M68">
            <v>63700</v>
          </cell>
          <cell r="N68">
            <v>0</v>
          </cell>
          <cell r="O68">
            <v>76289</v>
          </cell>
          <cell r="P68">
            <v>0</v>
          </cell>
          <cell r="Q68">
            <v>0</v>
          </cell>
          <cell r="R68">
            <v>0</v>
          </cell>
          <cell r="S68">
            <v>0</v>
          </cell>
          <cell r="T68">
            <v>0</v>
          </cell>
          <cell r="U68">
            <v>0</v>
          </cell>
          <cell r="V68">
            <v>0</v>
          </cell>
        </row>
        <row r="69">
          <cell r="D69" t="str">
            <v>IL Cement Ma</v>
          </cell>
          <cell r="E69">
            <v>0</v>
          </cell>
          <cell r="F69">
            <v>0</v>
          </cell>
          <cell r="G69">
            <v>0</v>
          </cell>
          <cell r="H69">
            <v>0</v>
          </cell>
          <cell r="I69">
            <v>0</v>
          </cell>
          <cell r="J69">
            <v>0</v>
          </cell>
          <cell r="K69">
            <v>0</v>
          </cell>
          <cell r="L69">
            <v>0</v>
          </cell>
          <cell r="M69">
            <v>0</v>
          </cell>
          <cell r="N69">
            <v>0</v>
          </cell>
          <cell r="O69">
            <v>76289</v>
          </cell>
          <cell r="P69">
            <v>0</v>
          </cell>
          <cell r="Q69">
            <v>0</v>
          </cell>
          <cell r="R69">
            <v>0</v>
          </cell>
          <cell r="S69">
            <v>0</v>
          </cell>
          <cell r="T69">
            <v>0</v>
          </cell>
          <cell r="U69">
            <v>0</v>
          </cell>
          <cell r="V69">
            <v>0</v>
          </cell>
        </row>
        <row r="70">
          <cell r="D70" t="str">
            <v>IN Cement Ma</v>
          </cell>
          <cell r="E70">
            <v>326589.85757053434</v>
          </cell>
          <cell r="F70">
            <v>293023.67776467383</v>
          </cell>
          <cell r="G70">
            <v>330218.6337657625</v>
          </cell>
          <cell r="H70">
            <v>0</v>
          </cell>
          <cell r="I70">
            <v>0</v>
          </cell>
          <cell r="J70">
            <v>0</v>
          </cell>
          <cell r="K70">
            <v>69841</v>
          </cell>
          <cell r="L70">
            <v>2385</v>
          </cell>
          <cell r="M70">
            <v>63700</v>
          </cell>
          <cell r="N70">
            <v>69995</v>
          </cell>
          <cell r="O70">
            <v>76289</v>
          </cell>
          <cell r="P70">
            <v>0</v>
          </cell>
          <cell r="Q70">
            <v>0</v>
          </cell>
          <cell r="R70">
            <v>0</v>
          </cell>
          <cell r="S70">
            <v>0</v>
          </cell>
          <cell r="T70">
            <v>277500</v>
          </cell>
          <cell r="U70">
            <v>264500</v>
          </cell>
          <cell r="V70">
            <v>231015.567435</v>
          </cell>
        </row>
        <row r="71">
          <cell r="D71" t="str">
            <v>IA Cement Ma</v>
          </cell>
          <cell r="E71">
            <v>0</v>
          </cell>
          <cell r="F71">
            <v>0</v>
          </cell>
          <cell r="G71">
            <v>0</v>
          </cell>
          <cell r="H71">
            <v>16000</v>
          </cell>
          <cell r="I71">
            <v>19000</v>
          </cell>
          <cell r="J71">
            <v>17000</v>
          </cell>
          <cell r="K71">
            <v>69841</v>
          </cell>
          <cell r="L71">
            <v>2385</v>
          </cell>
          <cell r="M71">
            <v>63700</v>
          </cell>
          <cell r="N71">
            <v>38731</v>
          </cell>
          <cell r="O71">
            <v>13762</v>
          </cell>
          <cell r="P71">
            <v>0</v>
          </cell>
          <cell r="Q71">
            <v>0</v>
          </cell>
          <cell r="R71">
            <v>0</v>
          </cell>
          <cell r="S71">
            <v>0</v>
          </cell>
          <cell r="T71">
            <v>0</v>
          </cell>
          <cell r="U71">
            <v>0</v>
          </cell>
          <cell r="V71">
            <v>0</v>
          </cell>
        </row>
        <row r="72">
          <cell r="D72" t="str">
            <v>KS Cement Ma</v>
          </cell>
          <cell r="E72">
            <v>27215.821464211193</v>
          </cell>
          <cell r="F72">
            <v>33566.179805860469</v>
          </cell>
          <cell r="G72">
            <v>19958.269073754873</v>
          </cell>
          <cell r="I72">
            <v>24000</v>
          </cell>
          <cell r="J72">
            <v>31000</v>
          </cell>
          <cell r="K72">
            <v>24000</v>
          </cell>
          <cell r="L72">
            <v>2385</v>
          </cell>
          <cell r="M72">
            <v>63700</v>
          </cell>
          <cell r="N72">
            <v>69995</v>
          </cell>
          <cell r="O72">
            <v>76289</v>
          </cell>
          <cell r="P72">
            <v>25000</v>
          </cell>
          <cell r="Q72">
            <v>0</v>
          </cell>
          <cell r="R72">
            <v>0</v>
          </cell>
          <cell r="S72">
            <v>0</v>
          </cell>
          <cell r="T72">
            <v>0</v>
          </cell>
          <cell r="U72">
            <v>0</v>
          </cell>
          <cell r="V72">
            <v>0</v>
          </cell>
        </row>
        <row r="73">
          <cell r="D73" t="str">
            <v>KY Cement Ma</v>
          </cell>
          <cell r="E73">
            <v>88905.016783089886</v>
          </cell>
          <cell r="F73">
            <v>66225.165562913899</v>
          </cell>
          <cell r="G73">
            <v>68039.553660527992</v>
          </cell>
          <cell r="H73">
            <v>35000</v>
          </cell>
          <cell r="I73">
            <v>35000</v>
          </cell>
          <cell r="J73">
            <v>36000</v>
          </cell>
          <cell r="K73">
            <v>69841</v>
          </cell>
          <cell r="L73">
            <v>29000</v>
          </cell>
          <cell r="M73">
            <v>30000</v>
          </cell>
          <cell r="N73">
            <v>35804</v>
          </cell>
          <cell r="O73">
            <v>41613</v>
          </cell>
          <cell r="P73">
            <v>26666.666666666668</v>
          </cell>
          <cell r="Q73">
            <v>27666.666666666668</v>
          </cell>
          <cell r="R73">
            <v>0</v>
          </cell>
          <cell r="S73">
            <v>0</v>
          </cell>
          <cell r="T73">
            <v>0</v>
          </cell>
          <cell r="U73">
            <v>0</v>
          </cell>
          <cell r="V73">
            <v>0</v>
          </cell>
        </row>
        <row r="74">
          <cell r="D74" t="str">
            <v>LA Cement Ma</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row>
        <row r="75">
          <cell r="D75" t="str">
            <v>ME Cement Ma</v>
          </cell>
          <cell r="E75">
            <v>52163.657806404786</v>
          </cell>
          <cell r="F75">
            <v>43998.911367141431</v>
          </cell>
          <cell r="G75">
            <v>43998.911367141431</v>
          </cell>
          <cell r="H75">
            <v>42000</v>
          </cell>
          <cell r="I75">
            <v>44500</v>
          </cell>
          <cell r="J75">
            <v>50000</v>
          </cell>
          <cell r="K75">
            <v>51000</v>
          </cell>
          <cell r="L75">
            <v>53000</v>
          </cell>
          <cell r="M75">
            <v>54000</v>
          </cell>
          <cell r="N75">
            <v>61000</v>
          </cell>
          <cell r="O75">
            <v>64396</v>
          </cell>
          <cell r="P75">
            <v>65000</v>
          </cell>
          <cell r="Q75">
            <v>58000</v>
          </cell>
          <cell r="R75">
            <v>58500</v>
          </cell>
          <cell r="S75">
            <v>63565.999357500004</v>
          </cell>
          <cell r="T75">
            <v>59500</v>
          </cell>
          <cell r="U75">
            <v>59452.368975000005</v>
          </cell>
          <cell r="V75">
            <v>50307.036990000001</v>
          </cell>
        </row>
        <row r="76">
          <cell r="D76" t="str">
            <v>MD Cement Ma</v>
          </cell>
          <cell r="E76">
            <v>0</v>
          </cell>
          <cell r="F76">
            <v>0</v>
          </cell>
          <cell r="G76">
            <v>0</v>
          </cell>
          <cell r="H76">
            <v>66000</v>
          </cell>
          <cell r="I76">
            <v>190000</v>
          </cell>
          <cell r="J76">
            <v>176000</v>
          </cell>
          <cell r="K76">
            <v>69841</v>
          </cell>
          <cell r="L76">
            <v>2385</v>
          </cell>
          <cell r="M76">
            <v>63700</v>
          </cell>
          <cell r="N76">
            <v>110000</v>
          </cell>
          <cell r="O76">
            <v>73184</v>
          </cell>
          <cell r="P76">
            <v>77000</v>
          </cell>
          <cell r="Q76">
            <v>0</v>
          </cell>
          <cell r="R76">
            <v>0</v>
          </cell>
          <cell r="S76">
            <v>0</v>
          </cell>
          <cell r="T76">
            <v>135750</v>
          </cell>
          <cell r="U76">
            <v>127750</v>
          </cell>
          <cell r="V76">
            <v>116923.89950249999</v>
          </cell>
        </row>
        <row r="77">
          <cell r="D77" t="str">
            <v>MA Cement Ma</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row>
        <row r="78">
          <cell r="D78" t="str">
            <v>MI Cement Ma</v>
          </cell>
          <cell r="E78">
            <v>244942.39317790073</v>
          </cell>
          <cell r="F78">
            <v>202304.27288396988</v>
          </cell>
          <cell r="G78">
            <v>213190.60146965436</v>
          </cell>
          <cell r="H78">
            <v>216000</v>
          </cell>
          <cell r="I78">
            <v>235000</v>
          </cell>
          <cell r="J78">
            <v>229000</v>
          </cell>
          <cell r="K78">
            <v>232000</v>
          </cell>
          <cell r="L78">
            <v>289000</v>
          </cell>
          <cell r="M78">
            <v>284000</v>
          </cell>
          <cell r="N78">
            <v>283000</v>
          </cell>
          <cell r="O78">
            <v>284324</v>
          </cell>
          <cell r="P78">
            <v>290000</v>
          </cell>
          <cell r="Q78">
            <v>292000</v>
          </cell>
          <cell r="R78">
            <v>237000</v>
          </cell>
          <cell r="S78">
            <v>230514.80131500002</v>
          </cell>
          <cell r="T78">
            <v>228000</v>
          </cell>
          <cell r="U78">
            <v>175790.68056000001</v>
          </cell>
          <cell r="V78">
            <v>148979.73507</v>
          </cell>
        </row>
        <row r="79">
          <cell r="D79" t="str">
            <v>MN Cement Ma</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row>
        <row r="80">
          <cell r="D80" t="str">
            <v>MS Cement Ma</v>
          </cell>
          <cell r="E80">
            <v>0</v>
          </cell>
          <cell r="F80">
            <v>0</v>
          </cell>
          <cell r="G80">
            <v>0</v>
          </cell>
          <cell r="H80">
            <v>35000</v>
          </cell>
          <cell r="I80">
            <v>35000</v>
          </cell>
          <cell r="J80">
            <v>36000</v>
          </cell>
          <cell r="K80">
            <v>69841</v>
          </cell>
          <cell r="L80">
            <v>29000</v>
          </cell>
          <cell r="M80">
            <v>30000</v>
          </cell>
          <cell r="N80">
            <v>35804</v>
          </cell>
          <cell r="O80">
            <v>41613</v>
          </cell>
          <cell r="P80">
            <v>26666.666666666668</v>
          </cell>
          <cell r="Q80">
            <v>27666.666666666668</v>
          </cell>
          <cell r="R80">
            <v>0</v>
          </cell>
          <cell r="S80">
            <v>0</v>
          </cell>
          <cell r="T80">
            <v>0</v>
          </cell>
          <cell r="U80">
            <v>0</v>
          </cell>
          <cell r="V80">
            <v>0</v>
          </cell>
        </row>
        <row r="81">
          <cell r="D81" t="str">
            <v>MO Cement Ma</v>
          </cell>
          <cell r="E81">
            <v>115213.64419849405</v>
          </cell>
          <cell r="F81">
            <v>96162.569173546217</v>
          </cell>
          <cell r="G81">
            <v>93440.987027125098</v>
          </cell>
          <cell r="H81">
            <v>0</v>
          </cell>
          <cell r="I81">
            <v>0</v>
          </cell>
          <cell r="J81">
            <v>0</v>
          </cell>
          <cell r="K81">
            <v>69841</v>
          </cell>
          <cell r="L81">
            <v>2385</v>
          </cell>
          <cell r="M81">
            <v>63700</v>
          </cell>
          <cell r="N81">
            <v>69995</v>
          </cell>
          <cell r="O81">
            <v>76289</v>
          </cell>
          <cell r="P81">
            <v>111000</v>
          </cell>
          <cell r="Q81">
            <v>0</v>
          </cell>
          <cell r="R81">
            <v>0</v>
          </cell>
          <cell r="S81">
            <v>0</v>
          </cell>
          <cell r="T81">
            <v>0</v>
          </cell>
          <cell r="U81">
            <v>0</v>
          </cell>
          <cell r="V81">
            <v>0</v>
          </cell>
        </row>
        <row r="82">
          <cell r="D82" t="str">
            <v>MT Cement Ma</v>
          </cell>
          <cell r="E82">
            <v>3628.7761952281594</v>
          </cell>
          <cell r="F82">
            <v>3326.3781789591458</v>
          </cell>
          <cell r="G82">
            <v>3023.9801626901326</v>
          </cell>
          <cell r="H82">
            <v>0</v>
          </cell>
          <cell r="I82">
            <v>0</v>
          </cell>
          <cell r="J82">
            <v>0</v>
          </cell>
          <cell r="K82">
            <v>69841</v>
          </cell>
          <cell r="L82">
            <v>2385</v>
          </cell>
          <cell r="M82">
            <v>63700</v>
          </cell>
          <cell r="N82">
            <v>0</v>
          </cell>
          <cell r="O82">
            <v>76289</v>
          </cell>
          <cell r="P82">
            <v>0</v>
          </cell>
          <cell r="Q82">
            <v>0</v>
          </cell>
          <cell r="R82">
            <v>0</v>
          </cell>
          <cell r="S82">
            <v>0</v>
          </cell>
          <cell r="T82">
            <v>0</v>
          </cell>
          <cell r="U82">
            <v>0</v>
          </cell>
          <cell r="V82">
            <v>0</v>
          </cell>
        </row>
        <row r="83">
          <cell r="D83" t="str">
            <v>NE Cement Ma</v>
          </cell>
          <cell r="E83">
            <v>7862.3484229943442</v>
          </cell>
          <cell r="F83">
            <v>0</v>
          </cell>
          <cell r="G83">
            <v>8164.7464392633574</v>
          </cell>
          <cell r="H83">
            <v>16000</v>
          </cell>
          <cell r="I83">
            <v>19000</v>
          </cell>
          <cell r="J83">
            <v>17000</v>
          </cell>
          <cell r="K83">
            <v>69841</v>
          </cell>
          <cell r="L83">
            <v>2385</v>
          </cell>
          <cell r="M83">
            <v>63700</v>
          </cell>
          <cell r="N83">
            <v>38731</v>
          </cell>
          <cell r="O83">
            <v>13762</v>
          </cell>
          <cell r="P83">
            <v>0</v>
          </cell>
          <cell r="Q83">
            <v>0</v>
          </cell>
          <cell r="R83">
            <v>0</v>
          </cell>
          <cell r="S83">
            <v>0</v>
          </cell>
          <cell r="T83">
            <v>0</v>
          </cell>
          <cell r="U83">
            <v>0</v>
          </cell>
          <cell r="V83">
            <v>0</v>
          </cell>
        </row>
        <row r="84">
          <cell r="D84" t="str">
            <v>NV Cement Ma</v>
          </cell>
          <cell r="E84">
            <v>16631.890894795728</v>
          </cell>
          <cell r="F84">
            <v>16027.094862257705</v>
          </cell>
          <cell r="G84">
            <v>13607.910732105596</v>
          </cell>
          <cell r="H84">
            <v>0</v>
          </cell>
          <cell r="I84">
            <v>0</v>
          </cell>
          <cell r="J84">
            <v>0</v>
          </cell>
          <cell r="K84">
            <v>69841</v>
          </cell>
          <cell r="L84">
            <v>2385</v>
          </cell>
          <cell r="M84">
            <v>63700</v>
          </cell>
          <cell r="N84">
            <v>0</v>
          </cell>
          <cell r="O84">
            <v>76289</v>
          </cell>
          <cell r="P84">
            <v>0</v>
          </cell>
          <cell r="Q84">
            <v>0</v>
          </cell>
          <cell r="R84">
            <v>0</v>
          </cell>
          <cell r="S84">
            <v>0</v>
          </cell>
          <cell r="T84">
            <v>0</v>
          </cell>
          <cell r="U84">
            <v>0</v>
          </cell>
          <cell r="V84">
            <v>0</v>
          </cell>
        </row>
        <row r="85">
          <cell r="D85" t="str">
            <v>NH Cement Ma</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row>
        <row r="86">
          <cell r="D86" t="str">
            <v>NJ Cement Ma</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row>
        <row r="87">
          <cell r="D87" t="str">
            <v>NM Cement Ma</v>
          </cell>
          <cell r="E87">
            <v>16631.890894795728</v>
          </cell>
          <cell r="F87">
            <v>16027.094862257705</v>
          </cell>
          <cell r="G87">
            <v>13607.910732105596</v>
          </cell>
          <cell r="H87">
            <v>0</v>
          </cell>
          <cell r="I87">
            <v>0</v>
          </cell>
          <cell r="J87">
            <v>0</v>
          </cell>
          <cell r="K87">
            <v>69841</v>
          </cell>
          <cell r="L87">
            <v>2385</v>
          </cell>
          <cell r="M87">
            <v>63700</v>
          </cell>
          <cell r="N87">
            <v>69995</v>
          </cell>
          <cell r="O87">
            <v>76289</v>
          </cell>
          <cell r="P87">
            <v>54500</v>
          </cell>
          <cell r="Q87">
            <v>0</v>
          </cell>
          <cell r="R87">
            <v>0</v>
          </cell>
          <cell r="S87">
            <v>0</v>
          </cell>
          <cell r="T87">
            <v>0</v>
          </cell>
          <cell r="U87">
            <v>0</v>
          </cell>
          <cell r="V87">
            <v>0</v>
          </cell>
        </row>
        <row r="88">
          <cell r="D88" t="str">
            <v>NY Cement Ma</v>
          </cell>
          <cell r="E88">
            <v>52163.657806404786</v>
          </cell>
          <cell r="F88">
            <v>43998.911367141431</v>
          </cell>
          <cell r="G88">
            <v>43998.911367141431</v>
          </cell>
          <cell r="H88">
            <v>42000</v>
          </cell>
          <cell r="I88">
            <v>44500</v>
          </cell>
          <cell r="J88">
            <v>50000</v>
          </cell>
          <cell r="K88">
            <v>51000</v>
          </cell>
          <cell r="L88">
            <v>53000</v>
          </cell>
          <cell r="M88">
            <v>54000</v>
          </cell>
          <cell r="N88">
            <v>61000</v>
          </cell>
          <cell r="O88">
            <v>64396</v>
          </cell>
          <cell r="P88">
            <v>65000</v>
          </cell>
          <cell r="Q88">
            <v>58000</v>
          </cell>
          <cell r="R88">
            <v>58500</v>
          </cell>
          <cell r="S88">
            <v>63565.999357500004</v>
          </cell>
          <cell r="T88">
            <v>59500</v>
          </cell>
          <cell r="U88">
            <v>59452.368975000005</v>
          </cell>
          <cell r="V88">
            <v>50307.036990000001</v>
          </cell>
        </row>
        <row r="89">
          <cell r="D89" t="str">
            <v>NC Cement Ma</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row>
        <row r="90">
          <cell r="D90" t="str">
            <v>ND Cement Ma</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row>
        <row r="91">
          <cell r="D91" t="str">
            <v>OH Cement Ma</v>
          </cell>
          <cell r="E91">
            <v>118842.4203937222</v>
          </cell>
          <cell r="F91">
            <v>99791.345368774375</v>
          </cell>
          <cell r="G91">
            <v>110677.67395445885</v>
          </cell>
          <cell r="H91">
            <v>0</v>
          </cell>
          <cell r="I91">
            <v>0</v>
          </cell>
          <cell r="J91">
            <v>0</v>
          </cell>
          <cell r="K91">
            <v>69841</v>
          </cell>
          <cell r="L91">
            <v>2385</v>
          </cell>
          <cell r="M91">
            <v>74000</v>
          </cell>
          <cell r="N91">
            <v>85000</v>
          </cell>
          <cell r="O91">
            <v>76289</v>
          </cell>
          <cell r="P91">
            <v>74000</v>
          </cell>
          <cell r="Q91">
            <v>85000</v>
          </cell>
          <cell r="R91">
            <v>75000</v>
          </cell>
          <cell r="S91">
            <v>98483.096415000007</v>
          </cell>
          <cell r="T91">
            <v>277500</v>
          </cell>
          <cell r="U91">
            <v>264500</v>
          </cell>
          <cell r="V91">
            <v>231015.567435</v>
          </cell>
        </row>
        <row r="92">
          <cell r="D92" t="str">
            <v>OK Cement Ma</v>
          </cell>
          <cell r="E92">
            <v>0</v>
          </cell>
          <cell r="F92">
            <v>0</v>
          </cell>
          <cell r="G92">
            <v>0</v>
          </cell>
          <cell r="H92">
            <v>51000</v>
          </cell>
          <cell r="I92">
            <v>52000</v>
          </cell>
          <cell r="J92">
            <v>55000</v>
          </cell>
          <cell r="K92">
            <v>52000</v>
          </cell>
          <cell r="L92">
            <v>58000</v>
          </cell>
          <cell r="M92">
            <v>63000</v>
          </cell>
          <cell r="N92">
            <v>69000</v>
          </cell>
          <cell r="O92">
            <v>69100</v>
          </cell>
          <cell r="P92">
            <v>65000</v>
          </cell>
          <cell r="Q92">
            <v>72500</v>
          </cell>
          <cell r="R92">
            <v>74500</v>
          </cell>
          <cell r="S92">
            <v>80557.120815000002</v>
          </cell>
          <cell r="T92">
            <v>94000</v>
          </cell>
          <cell r="U92">
            <v>96294.966195000001</v>
          </cell>
          <cell r="V92">
            <v>74093.881282500006</v>
          </cell>
        </row>
        <row r="93">
          <cell r="D93" t="str">
            <v>OR Cement Ma</v>
          </cell>
          <cell r="E93">
            <v>0</v>
          </cell>
          <cell r="F93">
            <v>0</v>
          </cell>
          <cell r="G93">
            <v>0</v>
          </cell>
          <cell r="H93">
            <v>0</v>
          </cell>
          <cell r="I93">
            <v>0</v>
          </cell>
          <cell r="J93">
            <v>0</v>
          </cell>
          <cell r="K93">
            <v>69841</v>
          </cell>
          <cell r="L93">
            <v>2385</v>
          </cell>
          <cell r="M93">
            <v>63700</v>
          </cell>
          <cell r="N93">
            <v>0</v>
          </cell>
          <cell r="O93">
            <v>76289</v>
          </cell>
          <cell r="P93">
            <v>28333.333333333332</v>
          </cell>
          <cell r="Q93">
            <v>26333.333333333332</v>
          </cell>
          <cell r="R93">
            <v>24333</v>
          </cell>
          <cell r="S93">
            <v>27059.514179999998</v>
          </cell>
          <cell r="T93">
            <v>0</v>
          </cell>
          <cell r="U93">
            <v>0</v>
          </cell>
          <cell r="V93">
            <v>0</v>
          </cell>
        </row>
        <row r="94">
          <cell r="D94" t="str">
            <v>PA Cement Ma</v>
          </cell>
          <cell r="E94">
            <v>276694.18488614715</v>
          </cell>
          <cell r="F94">
            <v>261271.88605642744</v>
          </cell>
          <cell r="G94">
            <v>297559.64800870907</v>
          </cell>
          <cell r="H94">
            <v>248000</v>
          </cell>
          <cell r="I94">
            <v>245000</v>
          </cell>
          <cell r="J94">
            <v>267000</v>
          </cell>
          <cell r="K94">
            <v>275000</v>
          </cell>
          <cell r="L94">
            <v>296000</v>
          </cell>
          <cell r="M94">
            <v>319000</v>
          </cell>
          <cell r="N94">
            <v>322305</v>
          </cell>
          <cell r="O94">
            <v>325610</v>
          </cell>
          <cell r="P94">
            <v>329000</v>
          </cell>
          <cell r="Q94">
            <v>341000</v>
          </cell>
          <cell r="R94">
            <v>342000</v>
          </cell>
          <cell r="S94">
            <v>289188.80556000001</v>
          </cell>
          <cell r="T94">
            <v>399000</v>
          </cell>
          <cell r="U94">
            <v>383581.40481000004</v>
          </cell>
          <cell r="V94">
            <v>303784.50502500002</v>
          </cell>
        </row>
        <row r="95">
          <cell r="D95" t="str">
            <v>PR Cement Ma</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row>
        <row r="96">
          <cell r="D96" t="str">
            <v>RI Cement Ma</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row>
        <row r="97">
          <cell r="D97" t="str">
            <v>SC Cement Ma</v>
          </cell>
          <cell r="E97">
            <v>0</v>
          </cell>
          <cell r="F97">
            <v>0</v>
          </cell>
          <cell r="G97">
            <v>0</v>
          </cell>
          <cell r="H97">
            <v>187000</v>
          </cell>
          <cell r="I97">
            <v>208000</v>
          </cell>
          <cell r="J97">
            <v>218000</v>
          </cell>
          <cell r="K97">
            <v>286000</v>
          </cell>
          <cell r="L97">
            <v>2385</v>
          </cell>
          <cell r="M97">
            <v>63700</v>
          </cell>
          <cell r="N97">
            <v>421000</v>
          </cell>
          <cell r="O97">
            <v>421748</v>
          </cell>
          <cell r="P97">
            <v>487000</v>
          </cell>
          <cell r="Q97">
            <v>426000</v>
          </cell>
          <cell r="R97">
            <v>425000</v>
          </cell>
          <cell r="S97">
            <v>453257.74873500003</v>
          </cell>
          <cell r="T97">
            <v>498000</v>
          </cell>
          <cell r="U97">
            <v>575144.40378000005</v>
          </cell>
          <cell r="V97">
            <v>491441.165385</v>
          </cell>
        </row>
        <row r="98">
          <cell r="D98" t="str">
            <v>SD Cement Ma</v>
          </cell>
          <cell r="E98">
            <v>0</v>
          </cell>
          <cell r="F98">
            <v>0</v>
          </cell>
          <cell r="G98">
            <v>0</v>
          </cell>
          <cell r="H98">
            <v>16000</v>
          </cell>
          <cell r="I98">
            <v>19000</v>
          </cell>
          <cell r="J98">
            <v>17000</v>
          </cell>
          <cell r="K98">
            <v>69841</v>
          </cell>
          <cell r="L98">
            <v>2385</v>
          </cell>
          <cell r="M98">
            <v>63700</v>
          </cell>
          <cell r="N98">
            <v>38731</v>
          </cell>
          <cell r="O98">
            <v>13762</v>
          </cell>
          <cell r="P98">
            <v>0</v>
          </cell>
          <cell r="Q98">
            <v>0</v>
          </cell>
          <cell r="R98">
            <v>0</v>
          </cell>
          <cell r="S98">
            <v>0</v>
          </cell>
          <cell r="T98">
            <v>0</v>
          </cell>
          <cell r="U98">
            <v>0</v>
          </cell>
          <cell r="V98">
            <v>0</v>
          </cell>
        </row>
        <row r="99">
          <cell r="D99" t="str">
            <v>TN Cement Ma</v>
          </cell>
          <cell r="E99">
            <v>79833.076295019491</v>
          </cell>
          <cell r="F99">
            <v>69853.941758142057</v>
          </cell>
          <cell r="G99">
            <v>73936.314977773742</v>
          </cell>
          <cell r="H99">
            <v>35000</v>
          </cell>
          <cell r="I99">
            <v>35000</v>
          </cell>
          <cell r="J99">
            <v>36000</v>
          </cell>
          <cell r="K99">
            <v>69841</v>
          </cell>
          <cell r="L99">
            <v>29000</v>
          </cell>
          <cell r="M99">
            <v>30000</v>
          </cell>
          <cell r="N99">
            <v>35807</v>
          </cell>
          <cell r="O99">
            <v>41613</v>
          </cell>
          <cell r="P99">
            <v>26666.666666666668</v>
          </cell>
          <cell r="Q99">
            <v>27666.666666666668</v>
          </cell>
          <cell r="R99">
            <v>0</v>
          </cell>
          <cell r="S99">
            <v>0</v>
          </cell>
          <cell r="T99">
            <v>0</v>
          </cell>
          <cell r="U99">
            <v>0</v>
          </cell>
          <cell r="V99">
            <v>0</v>
          </cell>
        </row>
        <row r="100">
          <cell r="D100" t="str">
            <v>TX Cement Ma</v>
          </cell>
          <cell r="E100">
            <v>126099.97278417854</v>
          </cell>
          <cell r="F100">
            <v>138800.68946747709</v>
          </cell>
          <cell r="G100">
            <v>107048.89775923069</v>
          </cell>
          <cell r="H100">
            <v>245000</v>
          </cell>
          <cell r="I100">
            <v>257000</v>
          </cell>
          <cell r="J100">
            <v>213422</v>
          </cell>
          <cell r="K100">
            <v>169841</v>
          </cell>
          <cell r="L100">
            <v>204000</v>
          </cell>
          <cell r="M100">
            <v>217000</v>
          </cell>
          <cell r="N100">
            <v>261000</v>
          </cell>
          <cell r="O100">
            <v>264451</v>
          </cell>
          <cell r="P100">
            <v>291000</v>
          </cell>
          <cell r="Q100">
            <v>294000</v>
          </cell>
          <cell r="R100">
            <v>307000</v>
          </cell>
          <cell r="S100">
            <v>319308.25474500004</v>
          </cell>
          <cell r="T100">
            <v>395000</v>
          </cell>
          <cell r="U100">
            <v>382185.247095</v>
          </cell>
          <cell r="V100">
            <v>368000</v>
          </cell>
        </row>
        <row r="101">
          <cell r="D101" t="str">
            <v>UT Cement Ma</v>
          </cell>
          <cell r="E101">
            <v>3628.7761952281594</v>
          </cell>
          <cell r="F101">
            <v>3326.3781789591458</v>
          </cell>
          <cell r="G101">
            <v>3023.9801626901326</v>
          </cell>
          <cell r="H101">
            <v>0</v>
          </cell>
          <cell r="I101">
            <v>0</v>
          </cell>
          <cell r="J101">
            <v>0</v>
          </cell>
          <cell r="K101">
            <v>69841</v>
          </cell>
          <cell r="L101">
            <v>2385</v>
          </cell>
          <cell r="M101">
            <v>63700</v>
          </cell>
          <cell r="N101">
            <v>0</v>
          </cell>
          <cell r="O101">
            <v>76289</v>
          </cell>
          <cell r="P101">
            <v>0</v>
          </cell>
          <cell r="Q101">
            <v>0</v>
          </cell>
          <cell r="R101">
            <v>0</v>
          </cell>
          <cell r="S101">
            <v>0</v>
          </cell>
          <cell r="T101">
            <v>0</v>
          </cell>
          <cell r="U101">
            <v>0</v>
          </cell>
          <cell r="V101">
            <v>0</v>
          </cell>
        </row>
        <row r="102">
          <cell r="D102" t="str">
            <v>VT Cement Ma</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row>
        <row r="103">
          <cell r="D103" t="str">
            <v>VA Cement Ma</v>
          </cell>
          <cell r="E103">
            <v>88905.016783089886</v>
          </cell>
          <cell r="F103">
            <v>66225.165562913899</v>
          </cell>
          <cell r="G103">
            <v>68039.553660527992</v>
          </cell>
          <cell r="H103">
            <v>66000</v>
          </cell>
          <cell r="I103">
            <v>190000</v>
          </cell>
          <cell r="J103">
            <v>176000</v>
          </cell>
          <cell r="K103">
            <v>125000</v>
          </cell>
          <cell r="L103">
            <v>127000</v>
          </cell>
          <cell r="M103">
            <v>114000</v>
          </cell>
          <cell r="N103">
            <v>123000</v>
          </cell>
          <cell r="O103">
            <v>98144</v>
          </cell>
          <cell r="P103">
            <v>106000</v>
          </cell>
          <cell r="Q103">
            <v>114333.33333333333</v>
          </cell>
          <cell r="R103">
            <v>123666.66666666667</v>
          </cell>
          <cell r="S103">
            <v>139598.23259</v>
          </cell>
          <cell r="T103">
            <v>135750</v>
          </cell>
          <cell r="U103">
            <v>127750</v>
          </cell>
          <cell r="V103">
            <v>116923.89950249999</v>
          </cell>
        </row>
        <row r="104">
          <cell r="D104" t="str">
            <v>WA Cement Ma</v>
          </cell>
          <cell r="E104">
            <v>0</v>
          </cell>
          <cell r="F104">
            <v>0</v>
          </cell>
          <cell r="G104">
            <v>0</v>
          </cell>
          <cell r="H104">
            <v>0</v>
          </cell>
          <cell r="I104">
            <v>0</v>
          </cell>
          <cell r="J104">
            <v>0</v>
          </cell>
          <cell r="K104">
            <v>69841</v>
          </cell>
          <cell r="L104">
            <v>2385</v>
          </cell>
          <cell r="M104">
            <v>63700</v>
          </cell>
          <cell r="N104">
            <v>0</v>
          </cell>
          <cell r="O104">
            <v>76289</v>
          </cell>
          <cell r="P104">
            <v>28333.333333333332</v>
          </cell>
          <cell r="Q104">
            <v>26333.333333333332</v>
          </cell>
          <cell r="R104">
            <v>24333</v>
          </cell>
          <cell r="S104">
            <v>27059.514179999998</v>
          </cell>
          <cell r="T104">
            <v>0</v>
          </cell>
          <cell r="U104">
            <v>0</v>
          </cell>
          <cell r="V104">
            <v>0</v>
          </cell>
        </row>
        <row r="105">
          <cell r="D105" t="str">
            <v>WV Cement Ma</v>
          </cell>
          <cell r="E105">
            <v>88905.016783089886</v>
          </cell>
          <cell r="F105">
            <v>66225.165562913899</v>
          </cell>
          <cell r="G105">
            <v>68039.553660527992</v>
          </cell>
          <cell r="H105">
            <v>66000</v>
          </cell>
          <cell r="I105">
            <v>190000</v>
          </cell>
          <cell r="J105">
            <v>176000</v>
          </cell>
          <cell r="K105">
            <v>125000</v>
          </cell>
          <cell r="L105">
            <v>127000</v>
          </cell>
          <cell r="M105">
            <v>114000</v>
          </cell>
          <cell r="N105">
            <v>123000</v>
          </cell>
          <cell r="O105">
            <v>98144</v>
          </cell>
          <cell r="P105">
            <v>106000</v>
          </cell>
          <cell r="Q105">
            <v>114333.33333333333</v>
          </cell>
          <cell r="R105">
            <v>123666.66666666667</v>
          </cell>
          <cell r="S105">
            <v>139598.23259</v>
          </cell>
          <cell r="T105">
            <v>135750</v>
          </cell>
          <cell r="U105">
            <v>127750</v>
          </cell>
          <cell r="V105">
            <v>116923.89950249999</v>
          </cell>
        </row>
        <row r="106">
          <cell r="D106" t="str">
            <v>WI Cement Ma</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row>
        <row r="107">
          <cell r="D107" t="str">
            <v>WY Cement Ma</v>
          </cell>
          <cell r="E107">
            <v>7862.3484229943442</v>
          </cell>
          <cell r="F107">
            <v>0</v>
          </cell>
          <cell r="G107">
            <v>8164.7464392633574</v>
          </cell>
          <cell r="H107">
            <v>0</v>
          </cell>
          <cell r="I107">
            <v>0</v>
          </cell>
          <cell r="J107">
            <v>0</v>
          </cell>
          <cell r="K107">
            <v>69841</v>
          </cell>
          <cell r="L107">
            <v>2385</v>
          </cell>
          <cell r="M107">
            <v>63700</v>
          </cell>
          <cell r="N107">
            <v>69995</v>
          </cell>
          <cell r="O107">
            <v>76289</v>
          </cell>
          <cell r="P107">
            <v>0</v>
          </cell>
          <cell r="Q107">
            <v>0</v>
          </cell>
          <cell r="R107">
            <v>0</v>
          </cell>
          <cell r="S107">
            <v>0</v>
          </cell>
          <cell r="T107">
            <v>0</v>
          </cell>
          <cell r="U107">
            <v>0</v>
          </cell>
          <cell r="V107">
            <v>0</v>
          </cell>
        </row>
        <row r="108">
          <cell r="D108" t="str">
            <v>ALLime</v>
          </cell>
          <cell r="E108">
            <v>1384378.1184795427</v>
          </cell>
          <cell r="F108">
            <v>1369863.01369863</v>
          </cell>
          <cell r="G108">
            <v>1454232.0602376848</v>
          </cell>
          <cell r="H108">
            <v>1950000</v>
          </cell>
          <cell r="I108">
            <v>1930000</v>
          </cell>
          <cell r="J108">
            <v>1960000</v>
          </cell>
          <cell r="K108">
            <v>1830000</v>
          </cell>
          <cell r="L108">
            <v>1860000</v>
          </cell>
          <cell r="M108">
            <v>1730000</v>
          </cell>
          <cell r="N108">
            <v>1660000</v>
          </cell>
          <cell r="O108">
            <v>1630000</v>
          </cell>
          <cell r="P108">
            <v>2030000</v>
          </cell>
          <cell r="Q108">
            <v>2040000</v>
          </cell>
          <cell r="R108">
            <v>2290000</v>
          </cell>
          <cell r="S108">
            <v>2280000</v>
          </cell>
          <cell r="T108">
            <v>2240000</v>
          </cell>
          <cell r="U108">
            <v>2450000</v>
          </cell>
          <cell r="V108">
            <v>2480000</v>
          </cell>
          <cell r="W108">
            <v>2320000</v>
          </cell>
        </row>
        <row r="109">
          <cell r="D109" t="str">
            <v>AKLime</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row>
        <row r="110">
          <cell r="D110" t="str">
            <v>AZLime</v>
          </cell>
          <cell r="E110">
            <v>0</v>
          </cell>
          <cell r="F110">
            <v>451480.23828963679</v>
          </cell>
          <cell r="G110">
            <v>505911.88121805922</v>
          </cell>
          <cell r="H110">
            <v>344000</v>
          </cell>
          <cell r="I110">
            <v>323000</v>
          </cell>
          <cell r="J110">
            <v>585000</v>
          </cell>
          <cell r="K110">
            <v>1170000</v>
          </cell>
          <cell r="L110">
            <v>686000</v>
          </cell>
          <cell r="M110">
            <v>603000</v>
          </cell>
          <cell r="N110">
            <v>603000</v>
          </cell>
          <cell r="O110">
            <v>536000</v>
          </cell>
          <cell r="P110">
            <v>333750</v>
          </cell>
          <cell r="Q110">
            <v>287500</v>
          </cell>
          <cell r="R110">
            <v>325000</v>
          </cell>
          <cell r="S110">
            <v>330000</v>
          </cell>
          <cell r="T110">
            <v>382500</v>
          </cell>
          <cell r="U110">
            <v>407500</v>
          </cell>
          <cell r="V110">
            <v>420000</v>
          </cell>
          <cell r="W110">
            <v>407142.85714285716</v>
          </cell>
        </row>
        <row r="111">
          <cell r="D111" t="str">
            <v>ARLime</v>
          </cell>
          <cell r="E111">
            <v>76506.698116060346</v>
          </cell>
          <cell r="F111">
            <v>0</v>
          </cell>
          <cell r="G111">
            <v>0</v>
          </cell>
          <cell r="H111">
            <v>110000</v>
          </cell>
          <cell r="I111">
            <v>99000</v>
          </cell>
          <cell r="J111">
            <v>112000</v>
          </cell>
          <cell r="K111">
            <v>102000</v>
          </cell>
          <cell r="L111">
            <v>112000</v>
          </cell>
          <cell r="M111">
            <v>113000</v>
          </cell>
          <cell r="N111">
            <v>109000</v>
          </cell>
          <cell r="O111">
            <v>101000</v>
          </cell>
          <cell r="P111">
            <v>0</v>
          </cell>
          <cell r="Q111">
            <v>0</v>
          </cell>
          <cell r="S111">
            <v>0</v>
          </cell>
          <cell r="T111">
            <v>0</v>
          </cell>
          <cell r="U111">
            <v>0</v>
          </cell>
          <cell r="V111">
            <v>0</v>
          </cell>
          <cell r="W111">
            <v>0</v>
          </cell>
        </row>
        <row r="112">
          <cell r="D112" t="str">
            <v>CALime</v>
          </cell>
          <cell r="E112">
            <v>313889.14088723582</v>
          </cell>
          <cell r="F112">
            <v>278508.5729837612</v>
          </cell>
          <cell r="G112">
            <v>254014.33366597112</v>
          </cell>
          <cell r="H112">
            <v>181000</v>
          </cell>
          <cell r="I112">
            <v>189000</v>
          </cell>
          <cell r="J112">
            <v>585000</v>
          </cell>
          <cell r="K112">
            <v>1170000</v>
          </cell>
          <cell r="L112">
            <v>209000</v>
          </cell>
          <cell r="M112">
            <v>228000</v>
          </cell>
          <cell r="N112">
            <v>203000</v>
          </cell>
          <cell r="O112">
            <v>193000</v>
          </cell>
          <cell r="P112">
            <v>127000</v>
          </cell>
          <cell r="Q112">
            <v>96000</v>
          </cell>
          <cell r="R112">
            <v>100186</v>
          </cell>
          <cell r="S112">
            <v>126097</v>
          </cell>
          <cell r="T112">
            <v>122754</v>
          </cell>
          <cell r="U112">
            <v>107577</v>
          </cell>
          <cell r="V112">
            <v>93250</v>
          </cell>
          <cell r="W112">
            <v>78376.75</v>
          </cell>
        </row>
        <row r="113">
          <cell r="D113" t="str">
            <v>COLime</v>
          </cell>
          <cell r="E113">
            <v>0</v>
          </cell>
          <cell r="F113">
            <v>84671.444555323702</v>
          </cell>
          <cell r="G113">
            <v>120959.20650760531</v>
          </cell>
          <cell r="H113">
            <v>343000</v>
          </cell>
          <cell r="I113">
            <v>323000</v>
          </cell>
          <cell r="J113">
            <v>130000</v>
          </cell>
          <cell r="K113">
            <v>116000</v>
          </cell>
          <cell r="L113">
            <v>113000</v>
          </cell>
          <cell r="M113">
            <v>115000</v>
          </cell>
          <cell r="N113">
            <v>111000</v>
          </cell>
          <cell r="O113">
            <v>123000</v>
          </cell>
          <cell r="P113">
            <v>333750</v>
          </cell>
          <cell r="Q113">
            <v>287500</v>
          </cell>
          <cell r="R113">
            <v>325000</v>
          </cell>
          <cell r="S113">
            <v>330000</v>
          </cell>
          <cell r="T113">
            <v>382500</v>
          </cell>
          <cell r="U113">
            <v>407500</v>
          </cell>
          <cell r="V113">
            <v>420000</v>
          </cell>
          <cell r="W113">
            <v>407142.85714285716</v>
          </cell>
        </row>
        <row r="114">
          <cell r="D114" t="str">
            <v>CTLime</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row>
        <row r="115">
          <cell r="D115" t="str">
            <v>DCLime</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row>
        <row r="116">
          <cell r="D116" t="str">
            <v>DELime</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row>
        <row r="117">
          <cell r="D117" t="str">
            <v>FLLime</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row>
        <row r="118">
          <cell r="D118" t="str">
            <v>GALime</v>
          </cell>
          <cell r="E118">
            <v>0</v>
          </cell>
          <cell r="F118">
            <v>0</v>
          </cell>
          <cell r="G118">
            <v>0</v>
          </cell>
          <cell r="H118">
            <v>110000</v>
          </cell>
          <cell r="I118">
            <v>99000</v>
          </cell>
          <cell r="J118">
            <v>112000</v>
          </cell>
          <cell r="K118">
            <v>102000</v>
          </cell>
          <cell r="L118">
            <v>0</v>
          </cell>
          <cell r="M118">
            <v>0</v>
          </cell>
          <cell r="N118">
            <v>0</v>
          </cell>
          <cell r="O118">
            <v>0</v>
          </cell>
          <cell r="P118">
            <v>0</v>
          </cell>
          <cell r="Q118">
            <v>0</v>
          </cell>
          <cell r="R118">
            <v>0</v>
          </cell>
          <cell r="S118">
            <v>0</v>
          </cell>
          <cell r="T118">
            <v>0</v>
          </cell>
          <cell r="U118">
            <v>0</v>
          </cell>
          <cell r="V118">
            <v>0</v>
          </cell>
          <cell r="W118">
            <v>0</v>
          </cell>
        </row>
        <row r="119">
          <cell r="D119" t="str">
            <v>HILime</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row>
        <row r="120">
          <cell r="D120" t="str">
            <v>IDLime</v>
          </cell>
          <cell r="E120">
            <v>0</v>
          </cell>
          <cell r="F120">
            <v>139405.48550001511</v>
          </cell>
          <cell r="G120">
            <v>161480.54068765306</v>
          </cell>
          <cell r="H120">
            <v>343000</v>
          </cell>
          <cell r="I120">
            <v>323000</v>
          </cell>
          <cell r="J120">
            <v>204000</v>
          </cell>
          <cell r="K120">
            <v>223000</v>
          </cell>
          <cell r="L120">
            <v>202000</v>
          </cell>
          <cell r="M120">
            <v>222000</v>
          </cell>
          <cell r="N120">
            <v>207000</v>
          </cell>
          <cell r="O120">
            <v>188000</v>
          </cell>
          <cell r="P120">
            <v>333750</v>
          </cell>
          <cell r="Q120">
            <v>287500</v>
          </cell>
          <cell r="R120">
            <v>325000</v>
          </cell>
          <cell r="S120">
            <v>330000</v>
          </cell>
          <cell r="T120">
            <v>382500</v>
          </cell>
          <cell r="U120">
            <v>407500</v>
          </cell>
          <cell r="V120">
            <v>93250</v>
          </cell>
          <cell r="W120">
            <v>78376.75</v>
          </cell>
        </row>
        <row r="121">
          <cell r="D121" t="str">
            <v>ILLime</v>
          </cell>
          <cell r="E121">
            <v>1241041.4587680302</v>
          </cell>
          <cell r="F121">
            <v>1055369.0767788561</v>
          </cell>
          <cell r="G121">
            <v>1063533.8232181198</v>
          </cell>
          <cell r="H121">
            <v>1296000</v>
          </cell>
          <cell r="I121">
            <v>1367000</v>
          </cell>
          <cell r="J121">
            <v>1320000</v>
          </cell>
          <cell r="K121">
            <v>1243000</v>
          </cell>
          <cell r="L121">
            <v>1233000</v>
          </cell>
          <cell r="M121">
            <v>1150000</v>
          </cell>
          <cell r="N121">
            <v>1126000</v>
          </cell>
          <cell r="O121">
            <v>1063000</v>
          </cell>
          <cell r="P121">
            <v>1233333.3333333333</v>
          </cell>
          <cell r="Q121">
            <v>1240000</v>
          </cell>
          <cell r="R121">
            <v>1236666.6666666667</v>
          </cell>
          <cell r="S121">
            <v>1273333.3333333333</v>
          </cell>
          <cell r="T121">
            <v>1253333.3333333333</v>
          </cell>
          <cell r="U121">
            <v>1333333.3333333333</v>
          </cell>
          <cell r="V121">
            <v>1306666.6666666667</v>
          </cell>
          <cell r="W121">
            <v>1313333.3333333333</v>
          </cell>
        </row>
        <row r="122">
          <cell r="D122" t="str">
            <v>INLime</v>
          </cell>
          <cell r="E122">
            <v>1241041.4587680302</v>
          </cell>
          <cell r="F122">
            <v>1055369.0767788561</v>
          </cell>
          <cell r="G122">
            <v>1063533.8232181198</v>
          </cell>
          <cell r="H122">
            <v>1296000</v>
          </cell>
          <cell r="I122">
            <v>1367000</v>
          </cell>
          <cell r="J122">
            <v>1320000</v>
          </cell>
          <cell r="K122">
            <v>1243000</v>
          </cell>
          <cell r="L122">
            <v>1233000</v>
          </cell>
          <cell r="M122">
            <v>1150000</v>
          </cell>
          <cell r="N122">
            <v>1126000</v>
          </cell>
          <cell r="O122">
            <v>1063000</v>
          </cell>
          <cell r="P122">
            <v>1233333.3333333333</v>
          </cell>
          <cell r="Q122">
            <v>1240000</v>
          </cell>
          <cell r="R122">
            <v>1236666.6666666667</v>
          </cell>
          <cell r="S122">
            <v>1273333.3333333333</v>
          </cell>
          <cell r="T122">
            <v>1253333.3333333333</v>
          </cell>
          <cell r="U122">
            <v>1333333.3333333333</v>
          </cell>
          <cell r="V122">
            <v>1306666.6666666667</v>
          </cell>
          <cell r="W122">
            <v>1313333.3333333333</v>
          </cell>
        </row>
        <row r="123">
          <cell r="D123" t="str">
            <v>IALime</v>
          </cell>
          <cell r="E123">
            <v>0</v>
          </cell>
          <cell r="F123">
            <v>0</v>
          </cell>
          <cell r="G123">
            <v>0</v>
          </cell>
          <cell r="H123">
            <v>84000</v>
          </cell>
          <cell r="I123">
            <v>87000</v>
          </cell>
          <cell r="J123">
            <v>92000</v>
          </cell>
          <cell r="K123">
            <v>92000</v>
          </cell>
          <cell r="L123">
            <v>81000</v>
          </cell>
          <cell r="M123">
            <v>77000</v>
          </cell>
          <cell r="N123">
            <v>80000</v>
          </cell>
          <cell r="O123">
            <v>78000</v>
          </cell>
          <cell r="P123">
            <v>84000</v>
          </cell>
          <cell r="Q123">
            <v>84000</v>
          </cell>
          <cell r="R123">
            <v>121108.33333333333</v>
          </cell>
          <cell r="S123">
            <v>122286.33333333333</v>
          </cell>
          <cell r="T123">
            <v>121938.33333333333</v>
          </cell>
          <cell r="U123">
            <v>117391.33333333333</v>
          </cell>
          <cell r="V123">
            <v>112666.66666666667</v>
          </cell>
          <cell r="W123">
            <v>114312.66666666666</v>
          </cell>
        </row>
        <row r="124">
          <cell r="D124" t="str">
            <v>KSLime</v>
          </cell>
          <cell r="E124">
            <v>0</v>
          </cell>
          <cell r="F124">
            <v>0</v>
          </cell>
          <cell r="G124">
            <v>0</v>
          </cell>
          <cell r="H124">
            <v>43000</v>
          </cell>
          <cell r="I124">
            <v>38000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row>
        <row r="125">
          <cell r="D125" t="str">
            <v>KYLime</v>
          </cell>
          <cell r="E125">
            <v>600864.85832652939</v>
          </cell>
          <cell r="F125">
            <v>618706.34128640115</v>
          </cell>
          <cell r="G125">
            <v>599352.86824518431</v>
          </cell>
          <cell r="H125">
            <v>837000</v>
          </cell>
          <cell r="I125">
            <v>1150000</v>
          </cell>
          <cell r="J125">
            <v>863000</v>
          </cell>
          <cell r="K125">
            <v>836000</v>
          </cell>
          <cell r="L125">
            <v>830000</v>
          </cell>
          <cell r="M125">
            <v>796000</v>
          </cell>
          <cell r="N125">
            <v>643000</v>
          </cell>
          <cell r="O125">
            <v>616000</v>
          </cell>
          <cell r="P125">
            <v>776666.66666666663</v>
          </cell>
          <cell r="Q125">
            <v>756666.66666666674</v>
          </cell>
          <cell r="R125">
            <v>840000</v>
          </cell>
          <cell r="S125">
            <v>943333.33333333337</v>
          </cell>
          <cell r="T125">
            <v>930000</v>
          </cell>
          <cell r="U125">
            <v>953333.33333333337</v>
          </cell>
          <cell r="V125">
            <v>880000</v>
          </cell>
          <cell r="W125">
            <v>900000</v>
          </cell>
        </row>
        <row r="126">
          <cell r="D126" t="str">
            <v>LALime</v>
          </cell>
          <cell r="E126">
            <v>76506.698116060346</v>
          </cell>
          <cell r="F126">
            <v>0</v>
          </cell>
          <cell r="G126">
            <v>0</v>
          </cell>
          <cell r="H126">
            <v>110000</v>
          </cell>
          <cell r="I126">
            <v>99000</v>
          </cell>
          <cell r="J126">
            <v>112000</v>
          </cell>
          <cell r="K126">
            <v>102000</v>
          </cell>
          <cell r="L126">
            <v>112000</v>
          </cell>
          <cell r="M126">
            <v>113000</v>
          </cell>
          <cell r="N126">
            <v>109000</v>
          </cell>
          <cell r="O126">
            <v>101000</v>
          </cell>
          <cell r="P126">
            <v>0</v>
          </cell>
          <cell r="Q126">
            <v>0</v>
          </cell>
          <cell r="R126">
            <v>0</v>
          </cell>
          <cell r="S126">
            <v>0</v>
          </cell>
          <cell r="T126">
            <v>0</v>
          </cell>
          <cell r="U126">
            <v>0</v>
          </cell>
          <cell r="V126">
            <v>0</v>
          </cell>
          <cell r="W126">
            <v>0</v>
          </cell>
        </row>
        <row r="127">
          <cell r="D127" t="str">
            <v>MELime</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row>
        <row r="128">
          <cell r="D128" t="str">
            <v>MDLime</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row>
        <row r="129">
          <cell r="D129" t="str">
            <v>MALime</v>
          </cell>
          <cell r="E129">
            <v>0</v>
          </cell>
          <cell r="F129">
            <v>0</v>
          </cell>
          <cell r="G129">
            <v>0</v>
          </cell>
          <cell r="H129">
            <v>110000</v>
          </cell>
          <cell r="I129">
            <v>99000</v>
          </cell>
          <cell r="J129">
            <v>112000</v>
          </cell>
          <cell r="K129">
            <v>102000</v>
          </cell>
          <cell r="L129">
            <v>112000</v>
          </cell>
          <cell r="M129">
            <v>113000</v>
          </cell>
          <cell r="N129">
            <v>109000</v>
          </cell>
          <cell r="O129">
            <v>101000</v>
          </cell>
          <cell r="P129">
            <v>0</v>
          </cell>
          <cell r="Q129">
            <v>0</v>
          </cell>
          <cell r="R129">
            <v>0</v>
          </cell>
          <cell r="S129">
            <v>0</v>
          </cell>
          <cell r="T129">
            <v>0</v>
          </cell>
          <cell r="U129">
            <v>0</v>
          </cell>
          <cell r="V129">
            <v>0</v>
          </cell>
          <cell r="W129">
            <v>0</v>
          </cell>
        </row>
        <row r="130">
          <cell r="D130" t="str">
            <v>MILime</v>
          </cell>
          <cell r="E130">
            <v>0</v>
          </cell>
          <cell r="F130">
            <v>556109.95191871538</v>
          </cell>
          <cell r="G130">
            <v>576975.4150412773</v>
          </cell>
          <cell r="H130">
            <v>530000</v>
          </cell>
          <cell r="I130">
            <v>781000</v>
          </cell>
          <cell r="J130">
            <v>761000</v>
          </cell>
          <cell r="K130">
            <v>802000</v>
          </cell>
          <cell r="L130">
            <v>584000</v>
          </cell>
          <cell r="M130">
            <v>653000</v>
          </cell>
          <cell r="N130">
            <v>637000</v>
          </cell>
          <cell r="O130">
            <v>617000</v>
          </cell>
          <cell r="P130">
            <v>0</v>
          </cell>
          <cell r="Q130">
            <v>0</v>
          </cell>
          <cell r="R130">
            <v>0</v>
          </cell>
          <cell r="S130">
            <v>0</v>
          </cell>
          <cell r="T130">
            <v>0</v>
          </cell>
          <cell r="U130">
            <v>0</v>
          </cell>
          <cell r="V130">
            <v>0</v>
          </cell>
          <cell r="W130">
            <v>0</v>
          </cell>
        </row>
        <row r="131">
          <cell r="D131" t="str">
            <v>MNLime</v>
          </cell>
          <cell r="E131">
            <v>0</v>
          </cell>
          <cell r="F131">
            <v>0</v>
          </cell>
          <cell r="G131">
            <v>0</v>
          </cell>
          <cell r="H131">
            <v>110000</v>
          </cell>
          <cell r="I131">
            <v>99000</v>
          </cell>
          <cell r="J131">
            <v>112000</v>
          </cell>
          <cell r="K131">
            <v>102000</v>
          </cell>
          <cell r="L131">
            <v>112000</v>
          </cell>
          <cell r="M131">
            <v>113000</v>
          </cell>
          <cell r="N131">
            <v>109000</v>
          </cell>
          <cell r="O131">
            <v>101000</v>
          </cell>
          <cell r="P131">
            <v>0</v>
          </cell>
          <cell r="Q131">
            <v>0</v>
          </cell>
          <cell r="R131">
            <v>0</v>
          </cell>
          <cell r="S131">
            <v>0</v>
          </cell>
          <cell r="T131">
            <v>0</v>
          </cell>
          <cell r="U131">
            <v>0</v>
          </cell>
          <cell r="V131">
            <v>0</v>
          </cell>
          <cell r="W131">
            <v>0</v>
          </cell>
        </row>
        <row r="132">
          <cell r="D132" t="str">
            <v>MSLime</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row>
        <row r="133">
          <cell r="D133" t="str">
            <v>MOLime</v>
          </cell>
          <cell r="E133">
            <v>1241041.4587680302</v>
          </cell>
          <cell r="F133">
            <v>1055369.0767788561</v>
          </cell>
          <cell r="G133">
            <v>1063533.8232181198</v>
          </cell>
          <cell r="H133">
            <v>1296000</v>
          </cell>
          <cell r="I133">
            <v>1367000</v>
          </cell>
          <cell r="J133">
            <v>1320000</v>
          </cell>
          <cell r="K133">
            <v>1243000</v>
          </cell>
          <cell r="L133">
            <v>1233000</v>
          </cell>
          <cell r="M133">
            <v>1150000</v>
          </cell>
          <cell r="N133">
            <v>1126000</v>
          </cell>
          <cell r="O133">
            <v>1063000</v>
          </cell>
          <cell r="P133">
            <v>1233333.3333333333</v>
          </cell>
          <cell r="Q133">
            <v>1240000</v>
          </cell>
          <cell r="R133">
            <v>1236666.6666666667</v>
          </cell>
          <cell r="S133">
            <v>1273333.3333333333</v>
          </cell>
          <cell r="T133">
            <v>1253333.3333333333</v>
          </cell>
          <cell r="U133">
            <v>1333333.3333333333</v>
          </cell>
          <cell r="V133">
            <v>1306666.6666666667</v>
          </cell>
          <cell r="W133">
            <v>1313333.3333333333</v>
          </cell>
        </row>
        <row r="134">
          <cell r="D134" t="str">
            <v>MTLime</v>
          </cell>
          <cell r="E134">
            <v>0</v>
          </cell>
          <cell r="F134">
            <v>84671.444555323702</v>
          </cell>
          <cell r="G134">
            <v>120959.20650760531</v>
          </cell>
          <cell r="H134">
            <v>343000</v>
          </cell>
          <cell r="I134">
            <v>323000</v>
          </cell>
          <cell r="J134">
            <v>130000</v>
          </cell>
          <cell r="K134">
            <v>116000</v>
          </cell>
          <cell r="L134">
            <v>113000</v>
          </cell>
          <cell r="M134">
            <v>115000</v>
          </cell>
          <cell r="N134">
            <v>111000</v>
          </cell>
          <cell r="O134">
            <v>123000</v>
          </cell>
          <cell r="P134">
            <v>333750</v>
          </cell>
          <cell r="Q134">
            <v>287500</v>
          </cell>
          <cell r="R134">
            <v>325000</v>
          </cell>
          <cell r="S134">
            <v>330000</v>
          </cell>
          <cell r="T134">
            <v>382500</v>
          </cell>
          <cell r="U134">
            <v>407500</v>
          </cell>
          <cell r="V134">
            <v>420000</v>
          </cell>
          <cell r="W134">
            <v>407142.85714285716</v>
          </cell>
        </row>
        <row r="135">
          <cell r="D135" t="str">
            <v>NELime</v>
          </cell>
          <cell r="E135">
            <v>0</v>
          </cell>
          <cell r="F135">
            <v>0</v>
          </cell>
          <cell r="G135">
            <v>0</v>
          </cell>
          <cell r="H135">
            <v>85000</v>
          </cell>
          <cell r="I135">
            <v>87000</v>
          </cell>
          <cell r="J135">
            <v>92000</v>
          </cell>
          <cell r="K135">
            <v>92000</v>
          </cell>
          <cell r="L135">
            <v>81000</v>
          </cell>
          <cell r="M135">
            <v>77000</v>
          </cell>
          <cell r="N135">
            <v>80000</v>
          </cell>
          <cell r="O135">
            <v>78000</v>
          </cell>
          <cell r="P135">
            <v>84000</v>
          </cell>
          <cell r="Q135">
            <v>84000</v>
          </cell>
          <cell r="R135">
            <v>121108.33333333333</v>
          </cell>
          <cell r="S135">
            <v>122286.33333333333</v>
          </cell>
          <cell r="T135">
            <v>121938.33333333333</v>
          </cell>
          <cell r="U135">
            <v>117391.33333333333</v>
          </cell>
          <cell r="V135">
            <v>112666.66666666667</v>
          </cell>
          <cell r="W135">
            <v>114312.66666666666</v>
          </cell>
        </row>
        <row r="136">
          <cell r="D136" t="str">
            <v>NVLime</v>
          </cell>
          <cell r="E136">
            <v>0</v>
          </cell>
          <cell r="F136">
            <v>451480.23828963679</v>
          </cell>
          <cell r="G136">
            <v>505911.88121805922</v>
          </cell>
          <cell r="H136">
            <v>343000</v>
          </cell>
          <cell r="I136">
            <v>323000</v>
          </cell>
          <cell r="J136">
            <v>585000</v>
          </cell>
          <cell r="K136">
            <v>1170000</v>
          </cell>
          <cell r="L136">
            <v>686000</v>
          </cell>
          <cell r="M136">
            <v>603000</v>
          </cell>
          <cell r="N136">
            <v>603000</v>
          </cell>
          <cell r="O136">
            <v>536000</v>
          </cell>
          <cell r="P136">
            <v>333750</v>
          </cell>
          <cell r="Q136">
            <v>287500</v>
          </cell>
          <cell r="R136">
            <v>325000</v>
          </cell>
          <cell r="S136">
            <v>330000</v>
          </cell>
          <cell r="T136">
            <v>382500</v>
          </cell>
          <cell r="U136">
            <v>407500</v>
          </cell>
          <cell r="V136">
            <v>420000</v>
          </cell>
          <cell r="W136">
            <v>407142.85714285716</v>
          </cell>
        </row>
        <row r="137">
          <cell r="D137" t="str">
            <v>NHLime</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row>
        <row r="138">
          <cell r="D138" t="str">
            <v>NJLime</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row>
        <row r="139">
          <cell r="D139" t="str">
            <v>NMLime</v>
          </cell>
          <cell r="E139">
            <v>0</v>
          </cell>
          <cell r="F139">
            <v>0</v>
          </cell>
          <cell r="G139">
            <v>0</v>
          </cell>
          <cell r="H139">
            <v>343000</v>
          </cell>
          <cell r="I139">
            <v>323000</v>
          </cell>
          <cell r="J139">
            <v>0</v>
          </cell>
          <cell r="K139">
            <v>0</v>
          </cell>
          <cell r="L139">
            <v>0</v>
          </cell>
          <cell r="M139">
            <v>0</v>
          </cell>
          <cell r="N139">
            <v>0</v>
          </cell>
          <cell r="O139">
            <v>0</v>
          </cell>
          <cell r="P139">
            <v>333750</v>
          </cell>
          <cell r="Q139">
            <v>287500</v>
          </cell>
          <cell r="R139">
            <v>325000</v>
          </cell>
          <cell r="S139">
            <v>330000</v>
          </cell>
          <cell r="T139">
            <v>382500</v>
          </cell>
          <cell r="U139">
            <v>407500</v>
          </cell>
          <cell r="V139">
            <v>420000</v>
          </cell>
          <cell r="W139">
            <v>407142.85714285716</v>
          </cell>
        </row>
        <row r="140">
          <cell r="D140" t="str">
            <v>NYLime</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row>
        <row r="141">
          <cell r="D141" t="str">
            <v>NCLime</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row>
        <row r="142">
          <cell r="D142" t="str">
            <v>NDLime</v>
          </cell>
          <cell r="E142">
            <v>74389.912002177269</v>
          </cell>
          <cell r="F142">
            <v>88905.016783089886</v>
          </cell>
          <cell r="G142">
            <v>100698.53941758141</v>
          </cell>
          <cell r="H142">
            <v>110000</v>
          </cell>
          <cell r="I142">
            <v>99000</v>
          </cell>
          <cell r="J142">
            <v>112000</v>
          </cell>
          <cell r="K142">
            <v>102000</v>
          </cell>
          <cell r="L142">
            <v>112000</v>
          </cell>
          <cell r="M142">
            <v>113000</v>
          </cell>
          <cell r="N142">
            <v>108000</v>
          </cell>
          <cell r="O142">
            <v>112000</v>
          </cell>
          <cell r="P142">
            <v>0</v>
          </cell>
          <cell r="Q142">
            <v>0</v>
          </cell>
          <cell r="R142">
            <v>0</v>
          </cell>
          <cell r="S142">
            <v>0</v>
          </cell>
          <cell r="T142">
            <v>0</v>
          </cell>
          <cell r="U142">
            <v>0</v>
          </cell>
          <cell r="V142">
            <v>0</v>
          </cell>
          <cell r="W142">
            <v>0</v>
          </cell>
        </row>
        <row r="143">
          <cell r="D143" t="str">
            <v>OHLime</v>
          </cell>
          <cell r="E143">
            <v>0</v>
          </cell>
          <cell r="F143">
            <v>0</v>
          </cell>
          <cell r="G143">
            <v>0</v>
          </cell>
          <cell r="H143">
            <v>1850000</v>
          </cell>
          <cell r="I143">
            <v>1820000</v>
          </cell>
          <cell r="J143">
            <v>1870000</v>
          </cell>
          <cell r="K143">
            <v>1960000</v>
          </cell>
          <cell r="L143">
            <v>2020000</v>
          </cell>
          <cell r="M143">
            <v>1920000</v>
          </cell>
          <cell r="N143">
            <v>1850000</v>
          </cell>
          <cell r="O143">
            <v>1700000</v>
          </cell>
          <cell r="P143">
            <v>1900000</v>
          </cell>
          <cell r="Q143">
            <v>1630000</v>
          </cell>
          <cell r="R143">
            <v>1880000</v>
          </cell>
          <cell r="S143">
            <v>1880000</v>
          </cell>
          <cell r="T143">
            <v>1790000</v>
          </cell>
          <cell r="U143">
            <v>1850000</v>
          </cell>
          <cell r="V143">
            <v>1690000</v>
          </cell>
          <cell r="W143">
            <v>1670000</v>
          </cell>
        </row>
        <row r="144">
          <cell r="D144" t="str">
            <v>OKLime</v>
          </cell>
          <cell r="E144">
            <v>76506.698116060346</v>
          </cell>
          <cell r="F144">
            <v>0</v>
          </cell>
          <cell r="G144">
            <v>0</v>
          </cell>
          <cell r="H144">
            <v>43000</v>
          </cell>
          <cell r="I144">
            <v>38000</v>
          </cell>
          <cell r="J144">
            <v>112000</v>
          </cell>
          <cell r="K144">
            <v>102000</v>
          </cell>
          <cell r="L144">
            <v>112000</v>
          </cell>
          <cell r="M144">
            <v>113000</v>
          </cell>
          <cell r="N144">
            <v>109000</v>
          </cell>
          <cell r="O144">
            <v>101000</v>
          </cell>
          <cell r="P144">
            <v>0</v>
          </cell>
          <cell r="Q144">
            <v>0</v>
          </cell>
          <cell r="R144">
            <v>0</v>
          </cell>
          <cell r="S144">
            <v>0</v>
          </cell>
          <cell r="T144">
            <v>0</v>
          </cell>
          <cell r="U144">
            <v>0</v>
          </cell>
          <cell r="V144">
            <v>0</v>
          </cell>
          <cell r="W144">
            <v>0</v>
          </cell>
        </row>
        <row r="145">
          <cell r="D145" t="str">
            <v>ORLime</v>
          </cell>
          <cell r="E145">
            <v>0</v>
          </cell>
          <cell r="F145">
            <v>139405.48550001511</v>
          </cell>
          <cell r="G145">
            <v>161480.54068765306</v>
          </cell>
          <cell r="H145">
            <v>181000</v>
          </cell>
          <cell r="I145">
            <v>190000</v>
          </cell>
          <cell r="J145">
            <v>204000</v>
          </cell>
          <cell r="K145">
            <v>223000</v>
          </cell>
          <cell r="L145">
            <v>202000</v>
          </cell>
          <cell r="M145">
            <v>222000</v>
          </cell>
          <cell r="N145">
            <v>207000</v>
          </cell>
          <cell r="O145">
            <v>188000</v>
          </cell>
          <cell r="P145">
            <v>127000</v>
          </cell>
          <cell r="Q145">
            <v>96000</v>
          </cell>
          <cell r="R145">
            <v>100186</v>
          </cell>
          <cell r="S145">
            <v>126097</v>
          </cell>
          <cell r="T145">
            <v>122754</v>
          </cell>
          <cell r="U145">
            <v>107577</v>
          </cell>
          <cell r="V145">
            <v>93250</v>
          </cell>
          <cell r="W145">
            <v>78376.75</v>
          </cell>
        </row>
        <row r="146">
          <cell r="D146" t="str">
            <v>PALime</v>
          </cell>
          <cell r="E146">
            <v>1474190.3293114398</v>
          </cell>
          <cell r="F146">
            <v>1537693.9127279324</v>
          </cell>
          <cell r="G146">
            <v>1505942.1210196861</v>
          </cell>
          <cell r="H146">
            <v>1350000</v>
          </cell>
          <cell r="I146">
            <v>1340000</v>
          </cell>
          <cell r="J146">
            <v>1390000</v>
          </cell>
          <cell r="K146">
            <v>1510000</v>
          </cell>
          <cell r="L146">
            <v>1530000</v>
          </cell>
          <cell r="M146">
            <v>1640000</v>
          </cell>
          <cell r="N146">
            <v>1590000</v>
          </cell>
          <cell r="O146">
            <v>1540000</v>
          </cell>
          <cell r="P146">
            <v>1280000</v>
          </cell>
          <cell r="Q146">
            <v>1230000</v>
          </cell>
          <cell r="R146">
            <v>1190000</v>
          </cell>
          <cell r="S146">
            <v>1220000</v>
          </cell>
          <cell r="T146">
            <v>1100000</v>
          </cell>
          <cell r="U146">
            <v>1160000</v>
          </cell>
          <cell r="V146">
            <v>1100000</v>
          </cell>
          <cell r="W146">
            <v>1130000</v>
          </cell>
        </row>
        <row r="147">
          <cell r="D147" t="str">
            <v>PRLime</v>
          </cell>
          <cell r="E147">
            <v>26308.627415404153</v>
          </cell>
          <cell r="F147">
            <v>27215.821464211193</v>
          </cell>
          <cell r="G147">
            <v>27215.821464211193</v>
          </cell>
          <cell r="H147">
            <v>110000</v>
          </cell>
          <cell r="I147">
            <v>99000</v>
          </cell>
          <cell r="J147">
            <v>112000</v>
          </cell>
          <cell r="K147">
            <v>102000</v>
          </cell>
          <cell r="L147">
            <v>112000</v>
          </cell>
          <cell r="M147">
            <v>113000</v>
          </cell>
          <cell r="N147">
            <v>23000</v>
          </cell>
          <cell r="O147">
            <v>27000</v>
          </cell>
          <cell r="P147">
            <v>0</v>
          </cell>
          <cell r="Q147">
            <v>0</v>
          </cell>
          <cell r="R147">
            <v>0</v>
          </cell>
          <cell r="S147">
            <v>0</v>
          </cell>
          <cell r="T147">
            <v>0</v>
          </cell>
          <cell r="U147">
            <v>0</v>
          </cell>
          <cell r="V147">
            <v>0</v>
          </cell>
          <cell r="W147">
            <v>0</v>
          </cell>
        </row>
        <row r="148">
          <cell r="D148" t="str">
            <v>RILime</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row>
        <row r="149">
          <cell r="D149" t="str">
            <v>SCLime</v>
          </cell>
          <cell r="E149">
            <v>0</v>
          </cell>
          <cell r="F149">
            <v>0</v>
          </cell>
          <cell r="G149">
            <v>0</v>
          </cell>
          <cell r="H149">
            <v>110000</v>
          </cell>
          <cell r="I149">
            <v>99000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row>
        <row r="150">
          <cell r="D150" t="str">
            <v>SDLime</v>
          </cell>
          <cell r="E150">
            <v>0</v>
          </cell>
          <cell r="F150">
            <v>0</v>
          </cell>
          <cell r="G150">
            <v>0</v>
          </cell>
          <cell r="H150">
            <v>85000</v>
          </cell>
          <cell r="I150">
            <v>87000</v>
          </cell>
          <cell r="J150">
            <v>92000</v>
          </cell>
          <cell r="K150">
            <v>92000</v>
          </cell>
          <cell r="L150">
            <v>81000</v>
          </cell>
          <cell r="M150">
            <v>77000</v>
          </cell>
          <cell r="N150">
            <v>80000</v>
          </cell>
          <cell r="O150">
            <v>78000</v>
          </cell>
          <cell r="P150">
            <v>84000</v>
          </cell>
          <cell r="Q150">
            <v>84000</v>
          </cell>
          <cell r="R150">
            <v>121108.33333333333</v>
          </cell>
          <cell r="S150">
            <v>122286.33333333299</v>
          </cell>
          <cell r="T150">
            <v>121938.33333333333</v>
          </cell>
          <cell r="U150">
            <v>117391.33333333333</v>
          </cell>
          <cell r="V150">
            <v>112666.66666666667</v>
          </cell>
          <cell r="W150">
            <v>114312.66666666666</v>
          </cell>
        </row>
        <row r="151">
          <cell r="D151" t="str">
            <v>TNLime</v>
          </cell>
          <cell r="E151">
            <v>600864.85832652939</v>
          </cell>
          <cell r="F151">
            <v>618706.34128640115</v>
          </cell>
          <cell r="G151">
            <v>599352.86824518431</v>
          </cell>
          <cell r="H151">
            <v>837000</v>
          </cell>
          <cell r="I151">
            <v>1150000</v>
          </cell>
          <cell r="J151">
            <v>863000</v>
          </cell>
          <cell r="K151">
            <v>836000</v>
          </cell>
          <cell r="L151">
            <v>830000</v>
          </cell>
          <cell r="M151">
            <v>796000</v>
          </cell>
          <cell r="N151">
            <v>643000</v>
          </cell>
          <cell r="O151">
            <v>616000</v>
          </cell>
          <cell r="P151">
            <v>776666.66666666663</v>
          </cell>
          <cell r="Q151">
            <v>756666.66666666674</v>
          </cell>
          <cell r="R151">
            <v>840000</v>
          </cell>
          <cell r="S151">
            <v>943333.33333333337</v>
          </cell>
          <cell r="T151">
            <v>930000</v>
          </cell>
          <cell r="U151">
            <v>953333.33333333337</v>
          </cell>
          <cell r="V151">
            <v>880000</v>
          </cell>
          <cell r="W151">
            <v>900000</v>
          </cell>
        </row>
        <row r="152">
          <cell r="D152" t="str">
            <v>TXLime</v>
          </cell>
          <cell r="E152">
            <v>1213825.6373038194</v>
          </cell>
          <cell r="F152">
            <v>1245577.4290120658</v>
          </cell>
          <cell r="G152">
            <v>1337204.0279415767</v>
          </cell>
          <cell r="H152">
            <v>1600000</v>
          </cell>
          <cell r="I152">
            <v>1670000</v>
          </cell>
          <cell r="J152">
            <v>1620000</v>
          </cell>
          <cell r="K152">
            <v>1470000</v>
          </cell>
          <cell r="L152">
            <v>1360000</v>
          </cell>
          <cell r="M152">
            <v>1370000</v>
          </cell>
          <cell r="N152">
            <v>1210000</v>
          </cell>
          <cell r="O152">
            <v>1370000</v>
          </cell>
          <cell r="P152">
            <v>1590000</v>
          </cell>
          <cell r="Q152">
            <v>1530000</v>
          </cell>
          <cell r="R152">
            <v>1630000</v>
          </cell>
          <cell r="S152">
            <v>1630000</v>
          </cell>
          <cell r="T152">
            <v>1610000</v>
          </cell>
          <cell r="U152">
            <v>1650000</v>
          </cell>
          <cell r="V152">
            <v>1620000</v>
          </cell>
          <cell r="W152">
            <v>1500000</v>
          </cell>
        </row>
        <row r="153">
          <cell r="D153" t="str">
            <v>UTLime</v>
          </cell>
          <cell r="E153">
            <v>0</v>
          </cell>
          <cell r="F153">
            <v>451480.23828963679</v>
          </cell>
          <cell r="G153">
            <v>505911.88121805922</v>
          </cell>
          <cell r="H153">
            <v>343000</v>
          </cell>
          <cell r="I153">
            <v>323000</v>
          </cell>
          <cell r="J153">
            <v>585000</v>
          </cell>
          <cell r="K153">
            <v>1170000</v>
          </cell>
          <cell r="L153">
            <v>686000</v>
          </cell>
          <cell r="M153">
            <v>603000</v>
          </cell>
          <cell r="N153">
            <v>603000</v>
          </cell>
          <cell r="O153">
            <v>536000</v>
          </cell>
          <cell r="P153">
            <v>333750</v>
          </cell>
          <cell r="Q153">
            <v>287500</v>
          </cell>
          <cell r="R153">
            <v>325000</v>
          </cell>
          <cell r="S153">
            <v>330000</v>
          </cell>
          <cell r="T153">
            <v>382500</v>
          </cell>
          <cell r="U153">
            <v>407500</v>
          </cell>
          <cell r="V153">
            <v>420000</v>
          </cell>
          <cell r="W153">
            <v>407142.85714285716</v>
          </cell>
        </row>
        <row r="154">
          <cell r="D154" t="str">
            <v>VTLime</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row>
        <row r="155">
          <cell r="D155" t="str">
            <v>VALime</v>
          </cell>
          <cell r="E155">
            <v>767486.16529075557</v>
          </cell>
          <cell r="F155">
            <v>748435.09026580781</v>
          </cell>
          <cell r="G155">
            <v>763857.38909552747</v>
          </cell>
          <cell r="H155">
            <v>722000</v>
          </cell>
          <cell r="I155">
            <v>807000</v>
          </cell>
          <cell r="J155">
            <v>859000</v>
          </cell>
          <cell r="K155">
            <v>818000</v>
          </cell>
          <cell r="L155">
            <v>766000</v>
          </cell>
          <cell r="M155">
            <v>730000</v>
          </cell>
          <cell r="N155">
            <v>742000</v>
          </cell>
          <cell r="O155">
            <v>756000</v>
          </cell>
          <cell r="P155">
            <v>0</v>
          </cell>
          <cell r="Q155">
            <v>0</v>
          </cell>
          <cell r="R155">
            <v>0</v>
          </cell>
          <cell r="S155">
            <v>0</v>
          </cell>
          <cell r="T155">
            <v>0</v>
          </cell>
          <cell r="U155">
            <v>0</v>
          </cell>
          <cell r="V155">
            <v>0</v>
          </cell>
          <cell r="W155">
            <v>0</v>
          </cell>
        </row>
        <row r="156">
          <cell r="D156" t="str">
            <v>WALime</v>
          </cell>
          <cell r="E156">
            <v>0</v>
          </cell>
          <cell r="F156">
            <v>139405.48550001511</v>
          </cell>
          <cell r="G156">
            <v>161480.54068765306</v>
          </cell>
          <cell r="H156">
            <v>181000</v>
          </cell>
          <cell r="I156">
            <v>190000</v>
          </cell>
          <cell r="J156">
            <v>204000</v>
          </cell>
          <cell r="K156">
            <v>223000</v>
          </cell>
          <cell r="L156">
            <v>202000</v>
          </cell>
          <cell r="M156">
            <v>222000</v>
          </cell>
          <cell r="N156">
            <v>207000</v>
          </cell>
          <cell r="O156">
            <v>188000</v>
          </cell>
          <cell r="P156">
            <v>127000</v>
          </cell>
          <cell r="Q156">
            <v>96000</v>
          </cell>
          <cell r="R156">
            <v>100186</v>
          </cell>
          <cell r="S156">
            <v>126097</v>
          </cell>
          <cell r="T156">
            <v>122754</v>
          </cell>
          <cell r="U156">
            <v>107577</v>
          </cell>
          <cell r="V156">
            <v>93250</v>
          </cell>
          <cell r="W156">
            <v>78376.75</v>
          </cell>
        </row>
        <row r="157">
          <cell r="D157" t="str">
            <v>WVLime</v>
          </cell>
          <cell r="E157">
            <v>600864.85832652939</v>
          </cell>
          <cell r="F157">
            <v>618706.34128640115</v>
          </cell>
          <cell r="G157">
            <v>599352.86824518431</v>
          </cell>
          <cell r="H157">
            <v>836000</v>
          </cell>
          <cell r="I157">
            <v>1150000</v>
          </cell>
          <cell r="J157">
            <v>863000</v>
          </cell>
          <cell r="K157">
            <v>836000</v>
          </cell>
          <cell r="L157">
            <v>830000</v>
          </cell>
          <cell r="M157">
            <v>796000</v>
          </cell>
          <cell r="N157">
            <v>643000</v>
          </cell>
          <cell r="O157">
            <v>616000</v>
          </cell>
          <cell r="P157">
            <v>776666.66666666663</v>
          </cell>
          <cell r="Q157">
            <v>756666.66666666674</v>
          </cell>
          <cell r="R157">
            <v>840000</v>
          </cell>
          <cell r="S157">
            <v>943333.33333333337</v>
          </cell>
          <cell r="T157">
            <v>930000</v>
          </cell>
          <cell r="U157">
            <v>953333.33333333337</v>
          </cell>
          <cell r="V157">
            <v>880000</v>
          </cell>
          <cell r="W157">
            <v>900000</v>
          </cell>
        </row>
        <row r="158">
          <cell r="D158" t="str">
            <v>WILime</v>
          </cell>
          <cell r="E158">
            <v>418216.45650004537</v>
          </cell>
          <cell r="F158">
            <v>486256.01016057329</v>
          </cell>
          <cell r="G158">
            <v>480812.84586773108</v>
          </cell>
          <cell r="H158">
            <v>619000</v>
          </cell>
          <cell r="I158">
            <v>618000</v>
          </cell>
          <cell r="J158">
            <v>582000</v>
          </cell>
          <cell r="K158">
            <v>597000</v>
          </cell>
          <cell r="L158">
            <v>551000</v>
          </cell>
          <cell r="M158">
            <v>568000</v>
          </cell>
          <cell r="N158">
            <v>507000</v>
          </cell>
          <cell r="O158">
            <v>511000</v>
          </cell>
          <cell r="P158">
            <v>617450</v>
          </cell>
          <cell r="Q158">
            <v>603000</v>
          </cell>
          <cell r="R158">
            <v>757278</v>
          </cell>
          <cell r="S158">
            <v>850432</v>
          </cell>
          <cell r="T158">
            <v>888497</v>
          </cell>
          <cell r="U158">
            <v>921891</v>
          </cell>
          <cell r="V158">
            <v>959000</v>
          </cell>
          <cell r="W158">
            <v>851715</v>
          </cell>
        </row>
        <row r="159">
          <cell r="D159" t="str">
            <v>WYLime</v>
          </cell>
          <cell r="E159">
            <v>0</v>
          </cell>
          <cell r="F159">
            <v>84671.444555323702</v>
          </cell>
          <cell r="G159">
            <v>120959.20650760531</v>
          </cell>
          <cell r="H159">
            <v>344000</v>
          </cell>
          <cell r="I159">
            <v>323000</v>
          </cell>
          <cell r="J159">
            <v>130000</v>
          </cell>
          <cell r="K159">
            <v>116000</v>
          </cell>
          <cell r="L159">
            <v>113000</v>
          </cell>
          <cell r="M159">
            <v>115000</v>
          </cell>
          <cell r="N159">
            <v>111000</v>
          </cell>
          <cell r="O159">
            <v>123000</v>
          </cell>
          <cell r="P159">
            <v>333750</v>
          </cell>
          <cell r="Q159">
            <v>287500</v>
          </cell>
          <cell r="R159">
            <v>325000</v>
          </cell>
          <cell r="S159">
            <v>330000</v>
          </cell>
          <cell r="T159">
            <v>382500</v>
          </cell>
          <cell r="U159">
            <v>407500</v>
          </cell>
          <cell r="V159">
            <v>420000</v>
          </cell>
          <cell r="W159">
            <v>407142.85714285716</v>
          </cell>
        </row>
        <row r="160">
          <cell r="D160" t="str">
            <v>AL Limestone Do</v>
          </cell>
          <cell r="E160">
            <v>0</v>
          </cell>
          <cell r="F160">
            <v>0</v>
          </cell>
          <cell r="G160">
            <v>0</v>
          </cell>
          <cell r="H160">
            <v>0</v>
          </cell>
          <cell r="I160">
            <v>2600000</v>
          </cell>
          <cell r="J160">
            <v>1142857.142857143</v>
          </cell>
          <cell r="K160">
            <v>1436363.6363636362</v>
          </cell>
          <cell r="L160">
            <v>2072727.2727272725</v>
          </cell>
          <cell r="M160">
            <v>1592307.6923076925</v>
          </cell>
          <cell r="N160">
            <v>2430000</v>
          </cell>
          <cell r="O160">
            <v>1376470.5882352942</v>
          </cell>
          <cell r="P160">
            <v>1137500</v>
          </cell>
          <cell r="Q160">
            <v>1120000</v>
          </cell>
          <cell r="R160">
            <v>993750</v>
          </cell>
          <cell r="S160">
            <v>1120000</v>
          </cell>
          <cell r="T160">
            <v>1112500</v>
          </cell>
          <cell r="U160">
            <v>2120000</v>
          </cell>
          <cell r="V160">
            <v>1840000</v>
          </cell>
        </row>
        <row r="161">
          <cell r="D161" t="str">
            <v>AK Limestone Do</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row>
        <row r="162">
          <cell r="D162" t="str">
            <v>AZ Limestone Do</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row>
        <row r="163">
          <cell r="D163" t="str">
            <v>AR Limestone Do</v>
          </cell>
          <cell r="E163">
            <v>0</v>
          </cell>
          <cell r="F163">
            <v>0</v>
          </cell>
          <cell r="G163">
            <v>0</v>
          </cell>
          <cell r="H163">
            <v>0</v>
          </cell>
          <cell r="I163">
            <v>2600000</v>
          </cell>
          <cell r="J163">
            <v>1142857.142857143</v>
          </cell>
          <cell r="K163">
            <v>1436363.6363636362</v>
          </cell>
          <cell r="L163">
            <v>2072727.2727272725</v>
          </cell>
          <cell r="M163">
            <v>1592307.6923076925</v>
          </cell>
          <cell r="N163">
            <v>2240000</v>
          </cell>
          <cell r="O163">
            <v>1376470.5882352942</v>
          </cell>
          <cell r="P163">
            <v>1137500</v>
          </cell>
          <cell r="Q163">
            <v>1120000</v>
          </cell>
          <cell r="R163">
            <v>993750</v>
          </cell>
          <cell r="S163">
            <v>1120000</v>
          </cell>
          <cell r="T163">
            <v>1112500</v>
          </cell>
          <cell r="U163">
            <v>573000</v>
          </cell>
          <cell r="V163">
            <v>591000</v>
          </cell>
        </row>
        <row r="164">
          <cell r="D164" t="str">
            <v>CA Limestone Do</v>
          </cell>
          <cell r="E164">
            <v>0</v>
          </cell>
          <cell r="F164">
            <v>0</v>
          </cell>
          <cell r="G164">
            <v>0</v>
          </cell>
          <cell r="H164">
            <v>0</v>
          </cell>
          <cell r="I164">
            <v>208000</v>
          </cell>
          <cell r="J164">
            <v>237000</v>
          </cell>
          <cell r="K164">
            <v>384000</v>
          </cell>
          <cell r="L164">
            <v>282000</v>
          </cell>
          <cell r="M164">
            <v>252000</v>
          </cell>
          <cell r="N164">
            <v>356000</v>
          </cell>
          <cell r="O164">
            <v>256000</v>
          </cell>
          <cell r="P164">
            <v>234000</v>
          </cell>
          <cell r="Q164">
            <v>316000</v>
          </cell>
          <cell r="R164">
            <v>250000</v>
          </cell>
          <cell r="S164">
            <v>895000</v>
          </cell>
          <cell r="T164">
            <v>1112500</v>
          </cell>
          <cell r="U164">
            <v>94000</v>
          </cell>
          <cell r="V164">
            <v>102000</v>
          </cell>
        </row>
        <row r="165">
          <cell r="D165" t="str">
            <v>CO Limestone Do</v>
          </cell>
          <cell r="E165">
            <v>0</v>
          </cell>
          <cell r="F165">
            <v>0</v>
          </cell>
          <cell r="G165">
            <v>0</v>
          </cell>
          <cell r="H165">
            <v>0</v>
          </cell>
          <cell r="I165">
            <v>0</v>
          </cell>
          <cell r="J165">
            <v>0</v>
          </cell>
          <cell r="K165">
            <v>0</v>
          </cell>
          <cell r="L165">
            <v>0</v>
          </cell>
          <cell r="M165">
            <v>0</v>
          </cell>
          <cell r="N165">
            <v>0</v>
          </cell>
          <cell r="O165">
            <v>1376470.5882352942</v>
          </cell>
          <cell r="P165">
            <v>1137500</v>
          </cell>
          <cell r="Q165">
            <v>1120000</v>
          </cell>
          <cell r="R165">
            <v>993750</v>
          </cell>
          <cell r="S165">
            <v>1120000</v>
          </cell>
          <cell r="T165">
            <v>1112500</v>
          </cell>
          <cell r="U165">
            <v>22000</v>
          </cell>
          <cell r="V165">
            <v>0</v>
          </cell>
        </row>
        <row r="166">
          <cell r="D166" t="str">
            <v>CT Limestone Do</v>
          </cell>
          <cell r="E166">
            <v>0</v>
          </cell>
          <cell r="F166">
            <v>0</v>
          </cell>
          <cell r="G166">
            <v>0</v>
          </cell>
          <cell r="H166">
            <v>0</v>
          </cell>
          <cell r="I166">
            <v>408000</v>
          </cell>
          <cell r="J166">
            <v>1142857.142857143</v>
          </cell>
          <cell r="K166">
            <v>1436363.6363636362</v>
          </cell>
          <cell r="L166">
            <v>2072727.2727272725</v>
          </cell>
          <cell r="M166">
            <v>1592307.6923076925</v>
          </cell>
          <cell r="N166">
            <v>392000</v>
          </cell>
          <cell r="O166">
            <v>1376470.5882352942</v>
          </cell>
          <cell r="P166">
            <v>1137500</v>
          </cell>
          <cell r="Q166">
            <v>1120000</v>
          </cell>
          <cell r="R166">
            <v>993750</v>
          </cell>
          <cell r="S166">
            <v>1120000</v>
          </cell>
          <cell r="T166">
            <v>1112500</v>
          </cell>
          <cell r="U166">
            <v>661000</v>
          </cell>
          <cell r="V166">
            <v>0</v>
          </cell>
        </row>
        <row r="167">
          <cell r="D167" t="str">
            <v>DC Limestone Do</v>
          </cell>
          <cell r="E167">
            <v>0</v>
          </cell>
          <cell r="F167">
            <v>0</v>
          </cell>
          <cell r="G167">
            <v>0</v>
          </cell>
          <cell r="H167">
            <v>0</v>
          </cell>
          <cell r="R167">
            <v>0</v>
          </cell>
          <cell r="S167">
            <v>0</v>
          </cell>
          <cell r="T167">
            <v>0</v>
          </cell>
          <cell r="U167">
            <v>0</v>
          </cell>
          <cell r="V167">
            <v>0</v>
          </cell>
        </row>
        <row r="168">
          <cell r="D168" t="str">
            <v>DE Limestone Do</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row>
        <row r="169">
          <cell r="D169" t="str">
            <v>FL Limestone Do</v>
          </cell>
          <cell r="E169">
            <v>0</v>
          </cell>
          <cell r="F169">
            <v>0</v>
          </cell>
          <cell r="G169">
            <v>0</v>
          </cell>
          <cell r="H169">
            <v>0</v>
          </cell>
          <cell r="I169">
            <v>2600000</v>
          </cell>
          <cell r="J169">
            <v>1120000</v>
          </cell>
          <cell r="K169">
            <v>1436363.6363636362</v>
          </cell>
          <cell r="L169">
            <v>1060000</v>
          </cell>
          <cell r="M169">
            <v>1310000</v>
          </cell>
          <cell r="N169">
            <v>2350000</v>
          </cell>
          <cell r="O169">
            <v>2280000</v>
          </cell>
          <cell r="P169">
            <v>1820000</v>
          </cell>
          <cell r="Q169">
            <v>1200000</v>
          </cell>
          <cell r="R169">
            <v>1880000</v>
          </cell>
          <cell r="S169">
            <v>1030000</v>
          </cell>
          <cell r="T169">
            <v>982000</v>
          </cell>
          <cell r="U169">
            <v>713000</v>
          </cell>
          <cell r="V169">
            <v>234000</v>
          </cell>
        </row>
        <row r="170">
          <cell r="D170" t="str">
            <v>GA Limestone Do</v>
          </cell>
          <cell r="E170">
            <v>0</v>
          </cell>
          <cell r="F170">
            <v>0</v>
          </cell>
          <cell r="G170">
            <v>0</v>
          </cell>
          <cell r="H170">
            <v>0</v>
          </cell>
          <cell r="I170">
            <v>0</v>
          </cell>
          <cell r="J170">
            <v>0</v>
          </cell>
          <cell r="K170">
            <v>0</v>
          </cell>
          <cell r="L170">
            <v>109000</v>
          </cell>
          <cell r="M170">
            <v>1592307.6923076925</v>
          </cell>
          <cell r="N170">
            <v>1210000</v>
          </cell>
          <cell r="O170">
            <v>1376470.5882352942</v>
          </cell>
          <cell r="P170">
            <v>0</v>
          </cell>
          <cell r="Q170">
            <v>0</v>
          </cell>
          <cell r="R170">
            <v>0</v>
          </cell>
          <cell r="S170">
            <v>0</v>
          </cell>
          <cell r="T170">
            <v>0</v>
          </cell>
          <cell r="U170">
            <v>0</v>
          </cell>
          <cell r="V170">
            <v>0</v>
          </cell>
        </row>
        <row r="171">
          <cell r="D171" t="str">
            <v>HI Limestone Do</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row>
        <row r="172">
          <cell r="D172" t="str">
            <v>ID Limestone Do</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row>
        <row r="173">
          <cell r="D173" t="str">
            <v>IL Limestone Do</v>
          </cell>
          <cell r="E173">
            <v>0</v>
          </cell>
          <cell r="F173">
            <v>0</v>
          </cell>
          <cell r="G173">
            <v>0</v>
          </cell>
          <cell r="H173">
            <v>0</v>
          </cell>
          <cell r="I173">
            <v>2600000</v>
          </cell>
          <cell r="J173">
            <v>13400000</v>
          </cell>
          <cell r="K173">
            <v>8800000</v>
          </cell>
          <cell r="L173">
            <v>8850000</v>
          </cell>
          <cell r="M173">
            <v>17000000</v>
          </cell>
          <cell r="N173">
            <v>16200000</v>
          </cell>
          <cell r="O173">
            <v>17400000</v>
          </cell>
          <cell r="P173">
            <v>18700000</v>
          </cell>
          <cell r="Q173">
            <v>16700000</v>
          </cell>
          <cell r="R173">
            <v>15200000</v>
          </cell>
          <cell r="S173">
            <v>20200000</v>
          </cell>
          <cell r="T173">
            <v>19500000</v>
          </cell>
          <cell r="U173">
            <v>20300000</v>
          </cell>
          <cell r="V173">
            <v>21600000</v>
          </cell>
        </row>
        <row r="174">
          <cell r="D174" t="str">
            <v>IN Limestone Do</v>
          </cell>
          <cell r="E174">
            <v>0</v>
          </cell>
          <cell r="F174">
            <v>0</v>
          </cell>
          <cell r="G174">
            <v>0</v>
          </cell>
          <cell r="H174">
            <v>0</v>
          </cell>
          <cell r="I174">
            <v>5840000</v>
          </cell>
          <cell r="J174">
            <v>6760000</v>
          </cell>
          <cell r="K174">
            <v>7170000</v>
          </cell>
          <cell r="L174">
            <v>7170000</v>
          </cell>
          <cell r="M174">
            <v>11500000</v>
          </cell>
          <cell r="N174">
            <v>12900000</v>
          </cell>
          <cell r="O174">
            <v>11000000</v>
          </cell>
          <cell r="P174">
            <v>10700000</v>
          </cell>
          <cell r="Q174">
            <v>9040000</v>
          </cell>
          <cell r="R174">
            <v>7390000</v>
          </cell>
          <cell r="S174">
            <v>7900000</v>
          </cell>
          <cell r="T174">
            <v>9750000</v>
          </cell>
          <cell r="U174">
            <v>7320000</v>
          </cell>
          <cell r="V174">
            <v>6720000</v>
          </cell>
        </row>
        <row r="175">
          <cell r="D175" t="str">
            <v>IA Limestone Do</v>
          </cell>
          <cell r="E175">
            <v>0</v>
          </cell>
          <cell r="F175">
            <v>0</v>
          </cell>
          <cell r="G175">
            <v>0</v>
          </cell>
          <cell r="H175">
            <v>0</v>
          </cell>
          <cell r="I175">
            <v>33000</v>
          </cell>
          <cell r="J175">
            <v>1142857.142857143</v>
          </cell>
          <cell r="K175">
            <v>42000</v>
          </cell>
          <cell r="L175">
            <v>41000</v>
          </cell>
          <cell r="M175">
            <v>72000</v>
          </cell>
          <cell r="N175">
            <v>53000</v>
          </cell>
          <cell r="O175">
            <v>1376470.5882352942</v>
          </cell>
          <cell r="P175">
            <v>1137500</v>
          </cell>
          <cell r="Q175">
            <v>0</v>
          </cell>
          <cell r="R175">
            <v>993750</v>
          </cell>
          <cell r="S175">
            <v>1120000</v>
          </cell>
          <cell r="T175">
            <v>1112500</v>
          </cell>
          <cell r="U175">
            <v>4070000</v>
          </cell>
          <cell r="V175">
            <v>0</v>
          </cell>
        </row>
        <row r="176">
          <cell r="D176" t="str">
            <v>KS Limestone Do</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row>
        <row r="177">
          <cell r="D177" t="str">
            <v>KY Limestone Do</v>
          </cell>
          <cell r="E177">
            <v>0</v>
          </cell>
          <cell r="F177">
            <v>0</v>
          </cell>
          <cell r="G177">
            <v>0</v>
          </cell>
          <cell r="H177">
            <v>0</v>
          </cell>
          <cell r="I177">
            <v>0</v>
          </cell>
          <cell r="J177">
            <v>0</v>
          </cell>
          <cell r="K177">
            <v>0</v>
          </cell>
          <cell r="L177">
            <v>0</v>
          </cell>
          <cell r="M177">
            <v>0</v>
          </cell>
          <cell r="N177">
            <v>915000</v>
          </cell>
          <cell r="O177">
            <v>1376470.5882352942</v>
          </cell>
          <cell r="P177">
            <v>1137500</v>
          </cell>
          <cell r="Q177">
            <v>1120000</v>
          </cell>
          <cell r="R177">
            <v>993750</v>
          </cell>
          <cell r="S177">
            <v>1120000</v>
          </cell>
          <cell r="T177">
            <v>1112500</v>
          </cell>
          <cell r="U177">
            <v>0</v>
          </cell>
          <cell r="V177">
            <v>0</v>
          </cell>
        </row>
        <row r="178">
          <cell r="D178" t="str">
            <v>LA Limestone Do</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row>
        <row r="179">
          <cell r="D179" t="str">
            <v>ME Limestone Do</v>
          </cell>
          <cell r="E179">
            <v>0</v>
          </cell>
          <cell r="F179">
            <v>0</v>
          </cell>
          <cell r="G179">
            <v>0</v>
          </cell>
          <cell r="H179">
            <v>0</v>
          </cell>
          <cell r="I179">
            <v>0</v>
          </cell>
          <cell r="J179">
            <v>0</v>
          </cell>
          <cell r="K179">
            <v>0</v>
          </cell>
          <cell r="L179">
            <v>0</v>
          </cell>
          <cell r="M179">
            <v>0</v>
          </cell>
          <cell r="N179">
            <v>392000</v>
          </cell>
          <cell r="O179">
            <v>0</v>
          </cell>
          <cell r="P179">
            <v>0</v>
          </cell>
          <cell r="Q179">
            <v>0</v>
          </cell>
          <cell r="R179">
            <v>0</v>
          </cell>
          <cell r="S179">
            <v>0</v>
          </cell>
          <cell r="T179">
            <v>0</v>
          </cell>
          <cell r="U179">
            <v>0</v>
          </cell>
          <cell r="V179">
            <v>0</v>
          </cell>
        </row>
        <row r="180">
          <cell r="D180" t="str">
            <v>MD Limestone Do</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row>
        <row r="181">
          <cell r="D181" t="str">
            <v>MA Limestone Do</v>
          </cell>
          <cell r="E181">
            <v>0</v>
          </cell>
          <cell r="F181">
            <v>0</v>
          </cell>
          <cell r="G181">
            <v>0</v>
          </cell>
          <cell r="H181">
            <v>0</v>
          </cell>
          <cell r="I181">
            <v>2600000</v>
          </cell>
          <cell r="J181">
            <v>1142857.142857143</v>
          </cell>
          <cell r="K181">
            <v>0</v>
          </cell>
          <cell r="L181">
            <v>0</v>
          </cell>
          <cell r="M181">
            <v>0</v>
          </cell>
          <cell r="N181">
            <v>0</v>
          </cell>
          <cell r="O181">
            <v>1376470.5882352942</v>
          </cell>
          <cell r="P181">
            <v>1137500</v>
          </cell>
          <cell r="Q181">
            <v>1120000</v>
          </cell>
          <cell r="R181">
            <v>993750</v>
          </cell>
          <cell r="S181">
            <v>1120000</v>
          </cell>
          <cell r="T181">
            <v>1112500</v>
          </cell>
          <cell r="U181">
            <v>154000</v>
          </cell>
          <cell r="V181">
            <v>0</v>
          </cell>
        </row>
        <row r="182">
          <cell r="D182" t="str">
            <v>MI Limestone Do</v>
          </cell>
          <cell r="E182">
            <v>0</v>
          </cell>
          <cell r="F182">
            <v>0</v>
          </cell>
          <cell r="G182">
            <v>0</v>
          </cell>
          <cell r="H182">
            <v>0</v>
          </cell>
          <cell r="I182">
            <v>6810000</v>
          </cell>
          <cell r="J182">
            <v>8110000</v>
          </cell>
          <cell r="K182">
            <v>8330000</v>
          </cell>
          <cell r="L182">
            <v>8120000</v>
          </cell>
          <cell r="M182">
            <v>8970000</v>
          </cell>
          <cell r="N182">
            <v>9710000</v>
          </cell>
          <cell r="O182">
            <v>7770000</v>
          </cell>
          <cell r="P182">
            <v>8110000</v>
          </cell>
          <cell r="Q182">
            <v>8200000</v>
          </cell>
          <cell r="R182">
            <v>5980000</v>
          </cell>
          <cell r="S182">
            <v>7860000</v>
          </cell>
          <cell r="T182">
            <v>7380000</v>
          </cell>
          <cell r="U182">
            <v>6620000</v>
          </cell>
          <cell r="V182">
            <v>7120000</v>
          </cell>
        </row>
        <row r="183">
          <cell r="D183" t="str">
            <v>MN Limestone Do</v>
          </cell>
          <cell r="E183">
            <v>0</v>
          </cell>
          <cell r="F183">
            <v>0</v>
          </cell>
          <cell r="G183">
            <v>0</v>
          </cell>
          <cell r="H183">
            <v>0</v>
          </cell>
          <cell r="I183">
            <v>2600000</v>
          </cell>
          <cell r="J183">
            <v>1142857.142857143</v>
          </cell>
          <cell r="K183">
            <v>802000</v>
          </cell>
          <cell r="L183">
            <v>2072727.2727272725</v>
          </cell>
          <cell r="M183">
            <v>1592307.6923076925</v>
          </cell>
          <cell r="N183">
            <v>3300000</v>
          </cell>
          <cell r="O183">
            <v>1376470.5882352942</v>
          </cell>
          <cell r="P183">
            <v>1137500</v>
          </cell>
          <cell r="Q183">
            <v>1120000</v>
          </cell>
          <cell r="R183">
            <v>993750</v>
          </cell>
          <cell r="S183">
            <v>1120000</v>
          </cell>
          <cell r="T183">
            <v>1112500</v>
          </cell>
          <cell r="U183">
            <v>4000000</v>
          </cell>
          <cell r="V183">
            <v>2770000</v>
          </cell>
        </row>
        <row r="184">
          <cell r="D184" t="str">
            <v>MS Limestone Do</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row>
        <row r="185">
          <cell r="D185" t="str">
            <v>MO Limestone Do</v>
          </cell>
          <cell r="E185">
            <v>0</v>
          </cell>
          <cell r="F185">
            <v>0</v>
          </cell>
          <cell r="G185">
            <v>0</v>
          </cell>
          <cell r="H185">
            <v>0</v>
          </cell>
          <cell r="I185">
            <v>2960000</v>
          </cell>
          <cell r="J185">
            <v>2560000</v>
          </cell>
          <cell r="K185">
            <v>2590000</v>
          </cell>
          <cell r="L185">
            <v>2580000</v>
          </cell>
          <cell r="M185">
            <v>2770000</v>
          </cell>
          <cell r="N185">
            <v>4250000</v>
          </cell>
          <cell r="O185">
            <v>3880000</v>
          </cell>
          <cell r="P185">
            <v>3950000</v>
          </cell>
          <cell r="Q185">
            <v>3940000</v>
          </cell>
          <cell r="R185">
            <v>3330000</v>
          </cell>
          <cell r="S185">
            <v>3060000</v>
          </cell>
          <cell r="T185">
            <v>3860000</v>
          </cell>
          <cell r="U185">
            <v>3590000</v>
          </cell>
          <cell r="V185">
            <v>2760000</v>
          </cell>
        </row>
        <row r="186">
          <cell r="D186" t="str">
            <v>MT Limestone Do</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row>
        <row r="187">
          <cell r="D187" t="str">
            <v>NE Limestone Do</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row>
        <row r="188">
          <cell r="D188" t="str">
            <v>NV Limestone Do</v>
          </cell>
          <cell r="E188">
            <v>0</v>
          </cell>
          <cell r="F188">
            <v>0</v>
          </cell>
          <cell r="G188">
            <v>0</v>
          </cell>
          <cell r="H188">
            <v>0</v>
          </cell>
          <cell r="I188">
            <v>2600000</v>
          </cell>
          <cell r="J188">
            <v>1142857.142857143</v>
          </cell>
          <cell r="K188">
            <v>1436363.6363636362</v>
          </cell>
          <cell r="L188">
            <v>2072727.2727272725</v>
          </cell>
          <cell r="M188">
            <v>1592307.6923076925</v>
          </cell>
          <cell r="N188">
            <v>63000</v>
          </cell>
          <cell r="O188">
            <v>1376470.5882352942</v>
          </cell>
          <cell r="P188">
            <v>1137500</v>
          </cell>
          <cell r="Q188">
            <v>1120000</v>
          </cell>
          <cell r="R188">
            <v>993750</v>
          </cell>
          <cell r="S188">
            <v>1120000</v>
          </cell>
          <cell r="T188">
            <v>1112500</v>
          </cell>
          <cell r="U188">
            <v>154000</v>
          </cell>
          <cell r="V188">
            <v>0</v>
          </cell>
        </row>
        <row r="189">
          <cell r="D189" t="str">
            <v>NH Limestone Do</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row>
        <row r="190">
          <cell r="D190" t="str">
            <v>NJ Limestone Do</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row>
        <row r="191">
          <cell r="D191" t="str">
            <v>NM Limestone Do</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row>
        <row r="192">
          <cell r="D192" t="str">
            <v>NY Limestone Do</v>
          </cell>
          <cell r="E192">
            <v>0</v>
          </cell>
          <cell r="F192">
            <v>0</v>
          </cell>
          <cell r="G192">
            <v>0</v>
          </cell>
          <cell r="H192">
            <v>0</v>
          </cell>
          <cell r="I192">
            <v>7540000</v>
          </cell>
          <cell r="J192">
            <v>6310000</v>
          </cell>
          <cell r="K192">
            <v>7880000</v>
          </cell>
          <cell r="L192">
            <v>9950000</v>
          </cell>
          <cell r="M192">
            <v>8250000</v>
          </cell>
          <cell r="N192">
            <v>8760000</v>
          </cell>
          <cell r="O192">
            <v>8380000</v>
          </cell>
          <cell r="P192">
            <v>11100000</v>
          </cell>
          <cell r="Q192">
            <v>13600000</v>
          </cell>
          <cell r="R192">
            <v>11300000</v>
          </cell>
          <cell r="S192">
            <v>10700000</v>
          </cell>
          <cell r="T192">
            <v>10200000</v>
          </cell>
          <cell r="U192">
            <v>10900000</v>
          </cell>
          <cell r="V192">
            <v>9320000</v>
          </cell>
        </row>
        <row r="193">
          <cell r="D193" t="str">
            <v>NC Limestone Do</v>
          </cell>
          <cell r="E193">
            <v>0</v>
          </cell>
          <cell r="F193">
            <v>0</v>
          </cell>
          <cell r="G193">
            <v>0</v>
          </cell>
          <cell r="H193">
            <v>0</v>
          </cell>
          <cell r="I193">
            <v>245000</v>
          </cell>
          <cell r="J193">
            <v>265000</v>
          </cell>
          <cell r="K193">
            <v>251000</v>
          </cell>
          <cell r="L193">
            <v>302000</v>
          </cell>
          <cell r="M193">
            <v>279000</v>
          </cell>
          <cell r="N193">
            <v>354000</v>
          </cell>
          <cell r="O193">
            <v>325000</v>
          </cell>
          <cell r="P193">
            <v>1137500</v>
          </cell>
          <cell r="Q193">
            <v>1120000</v>
          </cell>
          <cell r="R193">
            <v>993750</v>
          </cell>
          <cell r="S193">
            <v>1120000</v>
          </cell>
          <cell r="T193">
            <v>1112500</v>
          </cell>
          <cell r="U193">
            <v>436000</v>
          </cell>
          <cell r="V193">
            <v>411000</v>
          </cell>
        </row>
        <row r="194">
          <cell r="D194" t="str">
            <v>ND Limestone Do</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row>
        <row r="195">
          <cell r="D195" t="str">
            <v>OH Limestone Do</v>
          </cell>
          <cell r="E195">
            <v>0</v>
          </cell>
          <cell r="F195">
            <v>0</v>
          </cell>
          <cell r="G195">
            <v>0</v>
          </cell>
          <cell r="H195">
            <v>0</v>
          </cell>
          <cell r="I195">
            <v>14500000</v>
          </cell>
          <cell r="J195">
            <v>14900000</v>
          </cell>
          <cell r="K195">
            <v>15400000</v>
          </cell>
          <cell r="L195">
            <v>16100000</v>
          </cell>
          <cell r="M195">
            <v>12500000</v>
          </cell>
          <cell r="N195">
            <v>9100000</v>
          </cell>
          <cell r="O195">
            <v>9130000</v>
          </cell>
          <cell r="P195">
            <v>8970000</v>
          </cell>
          <cell r="Q195">
            <v>10600000</v>
          </cell>
          <cell r="R195">
            <v>8610000</v>
          </cell>
          <cell r="S195">
            <v>6570000</v>
          </cell>
          <cell r="T195">
            <v>8940000</v>
          </cell>
          <cell r="U195">
            <v>6360000</v>
          </cell>
          <cell r="V195">
            <v>3540000</v>
          </cell>
        </row>
        <row r="196">
          <cell r="D196" t="str">
            <v>OK Limestone Do</v>
          </cell>
          <cell r="E196">
            <v>0</v>
          </cell>
          <cell r="F196">
            <v>0</v>
          </cell>
          <cell r="G196">
            <v>0</v>
          </cell>
          <cell r="H196">
            <v>0</v>
          </cell>
          <cell r="I196">
            <v>1820000</v>
          </cell>
          <cell r="J196">
            <v>3740000</v>
          </cell>
          <cell r="K196">
            <v>2990000</v>
          </cell>
          <cell r="L196">
            <v>2950000</v>
          </cell>
          <cell r="M196">
            <v>1560000</v>
          </cell>
          <cell r="N196">
            <v>1700000</v>
          </cell>
          <cell r="O196">
            <v>1376470.5882352942</v>
          </cell>
          <cell r="P196">
            <v>1137500</v>
          </cell>
          <cell r="Q196">
            <v>1120000</v>
          </cell>
          <cell r="R196">
            <v>993750</v>
          </cell>
          <cell r="S196">
            <v>1120000</v>
          </cell>
          <cell r="T196">
            <v>0</v>
          </cell>
          <cell r="U196">
            <v>0</v>
          </cell>
          <cell r="V196">
            <v>0</v>
          </cell>
        </row>
        <row r="197">
          <cell r="D197" t="str">
            <v>OR Limestone Do</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row>
        <row r="198">
          <cell r="D198" t="str">
            <v>PA Limestone Do</v>
          </cell>
          <cell r="E198">
            <v>0</v>
          </cell>
          <cell r="F198">
            <v>0</v>
          </cell>
          <cell r="G198">
            <v>0</v>
          </cell>
          <cell r="H198">
            <v>0</v>
          </cell>
          <cell r="I198">
            <v>14700000</v>
          </cell>
          <cell r="J198">
            <v>16000000</v>
          </cell>
          <cell r="K198">
            <v>10800000</v>
          </cell>
          <cell r="L198">
            <v>11500000</v>
          </cell>
          <cell r="M198">
            <v>17500000</v>
          </cell>
          <cell r="N198">
            <v>11400000</v>
          </cell>
          <cell r="O198">
            <v>11800000</v>
          </cell>
          <cell r="P198">
            <v>14100000</v>
          </cell>
          <cell r="Q198">
            <v>13000000</v>
          </cell>
          <cell r="R198">
            <v>14300000</v>
          </cell>
          <cell r="S198">
            <v>16000000</v>
          </cell>
          <cell r="T198">
            <v>12400000</v>
          </cell>
          <cell r="U198">
            <v>11800000</v>
          </cell>
          <cell r="V198">
            <v>11800000</v>
          </cell>
        </row>
        <row r="199">
          <cell r="D199" t="str">
            <v>PR Limestone Do</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row>
        <row r="200">
          <cell r="D200" t="str">
            <v>RI Limestone Do</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row>
        <row r="201">
          <cell r="D201" t="str">
            <v>SC Limestone Do</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row>
        <row r="202">
          <cell r="D202" t="str">
            <v>SD Limestone Do</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row>
        <row r="203">
          <cell r="D203" t="str">
            <v>TN Limestone Do</v>
          </cell>
          <cell r="E203">
            <v>0</v>
          </cell>
          <cell r="F203">
            <v>0</v>
          </cell>
          <cell r="G203">
            <v>0</v>
          </cell>
          <cell r="H203">
            <v>0</v>
          </cell>
          <cell r="I203">
            <v>2600000</v>
          </cell>
          <cell r="J203">
            <v>1142857.142857143</v>
          </cell>
          <cell r="K203">
            <v>1436363.6363636362</v>
          </cell>
          <cell r="L203">
            <v>2072727.2727272725</v>
          </cell>
          <cell r="M203">
            <v>1592307.6923076925</v>
          </cell>
          <cell r="N203">
            <v>5920000</v>
          </cell>
          <cell r="O203">
            <v>1376470.5882352942</v>
          </cell>
          <cell r="P203">
            <v>1137500</v>
          </cell>
          <cell r="Q203">
            <v>1120000</v>
          </cell>
          <cell r="R203">
            <v>993750</v>
          </cell>
          <cell r="S203">
            <v>1120000</v>
          </cell>
          <cell r="T203">
            <v>1112500</v>
          </cell>
          <cell r="U203">
            <v>154000</v>
          </cell>
          <cell r="V203">
            <v>0</v>
          </cell>
        </row>
        <row r="204">
          <cell r="D204" t="str">
            <v>TX Limestone Do</v>
          </cell>
          <cell r="E204">
            <v>0</v>
          </cell>
          <cell r="F204">
            <v>0</v>
          </cell>
          <cell r="G204">
            <v>0</v>
          </cell>
          <cell r="H204">
            <v>0</v>
          </cell>
          <cell r="I204">
            <v>2600000</v>
          </cell>
          <cell r="J204">
            <v>1142857.142857143</v>
          </cell>
          <cell r="K204">
            <v>1436363.6363636362</v>
          </cell>
          <cell r="L204">
            <v>2072727.2727272725</v>
          </cell>
          <cell r="M204">
            <v>1592307.6923076925</v>
          </cell>
          <cell r="N204">
            <v>1480000</v>
          </cell>
          <cell r="O204">
            <v>1376470.5882352942</v>
          </cell>
          <cell r="P204">
            <v>1137500</v>
          </cell>
          <cell r="Q204">
            <v>1120000</v>
          </cell>
          <cell r="R204">
            <v>993750</v>
          </cell>
          <cell r="S204">
            <v>1120000</v>
          </cell>
          <cell r="T204">
            <v>1112500</v>
          </cell>
          <cell r="U204">
            <v>154000</v>
          </cell>
          <cell r="V204">
            <v>0</v>
          </cell>
        </row>
        <row r="205">
          <cell r="D205" t="str">
            <v>UT Limestone Do</v>
          </cell>
          <cell r="E205">
            <v>0</v>
          </cell>
          <cell r="F205">
            <v>0</v>
          </cell>
          <cell r="G205">
            <v>0</v>
          </cell>
          <cell r="H205">
            <v>0</v>
          </cell>
          <cell r="I205">
            <v>2600000</v>
          </cell>
          <cell r="J205">
            <v>1142857.142857143</v>
          </cell>
          <cell r="K205">
            <v>1436363.6363636362</v>
          </cell>
          <cell r="L205">
            <v>2072727.2727272725</v>
          </cell>
          <cell r="M205">
            <v>1592307.6923076925</v>
          </cell>
          <cell r="N205">
            <v>2800000</v>
          </cell>
          <cell r="O205">
            <v>1376470.5882352942</v>
          </cell>
          <cell r="P205">
            <v>1137500</v>
          </cell>
          <cell r="Q205">
            <v>1120000</v>
          </cell>
          <cell r="R205">
            <v>993750</v>
          </cell>
          <cell r="S205">
            <v>1120000</v>
          </cell>
          <cell r="T205">
            <v>1112500</v>
          </cell>
          <cell r="U205">
            <v>3630000</v>
          </cell>
          <cell r="V205">
            <v>0</v>
          </cell>
        </row>
        <row r="206">
          <cell r="D206" t="str">
            <v>VT Limestone Do</v>
          </cell>
          <cell r="E206">
            <v>0</v>
          </cell>
          <cell r="F206">
            <v>0</v>
          </cell>
          <cell r="G206">
            <v>0</v>
          </cell>
          <cell r="H206">
            <v>0</v>
          </cell>
          <cell r="I206">
            <v>234000</v>
          </cell>
          <cell r="J206">
            <v>1142857.142857143</v>
          </cell>
          <cell r="K206">
            <v>1436363.6363636362</v>
          </cell>
          <cell r="L206">
            <v>2072727.2727272725</v>
          </cell>
          <cell r="M206">
            <v>1592307.6923076925</v>
          </cell>
          <cell r="N206">
            <v>883000</v>
          </cell>
          <cell r="O206">
            <v>1376470.5882352942</v>
          </cell>
          <cell r="P206">
            <v>1137500</v>
          </cell>
          <cell r="Q206">
            <v>1120000</v>
          </cell>
          <cell r="R206">
            <v>993750</v>
          </cell>
          <cell r="S206">
            <v>1120000</v>
          </cell>
          <cell r="T206">
            <v>1112500</v>
          </cell>
          <cell r="U206">
            <v>205000</v>
          </cell>
          <cell r="V206">
            <v>15000</v>
          </cell>
        </row>
        <row r="207">
          <cell r="D207" t="str">
            <v>VA Limestone Do</v>
          </cell>
          <cell r="E207">
            <v>0</v>
          </cell>
          <cell r="F207">
            <v>0</v>
          </cell>
          <cell r="G207">
            <v>0</v>
          </cell>
          <cell r="H207">
            <v>0</v>
          </cell>
          <cell r="I207">
            <v>3650000</v>
          </cell>
          <cell r="J207">
            <v>3650000</v>
          </cell>
          <cell r="K207">
            <v>4480000</v>
          </cell>
          <cell r="L207">
            <v>4880000</v>
          </cell>
          <cell r="M207">
            <v>3800000</v>
          </cell>
          <cell r="N207">
            <v>3470000</v>
          </cell>
          <cell r="O207">
            <v>3850000</v>
          </cell>
          <cell r="P207">
            <v>2480000</v>
          </cell>
          <cell r="Q207">
            <v>1320000</v>
          </cell>
          <cell r="R207">
            <v>3970000</v>
          </cell>
          <cell r="S207">
            <v>3440000</v>
          </cell>
          <cell r="T207">
            <v>3400000</v>
          </cell>
          <cell r="U207">
            <v>2870000</v>
          </cell>
          <cell r="V207">
            <v>2910000</v>
          </cell>
        </row>
        <row r="208">
          <cell r="D208" t="str">
            <v>WA Limestone Do</v>
          </cell>
          <cell r="E208">
            <v>0</v>
          </cell>
          <cell r="F208">
            <v>0</v>
          </cell>
          <cell r="G208">
            <v>0</v>
          </cell>
          <cell r="H208">
            <v>0</v>
          </cell>
          <cell r="I208">
            <v>2600000</v>
          </cell>
          <cell r="J208">
            <v>1142857.142857143</v>
          </cell>
          <cell r="K208">
            <v>1436363.6363636362</v>
          </cell>
          <cell r="L208">
            <v>2072727.2727272725</v>
          </cell>
          <cell r="M208">
            <v>1592307.6923076925</v>
          </cell>
          <cell r="N208">
            <v>392000</v>
          </cell>
          <cell r="O208">
            <v>1376470.5882352942</v>
          </cell>
          <cell r="P208">
            <v>1137500</v>
          </cell>
          <cell r="Q208">
            <v>1120000</v>
          </cell>
          <cell r="R208">
            <v>993750</v>
          </cell>
          <cell r="S208">
            <v>1120000</v>
          </cell>
          <cell r="T208">
            <v>1112500</v>
          </cell>
          <cell r="U208">
            <v>152000</v>
          </cell>
          <cell r="V208">
            <v>159000</v>
          </cell>
        </row>
        <row r="209">
          <cell r="D209" t="str">
            <v>WV Limestone Do</v>
          </cell>
          <cell r="E209">
            <v>0</v>
          </cell>
          <cell r="F209">
            <v>0</v>
          </cell>
          <cell r="G209">
            <v>0</v>
          </cell>
          <cell r="H209">
            <v>0</v>
          </cell>
          <cell r="I209">
            <v>2600000</v>
          </cell>
          <cell r="J209">
            <v>1142857.142857143</v>
          </cell>
          <cell r="K209">
            <v>1436363.6363636362</v>
          </cell>
          <cell r="L209">
            <v>2072727.2727272725</v>
          </cell>
          <cell r="M209">
            <v>1592307.6923076925</v>
          </cell>
          <cell r="N209">
            <v>392000</v>
          </cell>
          <cell r="O209">
            <v>1376470.5882352942</v>
          </cell>
          <cell r="P209">
            <v>0</v>
          </cell>
          <cell r="Q209">
            <v>0</v>
          </cell>
          <cell r="R209">
            <v>0</v>
          </cell>
          <cell r="S209">
            <v>0</v>
          </cell>
          <cell r="T209">
            <v>0</v>
          </cell>
          <cell r="U209">
            <v>0</v>
          </cell>
          <cell r="V209">
            <v>0</v>
          </cell>
        </row>
        <row r="210">
          <cell r="D210" t="str">
            <v>WI Limestone Do</v>
          </cell>
          <cell r="E210">
            <v>0</v>
          </cell>
          <cell r="F210">
            <v>0</v>
          </cell>
          <cell r="G210">
            <v>0</v>
          </cell>
          <cell r="H210">
            <v>0</v>
          </cell>
          <cell r="I210">
            <v>2600000</v>
          </cell>
          <cell r="J210">
            <v>1142857.142857143</v>
          </cell>
          <cell r="K210">
            <v>263000</v>
          </cell>
          <cell r="L210">
            <v>1560000</v>
          </cell>
          <cell r="M210">
            <v>2350000</v>
          </cell>
          <cell r="N210">
            <v>2440000</v>
          </cell>
          <cell r="O210">
            <v>1780000</v>
          </cell>
          <cell r="P210">
            <v>3030000</v>
          </cell>
          <cell r="Q210">
            <v>2660000</v>
          </cell>
          <cell r="R210">
            <v>1050000</v>
          </cell>
          <cell r="S210">
            <v>1100000</v>
          </cell>
          <cell r="T210">
            <v>1000000</v>
          </cell>
          <cell r="U210">
            <v>781000</v>
          </cell>
          <cell r="V210">
            <v>547000</v>
          </cell>
        </row>
        <row r="211">
          <cell r="D211" t="str">
            <v>WY Limestone Do</v>
          </cell>
          <cell r="E211">
            <v>0</v>
          </cell>
          <cell r="F211">
            <v>0</v>
          </cell>
          <cell r="G211">
            <v>0</v>
          </cell>
          <cell r="H211">
            <v>0</v>
          </cell>
          <cell r="I211">
            <v>0</v>
          </cell>
          <cell r="J211">
            <v>0</v>
          </cell>
          <cell r="K211">
            <v>0</v>
          </cell>
          <cell r="L211">
            <v>0</v>
          </cell>
          <cell r="M211">
            <v>1592307.6923076925</v>
          </cell>
          <cell r="N211">
            <v>392000</v>
          </cell>
          <cell r="O211">
            <v>0</v>
          </cell>
          <cell r="P211">
            <v>0</v>
          </cell>
          <cell r="Q211">
            <v>0</v>
          </cell>
          <cell r="R211">
            <v>0</v>
          </cell>
          <cell r="S211">
            <v>0</v>
          </cell>
          <cell r="T211">
            <v>0</v>
          </cell>
          <cell r="U211">
            <v>0</v>
          </cell>
          <cell r="V211">
            <v>0</v>
          </cell>
        </row>
        <row r="212">
          <cell r="D212" t="str">
            <v>AL Limestone Li</v>
          </cell>
          <cell r="E212">
            <v>0</v>
          </cell>
          <cell r="F212">
            <v>0</v>
          </cell>
          <cell r="G212">
            <v>0</v>
          </cell>
          <cell r="H212">
            <v>0</v>
          </cell>
          <cell r="I212">
            <v>28300000</v>
          </cell>
          <cell r="J212">
            <v>29500000</v>
          </cell>
          <cell r="K212">
            <v>34800000</v>
          </cell>
          <cell r="L212">
            <v>37300000</v>
          </cell>
          <cell r="M212">
            <v>42900000</v>
          </cell>
          <cell r="N212">
            <v>41400000</v>
          </cell>
          <cell r="O212">
            <v>39500000</v>
          </cell>
          <cell r="P212">
            <v>41200000</v>
          </cell>
          <cell r="Q212">
            <v>35000000</v>
          </cell>
          <cell r="R212">
            <v>40100000</v>
          </cell>
          <cell r="S212">
            <v>41300000</v>
          </cell>
          <cell r="T212">
            <v>41000000</v>
          </cell>
          <cell r="U212">
            <v>44300000</v>
          </cell>
          <cell r="V212">
            <v>44400000</v>
          </cell>
        </row>
        <row r="213">
          <cell r="D213" t="str">
            <v>AK Limestone Li</v>
          </cell>
          <cell r="E213">
            <v>0</v>
          </cell>
          <cell r="F213">
            <v>0</v>
          </cell>
          <cell r="G213">
            <v>0</v>
          </cell>
          <cell r="H213">
            <v>0</v>
          </cell>
          <cell r="I213">
            <v>0</v>
          </cell>
          <cell r="J213">
            <v>1627272.7272727273</v>
          </cell>
          <cell r="K213">
            <v>737142.85714285716</v>
          </cell>
          <cell r="L213">
            <v>1744444.4444444443</v>
          </cell>
          <cell r="M213">
            <v>1712500</v>
          </cell>
          <cell r="N213">
            <v>1976923.076923077</v>
          </cell>
          <cell r="O213">
            <v>0</v>
          </cell>
          <cell r="P213">
            <v>1725000</v>
          </cell>
          <cell r="Q213">
            <v>1527272.7272727273</v>
          </cell>
          <cell r="R213">
            <v>0</v>
          </cell>
          <cell r="S213">
            <v>0</v>
          </cell>
          <cell r="T213">
            <v>0</v>
          </cell>
          <cell r="U213">
            <v>1198333.3333333333</v>
          </cell>
          <cell r="V213">
            <v>6000</v>
          </cell>
        </row>
        <row r="214">
          <cell r="D214" t="str">
            <v>AZ Limestone Li</v>
          </cell>
          <cell r="E214">
            <v>0</v>
          </cell>
          <cell r="F214">
            <v>0</v>
          </cell>
          <cell r="G214">
            <v>0</v>
          </cell>
          <cell r="H214">
            <v>0</v>
          </cell>
          <cell r="I214">
            <v>2710000</v>
          </cell>
          <cell r="J214">
            <v>1627272.7272727273</v>
          </cell>
          <cell r="K214">
            <v>4110000</v>
          </cell>
          <cell r="L214">
            <v>4590000</v>
          </cell>
          <cell r="M214">
            <v>4300000</v>
          </cell>
          <cell r="N214">
            <v>4420000</v>
          </cell>
          <cell r="O214">
            <v>4280000</v>
          </cell>
          <cell r="P214">
            <v>4490000</v>
          </cell>
          <cell r="Q214">
            <v>4590000</v>
          </cell>
          <cell r="R214">
            <v>5570000</v>
          </cell>
          <cell r="S214">
            <v>5630000</v>
          </cell>
          <cell r="T214">
            <v>6340000</v>
          </cell>
          <cell r="U214">
            <v>6230000</v>
          </cell>
          <cell r="V214">
            <v>6520000</v>
          </cell>
        </row>
        <row r="215">
          <cell r="D215" t="str">
            <v>AR Limestone Li</v>
          </cell>
          <cell r="E215">
            <v>0</v>
          </cell>
          <cell r="F215">
            <v>0</v>
          </cell>
          <cell r="G215">
            <v>0</v>
          </cell>
          <cell r="H215">
            <v>0</v>
          </cell>
          <cell r="I215">
            <v>6870000</v>
          </cell>
          <cell r="J215">
            <v>6890000</v>
          </cell>
          <cell r="K215">
            <v>7260000</v>
          </cell>
          <cell r="L215">
            <v>8370000</v>
          </cell>
          <cell r="M215">
            <v>13300000</v>
          </cell>
          <cell r="N215">
            <v>8420000</v>
          </cell>
          <cell r="O215">
            <v>8660000</v>
          </cell>
          <cell r="P215">
            <v>10600000</v>
          </cell>
          <cell r="Q215">
            <v>8060000</v>
          </cell>
          <cell r="R215">
            <v>9060000</v>
          </cell>
          <cell r="S215">
            <v>10500000</v>
          </cell>
          <cell r="T215">
            <v>13500000</v>
          </cell>
          <cell r="U215">
            <v>12800000</v>
          </cell>
          <cell r="V215">
            <v>12800000</v>
          </cell>
        </row>
        <row r="216">
          <cell r="D216" t="str">
            <v>CA Limestone Li</v>
          </cell>
          <cell r="E216">
            <v>0</v>
          </cell>
          <cell r="F216">
            <v>0</v>
          </cell>
          <cell r="G216">
            <v>0</v>
          </cell>
          <cell r="H216">
            <v>0</v>
          </cell>
          <cell r="I216">
            <v>23300000</v>
          </cell>
          <cell r="J216">
            <v>23200000</v>
          </cell>
          <cell r="K216">
            <v>24900000</v>
          </cell>
          <cell r="L216">
            <v>22900000</v>
          </cell>
          <cell r="M216">
            <v>24800000</v>
          </cell>
          <cell r="N216">
            <v>26500000</v>
          </cell>
          <cell r="O216">
            <v>29200000</v>
          </cell>
          <cell r="P216">
            <v>27700000</v>
          </cell>
          <cell r="Q216">
            <v>35400000</v>
          </cell>
          <cell r="R216">
            <v>27500000</v>
          </cell>
          <cell r="S216">
            <v>26300000</v>
          </cell>
          <cell r="T216">
            <v>21700000</v>
          </cell>
          <cell r="U216">
            <v>24000000</v>
          </cell>
          <cell r="V216">
            <v>25800000</v>
          </cell>
        </row>
        <row r="217">
          <cell r="D217" t="str">
            <v>CO Limestone Li</v>
          </cell>
          <cell r="E217">
            <v>0</v>
          </cell>
          <cell r="F217">
            <v>0</v>
          </cell>
          <cell r="G217">
            <v>0</v>
          </cell>
          <cell r="H217">
            <v>0</v>
          </cell>
          <cell r="I217">
            <v>2550000</v>
          </cell>
          <cell r="J217">
            <v>2600000</v>
          </cell>
          <cell r="K217">
            <v>2840000</v>
          </cell>
          <cell r="L217">
            <v>1744444.4444444443</v>
          </cell>
          <cell r="M217">
            <v>2470000</v>
          </cell>
          <cell r="N217">
            <v>2570000</v>
          </cell>
          <cell r="O217">
            <v>3050000</v>
          </cell>
          <cell r="P217">
            <v>4820000</v>
          </cell>
          <cell r="Q217">
            <v>4620000</v>
          </cell>
          <cell r="R217">
            <v>1940000</v>
          </cell>
          <cell r="S217">
            <v>1800000</v>
          </cell>
          <cell r="T217">
            <v>1540000</v>
          </cell>
          <cell r="U217">
            <v>1380000</v>
          </cell>
          <cell r="V217">
            <v>1200000</v>
          </cell>
        </row>
        <row r="218">
          <cell r="D218" t="str">
            <v>CT Limestone Li</v>
          </cell>
          <cell r="E218">
            <v>0</v>
          </cell>
          <cell r="F218">
            <v>0</v>
          </cell>
          <cell r="G218">
            <v>0</v>
          </cell>
          <cell r="H218">
            <v>0</v>
          </cell>
          <cell r="I218">
            <v>1272727.2727272727</v>
          </cell>
          <cell r="J218">
            <v>1627272.7272727273</v>
          </cell>
          <cell r="K218">
            <v>737142.85714285716</v>
          </cell>
          <cell r="L218">
            <v>1744444.4444444443</v>
          </cell>
          <cell r="M218">
            <v>1712500</v>
          </cell>
          <cell r="N218">
            <v>1976923.076923077</v>
          </cell>
          <cell r="O218">
            <v>1787500</v>
          </cell>
          <cell r="P218">
            <v>1725000</v>
          </cell>
          <cell r="Q218">
            <v>1527272.7272727273</v>
          </cell>
          <cell r="R218">
            <v>1400000</v>
          </cell>
          <cell r="S218">
            <v>1600000</v>
          </cell>
          <cell r="T218">
            <v>1900000</v>
          </cell>
          <cell r="U218">
            <v>959000</v>
          </cell>
          <cell r="V218">
            <v>1240000</v>
          </cell>
        </row>
        <row r="219">
          <cell r="D219" t="str">
            <v>DC Limestone Li</v>
          </cell>
          <cell r="E219">
            <v>0</v>
          </cell>
          <cell r="F219">
            <v>0</v>
          </cell>
          <cell r="G219">
            <v>0</v>
          </cell>
          <cell r="H219">
            <v>0</v>
          </cell>
          <cell r="R219">
            <v>0</v>
          </cell>
          <cell r="S219">
            <v>0</v>
          </cell>
          <cell r="T219">
            <v>0</v>
          </cell>
          <cell r="U219">
            <v>0</v>
          </cell>
          <cell r="V219">
            <v>0</v>
          </cell>
        </row>
        <row r="220">
          <cell r="D220" t="str">
            <v>DE Limestone Li</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1900000</v>
          </cell>
          <cell r="U220">
            <v>1198333.3333333333</v>
          </cell>
          <cell r="V220">
            <v>0</v>
          </cell>
        </row>
        <row r="221">
          <cell r="D221" t="str">
            <v>FL Limestone Li</v>
          </cell>
          <cell r="E221">
            <v>0</v>
          </cell>
          <cell r="F221">
            <v>0</v>
          </cell>
          <cell r="G221">
            <v>0</v>
          </cell>
          <cell r="H221">
            <v>0</v>
          </cell>
          <cell r="I221">
            <v>64200000</v>
          </cell>
          <cell r="J221">
            <v>64700000</v>
          </cell>
          <cell r="K221">
            <v>71000000</v>
          </cell>
          <cell r="L221">
            <v>71600000</v>
          </cell>
          <cell r="M221">
            <v>77700000</v>
          </cell>
          <cell r="N221">
            <v>87500000</v>
          </cell>
          <cell r="O221">
            <v>89200000</v>
          </cell>
          <cell r="P221">
            <v>92100000</v>
          </cell>
          <cell r="Q221">
            <v>95900000</v>
          </cell>
          <cell r="R221">
            <v>94400000</v>
          </cell>
          <cell r="S221">
            <v>103000000</v>
          </cell>
          <cell r="T221">
            <v>110000000</v>
          </cell>
          <cell r="U221">
            <v>117000000</v>
          </cell>
          <cell r="V221">
            <v>92100000</v>
          </cell>
        </row>
        <row r="222">
          <cell r="D222" t="str">
            <v>GA Limestone Li</v>
          </cell>
          <cell r="E222">
            <v>0</v>
          </cell>
          <cell r="F222">
            <v>0</v>
          </cell>
          <cell r="G222">
            <v>0</v>
          </cell>
          <cell r="H222">
            <v>0</v>
          </cell>
          <cell r="I222">
            <v>5090000</v>
          </cell>
          <cell r="J222">
            <v>7360000</v>
          </cell>
          <cell r="K222">
            <v>10100000</v>
          </cell>
          <cell r="L222">
            <v>15800000</v>
          </cell>
          <cell r="M222">
            <v>17600000</v>
          </cell>
          <cell r="N222">
            <v>8700000</v>
          </cell>
          <cell r="O222">
            <v>8890000</v>
          </cell>
          <cell r="P222">
            <v>10300000</v>
          </cell>
          <cell r="Q222">
            <v>9480000</v>
          </cell>
          <cell r="R222">
            <v>8770000</v>
          </cell>
          <cell r="S222">
            <v>8450000</v>
          </cell>
          <cell r="T222">
            <v>8690000</v>
          </cell>
          <cell r="U222">
            <v>11300000</v>
          </cell>
          <cell r="V222">
            <v>10700000</v>
          </cell>
        </row>
        <row r="223">
          <cell r="D223" t="str">
            <v>HI Limestone Li</v>
          </cell>
          <cell r="E223">
            <v>0</v>
          </cell>
          <cell r="F223">
            <v>0</v>
          </cell>
          <cell r="G223">
            <v>0</v>
          </cell>
          <cell r="H223">
            <v>0</v>
          </cell>
          <cell r="I223">
            <v>1272727.2727272727</v>
          </cell>
          <cell r="J223">
            <v>1190000</v>
          </cell>
          <cell r="K223">
            <v>1030000</v>
          </cell>
          <cell r="L223">
            <v>409000</v>
          </cell>
          <cell r="M223">
            <v>357000</v>
          </cell>
          <cell r="N223">
            <v>277000</v>
          </cell>
          <cell r="O223">
            <v>248000</v>
          </cell>
          <cell r="P223">
            <v>274000</v>
          </cell>
          <cell r="Q223">
            <v>172000</v>
          </cell>
          <cell r="R223">
            <v>1400000</v>
          </cell>
          <cell r="S223">
            <v>1600000</v>
          </cell>
          <cell r="T223">
            <v>1900000</v>
          </cell>
          <cell r="U223">
            <v>1198333.3333333333</v>
          </cell>
          <cell r="V223">
            <v>14000</v>
          </cell>
        </row>
        <row r="224">
          <cell r="D224" t="str">
            <v>ID Limestone Li</v>
          </cell>
          <cell r="E224">
            <v>0</v>
          </cell>
          <cell r="F224">
            <v>0</v>
          </cell>
          <cell r="G224">
            <v>0</v>
          </cell>
          <cell r="H224">
            <v>0</v>
          </cell>
          <cell r="I224">
            <v>1272727.2727272727</v>
          </cell>
          <cell r="J224">
            <v>873000</v>
          </cell>
          <cell r="K224">
            <v>1370000</v>
          </cell>
          <cell r="L224">
            <v>1150000</v>
          </cell>
          <cell r="M224">
            <v>1040000</v>
          </cell>
          <cell r="N224">
            <v>1020000</v>
          </cell>
          <cell r="O224">
            <v>607000</v>
          </cell>
          <cell r="P224">
            <v>564000</v>
          </cell>
          <cell r="Q224">
            <v>1527272.7272727273</v>
          </cell>
          <cell r="R224">
            <v>1400000</v>
          </cell>
          <cell r="S224">
            <v>1600000</v>
          </cell>
          <cell r="T224">
            <v>1900000</v>
          </cell>
          <cell r="U224">
            <v>983000</v>
          </cell>
          <cell r="V224">
            <v>1020000</v>
          </cell>
        </row>
        <row r="225">
          <cell r="D225" t="str">
            <v>IL Limestone Li</v>
          </cell>
          <cell r="E225">
            <v>0</v>
          </cell>
          <cell r="F225">
            <v>0</v>
          </cell>
          <cell r="G225">
            <v>0</v>
          </cell>
          <cell r="H225">
            <v>0</v>
          </cell>
          <cell r="I225">
            <v>47600000</v>
          </cell>
          <cell r="J225">
            <v>48000000</v>
          </cell>
          <cell r="K225">
            <v>57700000</v>
          </cell>
          <cell r="L225">
            <v>56900000</v>
          </cell>
          <cell r="M225">
            <v>55100000</v>
          </cell>
          <cell r="N225">
            <v>60500000</v>
          </cell>
          <cell r="O225">
            <v>58600000</v>
          </cell>
          <cell r="P225">
            <v>61500000</v>
          </cell>
          <cell r="Q225">
            <v>58400000</v>
          </cell>
          <cell r="R225">
            <v>60700000</v>
          </cell>
          <cell r="S225">
            <v>56300000</v>
          </cell>
          <cell r="T225">
            <v>56600000</v>
          </cell>
          <cell r="U225">
            <v>54000000</v>
          </cell>
          <cell r="V225">
            <v>51800000</v>
          </cell>
        </row>
        <row r="226">
          <cell r="D226" t="str">
            <v>IN Limestone Li</v>
          </cell>
          <cell r="E226">
            <v>0</v>
          </cell>
          <cell r="F226">
            <v>0</v>
          </cell>
          <cell r="G226">
            <v>0</v>
          </cell>
          <cell r="H226">
            <v>0</v>
          </cell>
          <cell r="I226">
            <v>40000000</v>
          </cell>
          <cell r="J226">
            <v>42400000</v>
          </cell>
          <cell r="K226">
            <v>46500000</v>
          </cell>
          <cell r="L226">
            <v>51900000</v>
          </cell>
          <cell r="M226">
            <v>48300000</v>
          </cell>
          <cell r="N226">
            <v>46100000</v>
          </cell>
          <cell r="O226">
            <v>44300000</v>
          </cell>
          <cell r="P226">
            <v>47500000</v>
          </cell>
          <cell r="Q226">
            <v>46500000</v>
          </cell>
          <cell r="R226">
            <v>43100000</v>
          </cell>
          <cell r="S226">
            <v>48900000</v>
          </cell>
          <cell r="T226">
            <v>47700000</v>
          </cell>
          <cell r="U226">
            <v>51600000</v>
          </cell>
          <cell r="V226">
            <v>50900000</v>
          </cell>
        </row>
        <row r="227">
          <cell r="D227" t="str">
            <v>IA Limestone Li</v>
          </cell>
          <cell r="E227">
            <v>0</v>
          </cell>
          <cell r="F227">
            <v>0</v>
          </cell>
          <cell r="G227">
            <v>0</v>
          </cell>
          <cell r="H227">
            <v>0</v>
          </cell>
          <cell r="I227">
            <v>36600000</v>
          </cell>
          <cell r="J227">
            <v>35200000</v>
          </cell>
          <cell r="K227">
            <v>34400000</v>
          </cell>
          <cell r="L227">
            <v>37200000</v>
          </cell>
          <cell r="M227">
            <v>41700000</v>
          </cell>
          <cell r="N227">
            <v>42000000</v>
          </cell>
          <cell r="O227">
            <v>40100000</v>
          </cell>
          <cell r="P227">
            <v>35500000</v>
          </cell>
          <cell r="Q227">
            <v>35900000</v>
          </cell>
          <cell r="R227">
            <v>33700000</v>
          </cell>
          <cell r="S227">
            <v>34800000</v>
          </cell>
          <cell r="T227">
            <v>32600000</v>
          </cell>
          <cell r="U227">
            <v>32200000</v>
          </cell>
          <cell r="V227">
            <v>33700000</v>
          </cell>
        </row>
        <row r="228">
          <cell r="D228" t="str">
            <v>KS Limestone Li</v>
          </cell>
          <cell r="E228">
            <v>0</v>
          </cell>
          <cell r="F228">
            <v>0</v>
          </cell>
          <cell r="G228">
            <v>0</v>
          </cell>
          <cell r="H228">
            <v>0</v>
          </cell>
          <cell r="I228">
            <v>20600000</v>
          </cell>
          <cell r="J228">
            <v>20400000</v>
          </cell>
          <cell r="K228">
            <v>21400000</v>
          </cell>
          <cell r="L228">
            <v>22300000</v>
          </cell>
          <cell r="M228">
            <v>21200000</v>
          </cell>
          <cell r="N228">
            <v>22800000</v>
          </cell>
          <cell r="O228">
            <v>22600000</v>
          </cell>
          <cell r="P228">
            <v>21200000</v>
          </cell>
          <cell r="Q228">
            <v>20800000</v>
          </cell>
          <cell r="R228">
            <v>20100000</v>
          </cell>
          <cell r="S228">
            <v>19300000</v>
          </cell>
          <cell r="T228">
            <v>21500000</v>
          </cell>
          <cell r="U228">
            <v>21000000</v>
          </cell>
          <cell r="V228">
            <v>20700000</v>
          </cell>
        </row>
        <row r="229">
          <cell r="D229" t="str">
            <v>KY Limestone Li</v>
          </cell>
          <cell r="E229">
            <v>0</v>
          </cell>
          <cell r="F229">
            <v>0</v>
          </cell>
          <cell r="G229">
            <v>0</v>
          </cell>
          <cell r="H229">
            <v>0</v>
          </cell>
          <cell r="I229">
            <v>56100000</v>
          </cell>
          <cell r="J229">
            <v>55500000</v>
          </cell>
          <cell r="K229">
            <v>58500000</v>
          </cell>
          <cell r="L229">
            <v>62700000</v>
          </cell>
          <cell r="M229">
            <v>59500000</v>
          </cell>
          <cell r="N229">
            <v>59600000</v>
          </cell>
          <cell r="O229">
            <v>54000000</v>
          </cell>
          <cell r="P229">
            <v>59100000</v>
          </cell>
          <cell r="Q229">
            <v>49600000</v>
          </cell>
          <cell r="R229">
            <v>52900000</v>
          </cell>
          <cell r="S229">
            <v>54600000</v>
          </cell>
          <cell r="T229">
            <v>58200000</v>
          </cell>
          <cell r="U229">
            <v>59000000</v>
          </cell>
          <cell r="V229">
            <v>55500000</v>
          </cell>
        </row>
        <row r="230">
          <cell r="D230" t="str">
            <v>LA Limestone Li</v>
          </cell>
          <cell r="E230">
            <v>0</v>
          </cell>
          <cell r="F230">
            <v>0</v>
          </cell>
          <cell r="G230">
            <v>0</v>
          </cell>
          <cell r="H230">
            <v>0</v>
          </cell>
          <cell r="I230">
            <v>0</v>
          </cell>
          <cell r="J230">
            <v>0</v>
          </cell>
          <cell r="K230">
            <v>0</v>
          </cell>
          <cell r="L230">
            <v>0</v>
          </cell>
          <cell r="M230">
            <v>0</v>
          </cell>
          <cell r="N230">
            <v>1976923.076923077</v>
          </cell>
          <cell r="O230">
            <v>1787500</v>
          </cell>
          <cell r="P230">
            <v>1725000</v>
          </cell>
          <cell r="Q230">
            <v>1527272.7272727273</v>
          </cell>
          <cell r="R230">
            <v>1400000</v>
          </cell>
          <cell r="S230">
            <v>1600000</v>
          </cell>
          <cell r="T230">
            <v>1900000</v>
          </cell>
          <cell r="U230">
            <v>1198333.3333333333</v>
          </cell>
          <cell r="V230">
            <v>0</v>
          </cell>
        </row>
        <row r="231">
          <cell r="D231" t="str">
            <v>ME Limestone Li</v>
          </cell>
          <cell r="E231">
            <v>0</v>
          </cell>
          <cell r="F231">
            <v>0</v>
          </cell>
          <cell r="G231">
            <v>0</v>
          </cell>
          <cell r="H231">
            <v>0</v>
          </cell>
          <cell r="I231">
            <v>1530000</v>
          </cell>
          <cell r="J231">
            <v>1590000</v>
          </cell>
          <cell r="K231">
            <v>1410000</v>
          </cell>
          <cell r="L231">
            <v>1030000</v>
          </cell>
          <cell r="M231">
            <v>1360000</v>
          </cell>
          <cell r="N231">
            <v>1976923.076923077</v>
          </cell>
          <cell r="O231">
            <v>1300000</v>
          </cell>
          <cell r="P231">
            <v>1440000</v>
          </cell>
          <cell r="Q231">
            <v>1390000</v>
          </cell>
          <cell r="R231">
            <v>1350000</v>
          </cell>
          <cell r="S231">
            <v>1680000</v>
          </cell>
          <cell r="T231">
            <v>1940000</v>
          </cell>
          <cell r="U231">
            <v>1860000</v>
          </cell>
          <cell r="V231">
            <v>1780000</v>
          </cell>
        </row>
        <row r="232">
          <cell r="D232" t="str">
            <v>MD Limestone Li</v>
          </cell>
          <cell r="E232">
            <v>0</v>
          </cell>
          <cell r="F232">
            <v>0</v>
          </cell>
          <cell r="G232">
            <v>0</v>
          </cell>
          <cell r="H232">
            <v>0</v>
          </cell>
          <cell r="I232">
            <v>16900000</v>
          </cell>
          <cell r="J232">
            <v>15500000</v>
          </cell>
          <cell r="K232">
            <v>17400000</v>
          </cell>
          <cell r="L232">
            <v>18300000</v>
          </cell>
          <cell r="M232">
            <v>18300000</v>
          </cell>
          <cell r="N232">
            <v>17900000</v>
          </cell>
          <cell r="O232">
            <v>18400000</v>
          </cell>
          <cell r="P232">
            <v>17200000</v>
          </cell>
          <cell r="Q232">
            <v>16900000</v>
          </cell>
          <cell r="R232">
            <v>18700000</v>
          </cell>
          <cell r="S232">
            <v>21400000</v>
          </cell>
          <cell r="T232">
            <v>21400000</v>
          </cell>
          <cell r="U232">
            <v>21200000</v>
          </cell>
          <cell r="V232">
            <v>20100000</v>
          </cell>
        </row>
        <row r="233">
          <cell r="D233" t="str">
            <v>MA Limestone Li</v>
          </cell>
          <cell r="E233">
            <v>0</v>
          </cell>
          <cell r="F233">
            <v>0</v>
          </cell>
          <cell r="G233">
            <v>0</v>
          </cell>
          <cell r="H233">
            <v>0</v>
          </cell>
          <cell r="I233">
            <v>1710000</v>
          </cell>
          <cell r="J233">
            <v>2070000</v>
          </cell>
          <cell r="K233">
            <v>2140000</v>
          </cell>
          <cell r="L233">
            <v>2050000</v>
          </cell>
          <cell r="M233">
            <v>2170000</v>
          </cell>
          <cell r="N233">
            <v>814000</v>
          </cell>
          <cell r="O233">
            <v>1787500</v>
          </cell>
          <cell r="P233">
            <v>1060000</v>
          </cell>
          <cell r="Q233">
            <v>977000</v>
          </cell>
          <cell r="R233">
            <v>1050000</v>
          </cell>
          <cell r="S233">
            <v>983000</v>
          </cell>
          <cell r="T233">
            <v>1900000</v>
          </cell>
          <cell r="U233">
            <v>887000</v>
          </cell>
          <cell r="V233">
            <v>947000</v>
          </cell>
        </row>
        <row r="234">
          <cell r="D234" t="str">
            <v>MI Limestone Li</v>
          </cell>
          <cell r="E234">
            <v>0</v>
          </cell>
          <cell r="F234">
            <v>0</v>
          </cell>
          <cell r="G234">
            <v>0</v>
          </cell>
          <cell r="H234">
            <v>0</v>
          </cell>
          <cell r="I234">
            <v>27900000</v>
          </cell>
          <cell r="J234">
            <v>29200000</v>
          </cell>
          <cell r="K234">
            <v>30300000</v>
          </cell>
          <cell r="L234">
            <v>33900000</v>
          </cell>
          <cell r="M234">
            <v>34700000</v>
          </cell>
          <cell r="N234">
            <v>32700000</v>
          </cell>
          <cell r="O234">
            <v>34400000</v>
          </cell>
          <cell r="P234">
            <v>35100000</v>
          </cell>
          <cell r="Q234">
            <v>32900000</v>
          </cell>
          <cell r="R234">
            <v>27600000</v>
          </cell>
          <cell r="S234">
            <v>27900000</v>
          </cell>
          <cell r="T234">
            <v>27900000</v>
          </cell>
          <cell r="U234">
            <v>25300000</v>
          </cell>
          <cell r="V234">
            <v>19800000</v>
          </cell>
        </row>
        <row r="235">
          <cell r="D235" t="str">
            <v>MN Limestone Li</v>
          </cell>
          <cell r="E235">
            <v>0</v>
          </cell>
          <cell r="F235">
            <v>0</v>
          </cell>
          <cell r="G235">
            <v>0</v>
          </cell>
          <cell r="H235">
            <v>0</v>
          </cell>
          <cell r="I235">
            <v>7670000</v>
          </cell>
          <cell r="J235">
            <v>7500000</v>
          </cell>
          <cell r="K235">
            <v>8210000</v>
          </cell>
          <cell r="L235">
            <v>7350000</v>
          </cell>
          <cell r="M235">
            <v>7180000</v>
          </cell>
          <cell r="N235">
            <v>7050000</v>
          </cell>
          <cell r="O235">
            <v>6400000</v>
          </cell>
          <cell r="P235">
            <v>3980000</v>
          </cell>
          <cell r="Q235">
            <v>4550000</v>
          </cell>
          <cell r="R235">
            <v>3830000</v>
          </cell>
          <cell r="S235">
            <v>4300000</v>
          </cell>
          <cell r="T235">
            <v>1900000</v>
          </cell>
          <cell r="U235">
            <v>4860000</v>
          </cell>
          <cell r="V235">
            <v>3780000</v>
          </cell>
        </row>
        <row r="236">
          <cell r="D236" t="str">
            <v>MS Limestone Li</v>
          </cell>
          <cell r="E236">
            <v>0</v>
          </cell>
          <cell r="F236">
            <v>0</v>
          </cell>
          <cell r="G236">
            <v>0</v>
          </cell>
          <cell r="H236">
            <v>0</v>
          </cell>
          <cell r="I236">
            <v>1272727.2727272727</v>
          </cell>
          <cell r="J236">
            <v>1627272.7272727273</v>
          </cell>
          <cell r="K236">
            <v>737142.85714285716</v>
          </cell>
          <cell r="L236">
            <v>5180000</v>
          </cell>
          <cell r="M236">
            <v>789000</v>
          </cell>
          <cell r="N236">
            <v>1976923.076923077</v>
          </cell>
          <cell r="O236">
            <v>2530000</v>
          </cell>
          <cell r="P236">
            <v>2140000</v>
          </cell>
          <cell r="Q236">
            <v>2620000</v>
          </cell>
          <cell r="R236">
            <v>2770000</v>
          </cell>
          <cell r="S236">
            <v>2760000</v>
          </cell>
          <cell r="T236">
            <v>3500000</v>
          </cell>
          <cell r="U236">
            <v>3050000</v>
          </cell>
          <cell r="V236">
            <v>3010000</v>
          </cell>
        </row>
        <row r="237">
          <cell r="D237" t="str">
            <v>MO Limestone Li</v>
          </cell>
          <cell r="E237">
            <v>0</v>
          </cell>
          <cell r="F237">
            <v>0</v>
          </cell>
          <cell r="G237">
            <v>0</v>
          </cell>
          <cell r="H237">
            <v>0</v>
          </cell>
          <cell r="I237">
            <v>64400000</v>
          </cell>
          <cell r="J237">
            <v>63000000</v>
          </cell>
          <cell r="K237">
            <v>63300000</v>
          </cell>
          <cell r="L237">
            <v>64700000</v>
          </cell>
          <cell r="M237">
            <v>64400000</v>
          </cell>
          <cell r="N237">
            <v>67000000</v>
          </cell>
          <cell r="O237">
            <v>70200000</v>
          </cell>
          <cell r="P237">
            <v>76500000</v>
          </cell>
          <cell r="Q237">
            <v>68600000</v>
          </cell>
          <cell r="R237">
            <v>67200000</v>
          </cell>
          <cell r="S237">
            <v>64200000</v>
          </cell>
          <cell r="T237">
            <v>93300000</v>
          </cell>
          <cell r="U237">
            <v>77200000</v>
          </cell>
          <cell r="V237">
            <v>76000000</v>
          </cell>
        </row>
        <row r="238">
          <cell r="D238" t="str">
            <v>MT Limestone Li</v>
          </cell>
          <cell r="E238">
            <v>0</v>
          </cell>
          <cell r="F238">
            <v>0</v>
          </cell>
          <cell r="G238">
            <v>0</v>
          </cell>
          <cell r="H238">
            <v>0</v>
          </cell>
          <cell r="I238">
            <v>1410000</v>
          </cell>
          <cell r="J238">
            <v>1960000</v>
          </cell>
          <cell r="K238">
            <v>1540000</v>
          </cell>
          <cell r="L238">
            <v>2020000</v>
          </cell>
          <cell r="M238">
            <v>3370000</v>
          </cell>
          <cell r="N238">
            <v>2710000</v>
          </cell>
          <cell r="O238">
            <v>2300000</v>
          </cell>
          <cell r="P238">
            <v>1760000</v>
          </cell>
          <cell r="Q238">
            <v>1400000</v>
          </cell>
          <cell r="R238">
            <v>2430000</v>
          </cell>
          <cell r="S238">
            <v>2960000</v>
          </cell>
          <cell r="T238">
            <v>2550000</v>
          </cell>
          <cell r="U238">
            <v>2490000</v>
          </cell>
          <cell r="V238">
            <v>453000</v>
          </cell>
        </row>
        <row r="239">
          <cell r="D239" t="str">
            <v>NE Limestone Li</v>
          </cell>
          <cell r="E239">
            <v>0</v>
          </cell>
          <cell r="F239">
            <v>0</v>
          </cell>
          <cell r="G239">
            <v>0</v>
          </cell>
          <cell r="H239">
            <v>0</v>
          </cell>
          <cell r="I239">
            <v>6890000</v>
          </cell>
          <cell r="J239">
            <v>6590000</v>
          </cell>
          <cell r="K239">
            <v>6370000</v>
          </cell>
          <cell r="L239">
            <v>6900000</v>
          </cell>
          <cell r="M239">
            <v>7490000</v>
          </cell>
          <cell r="N239">
            <v>7090000</v>
          </cell>
          <cell r="O239">
            <v>6590000</v>
          </cell>
          <cell r="P239">
            <v>6360000</v>
          </cell>
          <cell r="Q239">
            <v>7220000</v>
          </cell>
          <cell r="R239">
            <v>6960000</v>
          </cell>
          <cell r="S239">
            <v>6900000</v>
          </cell>
          <cell r="T239">
            <v>6950000</v>
          </cell>
          <cell r="U239">
            <v>7390000</v>
          </cell>
          <cell r="V239">
            <v>7670000</v>
          </cell>
        </row>
        <row r="240">
          <cell r="D240" t="str">
            <v>NV Limestone Li</v>
          </cell>
          <cell r="E240">
            <v>0</v>
          </cell>
          <cell r="F240">
            <v>0</v>
          </cell>
          <cell r="G240">
            <v>0</v>
          </cell>
          <cell r="H240">
            <v>0</v>
          </cell>
          <cell r="I240">
            <v>1272727.2727272727</v>
          </cell>
          <cell r="J240">
            <v>1627272.7272727273</v>
          </cell>
          <cell r="K240">
            <v>2170000</v>
          </cell>
          <cell r="L240">
            <v>3890000</v>
          </cell>
          <cell r="M240">
            <v>5050000</v>
          </cell>
          <cell r="N240">
            <v>4690000</v>
          </cell>
          <cell r="O240">
            <v>4800000</v>
          </cell>
          <cell r="P240">
            <v>5250000</v>
          </cell>
          <cell r="Q240">
            <v>3760000</v>
          </cell>
          <cell r="R240">
            <v>3800000</v>
          </cell>
          <cell r="S240">
            <v>4330000</v>
          </cell>
          <cell r="T240">
            <v>4710000</v>
          </cell>
          <cell r="U240">
            <v>5220000</v>
          </cell>
          <cell r="V240">
            <v>3880000</v>
          </cell>
        </row>
        <row r="241">
          <cell r="D241" t="str">
            <v>NH Limestone Li</v>
          </cell>
          <cell r="E241">
            <v>0</v>
          </cell>
          <cell r="F241">
            <v>0</v>
          </cell>
          <cell r="G241">
            <v>0</v>
          </cell>
          <cell r="H241">
            <v>0</v>
          </cell>
          <cell r="I241">
            <v>1272727.2727272727</v>
          </cell>
          <cell r="J241">
            <v>1627272.7272727273</v>
          </cell>
          <cell r="K241">
            <v>737142.85714285716</v>
          </cell>
          <cell r="L241">
            <v>1744444.4444444443</v>
          </cell>
          <cell r="M241">
            <v>0</v>
          </cell>
          <cell r="N241">
            <v>0</v>
          </cell>
          <cell r="O241">
            <v>0</v>
          </cell>
          <cell r="P241">
            <v>0</v>
          </cell>
          <cell r="Q241">
            <v>0</v>
          </cell>
          <cell r="R241">
            <v>0</v>
          </cell>
          <cell r="T241">
            <v>0</v>
          </cell>
          <cell r="U241">
            <v>0</v>
          </cell>
          <cell r="V241">
            <v>0</v>
          </cell>
        </row>
        <row r="242">
          <cell r="D242" t="str">
            <v>NJ Limestone Li</v>
          </cell>
          <cell r="E242">
            <v>0</v>
          </cell>
          <cell r="F242">
            <v>0</v>
          </cell>
          <cell r="G242">
            <v>0</v>
          </cell>
          <cell r="H242">
            <v>0</v>
          </cell>
          <cell r="I242">
            <v>1272727.2727272727</v>
          </cell>
          <cell r="J242">
            <v>1627272.7272727273</v>
          </cell>
          <cell r="K242">
            <v>737142.85714285716</v>
          </cell>
          <cell r="L242">
            <v>1744444.4444444443</v>
          </cell>
          <cell r="M242">
            <v>1712500</v>
          </cell>
          <cell r="N242">
            <v>1976923.076923077</v>
          </cell>
          <cell r="O242">
            <v>569000</v>
          </cell>
          <cell r="P242">
            <v>401000</v>
          </cell>
          <cell r="Q242">
            <v>1527272.7272727273</v>
          </cell>
          <cell r="R242">
            <v>1400000</v>
          </cell>
          <cell r="S242">
            <v>0</v>
          </cell>
          <cell r="T242">
            <v>1900000</v>
          </cell>
          <cell r="U242">
            <v>1198333.3333333333</v>
          </cell>
          <cell r="V242">
            <v>0</v>
          </cell>
        </row>
        <row r="243">
          <cell r="D243" t="str">
            <v>NM Limestone Li</v>
          </cell>
          <cell r="E243">
            <v>0</v>
          </cell>
          <cell r="F243">
            <v>0</v>
          </cell>
          <cell r="G243">
            <v>0</v>
          </cell>
          <cell r="H243">
            <v>0</v>
          </cell>
          <cell r="I243">
            <v>1880000</v>
          </cell>
          <cell r="J243">
            <v>1640000</v>
          </cell>
          <cell r="K243">
            <v>1350000</v>
          </cell>
          <cell r="L243">
            <v>1230000</v>
          </cell>
          <cell r="M243">
            <v>2200000</v>
          </cell>
          <cell r="N243">
            <v>2000000</v>
          </cell>
          <cell r="O243">
            <v>2200000</v>
          </cell>
          <cell r="P243">
            <v>2240000</v>
          </cell>
          <cell r="Q243">
            <v>2340000</v>
          </cell>
          <cell r="R243">
            <v>2310000</v>
          </cell>
          <cell r="S243">
            <v>2120000</v>
          </cell>
          <cell r="T243">
            <v>2250000</v>
          </cell>
          <cell r="U243">
            <v>1960000</v>
          </cell>
          <cell r="V243">
            <v>2880000</v>
          </cell>
        </row>
        <row r="244">
          <cell r="D244" t="str">
            <v>NY Limestone Li</v>
          </cell>
          <cell r="E244">
            <v>0</v>
          </cell>
          <cell r="F244">
            <v>0</v>
          </cell>
          <cell r="G244">
            <v>0</v>
          </cell>
          <cell r="H244">
            <v>0</v>
          </cell>
          <cell r="I244">
            <v>27400000</v>
          </cell>
          <cell r="J244">
            <v>27000000</v>
          </cell>
          <cell r="K244">
            <v>27600000</v>
          </cell>
          <cell r="L244">
            <v>27900000</v>
          </cell>
          <cell r="M244">
            <v>29500000</v>
          </cell>
          <cell r="N244">
            <v>27400000</v>
          </cell>
          <cell r="O244">
            <v>29500000</v>
          </cell>
          <cell r="P244">
            <v>30000000</v>
          </cell>
          <cell r="Q244">
            <v>29100000</v>
          </cell>
          <cell r="R244">
            <v>30100000</v>
          </cell>
          <cell r="S244">
            <v>30500000</v>
          </cell>
          <cell r="T244">
            <v>31900000</v>
          </cell>
          <cell r="U244">
            <v>29200000</v>
          </cell>
          <cell r="V244">
            <v>27500000</v>
          </cell>
        </row>
        <row r="245">
          <cell r="D245" t="str">
            <v>NC Limestone Li</v>
          </cell>
          <cell r="E245">
            <v>0</v>
          </cell>
          <cell r="F245">
            <v>0</v>
          </cell>
          <cell r="G245">
            <v>0</v>
          </cell>
          <cell r="H245">
            <v>0</v>
          </cell>
          <cell r="I245">
            <v>1272727.2727272727</v>
          </cell>
          <cell r="J245">
            <v>1627272.7272727273</v>
          </cell>
          <cell r="K245">
            <v>6250000</v>
          </cell>
          <cell r="L245">
            <v>1744444.4444444443</v>
          </cell>
          <cell r="M245">
            <v>1712500</v>
          </cell>
          <cell r="N245">
            <v>6070000</v>
          </cell>
          <cell r="O245">
            <v>1787500</v>
          </cell>
          <cell r="P245">
            <v>1725000</v>
          </cell>
          <cell r="Q245">
            <v>1527272.7272727273</v>
          </cell>
          <cell r="R245">
            <v>1400000</v>
          </cell>
          <cell r="S245">
            <v>1600000</v>
          </cell>
          <cell r="T245">
            <v>1900000</v>
          </cell>
          <cell r="U245">
            <v>8480000</v>
          </cell>
          <cell r="V245">
            <v>7570000</v>
          </cell>
        </row>
        <row r="246">
          <cell r="D246" t="str">
            <v>ND Limestone Li</v>
          </cell>
          <cell r="E246">
            <v>0</v>
          </cell>
          <cell r="F246">
            <v>0</v>
          </cell>
          <cell r="G246">
            <v>0</v>
          </cell>
          <cell r="H246">
            <v>0</v>
          </cell>
          <cell r="I246">
            <v>0</v>
          </cell>
          <cell r="J246">
            <v>0</v>
          </cell>
          <cell r="K246">
            <v>0</v>
          </cell>
          <cell r="L246">
            <v>0</v>
          </cell>
          <cell r="M246">
            <v>0</v>
          </cell>
          <cell r="N246">
            <v>1976923.076923077</v>
          </cell>
          <cell r="O246">
            <v>1787500</v>
          </cell>
          <cell r="P246">
            <v>1725000</v>
          </cell>
          <cell r="Q246">
            <v>1527272.7272727273</v>
          </cell>
          <cell r="R246">
            <v>1400000</v>
          </cell>
          <cell r="S246">
            <v>0</v>
          </cell>
          <cell r="T246">
            <v>0</v>
          </cell>
          <cell r="U246">
            <v>0</v>
          </cell>
          <cell r="V246">
            <v>0</v>
          </cell>
        </row>
        <row r="247">
          <cell r="D247" t="str">
            <v>OH Limestone Li</v>
          </cell>
          <cell r="E247">
            <v>0</v>
          </cell>
          <cell r="F247">
            <v>0</v>
          </cell>
          <cell r="G247">
            <v>0</v>
          </cell>
          <cell r="H247">
            <v>0</v>
          </cell>
          <cell r="I247">
            <v>41700000</v>
          </cell>
          <cell r="J247">
            <v>46000000</v>
          </cell>
          <cell r="K247">
            <v>48200000</v>
          </cell>
          <cell r="L247">
            <v>57900000</v>
          </cell>
          <cell r="M247">
            <v>61500000</v>
          </cell>
          <cell r="N247">
            <v>63600000</v>
          </cell>
          <cell r="O247">
            <v>64000000</v>
          </cell>
          <cell r="P247">
            <v>66500000</v>
          </cell>
          <cell r="Q247">
            <v>61700000</v>
          </cell>
          <cell r="R247">
            <v>61500000</v>
          </cell>
          <cell r="S247">
            <v>69400000</v>
          </cell>
          <cell r="T247">
            <v>65800000</v>
          </cell>
          <cell r="U247">
            <v>61800000</v>
          </cell>
          <cell r="V247">
            <v>63200000</v>
          </cell>
        </row>
        <row r="248">
          <cell r="D248" t="str">
            <v>OK Limestone Li</v>
          </cell>
          <cell r="E248">
            <v>0</v>
          </cell>
          <cell r="F248">
            <v>0</v>
          </cell>
          <cell r="G248">
            <v>0</v>
          </cell>
          <cell r="H248">
            <v>0</v>
          </cell>
          <cell r="I248">
            <v>22600000</v>
          </cell>
          <cell r="J248">
            <v>21800000</v>
          </cell>
          <cell r="K248">
            <v>21000000</v>
          </cell>
          <cell r="L248">
            <v>24300000</v>
          </cell>
          <cell r="M248">
            <v>27500000</v>
          </cell>
          <cell r="N248">
            <v>28000000</v>
          </cell>
          <cell r="O248">
            <v>31200000</v>
          </cell>
          <cell r="P248">
            <v>32900000</v>
          </cell>
          <cell r="Q248">
            <v>35500000</v>
          </cell>
          <cell r="R248">
            <v>33300000</v>
          </cell>
          <cell r="S248">
            <v>33500000</v>
          </cell>
          <cell r="T248">
            <v>38500000</v>
          </cell>
          <cell r="U248">
            <v>38000000</v>
          </cell>
          <cell r="V248">
            <v>39600000</v>
          </cell>
        </row>
        <row r="249">
          <cell r="D249" t="str">
            <v>OR Limestone Li</v>
          </cell>
          <cell r="E249">
            <v>0</v>
          </cell>
          <cell r="F249">
            <v>0</v>
          </cell>
          <cell r="G249">
            <v>0</v>
          </cell>
          <cell r="H249">
            <v>0</v>
          </cell>
          <cell r="I249">
            <v>1272727.2727272727</v>
          </cell>
          <cell r="J249">
            <v>1627272.7272727273</v>
          </cell>
          <cell r="K249">
            <v>737142.85714285716</v>
          </cell>
          <cell r="L249">
            <v>1744444.4444444443</v>
          </cell>
          <cell r="M249">
            <v>1712500</v>
          </cell>
          <cell r="N249">
            <v>1976923.076923077</v>
          </cell>
          <cell r="O249">
            <v>1787500</v>
          </cell>
          <cell r="P249">
            <v>1330000</v>
          </cell>
          <cell r="Q249">
            <v>1527272.7272727273</v>
          </cell>
          <cell r="R249">
            <v>1400000</v>
          </cell>
          <cell r="S249">
            <v>1600000</v>
          </cell>
          <cell r="T249">
            <v>1900000</v>
          </cell>
          <cell r="U249">
            <v>1240000</v>
          </cell>
          <cell r="V249">
            <v>0</v>
          </cell>
        </row>
        <row r="250">
          <cell r="D250" t="str">
            <v>PA Limestone Li</v>
          </cell>
          <cell r="E250">
            <v>0</v>
          </cell>
          <cell r="F250">
            <v>0</v>
          </cell>
          <cell r="G250">
            <v>0</v>
          </cell>
          <cell r="H250">
            <v>0</v>
          </cell>
          <cell r="I250">
            <v>44000000</v>
          </cell>
          <cell r="J250">
            <v>46000000</v>
          </cell>
          <cell r="K250">
            <v>55200000</v>
          </cell>
          <cell r="L250">
            <v>54700000</v>
          </cell>
          <cell r="M250">
            <v>54300000</v>
          </cell>
          <cell r="N250">
            <v>57000000</v>
          </cell>
          <cell r="O250">
            <v>60300000</v>
          </cell>
          <cell r="P250">
            <v>57900000</v>
          </cell>
          <cell r="Q250">
            <v>61300000</v>
          </cell>
          <cell r="R250">
            <v>61600000</v>
          </cell>
          <cell r="S250">
            <v>65500000</v>
          </cell>
          <cell r="T250">
            <v>62100000</v>
          </cell>
          <cell r="U250">
            <v>64600000</v>
          </cell>
          <cell r="V250">
            <v>60500000</v>
          </cell>
        </row>
        <row r="251">
          <cell r="D251" t="str">
            <v>PR Limestone Li</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row>
        <row r="252">
          <cell r="D252" t="str">
            <v>RI Limestone Li</v>
          </cell>
          <cell r="E252">
            <v>0</v>
          </cell>
          <cell r="F252">
            <v>0</v>
          </cell>
          <cell r="G252">
            <v>0</v>
          </cell>
          <cell r="H252">
            <v>0</v>
          </cell>
          <cell r="I252">
            <v>1272727.2727272727</v>
          </cell>
          <cell r="J252">
            <v>1627272.7272727273</v>
          </cell>
          <cell r="K252">
            <v>737142.85714285716</v>
          </cell>
          <cell r="L252">
            <v>1744444.4444444443</v>
          </cell>
          <cell r="M252">
            <v>1712500</v>
          </cell>
          <cell r="N252">
            <v>1976923.076923077</v>
          </cell>
          <cell r="O252">
            <v>1787500</v>
          </cell>
          <cell r="P252">
            <v>1725000</v>
          </cell>
          <cell r="Q252">
            <v>1527272.7272727273</v>
          </cell>
          <cell r="R252">
            <v>1400000</v>
          </cell>
          <cell r="S252">
            <v>1600000</v>
          </cell>
          <cell r="T252">
            <v>1900000</v>
          </cell>
          <cell r="U252">
            <v>1198333.3333333333</v>
          </cell>
          <cell r="V252">
            <v>0</v>
          </cell>
        </row>
        <row r="253">
          <cell r="D253" t="str">
            <v>SC Limestone Li</v>
          </cell>
          <cell r="E253">
            <v>0</v>
          </cell>
          <cell r="F253">
            <v>0</v>
          </cell>
          <cell r="G253">
            <v>0</v>
          </cell>
          <cell r="H253">
            <v>0</v>
          </cell>
          <cell r="I253">
            <v>1272727.2727272727</v>
          </cell>
          <cell r="J253">
            <v>1627272.7272727273</v>
          </cell>
          <cell r="K253">
            <v>3740000</v>
          </cell>
          <cell r="L253">
            <v>4490000</v>
          </cell>
          <cell r="M253">
            <v>1712500</v>
          </cell>
          <cell r="N253">
            <v>1976923.076923077</v>
          </cell>
          <cell r="O253">
            <v>1787500</v>
          </cell>
          <cell r="P253">
            <v>1725000</v>
          </cell>
          <cell r="Q253">
            <v>1527272.7272727273</v>
          </cell>
          <cell r="R253">
            <v>1400000</v>
          </cell>
          <cell r="S253">
            <v>6410000</v>
          </cell>
          <cell r="T253">
            <v>1900000</v>
          </cell>
          <cell r="U253">
            <v>4110000</v>
          </cell>
          <cell r="V253">
            <v>3360000</v>
          </cell>
        </row>
        <row r="254">
          <cell r="D254" t="str">
            <v>SD Limestone Li</v>
          </cell>
          <cell r="E254">
            <v>0</v>
          </cell>
          <cell r="F254">
            <v>0</v>
          </cell>
          <cell r="G254">
            <v>0</v>
          </cell>
          <cell r="H254">
            <v>0</v>
          </cell>
          <cell r="I254">
            <v>2850000</v>
          </cell>
          <cell r="J254">
            <v>2680000</v>
          </cell>
          <cell r="K254">
            <v>2850000</v>
          </cell>
          <cell r="L254">
            <v>3110000</v>
          </cell>
          <cell r="M254">
            <v>2920000</v>
          </cell>
          <cell r="N254">
            <v>3190000</v>
          </cell>
          <cell r="O254">
            <v>2980000</v>
          </cell>
          <cell r="P254">
            <v>3160000</v>
          </cell>
          <cell r="Q254">
            <v>1527272.7272727273</v>
          </cell>
          <cell r="R254">
            <v>3050000</v>
          </cell>
          <cell r="S254">
            <v>1950000</v>
          </cell>
          <cell r="T254">
            <v>3200000</v>
          </cell>
          <cell r="U254">
            <v>3240000</v>
          </cell>
          <cell r="V254">
            <v>3200000</v>
          </cell>
        </row>
        <row r="255">
          <cell r="D255" t="str">
            <v>TN Limestone Li</v>
          </cell>
          <cell r="E255">
            <v>0</v>
          </cell>
          <cell r="F255">
            <v>0</v>
          </cell>
          <cell r="G255">
            <v>0</v>
          </cell>
          <cell r="H255">
            <v>0</v>
          </cell>
          <cell r="I255">
            <v>43500000</v>
          </cell>
          <cell r="J255">
            <v>46400000</v>
          </cell>
          <cell r="K255">
            <v>49500000</v>
          </cell>
          <cell r="L255">
            <v>54300000</v>
          </cell>
          <cell r="M255">
            <v>56800000</v>
          </cell>
          <cell r="N255">
            <v>56500000</v>
          </cell>
          <cell r="O255">
            <v>57300000</v>
          </cell>
          <cell r="P255">
            <v>54700000</v>
          </cell>
          <cell r="Q255">
            <v>51500000</v>
          </cell>
          <cell r="R255">
            <v>53100000</v>
          </cell>
          <cell r="S255">
            <v>55600000</v>
          </cell>
          <cell r="T255">
            <v>62900000</v>
          </cell>
          <cell r="U255">
            <v>63800000</v>
          </cell>
          <cell r="V255">
            <v>60600000</v>
          </cell>
        </row>
        <row r="256">
          <cell r="D256" t="str">
            <v>TX Limestone Li</v>
          </cell>
          <cell r="E256">
            <v>0</v>
          </cell>
          <cell r="F256">
            <v>0</v>
          </cell>
          <cell r="G256">
            <v>0</v>
          </cell>
          <cell r="H256">
            <v>0</v>
          </cell>
          <cell r="I256">
            <v>72000000</v>
          </cell>
          <cell r="J256">
            <v>76100000</v>
          </cell>
          <cell r="K256">
            <v>82500000</v>
          </cell>
          <cell r="L256">
            <v>77400000</v>
          </cell>
          <cell r="M256">
            <v>92500000</v>
          </cell>
          <cell r="N256">
            <v>102000000</v>
          </cell>
          <cell r="O256">
            <v>115000000</v>
          </cell>
          <cell r="P256">
            <v>124000000</v>
          </cell>
          <cell r="Q256">
            <v>108000000</v>
          </cell>
          <cell r="R256">
            <v>121000000</v>
          </cell>
          <cell r="S256">
            <v>116000000</v>
          </cell>
          <cell r="T256">
            <v>129000000</v>
          </cell>
          <cell r="U256">
            <v>131000000</v>
          </cell>
          <cell r="V256">
            <v>137000000</v>
          </cell>
        </row>
        <row r="257">
          <cell r="D257" t="str">
            <v>UT Limestone Li</v>
          </cell>
          <cell r="E257">
            <v>0</v>
          </cell>
          <cell r="F257">
            <v>0</v>
          </cell>
          <cell r="G257">
            <v>0</v>
          </cell>
          <cell r="H257">
            <v>0</v>
          </cell>
          <cell r="I257">
            <v>1980000</v>
          </cell>
          <cell r="J257">
            <v>2080000</v>
          </cell>
          <cell r="K257">
            <v>1480000</v>
          </cell>
          <cell r="L257">
            <v>2500000</v>
          </cell>
          <cell r="M257">
            <v>3100000</v>
          </cell>
          <cell r="N257">
            <v>5000000</v>
          </cell>
          <cell r="O257">
            <v>4840000</v>
          </cell>
          <cell r="P257">
            <v>5260000</v>
          </cell>
          <cell r="Q257">
            <v>4510000</v>
          </cell>
          <cell r="R257">
            <v>4090000</v>
          </cell>
          <cell r="S257">
            <v>3810000</v>
          </cell>
          <cell r="T257">
            <v>3550000</v>
          </cell>
          <cell r="U257">
            <v>4700000</v>
          </cell>
          <cell r="V257">
            <v>6350000</v>
          </cell>
        </row>
        <row r="258">
          <cell r="D258" t="str">
            <v>VT Limestone Li</v>
          </cell>
          <cell r="E258">
            <v>0</v>
          </cell>
          <cell r="F258">
            <v>0</v>
          </cell>
          <cell r="G258">
            <v>0</v>
          </cell>
          <cell r="H258">
            <v>0</v>
          </cell>
          <cell r="I258">
            <v>1800000</v>
          </cell>
          <cell r="J258">
            <v>2220000</v>
          </cell>
          <cell r="K258">
            <v>2260000</v>
          </cell>
          <cell r="L258">
            <v>3400000</v>
          </cell>
          <cell r="M258">
            <v>2580000</v>
          </cell>
          <cell r="N258">
            <v>2440000</v>
          </cell>
          <cell r="O258">
            <v>2210000</v>
          </cell>
          <cell r="P258">
            <v>1725000</v>
          </cell>
          <cell r="Q258">
            <v>1680000</v>
          </cell>
          <cell r="R258">
            <v>1400000</v>
          </cell>
          <cell r="S258">
            <v>1600000</v>
          </cell>
          <cell r="T258">
            <v>1900000</v>
          </cell>
          <cell r="U258">
            <v>1550000</v>
          </cell>
          <cell r="V258">
            <v>1510000</v>
          </cell>
        </row>
        <row r="259">
          <cell r="D259" t="str">
            <v>VA Limestone Li</v>
          </cell>
          <cell r="E259">
            <v>0</v>
          </cell>
          <cell r="F259">
            <v>0</v>
          </cell>
          <cell r="G259">
            <v>0</v>
          </cell>
          <cell r="H259">
            <v>0</v>
          </cell>
          <cell r="I259">
            <v>16300000</v>
          </cell>
          <cell r="J259">
            <v>15800000</v>
          </cell>
          <cell r="K259">
            <v>16500000</v>
          </cell>
          <cell r="L259">
            <v>15700000</v>
          </cell>
          <cell r="M259">
            <v>18500000</v>
          </cell>
          <cell r="N259">
            <v>20600000</v>
          </cell>
          <cell r="O259">
            <v>21300000</v>
          </cell>
          <cell r="P259">
            <v>20100000</v>
          </cell>
          <cell r="Q259">
            <v>16000000</v>
          </cell>
          <cell r="R259">
            <v>18500000</v>
          </cell>
          <cell r="S259">
            <v>19100000</v>
          </cell>
          <cell r="T259">
            <v>29000000</v>
          </cell>
          <cell r="U259">
            <v>21800000</v>
          </cell>
          <cell r="V259">
            <v>18400000</v>
          </cell>
        </row>
        <row r="260">
          <cell r="D260" t="str">
            <v>WA Limestone Li</v>
          </cell>
          <cell r="E260">
            <v>0</v>
          </cell>
          <cell r="F260">
            <v>0</v>
          </cell>
          <cell r="G260">
            <v>0</v>
          </cell>
          <cell r="H260">
            <v>0</v>
          </cell>
          <cell r="I260">
            <v>2140000</v>
          </cell>
          <cell r="J260">
            <v>1230000</v>
          </cell>
          <cell r="K260">
            <v>2140000</v>
          </cell>
          <cell r="L260">
            <v>1460000</v>
          </cell>
          <cell r="M260">
            <v>1020000</v>
          </cell>
          <cell r="N260">
            <v>1976923.076923077</v>
          </cell>
          <cell r="O260">
            <v>2040000</v>
          </cell>
          <cell r="P260">
            <v>2020000</v>
          </cell>
          <cell r="Q260">
            <v>1920000</v>
          </cell>
          <cell r="R260">
            <v>1640000</v>
          </cell>
          <cell r="S260">
            <v>2000000</v>
          </cell>
          <cell r="T260">
            <v>2120000</v>
          </cell>
          <cell r="U260">
            <v>2190000</v>
          </cell>
          <cell r="V260">
            <v>1840000</v>
          </cell>
        </row>
        <row r="261">
          <cell r="D261" t="str">
            <v>WV Limestone Li</v>
          </cell>
          <cell r="E261">
            <v>0</v>
          </cell>
          <cell r="F261">
            <v>0</v>
          </cell>
          <cell r="G261">
            <v>0</v>
          </cell>
          <cell r="H261">
            <v>0</v>
          </cell>
          <cell r="I261">
            <v>10200000</v>
          </cell>
          <cell r="J261">
            <v>10800000</v>
          </cell>
          <cell r="K261">
            <v>11900000</v>
          </cell>
          <cell r="L261">
            <v>12000000</v>
          </cell>
          <cell r="M261">
            <v>11300000</v>
          </cell>
          <cell r="N261">
            <v>1976923.076923077</v>
          </cell>
          <cell r="O261">
            <v>10900000</v>
          </cell>
          <cell r="P261">
            <v>13900000</v>
          </cell>
          <cell r="Q261">
            <v>12200000</v>
          </cell>
          <cell r="R261">
            <v>12600000</v>
          </cell>
          <cell r="S261">
            <v>13400000</v>
          </cell>
          <cell r="T261">
            <v>13200000</v>
          </cell>
          <cell r="U261">
            <v>13700000</v>
          </cell>
          <cell r="V261">
            <v>15100000</v>
          </cell>
        </row>
        <row r="262">
          <cell r="D262" t="str">
            <v>WI Limestone Li</v>
          </cell>
          <cell r="E262">
            <v>0</v>
          </cell>
          <cell r="F262">
            <v>0</v>
          </cell>
          <cell r="G262">
            <v>0</v>
          </cell>
          <cell r="H262">
            <v>0</v>
          </cell>
          <cell r="I262">
            <v>21900000</v>
          </cell>
          <cell r="J262">
            <v>20100000</v>
          </cell>
          <cell r="K262">
            <v>20800000</v>
          </cell>
          <cell r="L262">
            <v>20800000</v>
          </cell>
          <cell r="M262">
            <v>22500000</v>
          </cell>
          <cell r="N262">
            <v>26800000</v>
          </cell>
          <cell r="O262">
            <v>27000000</v>
          </cell>
          <cell r="P262">
            <v>28500000</v>
          </cell>
          <cell r="Q262">
            <v>28800000</v>
          </cell>
          <cell r="R262">
            <v>30900000</v>
          </cell>
          <cell r="S262">
            <v>32500000</v>
          </cell>
          <cell r="T262">
            <v>31800000</v>
          </cell>
          <cell r="U262">
            <v>29000000</v>
          </cell>
          <cell r="V262">
            <v>20300000</v>
          </cell>
        </row>
        <row r="263">
          <cell r="D263" t="str">
            <v>WY Limestone Li</v>
          </cell>
          <cell r="E263">
            <v>0</v>
          </cell>
          <cell r="F263">
            <v>0</v>
          </cell>
          <cell r="G263">
            <v>0</v>
          </cell>
          <cell r="H263">
            <v>0</v>
          </cell>
          <cell r="I263">
            <v>1520000</v>
          </cell>
          <cell r="J263">
            <v>1550000</v>
          </cell>
          <cell r="K263">
            <v>1620000</v>
          </cell>
          <cell r="L263">
            <v>1744444.4444444443</v>
          </cell>
          <cell r="M263">
            <v>1712500</v>
          </cell>
          <cell r="N263">
            <v>1976923.076923077</v>
          </cell>
          <cell r="O263">
            <v>2130000</v>
          </cell>
          <cell r="P263">
            <v>1500000</v>
          </cell>
          <cell r="Q263">
            <v>1810000</v>
          </cell>
          <cell r="R263">
            <v>1790000</v>
          </cell>
          <cell r="S263">
            <v>2900000</v>
          </cell>
          <cell r="T263">
            <v>2500000</v>
          </cell>
          <cell r="U263">
            <v>3500000</v>
          </cell>
          <cell r="V263">
            <v>2960000</v>
          </cell>
        </row>
        <row r="264">
          <cell r="D264" t="str">
            <v xml:space="preserve">AL Aluminum </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row>
        <row r="265">
          <cell r="D265" t="str">
            <v xml:space="preserve">AK Aluminum </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row>
        <row r="266">
          <cell r="D266" t="str">
            <v xml:space="preserve">AZ Aluminum </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row>
        <row r="267">
          <cell r="D267" t="str">
            <v xml:space="preserve">AR Aluminum </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row>
        <row r="268">
          <cell r="D268" t="str">
            <v xml:space="preserve">CA Aluminum </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row>
        <row r="269">
          <cell r="D269" t="str">
            <v xml:space="preserve">CO Aluminum </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row>
        <row r="270">
          <cell r="D270" t="str">
            <v xml:space="preserve">CT Aluminum </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row>
        <row r="271">
          <cell r="D271" t="str">
            <v xml:space="preserve">DC Aluminum </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row>
        <row r="272">
          <cell r="D272" t="str">
            <v xml:space="preserve">DE Aluminum </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row>
        <row r="273">
          <cell r="D273" t="str">
            <v xml:space="preserve">FL Aluminum </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row>
        <row r="274">
          <cell r="D274" t="str">
            <v xml:space="preserve">GA Aluminum </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row>
        <row r="275">
          <cell r="D275" t="str">
            <v xml:space="preserve">HI Aluminum </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row>
        <row r="276">
          <cell r="D276" t="str">
            <v xml:space="preserve">ID Aluminum </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row>
        <row r="277">
          <cell r="D277" t="str">
            <v xml:space="preserve">IL Aluminum </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row>
        <row r="278">
          <cell r="D278" t="str">
            <v xml:space="preserve">IN Aluminum </v>
          </cell>
          <cell r="E278">
            <v>296412.00878691726</v>
          </cell>
          <cell r="F278">
            <v>299128.96201306558</v>
          </cell>
          <cell r="G278">
            <v>291280.32668748498</v>
          </cell>
          <cell r="H278">
            <v>266466.34615384613</v>
          </cell>
          <cell r="I278">
            <v>236770.33492822965</v>
          </cell>
          <cell r="J278">
            <v>242224.88038277513</v>
          </cell>
          <cell r="K278">
            <v>256109.78520286398</v>
          </cell>
          <cell r="L278">
            <v>257971.3603818616</v>
          </cell>
          <cell r="M278">
            <v>264584.32304038003</v>
          </cell>
          <cell r="N278">
            <v>265503.51288056205</v>
          </cell>
          <cell r="O278">
            <v>257704.91803278684</v>
          </cell>
          <cell r="P278">
            <v>186460.64073226546</v>
          </cell>
          <cell r="Q278">
            <v>203025</v>
          </cell>
          <cell r="R278">
            <v>201745.65217391305</v>
          </cell>
          <cell r="S278">
            <v>210233.63980530016</v>
          </cell>
          <cell r="T278">
            <v>207309.08599242833</v>
          </cell>
          <cell r="U278">
            <v>190848.02595997835</v>
          </cell>
          <cell r="V278">
            <v>218248.34070796461</v>
          </cell>
        </row>
        <row r="279">
          <cell r="D279" t="str">
            <v xml:space="preserve">IA Aluminum </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row>
        <row r="280">
          <cell r="D280" t="str">
            <v xml:space="preserve">KS Aluminum </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row>
        <row r="281">
          <cell r="D281" t="str">
            <v xml:space="preserve">KY Aluminum </v>
          </cell>
          <cell r="E281">
            <v>338897.73004637536</v>
          </cell>
          <cell r="F281">
            <v>347986.69247519964</v>
          </cell>
          <cell r="G281">
            <v>338856.11337977421</v>
          </cell>
          <cell r="H281">
            <v>325088.94230769231</v>
          </cell>
          <cell r="I281">
            <v>295173.68421052629</v>
          </cell>
          <cell r="J281">
            <v>301973.68421052635</v>
          </cell>
          <cell r="K281">
            <v>317576.13365155132</v>
          </cell>
          <cell r="L281">
            <v>319884.48687350837</v>
          </cell>
          <cell r="M281">
            <v>328084.56057007128</v>
          </cell>
          <cell r="N281">
            <v>374359.95316159254</v>
          </cell>
          <cell r="O281">
            <v>363363.93442622951</v>
          </cell>
          <cell r="P281">
            <v>261286.27002288328</v>
          </cell>
          <cell r="Q281">
            <v>284497.81553398061</v>
          </cell>
          <cell r="R281">
            <v>287275.36231884058</v>
          </cell>
          <cell r="S281">
            <v>299361.81719848566</v>
          </cell>
          <cell r="T281">
            <v>295197.40400216327</v>
          </cell>
          <cell r="U281">
            <v>271757.70686857757</v>
          </cell>
          <cell r="V281">
            <v>310774.33628318587</v>
          </cell>
        </row>
        <row r="282">
          <cell r="D282" t="str">
            <v xml:space="preserve">LA Aluminum </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row>
        <row r="283">
          <cell r="D283" t="str">
            <v xml:space="preserve">ME Aluminum </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row>
        <row r="284">
          <cell r="D284" t="str">
            <v xml:space="preserve">MD Aluminum </v>
          </cell>
          <cell r="E284">
            <v>158086.40468635588</v>
          </cell>
          <cell r="F284">
            <v>169506.41180740381</v>
          </cell>
          <cell r="G284">
            <v>165058.85178957481</v>
          </cell>
          <cell r="H284">
            <v>150997.59615384616</v>
          </cell>
          <cell r="I284">
            <v>137326.79425837321</v>
          </cell>
          <cell r="J284">
            <v>140490.43062200959</v>
          </cell>
          <cell r="K284">
            <v>148543.67541766108</v>
          </cell>
          <cell r="L284">
            <v>149623.38902147973</v>
          </cell>
          <cell r="M284">
            <v>153458.90736342044</v>
          </cell>
          <cell r="N284">
            <v>153992.03747072601</v>
          </cell>
          <cell r="O284">
            <v>149468.85245901637</v>
          </cell>
          <cell r="P284">
            <v>115859.03890160183</v>
          </cell>
          <cell r="Q284">
            <v>126151.45631067961</v>
          </cell>
          <cell r="R284">
            <v>127315.21739130434</v>
          </cell>
          <cell r="S284">
            <v>132671.71444023796</v>
          </cell>
          <cell r="T284">
            <v>130826.12222823147</v>
          </cell>
          <cell r="U284">
            <v>120438.0746349378</v>
          </cell>
          <cell r="V284">
            <v>137729.5353982301</v>
          </cell>
        </row>
        <row r="285">
          <cell r="D285" t="str">
            <v xml:space="preserve">MA Aluminum </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row>
        <row r="286">
          <cell r="D286" t="str">
            <v xml:space="preserve">MI Aluminum </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row>
        <row r="287">
          <cell r="D287" t="str">
            <v xml:space="preserve">MN Aluminum </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row>
        <row r="288">
          <cell r="D288" t="str">
            <v xml:space="preserve">MS Aluminum </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row>
        <row r="289">
          <cell r="D289" t="str">
            <v xml:space="preserve">MO Aluminum </v>
          </cell>
          <cell r="E289">
            <v>201560.16597510377</v>
          </cell>
          <cell r="F289">
            <v>203407.69416888457</v>
          </cell>
          <cell r="G289">
            <v>208750.90079269756</v>
          </cell>
          <cell r="H289">
            <v>190967.54807692306</v>
          </cell>
          <cell r="I289">
            <v>169685.40669856459</v>
          </cell>
          <cell r="J289">
            <v>173594.4976076555</v>
          </cell>
          <cell r="K289">
            <v>183545.3460620525</v>
          </cell>
          <cell r="L289">
            <v>184879.47494033413</v>
          </cell>
          <cell r="M289">
            <v>194028.50356294538</v>
          </cell>
          <cell r="N289">
            <v>203552.69320843092</v>
          </cell>
          <cell r="O289">
            <v>190701.63934426228</v>
          </cell>
          <cell r="P289">
            <v>138789.47368421053</v>
          </cell>
          <cell r="Q289">
            <v>164259.7087378641</v>
          </cell>
          <cell r="R289">
            <v>163224.63768115939</v>
          </cell>
          <cell r="S289">
            <v>170091.94159004866</v>
          </cell>
          <cell r="T289">
            <v>167725.79772850187</v>
          </cell>
          <cell r="U289">
            <v>154407.78799350999</v>
          </cell>
          <cell r="V289">
            <v>176576.32743362832</v>
          </cell>
        </row>
        <row r="290">
          <cell r="D290" t="str">
            <v xml:space="preserve">MT Aluminum </v>
          </cell>
          <cell r="E290">
            <v>165990.72492067367</v>
          </cell>
          <cell r="F290">
            <v>167512.21872731671</v>
          </cell>
          <cell r="G290">
            <v>163116.98294499161</v>
          </cell>
          <cell r="H290">
            <v>149221.15384615384</v>
          </cell>
          <cell r="I290">
            <v>132591.38755980862</v>
          </cell>
          <cell r="J290">
            <v>135645.93301435409</v>
          </cell>
          <cell r="K290">
            <v>143421.47971360383</v>
          </cell>
          <cell r="L290">
            <v>144463.9618138425</v>
          </cell>
          <cell r="M290">
            <v>148167.22090261284</v>
          </cell>
          <cell r="N290">
            <v>148681.96721311475</v>
          </cell>
          <cell r="O290">
            <v>144314.75409836066</v>
          </cell>
          <cell r="P290">
            <v>101376.65903890161</v>
          </cell>
          <cell r="Q290">
            <v>110382.52427184465</v>
          </cell>
          <cell r="R290">
            <v>109686.95652173912</v>
          </cell>
          <cell r="S290">
            <v>114301.7847485127</v>
          </cell>
          <cell r="T290">
            <v>112711.73607355327</v>
          </cell>
          <cell r="U290">
            <v>103762.03353163872</v>
          </cell>
          <cell r="V290">
            <v>118659.29203539823</v>
          </cell>
        </row>
        <row r="291">
          <cell r="D291" t="str">
            <v xml:space="preserve">NE Aluminum </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row>
        <row r="292">
          <cell r="D292" t="str">
            <v xml:space="preserve">NV Aluminum </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row>
        <row r="293">
          <cell r="D293" t="str">
            <v xml:space="preserve">NH Aluminum </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row>
        <row r="294">
          <cell r="D294" t="str">
            <v xml:space="preserve">NJ Aluminum </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row>
        <row r="295">
          <cell r="D295" t="str">
            <v xml:space="preserve">NM Aluminum </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row>
        <row r="296">
          <cell r="D296" t="str">
            <v xml:space="preserve">NY Aluminum </v>
          </cell>
          <cell r="E296">
            <v>245033.9272638516</v>
          </cell>
          <cell r="F296">
            <v>247279.94193080088</v>
          </cell>
          <cell r="G296">
            <v>240791.73672832092</v>
          </cell>
          <cell r="H296">
            <v>220278.84615384616</v>
          </cell>
          <cell r="I296">
            <v>195730.14354066984</v>
          </cell>
          <cell r="J296">
            <v>200239.23444976078</v>
          </cell>
          <cell r="K296">
            <v>211717.42243436753</v>
          </cell>
          <cell r="L296">
            <v>213256.32458233892</v>
          </cell>
          <cell r="M296">
            <v>218723.04038004752</v>
          </cell>
          <cell r="N296">
            <v>219482.90398126465</v>
          </cell>
          <cell r="O296">
            <v>213036.06557377049</v>
          </cell>
          <cell r="P296">
            <v>153875.28604118992</v>
          </cell>
          <cell r="Q296">
            <v>167544.90291262136</v>
          </cell>
          <cell r="R296">
            <v>166489.13043478262</v>
          </cell>
          <cell r="S296">
            <v>173493.78042184963</v>
          </cell>
          <cell r="T296">
            <v>171080.31368307193</v>
          </cell>
          <cell r="U296">
            <v>157495.94375338021</v>
          </cell>
          <cell r="V296">
            <v>180107.85398230091</v>
          </cell>
        </row>
        <row r="297">
          <cell r="D297" t="str">
            <v xml:space="preserve">NC Aluminum </v>
          </cell>
          <cell r="E297">
            <v>113624.60336831829</v>
          </cell>
          <cell r="F297">
            <v>114666.10210500847</v>
          </cell>
          <cell r="G297">
            <v>111657.45856353591</v>
          </cell>
          <cell r="H297">
            <v>102145.43269230769</v>
          </cell>
          <cell r="I297">
            <v>90761.961722488035</v>
          </cell>
          <cell r="J297">
            <v>92852.870813397138</v>
          </cell>
          <cell r="K297">
            <v>98175.417661097847</v>
          </cell>
          <cell r="L297">
            <v>98889.021479713614</v>
          </cell>
          <cell r="M297">
            <v>101423.99049881235</v>
          </cell>
          <cell r="N297">
            <v>101776.34660421546</v>
          </cell>
          <cell r="O297">
            <v>98786.885245901634</v>
          </cell>
          <cell r="P297">
            <v>72411.899313501155</v>
          </cell>
          <cell r="Q297">
            <v>78844.660194174765</v>
          </cell>
          <cell r="R297">
            <v>78347.826086956513</v>
          </cell>
          <cell r="S297">
            <v>81644.131963223364</v>
          </cell>
          <cell r="T297">
            <v>80508.382909680906</v>
          </cell>
          <cell r="U297">
            <v>74115.73823688479</v>
          </cell>
          <cell r="V297">
            <v>84756.637168141591</v>
          </cell>
        </row>
        <row r="298">
          <cell r="D298" t="str">
            <v xml:space="preserve">ND Aluminum </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row>
        <row r="299">
          <cell r="D299" t="str">
            <v xml:space="preserve">OH Aluminum </v>
          </cell>
          <cell r="E299">
            <v>242069.80717598245</v>
          </cell>
          <cell r="F299">
            <v>244288.65231067021</v>
          </cell>
          <cell r="G299">
            <v>237878.93346144608</v>
          </cell>
          <cell r="H299">
            <v>217614.18269230769</v>
          </cell>
          <cell r="I299">
            <v>200465.55023923444</v>
          </cell>
          <cell r="J299">
            <v>205083.73205741629</v>
          </cell>
          <cell r="K299">
            <v>218547.01670644392</v>
          </cell>
          <cell r="L299">
            <v>220135.56085918855</v>
          </cell>
          <cell r="M299">
            <v>225778.62232779097</v>
          </cell>
          <cell r="N299">
            <v>225677.98594847776</v>
          </cell>
          <cell r="O299">
            <v>220767.21311475409</v>
          </cell>
          <cell r="P299">
            <v>155082.15102974829</v>
          </cell>
          <cell r="Q299">
            <v>168858.98058252429</v>
          </cell>
          <cell r="R299">
            <v>173018.11594202899</v>
          </cell>
          <cell r="S299">
            <v>180297.4580854516</v>
          </cell>
          <cell r="T299">
            <v>177789.34559221202</v>
          </cell>
          <cell r="U299">
            <v>163672.25527312062</v>
          </cell>
          <cell r="V299">
            <v>187170.90707964601</v>
          </cell>
        </row>
        <row r="300">
          <cell r="D300" t="str">
            <v xml:space="preserve">OK Aluminum </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row>
        <row r="301">
          <cell r="D301" t="str">
            <v xml:space="preserve">OR Aluminum </v>
          </cell>
          <cell r="E301">
            <v>200572.12594581401</v>
          </cell>
          <cell r="F301">
            <v>202410.59762884103</v>
          </cell>
          <cell r="G301">
            <v>197099.68772519819</v>
          </cell>
          <cell r="H301">
            <v>180308.89423076922</v>
          </cell>
          <cell r="I301">
            <v>160214.59330143541</v>
          </cell>
          <cell r="J301">
            <v>163905.5023923445</v>
          </cell>
          <cell r="K301">
            <v>173300.95465393795</v>
          </cell>
          <cell r="L301">
            <v>174560.62052505967</v>
          </cell>
          <cell r="M301">
            <v>179035.39192399051</v>
          </cell>
          <cell r="N301">
            <v>179657.37704918033</v>
          </cell>
          <cell r="O301">
            <v>174380.32786885244</v>
          </cell>
          <cell r="P301">
            <v>122496.79633867278</v>
          </cell>
          <cell r="Q301">
            <v>53877.184466019418</v>
          </cell>
          <cell r="R301">
            <v>53537.681159420295</v>
          </cell>
          <cell r="S301">
            <v>55790.156841535965</v>
          </cell>
          <cell r="T301">
            <v>55014.061654948629</v>
          </cell>
          <cell r="U301">
            <v>50645.754461871285</v>
          </cell>
          <cell r="V301">
            <v>0</v>
          </cell>
        </row>
        <row r="302">
          <cell r="D302" t="str">
            <v xml:space="preserve">PA Aluminum </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row>
        <row r="303">
          <cell r="D303" t="str">
            <v xml:space="preserve">PR Aluminum </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row>
        <row r="304">
          <cell r="D304" t="str">
            <v xml:space="preserve">RI Aluminum </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row>
        <row r="305">
          <cell r="D305" t="str">
            <v xml:space="preserve">SC Aluminum </v>
          </cell>
          <cell r="E305">
            <v>178835.2453014401</v>
          </cell>
          <cell r="F305">
            <v>183465.76336801355</v>
          </cell>
          <cell r="G305">
            <v>178651.93370165746</v>
          </cell>
          <cell r="H305">
            <v>163432.69230769231</v>
          </cell>
          <cell r="I305">
            <v>145219.13875598085</v>
          </cell>
          <cell r="J305">
            <v>148564.59330143541</v>
          </cell>
          <cell r="K305">
            <v>175008.35322195705</v>
          </cell>
          <cell r="L305">
            <v>176280.42959427208</v>
          </cell>
          <cell r="M305">
            <v>180799.28741092636</v>
          </cell>
          <cell r="N305">
            <v>181427.40046838409</v>
          </cell>
          <cell r="O305">
            <v>184688.52459016393</v>
          </cell>
          <cell r="P305">
            <v>127927.68878718535</v>
          </cell>
          <cell r="Q305">
            <v>139292.23300970875</v>
          </cell>
          <cell r="R305">
            <v>146249.27536231885</v>
          </cell>
          <cell r="S305">
            <v>152402.37966468363</v>
          </cell>
          <cell r="T305">
            <v>150282.3147647377</v>
          </cell>
          <cell r="U305">
            <v>138349.37804218495</v>
          </cell>
          <cell r="V305">
            <v>158212.38938053098</v>
          </cell>
        </row>
        <row r="306">
          <cell r="D306" t="str">
            <v xml:space="preserve">SD Aluminum </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row>
        <row r="307">
          <cell r="D307" t="str">
            <v xml:space="preserve">TN Aluminum </v>
          </cell>
          <cell r="E307">
            <v>207488.40615084209</v>
          </cell>
          <cell r="F307">
            <v>209390.27340914588</v>
          </cell>
          <cell r="G307">
            <v>203896.2286812395</v>
          </cell>
          <cell r="H307">
            <v>186526.44230769231</v>
          </cell>
          <cell r="I307">
            <v>165739.23444976076</v>
          </cell>
          <cell r="J307">
            <v>169557.41626794258</v>
          </cell>
          <cell r="K307">
            <v>179276.84964200479</v>
          </cell>
          <cell r="L307">
            <v>180579.9522673031</v>
          </cell>
          <cell r="M307">
            <v>185209.02612826604</v>
          </cell>
          <cell r="N307">
            <v>185852.45901639346</v>
          </cell>
          <cell r="O307">
            <v>180393.44262295082</v>
          </cell>
          <cell r="P307">
            <v>126720.82379862701</v>
          </cell>
          <cell r="Q307">
            <v>137978.15533980582</v>
          </cell>
          <cell r="R307">
            <v>137108.69565217395</v>
          </cell>
          <cell r="S307">
            <v>146279.06976744186</v>
          </cell>
          <cell r="T307">
            <v>144244.18604651163</v>
          </cell>
          <cell r="U307">
            <v>132790.6976744186</v>
          </cell>
          <cell r="V307">
            <v>151855.64159292035</v>
          </cell>
        </row>
        <row r="308">
          <cell r="D308" t="str">
            <v xml:space="preserve">TX Aluminum </v>
          </cell>
          <cell r="E308">
            <v>311232.60922626313</v>
          </cell>
          <cell r="F308">
            <v>314085.41011371883</v>
          </cell>
          <cell r="G308">
            <v>305844.34302185924</v>
          </cell>
          <cell r="H308">
            <v>279789.66346153844</v>
          </cell>
          <cell r="I308">
            <v>248608.85167464113</v>
          </cell>
          <cell r="J308">
            <v>254336.1244019139</v>
          </cell>
          <cell r="K308">
            <v>268915.27446300717</v>
          </cell>
          <cell r="L308">
            <v>270869.92840095464</v>
          </cell>
          <cell r="M308">
            <v>277813.53919239907</v>
          </cell>
          <cell r="N308">
            <v>278778.68852459016</v>
          </cell>
          <cell r="O308">
            <v>270590.16393442627</v>
          </cell>
          <cell r="P308">
            <v>205167.04805491993</v>
          </cell>
          <cell r="Q308">
            <v>173458.25242718449</v>
          </cell>
          <cell r="R308">
            <v>172365.21739130432</v>
          </cell>
          <cell r="S308">
            <v>181658.19361817199</v>
          </cell>
          <cell r="T308">
            <v>179131.15197404003</v>
          </cell>
          <cell r="U308">
            <v>164907.51757706868</v>
          </cell>
          <cell r="V308">
            <v>188583.51769911504</v>
          </cell>
        </row>
        <row r="309">
          <cell r="D309" t="str">
            <v xml:space="preserve">UT Aluminum </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row>
        <row r="310">
          <cell r="D310" t="str">
            <v xml:space="preserve">VT Aluminum </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row>
        <row r="311">
          <cell r="D311" t="str">
            <v xml:space="preserve">VA Aluminum </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row>
        <row r="312">
          <cell r="D312" t="str">
            <v xml:space="preserve">WA Aluminum </v>
          </cell>
          <cell r="E312">
            <v>1225169.636319258</v>
          </cell>
          <cell r="F312">
            <v>1252353.2542947012</v>
          </cell>
          <cell r="G312">
            <v>1219493.6343982704</v>
          </cell>
          <cell r="H312">
            <v>1115605.7692307692</v>
          </cell>
          <cell r="I312">
            <v>991278.46889952151</v>
          </cell>
          <cell r="J312">
            <v>1014114.8325358853</v>
          </cell>
          <cell r="K312">
            <v>1062855.6085918855</v>
          </cell>
          <cell r="L312">
            <v>1070581.1455847255</v>
          </cell>
          <cell r="M312">
            <v>1105080.5225653206</v>
          </cell>
          <cell r="N312">
            <v>1108919.6721311477</v>
          </cell>
          <cell r="O312">
            <v>1076347.5409836064</v>
          </cell>
          <cell r="P312">
            <v>763945.53775743709</v>
          </cell>
          <cell r="Q312">
            <v>783847.33009708731</v>
          </cell>
          <cell r="R312">
            <v>773684.78260869568</v>
          </cell>
          <cell r="S312">
            <v>502111.41157382372</v>
          </cell>
          <cell r="T312">
            <v>495126.55489453761</v>
          </cell>
          <cell r="U312">
            <v>455811.79015684151</v>
          </cell>
          <cell r="V312">
            <v>521253.31858407083</v>
          </cell>
        </row>
        <row r="313">
          <cell r="D313" t="str">
            <v xml:space="preserve">WV Aluminum </v>
          </cell>
          <cell r="E313">
            <v>164014.64486209422</v>
          </cell>
          <cell r="F313">
            <v>167512.21872731671</v>
          </cell>
          <cell r="G313">
            <v>163116.98294499161</v>
          </cell>
          <cell r="H313">
            <v>149221.15384615384</v>
          </cell>
          <cell r="I313">
            <v>132591.38755980862</v>
          </cell>
          <cell r="J313">
            <v>135645.93301435409</v>
          </cell>
          <cell r="K313">
            <v>143421.47971360383</v>
          </cell>
          <cell r="L313">
            <v>144463.9618138425</v>
          </cell>
          <cell r="M313">
            <v>148167.22090261284</v>
          </cell>
          <cell r="N313">
            <v>153107.02576112412</v>
          </cell>
          <cell r="O313">
            <v>144314.75409836066</v>
          </cell>
          <cell r="P313">
            <v>102583.52402745996</v>
          </cell>
          <cell r="Q313">
            <v>111696.60194174758</v>
          </cell>
          <cell r="R313">
            <v>110992.7536231884</v>
          </cell>
          <cell r="S313">
            <v>115662.5202812331</v>
          </cell>
          <cell r="T313">
            <v>114053.54245538129</v>
          </cell>
          <cell r="U313">
            <v>104997.2958355868</v>
          </cell>
          <cell r="V313">
            <v>120071.90265486724</v>
          </cell>
        </row>
        <row r="314">
          <cell r="D314" t="str">
            <v xml:space="preserve">WI Aluminum </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row>
        <row r="315">
          <cell r="D315" t="str">
            <v xml:space="preserve">WY Aluminum </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row>
        <row r="316">
          <cell r="D316" t="str">
            <v xml:space="preserve">AL ODS </v>
          </cell>
          <cell r="E316">
            <v>5372.3603545061242</v>
          </cell>
          <cell r="F316">
            <v>10384.39942634929</v>
          </cell>
          <cell r="G316">
            <v>28136.685264441141</v>
          </cell>
          <cell r="H316">
            <v>88611.917042214904</v>
          </cell>
          <cell r="I316">
            <v>199555.36032915162</v>
          </cell>
          <cell r="J316">
            <v>462797.41653997998</v>
          </cell>
          <cell r="K316">
            <v>641975.62247153628</v>
          </cell>
          <cell r="L316">
            <v>816510.68554644741</v>
          </cell>
          <cell r="M316">
            <v>917325.67712046625</v>
          </cell>
          <cell r="N316">
            <v>1025825.4655145226</v>
          </cell>
          <cell r="O316">
            <v>1123631.1963638491</v>
          </cell>
          <cell r="P316">
            <v>1205446.4083080709</v>
          </cell>
          <cell r="Q316">
            <v>1289941.9264575546</v>
          </cell>
          <cell r="R316">
            <v>1374161.1359923971</v>
          </cell>
          <cell r="S316">
            <v>1460984.2081849875</v>
          </cell>
          <cell r="T316">
            <v>1535714.0345010671</v>
          </cell>
          <cell r="U316">
            <v>1614239.1807367033</v>
          </cell>
          <cell r="V316">
            <v>1662805.7003983173</v>
          </cell>
        </row>
        <row r="317">
          <cell r="D317" t="str">
            <v xml:space="preserve">AK ODS </v>
          </cell>
          <cell r="E317">
            <v>733.98890635375483</v>
          </cell>
          <cell r="F317">
            <v>1445.0066217234407</v>
          </cell>
          <cell r="G317">
            <v>3990.6293184258507</v>
          </cell>
          <cell r="H317">
            <v>12616.087755015247</v>
          </cell>
          <cell r="I317">
            <v>28315.315326806711</v>
          </cell>
          <cell r="J317">
            <v>65286.998510868812</v>
          </cell>
          <cell r="K317">
            <v>90514.249965384792</v>
          </cell>
          <cell r="L317">
            <v>115068.73392082883</v>
          </cell>
          <cell r="M317">
            <v>129703.18183754735</v>
          </cell>
          <cell r="N317">
            <v>145427.67617976191</v>
          </cell>
          <cell r="O317">
            <v>158366.40677392125</v>
          </cell>
          <cell r="P317">
            <v>171021.55041559666</v>
          </cell>
          <cell r="Q317">
            <v>185383.55931399783</v>
          </cell>
          <cell r="R317">
            <v>199213.33068819423</v>
          </cell>
          <cell r="S317">
            <v>214281.18943682546</v>
          </cell>
          <cell r="T317">
            <v>226305.73747030471</v>
          </cell>
          <cell r="U317">
            <v>237971.9546520579</v>
          </cell>
          <cell r="V317">
            <v>244792.3912518814</v>
          </cell>
        </row>
        <row r="318">
          <cell r="D318" t="str">
            <v xml:space="preserve">AZ ODS </v>
          </cell>
          <cell r="E318">
            <v>4882.0984413042734</v>
          </cell>
          <cell r="F318">
            <v>9550.2232558588639</v>
          </cell>
          <cell r="G318">
            <v>26288.200026088409</v>
          </cell>
          <cell r="H318">
            <v>84391.205056006249</v>
          </cell>
          <cell r="I318">
            <v>195529.14560884307</v>
          </cell>
          <cell r="J318">
            <v>467593.63789912441</v>
          </cell>
          <cell r="K318">
            <v>663208.95433029719</v>
          </cell>
          <cell r="L318">
            <v>860343.49578634731</v>
          </cell>
          <cell r="M318">
            <v>983998.30530831579</v>
          </cell>
          <cell r="N318">
            <v>1121713.8317601196</v>
          </cell>
          <cell r="O318">
            <v>1304132.3214513282</v>
          </cell>
          <cell r="P318">
            <v>1432553.1737219214</v>
          </cell>
          <cell r="Q318">
            <v>1572548.7506768315</v>
          </cell>
          <cell r="R318">
            <v>1710737.9611498881</v>
          </cell>
          <cell r="S318">
            <v>1864243.9166787378</v>
          </cell>
          <cell r="T318">
            <v>2017666.9854279184</v>
          </cell>
          <cell r="U318">
            <v>2173958.7355349632</v>
          </cell>
          <cell r="V318">
            <v>2283429.7481907057</v>
          </cell>
        </row>
        <row r="319">
          <cell r="D319" t="str">
            <v xml:space="preserve">AR ODS </v>
          </cell>
          <cell r="E319">
            <v>3124.2074843643663</v>
          </cell>
          <cell r="F319">
            <v>6017.5488173418071</v>
          </cell>
          <cell r="G319">
            <v>16273.883605590263</v>
          </cell>
          <cell r="H319">
            <v>51220.289657674242</v>
          </cell>
          <cell r="I319">
            <v>115529.27175146042</v>
          </cell>
          <cell r="J319">
            <v>269262.49662635336</v>
          </cell>
          <cell r="K319">
            <v>374803.43309307017</v>
          </cell>
          <cell r="L319">
            <v>477024.2227054286</v>
          </cell>
          <cell r="M319">
            <v>535127.11298904638</v>
          </cell>
          <cell r="N319">
            <v>598935.0225307307</v>
          </cell>
          <cell r="O319">
            <v>675997.25044280943</v>
          </cell>
          <cell r="P319">
            <v>726482.6157990701</v>
          </cell>
          <cell r="Q319">
            <v>779721.07282221946</v>
          </cell>
          <cell r="R319">
            <v>832444.74297986133</v>
          </cell>
          <cell r="S319">
            <v>888341.29394316592</v>
          </cell>
          <cell r="T319">
            <v>937180.07849661796</v>
          </cell>
          <cell r="U319">
            <v>986721.47056317527</v>
          </cell>
          <cell r="V319">
            <v>1017306.7482462503</v>
          </cell>
        </row>
        <row r="320">
          <cell r="D320" t="str">
            <v xml:space="preserve">CA ODS </v>
          </cell>
          <cell r="E320">
            <v>39743.725083279511</v>
          </cell>
          <cell r="F320">
            <v>77201.265691244102</v>
          </cell>
          <cell r="G320">
            <v>209879.09780448274</v>
          </cell>
          <cell r="H320">
            <v>658225.32165655703</v>
          </cell>
          <cell r="I320">
            <v>1476390.8843653423</v>
          </cell>
          <cell r="J320">
            <v>3419198.1637446214</v>
          </cell>
          <cell r="K320">
            <v>4755384.8624328421</v>
          </cell>
          <cell r="L320">
            <v>6088979.5931827724</v>
          </cell>
          <cell r="M320">
            <v>6890487.51739843</v>
          </cell>
          <cell r="N320">
            <v>7780819.893021835</v>
          </cell>
          <cell r="O320">
            <v>8581482.7590317465</v>
          </cell>
          <cell r="P320">
            <v>9320623.1771392804</v>
          </cell>
          <cell r="Q320">
            <v>10076330.648887374</v>
          </cell>
          <cell r="R320">
            <v>10813996.293988382</v>
          </cell>
          <cell r="S320">
            <v>11550765.474816473</v>
          </cell>
          <cell r="T320">
            <v>12145934.277065523</v>
          </cell>
          <cell r="U320">
            <v>12710103.066069042</v>
          </cell>
          <cell r="V320">
            <v>13074144.354894605</v>
          </cell>
        </row>
        <row r="321">
          <cell r="D321" t="str">
            <v xml:space="preserve">CO ODS </v>
          </cell>
          <cell r="E321">
            <v>4384.2169079471523</v>
          </cell>
          <cell r="F321">
            <v>8548.0193406280341</v>
          </cell>
          <cell r="G321">
            <v>23519.31955413867</v>
          </cell>
          <cell r="H321">
            <v>75251.17552371588</v>
          </cell>
          <cell r="I321">
            <v>172256.87589202615</v>
          </cell>
          <cell r="J321">
            <v>405834.89168536657</v>
          </cell>
          <cell r="K321">
            <v>570499.02477860148</v>
          </cell>
          <cell r="L321">
            <v>735434.18011284259</v>
          </cell>
          <cell r="M321">
            <v>836774.16228448204</v>
          </cell>
          <cell r="N321">
            <v>952177.55684591806</v>
          </cell>
          <cell r="O321">
            <v>1092358.3819008637</v>
          </cell>
          <cell r="P321">
            <v>1197096.2911030236</v>
          </cell>
          <cell r="Q321">
            <v>1299537.3338452522</v>
          </cell>
          <cell r="R321">
            <v>1393071.2506711148</v>
          </cell>
          <cell r="S321">
            <v>1491288.1507906786</v>
          </cell>
          <cell r="T321">
            <v>1578169.3123916453</v>
          </cell>
          <cell r="U321">
            <v>1671914.6582046044</v>
          </cell>
          <cell r="V321">
            <v>1740499.34384098</v>
          </cell>
        </row>
        <row r="322">
          <cell r="D322" t="str">
            <v xml:space="preserve">CT ODS </v>
          </cell>
          <cell r="E322">
            <v>4364.5693816463972</v>
          </cell>
          <cell r="F322">
            <v>8347.6760297161054</v>
          </cell>
          <cell r="G322">
            <v>22261.795459775371</v>
          </cell>
          <cell r="H322">
            <v>69153.138081904253</v>
          </cell>
          <cell r="I322">
            <v>154080.16926913912</v>
          </cell>
          <cell r="J322">
            <v>354507.27823221334</v>
          </cell>
          <cell r="K322">
            <v>488847.69516597473</v>
          </cell>
          <cell r="L322">
            <v>617732.18150813819</v>
          </cell>
          <cell r="M322">
            <v>689951.8597277808</v>
          </cell>
          <cell r="N322">
            <v>770457.04839376954</v>
          </cell>
          <cell r="O322">
            <v>861136.07795680442</v>
          </cell>
          <cell r="P322">
            <v>925986.23935048294</v>
          </cell>
          <cell r="Q322">
            <v>995111.85185291443</v>
          </cell>
          <cell r="R322">
            <v>1062162.7738131175</v>
          </cell>
          <cell r="S322">
            <v>1126672.4853291889</v>
          </cell>
          <cell r="T322">
            <v>1177420.7324259093</v>
          </cell>
          <cell r="U322">
            <v>1227295.876751763</v>
          </cell>
          <cell r="V322">
            <v>1254264.1843597018</v>
          </cell>
        </row>
        <row r="323">
          <cell r="D323" t="str">
            <v xml:space="preserve">DE ODS </v>
          </cell>
          <cell r="E323">
            <v>887.8449877996859</v>
          </cell>
          <cell r="F323">
            <v>1727.3255205317887</v>
          </cell>
          <cell r="G323">
            <v>4691.349711443293</v>
          </cell>
          <cell r="H323">
            <v>14781.811482612509</v>
          </cell>
          <cell r="I323">
            <v>33396.971187556781</v>
          </cell>
          <cell r="J323">
            <v>77980.803008936942</v>
          </cell>
          <cell r="K323">
            <v>108794.9209766144</v>
          </cell>
          <cell r="L323">
            <v>138915.72102210292</v>
          </cell>
          <cell r="M323">
            <v>156870.84418549345</v>
          </cell>
          <cell r="N323">
            <v>176893.1077532614</v>
          </cell>
          <cell r="O323">
            <v>198492.85615662474</v>
          </cell>
          <cell r="P323">
            <v>214600.22705491618</v>
          </cell>
          <cell r="Q323">
            <v>231956.05947787143</v>
          </cell>
          <cell r="R323">
            <v>249393.23623722055</v>
          </cell>
          <cell r="S323">
            <v>267677.47805374925</v>
          </cell>
          <cell r="T323">
            <v>283808.80265898287</v>
          </cell>
          <cell r="U323">
            <v>299220.70082648384</v>
          </cell>
          <cell r="V323">
            <v>309787.29754288646</v>
          </cell>
        </row>
        <row r="324">
          <cell r="D324" t="str">
            <v xml:space="preserve">DC ODS </v>
          </cell>
          <cell r="E324">
            <v>801.25972212374541</v>
          </cell>
          <cell r="F324">
            <v>1505.8404021701228</v>
          </cell>
          <cell r="G324">
            <v>3970.9845404676571</v>
          </cell>
          <cell r="H324">
            <v>12180.014014075674</v>
          </cell>
          <cell r="I324">
            <v>26635.038699702156</v>
          </cell>
          <cell r="J324">
            <v>59850.767080597951</v>
          </cell>
          <cell r="K324">
            <v>80542.117893032715</v>
          </cell>
          <cell r="L324">
            <v>99931.383630846045</v>
          </cell>
          <cell r="M324">
            <v>109931.8297036353</v>
          </cell>
          <cell r="N324">
            <v>121835.29287699182</v>
          </cell>
          <cell r="O324">
            <v>144306.14696826818</v>
          </cell>
          <cell r="P324">
            <v>156035.42106415608</v>
          </cell>
          <cell r="Q324">
            <v>167122.27257456581</v>
          </cell>
          <cell r="R324">
            <v>176837.94920986149</v>
          </cell>
          <cell r="S324">
            <v>187874.65363080072</v>
          </cell>
          <cell r="T324">
            <v>197002.84642191569</v>
          </cell>
          <cell r="U324">
            <v>205993.04706107645</v>
          </cell>
          <cell r="V324">
            <v>211280.70675772527</v>
          </cell>
        </row>
        <row r="325">
          <cell r="D325" t="str">
            <v xml:space="preserve">FL ODS </v>
          </cell>
          <cell r="E325">
            <v>17275.338965982064</v>
          </cell>
          <cell r="F325">
            <v>33733.219675575347</v>
          </cell>
          <cell r="G325">
            <v>91798.721885940031</v>
          </cell>
          <cell r="H325">
            <v>289805.56342295941</v>
          </cell>
          <cell r="I325">
            <v>658203.32337565487</v>
          </cell>
          <cell r="J325">
            <v>1540084.9504644985</v>
          </cell>
          <cell r="K325">
            <v>2158707.5082612177</v>
          </cell>
          <cell r="L325">
            <v>2775076.9393514977</v>
          </cell>
          <cell r="M325">
            <v>3143090.2976503414</v>
          </cell>
          <cell r="N325">
            <v>3547365.7774097985</v>
          </cell>
          <cell r="O325">
            <v>4050416.4424239607</v>
          </cell>
          <cell r="P325">
            <v>4413762.1827166192</v>
          </cell>
          <cell r="Q325">
            <v>4805691.4015505612</v>
          </cell>
          <cell r="R325">
            <v>5187589.8515102221</v>
          </cell>
          <cell r="S325">
            <v>5612956.6394559434</v>
          </cell>
          <cell r="T325">
            <v>5991657.3359212857</v>
          </cell>
          <cell r="U325">
            <v>6340429.4571015183</v>
          </cell>
          <cell r="V325">
            <v>6540938.9793892456</v>
          </cell>
        </row>
        <row r="326">
          <cell r="D326" t="str">
            <v xml:space="preserve">GA ODS </v>
          </cell>
          <cell r="E326">
            <v>8634.150948884153</v>
          </cell>
          <cell r="F326">
            <v>16807.036341576648</v>
          </cell>
          <cell r="G326">
            <v>45947.531433973731</v>
          </cell>
          <cell r="H326">
            <v>145690.93718544199</v>
          </cell>
          <cell r="I326">
            <v>332166.0144468876</v>
          </cell>
          <cell r="J326">
            <v>780447.28018246405</v>
          </cell>
          <cell r="K326">
            <v>1097125.306987796</v>
          </cell>
          <cell r="L326">
            <v>1414832.9111011866</v>
          </cell>
          <cell r="M326">
            <v>1610001.8718515465</v>
          </cell>
          <cell r="N326">
            <v>1828289.9834225487</v>
          </cell>
          <cell r="O326">
            <v>2077312.3309271038</v>
          </cell>
          <cell r="P326">
            <v>2273928.6375581822</v>
          </cell>
          <cell r="Q326">
            <v>2477108.2379906024</v>
          </cell>
          <cell r="R326">
            <v>2674731.4478309103</v>
          </cell>
          <cell r="S326">
            <v>2888769.136871269</v>
          </cell>
          <cell r="T326">
            <v>3077980.7391497134</v>
          </cell>
          <cell r="U326">
            <v>3279002.7271813168</v>
          </cell>
          <cell r="V326">
            <v>3422688.2919698386</v>
          </cell>
        </row>
        <row r="327">
          <cell r="D327" t="str">
            <v xml:space="preserve">HI ODS </v>
          </cell>
          <cell r="E327">
            <v>1476.5541981243528</v>
          </cell>
          <cell r="F327">
            <v>2871.9047485079423</v>
          </cell>
          <cell r="G327">
            <v>7816.6231620601957</v>
          </cell>
          <cell r="H327">
            <v>24545.826929549006</v>
          </cell>
          <cell r="I327">
            <v>55341.500852587269</v>
          </cell>
          <cell r="J327">
            <v>128163.78097780062</v>
          </cell>
          <cell r="K327">
            <v>177227.5831492873</v>
          </cell>
          <cell r="L327">
            <v>224775.68508980592</v>
          </cell>
          <cell r="M327">
            <v>250986.26683545916</v>
          </cell>
          <cell r="N327">
            <v>278295.51868939336</v>
          </cell>
          <cell r="O327">
            <v>305784.21127533889</v>
          </cell>
          <cell r="P327">
            <v>328979.32976882311</v>
          </cell>
          <cell r="Q327">
            <v>354205.01260130847</v>
          </cell>
          <cell r="R327">
            <v>379278.25983448327</v>
          </cell>
          <cell r="S327">
            <v>405733.59896856768</v>
          </cell>
          <cell r="T327">
            <v>427977.36137237051</v>
          </cell>
          <cell r="U327">
            <v>448730.76747986756</v>
          </cell>
          <cell r="V327">
            <v>459083.8053121125</v>
          </cell>
        </row>
        <row r="328">
          <cell r="D328" t="str">
            <v xml:space="preserve">ID ODS </v>
          </cell>
          <cell r="E328">
            <v>1342.7649742172587</v>
          </cell>
          <cell r="F328">
            <v>2637.11620682486</v>
          </cell>
          <cell r="G328">
            <v>7249.4668666554007</v>
          </cell>
          <cell r="H328">
            <v>23271.439196395619</v>
          </cell>
          <cell r="I328">
            <v>53529.129081855906</v>
          </cell>
          <cell r="J328">
            <v>126482.0581615581</v>
          </cell>
          <cell r="K328">
            <v>177717.17450859011</v>
          </cell>
          <cell r="L328">
            <v>228804.29845386909</v>
          </cell>
          <cell r="M328">
            <v>259514.51905790635</v>
          </cell>
          <cell r="N328">
            <v>293836.67840872961</v>
          </cell>
          <cell r="O328">
            <v>327994.65130044328</v>
          </cell>
          <cell r="P328">
            <v>356740.21467479283</v>
          </cell>
          <cell r="Q328">
            <v>387108.45813884574</v>
          </cell>
          <cell r="R328">
            <v>417464.49536352424</v>
          </cell>
          <cell r="S328">
            <v>450730.13628126943</v>
          </cell>
          <cell r="T328">
            <v>482016.24376350368</v>
          </cell>
          <cell r="U328">
            <v>514150.61431870994</v>
          </cell>
          <cell r="V328">
            <v>537716.92456816311</v>
          </cell>
        </row>
        <row r="329">
          <cell r="D329" t="str">
            <v xml:space="preserve">IL ODS </v>
          </cell>
          <cell r="E329">
            <v>15190.113532803727</v>
          </cell>
          <cell r="F329">
            <v>29282.185125630105</v>
          </cell>
          <cell r="G329">
            <v>79090.263517246596</v>
          </cell>
          <cell r="H329">
            <v>247801.97281694211</v>
          </cell>
          <cell r="I329">
            <v>556524.38300590497</v>
          </cell>
          <cell r="J329">
            <v>1290327.0728895601</v>
          </cell>
          <cell r="K329">
            <v>1788535.1425796461</v>
          </cell>
          <cell r="L329">
            <v>2270112.8579454254</v>
          </cell>
          <cell r="M329">
            <v>2544660.8721647272</v>
          </cell>
          <cell r="N329">
            <v>2847135.8594807736</v>
          </cell>
          <cell r="O329">
            <v>3139393.8912775232</v>
          </cell>
          <cell r="P329">
            <v>3379211.4545188607</v>
          </cell>
          <cell r="Q329">
            <v>3626119.7467459948</v>
          </cell>
          <cell r="R329">
            <v>3862528.0605869996</v>
          </cell>
          <cell r="S329">
            <v>4106093.4499964593</v>
          </cell>
          <cell r="T329">
            <v>4299872.6432368094</v>
          </cell>
          <cell r="U329">
            <v>4489782.3964937022</v>
          </cell>
          <cell r="V329">
            <v>4609616.4279389149</v>
          </cell>
        </row>
        <row r="330">
          <cell r="D330" t="str">
            <v xml:space="preserve">IN ODS </v>
          </cell>
          <cell r="E330">
            <v>7371.600324918687</v>
          </cell>
          <cell r="F330">
            <v>14219.920293611787</v>
          </cell>
          <cell r="G330">
            <v>38396.697359437181</v>
          </cell>
          <cell r="H330">
            <v>120498.04740763379</v>
          </cell>
          <cell r="I330">
            <v>270866.98490220029</v>
          </cell>
          <cell r="J330">
            <v>628807.88636842684</v>
          </cell>
          <cell r="K330">
            <v>873080.84936639911</v>
          </cell>
          <cell r="L330">
            <v>1109847.4507751674</v>
          </cell>
          <cell r="M330">
            <v>1245498.2030015781</v>
          </cell>
          <cell r="N330">
            <v>1395096.500720554</v>
          </cell>
          <cell r="O330">
            <v>1537502.0931348451</v>
          </cell>
          <cell r="P330">
            <v>1654125.4272145901</v>
          </cell>
          <cell r="Q330">
            <v>1773916.382904808</v>
          </cell>
          <cell r="R330">
            <v>1892459.5659298273</v>
          </cell>
          <cell r="S330">
            <v>2013476.7966041451</v>
          </cell>
          <cell r="T330">
            <v>2114917.9520345251</v>
          </cell>
          <cell r="U330">
            <v>2214731.29731056</v>
          </cell>
          <cell r="V330">
            <v>2277119.0152881509</v>
          </cell>
        </row>
        <row r="331">
          <cell r="D331" t="str">
            <v xml:space="preserve">IA ODS </v>
          </cell>
          <cell r="E331">
            <v>3688.7467606054215</v>
          </cell>
          <cell r="F331">
            <v>7085.0742925332042</v>
          </cell>
          <cell r="G331">
            <v>19080.061965656478</v>
          </cell>
          <cell r="H331">
            <v>59605.37379033654</v>
          </cell>
          <cell r="I331">
            <v>133387.90345141734</v>
          </cell>
          <cell r="J331">
            <v>308427.31308913644</v>
          </cell>
          <cell r="K331">
            <v>426218.75550347241</v>
          </cell>
          <cell r="L331">
            <v>539466.02889511979</v>
          </cell>
          <cell r="M331">
            <v>603187.62984170951</v>
          </cell>
          <cell r="N331">
            <v>673594.93880548701</v>
          </cell>
          <cell r="O331">
            <v>739055.51535595011</v>
          </cell>
          <cell r="P331">
            <v>791225.60095884895</v>
          </cell>
          <cell r="Q331">
            <v>845375.59171381406</v>
          </cell>
          <cell r="R331">
            <v>898447.75383220194</v>
          </cell>
          <cell r="S331">
            <v>954005.2394147045</v>
          </cell>
          <cell r="T331">
            <v>999070.65727636369</v>
          </cell>
          <cell r="U331">
            <v>1044101.7267169675</v>
          </cell>
          <cell r="V331">
            <v>1072224.3927424648</v>
          </cell>
        </row>
        <row r="332">
          <cell r="D332" t="str">
            <v xml:space="preserve">KS ODS </v>
          </cell>
          <cell r="E332">
            <v>3291.8603597417405</v>
          </cell>
          <cell r="F332">
            <v>6333.6809010508587</v>
          </cell>
          <cell r="G332">
            <v>17170.773080647676</v>
          </cell>
          <cell r="H332">
            <v>53837.83100491231</v>
          </cell>
          <cell r="I332">
            <v>121116.34946618018</v>
          </cell>
          <cell r="J332">
            <v>280859.8699610107</v>
          </cell>
          <cell r="K332">
            <v>388780.12920852163</v>
          </cell>
          <cell r="L332">
            <v>494474.49147680594</v>
          </cell>
          <cell r="M332">
            <v>556308.06919601676</v>
          </cell>
          <cell r="N332">
            <v>623038.92626351805</v>
          </cell>
          <cell r="O332">
            <v>679648.04656216979</v>
          </cell>
          <cell r="P332">
            <v>729655.03368654114</v>
          </cell>
          <cell r="Q332">
            <v>782800.83786406927</v>
          </cell>
          <cell r="R332">
            <v>833719.17953220336</v>
          </cell>
          <cell r="S332">
            <v>885384.03684563166</v>
          </cell>
          <cell r="T332">
            <v>928138.34139318659</v>
          </cell>
          <cell r="U332">
            <v>969855.50151924021</v>
          </cell>
          <cell r="V332">
            <v>998195.56753588328</v>
          </cell>
        </row>
        <row r="333">
          <cell r="D333" t="str">
            <v xml:space="preserve">KY ODS </v>
          </cell>
          <cell r="E333">
            <v>4900.0500646864575</v>
          </cell>
          <cell r="F333">
            <v>9429.124282415225</v>
          </cell>
          <cell r="G333">
            <v>25533.847349994794</v>
          </cell>
          <cell r="H333">
            <v>80141.372177381068</v>
          </cell>
          <cell r="I333">
            <v>180238.44915817105</v>
          </cell>
          <cell r="J333">
            <v>418557.6839169361</v>
          </cell>
          <cell r="K333">
            <v>580724.03258360073</v>
          </cell>
          <cell r="L333">
            <v>738556.94135390164</v>
          </cell>
          <cell r="M333">
            <v>829467.45448310871</v>
          </cell>
          <cell r="N333">
            <v>929803.99597208307</v>
          </cell>
          <cell r="O333">
            <v>1021948.0436079715</v>
          </cell>
          <cell r="P333">
            <v>1098378.3175107394</v>
          </cell>
          <cell r="Q333">
            <v>1179370.5119790251</v>
          </cell>
          <cell r="R333">
            <v>1259098.5966418514</v>
          </cell>
          <cell r="S333">
            <v>1340707.6148956977</v>
          </cell>
          <cell r="T333">
            <v>1410028.3379477519</v>
          </cell>
          <cell r="U333">
            <v>1477668.8859605973</v>
          </cell>
          <cell r="V333">
            <v>1522535.9235124309</v>
          </cell>
        </row>
        <row r="334">
          <cell r="D334" t="str">
            <v xml:space="preserve">LA ODS </v>
          </cell>
          <cell r="E334">
            <v>5598.8403599955327</v>
          </cell>
          <cell r="F334">
            <v>10764.959575455057</v>
          </cell>
          <cell r="G334">
            <v>29031.100449125963</v>
          </cell>
          <cell r="H334">
            <v>90548.414122466813</v>
          </cell>
          <cell r="I334">
            <v>203022.03284399741</v>
          </cell>
          <cell r="J334">
            <v>469881.17177505913</v>
          </cell>
          <cell r="K334">
            <v>649211.75882113411</v>
          </cell>
          <cell r="L334">
            <v>822390.12508213148</v>
          </cell>
          <cell r="M334">
            <v>919796.80624704657</v>
          </cell>
          <cell r="N334">
            <v>1026335.5774440443</v>
          </cell>
          <cell r="O334">
            <v>1127970.5552468719</v>
          </cell>
          <cell r="P334">
            <v>1204788.155230866</v>
          </cell>
          <cell r="Q334">
            <v>1288588.1804107667</v>
          </cell>
          <cell r="R334">
            <v>1370167.2276428321</v>
          </cell>
          <cell r="S334">
            <v>1454907.5992136891</v>
          </cell>
          <cell r="T334">
            <v>1521609.5473941502</v>
          </cell>
          <cell r="U334">
            <v>1493219.5543226034</v>
          </cell>
          <cell r="V334">
            <v>1571774.6631397314</v>
          </cell>
        </row>
        <row r="335">
          <cell r="D335" t="str">
            <v xml:space="preserve">ME ODS </v>
          </cell>
          <cell r="E335">
            <v>1633.9268231807796</v>
          </cell>
          <cell r="F335">
            <v>3135.9603138307739</v>
          </cell>
          <cell r="G335">
            <v>8399.9982949072928</v>
          </cell>
          <cell r="H335">
            <v>26167.721161176363</v>
          </cell>
          <cell r="I335">
            <v>58348.480381885209</v>
          </cell>
          <cell r="J335">
            <v>134346.52797195033</v>
          </cell>
          <cell r="K335">
            <v>185756.82723943976</v>
          </cell>
          <cell r="L335">
            <v>235339.17198967369</v>
          </cell>
          <cell r="M335">
            <v>263020.81958722626</v>
          </cell>
          <cell r="N335">
            <v>294151.24351943325</v>
          </cell>
          <cell r="O335">
            <v>322367.26610401511</v>
          </cell>
          <cell r="P335">
            <v>346997.69098103425</v>
          </cell>
          <cell r="Q335">
            <v>373331.18463219702</v>
          </cell>
          <cell r="R335">
            <v>399001.55140492629</v>
          </cell>
          <cell r="S335">
            <v>424008.81241980667</v>
          </cell>
          <cell r="T335">
            <v>443741.67773567874</v>
          </cell>
          <cell r="U335">
            <v>462133.95588954247</v>
          </cell>
          <cell r="V335">
            <v>472756.16143028421</v>
          </cell>
        </row>
        <row r="336">
          <cell r="D336" t="str">
            <v xml:space="preserve">MD ODS </v>
          </cell>
          <cell r="E336">
            <v>6366.1793697526764</v>
          </cell>
          <cell r="F336">
            <v>12326.610389487034</v>
          </cell>
          <cell r="G336">
            <v>33325.054655727756</v>
          </cell>
          <cell r="H336">
            <v>104448.56839781016</v>
          </cell>
          <cell r="I336">
            <v>235028.04499775363</v>
          </cell>
          <cell r="J336">
            <v>545409.09140198398</v>
          </cell>
          <cell r="K336">
            <v>756703.24754503253</v>
          </cell>
          <cell r="L336">
            <v>962534.31236743613</v>
          </cell>
          <cell r="M336">
            <v>1081569.0078196863</v>
          </cell>
          <cell r="N336">
            <v>1214041.508752618</v>
          </cell>
          <cell r="O336">
            <v>1340388.1293454815</v>
          </cell>
          <cell r="P336">
            <v>1452008.2391268492</v>
          </cell>
          <cell r="Q336">
            <v>1569701.0069143714</v>
          </cell>
          <cell r="R336">
            <v>1683018.5832848062</v>
          </cell>
          <cell r="S336">
            <v>1795682.3649873175</v>
          </cell>
          <cell r="T336">
            <v>1887125.6790637986</v>
          </cell>
          <cell r="U336">
            <v>1971282.4418788799</v>
          </cell>
          <cell r="V336">
            <v>2019441.3574480596</v>
          </cell>
        </row>
        <row r="337">
          <cell r="D337" t="str">
            <v xml:space="preserve">MA ODS </v>
          </cell>
          <cell r="E337">
            <v>7986.7526161966935</v>
          </cell>
          <cell r="F337">
            <v>15226.599296672357</v>
          </cell>
          <cell r="G337">
            <v>40740.645649898834</v>
          </cell>
          <cell r="H337">
            <v>127026.34709153553</v>
          </cell>
          <cell r="I337">
            <v>284337.01238539635</v>
          </cell>
          <cell r="J337">
            <v>658177.34597841138</v>
          </cell>
          <cell r="K337">
            <v>910561.07297121733</v>
          </cell>
          <cell r="L337">
            <v>1155793.2229877745</v>
          </cell>
          <cell r="M337">
            <v>1295420.4507520236</v>
          </cell>
          <cell r="N337">
            <v>1449621.4329092884</v>
          </cell>
          <cell r="O337">
            <v>1605952.2487215044</v>
          </cell>
          <cell r="P337">
            <v>1730654.3027193593</v>
          </cell>
          <cell r="Q337">
            <v>1856471.2278970263</v>
          </cell>
          <cell r="R337">
            <v>1972892.7146641766</v>
          </cell>
          <cell r="S337">
            <v>2086942.3636556179</v>
          </cell>
          <cell r="T337">
            <v>2177795.8313731807</v>
          </cell>
          <cell r="U337">
            <v>2267265.9125625743</v>
          </cell>
          <cell r="V337">
            <v>2324579.0763383834</v>
          </cell>
        </row>
        <row r="338">
          <cell r="D338" t="str">
            <v xml:space="preserve">MI ODS </v>
          </cell>
          <cell r="E338">
            <v>12354.960625231763</v>
          </cell>
          <cell r="F338">
            <v>23847.730352989525</v>
          </cell>
          <cell r="G338">
            <v>64374.530286289199</v>
          </cell>
          <cell r="H338">
            <v>201378.79016772643</v>
          </cell>
          <cell r="I338">
            <v>451842.75313471939</v>
          </cell>
          <cell r="J338">
            <v>1048755.6786739472</v>
          </cell>
          <cell r="K338">
            <v>1457280.0528912614</v>
          </cell>
          <cell r="L338">
            <v>1849399.2608074527</v>
          </cell>
          <cell r="M338">
            <v>2070391.5070256568</v>
          </cell>
          <cell r="N338">
            <v>2315521.9961421001</v>
          </cell>
          <cell r="O338">
            <v>2512735.6460498655</v>
          </cell>
          <cell r="P338">
            <v>2702252.0511502945</v>
          </cell>
          <cell r="Q338">
            <v>2896601.8453762094</v>
          </cell>
          <cell r="R338">
            <v>3082991.2708302112</v>
          </cell>
          <cell r="S338">
            <v>3271163.3573896303</v>
          </cell>
          <cell r="T338">
            <v>3416210.8889346831</v>
          </cell>
          <cell r="U338">
            <v>3548242.8062843089</v>
          </cell>
          <cell r="V338">
            <v>3611910.7247999893</v>
          </cell>
        </row>
        <row r="339">
          <cell r="D339" t="str">
            <v xml:space="preserve">MN ODS </v>
          </cell>
          <cell r="E339">
            <v>5821.9139626743217</v>
          </cell>
          <cell r="F339">
            <v>11238.306089012463</v>
          </cell>
          <cell r="G339">
            <v>30395.046219514694</v>
          </cell>
          <cell r="H339">
            <v>95556.024185613962</v>
          </cell>
          <cell r="I339">
            <v>215257.00373449712</v>
          </cell>
          <cell r="J339">
            <v>500005.28957069269</v>
          </cell>
          <cell r="K339">
            <v>695441.63240615767</v>
          </cell>
          <cell r="L339">
            <v>885955.88340524735</v>
          </cell>
          <cell r="M339">
            <v>996465.47959132958</v>
          </cell>
          <cell r="N339">
            <v>1121050.8975268158</v>
          </cell>
          <cell r="O339">
            <v>1245315.9868190207</v>
          </cell>
          <cell r="P339">
            <v>1345769.3797398659</v>
          </cell>
          <cell r="Q339">
            <v>1447721.3023651517</v>
          </cell>
          <cell r="R339">
            <v>1545712.3634214427</v>
          </cell>
          <cell r="S339">
            <v>1646239.0860423639</v>
          </cell>
          <cell r="T339">
            <v>1727823.3631030603</v>
          </cell>
          <cell r="U339">
            <v>1809729.1753486346</v>
          </cell>
          <cell r="V339">
            <v>1862548.5372106754</v>
          </cell>
        </row>
        <row r="340">
          <cell r="D340" t="str">
            <v xml:space="preserve">MS ODS </v>
          </cell>
          <cell r="E340">
            <v>3420.2380874814376</v>
          </cell>
          <cell r="F340">
            <v>6577.4145417197578</v>
          </cell>
          <cell r="G340">
            <v>17742.789589284344</v>
          </cell>
          <cell r="H340">
            <v>55696.855522320293</v>
          </cell>
          <cell r="I340">
            <v>125563.45834862298</v>
          </cell>
          <cell r="J340">
            <v>292134.25263212243</v>
          </cell>
          <cell r="K340">
            <v>405487.73360595218</v>
          </cell>
          <cell r="L340">
            <v>516300.93506732758</v>
          </cell>
          <cell r="M340">
            <v>580061.77420698514</v>
          </cell>
          <cell r="N340">
            <v>649933.53897842823</v>
          </cell>
          <cell r="O340">
            <v>718925.40315273229</v>
          </cell>
          <cell r="P340">
            <v>770634.4615109493</v>
          </cell>
          <cell r="Q340">
            <v>824775.91140859213</v>
          </cell>
          <cell r="R340">
            <v>878020.0152369123</v>
          </cell>
          <cell r="S340">
            <v>935155.88626605982</v>
          </cell>
          <cell r="T340">
            <v>980940.47498683759</v>
          </cell>
          <cell r="U340">
            <v>1019274.6346316604</v>
          </cell>
          <cell r="V340">
            <v>1049822.8902755692</v>
          </cell>
        </row>
        <row r="341">
          <cell r="D341" t="str">
            <v xml:space="preserve">MO ODS </v>
          </cell>
          <cell r="E341">
            <v>6802.680629636784</v>
          </cell>
          <cell r="F341">
            <v>13092.157547128552</v>
          </cell>
          <cell r="G341">
            <v>35304.085901238657</v>
          </cell>
          <cell r="H341">
            <v>110688.06828797891</v>
          </cell>
          <cell r="I341">
            <v>248972.75699243383</v>
          </cell>
          <cell r="J341">
            <v>578083.80404087028</v>
          </cell>
          <cell r="K341">
            <v>803200.36140136258</v>
          </cell>
          <cell r="L341">
            <v>1021916.2925877061</v>
          </cell>
          <cell r="M341">
            <v>1146396.8804527558</v>
          </cell>
          <cell r="N341">
            <v>1283692.7972647084</v>
          </cell>
          <cell r="O341">
            <v>1414953.0655452234</v>
          </cell>
          <cell r="P341">
            <v>1523947.4403239209</v>
          </cell>
          <cell r="Q341">
            <v>1637897.3708667434</v>
          </cell>
          <cell r="R341">
            <v>1747224.3353798429</v>
          </cell>
          <cell r="S341">
            <v>1861707.1334307434</v>
          </cell>
          <cell r="T341">
            <v>1958060.3641975455</v>
          </cell>
          <cell r="U341">
            <v>2052466.1920217427</v>
          </cell>
          <cell r="V341">
            <v>2112706.0757243219</v>
          </cell>
        </row>
        <row r="342">
          <cell r="D342" t="str">
            <v xml:space="preserve">MT ODS </v>
          </cell>
          <cell r="E342">
            <v>1061.3645195174386</v>
          </cell>
          <cell r="F342">
            <v>2050.5624090255455</v>
          </cell>
          <cell r="G342">
            <v>5590.5095518425869</v>
          </cell>
          <cell r="H342">
            <v>17748.866937018</v>
          </cell>
          <cell r="I342">
            <v>40303.774616298339</v>
          </cell>
          <cell r="J342">
            <v>94293.948599650452</v>
          </cell>
          <cell r="K342">
            <v>131174.57294650574</v>
          </cell>
          <cell r="L342">
            <v>166070.87327277477</v>
          </cell>
          <cell r="M342">
            <v>185431.24426999703</v>
          </cell>
          <cell r="N342">
            <v>207232.4431804585</v>
          </cell>
          <cell r="O342">
            <v>227993.78256942294</v>
          </cell>
          <cell r="P342">
            <v>244678.36807468868</v>
          </cell>
          <cell r="Q342">
            <v>262570.45925904124</v>
          </cell>
          <cell r="R342">
            <v>280784.62078964373</v>
          </cell>
          <cell r="S342">
            <v>300189.47570124106</v>
          </cell>
          <cell r="T342">
            <v>316426.27525464678</v>
          </cell>
          <cell r="U342">
            <v>332670.43689538504</v>
          </cell>
          <cell r="V342">
            <v>343812.20753877098</v>
          </cell>
        </row>
        <row r="343">
          <cell r="D343" t="str">
            <v xml:space="preserve">NE ODS </v>
          </cell>
          <cell r="E343">
            <v>2097.5373168078381</v>
          </cell>
          <cell r="F343">
            <v>4037.9989194477134</v>
          </cell>
          <cell r="G343">
            <v>10892.356425217127</v>
          </cell>
          <cell r="H343">
            <v>34069.098395056688</v>
          </cell>
          <cell r="I343">
            <v>76445.043627125706</v>
          </cell>
          <cell r="J343">
            <v>177524.57128446904</v>
          </cell>
          <cell r="K343">
            <v>246539.9236842283</v>
          </cell>
          <cell r="L343">
            <v>312983.34268389246</v>
          </cell>
          <cell r="M343">
            <v>350139.24253981543</v>
          </cell>
          <cell r="N343">
            <v>391100.21063828311</v>
          </cell>
          <cell r="O343">
            <v>432419.93963712372</v>
          </cell>
          <cell r="P343">
            <v>463965.77840770496</v>
          </cell>
          <cell r="Q343">
            <v>497586.37150478509</v>
          </cell>
          <cell r="R343">
            <v>530746.62142909912</v>
          </cell>
          <cell r="S343">
            <v>564559.8961303524</v>
          </cell>
          <cell r="T343">
            <v>592674.46088074625</v>
          </cell>
          <cell r="U343">
            <v>619218.43733137136</v>
          </cell>
          <cell r="V343">
            <v>635951.44833315036</v>
          </cell>
        </row>
        <row r="344">
          <cell r="D344" t="str">
            <v xml:space="preserve">NV ODS </v>
          </cell>
          <cell r="E344">
            <v>1617.1177447226098</v>
          </cell>
          <cell r="F344">
            <v>3261.8795889129128</v>
          </cell>
          <cell r="G344">
            <v>9045.3938270936815</v>
          </cell>
          <cell r="H344">
            <v>29167.321009138763</v>
          </cell>
          <cell r="I344">
            <v>68658.73734345843</v>
          </cell>
          <cell r="J344">
            <v>165651.00021937137</v>
          </cell>
          <cell r="K344">
            <v>238881.67938090395</v>
          </cell>
          <cell r="L344">
            <v>316676.11227107723</v>
          </cell>
          <cell r="M344">
            <v>367638.06665944454</v>
          </cell>
          <cell r="N344">
            <v>424722.29122076317</v>
          </cell>
          <cell r="O344">
            <v>509416.29999462236</v>
          </cell>
          <cell r="P344">
            <v>565598.75700991566</v>
          </cell>
          <cell r="Q344">
            <v>624644.57166930416</v>
          </cell>
          <cell r="R344">
            <v>684180.39022303675</v>
          </cell>
          <cell r="S344">
            <v>753375.99622149498</v>
          </cell>
          <cell r="T344">
            <v>812880.05506232067</v>
          </cell>
          <cell r="U344">
            <v>874121.10563022026</v>
          </cell>
          <cell r="V344">
            <v>918035.35083106253</v>
          </cell>
        </row>
        <row r="345">
          <cell r="D345" t="str">
            <v xml:space="preserve">NH ODS </v>
          </cell>
          <cell r="E345">
            <v>1475.3970562268614</v>
          </cell>
          <cell r="F345">
            <v>2810.0784783610743</v>
          </cell>
          <cell r="G345">
            <v>7564.0280240233496</v>
          </cell>
          <cell r="H345">
            <v>23714.951655862493</v>
          </cell>
          <cell r="I345">
            <v>53415.749774067728</v>
          </cell>
          <cell r="J345">
            <v>124376.26760353099</v>
          </cell>
          <cell r="K345">
            <v>173686.42510855978</v>
          </cell>
          <cell r="L345">
            <v>221736.08156502515</v>
          </cell>
          <cell r="M345">
            <v>250006.12185555368</v>
          </cell>
          <cell r="N345">
            <v>281966.30573123833</v>
          </cell>
          <cell r="O345">
            <v>313074.19285162236</v>
          </cell>
          <cell r="P345">
            <v>339424.40424379171</v>
          </cell>
          <cell r="Q345">
            <v>366703.57181818603</v>
          </cell>
          <cell r="R345">
            <v>392425.99784995639</v>
          </cell>
          <cell r="S345">
            <v>418873.64990885038</v>
          </cell>
          <cell r="T345">
            <v>440183.06337970524</v>
          </cell>
          <cell r="U345">
            <v>460539.62004421849</v>
          </cell>
          <cell r="V345">
            <v>471626.92156583717</v>
          </cell>
        </row>
        <row r="346">
          <cell r="D346" t="str">
            <v xml:space="preserve">NJ ODS </v>
          </cell>
          <cell r="E346">
            <v>10293.729962455307</v>
          </cell>
          <cell r="F346">
            <v>19759.096690474533</v>
          </cell>
          <cell r="G346">
            <v>53209.274587477747</v>
          </cell>
          <cell r="H346">
            <v>166417.8908583179</v>
          </cell>
          <cell r="I346">
            <v>373317.09313756309</v>
          </cell>
          <cell r="J346">
            <v>864803.21319590462</v>
          </cell>
          <cell r="K346">
            <v>1198484.9332715264</v>
          </cell>
          <cell r="L346">
            <v>1522197.838588072</v>
          </cell>
          <cell r="M346">
            <v>1706776.6941092834</v>
          </cell>
          <cell r="N346">
            <v>1911666.6397649513</v>
          </cell>
          <cell r="O346">
            <v>2128010.5408645147</v>
          </cell>
          <cell r="P346">
            <v>2293470.9478313653</v>
          </cell>
          <cell r="Q346">
            <v>2466643.0393888741</v>
          </cell>
          <cell r="R346">
            <v>2630822.3459282792</v>
          </cell>
          <cell r="S346">
            <v>2794763.5681550764</v>
          </cell>
          <cell r="T346">
            <v>2922523.7168639055</v>
          </cell>
          <cell r="U346">
            <v>3040258.0597690884</v>
          </cell>
          <cell r="V346">
            <v>3109947.431980731</v>
          </cell>
        </row>
        <row r="347">
          <cell r="D347" t="str">
            <v xml:space="preserve">NM ODS </v>
          </cell>
          <cell r="E347">
            <v>2016.947426238396</v>
          </cell>
          <cell r="F347">
            <v>3927.0989833834756</v>
          </cell>
          <cell r="G347">
            <v>10745.149743050122</v>
          </cell>
          <cell r="H347">
            <v>34128.016427028553</v>
          </cell>
          <cell r="I347">
            <v>77943.159071156027</v>
          </cell>
          <cell r="J347">
            <v>182657.13720686187</v>
          </cell>
          <cell r="K347">
            <v>255292.4166460433</v>
          </cell>
          <cell r="L347">
            <v>325626.52846995607</v>
          </cell>
          <cell r="M347">
            <v>365479.8080749549</v>
          </cell>
          <cell r="N347">
            <v>408428.52273656445</v>
          </cell>
          <cell r="O347">
            <v>459556.07699832571</v>
          </cell>
          <cell r="P347">
            <v>493846.47051511123</v>
          </cell>
          <cell r="Q347">
            <v>533587.18568870297</v>
          </cell>
          <cell r="R347">
            <v>572105.62510178587</v>
          </cell>
          <cell r="S347">
            <v>612480.29901668511</v>
          </cell>
          <cell r="T347">
            <v>647443.0724474052</v>
          </cell>
          <cell r="U347">
            <v>681900.00971682346</v>
          </cell>
          <cell r="V347">
            <v>706009.24513035081</v>
          </cell>
        </row>
        <row r="348">
          <cell r="D348" t="str">
            <v xml:space="preserve">NY ODS </v>
          </cell>
          <cell r="E348">
            <v>23889.745177710491</v>
          </cell>
          <cell r="F348">
            <v>45765.025087391587</v>
          </cell>
          <cell r="G348">
            <v>122912.63102870414</v>
          </cell>
          <cell r="H348">
            <v>383366.48948719591</v>
          </cell>
          <cell r="I348">
            <v>855962.01060746121</v>
          </cell>
          <cell r="J348">
            <v>1970615.2197272563</v>
          </cell>
          <cell r="K348">
            <v>2714868.6286293324</v>
          </cell>
          <cell r="L348">
            <v>3428967.607855909</v>
          </cell>
          <cell r="M348">
            <v>3828484.4515971811</v>
          </cell>
          <cell r="N348">
            <v>4271653.5880554188</v>
          </cell>
          <cell r="O348">
            <v>4795311.8685800787</v>
          </cell>
          <cell r="P348">
            <v>5155879.9972739918</v>
          </cell>
          <cell r="Q348">
            <v>5529717.2668904141</v>
          </cell>
          <cell r="R348">
            <v>5890058.2990609054</v>
          </cell>
          <cell r="S348">
            <v>6257219.1854375331</v>
          </cell>
          <cell r="T348">
            <v>6544674.2653701259</v>
          </cell>
          <cell r="U348">
            <v>6814731.1758538513</v>
          </cell>
          <cell r="V348">
            <v>6982927.4876318825</v>
          </cell>
        </row>
        <row r="349">
          <cell r="D349" t="str">
            <v xml:space="preserve">NC ODS </v>
          </cell>
          <cell r="E349">
            <v>8833.8056981146292</v>
          </cell>
          <cell r="F349">
            <v>17129.039598371452</v>
          </cell>
          <cell r="G349">
            <v>46439.507368057552</v>
          </cell>
          <cell r="H349">
            <v>146817.73398054246</v>
          </cell>
          <cell r="I349">
            <v>332875.94334334589</v>
          </cell>
          <cell r="J349">
            <v>780106.91859247559</v>
          </cell>
          <cell r="K349">
            <v>1093449.3317665269</v>
          </cell>
          <cell r="L349">
            <v>1403980.4511372519</v>
          </cell>
          <cell r="M349">
            <v>1590880.9278189484</v>
          </cell>
          <cell r="N349">
            <v>1796023.3498170855</v>
          </cell>
          <cell r="O349">
            <v>2039141.268542235</v>
          </cell>
          <cell r="P349">
            <v>2214861.7008860423</v>
          </cell>
          <cell r="Q349">
            <v>2398494.8689112016</v>
          </cell>
          <cell r="R349">
            <v>2575721.7247700421</v>
          </cell>
          <cell r="S349">
            <v>2763132.0693320641</v>
          </cell>
          <cell r="T349">
            <v>2931460.5300135273</v>
          </cell>
          <cell r="U349">
            <v>3112435.9764038464</v>
          </cell>
          <cell r="V349">
            <v>3249563.4573346539</v>
          </cell>
        </row>
        <row r="350">
          <cell r="D350" t="str">
            <v xml:space="preserve">ND ODS </v>
          </cell>
          <cell r="E350">
            <v>845.78049123021151</v>
          </cell>
          <cell r="F350">
            <v>1609.8106786908645</v>
          </cell>
          <cell r="G350">
            <v>4319.3156829208347</v>
          </cell>
          <cell r="H350">
            <v>13466.384001220469</v>
          </cell>
          <cell r="I350">
            <v>30160.404452883195</v>
          </cell>
          <cell r="J350">
            <v>69651.76948449036</v>
          </cell>
          <cell r="K350">
            <v>96191.235348009708</v>
          </cell>
          <cell r="L350">
            <v>121135.27831813895</v>
          </cell>
          <cell r="M350">
            <v>134468.55438665548</v>
          </cell>
          <cell r="N350">
            <v>148753.14585008073</v>
          </cell>
          <cell r="O350">
            <v>161838.24724832672</v>
          </cell>
          <cell r="P350">
            <v>171845.64977487075</v>
          </cell>
          <cell r="Q350">
            <v>182823.82206500907</v>
          </cell>
          <cell r="R350">
            <v>193780.81900136668</v>
          </cell>
          <cell r="S350">
            <v>206248.09651643495</v>
          </cell>
          <cell r="T350">
            <v>215000.01221516079</v>
          </cell>
          <cell r="U350">
            <v>223950.52565967845</v>
          </cell>
          <cell r="V350">
            <v>229263.72580848078</v>
          </cell>
        </row>
        <row r="351">
          <cell r="D351" t="str">
            <v xml:space="preserve">OH ODS </v>
          </cell>
          <cell r="E351">
            <v>14413.631509659295</v>
          </cell>
          <cell r="F351">
            <v>27753.370236819621</v>
          </cell>
          <cell r="G351">
            <v>74824.233444849728</v>
          </cell>
          <cell r="H351">
            <v>233947.38069257844</v>
          </cell>
          <cell r="I351">
            <v>523828.94923173526</v>
          </cell>
          <cell r="J351">
            <v>1211132.8021003043</v>
          </cell>
          <cell r="K351">
            <v>1673922.4338154239</v>
          </cell>
          <cell r="L351">
            <v>2119103.9260335546</v>
          </cell>
          <cell r="M351">
            <v>2369246.3343133773</v>
          </cell>
          <cell r="N351">
            <v>2642500.4564642804</v>
          </cell>
          <cell r="O351">
            <v>2868267.5073770019</v>
          </cell>
          <cell r="P351">
            <v>3076880.1648968435</v>
          </cell>
          <cell r="Q351">
            <v>3292907.7540068841</v>
          </cell>
          <cell r="R351">
            <v>3500889.154254674</v>
          </cell>
          <cell r="S351">
            <v>3710380.2259048582</v>
          </cell>
          <cell r="T351">
            <v>3875739.8986106343</v>
          </cell>
          <cell r="U351">
            <v>4031896.2495480464</v>
          </cell>
          <cell r="V351">
            <v>4125082.6756881559</v>
          </cell>
        </row>
        <row r="352">
          <cell r="D352" t="str">
            <v xml:space="preserve">OK ODS </v>
          </cell>
          <cell r="E352">
            <v>4176.2007469092305</v>
          </cell>
          <cell r="F352">
            <v>8037.5699576393845</v>
          </cell>
          <cell r="G352">
            <v>21780.376044781198</v>
          </cell>
          <cell r="H352">
            <v>68233.949158429212</v>
          </cell>
          <cell r="I352">
            <v>153032.31817799236</v>
          </cell>
          <cell r="J352">
            <v>354534.8545779413</v>
          </cell>
          <cell r="K352">
            <v>492229.94549778424</v>
          </cell>
          <cell r="L352">
            <v>626377.74907893327</v>
          </cell>
          <cell r="M352">
            <v>704059.49606470834</v>
          </cell>
          <cell r="N352">
            <v>788301.10642355517</v>
          </cell>
          <cell r="O352">
            <v>871774.22121196764</v>
          </cell>
          <cell r="P352">
            <v>935488.36696762603</v>
          </cell>
          <cell r="Q352">
            <v>1005121.3768226074</v>
          </cell>
          <cell r="R352">
            <v>1070807.5639332454</v>
          </cell>
          <cell r="S352">
            <v>1138540.7406551735</v>
          </cell>
          <cell r="T352">
            <v>1194808.6623583257</v>
          </cell>
          <cell r="U352">
            <v>1255528.7460709901</v>
          </cell>
          <cell r="V352">
            <v>1296765.2219695647</v>
          </cell>
        </row>
        <row r="353">
          <cell r="D353" t="str">
            <v xml:space="preserve">OR ODS </v>
          </cell>
          <cell r="E353">
            <v>3793.2849766611344</v>
          </cell>
          <cell r="F353">
            <v>7408.7579283088862</v>
          </cell>
          <cell r="G353">
            <v>20215.319409108346</v>
          </cell>
          <cell r="H353">
            <v>64127.036886054302</v>
          </cell>
          <cell r="I353">
            <v>145537.63950263179</v>
          </cell>
          <cell r="J353">
            <v>341058.70698020601</v>
          </cell>
          <cell r="K353">
            <v>478082.82011636521</v>
          </cell>
          <cell r="L353">
            <v>612958.17261452612</v>
          </cell>
          <cell r="M353">
            <v>691953.05055360636</v>
          </cell>
          <cell r="N353">
            <v>778467.42546282848</v>
          </cell>
          <cell r="O353">
            <v>865960.56060513505</v>
          </cell>
          <cell r="P353">
            <v>937467.9881423621</v>
          </cell>
          <cell r="Q353">
            <v>1015232.1946642727</v>
          </cell>
          <cell r="R353">
            <v>1087873.5588134411</v>
          </cell>
          <cell r="S353">
            <v>1159386.7772574155</v>
          </cell>
          <cell r="T353">
            <v>1225897.2914076769</v>
          </cell>
          <cell r="U353">
            <v>1295232.6700266246</v>
          </cell>
          <cell r="V353">
            <v>1342562.3317617457</v>
          </cell>
        </row>
        <row r="354">
          <cell r="D354" t="str">
            <v xml:space="preserve">PA ODS </v>
          </cell>
          <cell r="E354">
            <v>15785.437826108893</v>
          </cell>
          <cell r="F354">
            <v>30315.762884068856</v>
          </cell>
          <cell r="G354">
            <v>81439.62941602405</v>
          </cell>
          <cell r="H354">
            <v>254060.30196338304</v>
          </cell>
          <cell r="I354">
            <v>567723.66574139486</v>
          </cell>
          <cell r="J354">
            <v>1307681.1712473577</v>
          </cell>
          <cell r="K354">
            <v>1801254.4926705798</v>
          </cell>
          <cell r="L354">
            <v>2270940.4662172045</v>
          </cell>
          <cell r="M354">
            <v>2530441.4963484816</v>
          </cell>
          <cell r="N354">
            <v>2815596.2468811674</v>
          </cell>
          <cell r="O354">
            <v>3100814.4364617141</v>
          </cell>
          <cell r="P354">
            <v>3318147.0695472015</v>
          </cell>
          <cell r="Q354">
            <v>3549225.7592369975</v>
          </cell>
          <cell r="R354">
            <v>3772665.1227217908</v>
          </cell>
          <cell r="S354">
            <v>3999089.5011744085</v>
          </cell>
          <cell r="T354">
            <v>4180671.5854932806</v>
          </cell>
          <cell r="U354">
            <v>4359020.1148411706</v>
          </cell>
          <cell r="V354">
            <v>4463742.8611209914</v>
          </cell>
        </row>
        <row r="355">
          <cell r="D355" t="str">
            <v xml:space="preserve">PR ODS </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row>
        <row r="356">
          <cell r="D356" t="str">
            <v xml:space="preserve">RI ODS </v>
          </cell>
          <cell r="E356">
            <v>1333.1668006569885</v>
          </cell>
          <cell r="F356">
            <v>2548.4647930678557</v>
          </cell>
          <cell r="G356">
            <v>6801.382396680945</v>
          </cell>
          <cell r="H356">
            <v>21087.329999711008</v>
          </cell>
          <cell r="I356">
            <v>46832.58416152819</v>
          </cell>
          <cell r="J356">
            <v>107396.07843741438</v>
          </cell>
          <cell r="K356">
            <v>147813.79615469385</v>
          </cell>
          <cell r="L356">
            <v>186531.45137342569</v>
          </cell>
          <cell r="M356">
            <v>208236.8503404115</v>
          </cell>
          <cell r="N356">
            <v>232594.84210614287</v>
          </cell>
          <cell r="O356">
            <v>265208.98454887001</v>
          </cell>
          <cell r="P356">
            <v>285791.76944291854</v>
          </cell>
          <cell r="Q356">
            <v>307612.02299609571</v>
          </cell>
          <cell r="R356">
            <v>328119.78548355051</v>
          </cell>
          <cell r="S356">
            <v>347237.80869145814</v>
          </cell>
          <cell r="T356">
            <v>360274.67248031957</v>
          </cell>
          <cell r="U356">
            <v>372630.17240686825</v>
          </cell>
          <cell r="V356">
            <v>378498.77590207971</v>
          </cell>
        </row>
        <row r="357">
          <cell r="D357" t="str">
            <v xml:space="preserve">SC ODS </v>
          </cell>
          <cell r="E357">
            <v>4643.2494912890415</v>
          </cell>
          <cell r="F357">
            <v>9035.133793146586</v>
          </cell>
          <cell r="G357">
            <v>24474.919045536888</v>
          </cell>
          <cell r="H357">
            <v>76807.029995690405</v>
          </cell>
          <cell r="I357">
            <v>172848.33401905757</v>
          </cell>
          <cell r="J357">
            <v>401696.48559695261</v>
          </cell>
          <cell r="K357">
            <v>559464.96425974206</v>
          </cell>
          <cell r="L357">
            <v>716302.80250897608</v>
          </cell>
          <cell r="M357">
            <v>809495.18211563025</v>
          </cell>
          <cell r="N357">
            <v>912176.84701863339</v>
          </cell>
          <cell r="O357">
            <v>1015528.1044973569</v>
          </cell>
          <cell r="P357">
            <v>1097136.3611508764</v>
          </cell>
          <cell r="Q357">
            <v>1183831.1499336609</v>
          </cell>
          <cell r="R357">
            <v>1269052.1268216181</v>
          </cell>
          <cell r="S357">
            <v>1360558.3895718893</v>
          </cell>
          <cell r="T357">
            <v>1438265.4047040581</v>
          </cell>
          <cell r="U357">
            <v>1521779.3135116838</v>
          </cell>
          <cell r="V357">
            <v>1583133.1916807834</v>
          </cell>
        </row>
        <row r="358">
          <cell r="D358" t="str">
            <v xml:space="preserve">SD ODS </v>
          </cell>
          <cell r="E358">
            <v>924.47542924275251</v>
          </cell>
          <cell r="F358">
            <v>1780.5036771018458</v>
          </cell>
          <cell r="G358">
            <v>4817.3753804207718</v>
          </cell>
          <cell r="H358">
            <v>15136.481974213619</v>
          </cell>
          <cell r="I358">
            <v>34086.298521643606</v>
          </cell>
          <cell r="J358">
            <v>79064.965955547508</v>
          </cell>
          <cell r="K358">
            <v>109334.93785183562</v>
          </cell>
          <cell r="L358">
            <v>138127.80166036627</v>
          </cell>
          <cell r="M358">
            <v>154071.66481397158</v>
          </cell>
          <cell r="N358">
            <v>172103.0323175099</v>
          </cell>
          <cell r="O358">
            <v>190732.1379402274</v>
          </cell>
          <cell r="P358">
            <v>204932.25315570357</v>
          </cell>
          <cell r="Q358">
            <v>219816.78694363087</v>
          </cell>
          <cell r="R358">
            <v>234746.25118408483</v>
          </cell>
          <cell r="S358">
            <v>250773.26221986083</v>
          </cell>
          <cell r="T358">
            <v>263770.35826759471</v>
          </cell>
          <cell r="U358">
            <v>277057.63802498789</v>
          </cell>
          <cell r="V358">
            <v>285971.90913495491</v>
          </cell>
        </row>
        <row r="359">
          <cell r="D359" t="str">
            <v xml:space="preserve">TN ODS </v>
          </cell>
          <cell r="E359">
            <v>6489.8489100470752</v>
          </cell>
          <cell r="F359">
            <v>12556.862923256478</v>
          </cell>
          <cell r="G359">
            <v>34082.663334811681</v>
          </cell>
          <cell r="H359">
            <v>107473.97130066411</v>
          </cell>
          <cell r="I359">
            <v>243400.90651946689</v>
          </cell>
          <cell r="J359">
            <v>569024.64876437525</v>
          </cell>
          <cell r="K359">
            <v>795073.62365489115</v>
          </cell>
          <cell r="L359">
            <v>1016495.9214448401</v>
          </cell>
          <cell r="M359">
            <v>1145367.4014385852</v>
          </cell>
          <cell r="N359">
            <v>1287260.294270203</v>
          </cell>
          <cell r="O359">
            <v>1439493.4626346126</v>
          </cell>
          <cell r="P359">
            <v>1554065.2872125281</v>
          </cell>
          <cell r="Q359">
            <v>1673523.6034329399</v>
          </cell>
          <cell r="R359">
            <v>1791611.8486967394</v>
          </cell>
          <cell r="S359">
            <v>1914966.9382460818</v>
          </cell>
          <cell r="T359">
            <v>2025103.7245024329</v>
          </cell>
          <cell r="U359">
            <v>2135272.0759644164</v>
          </cell>
          <cell r="V359">
            <v>2210002.2018807568</v>
          </cell>
        </row>
        <row r="360">
          <cell r="D360" t="str">
            <v xml:space="preserve">TX ODS </v>
          </cell>
          <cell r="E360">
            <v>22618.294380916497</v>
          </cell>
          <cell r="F360">
            <v>44014.516936599444</v>
          </cell>
          <cell r="G360">
            <v>119979.14906946803</v>
          </cell>
          <cell r="H360">
            <v>380320.63010839192</v>
          </cell>
          <cell r="I360">
            <v>864526.36765858636</v>
          </cell>
          <cell r="J360">
            <v>2028023.7431182882</v>
          </cell>
          <cell r="K360">
            <v>2843915.3046563258</v>
          </cell>
          <cell r="L360">
            <v>3658075.242979384</v>
          </cell>
          <cell r="M360">
            <v>4155947.3263700199</v>
          </cell>
          <cell r="N360">
            <v>4705363.7556892484</v>
          </cell>
          <cell r="O360">
            <v>5286902.2680538427</v>
          </cell>
          <cell r="P360">
            <v>5762463.5842673406</v>
          </cell>
          <cell r="Q360">
            <v>6266132.0296484279</v>
          </cell>
          <cell r="R360">
            <v>6757214.8223307384</v>
          </cell>
          <cell r="S360">
            <v>7269913.107913061</v>
          </cell>
          <cell r="T360">
            <v>7720754.0019734781</v>
          </cell>
          <cell r="U360">
            <v>8222400.5899420837</v>
          </cell>
          <cell r="V360">
            <v>8569367.8929449525</v>
          </cell>
        </row>
        <row r="361">
          <cell r="D361" t="str">
            <v xml:space="preserve">UT ODS </v>
          </cell>
          <cell r="E361">
            <v>2295.3369234090783</v>
          </cell>
          <cell r="F361">
            <v>4497.7830993271346</v>
          </cell>
          <cell r="G361">
            <v>12381.634519478925</v>
          </cell>
          <cell r="H361">
            <v>39644.840585725993</v>
          </cell>
          <cell r="I361">
            <v>91006.859629684201</v>
          </cell>
          <cell r="J361">
            <v>214614.97342511232</v>
          </cell>
          <cell r="K361">
            <v>302590.95205507078</v>
          </cell>
          <cell r="L361">
            <v>390349.31301819853</v>
          </cell>
          <cell r="M361">
            <v>442859.81916116108</v>
          </cell>
          <cell r="N361">
            <v>499979.17695560836</v>
          </cell>
          <cell r="O361">
            <v>566451.40756565181</v>
          </cell>
          <cell r="P361">
            <v>618835.14344630006</v>
          </cell>
          <cell r="Q361">
            <v>673687.63672478916</v>
          </cell>
          <cell r="R361">
            <v>729091.03202621092</v>
          </cell>
          <cell r="S361">
            <v>790974.52794707427</v>
          </cell>
          <cell r="T361">
            <v>846588.05984886782</v>
          </cell>
          <cell r="U361">
            <v>909645.83584608138</v>
          </cell>
          <cell r="V361">
            <v>959215.94691897149</v>
          </cell>
        </row>
        <row r="362">
          <cell r="D362" t="str">
            <v xml:space="preserve">VT ODS </v>
          </cell>
          <cell r="E362">
            <v>749.12464085236434</v>
          </cell>
          <cell r="F362">
            <v>1439.5948876037578</v>
          </cell>
          <cell r="G362">
            <v>3875.3572960677025</v>
          </cell>
          <cell r="H362">
            <v>12130.267583924389</v>
          </cell>
          <cell r="I362">
            <v>27291.177246810657</v>
          </cell>
          <cell r="J362">
            <v>63276.5309116965</v>
          </cell>
          <cell r="K362">
            <v>87736.208040930011</v>
          </cell>
          <cell r="L362">
            <v>111254.62966580171</v>
          </cell>
          <cell r="M362">
            <v>124511.301804174</v>
          </cell>
          <cell r="N362">
            <v>139380.51405160909</v>
          </cell>
          <cell r="O362">
            <v>153936.18183704265</v>
          </cell>
          <cell r="P362">
            <v>165342.26063254286</v>
          </cell>
          <cell r="Q362">
            <v>177477.23221021588</v>
          </cell>
          <cell r="R362">
            <v>188884.2996160528</v>
          </cell>
          <cell r="S362">
            <v>200489.19330654689</v>
          </cell>
          <cell r="T362">
            <v>209604.89020315607</v>
          </cell>
          <cell r="U362">
            <v>218230.12887366378</v>
          </cell>
          <cell r="V362">
            <v>223097.83175550372</v>
          </cell>
        </row>
        <row r="363">
          <cell r="D363" t="str">
            <v xml:space="preserve">VA ODS </v>
          </cell>
          <cell r="E363">
            <v>8245.3340203583684</v>
          </cell>
          <cell r="F363">
            <v>15950.535498674115</v>
          </cell>
          <cell r="G363">
            <v>43390.590246438704</v>
          </cell>
          <cell r="H363">
            <v>136618.72256154392</v>
          </cell>
          <cell r="I363">
            <v>308164.06284818059</v>
          </cell>
          <cell r="J363">
            <v>716701.84282510239</v>
          </cell>
          <cell r="K363">
            <v>997361.49117074162</v>
          </cell>
          <cell r="L363">
            <v>1272478.9965005964</v>
          </cell>
          <cell r="M363">
            <v>1431366.9178745658</v>
          </cell>
          <cell r="N363">
            <v>1613416.6598030666</v>
          </cell>
          <cell r="O363">
            <v>1793179.4810399513</v>
          </cell>
          <cell r="P363">
            <v>1941603.7507051348</v>
          </cell>
          <cell r="Q363">
            <v>2099961.3999304315</v>
          </cell>
          <cell r="R363">
            <v>2255241.2078489801</v>
          </cell>
          <cell r="S363">
            <v>2416731.9664441608</v>
          </cell>
          <cell r="T363">
            <v>2554297.5010066708</v>
          </cell>
          <cell r="U363">
            <v>2684208.1356587699</v>
          </cell>
          <cell r="V363">
            <v>2766952.1443057056</v>
          </cell>
        </row>
        <row r="364">
          <cell r="D364" t="str">
            <v xml:space="preserve">WA ODS </v>
          </cell>
          <cell r="E364">
            <v>6503.323243564424</v>
          </cell>
          <cell r="F364">
            <v>12725.807007592195</v>
          </cell>
          <cell r="G364">
            <v>34932.432532773521</v>
          </cell>
          <cell r="H364">
            <v>110898.27548454427</v>
          </cell>
          <cell r="I364">
            <v>251503.87343116463</v>
          </cell>
          <cell r="J364">
            <v>589636.99008138874</v>
          </cell>
          <cell r="K364">
            <v>824459.13046399923</v>
          </cell>
          <cell r="L364">
            <v>1059146.7581447302</v>
          </cell>
          <cell r="M364">
            <v>1199161.1059035941</v>
          </cell>
          <cell r="N364">
            <v>1351306.2203096214</v>
          </cell>
          <cell r="O364">
            <v>1491996.3733638809</v>
          </cell>
          <cell r="P364">
            <v>1617185.193693225</v>
          </cell>
          <cell r="Q364">
            <v>1747551.0892402236</v>
          </cell>
          <cell r="R364">
            <v>1871440.704396297</v>
          </cell>
          <cell r="S364">
            <v>2003376.3469077211</v>
          </cell>
          <cell r="T364">
            <v>2116952.1228809585</v>
          </cell>
          <cell r="U364">
            <v>2238097.4133575126</v>
          </cell>
          <cell r="V364">
            <v>2317964.6490738117</v>
          </cell>
        </row>
        <row r="365">
          <cell r="D365" t="str">
            <v xml:space="preserve">WV ODS </v>
          </cell>
          <cell r="E365">
            <v>2378.6179650887416</v>
          </cell>
          <cell r="F365">
            <v>4564.4677461649371</v>
          </cell>
          <cell r="G365">
            <v>12272.629793064532</v>
          </cell>
          <cell r="H365">
            <v>38380.80788688617</v>
          </cell>
          <cell r="I365">
            <v>85729.37106849665</v>
          </cell>
          <cell r="J365">
            <v>197655.08652927572</v>
          </cell>
          <cell r="K365">
            <v>272175.53775021661</v>
          </cell>
          <cell r="L365">
            <v>343136.70859601564</v>
          </cell>
          <cell r="M365">
            <v>381956.74303183891</v>
          </cell>
          <cell r="N365">
            <v>424176.49727868417</v>
          </cell>
          <cell r="O365">
            <v>456091.3038836646</v>
          </cell>
          <cell r="P365">
            <v>485799.95464727277</v>
          </cell>
          <cell r="Q365">
            <v>519275.16662147077</v>
          </cell>
          <cell r="R365">
            <v>552006.83263896813</v>
          </cell>
          <cell r="S365">
            <v>584614.91022459324</v>
          </cell>
          <cell r="T365">
            <v>610596.48758448928</v>
          </cell>
          <cell r="U365">
            <v>635749.77530293772</v>
          </cell>
          <cell r="V365">
            <v>650457.97559243662</v>
          </cell>
        </row>
        <row r="366">
          <cell r="D366" t="str">
            <v xml:space="preserve">WI ODS </v>
          </cell>
          <cell r="E366">
            <v>6505.2938349838905</v>
          </cell>
          <cell r="F366">
            <v>12571.557355160254</v>
          </cell>
          <cell r="G366">
            <v>34019.018332727748</v>
          </cell>
          <cell r="H366">
            <v>106832.635420362</v>
          </cell>
          <cell r="I366">
            <v>240218.17727730644</v>
          </cell>
          <cell r="J366">
            <v>557715.74137695855</v>
          </cell>
          <cell r="K366">
            <v>774163.04502413038</v>
          </cell>
          <cell r="L366">
            <v>982817.42434175685</v>
          </cell>
          <cell r="M366">
            <v>1100976.2579143865</v>
          </cell>
          <cell r="N366">
            <v>1232542.632263642</v>
          </cell>
          <cell r="O366">
            <v>1356461.8294611552</v>
          </cell>
          <cell r="P366">
            <v>1460760.2769633618</v>
          </cell>
          <cell r="Q366">
            <v>1571233.6748432755</v>
          </cell>
          <cell r="R366">
            <v>1676694.1804082601</v>
          </cell>
          <cell r="S366">
            <v>1785891.8405030449</v>
          </cell>
          <cell r="T366">
            <v>1874688.467429349</v>
          </cell>
          <cell r="U366">
            <v>1959405.6778560991</v>
          </cell>
          <cell r="V366">
            <v>2012251.168801297</v>
          </cell>
        </row>
        <row r="367">
          <cell r="D367" t="str">
            <v xml:space="preserve">WY ODS </v>
          </cell>
          <cell r="E367">
            <v>601.66203378959142</v>
          </cell>
          <cell r="F367">
            <v>1161.8957618244078</v>
          </cell>
          <cell r="G367">
            <v>3150.5805469277516</v>
          </cell>
          <cell r="H367">
            <v>9911.9445085588377</v>
          </cell>
          <cell r="I367">
            <v>22392.154000768045</v>
          </cell>
          <cell r="J367">
            <v>51944.172773581959</v>
          </cell>
          <cell r="K367">
            <v>71835.41189819407</v>
          </cell>
          <cell r="L367">
            <v>90723.367506314215</v>
          </cell>
          <cell r="M367">
            <v>101207.50631936576</v>
          </cell>
          <cell r="N367">
            <v>112586.60912214071</v>
          </cell>
          <cell r="O367">
            <v>124679.07933542409</v>
          </cell>
          <cell r="P367">
            <v>133142.69176362621</v>
          </cell>
          <cell r="Q367">
            <v>143417.14327989993</v>
          </cell>
          <cell r="R367">
            <v>152851.52801383624</v>
          </cell>
          <cell r="S367">
            <v>163007.69400940553</v>
          </cell>
          <cell r="T367">
            <v>171265.33901684271</v>
          </cell>
          <cell r="U367">
            <v>180360.51804132963</v>
          </cell>
          <cell r="V367">
            <v>188057.61220613008</v>
          </cell>
        </row>
        <row r="368">
          <cell r="D368" t="str">
            <v xml:space="preserve">AL Semi </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row>
        <row r="369">
          <cell r="D369" t="str">
            <v xml:space="preserve">AK Semi </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row>
        <row r="370">
          <cell r="D370" t="str">
            <v xml:space="preserve">AZ Semi </v>
          </cell>
          <cell r="E370">
            <v>382867.64613586327</v>
          </cell>
          <cell r="F370">
            <v>382867.64613586327</v>
          </cell>
          <cell r="G370">
            <v>382867.64613586327</v>
          </cell>
          <cell r="H370">
            <v>478584.55766982911</v>
          </cell>
          <cell r="I370">
            <v>526443.01343681209</v>
          </cell>
          <cell r="J370">
            <v>650602.85816225584</v>
          </cell>
          <cell r="K370">
            <v>722615.01200825546</v>
          </cell>
          <cell r="L370">
            <v>763461.0328183393</v>
          </cell>
          <cell r="M370">
            <v>977106.94511886325</v>
          </cell>
          <cell r="N370">
            <v>1033835.1352257848</v>
          </cell>
          <cell r="O370">
            <v>930016.30857247766</v>
          </cell>
          <cell r="P370">
            <v>687275.84381350374</v>
          </cell>
          <cell r="Q370">
            <v>689731.47481552255</v>
          </cell>
          <cell r="R370">
            <v>693407.34981762059</v>
          </cell>
          <cell r="S370">
            <v>694568.38855309424</v>
          </cell>
          <cell r="T370">
            <v>706253.66427829827</v>
          </cell>
          <cell r="U370">
            <v>762282.26705603721</v>
          </cell>
          <cell r="V370">
            <v>754174.39673425781</v>
          </cell>
        </row>
        <row r="371">
          <cell r="D371" t="str">
            <v xml:space="preserve">AR Semi </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row>
        <row r="372">
          <cell r="D372" t="str">
            <v xml:space="preserve">CA Semi </v>
          </cell>
          <cell r="E372">
            <v>594522.83158102597</v>
          </cell>
          <cell r="F372">
            <v>594522.83158102597</v>
          </cell>
          <cell r="G372">
            <v>594522.83158102597</v>
          </cell>
          <cell r="H372">
            <v>743153.53947628243</v>
          </cell>
          <cell r="I372">
            <v>817468.89342391072</v>
          </cell>
          <cell r="J372">
            <v>1010266.2300487905</v>
          </cell>
          <cell r="K372">
            <v>1122087.8217786378</v>
          </cell>
          <cell r="L372">
            <v>1185514.1577355058</v>
          </cell>
          <cell r="M372">
            <v>1429148.2976470445</v>
          </cell>
          <cell r="N372">
            <v>1426471.348841778</v>
          </cell>
          <cell r="O372">
            <v>1212198.3685824492</v>
          </cell>
          <cell r="P372">
            <v>847268.15924286342</v>
          </cell>
          <cell r="Q372">
            <v>805115.5849924722</v>
          </cell>
          <cell r="R372">
            <v>809406.39143053559</v>
          </cell>
          <cell r="S372">
            <v>810761.65853786853</v>
          </cell>
          <cell r="T372">
            <v>824401.7459411762</v>
          </cell>
          <cell r="U372">
            <v>889803.28690141044</v>
          </cell>
          <cell r="V372">
            <v>880339.06351083878</v>
          </cell>
        </row>
        <row r="373">
          <cell r="D373" t="str">
            <v xml:space="preserve">CO Semi </v>
          </cell>
          <cell r="E373">
            <v>52517.732389564815</v>
          </cell>
          <cell r="F373">
            <v>52517.732389564815</v>
          </cell>
          <cell r="G373">
            <v>52517.732389564815</v>
          </cell>
          <cell r="H373">
            <v>65647.16548695603</v>
          </cell>
          <cell r="I373">
            <v>72211.882035651637</v>
          </cell>
          <cell r="J373">
            <v>89242.815739845842</v>
          </cell>
          <cell r="K373">
            <v>99120.681009083928</v>
          </cell>
          <cell r="L373">
            <v>104723.5059323509</v>
          </cell>
          <cell r="M373">
            <v>102676.86634888554</v>
          </cell>
          <cell r="N373">
            <v>78164.186458242315</v>
          </cell>
          <cell r="O373">
            <v>45044.293511692784</v>
          </cell>
          <cell r="P373">
            <v>16017.630764325584</v>
          </cell>
          <cell r="Q373">
            <v>0</v>
          </cell>
          <cell r="R373">
            <v>0</v>
          </cell>
          <cell r="S373">
            <v>0</v>
          </cell>
          <cell r="T373">
            <v>0</v>
          </cell>
          <cell r="U373">
            <v>0</v>
          </cell>
          <cell r="V373">
            <v>0</v>
          </cell>
        </row>
        <row r="374">
          <cell r="D374" t="str">
            <v xml:space="preserve">CT Semi </v>
          </cell>
          <cell r="E374">
            <v>5605.2925105026225</v>
          </cell>
          <cell r="F374">
            <v>5605.2925105026225</v>
          </cell>
          <cell r="G374">
            <v>5605.2925105026225</v>
          </cell>
          <cell r="H374">
            <v>7006.615638128279</v>
          </cell>
          <cell r="I374">
            <v>7707.2772019411068</v>
          </cell>
          <cell r="J374">
            <v>9525.0130560115103</v>
          </cell>
          <cell r="K374">
            <v>10579.291709985075</v>
          </cell>
          <cell r="L374">
            <v>11177.289208184102</v>
          </cell>
          <cell r="M374">
            <v>10958.848445285204</v>
          </cell>
          <cell r="N374">
            <v>8342.5751457420574</v>
          </cell>
          <cell r="O374">
            <v>4807.6417159272096</v>
          </cell>
          <cell r="P374">
            <v>1709.5845855124996</v>
          </cell>
          <cell r="Q374">
            <v>0</v>
          </cell>
          <cell r="R374">
            <v>0</v>
          </cell>
          <cell r="S374">
            <v>0</v>
          </cell>
          <cell r="T374">
            <v>0</v>
          </cell>
          <cell r="U374">
            <v>0</v>
          </cell>
          <cell r="V374">
            <v>0</v>
          </cell>
        </row>
        <row r="375">
          <cell r="D375" t="str">
            <v xml:space="preserve">DC Semi </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row>
        <row r="376">
          <cell r="D376" t="str">
            <v xml:space="preserve">DE Semi </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row>
        <row r="377">
          <cell r="D377" t="str">
            <v xml:space="preserve">FL Semi </v>
          </cell>
          <cell r="E377">
            <v>22456.640946808158</v>
          </cell>
          <cell r="F377">
            <v>22456.640946808158</v>
          </cell>
          <cell r="G377">
            <v>22456.640946808158</v>
          </cell>
          <cell r="H377">
            <v>28070.801183510197</v>
          </cell>
          <cell r="I377">
            <v>30877.88130186122</v>
          </cell>
          <cell r="J377">
            <v>38160.327549673253</v>
          </cell>
          <cell r="K377">
            <v>42384.113756335559</v>
          </cell>
          <cell r="L377">
            <v>44779.887942782247</v>
          </cell>
          <cell r="M377">
            <v>64621.942547260682</v>
          </cell>
          <cell r="N377">
            <v>75479.774345790414</v>
          </cell>
          <cell r="O377">
            <v>73792.746102149264</v>
          </cell>
          <cell r="P377">
            <v>58559.415800362105</v>
          </cell>
          <cell r="Q377">
            <v>62517.07438248465</v>
          </cell>
          <cell r="R377">
            <v>62850.254698764031</v>
          </cell>
          <cell r="S377">
            <v>62955.490935816953</v>
          </cell>
          <cell r="T377">
            <v>64014.641167996539</v>
          </cell>
          <cell r="U377">
            <v>69093.058574334907</v>
          </cell>
          <cell r="V377">
            <v>68358.163400635909</v>
          </cell>
        </row>
        <row r="378">
          <cell r="D378" t="str">
            <v xml:space="preserve">GA Semi </v>
          </cell>
          <cell r="E378">
            <v>0</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row>
        <row r="379">
          <cell r="D379" t="str">
            <v xml:space="preserve">HI Semi </v>
          </cell>
          <cell r="E379">
            <v>0</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row>
        <row r="380">
          <cell r="D380" t="str">
            <v xml:space="preserve">ID Semi </v>
          </cell>
          <cell r="E380">
            <v>81503.206635635725</v>
          </cell>
          <cell r="F380">
            <v>81503.206635635725</v>
          </cell>
          <cell r="G380">
            <v>81503.206635635725</v>
          </cell>
          <cell r="H380">
            <v>101879.00829454465</v>
          </cell>
          <cell r="I380">
            <v>112066.90912399912</v>
          </cell>
          <cell r="J380">
            <v>138497.51923858514</v>
          </cell>
          <cell r="K380">
            <v>153827.154726001</v>
          </cell>
          <cell r="L380">
            <v>162522.27876671555</v>
          </cell>
          <cell r="M380">
            <v>159346.06225297676</v>
          </cell>
          <cell r="N380">
            <v>121304.3966399112</v>
          </cell>
          <cell r="O380">
            <v>69905.043397669491</v>
          </cell>
          <cell r="P380">
            <v>24858.047188982237</v>
          </cell>
          <cell r="Q380">
            <v>0</v>
          </cell>
          <cell r="R380">
            <v>0</v>
          </cell>
          <cell r="S380">
            <v>0</v>
          </cell>
          <cell r="T380">
            <v>0</v>
          </cell>
          <cell r="U380">
            <v>0</v>
          </cell>
          <cell r="V380">
            <v>0</v>
          </cell>
        </row>
        <row r="381">
          <cell r="D381" t="str">
            <v xml:space="preserve">IL Semi </v>
          </cell>
          <cell r="E381">
            <v>2126.0304066814156</v>
          </cell>
          <cell r="F381">
            <v>2126.0304066814156</v>
          </cell>
          <cell r="G381">
            <v>2126.0304066814156</v>
          </cell>
          <cell r="H381">
            <v>2657.5380083517693</v>
          </cell>
          <cell r="I381">
            <v>2923.2918091869465</v>
          </cell>
          <cell r="J381">
            <v>3612.7405203519161</v>
          </cell>
          <cell r="K381">
            <v>4012.6176848822579</v>
          </cell>
          <cell r="L381">
            <v>4239.4320503963509</v>
          </cell>
          <cell r="M381">
            <v>4156.5796920026414</v>
          </cell>
          <cell r="N381">
            <v>3164.2538541279141</v>
          </cell>
          <cell r="O381">
            <v>1823.4895776339667</v>
          </cell>
          <cell r="P381">
            <v>648.4280356079945</v>
          </cell>
          <cell r="Q381">
            <v>0</v>
          </cell>
          <cell r="R381">
            <v>0</v>
          </cell>
          <cell r="S381">
            <v>0</v>
          </cell>
          <cell r="T381">
            <v>0</v>
          </cell>
          <cell r="U381">
            <v>0</v>
          </cell>
          <cell r="V381">
            <v>0</v>
          </cell>
        </row>
        <row r="382">
          <cell r="D382" t="str">
            <v xml:space="preserve">IN Semi </v>
          </cell>
          <cell r="E382">
            <v>66644.698714909624</v>
          </cell>
          <cell r="F382">
            <v>66644.698714909624</v>
          </cell>
          <cell r="G382">
            <v>66644.698714909624</v>
          </cell>
          <cell r="H382">
            <v>83305.873393637026</v>
          </cell>
          <cell r="I382">
            <v>91636.460733000742</v>
          </cell>
          <cell r="J382">
            <v>113248.61712106197</v>
          </cell>
          <cell r="K382">
            <v>125783.57102828067</v>
          </cell>
          <cell r="L382">
            <v>132893.52345718083</v>
          </cell>
          <cell r="M382">
            <v>130692.56652078597</v>
          </cell>
          <cell r="N382">
            <v>99994.235484160803</v>
          </cell>
          <cell r="O382">
            <v>58203.868908258999</v>
          </cell>
          <cell r="P382">
            <v>21315.240545728044</v>
          </cell>
          <cell r="Q382">
            <v>1195.6402869112292</v>
          </cell>
          <cell r="R382">
            <v>1202.0123670650801</v>
          </cell>
          <cell r="S382">
            <v>1204.0250121849335</v>
          </cell>
          <cell r="T382">
            <v>1224.2812813720932</v>
          </cell>
          <cell r="U382">
            <v>1321.406114943489</v>
          </cell>
          <cell r="V382">
            <v>1307.3512301778428</v>
          </cell>
        </row>
        <row r="383">
          <cell r="D383" t="str">
            <v xml:space="preserve">IA Semi </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row>
        <row r="384">
          <cell r="D384" t="str">
            <v xml:space="preserve">KS Semi </v>
          </cell>
          <cell r="E384">
            <v>488.99440647398728</v>
          </cell>
          <cell r="F384">
            <v>488.99440647398728</v>
          </cell>
          <cell r="G384">
            <v>488.99440647398728</v>
          </cell>
          <cell r="H384">
            <v>611.24300809248416</v>
          </cell>
          <cell r="I384">
            <v>672.3673089017326</v>
          </cell>
          <cell r="J384">
            <v>830.94291640520964</v>
          </cell>
          <cell r="K384">
            <v>922.91605851903114</v>
          </cell>
          <cell r="L384">
            <v>975.08415343234049</v>
          </cell>
          <cell r="M384">
            <v>956.02782211629767</v>
          </cell>
          <cell r="N384">
            <v>727.78941941264929</v>
          </cell>
          <cell r="O384">
            <v>419.40896090873281</v>
          </cell>
          <cell r="P384">
            <v>149.14070909651792</v>
          </cell>
          <cell r="Q384">
            <v>0</v>
          </cell>
          <cell r="R384">
            <v>0</v>
          </cell>
          <cell r="S384">
            <v>0</v>
          </cell>
          <cell r="T384">
            <v>0</v>
          </cell>
          <cell r="U384">
            <v>0</v>
          </cell>
          <cell r="V384">
            <v>0</v>
          </cell>
        </row>
        <row r="385">
          <cell r="D385" t="str">
            <v xml:space="preserve">KY Semi </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row>
        <row r="386">
          <cell r="D386" t="str">
            <v xml:space="preserve">LA Semi </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row>
        <row r="387">
          <cell r="D387" t="str">
            <v xml:space="preserve">ME Semi </v>
          </cell>
          <cell r="E387">
            <v>66644.698714909624</v>
          </cell>
          <cell r="F387">
            <v>66644.698714909624</v>
          </cell>
          <cell r="G387">
            <v>66644.698714909624</v>
          </cell>
          <cell r="H387">
            <v>83305.873393637026</v>
          </cell>
          <cell r="I387">
            <v>91636.460733000742</v>
          </cell>
          <cell r="J387">
            <v>113248.61712106197</v>
          </cell>
          <cell r="K387">
            <v>125783.57102828067</v>
          </cell>
          <cell r="L387">
            <v>132893.52345718083</v>
          </cell>
          <cell r="M387">
            <v>130296.34966059931</v>
          </cell>
          <cell r="N387">
            <v>99189.900625653099</v>
          </cell>
          <cell r="O387">
            <v>57160.94799457123</v>
          </cell>
          <cell r="P387">
            <v>20326.280816862807</v>
          </cell>
          <cell r="Q387">
            <v>0</v>
          </cell>
          <cell r="R387">
            <v>0</v>
          </cell>
          <cell r="S387">
            <v>0</v>
          </cell>
          <cell r="T387">
            <v>0</v>
          </cell>
          <cell r="U387">
            <v>0</v>
          </cell>
          <cell r="V387">
            <v>0</v>
          </cell>
        </row>
        <row r="388">
          <cell r="D388" t="str">
            <v xml:space="preserve">MD Semi </v>
          </cell>
          <cell r="E388">
            <v>2536.5218075530447</v>
          </cell>
          <cell r="F388">
            <v>2536.5218075530447</v>
          </cell>
          <cell r="G388">
            <v>2536.5218075530447</v>
          </cell>
          <cell r="H388">
            <v>3170.6522594413063</v>
          </cell>
          <cell r="I388">
            <v>3487.7174853854372</v>
          </cell>
          <cell r="J388">
            <v>4310.2841267483154</v>
          </cell>
          <cell r="K388">
            <v>4787.3690945766621</v>
          </cell>
          <cell r="L388">
            <v>5057.9765057335117</v>
          </cell>
          <cell r="M388">
            <v>4959.1271133577529</v>
          </cell>
          <cell r="N388">
            <v>3775.2041929435813</v>
          </cell>
          <cell r="O388">
            <v>2175.5667581133284</v>
          </cell>
          <cell r="P388">
            <v>773.62574297128856</v>
          </cell>
          <cell r="Q388">
            <v>0</v>
          </cell>
          <cell r="R388">
            <v>0</v>
          </cell>
          <cell r="S388">
            <v>0</v>
          </cell>
          <cell r="T388">
            <v>0</v>
          </cell>
          <cell r="U388">
            <v>0</v>
          </cell>
          <cell r="V388">
            <v>0</v>
          </cell>
        </row>
        <row r="389">
          <cell r="D389" t="str">
            <v xml:space="preserve">MA Semi </v>
          </cell>
          <cell r="E389">
            <v>71943.593936890073</v>
          </cell>
          <cell r="F389">
            <v>71943.593936890073</v>
          </cell>
          <cell r="G389">
            <v>71943.593936890073</v>
          </cell>
          <cell r="H389">
            <v>89929.492421112591</v>
          </cell>
          <cell r="I389">
            <v>98922.441663223857</v>
          </cell>
          <cell r="J389">
            <v>122252.97257213457</v>
          </cell>
          <cell r="K389">
            <v>135784.57600508438</v>
          </cell>
          <cell r="L389">
            <v>143459.83810872957</v>
          </cell>
          <cell r="M389">
            <v>237586.69510884184</v>
          </cell>
          <cell r="N389">
            <v>303849.01058164425</v>
          </cell>
          <cell r="O389">
            <v>316846.0672382323</v>
          </cell>
          <cell r="P389">
            <v>263881.61987454456</v>
          </cell>
          <cell r="Q389">
            <v>292501.55579951318</v>
          </cell>
          <cell r="R389">
            <v>294060.42210661597</v>
          </cell>
          <cell r="S389">
            <v>294552.79580401804</v>
          </cell>
          <cell r="T389">
            <v>299508.29146337253</v>
          </cell>
          <cell r="U389">
            <v>323268.92017202306</v>
          </cell>
          <cell r="V389">
            <v>319830.53179925017</v>
          </cell>
        </row>
        <row r="390">
          <cell r="D390" t="str">
            <v xml:space="preserve">MI Semi </v>
          </cell>
          <cell r="E390">
            <v>1330.8075619228769</v>
          </cell>
          <cell r="F390">
            <v>1330.8075619228769</v>
          </cell>
          <cell r="G390">
            <v>1330.8075619228769</v>
          </cell>
          <cell r="H390">
            <v>1663.509452403596</v>
          </cell>
          <cell r="I390">
            <v>1829.8603976439558</v>
          </cell>
          <cell r="J390">
            <v>2261.4269243939252</v>
          </cell>
          <cell r="K390">
            <v>2511.7335769821734</v>
          </cell>
          <cell r="L390">
            <v>2653.7100378221926</v>
          </cell>
          <cell r="M390">
            <v>3845.9290264540241</v>
          </cell>
          <cell r="N390">
            <v>4506.2234147202489</v>
          </cell>
          <cell r="O390">
            <v>4416.0963979865137</v>
          </cell>
          <cell r="P390">
            <v>3511.1235170009281</v>
          </cell>
          <cell r="Q390">
            <v>3754.1904445064552</v>
          </cell>
          <cell r="R390">
            <v>3774.1981363575014</v>
          </cell>
          <cell r="S390">
            <v>3780.5176399405191</v>
          </cell>
          <cell r="T390">
            <v>3844.1202912197259</v>
          </cell>
          <cell r="U390">
            <v>4149.082516154428</v>
          </cell>
          <cell r="V390">
            <v>4104.9515892665941</v>
          </cell>
        </row>
        <row r="391">
          <cell r="D391" t="str">
            <v xml:space="preserve">MN Semi </v>
          </cell>
          <cell r="E391">
            <v>13791.621516815339</v>
          </cell>
          <cell r="F391">
            <v>13791.621516815339</v>
          </cell>
          <cell r="G391">
            <v>13791.621516815339</v>
          </cell>
          <cell r="H391">
            <v>17239.526896019175</v>
          </cell>
          <cell r="I391">
            <v>18963.479585621095</v>
          </cell>
          <cell r="J391">
            <v>23435.953568006738</v>
          </cell>
          <cell r="K391">
            <v>26029.968446198545</v>
          </cell>
          <cell r="L391">
            <v>27501.319878387036</v>
          </cell>
          <cell r="M391">
            <v>34558.513588127083</v>
          </cell>
          <cell r="N391">
            <v>35944.046452273971</v>
          </cell>
          <cell r="O391">
            <v>31819.671537783426</v>
          </cell>
          <cell r="P391">
            <v>23162.688365950911</v>
          </cell>
          <cell r="Q391">
            <v>22917.95639925349</v>
          </cell>
          <cell r="R391">
            <v>23040.096023300255</v>
          </cell>
          <cell r="S391">
            <v>23078.67427598119</v>
          </cell>
          <cell r="T391">
            <v>23466.945145677419</v>
          </cell>
          <cell r="U391">
            <v>25328.627731519613</v>
          </cell>
          <cell r="V391">
            <v>25059.22460101141</v>
          </cell>
        </row>
        <row r="392">
          <cell r="D392" t="str">
            <v xml:space="preserve">MS Semi </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row>
        <row r="393">
          <cell r="D393" t="str">
            <v xml:space="preserve">MO Semi </v>
          </cell>
          <cell r="E393">
            <v>66644.698714909624</v>
          </cell>
          <cell r="F393">
            <v>66644.698714909624</v>
          </cell>
          <cell r="G393">
            <v>66644.698714909624</v>
          </cell>
          <cell r="H393">
            <v>83305.873393637026</v>
          </cell>
          <cell r="I393">
            <v>91636.460733000742</v>
          </cell>
          <cell r="J393">
            <v>113248.61712106197</v>
          </cell>
          <cell r="K393">
            <v>125783.57102828067</v>
          </cell>
          <cell r="L393">
            <v>132893.52345718083</v>
          </cell>
          <cell r="M393">
            <v>130296.34966059931</v>
          </cell>
          <cell r="N393">
            <v>99189.900625653099</v>
          </cell>
          <cell r="O393">
            <v>57160.94799457123</v>
          </cell>
          <cell r="P393">
            <v>20326.280816862807</v>
          </cell>
          <cell r="Q393">
            <v>0</v>
          </cell>
          <cell r="R393">
            <v>0</v>
          </cell>
          <cell r="S393">
            <v>0</v>
          </cell>
          <cell r="T393">
            <v>0</v>
          </cell>
          <cell r="U393">
            <v>0</v>
          </cell>
          <cell r="V393">
            <v>0</v>
          </cell>
        </row>
        <row r="394">
          <cell r="D394" t="str">
            <v xml:space="preserve">MT Semi </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row>
        <row r="395">
          <cell r="D395" t="str">
            <v xml:space="preserve">NE Semi </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row>
        <row r="396">
          <cell r="D396" t="str">
            <v xml:space="preserve">NV Semi </v>
          </cell>
          <cell r="E396">
            <v>0</v>
          </cell>
          <cell r="F396">
            <v>0</v>
          </cell>
          <cell r="G396">
            <v>0</v>
          </cell>
          <cell r="H396">
            <v>0</v>
          </cell>
          <cell r="I396">
            <v>0</v>
          </cell>
          <cell r="J396">
            <v>0</v>
          </cell>
          <cell r="K396">
            <v>0</v>
          </cell>
          <cell r="L396">
            <v>0</v>
          </cell>
          <cell r="M396">
            <v>326.19105644294808</v>
          </cell>
          <cell r="N396">
            <v>662.17989084794146</v>
          </cell>
          <cell r="O396">
            <v>858.59918848982954</v>
          </cell>
          <cell r="P396">
            <v>814.17489045293792</v>
          </cell>
          <cell r="Q396">
            <v>984.32754257248712</v>
          </cell>
          <cell r="R396">
            <v>989.57344643469173</v>
          </cell>
          <cell r="S396">
            <v>991.23038460128157</v>
          </cell>
          <cell r="T396">
            <v>1007.9066407369735</v>
          </cell>
          <cell r="U396">
            <v>1087.8660146378563</v>
          </cell>
          <cell r="V396">
            <v>1076.295134721918</v>
          </cell>
        </row>
        <row r="397">
          <cell r="D397" t="str">
            <v xml:space="preserve">NH Semi </v>
          </cell>
          <cell r="E397">
            <v>10136.635735203397</v>
          </cell>
          <cell r="F397">
            <v>10136.635735203397</v>
          </cell>
          <cell r="G397">
            <v>10136.635735203397</v>
          </cell>
          <cell r="H397">
            <v>12670.794669004246</v>
          </cell>
          <cell r="I397">
            <v>13937.874135904673</v>
          </cell>
          <cell r="J397">
            <v>17225.075683550276</v>
          </cell>
          <cell r="K397">
            <v>19131.637858264021</v>
          </cell>
          <cell r="L397">
            <v>20213.059175429669</v>
          </cell>
          <cell r="M397">
            <v>22224.029829530238</v>
          </cell>
          <cell r="N397">
            <v>19971.01838352402</v>
          </cell>
          <cell r="O397">
            <v>15027.226723296375</v>
          </cell>
          <cell r="P397">
            <v>9097.0109049945731</v>
          </cell>
          <cell r="Q397">
            <v>7260.4441995174693</v>
          </cell>
          <cell r="R397">
            <v>7299.1382222083612</v>
          </cell>
          <cell r="S397">
            <v>7311.3598726044647</v>
          </cell>
          <cell r="T397">
            <v>7434.3646874586984</v>
          </cell>
          <cell r="U397">
            <v>8024.1486235238235</v>
          </cell>
          <cell r="V397">
            <v>7938.8012931530484</v>
          </cell>
        </row>
        <row r="398">
          <cell r="D398" t="str">
            <v xml:space="preserve">NJ Semi </v>
          </cell>
          <cell r="E398">
            <v>11385.196758206714</v>
          </cell>
          <cell r="F398">
            <v>11385.196758206714</v>
          </cell>
          <cell r="G398">
            <v>11385.196758206714</v>
          </cell>
          <cell r="H398">
            <v>14231.495947758391</v>
          </cell>
          <cell r="I398">
            <v>15654.645542534232</v>
          </cell>
          <cell r="J398">
            <v>19346.741952179542</v>
          </cell>
          <cell r="K398">
            <v>21488.14133338508</v>
          </cell>
          <cell r="L398">
            <v>22702.764685360835</v>
          </cell>
          <cell r="M398">
            <v>30683.766014332072</v>
          </cell>
          <cell r="N398">
            <v>34047.458596435579</v>
          </cell>
          <cell r="O398">
            <v>31940.486433818129</v>
          </cell>
          <cell r="P398">
            <v>24500.496964271279</v>
          </cell>
          <cell r="Q398">
            <v>25422.683521425057</v>
          </cell>
          <cell r="R398">
            <v>25558.171911117079</v>
          </cell>
          <cell r="S398">
            <v>25600.966420873145</v>
          </cell>
          <cell r="T398">
            <v>26031.671814884507</v>
          </cell>
          <cell r="U398">
            <v>28096.819613086795</v>
          </cell>
          <cell r="V398">
            <v>27797.973136233635</v>
          </cell>
        </row>
        <row r="399">
          <cell r="D399" t="str">
            <v xml:space="preserve">NM Semi </v>
          </cell>
          <cell r="E399">
            <v>66644.698714909624</v>
          </cell>
          <cell r="F399">
            <v>66644.698714909624</v>
          </cell>
          <cell r="G399">
            <v>66644.698714909624</v>
          </cell>
          <cell r="H399">
            <v>83305.873393637026</v>
          </cell>
          <cell r="I399">
            <v>91636.460733000742</v>
          </cell>
          <cell r="J399">
            <v>113248.61712106197</v>
          </cell>
          <cell r="K399">
            <v>125783.57102828067</v>
          </cell>
          <cell r="L399">
            <v>132893.52345718083</v>
          </cell>
          <cell r="M399">
            <v>130296.34966059931</v>
          </cell>
          <cell r="N399">
            <v>99189.900625653099</v>
          </cell>
          <cell r="O399">
            <v>57160.94799457123</v>
          </cell>
          <cell r="P399">
            <v>20326.280816862807</v>
          </cell>
          <cell r="Q399">
            <v>0</v>
          </cell>
          <cell r="R399">
            <v>0</v>
          </cell>
          <cell r="S399">
            <v>0</v>
          </cell>
          <cell r="T399">
            <v>0</v>
          </cell>
          <cell r="U399">
            <v>0</v>
          </cell>
          <cell r="V399">
            <v>0</v>
          </cell>
        </row>
        <row r="400">
          <cell r="D400" t="str">
            <v xml:space="preserve">NY Semi </v>
          </cell>
          <cell r="E400">
            <v>43260.604595786506</v>
          </cell>
          <cell r="F400">
            <v>43260.604595786506</v>
          </cell>
          <cell r="G400">
            <v>43260.604595786506</v>
          </cell>
          <cell r="H400">
            <v>54075.755744733135</v>
          </cell>
          <cell r="I400">
            <v>59483.331319206452</v>
          </cell>
          <cell r="J400">
            <v>73512.278407192192</v>
          </cell>
          <cell r="K400">
            <v>81649.004884511858</v>
          </cell>
          <cell r="L400">
            <v>86264.238303710881</v>
          </cell>
          <cell r="M400">
            <v>113584.05578964142</v>
          </cell>
          <cell r="N400">
            <v>123269.09019547344</v>
          </cell>
          <cell r="O400">
            <v>113453.21375075782</v>
          </cell>
          <cell r="P400">
            <v>85592.668581978476</v>
          </cell>
          <cell r="Q400">
            <v>87528.800817648618</v>
          </cell>
          <cell r="R400">
            <v>87995.27935696028</v>
          </cell>
          <cell r="S400">
            <v>88142.618331517035</v>
          </cell>
          <cell r="T400">
            <v>89625.511615057927</v>
          </cell>
          <cell r="U400">
            <v>96735.693753600368</v>
          </cell>
          <cell r="V400">
            <v>95706.782949377375</v>
          </cell>
        </row>
        <row r="401">
          <cell r="D401" t="str">
            <v xml:space="preserve">NC Semi </v>
          </cell>
          <cell r="E401">
            <v>12994.879019918133</v>
          </cell>
          <cell r="F401">
            <v>12994.879019918133</v>
          </cell>
          <cell r="G401">
            <v>12994.879019918133</v>
          </cell>
          <cell r="H401">
            <v>16243.598774897668</v>
          </cell>
          <cell r="I401">
            <v>17867.958652387435</v>
          </cell>
          <cell r="J401">
            <v>22082.0576435736</v>
          </cell>
          <cell r="K401">
            <v>24526.216184095527</v>
          </cell>
          <cell r="L401">
            <v>25912.567588370996</v>
          </cell>
          <cell r="M401">
            <v>41715.547690123894</v>
          </cell>
          <cell r="N401">
            <v>52449.461469108421</v>
          </cell>
          <cell r="O401">
            <v>54075.214367950364</v>
          </cell>
          <cell r="P401">
            <v>44671.72341305545</v>
          </cell>
          <cell r="Q401">
            <v>49215.904996734673</v>
          </cell>
          <cell r="R401">
            <v>49478.19767365147</v>
          </cell>
          <cell r="S401">
            <v>49561.043787231945</v>
          </cell>
          <cell r="T401">
            <v>50394.848595264106</v>
          </cell>
          <cell r="U401">
            <v>54392.77893786085</v>
          </cell>
          <cell r="V401">
            <v>53814.240492026896</v>
          </cell>
        </row>
        <row r="402">
          <cell r="D402" t="str">
            <v xml:space="preserve">ND Semi </v>
          </cell>
          <cell r="E402">
            <v>66644.698714909624</v>
          </cell>
          <cell r="F402">
            <v>66644.698714909624</v>
          </cell>
          <cell r="G402">
            <v>66644.698714909624</v>
          </cell>
          <cell r="H402">
            <v>83305.873393637026</v>
          </cell>
          <cell r="I402">
            <v>91636.460733000742</v>
          </cell>
          <cell r="J402">
            <v>113248.61712106197</v>
          </cell>
          <cell r="K402">
            <v>125783.57102828067</v>
          </cell>
          <cell r="L402">
            <v>132893.52345718083</v>
          </cell>
          <cell r="M402">
            <v>130296.34966059931</v>
          </cell>
          <cell r="N402">
            <v>99189.900625653099</v>
          </cell>
          <cell r="O402">
            <v>57160.94799457123</v>
          </cell>
          <cell r="P402">
            <v>20326.280816862807</v>
          </cell>
          <cell r="Q402">
            <v>0</v>
          </cell>
          <cell r="R402">
            <v>0</v>
          </cell>
          <cell r="S402">
            <v>0</v>
          </cell>
          <cell r="T402">
            <v>0</v>
          </cell>
          <cell r="U402">
            <v>0</v>
          </cell>
          <cell r="V402">
            <v>0</v>
          </cell>
        </row>
        <row r="403">
          <cell r="D403" t="str">
            <v xml:space="preserve">OH Semi </v>
          </cell>
          <cell r="E403">
            <v>14817.053128238773</v>
          </cell>
          <cell r="F403">
            <v>14817.053128238773</v>
          </cell>
          <cell r="G403">
            <v>14817.053128238773</v>
          </cell>
          <cell r="H403">
            <v>18521.316410298467</v>
          </cell>
          <cell r="I403">
            <v>20373.448051328312</v>
          </cell>
          <cell r="J403">
            <v>25178.458436138819</v>
          </cell>
          <cell r="K403">
            <v>27965.342938352533</v>
          </cell>
          <cell r="L403">
            <v>29546.091968803103</v>
          </cell>
          <cell r="M403">
            <v>32011.781011667998</v>
          </cell>
          <cell r="N403">
            <v>28230.435598483287</v>
          </cell>
          <cell r="O403">
            <v>20718.62185447483</v>
          </cell>
          <cell r="P403">
            <v>12114.759820072857</v>
          </cell>
          <cell r="Q403">
            <v>9183.0327017121199</v>
          </cell>
          <cell r="R403">
            <v>9231.9730235391053</v>
          </cell>
          <cell r="S403">
            <v>9247.4310054713642</v>
          </cell>
          <cell r="T403">
            <v>9403.0078828956866</v>
          </cell>
          <cell r="U403">
            <v>10148.96846368088</v>
          </cell>
          <cell r="V403">
            <v>10041.020891292575</v>
          </cell>
        </row>
        <row r="404">
          <cell r="D404" t="str">
            <v xml:space="preserve">OK Semi </v>
          </cell>
          <cell r="E404">
            <v>66644.698714909624</v>
          </cell>
          <cell r="F404">
            <v>66644.698714909624</v>
          </cell>
          <cell r="G404">
            <v>66644.698714909624</v>
          </cell>
          <cell r="H404">
            <v>83305.873393637026</v>
          </cell>
          <cell r="I404">
            <v>91636.460733000742</v>
          </cell>
          <cell r="J404">
            <v>113248.61712106197</v>
          </cell>
          <cell r="K404">
            <v>125783.57102828067</v>
          </cell>
          <cell r="L404">
            <v>132893.52345718083</v>
          </cell>
          <cell r="M404">
            <v>130296.34966059931</v>
          </cell>
          <cell r="N404">
            <v>99189.900625653099</v>
          </cell>
          <cell r="O404">
            <v>57160.94799457123</v>
          </cell>
          <cell r="P404">
            <v>20326.280816862807</v>
          </cell>
          <cell r="Q404">
            <v>0</v>
          </cell>
          <cell r="R404">
            <v>0</v>
          </cell>
          <cell r="S404">
            <v>0</v>
          </cell>
          <cell r="T404">
            <v>0</v>
          </cell>
          <cell r="U404">
            <v>0</v>
          </cell>
          <cell r="V404">
            <v>0</v>
          </cell>
        </row>
        <row r="405">
          <cell r="D405" t="str">
            <v xml:space="preserve">OR Semi </v>
          </cell>
          <cell r="E405">
            <v>291316.27717124362</v>
          </cell>
          <cell r="F405">
            <v>291316.27717124362</v>
          </cell>
          <cell r="G405">
            <v>291316.27717124362</v>
          </cell>
          <cell r="H405">
            <v>364145.34646405448</v>
          </cell>
          <cell r="I405">
            <v>400559.88111045997</v>
          </cell>
          <cell r="J405">
            <v>495030.60514427099</v>
          </cell>
          <cell r="K405">
            <v>549823.20196258556</v>
          </cell>
          <cell r="L405">
            <v>580902.11615067616</v>
          </cell>
          <cell r="M405">
            <v>774841.57817093085</v>
          </cell>
          <cell r="N405">
            <v>850328.08392003842</v>
          </cell>
          <cell r="O405">
            <v>790230.57689560356</v>
          </cell>
          <cell r="P405">
            <v>601260.49308562523</v>
          </cell>
          <cell r="Q405">
            <v>619498.14661773969</v>
          </cell>
          <cell r="R405">
            <v>622799.71807583107</v>
          </cell>
          <cell r="S405">
            <v>623842.5316504467</v>
          </cell>
          <cell r="T405">
            <v>634337.93010448618</v>
          </cell>
          <cell r="U405">
            <v>684661.30499132071</v>
          </cell>
          <cell r="V405">
            <v>677379.03526642127</v>
          </cell>
        </row>
        <row r="406">
          <cell r="D406" t="str">
            <v xml:space="preserve">PA Semi </v>
          </cell>
          <cell r="E406">
            <v>153549.09910673849</v>
          </cell>
          <cell r="F406">
            <v>153549.09910673849</v>
          </cell>
          <cell r="G406">
            <v>153549.09910673849</v>
          </cell>
          <cell r="H406">
            <v>191936.37388342313</v>
          </cell>
          <cell r="I406">
            <v>211130.01127176546</v>
          </cell>
          <cell r="J406">
            <v>260924.32660563206</v>
          </cell>
          <cell r="K406">
            <v>289804.80647742905</v>
          </cell>
          <cell r="L406">
            <v>306186.1062837278</v>
          </cell>
          <cell r="M406">
            <v>314590.68773914839</v>
          </cell>
          <cell r="N406">
            <v>257742.20683229159</v>
          </cell>
          <cell r="O406">
            <v>169571.83911002567</v>
          </cell>
          <cell r="P406">
            <v>82745.345306669755</v>
          </cell>
          <cell r="Q406">
            <v>43419.204550054543</v>
          </cell>
          <cell r="R406">
            <v>43650.60412285092</v>
          </cell>
          <cell r="S406">
            <v>43723.692535061695</v>
          </cell>
          <cell r="T406">
            <v>44459.290946127578</v>
          </cell>
          <cell r="U406">
            <v>47986.340897430819</v>
          </cell>
          <cell r="V406">
            <v>47475.943311093593</v>
          </cell>
        </row>
        <row r="407">
          <cell r="D407" t="str">
            <v xml:space="preserve">PR Semi </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row>
        <row r="408">
          <cell r="D408" t="str">
            <v xml:space="preserve">RI Semi </v>
          </cell>
          <cell r="E408">
            <v>4730.6029782976939</v>
          </cell>
          <cell r="F408">
            <v>4730.6029782976939</v>
          </cell>
          <cell r="G408">
            <v>4730.6029782976939</v>
          </cell>
          <cell r="H408">
            <v>5913.2537228721176</v>
          </cell>
          <cell r="I408">
            <v>6504.5790951593299</v>
          </cell>
          <cell r="J408">
            <v>8038.662575889738</v>
          </cell>
          <cell r="K408">
            <v>8928.4241237658207</v>
          </cell>
          <cell r="L408">
            <v>9433.1058581613779</v>
          </cell>
          <cell r="M408">
            <v>9248.7521385981363</v>
          </cell>
          <cell r="N408">
            <v>7040.7406495153391</v>
          </cell>
          <cell r="O408">
            <v>4057.4232615585911</v>
          </cell>
          <cell r="P408">
            <v>1442.808901894769</v>
          </cell>
          <cell r="Q408">
            <v>0</v>
          </cell>
          <cell r="R408">
            <v>0</v>
          </cell>
          <cell r="S408">
            <v>0</v>
          </cell>
          <cell r="T408">
            <v>0</v>
          </cell>
          <cell r="U408">
            <v>0</v>
          </cell>
          <cell r="V408">
            <v>0</v>
          </cell>
        </row>
        <row r="409">
          <cell r="D409" t="str">
            <v xml:space="preserve">SC Semi </v>
          </cell>
          <cell r="E409">
            <v>66644.698714909624</v>
          </cell>
          <cell r="F409">
            <v>66644.698714909624</v>
          </cell>
          <cell r="G409">
            <v>66644.698714909624</v>
          </cell>
          <cell r="H409">
            <v>83305.873393637026</v>
          </cell>
          <cell r="I409">
            <v>91636.460733000742</v>
          </cell>
          <cell r="J409">
            <v>113248.61712106197</v>
          </cell>
          <cell r="K409">
            <v>125783.57102828067</v>
          </cell>
          <cell r="L409">
            <v>132893.52345718083</v>
          </cell>
          <cell r="M409">
            <v>130296.34966059931</v>
          </cell>
          <cell r="N409">
            <v>99189.900625653099</v>
          </cell>
          <cell r="O409">
            <v>57160.94799457123</v>
          </cell>
          <cell r="P409">
            <v>20326.280816862807</v>
          </cell>
          <cell r="Q409">
            <v>0</v>
          </cell>
          <cell r="R409">
            <v>0</v>
          </cell>
          <cell r="S409">
            <v>0</v>
          </cell>
          <cell r="T409">
            <v>0</v>
          </cell>
          <cell r="U409">
            <v>0</v>
          </cell>
          <cell r="V409">
            <v>0</v>
          </cell>
        </row>
        <row r="410">
          <cell r="D410" t="str">
            <v xml:space="preserve">SD Semi </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row>
        <row r="411">
          <cell r="D411" t="str">
            <v xml:space="preserve">TN Semi </v>
          </cell>
          <cell r="E411">
            <v>66644.698714909624</v>
          </cell>
          <cell r="F411">
            <v>66644.698714909624</v>
          </cell>
          <cell r="G411">
            <v>66644.698714909624</v>
          </cell>
          <cell r="H411">
            <v>83305.873393637026</v>
          </cell>
          <cell r="I411">
            <v>91636.460733000742</v>
          </cell>
          <cell r="J411">
            <v>113248.61712106197</v>
          </cell>
          <cell r="K411">
            <v>125783.57102828067</v>
          </cell>
          <cell r="L411">
            <v>132893.52345718083</v>
          </cell>
          <cell r="M411">
            <v>130296.34966059931</v>
          </cell>
          <cell r="N411">
            <v>99189.900625653099</v>
          </cell>
          <cell r="O411">
            <v>57160.94799457123</v>
          </cell>
          <cell r="P411">
            <v>20326.280816862807</v>
          </cell>
          <cell r="Q411">
            <v>0</v>
          </cell>
          <cell r="R411">
            <v>0</v>
          </cell>
          <cell r="S411">
            <v>0</v>
          </cell>
          <cell r="T411">
            <v>0</v>
          </cell>
          <cell r="U411">
            <v>0</v>
          </cell>
          <cell r="V411">
            <v>0</v>
          </cell>
        </row>
        <row r="412">
          <cell r="D412" t="str">
            <v xml:space="preserve">TX Semi </v>
          </cell>
          <cell r="E412">
            <v>503685.84738032508</v>
          </cell>
          <cell r="F412">
            <v>503685.84738032508</v>
          </cell>
          <cell r="G412">
            <v>503685.84738032508</v>
          </cell>
          <cell r="H412">
            <v>629607.30922540638</v>
          </cell>
          <cell r="I412">
            <v>692568.04014794703</v>
          </cell>
          <cell r="J412">
            <v>855907.92334861029</v>
          </cell>
          <cell r="K412">
            <v>950644.32402826822</v>
          </cell>
          <cell r="L412">
            <v>1004379.7671023502</v>
          </cell>
          <cell r="M412">
            <v>1189642.2929086389</v>
          </cell>
          <cell r="N412">
            <v>1165592.3497435187</v>
          </cell>
          <cell r="O412">
            <v>971324.30623861705</v>
          </cell>
          <cell r="P412">
            <v>665031.69305401226</v>
          </cell>
          <cell r="Q412">
            <v>618288.67961120198</v>
          </cell>
          <cell r="R412">
            <v>621583.80530061747</v>
          </cell>
          <cell r="S412">
            <v>622624.5829553206</v>
          </cell>
          <cell r="T412">
            <v>633099.49089099467</v>
          </cell>
          <cell r="U412">
            <v>683324.61776544119</v>
          </cell>
          <cell r="V412">
            <v>676056.56545993686</v>
          </cell>
        </row>
        <row r="413">
          <cell r="D413" t="str">
            <v xml:space="preserve">UT Semi </v>
          </cell>
          <cell r="E413">
            <v>1918.8017455280717</v>
          </cell>
          <cell r="F413">
            <v>1918.8017455280717</v>
          </cell>
          <cell r="G413">
            <v>1918.8017455280717</v>
          </cell>
          <cell r="H413">
            <v>2398.5021819100898</v>
          </cell>
          <cell r="I413">
            <v>2638.3524001010987</v>
          </cell>
          <cell r="J413">
            <v>3260.5990934117563</v>
          </cell>
          <cell r="K413">
            <v>3621.4993885751328</v>
          </cell>
          <cell r="L413">
            <v>3826.2056802121456</v>
          </cell>
          <cell r="M413">
            <v>3751.4291156779068</v>
          </cell>
          <cell r="N413">
            <v>2855.8273670562762</v>
          </cell>
          <cell r="O413">
            <v>1645.7502082380202</v>
          </cell>
          <cell r="P413">
            <v>585.22438938964933</v>
          </cell>
          <cell r="Q413">
            <v>0</v>
          </cell>
          <cell r="R413">
            <v>0</v>
          </cell>
          <cell r="S413">
            <v>0</v>
          </cell>
          <cell r="T413">
            <v>0</v>
          </cell>
          <cell r="U413">
            <v>0</v>
          </cell>
          <cell r="V413">
            <v>0</v>
          </cell>
        </row>
        <row r="414">
          <cell r="D414" t="str">
            <v xml:space="preserve">VT Semi </v>
          </cell>
          <cell r="E414">
            <v>66644.698714909624</v>
          </cell>
          <cell r="F414">
            <v>66644.698714909624</v>
          </cell>
          <cell r="G414">
            <v>66644.698714909624</v>
          </cell>
          <cell r="H414">
            <v>83305.873393637026</v>
          </cell>
          <cell r="I414">
            <v>91636.460733000742</v>
          </cell>
          <cell r="J414">
            <v>113248.61712106197</v>
          </cell>
          <cell r="K414">
            <v>125783.57102828067</v>
          </cell>
          <cell r="L414">
            <v>132893.52345718083</v>
          </cell>
          <cell r="M414">
            <v>130296.34966059931</v>
          </cell>
          <cell r="N414">
            <v>99189.900625653099</v>
          </cell>
          <cell r="O414">
            <v>57160.94799457123</v>
          </cell>
          <cell r="P414">
            <v>20326.280816862807</v>
          </cell>
          <cell r="Q414">
            <v>0</v>
          </cell>
          <cell r="R414">
            <v>0</v>
          </cell>
          <cell r="S414">
            <v>0</v>
          </cell>
          <cell r="T414">
            <v>0</v>
          </cell>
          <cell r="U414">
            <v>0</v>
          </cell>
          <cell r="V414">
            <v>0</v>
          </cell>
        </row>
        <row r="415">
          <cell r="D415" t="str">
            <v xml:space="preserve">VA Semi </v>
          </cell>
          <cell r="E415">
            <v>2895.3079710236884</v>
          </cell>
          <cell r="F415">
            <v>2895.3079710236884</v>
          </cell>
          <cell r="G415">
            <v>2895.3079710236884</v>
          </cell>
          <cell r="H415">
            <v>3619.1349637796106</v>
          </cell>
          <cell r="I415">
            <v>3981.0484601575718</v>
          </cell>
          <cell r="J415">
            <v>4919.9655813683739</v>
          </cell>
          <cell r="K415">
            <v>5464.5333063908229</v>
          </cell>
          <cell r="L415">
            <v>5773.4176188408464</v>
          </cell>
          <cell r="M415">
            <v>5660.5861687724246</v>
          </cell>
          <cell r="N415">
            <v>4309.1996132357399</v>
          </cell>
          <cell r="O415">
            <v>2483.2965194713615</v>
          </cell>
          <cell r="P415">
            <v>883.05362624683562</v>
          </cell>
          <cell r="Q415">
            <v>0</v>
          </cell>
          <cell r="R415">
            <v>0</v>
          </cell>
          <cell r="S415">
            <v>0</v>
          </cell>
          <cell r="T415">
            <v>0</v>
          </cell>
          <cell r="U415">
            <v>0</v>
          </cell>
          <cell r="V415">
            <v>0</v>
          </cell>
        </row>
        <row r="416">
          <cell r="D416" t="str">
            <v xml:space="preserve">WA Semi </v>
          </cell>
          <cell r="E416">
            <v>26063.257312786922</v>
          </cell>
          <cell r="F416">
            <v>26063.257312786922</v>
          </cell>
          <cell r="G416">
            <v>26063.257312786922</v>
          </cell>
          <cell r="H416">
            <v>32579.071640983653</v>
          </cell>
          <cell r="I416">
            <v>35836.978805082021</v>
          </cell>
          <cell r="J416">
            <v>44289.011808274437</v>
          </cell>
          <cell r="K416">
            <v>49191.153094640184</v>
          </cell>
          <cell r="L416">
            <v>51971.697132040747</v>
          </cell>
          <cell r="M416">
            <v>70329.344087127</v>
          </cell>
          <cell r="N416">
            <v>78119.564246817055</v>
          </cell>
          <cell r="O416">
            <v>73348.835070778776</v>
          </cell>
          <cell r="P416">
            <v>56305.141375742751</v>
          </cell>
          <cell r="Q416">
            <v>58461.798687187205</v>
          </cell>
          <cell r="R416">
            <v>58773.366699114456</v>
          </cell>
          <cell r="S416">
            <v>58871.77660978213</v>
          </cell>
          <cell r="T416">
            <v>59862.223271990602</v>
          </cell>
          <cell r="U416">
            <v>64611.220549797348</v>
          </cell>
          <cell r="V416">
            <v>63923.995593649794</v>
          </cell>
        </row>
        <row r="417">
          <cell r="D417" t="str">
            <v xml:space="preserve">WV Semi </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row>
        <row r="418">
          <cell r="D418" t="str">
            <v xml:space="preserve">WI Semi </v>
          </cell>
          <cell r="E418">
            <v>2797.4571991680582</v>
          </cell>
          <cell r="F418">
            <v>2797.4571991680582</v>
          </cell>
          <cell r="G418">
            <v>2797.4571991680582</v>
          </cell>
          <cell r="H418">
            <v>3496.8214989600729</v>
          </cell>
          <cell r="I418">
            <v>3846.5036488560804</v>
          </cell>
          <cell r="J418">
            <v>4753.6888210174484</v>
          </cell>
          <cell r="K418">
            <v>5279.8521577142328</v>
          </cell>
          <cell r="L418">
            <v>5578.2973152661179</v>
          </cell>
          <cell r="M418">
            <v>5469.2791536593322</v>
          </cell>
          <cell r="N418">
            <v>4163.5644986106054</v>
          </cell>
          <cell r="O418">
            <v>2399.3702209191706</v>
          </cell>
          <cell r="P418">
            <v>853.20965808077744</v>
          </cell>
          <cell r="Q418">
            <v>0</v>
          </cell>
          <cell r="R418">
            <v>0</v>
          </cell>
          <cell r="S418">
            <v>0</v>
          </cell>
          <cell r="T418">
            <v>0</v>
          </cell>
          <cell r="U418">
            <v>0</v>
          </cell>
          <cell r="V418">
            <v>0</v>
          </cell>
        </row>
        <row r="419">
          <cell r="D419" t="str">
            <v xml:space="preserve">WY Semi </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row>
        <row r="420">
          <cell r="D420" t="str">
            <v xml:space="preserve">AL EU </v>
          </cell>
          <cell r="E420">
            <v>24.793227539691188</v>
          </cell>
          <cell r="F420">
            <v>23.841967592839179</v>
          </cell>
          <cell r="G420">
            <v>24.110404411297015</v>
          </cell>
          <cell r="H420">
            <v>23.621193994179261</v>
          </cell>
          <cell r="I420">
            <v>22.534347351167991</v>
          </cell>
          <cell r="J420">
            <v>20.950681919556736</v>
          </cell>
          <cell r="K420">
            <v>19.443039768480872</v>
          </cell>
          <cell r="L420">
            <v>17.925571875964469</v>
          </cell>
          <cell r="M420">
            <v>15.596316609032437</v>
          </cell>
          <cell r="N420">
            <v>15.953536140131453</v>
          </cell>
          <cell r="O420">
            <v>15.433576613749516</v>
          </cell>
          <cell r="P420">
            <v>14.811979245314822</v>
          </cell>
          <cell r="Q420">
            <v>14.585550819316209</v>
          </cell>
          <cell r="R420">
            <v>14.025543259475755</v>
          </cell>
          <cell r="S420">
            <v>14.370003039944168</v>
          </cell>
          <cell r="T420">
            <v>14.296357887623268</v>
          </cell>
          <cell r="U420">
            <v>13.646509557761455</v>
          </cell>
          <cell r="V420">
            <v>12.943532142547452</v>
          </cell>
        </row>
        <row r="421">
          <cell r="D421" t="str">
            <v xml:space="preserve">AK EU </v>
          </cell>
          <cell r="E421">
            <v>1.7599556810113897</v>
          </cell>
          <cell r="F421">
            <v>1.6571779255491628</v>
          </cell>
          <cell r="G421">
            <v>1.6827902893791675</v>
          </cell>
          <cell r="H421">
            <v>1.5883431588843968</v>
          </cell>
          <cell r="I421">
            <v>1.5116264457089863</v>
          </cell>
          <cell r="J421">
            <v>1.3861517300736896</v>
          </cell>
          <cell r="K421">
            <v>1.2711846330646577</v>
          </cell>
          <cell r="L421">
            <v>1.163846379417149</v>
          </cell>
          <cell r="M421">
            <v>1.0035834430558055</v>
          </cell>
          <cell r="N421">
            <v>1.0501839742511643</v>
          </cell>
          <cell r="O421">
            <v>0.98117442834798718</v>
          </cell>
          <cell r="P421">
            <v>1.0179875642215668</v>
          </cell>
          <cell r="Q421">
            <v>0.95967222492060844</v>
          </cell>
          <cell r="R421">
            <v>0.9306981754134821</v>
          </cell>
          <cell r="S421">
            <v>0.95752314633538882</v>
          </cell>
          <cell r="T421">
            <v>0.94760869872074749</v>
          </cell>
          <cell r="U421">
            <v>0.9304018283698392</v>
          </cell>
          <cell r="V421">
            <v>0.89175704701280989</v>
          </cell>
        </row>
        <row r="422">
          <cell r="D422" t="str">
            <v xml:space="preserve">AZ EU </v>
          </cell>
          <cell r="E422">
            <v>17.157352347510649</v>
          </cell>
          <cell r="F422">
            <v>16.295805866508463</v>
          </cell>
          <cell r="G422">
            <v>16.929489280235366</v>
          </cell>
          <cell r="H422">
            <v>16.123640050143042</v>
          </cell>
          <cell r="I422">
            <v>15.765894383182587</v>
          </cell>
          <cell r="J422">
            <v>14.541052551982016</v>
          </cell>
          <cell r="K422">
            <v>13.852538286365331</v>
          </cell>
          <cell r="L422">
            <v>13.09324381754301</v>
          </cell>
          <cell r="M422">
            <v>11.000581834194721</v>
          </cell>
          <cell r="N422">
            <v>11.441537238838654</v>
          </cell>
          <cell r="O422">
            <v>11.295588667687714</v>
          </cell>
          <cell r="P422">
            <v>11.623310813657548</v>
          </cell>
          <cell r="Q422">
            <v>10.991914640841809</v>
          </cell>
          <cell r="R422">
            <v>10.719291572253544</v>
          </cell>
          <cell r="S422">
            <v>11.072007297934366</v>
          </cell>
          <cell r="T422">
            <v>11.121256330587826</v>
          </cell>
          <cell r="U422">
            <v>11.024152166820727</v>
          </cell>
          <cell r="V422">
            <v>10.880643098280363</v>
          </cell>
        </row>
        <row r="423">
          <cell r="D423" t="str">
            <v xml:space="preserve">AR EU </v>
          </cell>
          <cell r="E423">
            <v>11.321936922347398</v>
          </cell>
          <cell r="F423">
            <v>11.074658017903243</v>
          </cell>
          <cell r="G423">
            <v>11.034335851994777</v>
          </cell>
          <cell r="H423">
            <v>11.496203681082983</v>
          </cell>
          <cell r="I423">
            <v>10.876631133636323</v>
          </cell>
          <cell r="J423">
            <v>10.376000030924223</v>
          </cell>
          <cell r="K423">
            <v>9.6109769269178056</v>
          </cell>
          <cell r="L423">
            <v>8.86194522225958</v>
          </cell>
          <cell r="M423">
            <v>7.7447106108193307</v>
          </cell>
          <cell r="N423">
            <v>7.8950581904691948</v>
          </cell>
          <cell r="O423">
            <v>7.688900991678036</v>
          </cell>
          <cell r="P423">
            <v>7.7892356009649211</v>
          </cell>
          <cell r="Q423">
            <v>7.4536170089732892</v>
          </cell>
          <cell r="R423">
            <v>7.2111917964671273</v>
          </cell>
          <cell r="S423">
            <v>7.2242223620367225</v>
          </cell>
          <cell r="T423">
            <v>7.3988595841933247</v>
          </cell>
          <cell r="U423">
            <v>7.0184127270567425</v>
          </cell>
          <cell r="V423">
            <v>6.6325458097890735</v>
          </cell>
        </row>
        <row r="424">
          <cell r="D424" t="str">
            <v xml:space="preserve">CA EU </v>
          </cell>
          <cell r="E424">
            <v>87.336192074735791</v>
          </cell>
          <cell r="F424">
            <v>81.248661393716745</v>
          </cell>
          <cell r="G424">
            <v>82.782301931666836</v>
          </cell>
          <cell r="H424">
            <v>76.428485767534411</v>
          </cell>
          <cell r="I424">
            <v>71.251673847711743</v>
          </cell>
          <cell r="J424">
            <v>63.625479776770575</v>
          </cell>
          <cell r="K424">
            <v>58.009758888271698</v>
          </cell>
          <cell r="L424">
            <v>54.791007261029463</v>
          </cell>
          <cell r="M424">
            <v>46.575189979781086</v>
          </cell>
          <cell r="N424">
            <v>46.596177085451011</v>
          </cell>
          <cell r="O424">
            <v>45.09680575531673</v>
          </cell>
          <cell r="P424">
            <v>46.243427843143458</v>
          </cell>
          <cell r="Q424">
            <v>41.300549987646072</v>
          </cell>
          <cell r="R424">
            <v>40.686300011910447</v>
          </cell>
          <cell r="S424">
            <v>41.689793497778993</v>
          </cell>
          <cell r="T424">
            <v>40.748609104002576</v>
          </cell>
          <cell r="U424">
            <v>39.573856234952629</v>
          </cell>
          <cell r="V424">
            <v>37.244803133281913</v>
          </cell>
        </row>
        <row r="425">
          <cell r="D425" t="str">
            <v xml:space="preserve">CO EU </v>
          </cell>
          <cell r="E425">
            <v>12.740749556872183</v>
          </cell>
          <cell r="F425">
            <v>12.249258576526952</v>
          </cell>
          <cell r="G425">
            <v>12.341672425742173</v>
          </cell>
          <cell r="H425">
            <v>11.966346142633338</v>
          </cell>
          <cell r="I425">
            <v>11.504565882012026</v>
          </cell>
          <cell r="J425">
            <v>10.569142165742127</v>
          </cell>
          <cell r="K425">
            <v>9.8600240193537037</v>
          </cell>
          <cell r="L425">
            <v>9.1532847253025889</v>
          </cell>
          <cell r="M425">
            <v>7.7957787606318902</v>
          </cell>
          <cell r="N425">
            <v>8.0502611951139418</v>
          </cell>
          <cell r="O425">
            <v>7.9492732653984959</v>
          </cell>
          <cell r="P425">
            <v>8.2565229286025623</v>
          </cell>
          <cell r="Q425">
            <v>8.0659152833024859</v>
          </cell>
          <cell r="R425">
            <v>7.7776697640155525</v>
          </cell>
          <cell r="S425">
            <v>7.7289941966142495</v>
          </cell>
          <cell r="T425">
            <v>7.7495808582928136</v>
          </cell>
          <cell r="U425">
            <v>7.484656343545363</v>
          </cell>
          <cell r="V425">
            <v>7.2307892961332341</v>
          </cell>
        </row>
        <row r="426">
          <cell r="D426" t="str">
            <v xml:space="preserve">CT EU </v>
          </cell>
          <cell r="E426">
            <v>11.248268380829728</v>
          </cell>
          <cell r="F426">
            <v>10.580566070164071</v>
          </cell>
          <cell r="G426">
            <v>10.520787681737101</v>
          </cell>
          <cell r="H426">
            <v>9.8897721988209693</v>
          </cell>
          <cell r="I426">
            <v>9.3449820635643768</v>
          </cell>
          <cell r="J426">
            <v>8.3704757988651277</v>
          </cell>
          <cell r="K426">
            <v>7.5578439619872197</v>
          </cell>
          <cell r="L426">
            <v>6.8361519967839879</v>
          </cell>
          <cell r="M426">
            <v>5.7040784278244709</v>
          </cell>
          <cell r="N426">
            <v>5.9136432907633276</v>
          </cell>
          <cell r="O426">
            <v>5.5345954526807581</v>
          </cell>
          <cell r="P426">
            <v>5.7003402674512165</v>
          </cell>
          <cell r="Q426">
            <v>5.4441801297892018</v>
          </cell>
          <cell r="R426">
            <v>5.324590049469645</v>
          </cell>
          <cell r="S426">
            <v>5.3288969486945943</v>
          </cell>
          <cell r="T426">
            <v>5.3041455848590067</v>
          </cell>
          <cell r="U426">
            <v>4.7672877561570051</v>
          </cell>
          <cell r="V426">
            <v>4.81061289940493</v>
          </cell>
        </row>
        <row r="427">
          <cell r="D427" t="str">
            <v xml:space="preserve">DE EU </v>
          </cell>
          <cell r="E427">
            <v>3.4273124488445212</v>
          </cell>
          <cell r="F427">
            <v>3.3238720271526252</v>
          </cell>
          <cell r="G427">
            <v>3.3091552462639484</v>
          </cell>
          <cell r="H427">
            <v>3.3117088131554699</v>
          </cell>
          <cell r="I427">
            <v>3.1006828419774606</v>
          </cell>
          <cell r="J427">
            <v>2.8668336793984239</v>
          </cell>
          <cell r="K427">
            <v>2.5640654294235428</v>
          </cell>
          <cell r="L427">
            <v>2.4338148121229666</v>
          </cell>
          <cell r="M427">
            <v>2.0482702834601869</v>
          </cell>
          <cell r="N427">
            <v>2.0938483178770197</v>
          </cell>
          <cell r="O427">
            <v>2.0832594243996536</v>
          </cell>
          <cell r="P427">
            <v>2.1237861868414454</v>
          </cell>
          <cell r="Q427">
            <v>2.1103409408579847</v>
          </cell>
          <cell r="R427">
            <v>2.1076717583711568</v>
          </cell>
          <cell r="S427">
            <v>1.9455139247326065</v>
          </cell>
          <cell r="T427">
            <v>1.9451649516478675</v>
          </cell>
          <cell r="U427">
            <v>1.7389165205930595</v>
          </cell>
          <cell r="V427">
            <v>1.6729488552567819</v>
          </cell>
        </row>
        <row r="428">
          <cell r="D428" t="str">
            <v xml:space="preserve">DC EU </v>
          </cell>
          <cell r="E428">
            <v>4.0746306224207336</v>
          </cell>
          <cell r="F428">
            <v>3.9700043379277643</v>
          </cell>
          <cell r="G428">
            <v>3.8950346363487109</v>
          </cell>
          <cell r="H428">
            <v>3.7668262642075669</v>
          </cell>
          <cell r="I428">
            <v>3.4326940191806501</v>
          </cell>
          <cell r="J428">
            <v>3.087104924445899</v>
          </cell>
          <cell r="K428">
            <v>2.6959740915367609</v>
          </cell>
          <cell r="L428">
            <v>2.4300526811040761</v>
          </cell>
          <cell r="M428">
            <v>2.0252700943094508</v>
          </cell>
          <cell r="N428">
            <v>2.0671483301440681</v>
          </cell>
          <cell r="O428">
            <v>1.9615323153974602</v>
          </cell>
          <cell r="P428">
            <v>2.0308072468429064</v>
          </cell>
          <cell r="Q428">
            <v>1.9540695362079492</v>
          </cell>
          <cell r="R428">
            <v>1.8311216718491743</v>
          </cell>
          <cell r="S428">
            <v>1.8882284574643504</v>
          </cell>
          <cell r="T428">
            <v>1.8937853835641025</v>
          </cell>
          <cell r="U428">
            <v>1.7151010404521425</v>
          </cell>
          <cell r="V428">
            <v>1.7069714767274775</v>
          </cell>
        </row>
        <row r="429">
          <cell r="D429" t="str">
            <v xml:space="preserve">FL EU </v>
          </cell>
          <cell r="E429">
            <v>59.385172916559327</v>
          </cell>
          <cell r="F429">
            <v>56.983445146099463</v>
          </cell>
          <cell r="G429">
            <v>57.015594031670922</v>
          </cell>
          <cell r="H429">
            <v>55.459803394246421</v>
          </cell>
          <cell r="I429">
            <v>53.199033908730819</v>
          </cell>
          <cell r="J429">
            <v>50.124792330988221</v>
          </cell>
          <cell r="K429">
            <v>45.700887620001204</v>
          </cell>
          <cell r="L429">
            <v>42.086485084017234</v>
          </cell>
          <cell r="M429">
            <v>36.907030389856303</v>
          </cell>
          <cell r="N429">
            <v>37.158989035721838</v>
          </cell>
          <cell r="O429">
            <v>36.187797675461169</v>
          </cell>
          <cell r="P429">
            <v>37.469779483424155</v>
          </cell>
          <cell r="Q429">
            <v>36.956546947948198</v>
          </cell>
          <cell r="R429">
            <v>36.363308842830527</v>
          </cell>
          <cell r="S429">
            <v>36.157949548622561</v>
          </cell>
          <cell r="T429">
            <v>36.057101493714541</v>
          </cell>
          <cell r="U429">
            <v>34.345824388941082</v>
          </cell>
          <cell r="V429">
            <v>32.572154835865717</v>
          </cell>
        </row>
        <row r="430">
          <cell r="D430" t="str">
            <v xml:space="preserve">GA EU </v>
          </cell>
          <cell r="E430">
            <v>33.280762589898814</v>
          </cell>
          <cell r="F430">
            <v>31.751382997080583</v>
          </cell>
          <cell r="G430">
            <v>32.342112211025309</v>
          </cell>
          <cell r="H430">
            <v>32.383556313744634</v>
          </cell>
          <cell r="I430">
            <v>29.980947013177925</v>
          </cell>
          <cell r="J430">
            <v>28.787097727041463</v>
          </cell>
          <cell r="K430">
            <v>26.943907099226113</v>
          </cell>
          <cell r="L430">
            <v>24.584749353761715</v>
          </cell>
          <cell r="M430">
            <v>21.810825569387195</v>
          </cell>
          <cell r="N430">
            <v>22.353649199216211</v>
          </cell>
          <cell r="O430">
            <v>22.022977307199739</v>
          </cell>
          <cell r="P430">
            <v>21.985236134742472</v>
          </cell>
          <cell r="Q430">
            <v>21.735830024565185</v>
          </cell>
          <cell r="R430">
            <v>20.688752342628327</v>
          </cell>
          <cell r="S430">
            <v>21.416053812787222</v>
          </cell>
          <cell r="T430">
            <v>21.198205121838111</v>
          </cell>
          <cell r="U430">
            <v>20.291823279416327</v>
          </cell>
          <cell r="V430">
            <v>19.374588341266342</v>
          </cell>
        </row>
        <row r="431">
          <cell r="D431" t="str">
            <v xml:space="preserve">HI EU </v>
          </cell>
          <cell r="E431">
            <v>3.438346718589639</v>
          </cell>
          <cell r="F431">
            <v>3.3192860542664855</v>
          </cell>
          <cell r="G431">
            <v>3.3613225387450285</v>
          </cell>
          <cell r="H431">
            <v>3.1435214264164619</v>
          </cell>
          <cell r="I431">
            <v>2.983794503518038</v>
          </cell>
          <cell r="J431">
            <v>2.7495436413769228</v>
          </cell>
          <cell r="K431">
            <v>2.4944526501199764</v>
          </cell>
          <cell r="L431">
            <v>2.2512433808937673</v>
          </cell>
          <cell r="M431">
            <v>1.8243408138062442</v>
          </cell>
          <cell r="N431">
            <v>1.8614469100855802</v>
          </cell>
          <cell r="O431">
            <v>1.7906249923542488</v>
          </cell>
          <cell r="P431">
            <v>1.8262591409261444</v>
          </cell>
          <cell r="Q431">
            <v>1.7368492092051122</v>
          </cell>
          <cell r="R431">
            <v>1.7381892254483136</v>
          </cell>
          <cell r="S431">
            <v>1.7751934349928498</v>
          </cell>
          <cell r="T431">
            <v>1.6890727893221194</v>
          </cell>
          <cell r="U431">
            <v>1.5904144025008793</v>
          </cell>
          <cell r="V431">
            <v>1.4920336448726335</v>
          </cell>
        </row>
        <row r="432">
          <cell r="D432" t="str">
            <v xml:space="preserve">ID EU </v>
          </cell>
          <cell r="E432">
            <v>7.4486169734981642</v>
          </cell>
          <cell r="F432">
            <v>7.0269721200658211</v>
          </cell>
          <cell r="G432">
            <v>7.3720471798163123</v>
          </cell>
          <cell r="H432">
            <v>6.796814859737867</v>
          </cell>
          <cell r="I432">
            <v>6.6283979649765312</v>
          </cell>
          <cell r="J432">
            <v>5.8715633943126928</v>
          </cell>
          <cell r="K432">
            <v>5.7930032615962519</v>
          </cell>
          <cell r="L432">
            <v>5.3843245501947221</v>
          </cell>
          <cell r="M432">
            <v>4.3489447821296485</v>
          </cell>
          <cell r="N432">
            <v>4.5086774752028651</v>
          </cell>
          <cell r="O432">
            <v>4.2192769513135371</v>
          </cell>
          <cell r="P432">
            <v>3.9375078767833922</v>
          </cell>
          <cell r="Q432">
            <v>3.6346051607337375</v>
          </cell>
          <cell r="R432">
            <v>3.549482413655817</v>
          </cell>
          <cell r="S432">
            <v>3.6075611759284101</v>
          </cell>
          <cell r="T432">
            <v>3.5023326749005812</v>
          </cell>
          <cell r="U432">
            <v>3.4255218472400211</v>
          </cell>
          <cell r="V432">
            <v>3.3483736975410285</v>
          </cell>
        </row>
        <row r="433">
          <cell r="D433" t="str">
            <v xml:space="preserve">IL EU </v>
          </cell>
          <cell r="E433">
            <v>46.163038757954055</v>
          </cell>
          <cell r="F433">
            <v>45.508706651120988</v>
          </cell>
          <cell r="G433">
            <v>43.639390857087044</v>
          </cell>
          <cell r="H433">
            <v>42.765973634104611</v>
          </cell>
          <cell r="I433">
            <v>40.510085180889163</v>
          </cell>
          <cell r="J433">
            <v>37.77673384791634</v>
          </cell>
          <cell r="K433">
            <v>33.508726582302188</v>
          </cell>
          <cell r="L433">
            <v>30.52438266753364</v>
          </cell>
          <cell r="M433">
            <v>25.943045012778398</v>
          </cell>
          <cell r="N433">
            <v>26.327255229556819</v>
          </cell>
          <cell r="O433">
            <v>24.889258261451673</v>
          </cell>
          <cell r="P433">
            <v>25.390251187904312</v>
          </cell>
          <cell r="Q433">
            <v>24.309634673309173</v>
          </cell>
          <cell r="R433">
            <v>22.791680681540569</v>
          </cell>
          <cell r="S433">
            <v>23.035199905324053</v>
          </cell>
          <cell r="T433">
            <v>23.236963840027716</v>
          </cell>
          <cell r="U433">
            <v>21.437635951086946</v>
          </cell>
          <cell r="V433">
            <v>20.586966820583232</v>
          </cell>
        </row>
        <row r="434">
          <cell r="D434" t="str">
            <v xml:space="preserve">IN EU </v>
          </cell>
          <cell r="E434">
            <v>30.60891491520103</v>
          </cell>
          <cell r="F434">
            <v>29.99699623113257</v>
          </cell>
          <cell r="G434">
            <v>29.854299878573091</v>
          </cell>
          <cell r="H434">
            <v>29.747752582952874</v>
          </cell>
          <cell r="I434">
            <v>27.945093130023551</v>
          </cell>
          <cell r="J434">
            <v>26.037971562485463</v>
          </cell>
          <cell r="K434">
            <v>23.644438118966683</v>
          </cell>
          <cell r="L434">
            <v>21.434220090654993</v>
          </cell>
          <cell r="M434">
            <v>18.134692166656169</v>
          </cell>
          <cell r="N434">
            <v>19.194676740052024</v>
          </cell>
          <cell r="O434">
            <v>18.066816977053037</v>
          </cell>
          <cell r="P434">
            <v>18.241750034108144</v>
          </cell>
          <cell r="Q434">
            <v>17.809598052245864</v>
          </cell>
          <cell r="R434">
            <v>16.806348494242652</v>
          </cell>
          <cell r="S434">
            <v>17.053712695221765</v>
          </cell>
          <cell r="T434">
            <v>17.076610827204281</v>
          </cell>
          <cell r="U434">
            <v>15.901941385055412</v>
          </cell>
          <cell r="V434">
            <v>15.423139698463904</v>
          </cell>
        </row>
        <row r="435">
          <cell r="D435" t="str">
            <v xml:space="preserve">IA EU </v>
          </cell>
          <cell r="E435">
            <v>12.179226864464901</v>
          </cell>
          <cell r="F435">
            <v>11.986325051179529</v>
          </cell>
          <cell r="G435">
            <v>11.715746361310572</v>
          </cell>
          <cell r="H435">
            <v>11.656313971897575</v>
          </cell>
          <cell r="I435">
            <v>11.016728483988889</v>
          </cell>
          <cell r="J435">
            <v>10.26511728948763</v>
          </cell>
          <cell r="K435">
            <v>9.3085349212830177</v>
          </cell>
          <cell r="L435">
            <v>8.6913432680152614</v>
          </cell>
          <cell r="M435">
            <v>7.351340163263953</v>
          </cell>
          <cell r="N435">
            <v>7.5468364583635177</v>
          </cell>
          <cell r="O435">
            <v>7.2226426060913989</v>
          </cell>
          <cell r="P435">
            <v>7.3620577762339821</v>
          </cell>
          <cell r="Q435">
            <v>7.1811023834457002</v>
          </cell>
          <cell r="R435">
            <v>6.8931948361795614</v>
          </cell>
          <cell r="S435">
            <v>6.7660810493390304</v>
          </cell>
          <cell r="T435">
            <v>6.8526404486868477</v>
          </cell>
          <cell r="U435">
            <v>6.5219625733829156</v>
          </cell>
          <cell r="V435">
            <v>6.3808921602814914</v>
          </cell>
        </row>
        <row r="436">
          <cell r="D436" t="str">
            <v xml:space="preserve">KS EU </v>
          </cell>
          <cell r="E436">
            <v>11.232351643245758</v>
          </cell>
          <cell r="F436">
            <v>10.962497745481276</v>
          </cell>
          <cell r="G436">
            <v>10.498345224007801</v>
          </cell>
          <cell r="H436">
            <v>10.459772052167617</v>
          </cell>
          <cell r="I436">
            <v>9.8745405981040051</v>
          </cell>
          <cell r="J436">
            <v>9.0847989895878829</v>
          </cell>
          <cell r="K436">
            <v>8.3221355701994106</v>
          </cell>
          <cell r="L436">
            <v>7.7589315420708775</v>
          </cell>
          <cell r="M436">
            <v>6.7252822559430125</v>
          </cell>
          <cell r="N436">
            <v>6.7107347557008392</v>
          </cell>
          <cell r="O436">
            <v>6.6375551956224825</v>
          </cell>
          <cell r="P436">
            <v>6.6907251696454502</v>
          </cell>
          <cell r="Q436">
            <v>6.4464432398476612</v>
          </cell>
          <cell r="R436">
            <v>6.1451320269747045</v>
          </cell>
          <cell r="S436">
            <v>6.1414217251609688</v>
          </cell>
          <cell r="T436">
            <v>6.2544280706549138</v>
          </cell>
          <cell r="U436">
            <v>5.9823589767744103</v>
          </cell>
          <cell r="V436">
            <v>5.6615301148489392</v>
          </cell>
        </row>
        <row r="437">
          <cell r="D437" t="str">
            <v xml:space="preserve">KY EU </v>
          </cell>
          <cell r="E437">
            <v>25.277817334064533</v>
          </cell>
          <cell r="F437">
            <v>24.997116025322601</v>
          </cell>
          <cell r="G437">
            <v>26.011245210420334</v>
          </cell>
          <cell r="H437">
            <v>24.743661617311368</v>
          </cell>
          <cell r="I437">
            <v>24.169785425864774</v>
          </cell>
          <cell r="J437">
            <v>22.309781151634663</v>
          </cell>
          <cell r="K437">
            <v>20.484101078486788</v>
          </cell>
          <cell r="L437">
            <v>18.474165691302677</v>
          </cell>
          <cell r="M437">
            <v>14.941772727711161</v>
          </cell>
          <cell r="N437">
            <v>15.694976443228576</v>
          </cell>
          <cell r="O437">
            <v>14.47123234099473</v>
          </cell>
          <cell r="P437">
            <v>14.927185414297984</v>
          </cell>
          <cell r="Q437">
            <v>15.322976170335286</v>
          </cell>
          <cell r="R437">
            <v>14.255623358975264</v>
          </cell>
          <cell r="S437">
            <v>14.312211887895865</v>
          </cell>
          <cell r="T437">
            <v>14.320373729981613</v>
          </cell>
          <cell r="U437">
            <v>13.355413742222742</v>
          </cell>
          <cell r="V437">
            <v>13.024669980902315</v>
          </cell>
        </row>
        <row r="438">
          <cell r="D438" t="str">
            <v xml:space="preserve">LA EU </v>
          </cell>
          <cell r="E438">
            <v>26.406902399034294</v>
          </cell>
          <cell r="F438">
            <v>25.195903950979019</v>
          </cell>
          <cell r="G438">
            <v>25.247408137298365</v>
          </cell>
          <cell r="H438">
            <v>24.600840508989311</v>
          </cell>
          <cell r="I438">
            <v>23.38500545287128</v>
          </cell>
          <cell r="J438">
            <v>21.794741045095634</v>
          </cell>
          <cell r="K438">
            <v>20.018762578806147</v>
          </cell>
          <cell r="L438">
            <v>18.245786281573569</v>
          </cell>
          <cell r="M438">
            <v>15.309313220984931</v>
          </cell>
          <cell r="N438">
            <v>15.530018894908503</v>
          </cell>
          <cell r="O438">
            <v>14.909934351747994</v>
          </cell>
          <cell r="P438">
            <v>13.941176450565081</v>
          </cell>
          <cell r="Q438">
            <v>13.917248696875591</v>
          </cell>
          <cell r="R438">
            <v>13.009328370770215</v>
          </cell>
          <cell r="S438">
            <v>13.190004561114323</v>
          </cell>
          <cell r="T438">
            <v>12.403174639049359</v>
          </cell>
          <cell r="U438">
            <v>11.658482976439309</v>
          </cell>
          <cell r="V438">
            <v>11.21522849977702</v>
          </cell>
        </row>
        <row r="439">
          <cell r="D439" t="str">
            <v xml:space="preserve">ME EU </v>
          </cell>
          <cell r="E439">
            <v>4.7699220110507881</v>
          </cell>
          <cell r="F439">
            <v>4.4324648715959469</v>
          </cell>
          <cell r="G439">
            <v>4.4535193041145114</v>
          </cell>
          <cell r="H439">
            <v>4.339671218860687</v>
          </cell>
          <cell r="I439">
            <v>3.8698853279211907</v>
          </cell>
          <cell r="J439">
            <v>3.459910827729948</v>
          </cell>
          <cell r="K439">
            <v>3.1187918239983135</v>
          </cell>
          <cell r="L439">
            <v>2.8753815661099313</v>
          </cell>
          <cell r="M439">
            <v>2.2848299808294761</v>
          </cell>
          <cell r="N439">
            <v>2.3699084518940694</v>
          </cell>
          <cell r="O439">
            <v>2.2474707022798088</v>
          </cell>
          <cell r="P439">
            <v>2.2681335489134344</v>
          </cell>
          <cell r="Q439">
            <v>2.0089608611367078</v>
          </cell>
          <cell r="R439">
            <v>2.0026606215537868</v>
          </cell>
          <cell r="S439">
            <v>2.0458428106895528</v>
          </cell>
          <cell r="T439">
            <v>1.9814005923365752</v>
          </cell>
          <cell r="U439">
            <v>1.8487920753486518</v>
          </cell>
          <cell r="V439">
            <v>1.6717355285840951</v>
          </cell>
        </row>
        <row r="440">
          <cell r="D440" t="str">
            <v xml:space="preserve">MD EU </v>
          </cell>
          <cell r="E440">
            <v>20.49375846651127</v>
          </cell>
          <cell r="F440">
            <v>19.90142025507426</v>
          </cell>
          <cell r="G440">
            <v>19.775234496217969</v>
          </cell>
          <cell r="H440">
            <v>19.560036626221255</v>
          </cell>
          <cell r="I440">
            <v>18.256581078327748</v>
          </cell>
          <cell r="J440">
            <v>16.806223724598294</v>
          </cell>
          <cell r="K440">
            <v>15.159207380675358</v>
          </cell>
          <cell r="L440">
            <v>13.528112453940388</v>
          </cell>
          <cell r="M440">
            <v>11.392663571448242</v>
          </cell>
          <cell r="N440">
            <v>11.724148949809971</v>
          </cell>
          <cell r="O440">
            <v>11.212023731416787</v>
          </cell>
          <cell r="P440">
            <v>11.504923620183176</v>
          </cell>
          <cell r="Q440">
            <v>12.006665191510233</v>
          </cell>
          <cell r="R440">
            <v>11.920205572613634</v>
          </cell>
          <cell r="S440">
            <v>11.06513398805679</v>
          </cell>
          <cell r="T440">
            <v>10.95693117552295</v>
          </cell>
          <cell r="U440">
            <v>9.5072211500670711</v>
          </cell>
          <cell r="V440">
            <v>9.2170343776238255</v>
          </cell>
        </row>
        <row r="441">
          <cell r="D441" t="str">
            <v xml:space="preserve">MA EU </v>
          </cell>
          <cell r="E441">
            <v>18.800737402219216</v>
          </cell>
          <cell r="F441">
            <v>17.443903419222046</v>
          </cell>
          <cell r="G441">
            <v>17.451829281175403</v>
          </cell>
          <cell r="H441">
            <v>16.440571119541925</v>
          </cell>
          <cell r="I441">
            <v>15.368869363213324</v>
          </cell>
          <cell r="J441">
            <v>13.918971687825039</v>
          </cell>
          <cell r="K441">
            <v>12.578373808572461</v>
          </cell>
          <cell r="L441">
            <v>11.512610208827777</v>
          </cell>
          <cell r="M441">
            <v>9.5751340899726731</v>
          </cell>
          <cell r="N441">
            <v>9.8036426034222881</v>
          </cell>
          <cell r="O441">
            <v>9.5666179943711054</v>
          </cell>
          <cell r="P441">
            <v>9.7982338947068399</v>
          </cell>
          <cell r="Q441">
            <v>9.430378787295318</v>
          </cell>
          <cell r="R441">
            <v>9.2864960235241103</v>
          </cell>
          <cell r="S441">
            <v>9.2869363851573539</v>
          </cell>
          <cell r="T441">
            <v>9.1718746710368588</v>
          </cell>
          <cell r="U441">
            <v>8.4051407238222957</v>
          </cell>
          <cell r="V441">
            <v>8.053909941739823</v>
          </cell>
        </row>
        <row r="442">
          <cell r="D442" t="str">
            <v xml:space="preserve">MI EU </v>
          </cell>
          <cell r="E442">
            <v>34.077924657173497</v>
          </cell>
          <cell r="F442">
            <v>32.911585851578273</v>
          </cell>
          <cell r="G442">
            <v>32.516170213551192</v>
          </cell>
          <cell r="H442">
            <v>31.80174144743042</v>
          </cell>
          <cell r="I442">
            <v>30.396718902100922</v>
          </cell>
          <cell r="J442">
            <v>28.340880544847352</v>
          </cell>
          <cell r="K442">
            <v>25.61261279574612</v>
          </cell>
          <cell r="L442">
            <v>23.41640077562732</v>
          </cell>
          <cell r="M442">
            <v>19.798741806306108</v>
          </cell>
          <cell r="N442">
            <v>20.632369089328083</v>
          </cell>
          <cell r="O442">
            <v>19.35977399882708</v>
          </cell>
          <cell r="P442">
            <v>19.114395407850857</v>
          </cell>
          <cell r="Q442">
            <v>18.386398127901941</v>
          </cell>
          <cell r="R442">
            <v>18.213083506433609</v>
          </cell>
          <cell r="S442">
            <v>17.634626067750435</v>
          </cell>
          <cell r="T442">
            <v>17.700967755856396</v>
          </cell>
          <cell r="U442">
            <v>16.256087393022959</v>
          </cell>
          <cell r="V442">
            <v>15.405745910738974</v>
          </cell>
        </row>
        <row r="443">
          <cell r="D443" t="str">
            <v xml:space="preserve">MN EU </v>
          </cell>
          <cell r="E443">
            <v>19.514528052308343</v>
          </cell>
          <cell r="F443">
            <v>18.985077686734385</v>
          </cell>
          <cell r="G443">
            <v>18.388090795976538</v>
          </cell>
          <cell r="H443">
            <v>17.867450422314317</v>
          </cell>
          <cell r="I443">
            <v>17.057344985058606</v>
          </cell>
          <cell r="J443">
            <v>16.148054607854782</v>
          </cell>
          <cell r="K443">
            <v>14.612435926820044</v>
          </cell>
          <cell r="L443">
            <v>13.386207237816262</v>
          </cell>
          <cell r="M443">
            <v>11.178024753577613</v>
          </cell>
          <cell r="N443">
            <v>11.389379201714162</v>
          </cell>
          <cell r="O443">
            <v>11.046513822116413</v>
          </cell>
          <cell r="P443">
            <v>11.327017690931322</v>
          </cell>
          <cell r="Q443">
            <v>10.914941240790725</v>
          </cell>
          <cell r="R443">
            <v>10.553311871345596</v>
          </cell>
          <cell r="S443">
            <v>10.477668714066519</v>
          </cell>
          <cell r="T443">
            <v>10.580884171049458</v>
          </cell>
          <cell r="U443">
            <v>10.048518564158172</v>
          </cell>
          <cell r="V443">
            <v>9.6174155471118965</v>
          </cell>
        </row>
        <row r="444">
          <cell r="D444" t="str">
            <v xml:space="preserve">MS EU </v>
          </cell>
          <cell r="E444">
            <v>13.292044759661943</v>
          </cell>
          <cell r="F444">
            <v>12.857773215170594</v>
          </cell>
          <cell r="G444">
            <v>12.892095556053144</v>
          </cell>
          <cell r="H444">
            <v>12.616804705718849</v>
          </cell>
          <cell r="I444">
            <v>12.212896895667654</v>
          </cell>
          <cell r="J444">
            <v>11.332768920116006</v>
          </cell>
          <cell r="K444">
            <v>10.538068750722479</v>
          </cell>
          <cell r="L444">
            <v>9.638846796847977</v>
          </cell>
          <cell r="M444">
            <v>8.3741029723254616</v>
          </cell>
          <cell r="N444">
            <v>8.7266639929977075</v>
          </cell>
          <cell r="O444">
            <v>8.3772033613433958</v>
          </cell>
          <cell r="P444">
            <v>8.2660096346880412</v>
          </cell>
          <cell r="Q444">
            <v>7.9807823263861222</v>
          </cell>
          <cell r="R444">
            <v>7.6186250306808976</v>
          </cell>
          <cell r="S444">
            <v>7.6146397950764557</v>
          </cell>
          <cell r="T444">
            <v>7.3565708601110664</v>
          </cell>
          <cell r="U444">
            <v>7.0636834794683336</v>
          </cell>
          <cell r="V444">
            <v>6.7873534946572249</v>
          </cell>
        </row>
        <row r="445">
          <cell r="D445" t="str">
            <v xml:space="preserve">MO EU </v>
          </cell>
          <cell r="E445">
            <v>22.310423343291468</v>
          </cell>
          <cell r="F445">
            <v>22.006655947955554</v>
          </cell>
          <cell r="G445">
            <v>21.102431710373544</v>
          </cell>
          <cell r="H445">
            <v>21.284548889722274</v>
          </cell>
          <cell r="I445">
            <v>19.904171173446265</v>
          </cell>
          <cell r="J445">
            <v>18.632025531949736</v>
          </cell>
          <cell r="K445">
            <v>17.245876099039499</v>
          </cell>
          <cell r="L445">
            <v>15.799491062037198</v>
          </cell>
          <cell r="M445">
            <v>13.594285456072722</v>
          </cell>
          <cell r="N445">
            <v>13.700206985894955</v>
          </cell>
          <cell r="O445">
            <v>13.422892909937323</v>
          </cell>
          <cell r="P445">
            <v>13.665014697877764</v>
          </cell>
          <cell r="Q445">
            <v>13.169182209107934</v>
          </cell>
          <cell r="R445">
            <v>12.418921193645012</v>
          </cell>
          <cell r="S445">
            <v>12.249960871546365</v>
          </cell>
          <cell r="T445">
            <v>12.972345903863898</v>
          </cell>
          <cell r="U445">
            <v>12.342854767944905</v>
          </cell>
          <cell r="V445">
            <v>12.05614408642063</v>
          </cell>
        </row>
        <row r="446">
          <cell r="D446" t="str">
            <v xml:space="preserve">MT EU </v>
          </cell>
          <cell r="E446">
            <v>5.4300783319907442</v>
          </cell>
          <cell r="F446">
            <v>5.220540383401655</v>
          </cell>
          <cell r="G446">
            <v>5.0792347741634511</v>
          </cell>
          <cell r="H446">
            <v>4.6943543426933161</v>
          </cell>
          <cell r="I446">
            <v>4.3961657779265755</v>
          </cell>
          <cell r="J446">
            <v>4.0157149272498325</v>
          </cell>
          <cell r="K446">
            <v>3.6754847458776534</v>
          </cell>
          <cell r="L446">
            <v>2.8654154172805693</v>
          </cell>
          <cell r="M446">
            <v>2.7863941786033828</v>
          </cell>
          <cell r="N446">
            <v>2.6353933589029794</v>
          </cell>
          <cell r="O446">
            <v>2.6940840539916309</v>
          </cell>
          <cell r="P446">
            <v>2.136484154229001</v>
          </cell>
          <cell r="Q446">
            <v>2.253032925467346</v>
          </cell>
          <cell r="R446">
            <v>2.1453216884606752</v>
          </cell>
          <cell r="S446">
            <v>2.1432932469057064</v>
          </cell>
          <cell r="T446">
            <v>2.160255519544334</v>
          </cell>
          <cell r="U446">
            <v>2.0790808214774685</v>
          </cell>
          <cell r="V446">
            <v>2.1892857435257205</v>
          </cell>
        </row>
        <row r="447">
          <cell r="D447" t="str">
            <v xml:space="preserve">NE EU </v>
          </cell>
          <cell r="E447">
            <v>7.3926926299868168</v>
          </cell>
          <cell r="F447">
            <v>7.2448761189967179</v>
          </cell>
          <cell r="G447">
            <v>6.8973845060386543</v>
          </cell>
          <cell r="H447">
            <v>6.8074171827662271</v>
          </cell>
          <cell r="I447">
            <v>6.6265750285358118</v>
          </cell>
          <cell r="J447">
            <v>6.2524198667434305</v>
          </cell>
          <cell r="K447">
            <v>5.717520954150336</v>
          </cell>
          <cell r="L447">
            <v>5.4296502103701005</v>
          </cell>
          <cell r="M447">
            <v>4.5593193517727819</v>
          </cell>
          <cell r="N447">
            <v>4.5260630245874207</v>
          </cell>
          <cell r="O447">
            <v>4.4992347598596778</v>
          </cell>
          <cell r="P447">
            <v>4.6144061096879172</v>
          </cell>
          <cell r="Q447">
            <v>4.5057647181603429</v>
          </cell>
          <cell r="R447">
            <v>4.3253116908296114</v>
          </cell>
          <cell r="S447">
            <v>4.2803611287436016</v>
          </cell>
          <cell r="T447">
            <v>4.3234388543670352</v>
          </cell>
          <cell r="U447">
            <v>4.1049364948931739</v>
          </cell>
          <cell r="V447">
            <v>3.9817073862363355</v>
          </cell>
        </row>
        <row r="448">
          <cell r="D448" t="str">
            <v xml:space="preserve">NV EU </v>
          </cell>
          <cell r="E448">
            <v>6.7653246808991527</v>
          </cell>
          <cell r="F448">
            <v>6.473950985370875</v>
          </cell>
          <cell r="G448">
            <v>6.8632251663672852</v>
          </cell>
          <cell r="H448">
            <v>6.7165779923800999</v>
          </cell>
          <cell r="I448">
            <v>6.6809673572388357</v>
          </cell>
          <cell r="J448">
            <v>6.182666223464417</v>
          </cell>
          <cell r="K448">
            <v>6.0038469573479611</v>
          </cell>
          <cell r="L448">
            <v>5.8231873401350045</v>
          </cell>
          <cell r="M448">
            <v>4.9320599940145122</v>
          </cell>
          <cell r="N448">
            <v>5.2092967809855644</v>
          </cell>
          <cell r="O448">
            <v>5.1353390941472163</v>
          </cell>
          <cell r="P448">
            <v>5.2573401915236282</v>
          </cell>
          <cell r="Q448">
            <v>5.1279087173035443</v>
          </cell>
          <cell r="R448">
            <v>5.0404536032396177</v>
          </cell>
          <cell r="S448">
            <v>5.1796390488660711</v>
          </cell>
          <cell r="T448">
            <v>5.2088811621720046</v>
          </cell>
          <cell r="U448">
            <v>5.2050476984138463</v>
          </cell>
          <cell r="V448">
            <v>5.0240578940396965</v>
          </cell>
        </row>
        <row r="449">
          <cell r="D449" t="str">
            <v xml:space="preserve">NH EU </v>
          </cell>
          <cell r="E449">
            <v>3.7151662198365258</v>
          </cell>
          <cell r="F449">
            <v>3.4118415554457249</v>
          </cell>
          <cell r="G449">
            <v>3.4727956139599363</v>
          </cell>
          <cell r="H449">
            <v>3.1809398095765133</v>
          </cell>
          <cell r="I449">
            <v>2.9863950305531879</v>
          </cell>
          <cell r="J449">
            <v>2.6956014463822178</v>
          </cell>
          <cell r="K449">
            <v>2.4324378897556755</v>
          </cell>
          <cell r="L449">
            <v>2.204134393194447</v>
          </cell>
          <cell r="M449">
            <v>1.8326362707798705</v>
          </cell>
          <cell r="N449">
            <v>1.9620359787639012</v>
          </cell>
          <cell r="O449">
            <v>1.877158598573561</v>
          </cell>
          <cell r="P449">
            <v>1.9253664478873331</v>
          </cell>
          <cell r="Q449">
            <v>1.8231942474866791</v>
          </cell>
          <cell r="R449">
            <v>1.8354975749958031</v>
          </cell>
          <cell r="S449">
            <v>1.8151898423473984</v>
          </cell>
          <cell r="T449">
            <v>1.8021783259226625</v>
          </cell>
          <cell r="U449">
            <v>1.669639460802173</v>
          </cell>
          <cell r="V449">
            <v>1.5837318512159217</v>
          </cell>
        </row>
        <row r="450">
          <cell r="D450" t="str">
            <v xml:space="preserve">NJ EU </v>
          </cell>
          <cell r="E450">
            <v>26.005910747749034</v>
          </cell>
          <cell r="F450">
            <v>25.187435263000097</v>
          </cell>
          <cell r="G450">
            <v>24.481056730138125</v>
          </cell>
          <cell r="H450">
            <v>23.82559796656372</v>
          </cell>
          <cell r="I450">
            <v>22.093173724902019</v>
          </cell>
          <cell r="J450">
            <v>19.977174155078469</v>
          </cell>
          <cell r="K450">
            <v>17.790085269414664</v>
          </cell>
          <cell r="L450">
            <v>15.848468973134603</v>
          </cell>
          <cell r="M450">
            <v>13.427154189007309</v>
          </cell>
          <cell r="N450">
            <v>14.029230958539049</v>
          </cell>
          <cell r="O450">
            <v>12.930349803107806</v>
          </cell>
          <cell r="P450">
            <v>13.658338895320867</v>
          </cell>
          <cell r="Q450">
            <v>13.099296754655747</v>
          </cell>
          <cell r="R450">
            <v>12.777341435383692</v>
          </cell>
          <cell r="S450">
            <v>12.835356096685636</v>
          </cell>
          <cell r="T450">
            <v>13.125615302768693</v>
          </cell>
          <cell r="U450">
            <v>11.991557624032943</v>
          </cell>
          <cell r="V450">
            <v>11.548921102581206</v>
          </cell>
        </row>
        <row r="451">
          <cell r="D451" t="str">
            <v xml:space="preserve">NM EU </v>
          </cell>
          <cell r="E451">
            <v>5.7181100083442189</v>
          </cell>
          <cell r="F451">
            <v>5.484298659583148</v>
          </cell>
          <cell r="G451">
            <v>5.5970324520653385</v>
          </cell>
          <cell r="H451">
            <v>5.4196634691700956</v>
          </cell>
          <cell r="I451">
            <v>5.288014173853762</v>
          </cell>
          <cell r="J451">
            <v>4.9126236256521141</v>
          </cell>
          <cell r="K451">
            <v>4.5674798818762392</v>
          </cell>
          <cell r="L451">
            <v>4.2143823499990258</v>
          </cell>
          <cell r="M451">
            <v>3.5799276919698091</v>
          </cell>
          <cell r="N451">
            <v>3.5798345874441044</v>
          </cell>
          <cell r="O451">
            <v>3.4739824381033637</v>
          </cell>
          <cell r="P451">
            <v>3.4952622279515899</v>
          </cell>
          <cell r="Q451">
            <v>3.3724969113020737</v>
          </cell>
          <cell r="R451">
            <v>3.2336234715691403</v>
          </cell>
          <cell r="S451">
            <v>3.2828544777075219</v>
          </cell>
          <cell r="T451">
            <v>3.3078079739036155</v>
          </cell>
          <cell r="U451">
            <v>3.2258467263719681</v>
          </cell>
          <cell r="V451">
            <v>3.1386643902675782</v>
          </cell>
        </row>
        <row r="452">
          <cell r="D452" t="str">
            <v xml:space="preserve">NY EU </v>
          </cell>
          <cell r="E452">
            <v>53.505839691116947</v>
          </cell>
          <cell r="F452">
            <v>50.392730392385758</v>
          </cell>
          <cell r="G452">
            <v>49.825036160027175</v>
          </cell>
          <cell r="H452">
            <v>47.262295346644954</v>
          </cell>
          <cell r="I452">
            <v>43.739994776748752</v>
          </cell>
          <cell r="J452">
            <v>39.045519825534342</v>
          </cell>
          <cell r="K452">
            <v>34.981309516109839</v>
          </cell>
          <cell r="L452">
            <v>31.724313478410689</v>
          </cell>
          <cell r="M452">
            <v>26.435211790046335</v>
          </cell>
          <cell r="N452">
            <v>27.655925274582042</v>
          </cell>
          <cell r="O452">
            <v>26.243618856270579</v>
          </cell>
          <cell r="P452">
            <v>26.910903521769814</v>
          </cell>
          <cell r="Q452">
            <v>25.888659580921782</v>
          </cell>
          <cell r="R452">
            <v>24.09593903103681</v>
          </cell>
          <cell r="S452">
            <v>23.999218876202352</v>
          </cell>
          <cell r="T452">
            <v>24.064175190689639</v>
          </cell>
          <cell r="U452">
            <v>21.40606337380494</v>
          </cell>
          <cell r="V452">
            <v>20.886122322089197</v>
          </cell>
        </row>
        <row r="453">
          <cell r="D453" t="str">
            <v xml:space="preserve">NC EU </v>
          </cell>
          <cell r="E453">
            <v>37.204763638896814</v>
          </cell>
          <cell r="F453">
            <v>35.948109703810985</v>
          </cell>
          <cell r="G453">
            <v>36.532242323035213</v>
          </cell>
          <cell r="H453">
            <v>36.227316136008504</v>
          </cell>
          <cell r="I453">
            <v>33.274069189200183</v>
          </cell>
          <cell r="J453">
            <v>31.325053341979554</v>
          </cell>
          <cell r="K453">
            <v>28.802788177894879</v>
          </cell>
          <cell r="L453">
            <v>26.219753413645403</v>
          </cell>
          <cell r="M453">
            <v>22.377366217516652</v>
          </cell>
          <cell r="N453">
            <v>22.821807569886428</v>
          </cell>
          <cell r="O453">
            <v>22.1468498927842</v>
          </cell>
          <cell r="P453">
            <v>22.216019526906329</v>
          </cell>
          <cell r="Q453">
            <v>21.542225354988553</v>
          </cell>
          <cell r="R453">
            <v>20.297057906665781</v>
          </cell>
          <cell r="S453">
            <v>20.785978020687057</v>
          </cell>
          <cell r="T453">
            <v>20.568331373746979</v>
          </cell>
          <cell r="U453">
            <v>19.067520715895107</v>
          </cell>
          <cell r="V453">
            <v>18.589037690779552</v>
          </cell>
        </row>
        <row r="454">
          <cell r="D454" t="str">
            <v xml:space="preserve">ND EU </v>
          </cell>
          <cell r="E454">
            <v>2.9018639989425403</v>
          </cell>
          <cell r="F454">
            <v>2.8251808669010838</v>
          </cell>
          <cell r="G454">
            <v>2.7646349640268024</v>
          </cell>
          <cell r="H454">
            <v>2.6984014057464014</v>
          </cell>
          <cell r="I454">
            <v>2.5611019916158644</v>
          </cell>
          <cell r="J454">
            <v>2.3590091883642423</v>
          </cell>
          <cell r="K454">
            <v>2.211255164731877</v>
          </cell>
          <cell r="L454">
            <v>1.9914108535467658</v>
          </cell>
          <cell r="M454">
            <v>1.6193356077671612</v>
          </cell>
          <cell r="N454">
            <v>1.808081460465883</v>
          </cell>
          <cell r="O454">
            <v>1.7394064739312645</v>
          </cell>
          <cell r="P454">
            <v>1.8309615249566313</v>
          </cell>
          <cell r="Q454">
            <v>1.7943919072491217</v>
          </cell>
          <cell r="R454">
            <v>1.7499443944501827</v>
          </cell>
          <cell r="S454">
            <v>1.7396085773272383</v>
          </cell>
          <cell r="T454">
            <v>1.737326929020542</v>
          </cell>
          <cell r="U454">
            <v>1.6923483536530377</v>
          </cell>
          <cell r="V454">
            <v>1.6781479205822987</v>
          </cell>
        </row>
        <row r="455">
          <cell r="D455" t="str">
            <v xml:space="preserve">OH EU </v>
          </cell>
          <cell r="E455">
            <v>58.942723937517414</v>
          </cell>
          <cell r="F455">
            <v>56.719462185672803</v>
          </cell>
          <cell r="G455">
            <v>56.242454349225788</v>
          </cell>
          <cell r="H455">
            <v>53.943158894153832</v>
          </cell>
          <cell r="I455">
            <v>51.475933498152365</v>
          </cell>
          <cell r="J455">
            <v>47.471318036668798</v>
          </cell>
          <cell r="K455">
            <v>42.178297047521554</v>
          </cell>
          <cell r="L455">
            <v>38.111345125752393</v>
          </cell>
          <cell r="M455">
            <v>31.477699797844593</v>
          </cell>
          <cell r="N455">
            <v>32.595341452748293</v>
          </cell>
          <cell r="O455">
            <v>30.524648798957898</v>
          </cell>
          <cell r="P455">
            <v>29.079172910215526</v>
          </cell>
          <cell r="Q455">
            <v>26.936387769927602</v>
          </cell>
          <cell r="R455">
            <v>25.458364824619412</v>
          </cell>
          <cell r="S455">
            <v>25.511046814438576</v>
          </cell>
          <cell r="T455">
            <v>25.671481670449314</v>
          </cell>
          <cell r="U455">
            <v>23.090222861115862</v>
          </cell>
          <cell r="V455">
            <v>22.802144430957519</v>
          </cell>
        </row>
        <row r="456">
          <cell r="D456" t="str">
            <v xml:space="preserve">OK EU </v>
          </cell>
          <cell r="E456">
            <v>17.585415402544037</v>
          </cell>
          <cell r="F456">
            <v>15.344102592908792</v>
          </cell>
          <cell r="G456">
            <v>14.841360652469595</v>
          </cell>
          <cell r="H456">
            <v>14.716147447761017</v>
          </cell>
          <cell r="I456">
            <v>13.719019853914766</v>
          </cell>
          <cell r="J456">
            <v>12.387375821606611</v>
          </cell>
          <cell r="K456">
            <v>11.513866567469133</v>
          </cell>
          <cell r="L456">
            <v>10.688148344698016</v>
          </cell>
          <cell r="M456">
            <v>9.4351589156407307</v>
          </cell>
          <cell r="N456">
            <v>9.2736879286526968</v>
          </cell>
          <cell r="O456">
            <v>9.1584449087723723</v>
          </cell>
          <cell r="P456">
            <v>9.2701442600057913</v>
          </cell>
          <cell r="Q456">
            <v>8.6890353740448703</v>
          </cell>
          <cell r="R456">
            <v>8.4356733449259931</v>
          </cell>
          <cell r="S456">
            <v>8.4267632659241212</v>
          </cell>
          <cell r="T456">
            <v>8.6076458174087804</v>
          </cell>
          <cell r="U456">
            <v>8.2629569738500059</v>
          </cell>
          <cell r="V456">
            <v>7.7796679496898689</v>
          </cell>
        </row>
        <row r="457">
          <cell r="D457" t="str">
            <v xml:space="preserve">OR EU </v>
          </cell>
          <cell r="E457">
            <v>17.781203562708793</v>
          </cell>
          <cell r="F457">
            <v>16.997636116637338</v>
          </cell>
          <cell r="G457">
            <v>16.642066343565265</v>
          </cell>
          <cell r="H457">
            <v>16.185381217443013</v>
          </cell>
          <cell r="I457">
            <v>14.995208406434985</v>
          </cell>
          <cell r="J457">
            <v>13.684054338393375</v>
          </cell>
          <cell r="K457">
            <v>12.875118097890534</v>
          </cell>
          <cell r="L457">
            <v>11.673808398370882</v>
          </cell>
          <cell r="M457">
            <v>9.2401554962351149</v>
          </cell>
          <cell r="N457">
            <v>9.4338317009442232</v>
          </cell>
          <cell r="O457">
            <v>9.3000365698803424</v>
          </cell>
          <cell r="P457">
            <v>8.5642649771218391</v>
          </cell>
          <cell r="Q457">
            <v>7.946248279353787</v>
          </cell>
          <cell r="R457">
            <v>7.5602187093555964</v>
          </cell>
          <cell r="S457">
            <v>7.5491191262740562</v>
          </cell>
          <cell r="T457">
            <v>7.4396198117620189</v>
          </cell>
          <cell r="U457">
            <v>7.2341680526514063</v>
          </cell>
          <cell r="V457">
            <v>6.8640016860350421</v>
          </cell>
        </row>
        <row r="458">
          <cell r="D458" t="str">
            <v xml:space="preserve">PA EU </v>
          </cell>
          <cell r="E458">
            <v>47.476180158833138</v>
          </cell>
          <cell r="F458">
            <v>45.301716777014128</v>
          </cell>
          <cell r="G458">
            <v>45.100403542767438</v>
          </cell>
          <cell r="H458">
            <v>43.562979240888261</v>
          </cell>
          <cell r="I458">
            <v>41.02859039183754</v>
          </cell>
          <cell r="J458">
            <v>37.782579121942334</v>
          </cell>
          <cell r="K458">
            <v>33.942949056087414</v>
          </cell>
          <cell r="L458">
            <v>30.794417453677443</v>
          </cell>
          <cell r="M458">
            <v>25.649395173250515</v>
          </cell>
          <cell r="N458">
            <v>25.57359450120531</v>
          </cell>
          <cell r="O458">
            <v>24.731893254594656</v>
          </cell>
          <cell r="P458">
            <v>25.248097861089857</v>
          </cell>
          <cell r="Q458">
            <v>24.55063869509393</v>
          </cell>
          <cell r="R458">
            <v>23.481085244264772</v>
          </cell>
          <cell r="S458">
            <v>23.737821695833613</v>
          </cell>
          <cell r="T458">
            <v>23.76372778084178</v>
          </cell>
          <cell r="U458">
            <v>21.994849530717101</v>
          </cell>
          <cell r="V458">
            <v>21.364719225465187</v>
          </cell>
        </row>
        <row r="459">
          <cell r="D459" t="str">
            <v xml:space="preserve">PR EU </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1</v>
          </cell>
          <cell r="T459">
            <v>2</v>
          </cell>
          <cell r="U459">
            <v>3</v>
          </cell>
          <cell r="V459">
            <v>4</v>
          </cell>
        </row>
        <row r="460">
          <cell r="D460" t="str">
            <v xml:space="preserve">RI EU </v>
          </cell>
          <cell r="E460">
            <v>2.6557455845511648</v>
          </cell>
          <cell r="F460">
            <v>2.4933510524501687</v>
          </cell>
          <cell r="G460">
            <v>2.4792582445996394</v>
          </cell>
          <cell r="H460">
            <v>2.3776122395529087</v>
          </cell>
          <cell r="I460">
            <v>2.1913403248938192</v>
          </cell>
          <cell r="J460">
            <v>1.9858360850377041</v>
          </cell>
          <cell r="K460">
            <v>1.7564695282363418</v>
          </cell>
          <cell r="L460">
            <v>1.6216349941814201</v>
          </cell>
          <cell r="M460">
            <v>1.356796046525969</v>
          </cell>
          <cell r="N460">
            <v>1.4187489698997464</v>
          </cell>
          <cell r="O460">
            <v>1.3491383521896694</v>
          </cell>
          <cell r="P460">
            <v>1.3798656362433652</v>
          </cell>
          <cell r="Q460">
            <v>1.3275651696097126</v>
          </cell>
          <cell r="R460">
            <v>1.3042272352340258</v>
          </cell>
          <cell r="S460">
            <v>1.3047519231212099</v>
          </cell>
          <cell r="T460">
            <v>1.2900324661095071</v>
          </cell>
          <cell r="U460">
            <v>1.1737268740806202</v>
          </cell>
          <cell r="V460">
            <v>1.1294625141060823</v>
          </cell>
        </row>
        <row r="461">
          <cell r="D461" t="str">
            <v xml:space="preserve">SC EU </v>
          </cell>
          <cell r="E461">
            <v>23.025004637905635</v>
          </cell>
          <cell r="F461">
            <v>22.222841521281754</v>
          </cell>
          <cell r="G461">
            <v>22.64991879332571</v>
          </cell>
          <cell r="H461">
            <v>22.341352257292996</v>
          </cell>
          <cell r="I461">
            <v>20.62614336686956</v>
          </cell>
          <cell r="J461">
            <v>19.474588923330227</v>
          </cell>
          <cell r="K461">
            <v>17.842422715401899</v>
          </cell>
          <cell r="L461">
            <v>16.478273557131505</v>
          </cell>
          <cell r="M461">
            <v>14.272710073021237</v>
          </cell>
          <cell r="N461">
            <v>14.545215563181269</v>
          </cell>
          <cell r="O461">
            <v>14.230245116173519</v>
          </cell>
          <cell r="P461">
            <v>13.967235355415459</v>
          </cell>
          <cell r="Q461">
            <v>13.66412210556256</v>
          </cell>
          <cell r="R461">
            <v>12.889684999381998</v>
          </cell>
          <cell r="S461">
            <v>13.218328863867983</v>
          </cell>
          <cell r="T461">
            <v>13.022605664341471</v>
          </cell>
          <cell r="U461">
            <v>12.171605531356319</v>
          </cell>
          <cell r="V461">
            <v>11.550869642070426</v>
          </cell>
        </row>
        <row r="462">
          <cell r="D462" t="str">
            <v xml:space="preserve">SD EU </v>
          </cell>
          <cell r="E462">
            <v>2.6205430783170671</v>
          </cell>
          <cell r="F462">
            <v>2.6031986736901032</v>
          </cell>
          <cell r="G462">
            <v>2.5185404962425677</v>
          </cell>
          <cell r="H462">
            <v>2.5069666802566726</v>
          </cell>
          <cell r="I462">
            <v>2.3921427591525735</v>
          </cell>
          <cell r="J462">
            <v>2.218625050849008</v>
          </cell>
          <cell r="K462">
            <v>2.0575295923138457</v>
          </cell>
          <cell r="L462">
            <v>1.8688147201774847</v>
          </cell>
          <cell r="M462">
            <v>1.5412579259769505</v>
          </cell>
          <cell r="N462">
            <v>1.5719883666476042</v>
          </cell>
          <cell r="O462">
            <v>1.5304818454068492</v>
          </cell>
          <cell r="P462">
            <v>1.6102033154174291</v>
          </cell>
          <cell r="Q462">
            <v>1.5691916495198726</v>
          </cell>
          <cell r="R462">
            <v>1.5189096223998177</v>
          </cell>
          <cell r="S462">
            <v>1.5241415363199489</v>
          </cell>
          <cell r="T462">
            <v>1.5724132619290545</v>
          </cell>
          <cell r="U462">
            <v>1.5134326177131878</v>
          </cell>
          <cell r="V462">
            <v>1.4945710875726455</v>
          </cell>
        </row>
        <row r="463">
          <cell r="D463" t="str">
            <v xml:space="preserve">TN EU </v>
          </cell>
          <cell r="E463">
            <v>31.917367475471888</v>
          </cell>
          <cell r="F463">
            <v>30.52518138462025</v>
          </cell>
          <cell r="G463">
            <v>30.477665844441262</v>
          </cell>
          <cell r="H463">
            <v>28.985533749545027</v>
          </cell>
          <cell r="I463">
            <v>27.520202224129488</v>
          </cell>
          <cell r="J463">
            <v>24.548932595078821</v>
          </cell>
          <cell r="K463">
            <v>23.314017382011091</v>
          </cell>
          <cell r="L463">
            <v>20.898153568110686</v>
          </cell>
          <cell r="M463">
            <v>18.073834782704136</v>
          </cell>
          <cell r="N463">
            <v>18.489261119588281</v>
          </cell>
          <cell r="O463">
            <v>17.688533109440819</v>
          </cell>
          <cell r="P463">
            <v>17.942508262381615</v>
          </cell>
          <cell r="Q463">
            <v>17.248503762751369</v>
          </cell>
          <cell r="R463">
            <v>16.302503034689373</v>
          </cell>
          <cell r="S463">
            <v>16.485731586487439</v>
          </cell>
          <cell r="T463">
            <v>16.652938422869074</v>
          </cell>
          <cell r="U463">
            <v>15.641173254909235</v>
          </cell>
          <cell r="V463">
            <v>15.042112273413556</v>
          </cell>
        </row>
        <row r="464">
          <cell r="D464" t="str">
            <v xml:space="preserve">TX EU </v>
          </cell>
          <cell r="E464">
            <v>98.22656741242983</v>
          </cell>
          <cell r="F464">
            <v>93.593171292964129</v>
          </cell>
          <cell r="G464">
            <v>92.85972677214599</v>
          </cell>
          <cell r="H464">
            <v>90.800853771571866</v>
          </cell>
          <cell r="I464">
            <v>86.088394152659816</v>
          </cell>
          <cell r="J464">
            <v>78.790472835178548</v>
          </cell>
          <cell r="K464">
            <v>74.057169044540458</v>
          </cell>
          <cell r="L464">
            <v>68.934374923865136</v>
          </cell>
          <cell r="M464">
            <v>60.023871658731444</v>
          </cell>
          <cell r="N464">
            <v>59.893251361941843</v>
          </cell>
          <cell r="O464">
            <v>58.808440529072605</v>
          </cell>
          <cell r="P464">
            <v>59.361984790307467</v>
          </cell>
          <cell r="Q464">
            <v>56.336560144274664</v>
          </cell>
          <cell r="R464">
            <v>53.979222671255656</v>
          </cell>
          <cell r="S464">
            <v>53.03567054147809</v>
          </cell>
          <cell r="T464">
            <v>53.571625049488397</v>
          </cell>
          <cell r="U464">
            <v>51.578166476119321</v>
          </cell>
          <cell r="V464">
            <v>48.46379988065042</v>
          </cell>
        </row>
        <row r="465">
          <cell r="D465" t="str">
            <v xml:space="preserve">UT EU </v>
          </cell>
          <cell r="E465">
            <v>6.372186930722691</v>
          </cell>
          <cell r="F465">
            <v>6.1943553904110686</v>
          </cell>
          <cell r="G465">
            <v>6.4252834821642537</v>
          </cell>
          <cell r="H465">
            <v>6.1241310304102772</v>
          </cell>
          <cell r="I465">
            <v>5.9509901820829016</v>
          </cell>
          <cell r="J465">
            <v>5.5245321209058895</v>
          </cell>
          <cell r="K465">
            <v>5.2815032329610228</v>
          </cell>
          <cell r="L465">
            <v>4.899047397500067</v>
          </cell>
          <cell r="M465">
            <v>4.077762667071072</v>
          </cell>
          <cell r="N465">
            <v>4.3413338734308846</v>
          </cell>
          <cell r="O465">
            <v>4.2841675012410114</v>
          </cell>
          <cell r="P465">
            <v>4.3334404370126389</v>
          </cell>
          <cell r="Q465">
            <v>4.0854302470659229</v>
          </cell>
          <cell r="R465">
            <v>3.9913827227593304</v>
          </cell>
          <cell r="S465">
            <v>4.0546927202565879</v>
          </cell>
          <cell r="T465">
            <v>4.0068338083636794</v>
          </cell>
          <cell r="U465">
            <v>3.967899662549033</v>
          </cell>
          <cell r="V465">
            <v>3.9164525973073951</v>
          </cell>
        </row>
        <row r="466">
          <cell r="D466" t="str">
            <v xml:space="preserve">VT EU </v>
          </cell>
          <cell r="E466">
            <v>1.9512610398005059</v>
          </cell>
          <cell r="F466">
            <v>1.8319191853621799</v>
          </cell>
          <cell r="G466">
            <v>1.9163049424378722</v>
          </cell>
          <cell r="H466">
            <v>1.8210529120055052</v>
          </cell>
          <cell r="I466">
            <v>1.6893935922168346</v>
          </cell>
          <cell r="J466">
            <v>1.5274869366476271</v>
          </cell>
          <cell r="K466">
            <v>1.3935088017406636</v>
          </cell>
          <cell r="L466">
            <v>1.2772409563159914</v>
          </cell>
          <cell r="M466">
            <v>1.0565096050308707</v>
          </cell>
          <cell r="N466">
            <v>1.0967567612663571</v>
          </cell>
          <cell r="O466">
            <v>1.0419011535140419</v>
          </cell>
          <cell r="P466">
            <v>1.0425066314815867</v>
          </cell>
          <cell r="Q466">
            <v>0.98842891237604891</v>
          </cell>
          <cell r="R466">
            <v>0.89535956661976879</v>
          </cell>
          <cell r="S466">
            <v>0.93689345700295223</v>
          </cell>
          <cell r="T466">
            <v>0.94287784414515941</v>
          </cell>
          <cell r="U466">
            <v>0.87212096244842585</v>
          </cell>
          <cell r="V466">
            <v>0.82655145081258374</v>
          </cell>
        </row>
        <row r="467">
          <cell r="D467" t="str">
            <v xml:space="preserve">VA EU </v>
          </cell>
          <cell r="E467">
            <v>30.076874451056497</v>
          </cell>
          <cell r="F467">
            <v>29.248338980625842</v>
          </cell>
          <cell r="G467">
            <v>29.649372152496877</v>
          </cell>
          <cell r="H467">
            <v>29.544532980203648</v>
          </cell>
          <cell r="I467">
            <v>27.412448574492732</v>
          </cell>
          <cell r="J467">
            <v>25.486282078600606</v>
          </cell>
          <cell r="K467">
            <v>23.297163067456335</v>
          </cell>
          <cell r="L467">
            <v>21.019158483797153</v>
          </cell>
          <cell r="M467">
            <v>17.848996793956317</v>
          </cell>
          <cell r="N467">
            <v>18.459911967644398</v>
          </cell>
          <cell r="O467">
            <v>17.871038681912662</v>
          </cell>
          <cell r="P467">
            <v>18.002693887820957</v>
          </cell>
          <cell r="Q467">
            <v>17.667375588941812</v>
          </cell>
          <cell r="R467">
            <v>16.980647245549509</v>
          </cell>
          <cell r="S467">
            <v>17.439123236890062</v>
          </cell>
          <cell r="T467">
            <v>17.445335088078661</v>
          </cell>
          <cell r="U467">
            <v>16.060977678387871</v>
          </cell>
          <cell r="V467">
            <v>15.726105169761079</v>
          </cell>
        </row>
        <row r="468">
          <cell r="D468" t="str">
            <v xml:space="preserve">WA EU </v>
          </cell>
          <cell r="E468">
            <v>37.668833497891505</v>
          </cell>
          <cell r="F468">
            <v>36.102711934522759</v>
          </cell>
          <cell r="G468">
            <v>34.64115324611744</v>
          </cell>
          <cell r="H468">
            <v>32.848869800387376</v>
          </cell>
          <cell r="I468">
            <v>29.054078030903668</v>
          </cell>
          <cell r="J468">
            <v>26.441220354377631</v>
          </cell>
          <cell r="K468">
            <v>23.51750322303182</v>
          </cell>
          <cell r="L468">
            <v>21.863520667351757</v>
          </cell>
          <cell r="M468">
            <v>18.688976277599576</v>
          </cell>
          <cell r="N468">
            <v>19.650032966633784</v>
          </cell>
          <cell r="O468">
            <v>17.833291709067737</v>
          </cell>
          <cell r="P468">
            <v>14.650900847897399</v>
          </cell>
          <cell r="Q468">
            <v>13.239983879779682</v>
          </cell>
          <cell r="R468">
            <v>13.070248590657677</v>
          </cell>
          <cell r="S468">
            <v>13.230448756725197</v>
          </cell>
          <cell r="T468">
            <v>13.370570131423047</v>
          </cell>
          <cell r="U468">
            <v>12.797063476369043</v>
          </cell>
          <cell r="V468">
            <v>12.085617014775506</v>
          </cell>
        </row>
        <row r="469">
          <cell r="D469" t="str">
            <v xml:space="preserve">WV EU </v>
          </cell>
          <cell r="E469">
            <v>9.5706592993751478</v>
          </cell>
          <cell r="F469">
            <v>9.1995718100146942</v>
          </cell>
          <cell r="G469">
            <v>9.2425406690788776</v>
          </cell>
          <cell r="H469">
            <v>8.8742489420131037</v>
          </cell>
          <cell r="I469">
            <v>8.2613025348120441</v>
          </cell>
          <cell r="J469">
            <v>7.7739585816758963</v>
          </cell>
          <cell r="K469">
            <v>6.9487452417380018</v>
          </cell>
          <cell r="L469">
            <v>6.3108260733797676</v>
          </cell>
          <cell r="M469">
            <v>5.2224602821606432</v>
          </cell>
          <cell r="N469">
            <v>5.3860335955941254</v>
          </cell>
          <cell r="O469">
            <v>5.117102635587762</v>
          </cell>
          <cell r="P469">
            <v>5.1644159390904196</v>
          </cell>
          <cell r="Q469">
            <v>4.9977719501268272</v>
          </cell>
          <cell r="R469">
            <v>4.7335487101505933</v>
          </cell>
          <cell r="S469">
            <v>4.7836774447147699</v>
          </cell>
          <cell r="T469">
            <v>4.8324769155124212</v>
          </cell>
          <cell r="U469">
            <v>4.8628026582567232</v>
          </cell>
          <cell r="V469">
            <v>4.8183275596569617</v>
          </cell>
        </row>
        <row r="470">
          <cell r="D470" t="str">
            <v xml:space="preserve">WI EU </v>
          </cell>
          <cell r="E470">
            <v>20.354867337078357</v>
          </cell>
          <cell r="F470">
            <v>19.871981167346902</v>
          </cell>
          <cell r="G470">
            <v>19.750530185008611</v>
          </cell>
          <cell r="H470">
            <v>19.300070032852826</v>
          </cell>
          <cell r="I470">
            <v>18.476649886748707</v>
          </cell>
          <cell r="J470">
            <v>17.347554695793125</v>
          </cell>
          <cell r="K470">
            <v>15.623606766491731</v>
          </cell>
          <cell r="L470">
            <v>14.448872561735898</v>
          </cell>
          <cell r="M470">
            <v>12.225456259319163</v>
          </cell>
          <cell r="N470">
            <v>12.609364462398872</v>
          </cell>
          <cell r="O470">
            <v>12.037745437564539</v>
          </cell>
          <cell r="P470">
            <v>12.17279747157329</v>
          </cell>
          <cell r="Q470">
            <v>11.764247162593215</v>
          </cell>
          <cell r="R470">
            <v>11.248222989357878</v>
          </cell>
          <cell r="S470">
            <v>11.244449281721915</v>
          </cell>
          <cell r="T470">
            <v>11.272711150743898</v>
          </cell>
          <cell r="U470">
            <v>10.5076504046399</v>
          </cell>
          <cell r="V470">
            <v>10.05015904823823</v>
          </cell>
        </row>
        <row r="471">
          <cell r="D471" t="str">
            <v xml:space="preserve">WY EU </v>
          </cell>
          <cell r="E471">
            <v>4.8691617590126564</v>
          </cell>
          <cell r="F471">
            <v>4.5781256817921756</v>
          </cell>
          <cell r="G471">
            <v>4.5376480755551096</v>
          </cell>
          <cell r="H471">
            <v>4.315283443253966</v>
          </cell>
          <cell r="I471">
            <v>3.900083652185637</v>
          </cell>
          <cell r="J471">
            <v>3.3513468034320701</v>
          </cell>
          <cell r="K471">
            <v>3.0519389383706343</v>
          </cell>
          <cell r="L471">
            <v>2.8338497747494742</v>
          </cell>
          <cell r="M471">
            <v>2.2930781601399342</v>
          </cell>
          <cell r="N471">
            <v>2.3379055719779793</v>
          </cell>
          <cell r="O471">
            <v>2.2852963912580573</v>
          </cell>
          <cell r="P471">
            <v>2.4169860091573643</v>
          </cell>
          <cell r="Q471">
            <v>2.2605256005384713</v>
          </cell>
          <cell r="R471">
            <v>2.2171146701823581</v>
          </cell>
          <cell r="S471">
            <v>2.23968781594782</v>
          </cell>
          <cell r="T471">
            <v>2.2658557648338058</v>
          </cell>
          <cell r="U471">
            <v>2.2493854030382225</v>
          </cell>
          <cell r="V471">
            <v>2.1897885242229176</v>
          </cell>
        </row>
      </sheetData>
      <sheetData sheetId="21">
        <row r="40">
          <cell r="A40">
            <v>1990</v>
          </cell>
          <cell r="B40">
            <v>4048000</v>
          </cell>
          <cell r="C40">
            <v>1.72224</v>
          </cell>
          <cell r="D40">
            <v>0.42545454545454547</v>
          </cell>
          <cell r="E40">
            <v>1.5600000000000003</v>
          </cell>
        </row>
        <row r="41">
          <cell r="A41">
            <v>1991</v>
          </cell>
          <cell r="B41">
            <v>4121000</v>
          </cell>
          <cell r="C41">
            <v>1.7532981818181816</v>
          </cell>
          <cell r="D41">
            <v>0.42545454545454542</v>
          </cell>
          <cell r="E41">
            <v>1.56</v>
          </cell>
        </row>
        <row r="42">
          <cell r="A42">
            <v>1992</v>
          </cell>
          <cell r="B42">
            <v>4042000</v>
          </cell>
          <cell r="C42">
            <v>1.7196872727272725</v>
          </cell>
          <cell r="D42">
            <v>0.42545454545454542</v>
          </cell>
          <cell r="E42">
            <v>1.56</v>
          </cell>
        </row>
        <row r="43">
          <cell r="A43">
            <v>1993</v>
          </cell>
          <cell r="B43">
            <v>3695000</v>
          </cell>
          <cell r="C43">
            <v>1.5720545454545454</v>
          </cell>
          <cell r="D43">
            <v>0.42545454545454542</v>
          </cell>
          <cell r="E43">
            <v>1.56</v>
          </cell>
        </row>
        <row r="44">
          <cell r="A44">
            <v>1994</v>
          </cell>
          <cell r="B44">
            <v>3299000</v>
          </cell>
          <cell r="C44">
            <v>1.4035745454545454</v>
          </cell>
          <cell r="D44">
            <v>0.42545454545454542</v>
          </cell>
          <cell r="E44">
            <v>1.56</v>
          </cell>
        </row>
        <row r="45">
          <cell r="A45">
            <v>1995</v>
          </cell>
          <cell r="B45">
            <v>3375000</v>
          </cell>
          <cell r="C45">
            <v>1.4359090909090908</v>
          </cell>
          <cell r="D45">
            <v>0.42545454545454542</v>
          </cell>
          <cell r="E45">
            <v>1.56</v>
          </cell>
        </row>
        <row r="46">
          <cell r="A46">
            <v>1996</v>
          </cell>
          <cell r="B46">
            <v>3577000</v>
          </cell>
          <cell r="C46">
            <v>1.5218509090909089</v>
          </cell>
          <cell r="D46">
            <v>0.42545454545454542</v>
          </cell>
          <cell r="E46">
            <v>1.56</v>
          </cell>
        </row>
        <row r="47">
          <cell r="A47">
            <v>1997</v>
          </cell>
          <cell r="B47">
            <v>3603000</v>
          </cell>
          <cell r="C47">
            <v>1.5329127272727272</v>
          </cell>
          <cell r="D47">
            <v>0.42545454545454547</v>
          </cell>
          <cell r="E47">
            <v>1.5600000000000003</v>
          </cell>
        </row>
        <row r="48">
          <cell r="A48">
            <v>1998</v>
          </cell>
          <cell r="B48">
            <v>3713000</v>
          </cell>
          <cell r="C48">
            <v>1.5797127272727274</v>
          </cell>
          <cell r="D48">
            <v>0.42545454545454547</v>
          </cell>
          <cell r="E48">
            <v>1.5600000000000003</v>
          </cell>
        </row>
        <row r="49">
          <cell r="A49">
            <v>1999</v>
          </cell>
          <cell r="B49">
            <v>3779000</v>
          </cell>
          <cell r="C49">
            <v>1.6077927272727273</v>
          </cell>
          <cell r="D49">
            <v>0.42545454545454547</v>
          </cell>
          <cell r="E49">
            <v>1.5600000000000003</v>
          </cell>
        </row>
        <row r="50">
          <cell r="A50">
            <v>2000</v>
          </cell>
          <cell r="B50">
            <v>3668438</v>
          </cell>
          <cell r="C50">
            <v>1.5607536218181821</v>
          </cell>
          <cell r="D50">
            <v>0.42545454545454553</v>
          </cell>
          <cell r="E50">
            <v>1.5600000000000005</v>
          </cell>
        </row>
        <row r="51">
          <cell r="A51">
            <v>2001</v>
          </cell>
          <cell r="B51">
            <v>2636954</v>
          </cell>
          <cell r="C51">
            <v>1.1219040654545454</v>
          </cell>
          <cell r="D51">
            <v>0.42545454545454542</v>
          </cell>
          <cell r="E51">
            <v>1.56</v>
          </cell>
        </row>
        <row r="52">
          <cell r="A52">
            <v>2002</v>
          </cell>
          <cell r="B52">
            <v>2705143</v>
          </cell>
          <cell r="C52">
            <v>1.1509153854545453</v>
          </cell>
          <cell r="D52">
            <v>0.42545454545454536</v>
          </cell>
          <cell r="E52">
            <v>1.5599999999999998</v>
          </cell>
        </row>
        <row r="53">
          <cell r="A53">
            <v>2003</v>
          </cell>
          <cell r="B53">
            <v>2704495</v>
          </cell>
          <cell r="C53">
            <v>1.1506396909090908</v>
          </cell>
          <cell r="D53">
            <v>0.42545454545454536</v>
          </cell>
          <cell r="E53">
            <v>1.5599999999999998</v>
          </cell>
        </row>
        <row r="54">
          <cell r="A54">
            <v>2004</v>
          </cell>
          <cell r="B54">
            <v>2516864</v>
          </cell>
          <cell r="C54">
            <v>1.0708112290909091</v>
          </cell>
          <cell r="D54">
            <v>0.42545454545454542</v>
          </cell>
          <cell r="E54">
            <v>1.56</v>
          </cell>
        </row>
        <row r="55">
          <cell r="A55">
            <v>2005</v>
          </cell>
          <cell r="B55">
            <v>2516864</v>
          </cell>
          <cell r="C55">
            <v>1.0708112290909091</v>
          </cell>
          <cell r="D55">
            <v>0.42545454545454542</v>
          </cell>
          <cell r="E55">
            <v>1.56</v>
          </cell>
        </row>
        <row r="56">
          <cell r="A56">
            <v>2006</v>
          </cell>
          <cell r="B56">
            <v>2516864</v>
          </cell>
          <cell r="C56">
            <v>1.0708112290909091</v>
          </cell>
          <cell r="D56">
            <v>0.42545454545454542</v>
          </cell>
          <cell r="E56">
            <v>1.56</v>
          </cell>
        </row>
        <row r="57">
          <cell r="A57">
            <v>2007</v>
          </cell>
        </row>
        <row r="58">
          <cell r="A58">
            <v>2008</v>
          </cell>
        </row>
        <row r="59">
          <cell r="A59">
            <v>2009</v>
          </cell>
        </row>
        <row r="60">
          <cell r="A60">
            <v>2010</v>
          </cell>
        </row>
        <row r="61">
          <cell r="A61">
            <v>2011</v>
          </cell>
        </row>
        <row r="62">
          <cell r="A62">
            <v>2012</v>
          </cell>
        </row>
        <row r="63">
          <cell r="A63">
            <v>2013</v>
          </cell>
        </row>
        <row r="64">
          <cell r="A64">
            <v>2014</v>
          </cell>
        </row>
        <row r="65">
          <cell r="A65">
            <v>2015</v>
          </cell>
        </row>
        <row r="66">
          <cell r="A66">
            <v>2016</v>
          </cell>
        </row>
        <row r="67">
          <cell r="A67">
            <v>2017</v>
          </cell>
        </row>
        <row r="68">
          <cell r="A68">
            <v>2018</v>
          </cell>
        </row>
        <row r="69">
          <cell r="A69">
            <v>2019</v>
          </cell>
        </row>
        <row r="70">
          <cell r="A70">
            <v>2020</v>
          </cell>
        </row>
      </sheetData>
      <sheetData sheetId="22"/>
      <sheetData sheetId="23"/>
      <sheetData sheetId="24"/>
      <sheetData sheetId="25">
        <row r="4">
          <cell r="A4" t="str">
            <v>Manufacture</v>
          </cell>
          <cell r="B4" t="str">
            <v>Units</v>
          </cell>
          <cell r="C4">
            <v>1990</v>
          </cell>
          <cell r="D4">
            <v>1991</v>
          </cell>
          <cell r="E4">
            <v>1992</v>
          </cell>
          <cell r="F4">
            <v>1993</v>
          </cell>
          <cell r="G4">
            <v>1994</v>
          </cell>
          <cell r="H4">
            <v>1995</v>
          </cell>
          <cell r="I4">
            <v>1996</v>
          </cell>
          <cell r="J4">
            <v>1997</v>
          </cell>
          <cell r="K4">
            <v>1998</v>
          </cell>
          <cell r="L4">
            <v>1999</v>
          </cell>
          <cell r="M4">
            <v>2000</v>
          </cell>
          <cell r="N4">
            <v>2001</v>
          </cell>
          <cell r="O4">
            <v>2002</v>
          </cell>
          <cell r="P4">
            <v>2003</v>
          </cell>
          <cell r="Q4">
            <v>2004</v>
          </cell>
          <cell r="R4">
            <v>2005</v>
          </cell>
          <cell r="S4">
            <v>2006</v>
          </cell>
          <cell r="T4">
            <v>2007</v>
          </cell>
          <cell r="U4">
            <v>2008</v>
          </cell>
          <cell r="V4">
            <v>2009</v>
          </cell>
          <cell r="W4">
            <v>2010</v>
          </cell>
          <cell r="X4">
            <v>2011</v>
          </cell>
          <cell r="Y4">
            <v>2012</v>
          </cell>
          <cell r="Z4">
            <v>2013</v>
          </cell>
          <cell r="AA4">
            <v>2014</v>
          </cell>
          <cell r="AB4">
            <v>2015</v>
          </cell>
          <cell r="AC4">
            <v>2016</v>
          </cell>
          <cell r="AD4">
            <v>2017</v>
          </cell>
          <cell r="AE4">
            <v>2018</v>
          </cell>
          <cell r="AF4">
            <v>2019</v>
          </cell>
          <cell r="AG4">
            <v>2020</v>
          </cell>
        </row>
        <row r="5">
          <cell r="A5" t="str">
            <v>Trona Production</v>
          </cell>
          <cell r="B5" t="str">
            <v>10^3 metric tons</v>
          </cell>
          <cell r="C5">
            <v>14700</v>
          </cell>
          <cell r="D5">
            <v>14700</v>
          </cell>
          <cell r="E5">
            <v>14900</v>
          </cell>
          <cell r="F5">
            <v>14500</v>
          </cell>
          <cell r="G5">
            <v>14600</v>
          </cell>
          <cell r="H5">
            <v>16500</v>
          </cell>
          <cell r="I5">
            <v>16300</v>
          </cell>
          <cell r="J5">
            <v>17100</v>
          </cell>
          <cell r="K5">
            <v>16500</v>
          </cell>
          <cell r="L5">
            <v>15900</v>
          </cell>
          <cell r="M5">
            <v>15700</v>
          </cell>
          <cell r="N5">
            <v>15400</v>
          </cell>
          <cell r="O5">
            <v>15100</v>
          </cell>
          <cell r="P5">
            <v>15500</v>
          </cell>
          <cell r="Q5">
            <v>16500</v>
          </cell>
          <cell r="R5">
            <v>17000</v>
          </cell>
          <cell r="S5">
            <v>16700</v>
          </cell>
          <cell r="T5">
            <v>17200</v>
          </cell>
        </row>
        <row r="10">
          <cell r="A10" t="str">
            <v>Consumption</v>
          </cell>
          <cell r="C10">
            <v>1990</v>
          </cell>
          <cell r="D10">
            <v>1991</v>
          </cell>
          <cell r="E10">
            <v>1992</v>
          </cell>
          <cell r="F10">
            <v>1993</v>
          </cell>
          <cell r="G10">
            <v>1994</v>
          </cell>
          <cell r="H10">
            <v>1995</v>
          </cell>
          <cell r="I10">
            <v>1996</v>
          </cell>
          <cell r="J10">
            <v>1997</v>
          </cell>
          <cell r="K10">
            <v>1998</v>
          </cell>
          <cell r="L10">
            <v>1999</v>
          </cell>
          <cell r="M10">
            <v>2000</v>
          </cell>
          <cell r="N10">
            <v>2001</v>
          </cell>
          <cell r="O10">
            <v>2002</v>
          </cell>
          <cell r="P10">
            <v>2003</v>
          </cell>
          <cell r="Q10">
            <v>2004</v>
          </cell>
          <cell r="R10">
            <v>2005</v>
          </cell>
          <cell r="S10">
            <v>2006</v>
          </cell>
          <cell r="T10">
            <v>2007</v>
          </cell>
          <cell r="U10">
            <v>2008</v>
          </cell>
          <cell r="V10">
            <v>2009</v>
          </cell>
          <cell r="W10">
            <v>2010</v>
          </cell>
          <cell r="X10">
            <v>2011</v>
          </cell>
          <cell r="Y10">
            <v>2012</v>
          </cell>
          <cell r="Z10">
            <v>2013</v>
          </cell>
          <cell r="AA10">
            <v>2014</v>
          </cell>
          <cell r="AB10">
            <v>2015</v>
          </cell>
          <cell r="AC10">
            <v>2016</v>
          </cell>
          <cell r="AD10">
            <v>2017</v>
          </cell>
          <cell r="AE10">
            <v>2018</v>
          </cell>
          <cell r="AF10">
            <v>2019</v>
          </cell>
          <cell r="AG10">
            <v>2020</v>
          </cell>
        </row>
        <row r="11">
          <cell r="A11" t="str">
            <v>Soda Ash Consumption</v>
          </cell>
          <cell r="B11" t="str">
            <v>10^3 metric tons</v>
          </cell>
          <cell r="C11">
            <v>6530</v>
          </cell>
          <cell r="D11">
            <v>6280</v>
          </cell>
          <cell r="E11">
            <v>6320</v>
          </cell>
          <cell r="F11">
            <v>6280</v>
          </cell>
          <cell r="G11">
            <v>6260</v>
          </cell>
          <cell r="H11">
            <v>6500</v>
          </cell>
          <cell r="I11">
            <v>6390</v>
          </cell>
          <cell r="J11">
            <v>6480</v>
          </cell>
          <cell r="K11">
            <v>6550</v>
          </cell>
          <cell r="L11">
            <v>6430</v>
          </cell>
          <cell r="M11">
            <v>6390</v>
          </cell>
          <cell r="N11">
            <v>6380</v>
          </cell>
          <cell r="O11">
            <v>6430</v>
          </cell>
          <cell r="P11">
            <v>6270</v>
          </cell>
          <cell r="Q11">
            <v>6260</v>
          </cell>
          <cell r="R11">
            <v>6200</v>
          </cell>
          <cell r="S11">
            <v>6110</v>
          </cell>
          <cell r="T11">
            <v>5940</v>
          </cell>
        </row>
      </sheetData>
      <sheetData sheetId="26">
        <row r="29">
          <cell r="B29">
            <v>1990</v>
          </cell>
          <cell r="C29">
            <v>1991</v>
          </cell>
          <cell r="D29">
            <v>1992</v>
          </cell>
          <cell r="E29">
            <v>1993</v>
          </cell>
          <cell r="F29">
            <v>1994</v>
          </cell>
          <cell r="G29">
            <v>1995</v>
          </cell>
          <cell r="H29">
            <v>1996</v>
          </cell>
          <cell r="I29">
            <v>1997</v>
          </cell>
          <cell r="J29">
            <v>1998</v>
          </cell>
          <cell r="K29">
            <v>1999</v>
          </cell>
          <cell r="L29">
            <v>2000</v>
          </cell>
          <cell r="M29">
            <v>2001</v>
          </cell>
          <cell r="N29">
            <v>2002</v>
          </cell>
          <cell r="O29">
            <v>2003</v>
          </cell>
          <cell r="P29">
            <v>2004</v>
          </cell>
          <cell r="Q29">
            <v>2005</v>
          </cell>
          <cell r="R29">
            <v>2006</v>
          </cell>
          <cell r="S29">
            <v>2007</v>
          </cell>
          <cell r="T29">
            <v>2008</v>
          </cell>
          <cell r="U29">
            <v>2009</v>
          </cell>
          <cell r="V29">
            <v>2010</v>
          </cell>
          <cell r="W29">
            <v>2011</v>
          </cell>
          <cell r="X29">
            <v>2012</v>
          </cell>
          <cell r="Y29">
            <v>2013</v>
          </cell>
          <cell r="Z29">
            <v>2014</v>
          </cell>
          <cell r="AA29">
            <v>2015</v>
          </cell>
          <cell r="AB29">
            <v>2016</v>
          </cell>
          <cell r="AC29">
            <v>2017</v>
          </cell>
          <cell r="AD29">
            <v>2018</v>
          </cell>
          <cell r="AE29">
            <v>2019</v>
          </cell>
          <cell r="AF29">
            <v>2020</v>
          </cell>
        </row>
        <row r="30">
          <cell r="A30" t="str">
            <v>Limestone</v>
          </cell>
          <cell r="B30">
            <v>1.5088228293953357E-2</v>
          </cell>
          <cell r="C30">
            <v>1.5088228293953353E-2</v>
          </cell>
          <cell r="D30">
            <v>1.448200207599052E-2</v>
          </cell>
          <cell r="E30">
            <v>1.3882784883531341E-2</v>
          </cell>
          <cell r="F30">
            <v>1.2447102199159182E-2</v>
          </cell>
          <cell r="G30">
            <v>1.758846533346425E-2</v>
          </cell>
          <cell r="H30">
            <v>1.7225409696726725E-2</v>
          </cell>
          <cell r="I30">
            <v>1.4997186490969283E-2</v>
          </cell>
          <cell r="J30">
            <v>1.5135469099284741E-2</v>
          </cell>
          <cell r="K30">
            <v>1.444576596194723E-2</v>
          </cell>
          <cell r="L30">
            <v>1.1082311490367947E-2</v>
          </cell>
          <cell r="M30">
            <v>1.0643709706671214E-2</v>
          </cell>
          <cell r="N30">
            <v>1.1181968532598018E-2</v>
          </cell>
          <cell r="O30">
            <v>8.2802016132258651E-3</v>
          </cell>
          <cell r="P30">
            <v>1.0281049065031231E-2</v>
          </cell>
          <cell r="Q30">
            <v>1.1488190824895149E-2</v>
          </cell>
          <cell r="R30">
            <v>1.2214964792596011E-2</v>
          </cell>
          <cell r="S30">
            <v>1.2819052209449219E-2</v>
          </cell>
        </row>
        <row r="31">
          <cell r="A31" t="str">
            <v>Dolomite</v>
          </cell>
          <cell r="B31">
            <v>2.1197918633057974E-2</v>
          </cell>
          <cell r="C31">
            <v>2.1197918633057977E-2</v>
          </cell>
          <cell r="D31">
            <v>1.8124077767630798E-2</v>
          </cell>
          <cell r="E31">
            <v>1.5032132375728922E-2</v>
          </cell>
          <cell r="F31">
            <v>2.6193557471675212E-2</v>
          </cell>
          <cell r="G31">
            <v>2.5354541528090583E-2</v>
          </cell>
          <cell r="H31">
            <v>2.8206095526929809E-2</v>
          </cell>
          <cell r="I31">
            <v>2.4056186868686873E-2</v>
          </cell>
          <cell r="J31">
            <v>1.958741829340473E-2</v>
          </cell>
          <cell r="K31">
            <v>3.4802941297397201E-2</v>
          </cell>
          <cell r="L31">
            <v>2.1082761900382059E-2</v>
          </cell>
          <cell r="M31">
            <v>1.8043073850883471E-2</v>
          </cell>
          <cell r="N31">
            <v>2.3120666263117973E-2</v>
          </cell>
          <cell r="O31">
            <v>2.7449483017134336E-2</v>
          </cell>
          <cell r="P31">
            <v>4.5788055401988027E-2</v>
          </cell>
          <cell r="Q31">
            <v>4.1523981535640325E-2</v>
          </cell>
          <cell r="R31">
            <v>6.7115960659668614E-2</v>
          </cell>
          <cell r="S31">
            <v>2.5203252032520326E-2</v>
          </cell>
        </row>
      </sheetData>
      <sheetData sheetId="27"/>
      <sheetData sheetId="28"/>
      <sheetData sheetId="29"/>
      <sheetData sheetId="30"/>
      <sheetData sheetId="31">
        <row r="61">
          <cell r="C61">
            <v>1990</v>
          </cell>
          <cell r="D61">
            <v>1991</v>
          </cell>
          <cell r="E61">
            <v>1992</v>
          </cell>
          <cell r="F61">
            <v>1993</v>
          </cell>
          <cell r="G61">
            <v>1994</v>
          </cell>
          <cell r="H61">
            <v>1995</v>
          </cell>
          <cell r="I61">
            <v>1996</v>
          </cell>
          <cell r="J61">
            <v>1997</v>
          </cell>
          <cell r="K61">
            <v>1998</v>
          </cell>
          <cell r="L61">
            <v>1999</v>
          </cell>
          <cell r="M61">
            <v>2000</v>
          </cell>
          <cell r="N61">
            <v>2001</v>
          </cell>
          <cell r="O61">
            <v>2002</v>
          </cell>
          <cell r="P61">
            <v>2003</v>
          </cell>
          <cell r="Q61">
            <v>2004</v>
          </cell>
          <cell r="R61">
            <v>2005</v>
          </cell>
          <cell r="S61">
            <v>2006</v>
          </cell>
          <cell r="T61">
            <v>2007</v>
          </cell>
          <cell r="U61">
            <v>2008</v>
          </cell>
          <cell r="V61">
            <v>2009</v>
          </cell>
          <cell r="W61">
            <v>2010</v>
          </cell>
          <cell r="X61">
            <v>2011</v>
          </cell>
          <cell r="Y61">
            <v>2012</v>
          </cell>
          <cell r="Z61">
            <v>2013</v>
          </cell>
          <cell r="AA61">
            <v>2014</v>
          </cell>
          <cell r="AB61">
            <v>2015</v>
          </cell>
          <cell r="AC61">
            <v>2016</v>
          </cell>
          <cell r="AD61">
            <v>2017</v>
          </cell>
          <cell r="AE61">
            <v>2018</v>
          </cell>
          <cell r="AF61">
            <v>2019</v>
          </cell>
          <cell r="AG61">
            <v>2020</v>
          </cell>
        </row>
        <row r="62">
          <cell r="B62" t="str">
            <v>AL</v>
          </cell>
          <cell r="C62">
            <v>1.6228800842585971E-2</v>
          </cell>
          <cell r="D62">
            <v>1.6224369757083922E-2</v>
          </cell>
          <cell r="E62">
            <v>1.6230537134422136E-2</v>
          </cell>
          <cell r="F62">
            <v>1.6266085724448872E-2</v>
          </cell>
          <cell r="G62">
            <v>1.6260182994987677E-2</v>
          </cell>
          <cell r="H62">
            <v>1.6220235397674417E-2</v>
          </cell>
          <cell r="I62">
            <v>1.6176247406708505E-2</v>
          </cell>
          <cell r="J62">
            <v>1.6133478252834201E-2</v>
          </cell>
          <cell r="K62">
            <v>1.6100163374750266E-2</v>
          </cell>
          <cell r="L62">
            <v>1.6024969642083248E-2</v>
          </cell>
          <cell r="M62">
            <v>1.5776505144721408E-2</v>
          </cell>
          <cell r="N62">
            <v>1.5656873015731071E-2</v>
          </cell>
          <cell r="O62">
            <v>1.5535252110312883E-2</v>
          </cell>
          <cell r="P62">
            <v>1.5459783845344976E-2</v>
          </cell>
          <cell r="Q62">
            <v>1.538646342651607E-2</v>
          </cell>
          <cell r="R62">
            <v>1.5351504168440288E-2</v>
          </cell>
          <cell r="S62">
            <v>1.5375781900390167E-2</v>
          </cell>
          <cell r="T62">
            <v>1.5355935815424705E-2</v>
          </cell>
        </row>
        <row r="63">
          <cell r="B63" t="str">
            <v>AK</v>
          </cell>
          <cell r="C63">
            <v>2.2172302295194062E-3</v>
          </cell>
          <cell r="D63">
            <v>2.2576483020085272E-3</v>
          </cell>
          <cell r="E63">
            <v>2.3019789550079027E-3</v>
          </cell>
          <cell r="F63">
            <v>2.3158777259325424E-3</v>
          </cell>
          <cell r="G63">
            <v>2.3071903857417859E-3</v>
          </cell>
          <cell r="H63">
            <v>2.2881944591893141E-3</v>
          </cell>
          <cell r="I63">
            <v>2.2807422120419214E-3</v>
          </cell>
          <cell r="J63">
            <v>2.2736492603895654E-3</v>
          </cell>
          <cell r="K63">
            <v>2.2764460538862892E-3</v>
          </cell>
          <cell r="L63">
            <v>2.2718037075931852E-3</v>
          </cell>
          <cell r="M63">
            <v>2.2235662727281284E-3</v>
          </cell>
          <cell r="N63">
            <v>2.2213038085772182E-3</v>
          </cell>
          <cell r="O63">
            <v>2.2326434019856352E-3</v>
          </cell>
          <cell r="P63">
            <v>2.2412182610058559E-3</v>
          </cell>
          <cell r="Q63">
            <v>2.2567182217226346E-3</v>
          </cell>
          <cell r="R63">
            <v>2.2622268170167732E-3</v>
          </cell>
          <cell r="S63">
            <v>2.2667055271633858E-3</v>
          </cell>
          <cell r="T63">
            <v>2.2606467173331003E-3</v>
          </cell>
        </row>
        <row r="64">
          <cell r="B64" t="str">
            <v>AZ</v>
          </cell>
          <cell r="C64">
            <v>1.4747819965459119E-2</v>
          </cell>
          <cell r="D64">
            <v>1.4921070252035616E-2</v>
          </cell>
          <cell r="E64">
            <v>1.5164245635564193E-2</v>
          </cell>
          <cell r="F64">
            <v>1.5491308862853928E-2</v>
          </cell>
          <cell r="G64">
            <v>1.5932118702345538E-2</v>
          </cell>
          <cell r="H64">
            <v>1.6388334519848224E-2</v>
          </cell>
          <cell r="I64">
            <v>1.6711276490980767E-2</v>
          </cell>
          <cell r="J64">
            <v>1.6999573091865925E-2</v>
          </cell>
          <cell r="K64">
            <v>1.7270347784956619E-2</v>
          </cell>
          <cell r="L64">
            <v>1.7522893226329557E-2</v>
          </cell>
          <cell r="M64">
            <v>1.8310857108057691E-2</v>
          </cell>
          <cell r="N64">
            <v>1.8606636491395556E-2</v>
          </cell>
          <cell r="O64">
            <v>1.8938791581580555E-2</v>
          </cell>
          <cell r="P64">
            <v>1.924638850763552E-2</v>
          </cell>
          <cell r="Q64">
            <v>1.9633422922289749E-2</v>
          </cell>
          <cell r="R64">
            <v>2.0169264877092918E-2</v>
          </cell>
          <cell r="S64">
            <v>2.0707163954958981E-2</v>
          </cell>
          <cell r="T64">
            <v>2.1087370968146432E-2</v>
          </cell>
        </row>
        <row r="65">
          <cell r="B65" t="str">
            <v>AR</v>
          </cell>
          <cell r="C65">
            <v>9.4375912464879363E-3</v>
          </cell>
          <cell r="D65">
            <v>9.4016931586942427E-3</v>
          </cell>
          <cell r="E65">
            <v>9.3875262739497641E-3</v>
          </cell>
          <cell r="F65">
            <v>9.4022751139207963E-3</v>
          </cell>
          <cell r="G65">
            <v>9.4135637191499998E-3</v>
          </cell>
          <cell r="H65">
            <v>9.4371768790279462E-3</v>
          </cell>
          <cell r="I65">
            <v>9.4441484230439552E-3</v>
          </cell>
          <cell r="J65">
            <v>9.425547098557082E-3</v>
          </cell>
          <cell r="K65">
            <v>9.3921212065348723E-3</v>
          </cell>
          <cell r="L65">
            <v>9.3562851345490687E-3</v>
          </cell>
          <cell r="M65">
            <v>9.4914364552540053E-3</v>
          </cell>
          <cell r="N65">
            <v>9.4358786797224953E-3</v>
          </cell>
          <cell r="O65">
            <v>9.3904719224702192E-3</v>
          </cell>
          <cell r="P65">
            <v>9.3652887223944995E-3</v>
          </cell>
          <cell r="Q65">
            <v>9.3556321505357497E-3</v>
          </cell>
          <cell r="R65">
            <v>9.3683612693519526E-3</v>
          </cell>
          <cell r="S65">
            <v>9.3986159602987996E-3</v>
          </cell>
          <cell r="T65">
            <v>9.394782040334438E-3</v>
          </cell>
        </row>
        <row r="66">
          <cell r="B66" t="str">
            <v>CA</v>
          </cell>
          <cell r="C66">
            <v>0.12005765744623534</v>
          </cell>
          <cell r="D66">
            <v>0.12061765239031849</v>
          </cell>
          <cell r="E66">
            <v>0.12106793883640979</v>
          </cell>
          <cell r="F66">
            <v>0.12082742215099321</v>
          </cell>
          <cell r="G66">
            <v>0.120299379141284</v>
          </cell>
          <cell r="H66">
            <v>0.11983688133324487</v>
          </cell>
          <cell r="I66">
            <v>0.11982430384611806</v>
          </cell>
          <cell r="J66">
            <v>0.12031247304843422</v>
          </cell>
          <cell r="K66">
            <v>0.12093630160885963</v>
          </cell>
          <cell r="L66">
            <v>0.12154835960681962</v>
          </cell>
          <cell r="M66">
            <v>0.12048954081670263</v>
          </cell>
          <cell r="N66">
            <v>0.12106039099388516</v>
          </cell>
          <cell r="O66">
            <v>0.12135301114463687</v>
          </cell>
          <cell r="P66">
            <v>0.12166116536885309</v>
          </cell>
          <cell r="Q66">
            <v>0.12164774234440245</v>
          </cell>
          <cell r="R66">
            <v>0.12141476635300201</v>
          </cell>
          <cell r="S66">
            <v>0.12106494192897052</v>
          </cell>
          <cell r="T66">
            <v>0.12073913476918337</v>
          </cell>
        </row>
        <row r="67">
          <cell r="B67" t="str">
            <v>CO</v>
          </cell>
          <cell r="C67">
            <v>1.3243821775673351E-2</v>
          </cell>
          <cell r="D67">
            <v>1.3355247692144105E-2</v>
          </cell>
          <cell r="E67">
            <v>1.3567027736640194E-2</v>
          </cell>
          <cell r="F67">
            <v>1.3813515301233975E-2</v>
          </cell>
          <cell r="G67">
            <v>1.4035846090675312E-2</v>
          </cell>
          <cell r="H67">
            <v>1.4223799097542452E-2</v>
          </cell>
          <cell r="I67">
            <v>1.437520841457458E-2</v>
          </cell>
          <cell r="J67">
            <v>1.4531483250951953E-2</v>
          </cell>
          <cell r="K67">
            <v>1.4686387895343671E-2</v>
          </cell>
          <cell r="L67">
            <v>1.4874476170929895E-2</v>
          </cell>
          <cell r="M67">
            <v>1.5337414703069549E-2</v>
          </cell>
          <cell r="N67">
            <v>1.554841798708372E-2</v>
          </cell>
          <cell r="O67">
            <v>1.5650813183111262E-2</v>
          </cell>
          <cell r="P67">
            <v>1.5672529117909052E-2</v>
          </cell>
          <cell r="Q67">
            <v>1.5705611643156252E-2</v>
          </cell>
          <cell r="R67">
            <v>1.5775901133544046E-2</v>
          </cell>
          <cell r="S67">
            <v>1.5925146314988623E-2</v>
          </cell>
          <cell r="T67">
            <v>1.6073433116333781E-2</v>
          </cell>
        </row>
        <row r="68">
          <cell r="B68" t="str">
            <v>CT</v>
          </cell>
          <cell r="C68">
            <v>1.3184470620809552E-2</v>
          </cell>
          <cell r="D68">
            <v>1.3042235468601749E-2</v>
          </cell>
          <cell r="E68">
            <v>1.2841629868370742E-2</v>
          </cell>
          <cell r="F68">
            <v>1.2694126362473608E-2</v>
          </cell>
          <cell r="G68">
            <v>1.2554770486157102E-2</v>
          </cell>
          <cell r="H68">
            <v>1.242485653032727E-2</v>
          </cell>
          <cell r="I68">
            <v>1.231779055840183E-2</v>
          </cell>
          <cell r="J68">
            <v>1.2205803173007524E-2</v>
          </cell>
          <cell r="K68">
            <v>1.2109480786801595E-2</v>
          </cell>
          <cell r="L68">
            <v>1.2035722670275658E-2</v>
          </cell>
          <cell r="M68">
            <v>1.2090904745396083E-2</v>
          </cell>
          <cell r="N68">
            <v>1.2027120296599419E-2</v>
          </cell>
          <cell r="O68">
            <v>1.1984503472144518E-2</v>
          </cell>
          <cell r="P68">
            <v>1.1949695317109956E-2</v>
          </cell>
          <cell r="Q68">
            <v>1.1865634749547228E-2</v>
          </cell>
          <cell r="R68">
            <v>1.1769886108852776E-2</v>
          </cell>
          <cell r="S68">
            <v>1.1690110086146647E-2</v>
          </cell>
          <cell r="T68">
            <v>1.1583073299544175E-2</v>
          </cell>
        </row>
        <row r="69">
          <cell r="B69" t="str">
            <v>DE</v>
          </cell>
          <cell r="C69">
            <v>2.6819979553314695E-3</v>
          </cell>
          <cell r="D69">
            <v>2.6987374796895213E-3</v>
          </cell>
          <cell r="E69">
            <v>2.7061867802306429E-3</v>
          </cell>
          <cell r="F69">
            <v>2.7134297593885775E-3</v>
          </cell>
          <cell r="G69">
            <v>2.7212542028051709E-3</v>
          </cell>
          <cell r="H69">
            <v>2.7330899786804789E-3</v>
          </cell>
          <cell r="I69">
            <v>2.7413713180192366E-3</v>
          </cell>
          <cell r="J69">
            <v>2.7448431524040228E-3</v>
          </cell>
          <cell r="K69">
            <v>2.7532710389723027E-3</v>
          </cell>
          <cell r="L69">
            <v>2.7633420858956476E-3</v>
          </cell>
          <cell r="M69">
            <v>2.7869674466847049E-3</v>
          </cell>
          <cell r="N69">
            <v>2.7873230041490032E-3</v>
          </cell>
          <cell r="O69">
            <v>2.7935334053366284E-3</v>
          </cell>
          <cell r="P69">
            <v>2.8057594002133222E-3</v>
          </cell>
          <cell r="Q69">
            <v>2.8190651911923874E-3</v>
          </cell>
          <cell r="R69">
            <v>2.8370464286828754E-3</v>
          </cell>
          <cell r="S69">
            <v>2.8501056664293261E-3</v>
          </cell>
          <cell r="T69">
            <v>2.8608717521012256E-3</v>
          </cell>
        </row>
        <row r="70">
          <cell r="B70" t="str">
            <v>DC</v>
          </cell>
          <cell r="C70">
            <v>2.4204415927954704E-3</v>
          </cell>
          <cell r="D70">
            <v>2.3526937357563715E-3</v>
          </cell>
          <cell r="E70">
            <v>2.2906469414764119E-3</v>
          </cell>
          <cell r="F70">
            <v>2.2358296569022222E-3</v>
          </cell>
          <cell r="G70">
            <v>2.1702779751011708E-3</v>
          </cell>
          <cell r="H70">
            <v>2.097664109788342E-3</v>
          </cell>
          <cell r="I70">
            <v>2.0294683786933783E-3</v>
          </cell>
          <cell r="J70">
            <v>1.9745495473888364E-3</v>
          </cell>
          <cell r="K70">
            <v>1.9294351640407866E-3</v>
          </cell>
          <cell r="L70">
            <v>1.9032544378383587E-3</v>
          </cell>
          <cell r="M70">
            <v>2.0261511761396427E-3</v>
          </cell>
          <cell r="N70">
            <v>2.0266573086285778E-3</v>
          </cell>
          <cell r="O70">
            <v>2.0127159094861309E-3</v>
          </cell>
          <cell r="P70">
            <v>1.9894875490451057E-3</v>
          </cell>
          <cell r="Q70">
            <v>1.9786158335351909E-3</v>
          </cell>
          <cell r="R70">
            <v>1.9693054501668285E-3</v>
          </cell>
          <cell r="S70">
            <v>1.9621033874065866E-3</v>
          </cell>
          <cell r="T70">
            <v>1.9511678190855457E-3</v>
          </cell>
        </row>
        <row r="71">
          <cell r="B71" t="str">
            <v>FL</v>
          </cell>
          <cell r="C71">
            <v>5.2185262541432964E-2</v>
          </cell>
          <cell r="D71">
            <v>5.2704081058819616E-2</v>
          </cell>
          <cell r="E71">
            <v>5.2953734615826059E-2</v>
          </cell>
          <cell r="F71">
            <v>5.3198286363834134E-2</v>
          </cell>
          <cell r="G71">
            <v>5.3631766484970457E-2</v>
          </cell>
          <cell r="H71">
            <v>5.3977268532984346E-2</v>
          </cell>
          <cell r="I71">
            <v>5.4394256588615193E-2</v>
          </cell>
          <cell r="J71">
            <v>5.483289348626931E-2</v>
          </cell>
          <cell r="K71">
            <v>5.5164995983337572E-2</v>
          </cell>
          <cell r="L71">
            <v>5.541530289837817E-2</v>
          </cell>
          <cell r="M71">
            <v>5.6870453622999563E-2</v>
          </cell>
          <cell r="N71">
            <v>5.7327902377198876E-2</v>
          </cell>
          <cell r="O71">
            <v>5.7876735344571682E-2</v>
          </cell>
          <cell r="P71">
            <v>5.8362164146590297E-2</v>
          </cell>
          <cell r="Q71">
            <v>5.9113268688167915E-2</v>
          </cell>
          <cell r="R71">
            <v>5.9894583562977478E-2</v>
          </cell>
          <cell r="S71">
            <v>6.03931942989454E-2</v>
          </cell>
          <cell r="T71">
            <v>6.0405277126515965E-2</v>
          </cell>
        </row>
        <row r="72">
          <cell r="B72" t="str">
            <v>GA</v>
          </cell>
          <cell r="C72">
            <v>2.6082002499466898E-2</v>
          </cell>
          <cell r="D72">
            <v>2.6258964137548628E-2</v>
          </cell>
          <cell r="E72">
            <v>2.6504654267736873E-2</v>
          </cell>
          <cell r="F72">
            <v>2.6743821289914173E-2</v>
          </cell>
          <cell r="G72">
            <v>2.7065573035539789E-2</v>
          </cell>
          <cell r="H72">
            <v>2.7353304378138727E-2</v>
          </cell>
          <cell r="I72">
            <v>2.7644928842734184E-2</v>
          </cell>
          <cell r="J72">
            <v>2.7955759069299563E-2</v>
          </cell>
          <cell r="K72">
            <v>2.8257459501005083E-2</v>
          </cell>
          <cell r="L72">
            <v>2.8560698155973448E-2</v>
          </cell>
          <cell r="M72">
            <v>2.9166802045119043E-2</v>
          </cell>
          <cell r="N72">
            <v>2.9534794479211732E-2</v>
          </cell>
          <cell r="O72">
            <v>2.983273912756506E-2</v>
          </cell>
          <cell r="P72">
            <v>3.0091645691863952E-2</v>
          </cell>
          <cell r="Q72">
            <v>3.0423286181400156E-2</v>
          </cell>
          <cell r="R72">
            <v>3.0768510989604366E-2</v>
          </cell>
          <cell r="S72">
            <v>3.1232813194953652E-2</v>
          </cell>
          <cell r="T72">
            <v>3.1608372352286432E-2</v>
          </cell>
        </row>
        <row r="73">
          <cell r="B73" t="str">
            <v>HI</v>
          </cell>
          <cell r="C73">
            <v>4.4603679636912993E-3</v>
          </cell>
          <cell r="D73">
            <v>4.4870042680261882E-3</v>
          </cell>
          <cell r="E73">
            <v>4.5089885786204062E-3</v>
          </cell>
          <cell r="F73">
            <v>4.505765571275468E-3</v>
          </cell>
          <cell r="G73">
            <v>4.5093398122509915E-3</v>
          </cell>
          <cell r="H73">
            <v>4.4919150855638494E-3</v>
          </cell>
          <cell r="I73">
            <v>4.4657104288145849E-3</v>
          </cell>
          <cell r="J73">
            <v>4.4413547689646287E-3</v>
          </cell>
          <cell r="K73">
            <v>4.4051093321122526E-3</v>
          </cell>
          <cell r="L73">
            <v>4.3474035188710222E-3</v>
          </cell>
          <cell r="M73">
            <v>4.2934071232370889E-3</v>
          </cell>
          <cell r="N73">
            <v>4.2729295599464052E-3</v>
          </cell>
          <cell r="O73">
            <v>4.2658231790397919E-3</v>
          </cell>
          <cell r="P73">
            <v>4.2670104405515222E-3</v>
          </cell>
          <cell r="Q73">
            <v>4.2730134565890877E-3</v>
          </cell>
          <cell r="R73">
            <v>4.2782029072493026E-3</v>
          </cell>
          <cell r="S73">
            <v>4.2742032872825674E-3</v>
          </cell>
          <cell r="T73">
            <v>4.2396182828727475E-3</v>
          </cell>
        </row>
        <row r="74">
          <cell r="B74" t="str">
            <v>ID</v>
          </cell>
          <cell r="C74">
            <v>4.0562181065710076E-3</v>
          </cell>
          <cell r="D74">
            <v>4.1201755320930192E-3</v>
          </cell>
          <cell r="E74">
            <v>4.1818266820759569E-3</v>
          </cell>
          <cell r="F74">
            <v>4.2718320236716668E-3</v>
          </cell>
          <cell r="G74">
            <v>4.3616640164295508E-3</v>
          </cell>
          <cell r="H74">
            <v>4.4329736589737182E-3</v>
          </cell>
          <cell r="I74">
            <v>4.4780469579272933E-3</v>
          </cell>
          <cell r="J74">
            <v>4.5209563556293424E-3</v>
          </cell>
          <cell r="K74">
            <v>4.5547903641678343E-3</v>
          </cell>
          <cell r="L74">
            <v>4.5901803079812595E-3</v>
          </cell>
          <cell r="M74">
            <v>4.6052559954084162E-3</v>
          </cell>
          <cell r="N74">
            <v>4.6335002554011729E-3</v>
          </cell>
          <cell r="O74">
            <v>4.6620916553481405E-3</v>
          </cell>
          <cell r="P74">
            <v>4.6966186805779469E-3</v>
          </cell>
          <cell r="Q74">
            <v>4.7468978228970967E-3</v>
          </cell>
          <cell r="R74">
            <v>4.8183934047300748E-3</v>
          </cell>
          <cell r="S74">
            <v>4.8973335575389909E-3</v>
          </cell>
          <cell r="T74">
            <v>4.965791600641205E-3</v>
          </cell>
        </row>
        <row r="75">
          <cell r="B75" t="str">
            <v>IL</v>
          </cell>
          <cell r="C75">
            <v>4.5886223379147058E-2</v>
          </cell>
          <cell r="D75">
            <v>4.574987722141436E-2</v>
          </cell>
          <cell r="E75">
            <v>4.5622909981162627E-2</v>
          </cell>
          <cell r="F75">
            <v>4.5487878685749043E-2</v>
          </cell>
          <cell r="G75">
            <v>4.5346756378393777E-2</v>
          </cell>
          <cell r="H75">
            <v>4.5223694243446189E-2</v>
          </cell>
          <cell r="I75">
            <v>4.5066799967538942E-2</v>
          </cell>
          <cell r="J75">
            <v>4.4855281227129035E-2</v>
          </cell>
          <cell r="K75">
            <v>4.4661843440153004E-2</v>
          </cell>
          <cell r="L75">
            <v>4.4476635888719876E-2</v>
          </cell>
          <cell r="M75">
            <v>4.4079110688031005E-2</v>
          </cell>
          <cell r="N75">
            <v>4.3890698310649616E-2</v>
          </cell>
          <cell r="O75">
            <v>4.3670713613119048E-2</v>
          </cell>
          <cell r="P75">
            <v>4.3454764764635972E-2</v>
          </cell>
          <cell r="Q75">
            <v>4.3243627371383729E-2</v>
          </cell>
          <cell r="R75">
            <v>4.2982945602797619E-2</v>
          </cell>
          <cell r="S75">
            <v>4.2765604832607697E-2</v>
          </cell>
          <cell r="T75">
            <v>4.2569600275125991E-2</v>
          </cell>
        </row>
        <row r="76">
          <cell r="B76" t="str">
            <v>IN</v>
          </cell>
          <cell r="C76">
            <v>2.2268095524140448E-2</v>
          </cell>
          <cell r="D76">
            <v>2.2216907814083042E-2</v>
          </cell>
          <cell r="E76">
            <v>2.2148985087419172E-2</v>
          </cell>
          <cell r="F76">
            <v>2.2119277340851482E-2</v>
          </cell>
          <cell r="G76">
            <v>2.2070801478575673E-2</v>
          </cell>
          <cell r="H76">
            <v>2.2038610355831333E-2</v>
          </cell>
          <cell r="I76">
            <v>2.19995453581826E-2</v>
          </cell>
          <cell r="J76">
            <v>2.1929535066722735E-2</v>
          </cell>
          <cell r="K76">
            <v>2.1859983920029188E-2</v>
          </cell>
          <cell r="L76">
            <v>2.1793550485325663E-2</v>
          </cell>
          <cell r="M76">
            <v>2.1587518894862739E-2</v>
          </cell>
          <cell r="N76">
            <v>2.1484515269609556E-2</v>
          </cell>
          <cell r="O76">
            <v>2.1363937139961875E-2</v>
          </cell>
          <cell r="P76">
            <v>2.1290818855971765E-2</v>
          </cell>
          <cell r="Q76">
            <v>2.1205080053244313E-2</v>
          </cell>
          <cell r="R76">
            <v>2.1141417625394923E-2</v>
          </cell>
          <cell r="S76">
            <v>2.1095526488134304E-2</v>
          </cell>
          <cell r="T76">
            <v>2.1029091633780004E-2</v>
          </cell>
        </row>
        <row r="77">
          <cell r="B77" t="str">
            <v>IA</v>
          </cell>
          <cell r="C77">
            <v>1.1142948831864568E-2</v>
          </cell>
          <cell r="D77">
            <v>1.1069572765738681E-2</v>
          </cell>
          <cell r="E77">
            <v>1.1006259314135802E-2</v>
          </cell>
          <cell r="F77">
            <v>1.0941486789519951E-2</v>
          </cell>
          <cell r="G77">
            <v>1.0868721921878405E-2</v>
          </cell>
          <cell r="H77">
            <v>1.0809834805864444E-2</v>
          </cell>
          <cell r="I77">
            <v>1.0739691348185519E-2</v>
          </cell>
          <cell r="J77">
            <v>1.0659338082633266E-2</v>
          </cell>
          <cell r="K77">
            <v>1.0586664723661252E-2</v>
          </cell>
          <cell r="L77">
            <v>1.0522587719154293E-2</v>
          </cell>
          <cell r="M77">
            <v>1.0376815077740404E-2</v>
          </cell>
          <cell r="N77">
            <v>1.0276789308614559E-2</v>
          </cell>
          <cell r="O77">
            <v>1.0181173800006087E-2</v>
          </cell>
          <cell r="P77">
            <v>1.0107845220459214E-2</v>
          </cell>
          <cell r="Q77">
            <v>1.004717685702764E-2</v>
          </cell>
          <cell r="R77">
            <v>9.9870399144508289E-3</v>
          </cell>
          <cell r="S77">
            <v>9.9451683637701259E-3</v>
          </cell>
          <cell r="T77">
            <v>9.9019440159135268E-3</v>
          </cell>
        </row>
        <row r="78">
          <cell r="B78" t="str">
            <v>KS</v>
          </cell>
          <cell r="C78">
            <v>9.9440362623931314E-3</v>
          </cell>
          <cell r="D78">
            <v>9.8956113534392036E-3</v>
          </cell>
          <cell r="E78">
            <v>9.9048934688975177E-3</v>
          </cell>
          <cell r="F78">
            <v>9.8827652484608265E-3</v>
          </cell>
          <cell r="G78">
            <v>9.8688103529598649E-3</v>
          </cell>
          <cell r="H78">
            <v>9.8436444148435956E-3</v>
          </cell>
          <cell r="I78">
            <v>9.7963276746820468E-3</v>
          </cell>
          <cell r="J78">
            <v>9.770347891385301E-3</v>
          </cell>
          <cell r="K78">
            <v>9.7638723347013966E-3</v>
          </cell>
          <cell r="L78">
            <v>9.7328251392172858E-3</v>
          </cell>
          <cell r="M78">
            <v>9.5426959823531141E-3</v>
          </cell>
          <cell r="N78">
            <v>9.4770834513943306E-3</v>
          </cell>
          <cell r="O78">
            <v>9.4275626824372651E-3</v>
          </cell>
          <cell r="P78">
            <v>9.3796265704879731E-3</v>
          </cell>
          <cell r="Q78">
            <v>9.3244875783226495E-3</v>
          </cell>
          <cell r="R78">
            <v>9.2779770821172745E-3</v>
          </cell>
          <cell r="S78">
            <v>9.2379659992193469E-3</v>
          </cell>
          <cell r="T78">
            <v>9.2182911464945387E-3</v>
          </cell>
        </row>
        <row r="79">
          <cell r="B79" t="str">
            <v>KY</v>
          </cell>
          <cell r="C79">
            <v>1.4802048144778143E-2</v>
          </cell>
          <cell r="D79">
            <v>1.4731867733749623E-2</v>
          </cell>
          <cell r="E79">
            <v>1.4729100237066899E-2</v>
          </cell>
          <cell r="F79">
            <v>1.4711186411769097E-2</v>
          </cell>
          <cell r="G79">
            <v>1.4686201168491073E-2</v>
          </cell>
          <cell r="H79">
            <v>1.4669710586103958E-2</v>
          </cell>
          <cell r="I79">
            <v>1.4632854110453831E-2</v>
          </cell>
          <cell r="J79">
            <v>1.4593186057128582E-2</v>
          </cell>
          <cell r="K79">
            <v>1.455814642967038E-2</v>
          </cell>
          <cell r="L79">
            <v>1.4524966779867277E-2</v>
          </cell>
          <cell r="M79">
            <v>1.4348808238676153E-2</v>
          </cell>
          <cell r="N79">
            <v>1.4266225127863985E-2</v>
          </cell>
          <cell r="O79">
            <v>1.4203599293325098E-2</v>
          </cell>
          <cell r="P79">
            <v>1.4165290833962226E-2</v>
          </cell>
          <cell r="Q79">
            <v>1.4119761573516109E-2</v>
          </cell>
          <cell r="R79">
            <v>1.4095108478093941E-2</v>
          </cell>
          <cell r="S79">
            <v>1.4074936838761156E-2</v>
          </cell>
          <cell r="T79">
            <v>1.4060550738149805E-2</v>
          </cell>
        </row>
        <row r="80">
          <cell r="B80" t="str">
            <v>LA</v>
          </cell>
          <cell r="C80">
            <v>1.6912950575921064E-2</v>
          </cell>
          <cell r="D80">
            <v>1.6818949021652291E-2</v>
          </cell>
          <cell r="E80">
            <v>1.6746477044620595E-2</v>
          </cell>
          <cell r="F80">
            <v>1.6621559667050929E-2</v>
          </cell>
          <cell r="G80">
            <v>1.6542654632843511E-2</v>
          </cell>
          <cell r="H80">
            <v>1.6468508558470176E-2</v>
          </cell>
          <cell r="I80">
            <v>1.6358580703741073E-2</v>
          </cell>
          <cell r="J80">
            <v>1.6249650412693113E-2</v>
          </cell>
          <cell r="K80">
            <v>1.6143534648061765E-2</v>
          </cell>
          <cell r="L80">
            <v>1.6032938374055162E-2</v>
          </cell>
          <cell r="M80">
            <v>1.5837432536168303E-2</v>
          </cell>
          <cell r="N80">
            <v>1.5648323332583834E-2</v>
          </cell>
          <cell r="O80">
            <v>1.55189484413656E-2</v>
          </cell>
          <cell r="P80">
            <v>1.541485100729189E-2</v>
          </cell>
          <cell r="Q80">
            <v>1.5322467168945104E-2</v>
          </cell>
          <cell r="R80">
            <v>1.5210511061812922E-2</v>
          </cell>
          <cell r="S80">
            <v>1.4223058435605547E-2</v>
          </cell>
          <cell r="T80">
            <v>1.4515268282820307E-2</v>
          </cell>
        </row>
        <row r="81">
          <cell r="B81" t="str">
            <v>ME</v>
          </cell>
          <cell r="C81">
            <v>4.9357584478708534E-3</v>
          </cell>
          <cell r="D81">
            <v>4.8995591931904605E-3</v>
          </cell>
          <cell r="E81">
            <v>4.8455062482742452E-3</v>
          </cell>
          <cell r="F81">
            <v>4.8034893028935455E-3</v>
          </cell>
          <cell r="G81">
            <v>4.7543547160246577E-3</v>
          </cell>
          <cell r="H81">
            <v>4.7086094923717769E-3</v>
          </cell>
          <cell r="I81">
            <v>4.6806269424095074E-3</v>
          </cell>
          <cell r="J81">
            <v>4.6500792709092157E-3</v>
          </cell>
          <cell r="K81">
            <v>4.6163301343618065E-3</v>
          </cell>
          <cell r="L81">
            <v>4.5950942982446574E-3</v>
          </cell>
          <cell r="M81">
            <v>4.5262438855719518E-3</v>
          </cell>
          <cell r="N81">
            <v>4.5069600332273592E-3</v>
          </cell>
          <cell r="O81">
            <v>4.4961668079355893E-3</v>
          </cell>
          <cell r="P81">
            <v>4.4889042319063164E-3</v>
          </cell>
          <cell r="Q81">
            <v>4.4654802209825187E-3</v>
          </cell>
          <cell r="R81">
            <v>4.435788214752572E-3</v>
          </cell>
          <cell r="S81">
            <v>4.4018699331032606E-3</v>
          </cell>
          <cell r="T81">
            <v>4.365881876355727E-3</v>
          </cell>
        </row>
        <row r="82">
          <cell r="B82" t="str">
            <v>MD</v>
          </cell>
          <cell r="C82">
            <v>1.9230924640644912E-2</v>
          </cell>
          <cell r="D82">
            <v>1.9258839784522652E-2</v>
          </cell>
          <cell r="E82">
            <v>1.9223427778111441E-2</v>
          </cell>
          <cell r="F82">
            <v>1.9173147631433692E-2</v>
          </cell>
          <cell r="G82">
            <v>1.9150570620173925E-2</v>
          </cell>
          <cell r="H82">
            <v>1.9115629289187398E-2</v>
          </cell>
          <cell r="I82">
            <v>1.9067108652230727E-2</v>
          </cell>
          <cell r="J82">
            <v>1.9018766895615085E-2</v>
          </cell>
          <cell r="K82">
            <v>1.8982830374513444E-2</v>
          </cell>
          <cell r="L82">
            <v>1.8965193374519736E-2</v>
          </cell>
          <cell r="M82">
            <v>1.8819911984443414E-2</v>
          </cell>
          <cell r="N82">
            <v>1.8859327516445132E-2</v>
          </cell>
          <cell r="O82">
            <v>1.8904495140486588E-2</v>
          </cell>
          <cell r="P82">
            <v>1.893453600439024E-2</v>
          </cell>
          <cell r="Q82">
            <v>1.8911361861222033E-2</v>
          </cell>
          <cell r="R82">
            <v>1.8864330909061887E-2</v>
          </cell>
          <cell r="S82">
            <v>1.8776652959548033E-2</v>
          </cell>
          <cell r="T82">
            <v>1.8649450059353381E-2</v>
          </cell>
        </row>
        <row r="83">
          <cell r="B83" t="str">
            <v>MA</v>
          </cell>
          <cell r="C83">
            <v>2.4126344666835744E-2</v>
          </cell>
          <cell r="D83">
            <v>2.3789722158156206E-2</v>
          </cell>
          <cell r="E83">
            <v>2.3501082515099546E-2</v>
          </cell>
          <cell r="F83">
            <v>2.3317647558286789E-2</v>
          </cell>
          <cell r="G83">
            <v>2.3168367143877853E-2</v>
          </cell>
          <cell r="H83">
            <v>2.3067958254827842E-2</v>
          </cell>
          <cell r="I83">
            <v>2.2943957184220709E-2</v>
          </cell>
          <cell r="J83">
            <v>2.2837380034245337E-2</v>
          </cell>
          <cell r="K83">
            <v>2.2736179108786975E-2</v>
          </cell>
          <cell r="L83">
            <v>2.2645313687190482E-2</v>
          </cell>
          <cell r="M83">
            <v>2.2548603132524134E-2</v>
          </cell>
          <cell r="N83">
            <v>2.2478506273736092E-2</v>
          </cell>
          <cell r="O83">
            <v>2.2358175953025302E-2</v>
          </cell>
          <cell r="P83">
            <v>2.2195719351891775E-2</v>
          </cell>
          <cell r="Q83">
            <v>2.197878811539376E-2</v>
          </cell>
          <cell r="R83">
            <v>2.1769965652621657E-2</v>
          </cell>
          <cell r="S83">
            <v>2.1595923700626216E-2</v>
          </cell>
          <cell r="T83">
            <v>2.1467383161833418E-2</v>
          </cell>
        </row>
        <row r="84">
          <cell r="B84" t="str">
            <v>MI</v>
          </cell>
          <cell r="C84">
            <v>3.73218068361146E-2</v>
          </cell>
          <cell r="D84">
            <v>3.7259198074794976E-2</v>
          </cell>
          <cell r="E84">
            <v>3.7134196672521658E-2</v>
          </cell>
          <cell r="F84">
            <v>3.6966186640488952E-2</v>
          </cell>
          <cell r="G84">
            <v>3.681708092837585E-2</v>
          </cell>
          <cell r="H84">
            <v>3.6757041795780356E-2</v>
          </cell>
          <cell r="I84">
            <v>3.6719965449272939E-2</v>
          </cell>
          <cell r="J84">
            <v>3.6542378787212317E-2</v>
          </cell>
          <cell r="K84">
            <v>3.6337848535369192E-2</v>
          </cell>
          <cell r="L84">
            <v>3.6172010679362342E-2</v>
          </cell>
          <cell r="M84">
            <v>3.5280425619647733E-2</v>
          </cell>
          <cell r="N84">
            <v>3.5098049095971341E-2</v>
          </cell>
          <cell r="O84">
            <v>3.4884857223529943E-2</v>
          </cell>
          <cell r="P84">
            <v>3.4684708652962651E-2</v>
          </cell>
          <cell r="Q84">
            <v>3.4450499244727054E-2</v>
          </cell>
          <cell r="R84">
            <v>3.4149571159444558E-2</v>
          </cell>
          <cell r="S84">
            <v>3.3797350584785869E-2</v>
          </cell>
          <cell r="T84">
            <v>3.3355833004293019E-2</v>
          </cell>
        </row>
        <row r="85">
          <cell r="B85" t="str">
            <v>MN</v>
          </cell>
          <cell r="C85">
            <v>1.7586810263697912E-2</v>
          </cell>
          <cell r="D85">
            <v>1.7558495772877533E-2</v>
          </cell>
          <cell r="E85">
            <v>1.7533263841557529E-2</v>
          </cell>
          <cell r="F85">
            <v>1.7540783822002453E-2</v>
          </cell>
          <cell r="G85">
            <v>1.7539585335630603E-2</v>
          </cell>
          <cell r="H85">
            <v>1.7524305899443964E-2</v>
          </cell>
          <cell r="I85">
            <v>1.7523462743674539E-2</v>
          </cell>
          <cell r="J85">
            <v>1.7505649627013949E-2</v>
          </cell>
          <cell r="K85">
            <v>1.7489161612787199E-2</v>
          </cell>
          <cell r="L85">
            <v>1.7512537175207291E-2</v>
          </cell>
          <cell r="M85">
            <v>1.7485037916740238E-2</v>
          </cell>
          <cell r="N85">
            <v>1.7479450054208746E-2</v>
          </cell>
          <cell r="O85">
            <v>1.7435448027863752E-2</v>
          </cell>
          <cell r="P85">
            <v>1.7389793962056161E-2</v>
          </cell>
          <cell r="Q85">
            <v>1.7337488897405561E-2</v>
          </cell>
          <cell r="R85">
            <v>1.727189239995626E-2</v>
          </cell>
          <cell r="S85">
            <v>1.7237842713143898E-2</v>
          </cell>
          <cell r="T85">
            <v>1.7200551924779321E-2</v>
          </cell>
        </row>
        <row r="86">
          <cell r="B86" t="str">
            <v>MS</v>
          </cell>
          <cell r="C86">
            <v>1.0331839097391677E-2</v>
          </cell>
          <cell r="D86">
            <v>1.0276415726046302E-2</v>
          </cell>
          <cell r="E86">
            <v>1.0234858960485226E-2</v>
          </cell>
          <cell r="F86">
            <v>1.0224017905816207E-2</v>
          </cell>
          <cell r="G86">
            <v>1.0231169971403007E-2</v>
          </cell>
          <cell r="H86">
            <v>1.0238791696036545E-2</v>
          </cell>
          <cell r="I86">
            <v>1.0217319271318928E-2</v>
          </cell>
          <cell r="J86">
            <v>1.0201617756235541E-2</v>
          </cell>
          <cell r="K86">
            <v>1.018077828312389E-2</v>
          </cell>
          <cell r="L86">
            <v>1.015296030526705E-2</v>
          </cell>
          <cell r="M86">
            <v>1.0094175347047979E-2</v>
          </cell>
          <cell r="N86">
            <v>1.0009342449622729E-2</v>
          </cell>
          <cell r="O86">
            <v>9.9330841609536428E-3</v>
          </cell>
          <cell r="P86">
            <v>9.8780261585889213E-3</v>
          </cell>
          <cell r="Q86">
            <v>9.848663497875448E-3</v>
          </cell>
          <cell r="R86">
            <v>9.8058046305767275E-3</v>
          </cell>
          <cell r="S86">
            <v>9.7086879476831062E-3</v>
          </cell>
          <cell r="T86">
            <v>9.6950671487195279E-3</v>
          </cell>
        </row>
        <row r="87">
          <cell r="B87" t="str">
            <v>MO</v>
          </cell>
          <cell r="C87">
            <v>2.0549505589567179E-2</v>
          </cell>
          <cell r="D87">
            <v>2.0454914746792001E-2</v>
          </cell>
          <cell r="E87">
            <v>2.0365024231942492E-2</v>
          </cell>
          <cell r="F87">
            <v>2.0318504187062922E-2</v>
          </cell>
          <cell r="G87">
            <v>2.0286814560060595E-2</v>
          </cell>
          <cell r="H87">
            <v>2.0260820492968283E-2</v>
          </cell>
          <cell r="I87">
            <v>2.0238724506649305E-2</v>
          </cell>
          <cell r="J87">
            <v>2.0192098614908865E-2</v>
          </cell>
          <cell r="K87">
            <v>2.0120637117159383E-2</v>
          </cell>
          <cell r="L87">
            <v>2.0053253499229547E-2</v>
          </cell>
          <cell r="M87">
            <v>1.9866851677269565E-2</v>
          </cell>
          <cell r="N87">
            <v>1.9793705793432644E-2</v>
          </cell>
          <cell r="O87">
            <v>1.9725809406870822E-2</v>
          </cell>
          <cell r="P87">
            <v>1.9656872725331068E-2</v>
          </cell>
          <cell r="Q87">
            <v>1.960670660157417E-2</v>
          </cell>
          <cell r="R87">
            <v>1.9573417425205825E-2</v>
          </cell>
          <cell r="S87">
            <v>1.9549935909775239E-2</v>
          </cell>
          <cell r="T87">
            <v>1.9510745535638363E-2</v>
          </cell>
        </row>
        <row r="88">
          <cell r="B88" t="str">
            <v>MT</v>
          </cell>
          <cell r="C88">
            <v>3.20616493906409E-3</v>
          </cell>
          <cell r="D88">
            <v>3.203756073710966E-3</v>
          </cell>
          <cell r="E88">
            <v>3.2248636265692333E-3</v>
          </cell>
          <cell r="F88">
            <v>3.2580786055201988E-3</v>
          </cell>
          <cell r="G88">
            <v>3.2840348140426036E-3</v>
          </cell>
          <cell r="H88">
            <v>3.3048370371151692E-3</v>
          </cell>
          <cell r="I88">
            <v>3.3052849223197565E-3</v>
          </cell>
          <cell r="J88">
            <v>3.2814032563240514E-3</v>
          </cell>
          <cell r="K88">
            <v>3.2545402379902137E-3</v>
          </cell>
          <cell r="L88">
            <v>3.2372891124865287E-3</v>
          </cell>
          <cell r="M88">
            <v>3.201179439758318E-3</v>
          </cell>
          <cell r="N88">
            <v>3.1779912505763273E-3</v>
          </cell>
          <cell r="O88">
            <v>3.1622340491807141E-3</v>
          </cell>
          <cell r="P88">
            <v>3.1589232374630819E-3</v>
          </cell>
          <cell r="Q88">
            <v>3.1614677030905648E-3</v>
          </cell>
          <cell r="R88">
            <v>3.1631014462623697E-3</v>
          </cell>
          <cell r="S88">
            <v>3.1687175874869702E-3</v>
          </cell>
          <cell r="T88">
            <v>3.1750902647616321E-3</v>
          </cell>
        </row>
        <row r="89">
          <cell r="B89" t="str">
            <v>NE</v>
          </cell>
          <cell r="C89">
            <v>6.3362308423363144E-3</v>
          </cell>
          <cell r="D89">
            <v>6.3088855559225105E-3</v>
          </cell>
          <cell r="E89">
            <v>6.2832133131286803E-3</v>
          </cell>
          <cell r="F89">
            <v>6.2539091077858907E-3</v>
          </cell>
          <cell r="G89">
            <v>6.2289000725744871E-3</v>
          </cell>
          <cell r="H89">
            <v>6.2219239611000891E-3</v>
          </cell>
          <cell r="I89">
            <v>6.2122153264845088E-3</v>
          </cell>
          <cell r="J89">
            <v>6.1842545873243091E-3</v>
          </cell>
          <cell r="K89">
            <v>6.1453627096737509E-3</v>
          </cell>
          <cell r="L89">
            <v>6.1095860974238253E-3</v>
          </cell>
          <cell r="M89">
            <v>6.0714542497947071E-3</v>
          </cell>
          <cell r="N89">
            <v>6.026193471653501E-3</v>
          </cell>
          <cell r="O89">
            <v>5.9926184035363258E-3</v>
          </cell>
          <cell r="P89">
            <v>5.9710814321752214E-3</v>
          </cell>
          <cell r="Q89">
            <v>5.9457043719034486E-3</v>
          </cell>
          <cell r="R89">
            <v>5.9245694526030941E-3</v>
          </cell>
          <cell r="S89">
            <v>5.8981145760335345E-3</v>
          </cell>
          <cell r="T89">
            <v>5.8729830069688396E-3</v>
          </cell>
        </row>
        <row r="90">
          <cell r="B90" t="str">
            <v>NV</v>
          </cell>
          <cell r="C90">
            <v>4.8849816628742486E-3</v>
          </cell>
          <cell r="D90">
            <v>5.0962928505354195E-3</v>
          </cell>
          <cell r="E90">
            <v>5.2178001433472263E-3</v>
          </cell>
          <cell r="F90">
            <v>5.3541121750153133E-3</v>
          </cell>
          <cell r="G90">
            <v>5.5944557518675716E-3</v>
          </cell>
          <cell r="H90">
            <v>5.8057761806591789E-3</v>
          </cell>
          <cell r="I90">
            <v>6.0192459204583739E-3</v>
          </cell>
          <cell r="J90">
            <v>6.2572202188612685E-3</v>
          </cell>
          <cell r="K90">
            <v>6.4524880133896862E-3</v>
          </cell>
          <cell r="L90">
            <v>6.6348146462858653E-3</v>
          </cell>
          <cell r="M90">
            <v>7.1525327026143379E-3</v>
          </cell>
          <cell r="N90">
            <v>7.3462477098330016E-3</v>
          </cell>
          <cell r="O90">
            <v>7.5228277344781347E-3</v>
          </cell>
          <cell r="P90">
            <v>7.6972639285371606E-3</v>
          </cell>
          <cell r="Q90">
            <v>7.934235118583436E-3</v>
          </cell>
          <cell r="R90">
            <v>8.1258172246797388E-3</v>
          </cell>
          <cell r="S90">
            <v>8.3260867627833971E-3</v>
          </cell>
          <cell r="T90">
            <v>8.4780151525074496E-3</v>
          </cell>
        </row>
        <row r="91">
          <cell r="B91" t="str">
            <v>NH</v>
          </cell>
          <cell r="C91">
            <v>4.4568724749001858E-3</v>
          </cell>
          <cell r="D91">
            <v>4.3904081890060662E-3</v>
          </cell>
          <cell r="E91">
            <v>4.3632800586099578E-3</v>
          </cell>
          <cell r="F91">
            <v>4.3532455843568784E-3</v>
          </cell>
          <cell r="G91">
            <v>4.3524256362154588E-3</v>
          </cell>
          <cell r="H91">
            <v>4.359169403961311E-3</v>
          </cell>
          <cell r="I91">
            <v>4.3764817313875215E-3</v>
          </cell>
          <cell r="J91">
            <v>4.3812950805461369E-3</v>
          </cell>
          <cell r="K91">
            <v>4.3879066147992961E-3</v>
          </cell>
          <cell r="L91">
            <v>4.4047468515193431E-3</v>
          </cell>
          <cell r="M91">
            <v>4.3957631562622865E-3</v>
          </cell>
          <cell r="N91">
            <v>4.4085948235096139E-3</v>
          </cell>
          <cell r="O91">
            <v>4.4163479929615274E-3</v>
          </cell>
          <cell r="P91">
            <v>4.4149270002988242E-3</v>
          </cell>
          <cell r="Q91">
            <v>4.4113988765563505E-3</v>
          </cell>
          <cell r="R91">
            <v>4.4002151315532985E-3</v>
          </cell>
          <cell r="S91">
            <v>4.3866837323678232E-3</v>
          </cell>
          <cell r="T91">
            <v>4.3554533970243696E-3</v>
          </cell>
        </row>
        <row r="92">
          <cell r="B92" t="str">
            <v>NJ</v>
          </cell>
          <cell r="C92">
            <v>3.1095250963187548E-2</v>
          </cell>
          <cell r="D92">
            <v>3.08712018490735E-2</v>
          </cell>
          <cell r="E92">
            <v>3.0693562477992025E-2</v>
          </cell>
          <cell r="F92">
            <v>3.0548573703622395E-2</v>
          </cell>
          <cell r="G92">
            <v>3.0418647935897519E-2</v>
          </cell>
          <cell r="H92">
            <v>3.0309831449741899E-2</v>
          </cell>
          <cell r="I92">
            <v>3.0198948550686312E-2</v>
          </cell>
          <cell r="J92">
            <v>3.0077188406831788E-2</v>
          </cell>
          <cell r="K92">
            <v>2.9955973439700127E-2</v>
          </cell>
          <cell r="L92">
            <v>2.986316961107157E-2</v>
          </cell>
          <cell r="M92">
            <v>2.987863754104873E-2</v>
          </cell>
          <cell r="N92">
            <v>2.9788618679335813E-2</v>
          </cell>
          <cell r="O92">
            <v>2.9706702834513619E-2</v>
          </cell>
          <cell r="P92">
            <v>2.9597653243323578E-2</v>
          </cell>
          <cell r="Q92">
            <v>2.9433259569998618E-2</v>
          </cell>
          <cell r="R92">
            <v>2.9214511304754682E-2</v>
          </cell>
          <cell r="S92">
            <v>2.895874750517384E-2</v>
          </cell>
          <cell r="T92">
            <v>2.8720224583907324E-2</v>
          </cell>
        </row>
        <row r="93">
          <cell r="B93" t="str">
            <v>NM</v>
          </cell>
          <cell r="C93">
            <v>6.0927852806698718E-3</v>
          </cell>
          <cell r="D93">
            <v>6.1356178015853956E-3</v>
          </cell>
          <cell r="E93">
            <v>6.1982977127695233E-3</v>
          </cell>
          <cell r="F93">
            <v>6.2647244223706508E-3</v>
          </cell>
          <cell r="G93">
            <v>6.3509696137152051E-3</v>
          </cell>
          <cell r="H93">
            <v>6.4018113685919194E-3</v>
          </cell>
          <cell r="I93">
            <v>6.4327571767041746E-3</v>
          </cell>
          <cell r="J93">
            <v>6.4340719706565156E-3</v>
          </cell>
          <cell r="K93">
            <v>6.4146079924964333E-3</v>
          </cell>
          <cell r="L93">
            <v>6.3802809521126035E-3</v>
          </cell>
          <cell r="M93">
            <v>6.4524630826504302E-3</v>
          </cell>
          <cell r="N93">
            <v>6.4142971639648515E-3</v>
          </cell>
          <cell r="O93">
            <v>6.4261896465918917E-3</v>
          </cell>
          <cell r="P93">
            <v>6.4363844014494924E-3</v>
          </cell>
          <cell r="Q93">
            <v>6.4503816451167359E-3</v>
          </cell>
          <cell r="R93">
            <v>6.4720545636826514E-3</v>
          </cell>
          <cell r="S93">
            <v>6.4951625213896767E-3</v>
          </cell>
          <cell r="T93">
            <v>6.5199636077270477E-3</v>
          </cell>
        </row>
        <row r="94">
          <cell r="B94" t="str">
            <v>NY</v>
          </cell>
          <cell r="C94">
            <v>7.2166029656592759E-2</v>
          </cell>
          <cell r="D94">
            <v>7.1502323675650181E-2</v>
          </cell>
          <cell r="E94">
            <v>7.0901671730397173E-2</v>
          </cell>
          <cell r="F94">
            <v>7.0372839117214606E-2</v>
          </cell>
          <cell r="G94">
            <v>6.9745552844474035E-2</v>
          </cell>
          <cell r="H94">
            <v>6.9066597175904312E-2</v>
          </cell>
          <cell r="I94">
            <v>6.8408184168031488E-2</v>
          </cell>
          <cell r="J94">
            <v>6.7753154135383645E-2</v>
          </cell>
          <cell r="K94">
            <v>6.7194483579588196E-2</v>
          </cell>
          <cell r="L94">
            <v>6.6729791149949744E-2</v>
          </cell>
          <cell r="M94">
            <v>6.7329264806830394E-2</v>
          </cell>
          <cell r="N94">
            <v>6.6966857958430465E-2</v>
          </cell>
          <cell r="O94">
            <v>6.659644909426829E-2</v>
          </cell>
          <cell r="P94">
            <v>6.6265174989249373E-2</v>
          </cell>
          <cell r="Q94">
            <v>6.589836742180509E-2</v>
          </cell>
          <cell r="R94">
            <v>6.542272324714081E-2</v>
          </cell>
          <cell r="S94">
            <v>6.4910963331901106E-2</v>
          </cell>
          <cell r="T94">
            <v>6.4487021110255865E-2</v>
          </cell>
        </row>
        <row r="95">
          <cell r="B95" t="str">
            <v>NC</v>
          </cell>
          <cell r="C95">
            <v>2.6685118625104323E-2</v>
          </cell>
          <cell r="D95">
            <v>2.6762055331052612E-2</v>
          </cell>
          <cell r="E95">
            <v>2.6788448666129665E-2</v>
          </cell>
          <cell r="F95">
            <v>2.6950662241728891E-2</v>
          </cell>
          <cell r="G95">
            <v>2.7123419508572642E-2</v>
          </cell>
          <cell r="H95">
            <v>2.7341375303099342E-2</v>
          </cell>
          <cell r="I95">
            <v>2.7552303075401696E-2</v>
          </cell>
          <cell r="J95">
            <v>2.7741324733145445E-2</v>
          </cell>
          <cell r="K95">
            <v>2.7921864051665166E-2</v>
          </cell>
          <cell r="L95">
            <v>2.8056643771126974E-2</v>
          </cell>
          <cell r="M95">
            <v>2.8630855763062135E-2</v>
          </cell>
          <cell r="N95">
            <v>2.8767606887519497E-2</v>
          </cell>
          <cell r="O95">
            <v>2.8885968980134121E-2</v>
          </cell>
          <cell r="P95">
            <v>2.8977752366680463E-2</v>
          </cell>
          <cell r="Q95">
            <v>2.9100130096702804E-2</v>
          </cell>
          <cell r="R95">
            <v>2.9303846637529423E-2</v>
          </cell>
          <cell r="S95">
            <v>2.9646249033723097E-2</v>
          </cell>
          <cell r="T95">
            <v>3.000957229520395E-2</v>
          </cell>
        </row>
        <row r="96">
          <cell r="B96" t="str">
            <v>ND</v>
          </cell>
          <cell r="C96">
            <v>2.5549297223159653E-3</v>
          </cell>
          <cell r="D96">
            <v>2.5151347341003456E-3</v>
          </cell>
          <cell r="E96">
            <v>2.4915804021711212E-3</v>
          </cell>
          <cell r="F96">
            <v>2.4719627322569411E-3</v>
          </cell>
          <cell r="G96">
            <v>2.4575320592632602E-3</v>
          </cell>
          <cell r="H96">
            <v>2.4411720042637518E-3</v>
          </cell>
          <cell r="I96">
            <v>2.4237886406898875E-3</v>
          </cell>
          <cell r="J96">
            <v>2.3935184352042878E-3</v>
          </cell>
          <cell r="K96">
            <v>2.3600840447283527E-3</v>
          </cell>
          <cell r="L96">
            <v>2.3237526524225076E-3</v>
          </cell>
          <cell r="M96">
            <v>2.2723131473996053E-3</v>
          </cell>
          <cell r="N96">
            <v>2.2320075768505914E-3</v>
          </cell>
          <cell r="O96">
            <v>2.2018155308361135E-3</v>
          </cell>
          <cell r="P96">
            <v>2.1801006422522071E-3</v>
          </cell>
          <cell r="Q96">
            <v>2.1721171084943501E-3</v>
          </cell>
          <cell r="R96">
            <v>2.149211057257848E-3</v>
          </cell>
          <cell r="S96">
            <v>2.1331500809250886E-3</v>
          </cell>
          <cell r="T96">
            <v>2.117240190767223E-3</v>
          </cell>
        </row>
        <row r="97">
          <cell r="B97" t="str">
            <v>OH</v>
          </cell>
          <cell r="C97">
            <v>4.3540630142667736E-2</v>
          </cell>
          <cell r="D97">
            <v>4.336128862540381E-2</v>
          </cell>
          <cell r="E97">
            <v>4.3162067175556679E-2</v>
          </cell>
          <cell r="F97">
            <v>4.2944654357752486E-2</v>
          </cell>
          <cell r="G97">
            <v>4.2682664893245945E-2</v>
          </cell>
          <cell r="H97">
            <v>4.2448074353532796E-2</v>
          </cell>
          <cell r="I97">
            <v>4.2178834337651981E-2</v>
          </cell>
          <cell r="J97">
            <v>4.187148767474777E-2</v>
          </cell>
          <cell r="K97">
            <v>4.158310838655855E-2</v>
          </cell>
          <cell r="L97">
            <v>4.1279916533161681E-2</v>
          </cell>
          <cell r="M97">
            <v>4.0272321766258147E-2</v>
          </cell>
          <cell r="N97">
            <v>3.9963885324464668E-2</v>
          </cell>
          <cell r="O97">
            <v>3.9657717208236194E-2</v>
          </cell>
          <cell r="P97">
            <v>3.9386203097792526E-2</v>
          </cell>
          <cell r="Q97">
            <v>3.9076144235177752E-2</v>
          </cell>
          <cell r="R97">
            <v>3.8743174753001285E-2</v>
          </cell>
          <cell r="S97">
            <v>3.8404195684160848E-2</v>
          </cell>
          <cell r="T97">
            <v>3.8094952877545371E-2</v>
          </cell>
        </row>
        <row r="98">
          <cell r="B98" t="str">
            <v>OK</v>
          </cell>
          <cell r="C98">
            <v>1.261544753664968E-2</v>
          </cell>
          <cell r="D98">
            <v>1.2557732189141666E-2</v>
          </cell>
          <cell r="E98">
            <v>1.2563924956834146E-2</v>
          </cell>
          <cell r="F98">
            <v>1.2525395041390846E-2</v>
          </cell>
          <cell r="G98">
            <v>1.2469389414631684E-2</v>
          </cell>
          <cell r="H98">
            <v>1.2425823032738755E-2</v>
          </cell>
          <cell r="I98">
            <v>1.2403015162333265E-2</v>
          </cell>
          <cell r="J98">
            <v>1.2376631404475778E-2</v>
          </cell>
          <cell r="K98">
            <v>1.2357086686779328E-2</v>
          </cell>
          <cell r="L98">
            <v>1.2314474268702261E-2</v>
          </cell>
          <cell r="M98">
            <v>1.2240271123206243E-2</v>
          </cell>
          <cell r="N98">
            <v>1.215053814782492E-2</v>
          </cell>
          <cell r="O98">
            <v>1.2105051917558405E-2</v>
          </cell>
          <cell r="P98">
            <v>1.2046952169414276E-2</v>
          </cell>
          <cell r="Q98">
            <v>1.1990626159780662E-2</v>
          </cell>
          <cell r="R98">
            <v>1.1943701593273194E-2</v>
          </cell>
          <cell r="S98">
            <v>1.1959030854676462E-2</v>
          </cell>
          <cell r="T98">
            <v>1.1975568469286296E-2</v>
          </cell>
        </row>
        <row r="99">
          <cell r="B99" t="str">
            <v>OR</v>
          </cell>
          <cell r="C99">
            <v>1.1458737382307654E-2</v>
          </cell>
          <cell r="D99">
            <v>1.1575289348424885E-2</v>
          </cell>
          <cell r="E99">
            <v>1.1661128141785557E-2</v>
          </cell>
          <cell r="F99">
            <v>1.1771507874573137E-2</v>
          </cell>
          <cell r="G99">
            <v>1.1858707513885007E-2</v>
          </cell>
          <cell r="H99">
            <v>1.1953507763731224E-2</v>
          </cell>
          <cell r="I99">
            <v>1.2046541501569447E-2</v>
          </cell>
          <cell r="J99">
            <v>1.2111473276256227E-2</v>
          </cell>
          <cell r="K99">
            <v>1.2144604080571133E-2</v>
          </cell>
          <cell r="L99">
            <v>1.2160857065617389E-2</v>
          </cell>
          <cell r="M99">
            <v>1.2158643586724372E-2</v>
          </cell>
          <cell r="N99">
            <v>1.2176250346341981E-2</v>
          </cell>
          <cell r="O99">
            <v>1.2226820270838523E-2</v>
          </cell>
          <cell r="P99">
            <v>1.2238950462076695E-2</v>
          </cell>
          <cell r="Q99">
            <v>1.2210167738650073E-2</v>
          </cell>
          <cell r="R99">
            <v>1.2254473786350965E-2</v>
          </cell>
          <cell r="S99">
            <v>1.2337214510863585E-2</v>
          </cell>
          <cell r="T99">
            <v>1.2398502717305911E-2</v>
          </cell>
        </row>
        <row r="100">
          <cell r="B100" t="str">
            <v>PA</v>
          </cell>
          <cell r="C100">
            <v>4.768457619900196E-2</v>
          </cell>
          <cell r="D100">
            <v>4.7364717621626466E-2</v>
          </cell>
          <cell r="E100">
            <v>4.6978132535066046E-2</v>
          </cell>
          <cell r="F100">
            <v>4.6636691642129711E-2</v>
          </cell>
          <cell r="G100">
            <v>4.6259297070817711E-2</v>
          </cell>
          <cell r="H100">
            <v>4.5831924865350614E-2</v>
          </cell>
          <cell r="I100">
            <v>4.5387297112167838E-2</v>
          </cell>
          <cell r="J100">
            <v>4.4871633983181052E-2</v>
          </cell>
          <cell r="K100">
            <v>4.4412276378597328E-2</v>
          </cell>
          <cell r="L100">
            <v>4.3983938688832908E-2</v>
          </cell>
          <cell r="M100">
            <v>4.353743031341005E-2</v>
          </cell>
          <cell r="N100">
            <v>4.3097566973830666E-2</v>
          </cell>
          <cell r="O100">
            <v>4.274465061972519E-2</v>
          </cell>
          <cell r="P100">
            <v>4.244377590844154E-2</v>
          </cell>
          <cell r="Q100">
            <v>4.2116707356903454E-2</v>
          </cell>
          <cell r="R100">
            <v>4.1791372501476846E-2</v>
          </cell>
          <cell r="S100">
            <v>4.1520081649005419E-2</v>
          </cell>
          <cell r="T100">
            <v>4.1222464450004326E-2</v>
          </cell>
        </row>
        <row r="101">
          <cell r="B101" t="str">
            <v>RI</v>
          </cell>
          <cell r="C101">
            <v>4.027223989109853E-3</v>
          </cell>
          <cell r="D101">
            <v>3.9816684064298523E-3</v>
          </cell>
          <cell r="E101">
            <v>3.9233509035353567E-3</v>
          </cell>
          <cell r="F101">
            <v>3.870905053454964E-3</v>
          </cell>
          <cell r="G101">
            <v>3.8160157028032829E-3</v>
          </cell>
          <cell r="H101">
            <v>3.7640436415259907E-3</v>
          </cell>
          <cell r="I101">
            <v>3.7245534768403457E-3</v>
          </cell>
          <cell r="J101">
            <v>3.685684911996872E-3</v>
          </cell>
          <cell r="K101">
            <v>3.6548059154390866E-3</v>
          </cell>
          <cell r="L101">
            <v>3.6334887453652498E-3</v>
          </cell>
          <cell r="M101">
            <v>3.7237048265494413E-3</v>
          </cell>
          <cell r="N101">
            <v>3.7119903566590665E-3</v>
          </cell>
          <cell r="O101">
            <v>3.7046864136987632E-3</v>
          </cell>
          <cell r="P101">
            <v>3.6914600668670923E-3</v>
          </cell>
          <cell r="Q101">
            <v>3.6569607075850148E-3</v>
          </cell>
          <cell r="R101">
            <v>3.601424491872899E-3</v>
          </cell>
          <cell r="S101">
            <v>3.5493378731012979E-3</v>
          </cell>
          <cell r="T101">
            <v>3.4954191626699791E-3</v>
          </cell>
        </row>
        <row r="102">
          <cell r="B102" t="str">
            <v>SC</v>
          </cell>
          <cell r="C102">
            <v>1.4026306182786901E-2</v>
          </cell>
          <cell r="D102">
            <v>1.4116305184946928E-2</v>
          </cell>
          <cell r="E102">
            <v>1.4118261575488116E-2</v>
          </cell>
          <cell r="F102">
            <v>1.4099116415177242E-2</v>
          </cell>
          <cell r="G102">
            <v>1.4084039320681967E-2</v>
          </cell>
          <cell r="H102">
            <v>1.4078755243522915E-2</v>
          </cell>
          <cell r="I102">
            <v>1.4097176528929922E-2</v>
          </cell>
          <cell r="J102">
            <v>1.4153465338899555E-2</v>
          </cell>
          <cell r="K102">
            <v>1.420760914928944E-2</v>
          </cell>
          <cell r="L102">
            <v>1.4249603634428272E-2</v>
          </cell>
          <cell r="M102">
            <v>1.4258668161811811E-2</v>
          </cell>
          <cell r="N102">
            <v>1.4250094047391691E-2</v>
          </cell>
          <cell r="O102">
            <v>1.4257320421212151E-2</v>
          </cell>
          <cell r="P102">
            <v>1.4277271460576427E-2</v>
          </cell>
          <cell r="Q102">
            <v>1.4328821477676661E-2</v>
          </cell>
          <cell r="R102">
            <v>1.437737551367182E-2</v>
          </cell>
          <cell r="S102">
            <v>1.4495092861271361E-2</v>
          </cell>
          <cell r="T102">
            <v>1.462016378275291E-2</v>
          </cell>
        </row>
        <row r="103">
          <cell r="B103" t="str">
            <v>SD</v>
          </cell>
          <cell r="C103">
            <v>2.7926510202281531E-3</v>
          </cell>
          <cell r="D103">
            <v>2.7818219258639908E-3</v>
          </cell>
          <cell r="E103">
            <v>2.7788841957579222E-3</v>
          </cell>
          <cell r="F103">
            <v>2.7785350049682172E-3</v>
          </cell>
          <cell r="G103">
            <v>2.7774220179779185E-3</v>
          </cell>
          <cell r="H103">
            <v>2.7710879829367118E-3</v>
          </cell>
          <cell r="I103">
            <v>2.7549784493052279E-3</v>
          </cell>
          <cell r="J103">
            <v>2.7292746116456637E-3</v>
          </cell>
          <cell r="K103">
            <v>2.7041420912923453E-3</v>
          </cell>
          <cell r="L103">
            <v>2.6885137490862223E-3</v>
          </cell>
          <cell r="M103">
            <v>2.6780019682751156E-3</v>
          </cell>
          <cell r="N103">
            <v>2.6617510677973632E-3</v>
          </cell>
          <cell r="O103">
            <v>2.647335615042982E-3</v>
          </cell>
          <cell r="P103">
            <v>2.6409757973471664E-3</v>
          </cell>
          <cell r="Q103">
            <v>2.6410371897773819E-3</v>
          </cell>
          <cell r="R103">
            <v>2.6367355272438608E-3</v>
          </cell>
          <cell r="S103">
            <v>2.6390003829329049E-3</v>
          </cell>
          <cell r="T103">
            <v>2.6409377118679E-3</v>
          </cell>
        </row>
        <row r="104">
          <cell r="B104" t="str">
            <v>TN</v>
          </cell>
          <cell r="C104">
            <v>1.960450500519521E-2</v>
          </cell>
          <cell r="D104">
            <v>1.9618581556001699E-2</v>
          </cell>
          <cell r="E104">
            <v>1.9660451389232121E-2</v>
          </cell>
          <cell r="F104">
            <v>1.9728507052733362E-2</v>
          </cell>
          <cell r="G104">
            <v>1.9832808673364722E-2</v>
          </cell>
          <cell r="H104">
            <v>1.9943313035412847E-2</v>
          </cell>
          <cell r="I104">
            <v>2.0033950188443499E-2</v>
          </cell>
          <cell r="J104">
            <v>2.0084997211946586E-2</v>
          </cell>
          <cell r="K104">
            <v>2.0102568528508238E-2</v>
          </cell>
          <cell r="L104">
            <v>2.0108983282836154E-2</v>
          </cell>
          <cell r="M104">
            <v>2.0211414646139722E-2</v>
          </cell>
          <cell r="N104">
            <v>2.0184889757308738E-2</v>
          </cell>
          <cell r="O104">
            <v>2.0154869423686016E-2</v>
          </cell>
          <cell r="P104">
            <v>2.01562474662824E-2</v>
          </cell>
          <cell r="Q104">
            <v>2.0167616181776031E-2</v>
          </cell>
          <cell r="R104">
            <v>2.0243604974492044E-2</v>
          </cell>
          <cell r="S104">
            <v>2.0338669838901223E-2</v>
          </cell>
          <cell r="T104">
            <v>2.0409270882279753E-2</v>
          </cell>
        </row>
        <row r="105">
          <cell r="B105" t="str">
            <v>TX</v>
          </cell>
          <cell r="C105">
            <v>6.8325237081126394E-2</v>
          </cell>
          <cell r="D105">
            <v>6.8767366136442215E-2</v>
          </cell>
          <cell r="E105">
            <v>6.9209504105637518E-2</v>
          </cell>
          <cell r="F105">
            <v>6.9813724593863993E-2</v>
          </cell>
          <cell r="G105">
            <v>7.0443394348986929E-2</v>
          </cell>
          <cell r="H105">
            <v>7.1078664940234612E-2</v>
          </cell>
          <cell r="I105">
            <v>7.1659851186771845E-2</v>
          </cell>
          <cell r="J105">
            <v>7.2280104136471651E-2</v>
          </cell>
          <cell r="K105">
            <v>7.2941848898694733E-2</v>
          </cell>
          <cell r="L105">
            <v>7.3505010232963006E-2</v>
          </cell>
          <cell r="M105">
            <v>7.4231510393719669E-2</v>
          </cell>
          <cell r="N105">
            <v>7.4845434832131144E-2</v>
          </cell>
          <cell r="O105">
            <v>7.5465366959911781E-2</v>
          </cell>
          <cell r="P105">
            <v>7.6020983139179946E-2</v>
          </cell>
          <cell r="Q105">
            <v>7.656362849247908E-2</v>
          </cell>
          <cell r="R105">
            <v>7.7179204319315298E-2</v>
          </cell>
          <cell r="S105">
            <v>7.831914853590094E-2</v>
          </cell>
          <cell r="T105">
            <v>7.9137726862075347E-2</v>
          </cell>
        </row>
        <row r="106">
          <cell r="B106" t="str">
            <v>UT</v>
          </cell>
          <cell r="C106">
            <v>6.9337429618613793E-3</v>
          </cell>
          <cell r="D106">
            <v>7.0272427989897506E-3</v>
          </cell>
          <cell r="E106">
            <v>7.1422975721741333E-3</v>
          </cell>
          <cell r="F106">
            <v>7.2774226878797033E-3</v>
          </cell>
          <cell r="G106">
            <v>7.4154269218176935E-3</v>
          </cell>
          <cell r="H106">
            <v>7.5218773148018137E-3</v>
          </cell>
          <cell r="I106">
            <v>7.6245669339123842E-3</v>
          </cell>
          <cell r="J106">
            <v>7.7129329279667222E-3</v>
          </cell>
          <cell r="K106">
            <v>7.7727197858331633E-3</v>
          </cell>
          <cell r="L106">
            <v>7.8104428109208061E-3</v>
          </cell>
          <cell r="M106">
            <v>7.9533423196274204E-3</v>
          </cell>
          <cell r="N106">
            <v>8.0377055270417792E-3</v>
          </cell>
          <cell r="O106">
            <v>8.113471672993847E-3</v>
          </cell>
          <cell r="P106">
            <v>8.2025240442887004E-3</v>
          </cell>
          <cell r="Q106">
            <v>8.3302068409643534E-3</v>
          </cell>
          <cell r="R106">
            <v>8.4627735618396076E-3</v>
          </cell>
          <cell r="S106">
            <v>8.6644632006666594E-3</v>
          </cell>
          <cell r="T106">
            <v>8.8583161042153843E-3</v>
          </cell>
        </row>
        <row r="107">
          <cell r="B107" t="str">
            <v>VT</v>
          </cell>
          <cell r="C107">
            <v>2.262952184968311E-3</v>
          </cell>
          <cell r="D107">
            <v>2.2491931211376937E-3</v>
          </cell>
          <cell r="E107">
            <v>2.2354847385833289E-3</v>
          </cell>
          <cell r="F107">
            <v>2.2266979314601396E-3</v>
          </cell>
          <cell r="G107">
            <v>2.2237414993505418E-3</v>
          </cell>
          <cell r="H107">
            <v>2.2177311062134553E-3</v>
          </cell>
          <cell r="I107">
            <v>2.2107422121927347E-3</v>
          </cell>
          <cell r="J107">
            <v>2.1982861706691405E-3</v>
          </cell>
          <cell r="K107">
            <v>2.1853223463042574E-3</v>
          </cell>
          <cell r="L107">
            <v>2.1773377455147343E-3</v>
          </cell>
          <cell r="M107">
            <v>2.1613630634054267E-3</v>
          </cell>
          <cell r="N107">
            <v>2.1475386719938196E-3</v>
          </cell>
          <cell r="O107">
            <v>2.1374245535207589E-3</v>
          </cell>
          <cell r="P107">
            <v>2.1250131206299156E-3</v>
          </cell>
          <cell r="Q107">
            <v>2.1114667926871249E-3</v>
          </cell>
          <cell r="R107">
            <v>2.0952796376081978E-3</v>
          </cell>
          <cell r="S107">
            <v>2.0786627568562268E-3</v>
          </cell>
          <cell r="T107">
            <v>2.0602984366587642E-3</v>
          </cell>
        </row>
        <row r="108">
          <cell r="B108" t="str">
            <v>VA</v>
          </cell>
          <cell r="C108">
            <v>2.4907466154007806E-2</v>
          </cell>
          <cell r="D108">
            <v>2.4920785028485791E-2</v>
          </cell>
          <cell r="E108">
            <v>2.5029692718258667E-2</v>
          </cell>
          <cell r="F108">
            <v>2.5078476201932133E-2</v>
          </cell>
          <cell r="G108">
            <v>2.5109844436778616E-2</v>
          </cell>
          <cell r="H108">
            <v>2.511913892580243E-2</v>
          </cell>
          <cell r="I108">
            <v>2.5131119734716968E-2</v>
          </cell>
          <cell r="J108">
            <v>2.5142980466313608E-2</v>
          </cell>
          <cell r="K108">
            <v>2.5122202290612301E-2</v>
          </cell>
          <cell r="L108">
            <v>2.5204046753126222E-2</v>
          </cell>
          <cell r="M108">
            <v>2.5177393970178524E-2</v>
          </cell>
          <cell r="N108">
            <v>2.5218411338854316E-2</v>
          </cell>
          <cell r="O108">
            <v>2.529061898114706E-2</v>
          </cell>
          <cell r="P108">
            <v>2.5372236689899266E-2</v>
          </cell>
          <cell r="Q108">
            <v>2.5451991749849936E-2</v>
          </cell>
          <cell r="R108">
            <v>2.5533600561825995E-2</v>
          </cell>
          <cell r="S108">
            <v>2.5567338075827527E-2</v>
          </cell>
          <cell r="T108">
            <v>2.5552678537325253E-2</v>
          </cell>
        </row>
        <row r="109">
          <cell r="B109" t="str">
            <v>WA</v>
          </cell>
          <cell r="C109">
            <v>1.9645208208388984E-2</v>
          </cell>
          <cell r="D109">
            <v>1.9882536280776599E-2</v>
          </cell>
          <cell r="E109">
            <v>2.0150637436152093E-2</v>
          </cell>
          <cell r="F109">
            <v>2.0357090964026558E-2</v>
          </cell>
          <cell r="G109">
            <v>2.0493055156191414E-2</v>
          </cell>
          <cell r="H109">
            <v>2.0665739341848996E-2</v>
          </cell>
          <cell r="I109">
            <v>2.0774394547507499E-2</v>
          </cell>
          <cell r="J109">
            <v>2.0927737372661501E-2</v>
          </cell>
          <cell r="K109">
            <v>2.1046712415484527E-2</v>
          </cell>
          <cell r="L109">
            <v>2.1109479034777751E-2</v>
          </cell>
          <cell r="M109">
            <v>2.0948589302658364E-2</v>
          </cell>
          <cell r="N109">
            <v>2.1004719119876742E-2</v>
          </cell>
          <cell r="O109">
            <v>2.1046410067121799E-2</v>
          </cell>
          <cell r="P109">
            <v>2.1054349458408034E-2</v>
          </cell>
          <cell r="Q109">
            <v>2.1098706418967689E-2</v>
          </cell>
          <cell r="R109">
            <v>2.1161751868311762E-2</v>
          </cell>
          <cell r="S109">
            <v>2.1318090968345457E-2</v>
          </cell>
          <cell r="T109">
            <v>2.1406299223700281E-2</v>
          </cell>
        </row>
        <row r="110">
          <cell r="B110" t="str">
            <v>WV</v>
          </cell>
          <cell r="C110">
            <v>7.1853179401200002E-3</v>
          </cell>
          <cell r="D110">
            <v>7.1314295047391289E-3</v>
          </cell>
          <cell r="E110">
            <v>7.07941862096618E-3</v>
          </cell>
          <cell r="F110">
            <v>7.0453899667273128E-3</v>
          </cell>
          <cell r="G110">
            <v>6.9854062517774517E-3</v>
          </cell>
          <cell r="H110">
            <v>6.9274631112284917E-3</v>
          </cell>
          <cell r="I110">
            <v>6.8581713737839679E-3</v>
          </cell>
          <cell r="J110">
            <v>6.7800565551423015E-3</v>
          </cell>
          <cell r="K110">
            <v>6.7037979185363304E-3</v>
          </cell>
          <cell r="L110">
            <v>6.6262885064631788E-3</v>
          </cell>
          <cell r="M110">
            <v>6.4038154382581834E-3</v>
          </cell>
          <cell r="N110">
            <v>6.3097854442454833E-3</v>
          </cell>
          <cell r="O110">
            <v>6.253824658791509E-3</v>
          </cell>
          <cell r="P110">
            <v>6.2102660963329588E-3</v>
          </cell>
          <cell r="Q110">
            <v>6.156915238626404E-3</v>
          </cell>
          <cell r="R110">
            <v>6.1037239445647399E-3</v>
          </cell>
          <cell r="S110">
            <v>6.0555771442859299E-3</v>
          </cell>
          <cell r="T110">
            <v>6.0069501334015594E-3</v>
          </cell>
        </row>
        <row r="111">
          <cell r="B111" t="str">
            <v>WI</v>
          </cell>
          <cell r="C111">
            <v>1.965116096166284E-2</v>
          </cell>
          <cell r="D111">
            <v>1.9641539830889721E-2</v>
          </cell>
          <cell r="E111">
            <v>1.9623738018057262E-2</v>
          </cell>
          <cell r="F111">
            <v>1.96107799483509E-2</v>
          </cell>
          <cell r="G111">
            <v>1.957347331992863E-2</v>
          </cell>
          <cell r="H111">
            <v>1.9546955723641742E-2</v>
          </cell>
          <cell r="I111">
            <v>1.9507053712146821E-2</v>
          </cell>
          <cell r="J111">
            <v>1.9419541988617697E-2</v>
          </cell>
          <cell r="K111">
            <v>1.9323450837858736E-2</v>
          </cell>
          <cell r="L111">
            <v>1.9254209345145778E-2</v>
          </cell>
          <cell r="M111">
            <v>1.9045597078796668E-2</v>
          </cell>
          <cell r="N111">
            <v>1.8973002868655504E-2</v>
          </cell>
          <cell r="O111">
            <v>1.8922953632445449E-2</v>
          </cell>
          <cell r="P111">
            <v>1.8863384304010015E-2</v>
          </cell>
          <cell r="Q111">
            <v>1.8808252227278201E-2</v>
          </cell>
          <cell r="R111">
            <v>1.8740004438143061E-2</v>
          </cell>
          <cell r="S111">
            <v>1.866352565135487E-2</v>
          </cell>
          <cell r="T111">
            <v>1.8583048990765492E-2</v>
          </cell>
        </row>
        <row r="112">
          <cell r="B112" t="str">
            <v>WY</v>
          </cell>
          <cell r="C112">
            <v>1.8174978364447647E-3</v>
          </cell>
          <cell r="D112">
            <v>1.8153217807854603E-3</v>
          </cell>
          <cell r="E112">
            <v>1.8174000981744482E-3</v>
          </cell>
          <cell r="F112">
            <v>1.8194904754784697E-3</v>
          </cell>
          <cell r="G112">
            <v>1.8245589650103975E-3</v>
          </cell>
          <cell r="H112">
            <v>1.8205518868798271E-3</v>
          </cell>
          <cell r="I112">
            <v>1.8100802503283847E-3</v>
          </cell>
          <cell r="J112">
            <v>1.7926078649019019E-3</v>
          </cell>
          <cell r="K112">
            <v>1.7763128484616405E-3</v>
          </cell>
          <cell r="L112">
            <v>1.7587757897806406E-3</v>
          </cell>
          <cell r="M112">
            <v>1.7505745149652304E-3</v>
          </cell>
          <cell r="N112">
            <v>1.7293163790181262E-3</v>
          </cell>
          <cell r="O112">
            <v>1.7272261890988498E-3</v>
          </cell>
          <cell r="P112">
            <v>1.7196320879923903E-3</v>
          </cell>
          <cell r="Q112">
            <v>1.7167276059967293E-3</v>
          </cell>
          <cell r="R112">
            <v>1.712024834545831E-3</v>
          </cell>
          <cell r="S112">
            <v>1.7179511078273108E-3</v>
          </cell>
          <cell r="T112">
            <v>1.7367035859617295E-3</v>
          </cell>
        </row>
      </sheetData>
      <sheetData sheetId="32"/>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Control"/>
      <sheetName val="Cement"/>
      <sheetName val="Lime"/>
      <sheetName val="Limestone"/>
      <sheetName val="Soda Ash"/>
      <sheetName val="Iron &amp; Steel"/>
      <sheetName val="Ammonia &amp; Urea"/>
      <sheetName val="Nitric"/>
      <sheetName val="Adipic"/>
      <sheetName val="Aluminum"/>
      <sheetName val="HCFC-22"/>
      <sheetName val="ODS"/>
      <sheetName val="Semiconductor"/>
      <sheetName val="Electric Power"/>
      <sheetName val="Magnesium"/>
      <sheetName val="Summary, MTCE"/>
      <sheetName val="Summary, MTCO2E"/>
      <sheetName val="Tracker"/>
      <sheetName val="Uncertainty"/>
      <sheetName val="Data Sources"/>
      <sheetName val="Data"/>
      <sheetName val="EF"/>
      <sheetName val="ODS subs method"/>
      <sheetName val="List Data"/>
      <sheetName val="Lime Proportion Data"/>
      <sheetName val="Soda Ash Method"/>
      <sheetName val="Industrial Limestone Ratios"/>
      <sheetName val="semiconductors method"/>
      <sheetName val="Electric Power method"/>
      <sheetName val="Iron &amp; Steel Data"/>
      <sheetName val="Ammonia Defaults"/>
      <sheetName val="state population"/>
      <sheetName val="No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row>
        <row r="60">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row>
        <row r="67">
          <cell r="A67" t="str">
            <v>Alabama</v>
          </cell>
          <cell r="B67">
            <v>1018.4558287217636</v>
          </cell>
          <cell r="C67">
            <v>622.96523632404978</v>
          </cell>
          <cell r="D67">
            <v>724.28692733375669</v>
          </cell>
          <cell r="E67">
            <v>807.37653996189783</v>
          </cell>
          <cell r="F67">
            <v>749.22763313072653</v>
          </cell>
          <cell r="G67">
            <v>1476.6391363512653</v>
          </cell>
          <cell r="H67">
            <v>2284.6603102603649</v>
          </cell>
          <cell r="I67">
            <v>1897.0463757597747</v>
          </cell>
          <cell r="J67">
            <v>1672.8602376848407</v>
          </cell>
          <cell r="K67">
            <v>1799.8026490066225</v>
          </cell>
          <cell r="L67">
            <v>1771.4168193776652</v>
          </cell>
          <cell r="M67">
            <v>1745.0207928875989</v>
          </cell>
          <cell r="N67">
            <v>1555.2547582327859</v>
          </cell>
          <cell r="O67">
            <v>1484.0968883244125</v>
          </cell>
          <cell r="P67">
            <v>1619.4473736732286</v>
          </cell>
          <cell r="Q67">
            <v>1763.948924975052</v>
          </cell>
          <cell r="R67">
            <v>1490.317267524417</v>
          </cell>
          <cell r="S67">
            <v>1805.9160936651701</v>
          </cell>
          <cell r="T67">
            <v>0</v>
          </cell>
          <cell r="U67">
            <v>0</v>
          </cell>
          <cell r="V67">
            <v>0</v>
          </cell>
          <cell r="W67">
            <v>0</v>
          </cell>
          <cell r="X67">
            <v>0</v>
          </cell>
          <cell r="Y67">
            <v>0</v>
          </cell>
          <cell r="Z67">
            <v>0</v>
          </cell>
          <cell r="AA67">
            <v>0</v>
          </cell>
          <cell r="AB67">
            <v>0</v>
          </cell>
          <cell r="AC67">
            <v>0</v>
          </cell>
          <cell r="AD67">
            <v>0</v>
          </cell>
          <cell r="AE67">
            <v>0</v>
          </cell>
          <cell r="AF67">
            <v>0</v>
          </cell>
        </row>
        <row r="68">
          <cell r="A68" t="str">
            <v>Alaska</v>
          </cell>
          <cell r="B68">
            <v>709.10913544407151</v>
          </cell>
          <cell r="C68">
            <v>686.44953279506501</v>
          </cell>
          <cell r="D68">
            <v>672.33999818561188</v>
          </cell>
          <cell r="E68">
            <v>730.5615531162116</v>
          </cell>
          <cell r="F68">
            <v>725.03039100063495</v>
          </cell>
          <cell r="G68">
            <v>684.79442982854027</v>
          </cell>
          <cell r="H68">
            <v>604.41803501769039</v>
          </cell>
          <cell r="I68">
            <v>604.41803501769039</v>
          </cell>
          <cell r="J68">
            <v>610.84739181710972</v>
          </cell>
          <cell r="K68">
            <v>611.55830536151677</v>
          </cell>
          <cell r="L68">
            <v>612.36144425292559</v>
          </cell>
          <cell r="M68">
            <v>645.93831080468112</v>
          </cell>
          <cell r="N68">
            <v>637.5578336206114</v>
          </cell>
          <cell r="O68">
            <v>637.5578336206114</v>
          </cell>
          <cell r="P68">
            <v>637.5578336206114</v>
          </cell>
          <cell r="Q68">
            <v>637.5578336206114</v>
          </cell>
          <cell r="R68">
            <v>637.5578336206114</v>
          </cell>
          <cell r="S68">
            <v>637.5578336206114</v>
          </cell>
          <cell r="T68">
            <v>0</v>
          </cell>
          <cell r="U68">
            <v>0</v>
          </cell>
          <cell r="V68">
            <v>0</v>
          </cell>
          <cell r="W68">
            <v>0</v>
          </cell>
          <cell r="X68">
            <v>0</v>
          </cell>
          <cell r="Y68">
            <v>0</v>
          </cell>
          <cell r="Z68">
            <v>0</v>
          </cell>
          <cell r="AA68">
            <v>0</v>
          </cell>
          <cell r="AB68">
            <v>0</v>
          </cell>
          <cell r="AC68">
            <v>0</v>
          </cell>
          <cell r="AD68">
            <v>0</v>
          </cell>
          <cell r="AE68">
            <v>0</v>
          </cell>
          <cell r="AF68">
            <v>0</v>
          </cell>
        </row>
        <row r="69">
          <cell r="A69" t="str">
            <v>Arizona</v>
          </cell>
          <cell r="B69">
            <v>2351.2401705524808</v>
          </cell>
          <cell r="C69">
            <v>2112.5935226344914</v>
          </cell>
          <cell r="D69">
            <v>2319.0238047718403</v>
          </cell>
          <cell r="E69">
            <v>2496.6021772657168</v>
          </cell>
          <cell r="F69">
            <v>2891.1278236414769</v>
          </cell>
          <cell r="G69">
            <v>3161.5292388641933</v>
          </cell>
          <cell r="H69">
            <v>3146.2766760410054</v>
          </cell>
          <cell r="I69">
            <v>2832.6777102422211</v>
          </cell>
          <cell r="J69">
            <v>2209.6523269527356</v>
          </cell>
          <cell r="K69">
            <v>1641.0420212283409</v>
          </cell>
          <cell r="L69">
            <v>1751.7117300190512</v>
          </cell>
          <cell r="M69">
            <v>1624.2506395718044</v>
          </cell>
          <cell r="N69">
            <v>1677.6205751610269</v>
          </cell>
          <cell r="O69">
            <v>2039.1099700625966</v>
          </cell>
          <cell r="P69">
            <v>2017.5698085820554</v>
          </cell>
          <cell r="Q69">
            <v>1897.6405334301007</v>
          </cell>
          <cell r="R69">
            <v>1420.4102073531878</v>
          </cell>
          <cell r="S69">
            <v>2316.5968168996069</v>
          </cell>
          <cell r="T69">
            <v>0</v>
          </cell>
          <cell r="U69">
            <v>0</v>
          </cell>
          <cell r="V69">
            <v>0</v>
          </cell>
          <cell r="W69">
            <v>0</v>
          </cell>
          <cell r="X69">
            <v>0</v>
          </cell>
          <cell r="Y69">
            <v>0</v>
          </cell>
          <cell r="Z69">
            <v>0</v>
          </cell>
          <cell r="AA69">
            <v>0</v>
          </cell>
          <cell r="AB69">
            <v>0</v>
          </cell>
          <cell r="AC69">
            <v>0</v>
          </cell>
          <cell r="AD69">
            <v>0</v>
          </cell>
          <cell r="AE69">
            <v>0</v>
          </cell>
          <cell r="AF69">
            <v>0</v>
          </cell>
        </row>
        <row r="70">
          <cell r="A70" t="str">
            <v>Arkansas</v>
          </cell>
          <cell r="B70">
            <v>40756.319695182792</v>
          </cell>
          <cell r="C70">
            <v>39775.270325682657</v>
          </cell>
          <cell r="D70">
            <v>43075.470398258185</v>
          </cell>
          <cell r="E70">
            <v>45121.778662795972</v>
          </cell>
          <cell r="F70">
            <v>47929.401270071663</v>
          </cell>
          <cell r="G70">
            <v>46465.8668602014</v>
          </cell>
          <cell r="H70">
            <v>45368.378626508209</v>
          </cell>
          <cell r="I70">
            <v>45557.001868819738</v>
          </cell>
          <cell r="J70">
            <v>51910.25082101061</v>
          </cell>
          <cell r="K70">
            <v>47464.292098339836</v>
          </cell>
          <cell r="L70">
            <v>51463.959629864832</v>
          </cell>
          <cell r="M70">
            <v>51846.493386555376</v>
          </cell>
          <cell r="N70">
            <v>48083.308155674495</v>
          </cell>
          <cell r="O70">
            <v>48374.761716411143</v>
          </cell>
          <cell r="P70">
            <v>47009.976594393542</v>
          </cell>
          <cell r="Q70">
            <v>42732.795210015422</v>
          </cell>
          <cell r="R70">
            <v>46391.200643838332</v>
          </cell>
          <cell r="S70">
            <v>54073.421706310437</v>
          </cell>
          <cell r="T70">
            <v>0</v>
          </cell>
          <cell r="U70">
            <v>0</v>
          </cell>
          <cell r="V70">
            <v>0</v>
          </cell>
          <cell r="W70">
            <v>0</v>
          </cell>
          <cell r="X70">
            <v>0</v>
          </cell>
          <cell r="Y70">
            <v>0</v>
          </cell>
          <cell r="Z70">
            <v>0</v>
          </cell>
          <cell r="AA70">
            <v>0</v>
          </cell>
          <cell r="AB70">
            <v>0</v>
          </cell>
          <cell r="AC70">
            <v>0</v>
          </cell>
          <cell r="AD70">
            <v>0</v>
          </cell>
          <cell r="AE70">
            <v>0</v>
          </cell>
          <cell r="AF70">
            <v>0</v>
          </cell>
        </row>
        <row r="71">
          <cell r="A71" t="str">
            <v>California</v>
          </cell>
          <cell r="B71">
            <v>7548.8316973600658</v>
          </cell>
          <cell r="C71">
            <v>7302.3211285493971</v>
          </cell>
          <cell r="D71">
            <v>9008.7926698720858</v>
          </cell>
          <cell r="E71">
            <v>9775.4501859747797</v>
          </cell>
          <cell r="F71">
            <v>9848.6219178082192</v>
          </cell>
          <cell r="G71">
            <v>12062.306450149688</v>
          </cell>
          <cell r="H71">
            <v>8920.0162206295918</v>
          </cell>
          <cell r="I71">
            <v>8814.2240769300533</v>
          </cell>
          <cell r="J71">
            <v>12742.445740723942</v>
          </cell>
          <cell r="K71">
            <v>13322.607565998367</v>
          </cell>
          <cell r="L71">
            <v>15675.570062596389</v>
          </cell>
          <cell r="M71">
            <v>17829.794484260183</v>
          </cell>
          <cell r="N71">
            <v>21395.325936677858</v>
          </cell>
          <cell r="O71">
            <v>23428.330164202122</v>
          </cell>
          <cell r="P71">
            <v>21434.301406150775</v>
          </cell>
          <cell r="Q71">
            <v>16445.407112401343</v>
          </cell>
          <cell r="R71">
            <v>13539.185823233653</v>
          </cell>
          <cell r="S71">
            <v>25437.083640834691</v>
          </cell>
          <cell r="T71">
            <v>0</v>
          </cell>
          <cell r="U71">
            <v>0</v>
          </cell>
          <cell r="V71">
            <v>0</v>
          </cell>
          <cell r="W71">
            <v>0</v>
          </cell>
          <cell r="X71">
            <v>0</v>
          </cell>
          <cell r="Y71">
            <v>0</v>
          </cell>
          <cell r="Z71">
            <v>0</v>
          </cell>
          <cell r="AA71">
            <v>0</v>
          </cell>
          <cell r="AB71">
            <v>0</v>
          </cell>
          <cell r="AC71">
            <v>0</v>
          </cell>
          <cell r="AD71">
            <v>0</v>
          </cell>
          <cell r="AE71">
            <v>0</v>
          </cell>
          <cell r="AF71">
            <v>0</v>
          </cell>
        </row>
        <row r="72">
          <cell r="A72" t="str">
            <v>Colorado</v>
          </cell>
          <cell r="B72">
            <v>4206.223532613626</v>
          </cell>
          <cell r="C72">
            <v>3675.8655175542049</v>
          </cell>
          <cell r="D72">
            <v>3524.9376757688469</v>
          </cell>
          <cell r="E72">
            <v>4332.3510115213649</v>
          </cell>
          <cell r="F72">
            <v>3933.0025219994559</v>
          </cell>
          <cell r="G72">
            <v>3619.8969971876986</v>
          </cell>
          <cell r="H72">
            <v>3496.8657897124194</v>
          </cell>
          <cell r="I72">
            <v>4170.8278690011794</v>
          </cell>
          <cell r="J72">
            <v>4622.1905107502498</v>
          </cell>
          <cell r="K72">
            <v>4509.7435180985212</v>
          </cell>
          <cell r="L72">
            <v>3094.0030663158855</v>
          </cell>
          <cell r="M72">
            <v>1288.4364510568807</v>
          </cell>
          <cell r="N72">
            <v>3449.5933411956817</v>
          </cell>
          <cell r="O72">
            <v>4015.8807947019868</v>
          </cell>
          <cell r="P72">
            <v>4746.7638392452145</v>
          </cell>
          <cell r="Q72">
            <v>5817.4512927515198</v>
          </cell>
          <cell r="R72">
            <v>5576.669864522336</v>
          </cell>
          <cell r="S72">
            <v>4548.1986059261781</v>
          </cell>
          <cell r="T72">
            <v>0</v>
          </cell>
          <cell r="U72">
            <v>0</v>
          </cell>
          <cell r="V72">
            <v>0</v>
          </cell>
          <cell r="W72">
            <v>0</v>
          </cell>
          <cell r="X72">
            <v>0</v>
          </cell>
          <cell r="Y72">
            <v>0</v>
          </cell>
          <cell r="Z72">
            <v>0</v>
          </cell>
          <cell r="AA72">
            <v>0</v>
          </cell>
          <cell r="AB72">
            <v>0</v>
          </cell>
          <cell r="AC72">
            <v>0</v>
          </cell>
          <cell r="AD72">
            <v>0</v>
          </cell>
          <cell r="AE72">
            <v>0</v>
          </cell>
          <cell r="AF72">
            <v>0</v>
          </cell>
        </row>
        <row r="73">
          <cell r="A73" t="str">
            <v>Connecticut</v>
          </cell>
          <cell r="B73">
            <v>169.82861290029936</v>
          </cell>
          <cell r="C73">
            <v>180.27602286129004</v>
          </cell>
          <cell r="D73">
            <v>204.08525809670684</v>
          </cell>
          <cell r="E73">
            <v>364.79700625963892</v>
          </cell>
          <cell r="F73">
            <v>444.62570987934322</v>
          </cell>
          <cell r="G73">
            <v>350.12609997278417</v>
          </cell>
          <cell r="H73">
            <v>199.08857842692549</v>
          </cell>
          <cell r="I73">
            <v>256.13125283498135</v>
          </cell>
          <cell r="J73">
            <v>342.77189512836799</v>
          </cell>
          <cell r="K73">
            <v>329.09659802231698</v>
          </cell>
          <cell r="L73">
            <v>557.51944116846585</v>
          </cell>
          <cell r="M73">
            <v>729.0522180894493</v>
          </cell>
          <cell r="N73">
            <v>863.47997822734283</v>
          </cell>
          <cell r="O73">
            <v>679.33803864646643</v>
          </cell>
          <cell r="P73">
            <v>331.00738455955729</v>
          </cell>
          <cell r="Q73">
            <v>112.34297378209199</v>
          </cell>
          <cell r="R73">
            <v>447.91604665602978</v>
          </cell>
          <cell r="S73">
            <v>268.51598833680663</v>
          </cell>
          <cell r="T73">
            <v>0</v>
          </cell>
          <cell r="U73">
            <v>0</v>
          </cell>
          <cell r="V73">
            <v>0</v>
          </cell>
          <cell r="W73">
            <v>0</v>
          </cell>
          <cell r="X73">
            <v>0</v>
          </cell>
          <cell r="Y73">
            <v>0</v>
          </cell>
          <cell r="Z73">
            <v>0</v>
          </cell>
          <cell r="AA73">
            <v>0</v>
          </cell>
          <cell r="AB73">
            <v>0</v>
          </cell>
          <cell r="AC73">
            <v>0</v>
          </cell>
          <cell r="AD73">
            <v>0</v>
          </cell>
          <cell r="AE73">
            <v>0</v>
          </cell>
          <cell r="AF73">
            <v>0</v>
          </cell>
        </row>
        <row r="74">
          <cell r="A74" t="str">
            <v>Delaware</v>
          </cell>
          <cell r="B74">
            <v>54.538201941395265</v>
          </cell>
          <cell r="C74">
            <v>25.952590039009348</v>
          </cell>
          <cell r="D74">
            <v>34.489685203665069</v>
          </cell>
          <cell r="E74">
            <v>28.591272793250475</v>
          </cell>
          <cell r="F74">
            <v>47.86023768484079</v>
          </cell>
          <cell r="G74">
            <v>40.911730019051085</v>
          </cell>
          <cell r="H74">
            <v>64.362206295926711</v>
          </cell>
          <cell r="I74">
            <v>49.770316610723029</v>
          </cell>
          <cell r="J74">
            <v>232.6982309716048</v>
          </cell>
          <cell r="K74">
            <v>398.30853669599929</v>
          </cell>
          <cell r="L74">
            <v>34.195790619613533</v>
          </cell>
          <cell r="M74">
            <v>28.907810940760228</v>
          </cell>
          <cell r="N74">
            <v>36.821028758051341</v>
          </cell>
          <cell r="O74">
            <v>40.372294293749434</v>
          </cell>
          <cell r="P74">
            <v>48.855139254286485</v>
          </cell>
          <cell r="Q74">
            <v>68.833130726662432</v>
          </cell>
          <cell r="R74">
            <v>51.436926081234482</v>
          </cell>
          <cell r="S74">
            <v>99.432859629050441</v>
          </cell>
          <cell r="T74">
            <v>0</v>
          </cell>
          <cell r="U74">
            <v>0</v>
          </cell>
          <cell r="V74">
            <v>0</v>
          </cell>
          <cell r="W74">
            <v>0</v>
          </cell>
          <cell r="X74">
            <v>0</v>
          </cell>
          <cell r="Y74">
            <v>0</v>
          </cell>
          <cell r="Z74">
            <v>0</v>
          </cell>
          <cell r="AA74">
            <v>0</v>
          </cell>
          <cell r="AB74">
            <v>0</v>
          </cell>
          <cell r="AC74">
            <v>0</v>
          </cell>
          <cell r="AD74">
            <v>0</v>
          </cell>
          <cell r="AE74">
            <v>0</v>
          </cell>
          <cell r="AF74">
            <v>0</v>
          </cell>
        </row>
        <row r="75">
          <cell r="A75" t="str">
            <v>Florida</v>
          </cell>
          <cell r="B75">
            <v>854.31263721309983</v>
          </cell>
          <cell r="C75">
            <v>904.12611811666511</v>
          </cell>
          <cell r="D75">
            <v>934.13119840333843</v>
          </cell>
          <cell r="E75">
            <v>1180.0747346457408</v>
          </cell>
          <cell r="F75">
            <v>1242.9674680214096</v>
          </cell>
          <cell r="G75">
            <v>1429.5275514832622</v>
          </cell>
          <cell r="H75">
            <v>1994.4997913453687</v>
          </cell>
          <cell r="I75">
            <v>1933.739090991563</v>
          </cell>
          <cell r="J75">
            <v>1574.5550938945842</v>
          </cell>
          <cell r="K75">
            <v>1868.7348453234147</v>
          </cell>
          <cell r="L75">
            <v>2296.277637666697</v>
          </cell>
          <cell r="M75">
            <v>1184.1845414134082</v>
          </cell>
          <cell r="N75">
            <v>1265.0168738093078</v>
          </cell>
          <cell r="O75">
            <v>1036.9681212011249</v>
          </cell>
          <cell r="P75">
            <v>1175.5205479452054</v>
          </cell>
          <cell r="Q75">
            <v>960.16587135988368</v>
          </cell>
          <cell r="R75">
            <v>289.28358831116401</v>
          </cell>
          <cell r="S75">
            <v>3392.3907930855162</v>
          </cell>
          <cell r="T75">
            <v>0</v>
          </cell>
          <cell r="U75">
            <v>0</v>
          </cell>
          <cell r="V75">
            <v>0</v>
          </cell>
          <cell r="W75">
            <v>0</v>
          </cell>
          <cell r="X75">
            <v>0</v>
          </cell>
          <cell r="Y75">
            <v>0</v>
          </cell>
          <cell r="Z75">
            <v>0</v>
          </cell>
          <cell r="AA75">
            <v>0</v>
          </cell>
          <cell r="AB75">
            <v>0</v>
          </cell>
          <cell r="AC75">
            <v>0</v>
          </cell>
          <cell r="AD75">
            <v>0</v>
          </cell>
          <cell r="AE75">
            <v>0</v>
          </cell>
          <cell r="AF75">
            <v>0</v>
          </cell>
        </row>
        <row r="76">
          <cell r="A76" t="str">
            <v>Georgia</v>
          </cell>
          <cell r="B76">
            <v>1041.9688106686019</v>
          </cell>
          <cell r="C76">
            <v>809.82416764946026</v>
          </cell>
          <cell r="D76">
            <v>2014.8124829901114</v>
          </cell>
          <cell r="E76">
            <v>3092.3451329039281</v>
          </cell>
          <cell r="F76">
            <v>1380.8554477002631</v>
          </cell>
          <cell r="G76">
            <v>2201.4204481538595</v>
          </cell>
          <cell r="H76">
            <v>2885.8332395899483</v>
          </cell>
          <cell r="I76">
            <v>2906.2023042728838</v>
          </cell>
          <cell r="J76">
            <v>2351.6262904835344</v>
          </cell>
          <cell r="K76">
            <v>1589.602921164837</v>
          </cell>
          <cell r="L76">
            <v>1389.1349723305816</v>
          </cell>
          <cell r="M76">
            <v>1549.3912546493696</v>
          </cell>
          <cell r="N76">
            <v>1439.7176267803682</v>
          </cell>
          <cell r="O76">
            <v>1701.3069218905923</v>
          </cell>
          <cell r="P76">
            <v>1845.3282409507394</v>
          </cell>
          <cell r="Q76">
            <v>1850.0737185884059</v>
          </cell>
          <cell r="R76">
            <v>2217.7910181413554</v>
          </cell>
          <cell r="S76">
            <v>2629.2256681315835</v>
          </cell>
          <cell r="T76">
            <v>0</v>
          </cell>
          <cell r="U76">
            <v>0</v>
          </cell>
          <cell r="V76">
            <v>0</v>
          </cell>
          <cell r="W76">
            <v>0</v>
          </cell>
          <cell r="X76">
            <v>0</v>
          </cell>
          <cell r="Y76">
            <v>0</v>
          </cell>
          <cell r="Z76">
            <v>0</v>
          </cell>
          <cell r="AA76">
            <v>0</v>
          </cell>
          <cell r="AB76">
            <v>0</v>
          </cell>
          <cell r="AC76">
            <v>0</v>
          </cell>
          <cell r="AD76">
            <v>0</v>
          </cell>
          <cell r="AE76">
            <v>0</v>
          </cell>
          <cell r="AF76">
            <v>0</v>
          </cell>
        </row>
        <row r="77">
          <cell r="A77" t="str">
            <v>Hawaii</v>
          </cell>
          <cell r="B77">
            <v>310.02765127460759</v>
          </cell>
          <cell r="C77">
            <v>306.96133538963977</v>
          </cell>
          <cell r="D77">
            <v>303.85327043454595</v>
          </cell>
          <cell r="E77">
            <v>303.92544679306906</v>
          </cell>
          <cell r="F77">
            <v>302.38356164383555</v>
          </cell>
          <cell r="G77">
            <v>292.47936133538963</v>
          </cell>
          <cell r="H77">
            <v>292.47936133538963</v>
          </cell>
          <cell r="I77">
            <v>295.568792524721</v>
          </cell>
          <cell r="J77">
            <v>287.34587680304821</v>
          </cell>
          <cell r="K77">
            <v>254.37024403519911</v>
          </cell>
          <cell r="L77">
            <v>240.35199129093709</v>
          </cell>
          <cell r="M77">
            <v>240.35199129093709</v>
          </cell>
          <cell r="N77">
            <v>240.35199129093709</v>
          </cell>
          <cell r="O77">
            <v>240.35199129093709</v>
          </cell>
          <cell r="P77">
            <v>240.35199129093709</v>
          </cell>
          <cell r="Q77">
            <v>240.35199129093709</v>
          </cell>
          <cell r="R77">
            <v>240.35199129093709</v>
          </cell>
          <cell r="S77">
            <v>240.35199129093709</v>
          </cell>
          <cell r="T77">
            <v>0</v>
          </cell>
          <cell r="U77">
            <v>0</v>
          </cell>
          <cell r="V77">
            <v>0</v>
          </cell>
          <cell r="W77">
            <v>0</v>
          </cell>
          <cell r="X77">
            <v>0</v>
          </cell>
          <cell r="Y77">
            <v>0</v>
          </cell>
          <cell r="Z77">
            <v>0</v>
          </cell>
          <cell r="AA77">
            <v>0</v>
          </cell>
          <cell r="AB77">
            <v>0</v>
          </cell>
          <cell r="AC77">
            <v>0</v>
          </cell>
          <cell r="AD77">
            <v>0</v>
          </cell>
          <cell r="AE77">
            <v>0</v>
          </cell>
          <cell r="AF77">
            <v>0</v>
          </cell>
        </row>
        <row r="78">
          <cell r="A78" t="str">
            <v>Idaho</v>
          </cell>
          <cell r="B78">
            <v>9775.704218452327</v>
          </cell>
          <cell r="C78">
            <v>10474.353678671869</v>
          </cell>
          <cell r="D78">
            <v>11715.272375941215</v>
          </cell>
          <cell r="E78">
            <v>12174.07154132269</v>
          </cell>
          <cell r="F78">
            <v>12245.802340560647</v>
          </cell>
          <cell r="G78">
            <v>13433.696888324414</v>
          </cell>
          <cell r="H78">
            <v>16613.540288487708</v>
          </cell>
          <cell r="I78">
            <v>18805.845051256463</v>
          </cell>
          <cell r="J78">
            <v>15965.683879161752</v>
          </cell>
          <cell r="K78">
            <v>15469.05368774381</v>
          </cell>
          <cell r="L78">
            <v>15075.593232332394</v>
          </cell>
          <cell r="M78">
            <v>15154.715032205388</v>
          </cell>
          <cell r="N78">
            <v>15853.668293567995</v>
          </cell>
          <cell r="O78">
            <v>17648.978082191778</v>
          </cell>
          <cell r="P78">
            <v>20976.858967613171</v>
          </cell>
          <cell r="Q78">
            <v>22798.187625873175</v>
          </cell>
          <cell r="R78">
            <v>24098.937063415739</v>
          </cell>
          <cell r="S78">
            <v>21561.578030733981</v>
          </cell>
          <cell r="T78">
            <v>0</v>
          </cell>
          <cell r="U78">
            <v>0</v>
          </cell>
          <cell r="V78">
            <v>0</v>
          </cell>
          <cell r="W78">
            <v>0</v>
          </cell>
          <cell r="X78">
            <v>0</v>
          </cell>
          <cell r="Y78">
            <v>0</v>
          </cell>
          <cell r="Z78">
            <v>0</v>
          </cell>
          <cell r="AA78">
            <v>0</v>
          </cell>
          <cell r="AB78">
            <v>0</v>
          </cell>
          <cell r="AC78">
            <v>0</v>
          </cell>
          <cell r="AD78">
            <v>0</v>
          </cell>
          <cell r="AE78">
            <v>0</v>
          </cell>
          <cell r="AF78">
            <v>0</v>
          </cell>
        </row>
        <row r="79">
          <cell r="A79" t="str">
            <v>Illinois</v>
          </cell>
          <cell r="B79">
            <v>20967.652000362876</v>
          </cell>
          <cell r="C79">
            <v>18109.642275242673</v>
          </cell>
          <cell r="D79">
            <v>17152.985448607458</v>
          </cell>
          <cell r="E79">
            <v>17181.603610632319</v>
          </cell>
          <cell r="F79">
            <v>14618.188768937674</v>
          </cell>
          <cell r="G79">
            <v>13846.433148870543</v>
          </cell>
          <cell r="H79">
            <v>12277.088905016783</v>
          </cell>
          <cell r="I79">
            <v>11005.370244035199</v>
          </cell>
          <cell r="J79">
            <v>12467.497214914269</v>
          </cell>
          <cell r="K79">
            <v>9801.8263993468227</v>
          </cell>
          <cell r="L79">
            <v>10147.943409235237</v>
          </cell>
          <cell r="M79">
            <v>11543.170207747438</v>
          </cell>
          <cell r="N79">
            <v>10580.126480994284</v>
          </cell>
          <cell r="O79">
            <v>9890.0926608001446</v>
          </cell>
          <cell r="P79">
            <v>8946.3261544044271</v>
          </cell>
          <cell r="Q79">
            <v>9999.5459856663347</v>
          </cell>
          <cell r="R79">
            <v>13200.204246575595</v>
          </cell>
          <cell r="S79">
            <v>8963.0051857320086</v>
          </cell>
          <cell r="T79">
            <v>0</v>
          </cell>
          <cell r="U79">
            <v>0</v>
          </cell>
          <cell r="V79">
            <v>0</v>
          </cell>
          <cell r="W79">
            <v>0</v>
          </cell>
          <cell r="X79">
            <v>0</v>
          </cell>
          <cell r="Y79">
            <v>0</v>
          </cell>
          <cell r="Z79">
            <v>0</v>
          </cell>
          <cell r="AA79">
            <v>0</v>
          </cell>
          <cell r="AB79">
            <v>0</v>
          </cell>
          <cell r="AC79">
            <v>0</v>
          </cell>
          <cell r="AD79">
            <v>0</v>
          </cell>
          <cell r="AE79">
            <v>0</v>
          </cell>
          <cell r="AF79">
            <v>0</v>
          </cell>
        </row>
        <row r="80">
          <cell r="A80" t="str">
            <v>Indiana</v>
          </cell>
          <cell r="B80">
            <v>13527.279669781366</v>
          </cell>
          <cell r="C80">
            <v>11091.492914814478</v>
          </cell>
          <cell r="D80">
            <v>10645.939762315158</v>
          </cell>
          <cell r="E80">
            <v>9719.6446520910831</v>
          </cell>
          <cell r="F80">
            <v>10180.485983851948</v>
          </cell>
          <cell r="G80">
            <v>9157.7726934591319</v>
          </cell>
          <cell r="H80">
            <v>7607.5844325501221</v>
          </cell>
          <cell r="I80">
            <v>6638.7611720947116</v>
          </cell>
          <cell r="J80">
            <v>7649.0289939217992</v>
          </cell>
          <cell r="K80">
            <v>7323.7244851673768</v>
          </cell>
          <cell r="L80">
            <v>7983.4970697632216</v>
          </cell>
          <cell r="M80">
            <v>9158.664047899847</v>
          </cell>
          <cell r="N80">
            <v>8425.0451419758683</v>
          </cell>
          <cell r="O80">
            <v>8820.6079107321057</v>
          </cell>
          <cell r="P80">
            <v>10231.816819377666</v>
          </cell>
          <cell r="Q80">
            <v>11458.270053524449</v>
          </cell>
          <cell r="R80">
            <v>10359.291481592929</v>
          </cell>
          <cell r="S80">
            <v>10451.344630821319</v>
          </cell>
          <cell r="T80">
            <v>0</v>
          </cell>
          <cell r="U80">
            <v>0</v>
          </cell>
          <cell r="V80">
            <v>0</v>
          </cell>
          <cell r="W80">
            <v>0</v>
          </cell>
          <cell r="X80">
            <v>0</v>
          </cell>
          <cell r="Y80">
            <v>0</v>
          </cell>
          <cell r="Z80">
            <v>0</v>
          </cell>
          <cell r="AA80">
            <v>0</v>
          </cell>
          <cell r="AB80">
            <v>0</v>
          </cell>
          <cell r="AC80">
            <v>0</v>
          </cell>
          <cell r="AD80">
            <v>0</v>
          </cell>
          <cell r="AE80">
            <v>0</v>
          </cell>
          <cell r="AF80">
            <v>0</v>
          </cell>
        </row>
        <row r="81">
          <cell r="A81" t="str">
            <v>Iowa</v>
          </cell>
          <cell r="B81">
            <v>22188.160355620064</v>
          </cell>
          <cell r="C81">
            <v>21190.087743808403</v>
          </cell>
          <cell r="D81">
            <v>22908.322852218091</v>
          </cell>
          <cell r="E81">
            <v>24771.63362061145</v>
          </cell>
          <cell r="F81">
            <v>23118.081266442892</v>
          </cell>
          <cell r="G81">
            <v>24096.986337657625</v>
          </cell>
          <cell r="H81">
            <v>21341.162532885784</v>
          </cell>
          <cell r="I81">
            <v>21027.168719949201</v>
          </cell>
          <cell r="J81">
            <v>21574.648571169371</v>
          </cell>
          <cell r="K81">
            <v>21068.916846593485</v>
          </cell>
          <cell r="L81">
            <v>25681.755093894586</v>
          </cell>
          <cell r="M81">
            <v>32087.147219450242</v>
          </cell>
          <cell r="N81">
            <v>30842.955583779374</v>
          </cell>
          <cell r="O81">
            <v>28049.45265354259</v>
          </cell>
          <cell r="P81">
            <v>28132.907393631496</v>
          </cell>
          <cell r="Q81">
            <v>27321.457606822099</v>
          </cell>
          <cell r="R81">
            <v>27420.177567401533</v>
          </cell>
          <cell r="S81">
            <v>25554.671821846678</v>
          </cell>
          <cell r="T81">
            <v>0</v>
          </cell>
          <cell r="U81">
            <v>0</v>
          </cell>
          <cell r="V81">
            <v>0</v>
          </cell>
          <cell r="W81">
            <v>0</v>
          </cell>
          <cell r="X81">
            <v>0</v>
          </cell>
          <cell r="Y81">
            <v>0</v>
          </cell>
          <cell r="Z81">
            <v>0</v>
          </cell>
          <cell r="AA81">
            <v>0</v>
          </cell>
          <cell r="AB81">
            <v>0</v>
          </cell>
          <cell r="AC81">
            <v>0</v>
          </cell>
          <cell r="AD81">
            <v>0</v>
          </cell>
          <cell r="AE81">
            <v>0</v>
          </cell>
          <cell r="AF81">
            <v>0</v>
          </cell>
        </row>
        <row r="82">
          <cell r="A82" t="str">
            <v>Kansas</v>
          </cell>
          <cell r="B82">
            <v>18569.652871269162</v>
          </cell>
          <cell r="C82">
            <v>15938.439190782909</v>
          </cell>
          <cell r="D82">
            <v>15699.947745622789</v>
          </cell>
          <cell r="E82">
            <v>16927.638827905288</v>
          </cell>
          <cell r="F82">
            <v>16843.796788533065</v>
          </cell>
          <cell r="G82">
            <v>14182.486981765398</v>
          </cell>
          <cell r="H82">
            <v>13022.445196407512</v>
          </cell>
          <cell r="I82">
            <v>18283.85241767214</v>
          </cell>
          <cell r="J82">
            <v>23729.97568719949</v>
          </cell>
          <cell r="K82">
            <v>24103.498720856391</v>
          </cell>
          <cell r="L82">
            <v>28352.205588315344</v>
          </cell>
          <cell r="M82">
            <v>33940.229465662705</v>
          </cell>
          <cell r="N82">
            <v>36997.414333665976</v>
          </cell>
          <cell r="O82">
            <v>36927.291935044901</v>
          </cell>
          <cell r="P82">
            <v>37577.003937222165</v>
          </cell>
          <cell r="Q82">
            <v>35745.776739544584</v>
          </cell>
          <cell r="R82">
            <v>35744.007742140762</v>
          </cell>
          <cell r="S82">
            <v>51334.761837036545</v>
          </cell>
          <cell r="T82">
            <v>0</v>
          </cell>
          <cell r="U82">
            <v>0</v>
          </cell>
          <cell r="V82">
            <v>0</v>
          </cell>
          <cell r="W82">
            <v>0</v>
          </cell>
          <cell r="X82">
            <v>0</v>
          </cell>
          <cell r="Y82">
            <v>0</v>
          </cell>
          <cell r="Z82">
            <v>0</v>
          </cell>
          <cell r="AA82">
            <v>0</v>
          </cell>
          <cell r="AB82">
            <v>0</v>
          </cell>
          <cell r="AC82">
            <v>0</v>
          </cell>
          <cell r="AD82">
            <v>0</v>
          </cell>
          <cell r="AE82">
            <v>0</v>
          </cell>
          <cell r="AF82">
            <v>0</v>
          </cell>
        </row>
        <row r="83">
          <cell r="A83" t="str">
            <v>Kentucky</v>
          </cell>
          <cell r="B83">
            <v>15285.860890864555</v>
          </cell>
          <cell r="C83">
            <v>13779.624494239317</v>
          </cell>
          <cell r="D83">
            <v>14099.424494239316</v>
          </cell>
          <cell r="E83">
            <v>14320.88703619704</v>
          </cell>
          <cell r="F83">
            <v>14110.791327224892</v>
          </cell>
          <cell r="G83">
            <v>12443.347146874718</v>
          </cell>
          <cell r="H83">
            <v>12067.938093078108</v>
          </cell>
          <cell r="I83">
            <v>12415.839698811576</v>
          </cell>
          <cell r="J83">
            <v>13955.045123831987</v>
          </cell>
          <cell r="K83">
            <v>13819.271486891046</v>
          </cell>
          <cell r="L83">
            <v>13265.374544134989</v>
          </cell>
          <cell r="M83">
            <v>12117.856772203573</v>
          </cell>
          <cell r="N83">
            <v>12246.187988750793</v>
          </cell>
          <cell r="O83">
            <v>11952.218397895309</v>
          </cell>
          <cell r="P83">
            <v>11522.559847591401</v>
          </cell>
          <cell r="Q83">
            <v>10232.39611720947</v>
          </cell>
          <cell r="R83">
            <v>11579.270742432509</v>
          </cell>
          <cell r="S83">
            <v>10870.379996743142</v>
          </cell>
          <cell r="T83">
            <v>0</v>
          </cell>
          <cell r="U83">
            <v>0</v>
          </cell>
          <cell r="V83">
            <v>0</v>
          </cell>
          <cell r="W83">
            <v>0</v>
          </cell>
          <cell r="X83">
            <v>0</v>
          </cell>
          <cell r="Y83">
            <v>0</v>
          </cell>
          <cell r="Z83">
            <v>0</v>
          </cell>
          <cell r="AA83">
            <v>0</v>
          </cell>
          <cell r="AB83">
            <v>0</v>
          </cell>
          <cell r="AC83">
            <v>0</v>
          </cell>
          <cell r="AD83">
            <v>0</v>
          </cell>
          <cell r="AE83">
            <v>0</v>
          </cell>
          <cell r="AF83">
            <v>0</v>
          </cell>
        </row>
        <row r="84">
          <cell r="A84" t="str">
            <v>Louisiana</v>
          </cell>
          <cell r="B84">
            <v>9308.5965163748515</v>
          </cell>
          <cell r="C84">
            <v>6836.7831443345731</v>
          </cell>
          <cell r="D84">
            <v>7768.6768756236952</v>
          </cell>
          <cell r="E84">
            <v>7595.2165653633319</v>
          </cell>
          <cell r="F84">
            <v>8287.657207656719</v>
          </cell>
          <cell r="G84">
            <v>7611.9312891227428</v>
          </cell>
          <cell r="H84">
            <v>8222.6279597205848</v>
          </cell>
          <cell r="I84">
            <v>8875.3105143790253</v>
          </cell>
          <cell r="J84">
            <v>11381.122961081375</v>
          </cell>
          <cell r="K84">
            <v>11400.445468565726</v>
          </cell>
          <cell r="L84">
            <v>11266.78829719677</v>
          </cell>
          <cell r="M84">
            <v>11148.388406060054</v>
          </cell>
          <cell r="N84">
            <v>13064.380604191236</v>
          </cell>
          <cell r="O84">
            <v>13385.761879706068</v>
          </cell>
          <cell r="P84">
            <v>13331.486201578518</v>
          </cell>
          <cell r="Q84">
            <v>12184.339689739634</v>
          </cell>
          <cell r="R84">
            <v>9446.795670211528</v>
          </cell>
          <cell r="S84">
            <v>12612.256243153583</v>
          </cell>
          <cell r="T84">
            <v>0</v>
          </cell>
          <cell r="U84">
            <v>0</v>
          </cell>
          <cell r="V84">
            <v>0</v>
          </cell>
          <cell r="W84">
            <v>0</v>
          </cell>
          <cell r="X84">
            <v>0</v>
          </cell>
          <cell r="Y84">
            <v>0</v>
          </cell>
          <cell r="Z84">
            <v>0</v>
          </cell>
          <cell r="AA84">
            <v>0</v>
          </cell>
          <cell r="AB84">
            <v>0</v>
          </cell>
          <cell r="AC84">
            <v>0</v>
          </cell>
          <cell r="AD84">
            <v>0</v>
          </cell>
          <cell r="AE84">
            <v>0</v>
          </cell>
          <cell r="AF84">
            <v>0</v>
          </cell>
        </row>
        <row r="85">
          <cell r="A85" t="str">
            <v>Maine</v>
          </cell>
          <cell r="B85">
            <v>365.54825365145609</v>
          </cell>
          <cell r="C85">
            <v>514.61153950830078</v>
          </cell>
          <cell r="D85">
            <v>780.64770026308622</v>
          </cell>
          <cell r="E85">
            <v>582.383960809217</v>
          </cell>
          <cell r="F85">
            <v>430.94687471650184</v>
          </cell>
          <cell r="G85">
            <v>453.72181801687378</v>
          </cell>
          <cell r="H85">
            <v>569.5037829991835</v>
          </cell>
          <cell r="I85">
            <v>718.63382019413962</v>
          </cell>
          <cell r="J85">
            <v>793.36300462668964</v>
          </cell>
          <cell r="K85">
            <v>804.77819105506671</v>
          </cell>
          <cell r="L85">
            <v>622.46519096434736</v>
          </cell>
          <cell r="M85">
            <v>703.61948652816818</v>
          </cell>
          <cell r="N85">
            <v>796.48805225437718</v>
          </cell>
          <cell r="O85">
            <v>874.81520457225804</v>
          </cell>
          <cell r="P85">
            <v>1050.4868003265897</v>
          </cell>
          <cell r="Q85">
            <v>1266.2158033203302</v>
          </cell>
          <cell r="R85">
            <v>1557.5168604097375</v>
          </cell>
          <cell r="S85">
            <v>1440.2249841241041</v>
          </cell>
          <cell r="T85">
            <v>0</v>
          </cell>
          <cell r="U85">
            <v>0</v>
          </cell>
          <cell r="V85">
            <v>0</v>
          </cell>
          <cell r="W85">
            <v>0</v>
          </cell>
          <cell r="X85">
            <v>0</v>
          </cell>
          <cell r="Y85">
            <v>0</v>
          </cell>
          <cell r="Z85">
            <v>0</v>
          </cell>
          <cell r="AA85">
            <v>0</v>
          </cell>
          <cell r="AB85">
            <v>0</v>
          </cell>
          <cell r="AC85">
            <v>0</v>
          </cell>
          <cell r="AD85">
            <v>0</v>
          </cell>
          <cell r="AE85">
            <v>0</v>
          </cell>
          <cell r="AF85">
            <v>0</v>
          </cell>
        </row>
        <row r="86">
          <cell r="A86" t="str">
            <v>Maryland</v>
          </cell>
          <cell r="B86">
            <v>807.18147509752328</v>
          </cell>
          <cell r="C86">
            <v>1113.5316701442439</v>
          </cell>
          <cell r="D86">
            <v>1182.5016057334662</v>
          </cell>
          <cell r="E86">
            <v>1112.1579606277783</v>
          </cell>
          <cell r="F86">
            <v>1239.2206658804319</v>
          </cell>
          <cell r="G86">
            <v>1023.636487344643</v>
          </cell>
          <cell r="H86">
            <v>1181.2639934682027</v>
          </cell>
          <cell r="I86">
            <v>1452.7435725301641</v>
          </cell>
          <cell r="J86">
            <v>1361.6721037829993</v>
          </cell>
          <cell r="K86">
            <v>1416.060763857389</v>
          </cell>
          <cell r="L86">
            <v>1693.5880613263178</v>
          </cell>
          <cell r="M86">
            <v>1455.9808944933322</v>
          </cell>
          <cell r="N86">
            <v>1456.0117935226347</v>
          </cell>
          <cell r="O86">
            <v>1335.6169100970696</v>
          </cell>
          <cell r="P86">
            <v>1807.1132178172911</v>
          </cell>
          <cell r="Q86">
            <v>1186.702694366325</v>
          </cell>
          <cell r="R86">
            <v>858.87780408185904</v>
          </cell>
          <cell r="S86">
            <v>806.14006181506966</v>
          </cell>
          <cell r="T86">
            <v>0</v>
          </cell>
          <cell r="U86">
            <v>0</v>
          </cell>
          <cell r="V86">
            <v>0</v>
          </cell>
          <cell r="W86">
            <v>0</v>
          </cell>
          <cell r="X86">
            <v>0</v>
          </cell>
          <cell r="Y86">
            <v>0</v>
          </cell>
          <cell r="Z86">
            <v>0</v>
          </cell>
          <cell r="AA86">
            <v>0</v>
          </cell>
          <cell r="AB86">
            <v>0</v>
          </cell>
          <cell r="AC86">
            <v>0</v>
          </cell>
          <cell r="AD86">
            <v>0</v>
          </cell>
          <cell r="AE86">
            <v>0</v>
          </cell>
          <cell r="AF86">
            <v>0</v>
          </cell>
        </row>
        <row r="87">
          <cell r="A87" t="str">
            <v>Massachusetts</v>
          </cell>
          <cell r="B87">
            <v>468.06604372675315</v>
          </cell>
          <cell r="C87">
            <v>451.80796516374852</v>
          </cell>
          <cell r="D87">
            <v>471.8732287036197</v>
          </cell>
          <cell r="E87">
            <v>368.39025673591578</v>
          </cell>
          <cell r="F87">
            <v>386.34731016964525</v>
          </cell>
          <cell r="G87">
            <v>494.08019595391448</v>
          </cell>
          <cell r="H87">
            <v>319.11573981674684</v>
          </cell>
          <cell r="I87">
            <v>349.11987662160936</v>
          </cell>
          <cell r="J87">
            <v>452.75239045631866</v>
          </cell>
          <cell r="K87">
            <v>683.83467295654543</v>
          </cell>
          <cell r="L87">
            <v>577.05564728295383</v>
          </cell>
          <cell r="M87">
            <v>573.09090084369041</v>
          </cell>
          <cell r="N87">
            <v>395.04574072394087</v>
          </cell>
          <cell r="O87">
            <v>356.60074389912006</v>
          </cell>
          <cell r="P87">
            <v>514.55964800870902</v>
          </cell>
          <cell r="Q87">
            <v>529.36971786265076</v>
          </cell>
          <cell r="R87">
            <v>381.82651135796016</v>
          </cell>
          <cell r="S87">
            <v>634.98554918678849</v>
          </cell>
          <cell r="T87">
            <v>0</v>
          </cell>
          <cell r="U87">
            <v>0</v>
          </cell>
          <cell r="V87">
            <v>0</v>
          </cell>
          <cell r="W87">
            <v>0</v>
          </cell>
          <cell r="X87">
            <v>0</v>
          </cell>
          <cell r="Y87">
            <v>0</v>
          </cell>
          <cell r="Z87">
            <v>0</v>
          </cell>
          <cell r="AA87">
            <v>0</v>
          </cell>
          <cell r="AB87">
            <v>0</v>
          </cell>
          <cell r="AC87">
            <v>0</v>
          </cell>
          <cell r="AD87">
            <v>0</v>
          </cell>
          <cell r="AE87">
            <v>0</v>
          </cell>
          <cell r="AF87">
            <v>0</v>
          </cell>
        </row>
        <row r="88">
          <cell r="A88" t="str">
            <v>Michigan</v>
          </cell>
          <cell r="B88">
            <v>12964.921818016874</v>
          </cell>
          <cell r="C88">
            <v>12077.260165109317</v>
          </cell>
          <cell r="D88">
            <v>11428.660292116483</v>
          </cell>
          <cell r="E88">
            <v>11478.056754059693</v>
          </cell>
          <cell r="F88">
            <v>11964.173255919441</v>
          </cell>
          <cell r="G88">
            <v>10834.012011249206</v>
          </cell>
          <cell r="H88">
            <v>10095.406568084913</v>
          </cell>
          <cell r="I88">
            <v>10322.266061870632</v>
          </cell>
          <cell r="J88">
            <v>10842.747945205479</v>
          </cell>
          <cell r="K88">
            <v>12807.969373128914</v>
          </cell>
          <cell r="L88">
            <v>14226.331289122743</v>
          </cell>
          <cell r="M88">
            <v>12860.437340107048</v>
          </cell>
          <cell r="N88">
            <v>12677.959702440352</v>
          </cell>
          <cell r="O88">
            <v>13748.441241041459</v>
          </cell>
          <cell r="P88">
            <v>14606.789385829628</v>
          </cell>
          <cell r="Q88">
            <v>12741.398004173094</v>
          </cell>
          <cell r="R88">
            <v>12723.83423044174</v>
          </cell>
          <cell r="S88">
            <v>14450.548182715322</v>
          </cell>
          <cell r="T88">
            <v>0</v>
          </cell>
          <cell r="U88">
            <v>0</v>
          </cell>
          <cell r="V88">
            <v>0</v>
          </cell>
          <cell r="W88">
            <v>0</v>
          </cell>
          <cell r="X88">
            <v>0</v>
          </cell>
          <cell r="Y88">
            <v>0</v>
          </cell>
          <cell r="Z88">
            <v>0</v>
          </cell>
          <cell r="AA88">
            <v>0</v>
          </cell>
          <cell r="AB88">
            <v>0</v>
          </cell>
          <cell r="AC88">
            <v>0</v>
          </cell>
          <cell r="AD88">
            <v>0</v>
          </cell>
          <cell r="AE88">
            <v>0</v>
          </cell>
          <cell r="AF88">
            <v>0</v>
          </cell>
        </row>
        <row r="89">
          <cell r="A89" t="str">
            <v>Minnesota</v>
          </cell>
          <cell r="B89">
            <v>38145.795155583779</v>
          </cell>
          <cell r="C89">
            <v>36526.751827996013</v>
          </cell>
          <cell r="D89">
            <v>40121.361153950835</v>
          </cell>
          <cell r="E89">
            <v>44554.152644470654</v>
          </cell>
          <cell r="F89">
            <v>51826.363966252378</v>
          </cell>
          <cell r="G89">
            <v>58025.324394447969</v>
          </cell>
          <cell r="H89">
            <v>54219.994774562278</v>
          </cell>
          <cell r="I89">
            <v>53722.593286764037</v>
          </cell>
          <cell r="J89">
            <v>55897.070017236692</v>
          </cell>
          <cell r="K89">
            <v>53443.617508845142</v>
          </cell>
          <cell r="L89">
            <v>55204.570643200575</v>
          </cell>
          <cell r="M89">
            <v>56181.623659620789</v>
          </cell>
          <cell r="N89">
            <v>59379.78829719677</v>
          </cell>
          <cell r="O89">
            <v>65899.816764946023</v>
          </cell>
          <cell r="P89">
            <v>69856.711312709798</v>
          </cell>
          <cell r="Q89">
            <v>62683.564165835065</v>
          </cell>
          <cell r="R89">
            <v>57746.742797929655</v>
          </cell>
          <cell r="S89">
            <v>75511.762146739275</v>
          </cell>
          <cell r="T89">
            <v>0</v>
          </cell>
          <cell r="U89">
            <v>0</v>
          </cell>
          <cell r="V89">
            <v>0</v>
          </cell>
          <cell r="W89">
            <v>0</v>
          </cell>
          <cell r="X89">
            <v>0</v>
          </cell>
          <cell r="Y89">
            <v>0</v>
          </cell>
          <cell r="Z89">
            <v>0</v>
          </cell>
          <cell r="AA89">
            <v>0</v>
          </cell>
          <cell r="AB89">
            <v>0</v>
          </cell>
          <cell r="AC89">
            <v>0</v>
          </cell>
          <cell r="AD89">
            <v>0</v>
          </cell>
          <cell r="AE89">
            <v>0</v>
          </cell>
          <cell r="AF89">
            <v>0</v>
          </cell>
        </row>
        <row r="90">
          <cell r="A90" t="str">
            <v>Mississippi</v>
          </cell>
          <cell r="B90">
            <v>10240.030300281231</v>
          </cell>
          <cell r="C90">
            <v>9279.5500136079099</v>
          </cell>
          <cell r="D90">
            <v>9409.1754513290398</v>
          </cell>
          <cell r="E90">
            <v>8259.3499228885066</v>
          </cell>
          <cell r="F90">
            <v>6687.4174725573803</v>
          </cell>
          <cell r="G90">
            <v>7739.4397895309803</v>
          </cell>
          <cell r="H90">
            <v>10471.654613081739</v>
          </cell>
          <cell r="I90">
            <v>8984.0746257824558</v>
          </cell>
          <cell r="J90">
            <v>9169.4506395718035</v>
          </cell>
          <cell r="K90">
            <v>9217.367722035744</v>
          </cell>
          <cell r="L90">
            <v>8638.0238954912475</v>
          </cell>
          <cell r="M90">
            <v>9254.671577610452</v>
          </cell>
          <cell r="N90">
            <v>10068.114941485983</v>
          </cell>
          <cell r="O90">
            <v>8961.0600381021486</v>
          </cell>
          <cell r="P90">
            <v>8041.8400979769567</v>
          </cell>
          <cell r="Q90">
            <v>8860.9552027578684</v>
          </cell>
          <cell r="R90">
            <v>12240.317938966837</v>
          </cell>
          <cell r="S90">
            <v>6807.4614433829647</v>
          </cell>
          <cell r="T90">
            <v>0</v>
          </cell>
          <cell r="U90">
            <v>0</v>
          </cell>
          <cell r="V90">
            <v>0</v>
          </cell>
          <cell r="W90">
            <v>0</v>
          </cell>
          <cell r="X90">
            <v>0</v>
          </cell>
          <cell r="Y90">
            <v>0</v>
          </cell>
          <cell r="Z90">
            <v>0</v>
          </cell>
          <cell r="AA90">
            <v>0</v>
          </cell>
          <cell r="AB90">
            <v>0</v>
          </cell>
          <cell r="AC90">
            <v>0</v>
          </cell>
          <cell r="AD90">
            <v>0</v>
          </cell>
          <cell r="AE90">
            <v>0</v>
          </cell>
          <cell r="AF90">
            <v>0</v>
          </cell>
        </row>
        <row r="91">
          <cell r="A91" t="str">
            <v>Missouri</v>
          </cell>
          <cell r="B91">
            <v>31121.194738274517</v>
          </cell>
          <cell r="C91">
            <v>26892.445341558559</v>
          </cell>
          <cell r="D91">
            <v>27159.130853669598</v>
          </cell>
          <cell r="E91">
            <v>27174.818833348454</v>
          </cell>
          <cell r="F91">
            <v>24846.545840515286</v>
          </cell>
          <cell r="G91">
            <v>21457.495727116027</v>
          </cell>
          <cell r="H91">
            <v>19294.166470107954</v>
          </cell>
          <cell r="I91">
            <v>21066.942139163566</v>
          </cell>
          <cell r="J91">
            <v>23025.453760319331</v>
          </cell>
          <cell r="K91">
            <v>21875.823532613624</v>
          </cell>
          <cell r="L91">
            <v>21725.424748253652</v>
          </cell>
          <cell r="M91">
            <v>23769.333030935319</v>
          </cell>
          <cell r="N91">
            <v>23490.410795609179</v>
          </cell>
          <cell r="O91">
            <v>23400.552408600201</v>
          </cell>
          <cell r="P91">
            <v>25165.103274970515</v>
          </cell>
          <cell r="Q91">
            <v>24086.328531252839</v>
          </cell>
          <cell r="R91">
            <v>26834.406777423181</v>
          </cell>
          <cell r="S91">
            <v>33983.004744853853</v>
          </cell>
          <cell r="T91">
            <v>0</v>
          </cell>
          <cell r="U91">
            <v>0</v>
          </cell>
          <cell r="V91">
            <v>0</v>
          </cell>
          <cell r="W91">
            <v>0</v>
          </cell>
          <cell r="X91">
            <v>0</v>
          </cell>
          <cell r="Y91">
            <v>0</v>
          </cell>
          <cell r="Z91">
            <v>0</v>
          </cell>
          <cell r="AA91">
            <v>0</v>
          </cell>
          <cell r="AB91">
            <v>0</v>
          </cell>
          <cell r="AC91">
            <v>0</v>
          </cell>
          <cell r="AD91">
            <v>0</v>
          </cell>
          <cell r="AE91">
            <v>0</v>
          </cell>
          <cell r="AF91">
            <v>0</v>
          </cell>
        </row>
        <row r="92">
          <cell r="A92" t="str">
            <v>Montana</v>
          </cell>
          <cell r="B92">
            <v>8379.6072938401521</v>
          </cell>
          <cell r="C92">
            <v>8956.6693096253275</v>
          </cell>
          <cell r="D92">
            <v>11208.060328404245</v>
          </cell>
          <cell r="E92">
            <v>11866.578553932686</v>
          </cell>
          <cell r="F92">
            <v>12716.147364601289</v>
          </cell>
          <cell r="G92">
            <v>15863.939744171277</v>
          </cell>
          <cell r="H92">
            <v>19960.847464392631</v>
          </cell>
          <cell r="I92">
            <v>21999.740905379658</v>
          </cell>
          <cell r="J92">
            <v>24547.208309897487</v>
          </cell>
          <cell r="K92">
            <v>23815.706813027304</v>
          </cell>
          <cell r="L92">
            <v>23597.193123469111</v>
          </cell>
          <cell r="M92">
            <v>21025.761045087544</v>
          </cell>
          <cell r="N92">
            <v>22186.253814750977</v>
          </cell>
          <cell r="O92">
            <v>20857.58564819015</v>
          </cell>
          <cell r="P92">
            <v>19454.263304000724</v>
          </cell>
          <cell r="Q92">
            <v>18160.84715594666</v>
          </cell>
          <cell r="R92">
            <v>23613.302424015903</v>
          </cell>
          <cell r="S92">
            <v>37871.575041998047</v>
          </cell>
          <cell r="T92">
            <v>0</v>
          </cell>
          <cell r="U92">
            <v>0</v>
          </cell>
          <cell r="V92">
            <v>0</v>
          </cell>
          <cell r="W92">
            <v>0</v>
          </cell>
          <cell r="X92">
            <v>0</v>
          </cell>
          <cell r="Y92">
            <v>0</v>
          </cell>
          <cell r="Z92">
            <v>0</v>
          </cell>
          <cell r="AA92">
            <v>0</v>
          </cell>
          <cell r="AB92">
            <v>0</v>
          </cell>
          <cell r="AC92">
            <v>0</v>
          </cell>
          <cell r="AD92">
            <v>0</v>
          </cell>
          <cell r="AE92">
            <v>0</v>
          </cell>
          <cell r="AF92">
            <v>0</v>
          </cell>
        </row>
        <row r="93">
          <cell r="A93" t="str">
            <v>Nebraska</v>
          </cell>
          <cell r="B93">
            <v>7386.0537240315698</v>
          </cell>
          <cell r="C93">
            <v>6578.7302549215274</v>
          </cell>
          <cell r="D93">
            <v>7494.7473101696451</v>
          </cell>
          <cell r="E93">
            <v>9345.5857207656718</v>
          </cell>
          <cell r="F93">
            <v>9731.3251927787351</v>
          </cell>
          <cell r="G93">
            <v>9564.6164383561645</v>
          </cell>
          <cell r="H93">
            <v>8614.3722217182258</v>
          </cell>
          <cell r="I93">
            <v>10118.519042003085</v>
          </cell>
          <cell r="J93">
            <v>11429.348797967887</v>
          </cell>
          <cell r="K93">
            <v>12011.157706613443</v>
          </cell>
          <cell r="L93">
            <v>12813.677909824914</v>
          </cell>
          <cell r="M93">
            <v>15342.912764220266</v>
          </cell>
          <cell r="N93">
            <v>16263.287761952281</v>
          </cell>
          <cell r="O93">
            <v>16284.658568447789</v>
          </cell>
          <cell r="P93">
            <v>16447.858278145693</v>
          </cell>
          <cell r="Q93">
            <v>15814.631026036468</v>
          </cell>
          <cell r="R93">
            <v>17299.937331091587</v>
          </cell>
          <cell r="S93">
            <v>16251.542360433925</v>
          </cell>
          <cell r="T93">
            <v>0</v>
          </cell>
          <cell r="U93">
            <v>0</v>
          </cell>
          <cell r="V93">
            <v>0</v>
          </cell>
          <cell r="W93">
            <v>0</v>
          </cell>
          <cell r="X93">
            <v>0</v>
          </cell>
          <cell r="Y93">
            <v>0</v>
          </cell>
          <cell r="Z93">
            <v>0</v>
          </cell>
          <cell r="AA93">
            <v>0</v>
          </cell>
          <cell r="AB93">
            <v>0</v>
          </cell>
          <cell r="AC93">
            <v>0</v>
          </cell>
          <cell r="AD93">
            <v>0</v>
          </cell>
          <cell r="AE93">
            <v>0</v>
          </cell>
          <cell r="AF93">
            <v>0</v>
          </cell>
        </row>
        <row r="94">
          <cell r="A94" t="str">
            <v>Nevada</v>
          </cell>
          <cell r="B94">
            <v>26.380223169736009</v>
          </cell>
          <cell r="C94">
            <v>32.117771931416129</v>
          </cell>
          <cell r="D94">
            <v>21.162532885784266</v>
          </cell>
          <cell r="E94">
            <v>21.234709244307357</v>
          </cell>
          <cell r="F94">
            <v>45.702494783634222</v>
          </cell>
          <cell r="G94">
            <v>75.496942756055518</v>
          </cell>
          <cell r="H94">
            <v>67.880921709153583</v>
          </cell>
          <cell r="I94">
            <v>103.88961262814117</v>
          </cell>
          <cell r="J94">
            <v>128.52651728204663</v>
          </cell>
          <cell r="K94">
            <v>106.63915449514651</v>
          </cell>
          <cell r="L94">
            <v>121.81411593939943</v>
          </cell>
          <cell r="M94">
            <v>142.46551755420484</v>
          </cell>
          <cell r="N94">
            <v>177.81235598294475</v>
          </cell>
          <cell r="O94">
            <v>131.14562278871449</v>
          </cell>
          <cell r="P94">
            <v>142.25229066497323</v>
          </cell>
          <cell r="Q94">
            <v>147.57164111403426</v>
          </cell>
          <cell r="R94">
            <v>234.68881282483133</v>
          </cell>
          <cell r="S94">
            <v>148.49884958314817</v>
          </cell>
          <cell r="T94">
            <v>0</v>
          </cell>
          <cell r="U94">
            <v>0</v>
          </cell>
          <cell r="V94">
            <v>0</v>
          </cell>
          <cell r="W94">
            <v>0</v>
          </cell>
          <cell r="X94">
            <v>0</v>
          </cell>
          <cell r="Y94">
            <v>0</v>
          </cell>
          <cell r="Z94">
            <v>0</v>
          </cell>
          <cell r="AA94">
            <v>0</v>
          </cell>
          <cell r="AB94">
            <v>0</v>
          </cell>
          <cell r="AC94">
            <v>0</v>
          </cell>
          <cell r="AD94">
            <v>0</v>
          </cell>
          <cell r="AE94">
            <v>0</v>
          </cell>
          <cell r="AF94">
            <v>0</v>
          </cell>
        </row>
        <row r="95">
          <cell r="A95" t="str">
            <v>New Hampshire</v>
          </cell>
          <cell r="B95">
            <v>81.813081738183811</v>
          </cell>
          <cell r="C95">
            <v>60.38071305452236</v>
          </cell>
          <cell r="D95">
            <v>94.363512655356971</v>
          </cell>
          <cell r="E95">
            <v>164.71093168828813</v>
          </cell>
          <cell r="F95">
            <v>185.2495872267078</v>
          </cell>
          <cell r="G95">
            <v>191.3675950285766</v>
          </cell>
          <cell r="H95">
            <v>141.73479089177175</v>
          </cell>
          <cell r="I95">
            <v>102.42061144878889</v>
          </cell>
          <cell r="J95">
            <v>129.23837430826453</v>
          </cell>
          <cell r="K95">
            <v>128.82984668420573</v>
          </cell>
          <cell r="L95">
            <v>128.08025038555746</v>
          </cell>
          <cell r="M95">
            <v>121.41879706069128</v>
          </cell>
          <cell r="N95">
            <v>65.918007801868825</v>
          </cell>
          <cell r="O95">
            <v>49.890846412047537</v>
          </cell>
          <cell r="P95">
            <v>69.848788895944836</v>
          </cell>
          <cell r="Q95">
            <v>89.643744897033471</v>
          </cell>
          <cell r="R95">
            <v>59.970728293485799</v>
          </cell>
          <cell r="S95">
            <v>53.706939183978967</v>
          </cell>
          <cell r="T95">
            <v>0</v>
          </cell>
          <cell r="U95">
            <v>0</v>
          </cell>
          <cell r="V95">
            <v>0</v>
          </cell>
          <cell r="W95">
            <v>0</v>
          </cell>
          <cell r="X95">
            <v>0</v>
          </cell>
          <cell r="Y95">
            <v>0</v>
          </cell>
          <cell r="Z95">
            <v>0</v>
          </cell>
          <cell r="AA95">
            <v>0</v>
          </cell>
          <cell r="AB95">
            <v>0</v>
          </cell>
          <cell r="AC95">
            <v>0</v>
          </cell>
          <cell r="AD95">
            <v>0</v>
          </cell>
          <cell r="AE95">
            <v>0</v>
          </cell>
          <cell r="AF95">
            <v>0</v>
          </cell>
        </row>
        <row r="96">
          <cell r="A96" t="str">
            <v>New Jersey</v>
          </cell>
          <cell r="B96">
            <v>811.70712147328322</v>
          </cell>
          <cell r="C96">
            <v>639.5257008074027</v>
          </cell>
          <cell r="D96">
            <v>302.08235507575068</v>
          </cell>
          <cell r="E96">
            <v>331.65508482264357</v>
          </cell>
          <cell r="F96">
            <v>288.35280776558108</v>
          </cell>
          <cell r="G96">
            <v>282.47397260273971</v>
          </cell>
          <cell r="H96">
            <v>358.19145423206021</v>
          </cell>
          <cell r="I96">
            <v>398.356654268348</v>
          </cell>
          <cell r="J96">
            <v>538.52078381565821</v>
          </cell>
          <cell r="K96">
            <v>759.48634672956541</v>
          </cell>
          <cell r="L96">
            <v>627.05617345550218</v>
          </cell>
          <cell r="M96">
            <v>665.71203846502772</v>
          </cell>
          <cell r="N96">
            <v>827.54770933502675</v>
          </cell>
          <cell r="O96">
            <v>789.6551211104055</v>
          </cell>
          <cell r="P96">
            <v>642.41983126190701</v>
          </cell>
          <cell r="Q96">
            <v>553.35231788079477</v>
          </cell>
          <cell r="R96">
            <v>566.79359301418458</v>
          </cell>
          <cell r="S96">
            <v>497.35375964726614</v>
          </cell>
          <cell r="T96">
            <v>0</v>
          </cell>
          <cell r="U96">
            <v>0</v>
          </cell>
          <cell r="V96">
            <v>0</v>
          </cell>
          <cell r="W96">
            <v>0</v>
          </cell>
          <cell r="X96">
            <v>0</v>
          </cell>
          <cell r="Y96">
            <v>0</v>
          </cell>
          <cell r="Z96">
            <v>0</v>
          </cell>
          <cell r="AA96">
            <v>0</v>
          </cell>
          <cell r="AB96">
            <v>0</v>
          </cell>
          <cell r="AC96">
            <v>0</v>
          </cell>
          <cell r="AD96">
            <v>0</v>
          </cell>
          <cell r="AE96">
            <v>0</v>
          </cell>
          <cell r="AF96">
            <v>0</v>
          </cell>
        </row>
        <row r="97">
          <cell r="A97" t="str">
            <v>New Mexico</v>
          </cell>
          <cell r="B97">
            <v>1738.3411775378754</v>
          </cell>
          <cell r="C97">
            <v>2027.9124920620518</v>
          </cell>
          <cell r="D97">
            <v>1335.7534790891771</v>
          </cell>
          <cell r="E97">
            <v>1210.3951737276602</v>
          </cell>
          <cell r="F97">
            <v>1429.0164202122833</v>
          </cell>
          <cell r="G97">
            <v>1285.2547945205479</v>
          </cell>
          <cell r="H97">
            <v>1338.6254377211287</v>
          </cell>
          <cell r="I97">
            <v>889.92836795790618</v>
          </cell>
          <cell r="J97">
            <v>1097.1870271251021</v>
          </cell>
          <cell r="K97">
            <v>1520.9332486618887</v>
          </cell>
          <cell r="L97">
            <v>1099.0315340651366</v>
          </cell>
          <cell r="M97">
            <v>1279.6474462487527</v>
          </cell>
          <cell r="N97">
            <v>1744.078962170008</v>
          </cell>
          <cell r="O97">
            <v>1332.2569354985033</v>
          </cell>
          <cell r="P97">
            <v>1508.1677038918626</v>
          </cell>
          <cell r="Q97">
            <v>2141.0461036015604</v>
          </cell>
          <cell r="R97">
            <v>1234.3397465603302</v>
          </cell>
          <cell r="S97">
            <v>1679.685814716845</v>
          </cell>
          <cell r="T97">
            <v>0</v>
          </cell>
          <cell r="U97">
            <v>0</v>
          </cell>
          <cell r="V97">
            <v>0</v>
          </cell>
          <cell r="W97">
            <v>0</v>
          </cell>
          <cell r="X97">
            <v>0</v>
          </cell>
          <cell r="Y97">
            <v>0</v>
          </cell>
          <cell r="Z97">
            <v>0</v>
          </cell>
          <cell r="AA97">
            <v>0</v>
          </cell>
          <cell r="AB97">
            <v>0</v>
          </cell>
          <cell r="AC97">
            <v>0</v>
          </cell>
          <cell r="AD97">
            <v>0</v>
          </cell>
          <cell r="AE97">
            <v>0</v>
          </cell>
          <cell r="AF97">
            <v>0</v>
          </cell>
        </row>
        <row r="98">
          <cell r="A98" t="str">
            <v>New York</v>
          </cell>
          <cell r="B98">
            <v>3431.5452417672136</v>
          </cell>
          <cell r="C98">
            <v>3920.7580150594213</v>
          </cell>
          <cell r="D98">
            <v>5673.6703256826631</v>
          </cell>
          <cell r="E98">
            <v>6255.1108046811214</v>
          </cell>
          <cell r="F98">
            <v>5827.3203483625148</v>
          </cell>
          <cell r="G98">
            <v>3758.9374398983941</v>
          </cell>
          <cell r="H98">
            <v>3363.6237503401976</v>
          </cell>
          <cell r="I98">
            <v>4009.6941485983853</v>
          </cell>
          <cell r="J98">
            <v>6029.1525718951279</v>
          </cell>
          <cell r="K98">
            <v>6559.1704617617706</v>
          </cell>
          <cell r="L98">
            <v>5191.0838610178726</v>
          </cell>
          <cell r="M98">
            <v>4866.3355347908919</v>
          </cell>
          <cell r="N98">
            <v>3766.0477546947295</v>
          </cell>
          <cell r="O98">
            <v>3852.8940760228611</v>
          </cell>
          <cell r="P98">
            <v>4321.5788079470203</v>
          </cell>
          <cell r="Q98">
            <v>4077.2830626871091</v>
          </cell>
          <cell r="R98">
            <v>4589.2068235561946</v>
          </cell>
          <cell r="S98">
            <v>3252.7426439620126</v>
          </cell>
          <cell r="T98">
            <v>0</v>
          </cell>
          <cell r="U98">
            <v>0</v>
          </cell>
          <cell r="V98">
            <v>0</v>
          </cell>
          <cell r="W98">
            <v>0</v>
          </cell>
          <cell r="X98">
            <v>0</v>
          </cell>
          <cell r="Y98">
            <v>0</v>
          </cell>
          <cell r="Z98">
            <v>0</v>
          </cell>
          <cell r="AA98">
            <v>0</v>
          </cell>
          <cell r="AB98">
            <v>0</v>
          </cell>
          <cell r="AC98">
            <v>0</v>
          </cell>
          <cell r="AD98">
            <v>0</v>
          </cell>
          <cell r="AE98">
            <v>0</v>
          </cell>
          <cell r="AF98">
            <v>0</v>
          </cell>
        </row>
        <row r="99">
          <cell r="A99" t="str">
            <v>North Carolina</v>
          </cell>
          <cell r="B99">
            <v>1318.7712782364149</v>
          </cell>
          <cell r="C99">
            <v>1153.4468475006804</v>
          </cell>
          <cell r="D99">
            <v>1277.9366778553933</v>
          </cell>
          <cell r="E99">
            <v>1295.8800508028667</v>
          </cell>
          <cell r="F99">
            <v>1715.9068311711876</v>
          </cell>
          <cell r="G99">
            <v>2466.6018143880979</v>
          </cell>
          <cell r="H99">
            <v>1890.4561553116212</v>
          </cell>
          <cell r="I99">
            <v>1966.3132722489338</v>
          </cell>
          <cell r="J99">
            <v>1898.3717318334391</v>
          </cell>
          <cell r="K99">
            <v>1562.4471559466569</v>
          </cell>
          <cell r="L99">
            <v>1500.7767032568265</v>
          </cell>
          <cell r="M99">
            <v>1902.9445522997369</v>
          </cell>
          <cell r="N99">
            <v>2006.0940034473372</v>
          </cell>
          <cell r="O99">
            <v>2053.5266080014512</v>
          </cell>
          <cell r="P99">
            <v>2074.9398711784447</v>
          </cell>
          <cell r="Q99">
            <v>1983.4049169917446</v>
          </cell>
          <cell r="R99">
            <v>2396.4718160038801</v>
          </cell>
          <cell r="S99">
            <v>1850.5163596606158</v>
          </cell>
          <cell r="T99">
            <v>0</v>
          </cell>
          <cell r="U99">
            <v>0</v>
          </cell>
          <cell r="V99">
            <v>0</v>
          </cell>
          <cell r="W99">
            <v>0</v>
          </cell>
          <cell r="X99">
            <v>0</v>
          </cell>
          <cell r="Y99">
            <v>0</v>
          </cell>
          <cell r="Z99">
            <v>0</v>
          </cell>
          <cell r="AA99">
            <v>0</v>
          </cell>
          <cell r="AB99">
            <v>0</v>
          </cell>
          <cell r="AC99">
            <v>0</v>
          </cell>
          <cell r="AD99">
            <v>0</v>
          </cell>
          <cell r="AE99">
            <v>0</v>
          </cell>
          <cell r="AF99">
            <v>0</v>
          </cell>
        </row>
        <row r="100">
          <cell r="A100" t="str">
            <v>North Dakota</v>
          </cell>
          <cell r="B100">
            <v>14972.283389276967</v>
          </cell>
          <cell r="C100">
            <v>18463.307611358068</v>
          </cell>
          <cell r="D100">
            <v>20663.831751791709</v>
          </cell>
          <cell r="E100">
            <v>23769.88661888778</v>
          </cell>
          <cell r="F100">
            <v>29726.488977592307</v>
          </cell>
          <cell r="G100">
            <v>36275.890628685476</v>
          </cell>
          <cell r="H100">
            <v>35590.11639299646</v>
          </cell>
          <cell r="I100">
            <v>33212.015295291661</v>
          </cell>
          <cell r="J100">
            <v>25626.158541231969</v>
          </cell>
          <cell r="K100">
            <v>34120.380005443163</v>
          </cell>
          <cell r="L100">
            <v>41871.632187244853</v>
          </cell>
          <cell r="M100">
            <v>46156.546820284864</v>
          </cell>
          <cell r="N100">
            <v>51068.435543862834</v>
          </cell>
          <cell r="O100">
            <v>52494.425510296656</v>
          </cell>
          <cell r="P100">
            <v>57897.249804953281</v>
          </cell>
          <cell r="Q100">
            <v>60677.262360518915</v>
          </cell>
          <cell r="R100">
            <v>59600.830090802054</v>
          </cell>
          <cell r="S100">
            <v>59304.29176064975</v>
          </cell>
          <cell r="T100">
            <v>0</v>
          </cell>
          <cell r="U100">
            <v>0</v>
          </cell>
          <cell r="V100">
            <v>0</v>
          </cell>
          <cell r="W100">
            <v>0</v>
          </cell>
          <cell r="X100">
            <v>0</v>
          </cell>
          <cell r="Y100">
            <v>0</v>
          </cell>
          <cell r="Z100">
            <v>0</v>
          </cell>
          <cell r="AA100">
            <v>0</v>
          </cell>
          <cell r="AB100">
            <v>0</v>
          </cell>
          <cell r="AC100">
            <v>0</v>
          </cell>
          <cell r="AD100">
            <v>0</v>
          </cell>
          <cell r="AE100">
            <v>0</v>
          </cell>
          <cell r="AF100">
            <v>0</v>
          </cell>
        </row>
        <row r="101">
          <cell r="A101" t="str">
            <v>Ohio</v>
          </cell>
          <cell r="B101">
            <v>14332.918552118297</v>
          </cell>
          <cell r="C101">
            <v>11857.84497868094</v>
          </cell>
          <cell r="D101">
            <v>14915.333176086364</v>
          </cell>
          <cell r="E101">
            <v>21207.553950830083</v>
          </cell>
          <cell r="F101">
            <v>19062.287181348089</v>
          </cell>
          <cell r="G101">
            <v>17713.052054794516</v>
          </cell>
          <cell r="H101">
            <v>12769.983380205025</v>
          </cell>
          <cell r="I101">
            <v>10224.884115032204</v>
          </cell>
          <cell r="J101">
            <v>16811.316483715869</v>
          </cell>
          <cell r="K101">
            <v>22443.14834437086</v>
          </cell>
          <cell r="L101">
            <v>22469.416764946021</v>
          </cell>
          <cell r="M101">
            <v>23566.997459856662</v>
          </cell>
          <cell r="N101">
            <v>19086.799546402977</v>
          </cell>
          <cell r="O101">
            <v>10477.008164746441</v>
          </cell>
          <cell r="P101">
            <v>10891.720312074753</v>
          </cell>
          <cell r="Q101">
            <v>11013.876440170552</v>
          </cell>
          <cell r="R101">
            <v>11108.511599581723</v>
          </cell>
          <cell r="S101">
            <v>6063.6888938158263</v>
          </cell>
          <cell r="T101">
            <v>0</v>
          </cell>
          <cell r="U101">
            <v>0</v>
          </cell>
          <cell r="V101">
            <v>0</v>
          </cell>
          <cell r="W101">
            <v>0</v>
          </cell>
          <cell r="X101">
            <v>0</v>
          </cell>
          <cell r="Y101">
            <v>0</v>
          </cell>
          <cell r="Z101">
            <v>0</v>
          </cell>
          <cell r="AA101">
            <v>0</v>
          </cell>
          <cell r="AB101">
            <v>0</v>
          </cell>
          <cell r="AC101">
            <v>0</v>
          </cell>
          <cell r="AD101">
            <v>0</v>
          </cell>
          <cell r="AE101">
            <v>0</v>
          </cell>
          <cell r="AF101">
            <v>0</v>
          </cell>
        </row>
        <row r="102">
          <cell r="A102" t="str">
            <v>Oklahoma</v>
          </cell>
          <cell r="B102">
            <v>19821.071105869545</v>
          </cell>
          <cell r="C102">
            <v>17507.387408146602</v>
          </cell>
          <cell r="D102">
            <v>17473.523958994825</v>
          </cell>
          <cell r="E102">
            <v>17492.416002903021</v>
          </cell>
          <cell r="F102">
            <v>18282.462197223984</v>
          </cell>
          <cell r="G102">
            <v>16258.823677764674</v>
          </cell>
          <cell r="H102">
            <v>15733.430499863922</v>
          </cell>
          <cell r="I102">
            <v>20504.502440351989</v>
          </cell>
          <cell r="J102">
            <v>25359.721400707611</v>
          </cell>
          <cell r="K102">
            <v>24402.612646285041</v>
          </cell>
          <cell r="L102">
            <v>20572.057624965979</v>
          </cell>
          <cell r="M102">
            <v>23633.577084278324</v>
          </cell>
          <cell r="N102">
            <v>27806.719785902209</v>
          </cell>
          <cell r="O102">
            <v>33173.288197405425</v>
          </cell>
          <cell r="P102">
            <v>30254.367522453053</v>
          </cell>
          <cell r="Q102">
            <v>23591.243055429557</v>
          </cell>
          <cell r="R102">
            <v>22610.632483500412</v>
          </cell>
          <cell r="S102">
            <v>22642.346311132504</v>
          </cell>
          <cell r="T102">
            <v>0</v>
          </cell>
          <cell r="U102">
            <v>0</v>
          </cell>
          <cell r="V102">
            <v>0</v>
          </cell>
          <cell r="W102">
            <v>0</v>
          </cell>
          <cell r="X102">
            <v>0</v>
          </cell>
          <cell r="Y102">
            <v>0</v>
          </cell>
          <cell r="Z102">
            <v>0</v>
          </cell>
          <cell r="AA102">
            <v>0</v>
          </cell>
          <cell r="AB102">
            <v>0</v>
          </cell>
          <cell r="AC102">
            <v>0</v>
          </cell>
          <cell r="AD102">
            <v>0</v>
          </cell>
          <cell r="AE102">
            <v>0</v>
          </cell>
          <cell r="AF102">
            <v>0</v>
          </cell>
        </row>
        <row r="103">
          <cell r="A103" t="str">
            <v>Oregon</v>
          </cell>
          <cell r="B103">
            <v>11125.918443255012</v>
          </cell>
          <cell r="C103">
            <v>11042.33137984215</v>
          </cell>
          <cell r="D103">
            <v>11251.595645468566</v>
          </cell>
          <cell r="E103">
            <v>11563.43926335843</v>
          </cell>
          <cell r="F103">
            <v>12534.274027034382</v>
          </cell>
          <cell r="G103">
            <v>12735.996334936042</v>
          </cell>
          <cell r="H103">
            <v>13161.923178807947</v>
          </cell>
          <cell r="I103">
            <v>13916.795899482899</v>
          </cell>
          <cell r="J103">
            <v>15060.299628050439</v>
          </cell>
          <cell r="K103">
            <v>12459.157071577611</v>
          </cell>
          <cell r="L103">
            <v>9309.0890138800696</v>
          </cell>
          <cell r="M103">
            <v>14226.248970334755</v>
          </cell>
          <cell r="N103">
            <v>22910.059094620341</v>
          </cell>
          <cell r="O103">
            <v>25522.926535425926</v>
          </cell>
          <cell r="P103">
            <v>21316.907738365233</v>
          </cell>
          <cell r="Q103">
            <v>20721.191907829085</v>
          </cell>
          <cell r="R103">
            <v>21004.659111957852</v>
          </cell>
          <cell r="S103">
            <v>23631.156670152395</v>
          </cell>
          <cell r="T103">
            <v>0</v>
          </cell>
          <cell r="U103">
            <v>0</v>
          </cell>
          <cell r="V103">
            <v>0</v>
          </cell>
          <cell r="W103">
            <v>0</v>
          </cell>
          <cell r="X103">
            <v>0</v>
          </cell>
          <cell r="Y103">
            <v>0</v>
          </cell>
          <cell r="Z103">
            <v>0</v>
          </cell>
          <cell r="AA103">
            <v>0</v>
          </cell>
          <cell r="AB103">
            <v>0</v>
          </cell>
          <cell r="AC103">
            <v>0</v>
          </cell>
          <cell r="AD103">
            <v>0</v>
          </cell>
          <cell r="AE103">
            <v>0</v>
          </cell>
          <cell r="AF103">
            <v>0</v>
          </cell>
        </row>
        <row r="104">
          <cell r="A104" t="str">
            <v>Pennsylvania</v>
          </cell>
          <cell r="B104">
            <v>4441.0858749886593</v>
          </cell>
          <cell r="C104">
            <v>4612.0131724575876</v>
          </cell>
          <cell r="D104">
            <v>6030.0977047990564</v>
          </cell>
          <cell r="E104">
            <v>7257.248643744897</v>
          </cell>
          <cell r="F104">
            <v>6588.0093985303456</v>
          </cell>
          <cell r="G104">
            <v>5090.0284677492509</v>
          </cell>
          <cell r="H104">
            <v>5478.0957452599114</v>
          </cell>
          <cell r="I104">
            <v>5458.7281865190962</v>
          </cell>
          <cell r="J104">
            <v>6855.7754331851593</v>
          </cell>
          <cell r="K104">
            <v>7551.0656264174913</v>
          </cell>
          <cell r="L104">
            <v>7299.1147056155305</v>
          </cell>
          <cell r="M104">
            <v>5875.0928422389552</v>
          </cell>
          <cell r="N104">
            <v>6001.9805316157117</v>
          </cell>
          <cell r="O104">
            <v>4392.8036650639569</v>
          </cell>
          <cell r="P104">
            <v>4272.0276149868459</v>
          </cell>
          <cell r="Q104">
            <v>4150.5993831080468</v>
          </cell>
          <cell r="R104">
            <v>4304.1305788043492</v>
          </cell>
          <cell r="S104">
            <v>9709.0301651374211</v>
          </cell>
          <cell r="T104">
            <v>0</v>
          </cell>
          <cell r="U104">
            <v>0</v>
          </cell>
          <cell r="V104">
            <v>0</v>
          </cell>
          <cell r="W104">
            <v>0</v>
          </cell>
          <cell r="X104">
            <v>0</v>
          </cell>
          <cell r="Y104">
            <v>0</v>
          </cell>
          <cell r="Z104">
            <v>0</v>
          </cell>
          <cell r="AA104">
            <v>0</v>
          </cell>
          <cell r="AB104">
            <v>0</v>
          </cell>
          <cell r="AC104">
            <v>0</v>
          </cell>
          <cell r="AD104">
            <v>0</v>
          </cell>
          <cell r="AE104">
            <v>0</v>
          </cell>
          <cell r="AF104">
            <v>0</v>
          </cell>
        </row>
        <row r="105">
          <cell r="A105" t="str">
            <v>Rhode Island</v>
          </cell>
          <cell r="B105">
            <v>14.625147419032929</v>
          </cell>
          <cell r="C105">
            <v>39.491554023405605</v>
          </cell>
          <cell r="D105">
            <v>406.86072756962716</v>
          </cell>
          <cell r="E105">
            <v>704.58608364329143</v>
          </cell>
          <cell r="F105">
            <v>96.351664701079557</v>
          </cell>
          <cell r="G105">
            <v>19.337839063775739</v>
          </cell>
          <cell r="H105">
            <v>42.574616710514377</v>
          </cell>
          <cell r="I105">
            <v>48.377737458042276</v>
          </cell>
          <cell r="J105">
            <v>69.196135353352076</v>
          </cell>
          <cell r="K105">
            <v>92.245395990202297</v>
          </cell>
          <cell r="L105">
            <v>105.54707429919259</v>
          </cell>
          <cell r="M105">
            <v>96.435634582237142</v>
          </cell>
          <cell r="N105">
            <v>44.909498321691011</v>
          </cell>
          <cell r="O105">
            <v>13.06887417218543</v>
          </cell>
          <cell r="P105">
            <v>9.0432731561280963</v>
          </cell>
          <cell r="Q105">
            <v>9.5864828086727751</v>
          </cell>
          <cell r="R105">
            <v>70.556513471831636</v>
          </cell>
          <cell r="S105">
            <v>2.4002190084763479</v>
          </cell>
          <cell r="T105">
            <v>0</v>
          </cell>
          <cell r="U105">
            <v>0</v>
          </cell>
          <cell r="V105">
            <v>0</v>
          </cell>
          <cell r="W105">
            <v>0</v>
          </cell>
          <cell r="X105">
            <v>0</v>
          </cell>
          <cell r="Y105">
            <v>0</v>
          </cell>
          <cell r="Z105">
            <v>0</v>
          </cell>
          <cell r="AA105">
            <v>0</v>
          </cell>
          <cell r="AB105">
            <v>0</v>
          </cell>
          <cell r="AC105">
            <v>0</v>
          </cell>
          <cell r="AD105">
            <v>0</v>
          </cell>
          <cell r="AE105">
            <v>0</v>
          </cell>
          <cell r="AF105">
            <v>0</v>
          </cell>
        </row>
        <row r="106">
          <cell r="A106" t="str">
            <v>South Carolina</v>
          </cell>
          <cell r="B106">
            <v>721.27085185521184</v>
          </cell>
          <cell r="C106">
            <v>297.37956999002091</v>
          </cell>
          <cell r="D106">
            <v>254.29476549033836</v>
          </cell>
          <cell r="E106">
            <v>310.15950285766127</v>
          </cell>
          <cell r="F106">
            <v>500.67324684750071</v>
          </cell>
          <cell r="G106">
            <v>715.0481175723487</v>
          </cell>
          <cell r="H106">
            <v>569.54883425564731</v>
          </cell>
          <cell r="I106">
            <v>705.52932958359781</v>
          </cell>
          <cell r="J106">
            <v>1071.0778191055067</v>
          </cell>
          <cell r="K106">
            <v>1773.838029574526</v>
          </cell>
          <cell r="L106">
            <v>1967.7664701079559</v>
          </cell>
          <cell r="M106">
            <v>1725.7454594937858</v>
          </cell>
          <cell r="N106">
            <v>1469.4512201759956</v>
          </cell>
          <cell r="O106">
            <v>1512.3605370588768</v>
          </cell>
          <cell r="P106">
            <v>1120.6231153043634</v>
          </cell>
          <cell r="Q106">
            <v>1144.3729111857026</v>
          </cell>
          <cell r="R106">
            <v>1054.1483588812398</v>
          </cell>
          <cell r="S106">
            <v>1445.8575223598175</v>
          </cell>
          <cell r="T106">
            <v>0</v>
          </cell>
          <cell r="U106">
            <v>0</v>
          </cell>
          <cell r="V106">
            <v>0</v>
          </cell>
          <cell r="W106">
            <v>0</v>
          </cell>
          <cell r="X106">
            <v>0</v>
          </cell>
          <cell r="Y106">
            <v>0</v>
          </cell>
          <cell r="Z106">
            <v>0</v>
          </cell>
          <cell r="AA106">
            <v>0</v>
          </cell>
          <cell r="AB106">
            <v>0</v>
          </cell>
          <cell r="AC106">
            <v>0</v>
          </cell>
          <cell r="AD106">
            <v>0</v>
          </cell>
          <cell r="AE106">
            <v>0</v>
          </cell>
          <cell r="AF106">
            <v>0</v>
          </cell>
        </row>
        <row r="107">
          <cell r="A107" t="str">
            <v>South Dakota</v>
          </cell>
          <cell r="B107">
            <v>19207.744951465116</v>
          </cell>
          <cell r="C107">
            <v>20021.915268075842</v>
          </cell>
          <cell r="D107">
            <v>19345.164964165837</v>
          </cell>
          <cell r="E107">
            <v>22019.947927061596</v>
          </cell>
          <cell r="F107">
            <v>20608.155003175179</v>
          </cell>
          <cell r="G107">
            <v>16114.840805588314</v>
          </cell>
          <cell r="H107">
            <v>15625.432731561281</v>
          </cell>
          <cell r="I107">
            <v>18830.653669599928</v>
          </cell>
          <cell r="J107">
            <v>23173.442184523268</v>
          </cell>
          <cell r="K107">
            <v>31580.39110949832</v>
          </cell>
          <cell r="L107">
            <v>50667.190184160383</v>
          </cell>
          <cell r="M107">
            <v>54866.1951374399</v>
          </cell>
          <cell r="N107">
            <v>56646.400018143875</v>
          </cell>
          <cell r="O107">
            <v>74953.203810215011</v>
          </cell>
          <cell r="P107">
            <v>77611.297287489782</v>
          </cell>
          <cell r="Q107">
            <v>75255.963585230886</v>
          </cell>
          <cell r="R107">
            <v>91578.405195425192</v>
          </cell>
          <cell r="S107">
            <v>72856.378060094925</v>
          </cell>
          <cell r="T107">
            <v>0</v>
          </cell>
          <cell r="U107">
            <v>0</v>
          </cell>
          <cell r="V107">
            <v>0</v>
          </cell>
          <cell r="W107">
            <v>0</v>
          </cell>
          <cell r="X107">
            <v>0</v>
          </cell>
          <cell r="Y107">
            <v>0</v>
          </cell>
          <cell r="Z107">
            <v>0</v>
          </cell>
          <cell r="AA107">
            <v>0</v>
          </cell>
          <cell r="AB107">
            <v>0</v>
          </cell>
          <cell r="AC107">
            <v>0</v>
          </cell>
          <cell r="AD107">
            <v>0</v>
          </cell>
          <cell r="AE107">
            <v>0</v>
          </cell>
          <cell r="AF107">
            <v>0</v>
          </cell>
        </row>
        <row r="108">
          <cell r="A108" t="str">
            <v>Tennessee</v>
          </cell>
          <cell r="B108">
            <v>13135.35520275787</v>
          </cell>
          <cell r="C108">
            <v>11119.067350086181</v>
          </cell>
          <cell r="D108">
            <v>11444.924267440807</v>
          </cell>
          <cell r="E108">
            <v>11585.741522271614</v>
          </cell>
          <cell r="F108">
            <v>10666.573945386916</v>
          </cell>
          <cell r="G108">
            <v>9067.4878526716875</v>
          </cell>
          <cell r="H108">
            <v>8969.9282953823822</v>
          </cell>
          <cell r="I108">
            <v>8868.3247391817094</v>
          </cell>
          <cell r="J108">
            <v>8313.3604826272331</v>
          </cell>
          <cell r="K108">
            <v>8563.4159484713746</v>
          </cell>
          <cell r="L108">
            <v>8432.3153769391265</v>
          </cell>
          <cell r="M108">
            <v>7869.8931325410504</v>
          </cell>
          <cell r="N108">
            <v>6907.5456953642388</v>
          </cell>
          <cell r="O108">
            <v>7119.6644652091081</v>
          </cell>
          <cell r="P108">
            <v>8261.9930871813485</v>
          </cell>
          <cell r="Q108">
            <v>7511.2247482536504</v>
          </cell>
          <cell r="R108">
            <v>6505.9382554799158</v>
          </cell>
          <cell r="S108">
            <v>5114.124751240347</v>
          </cell>
          <cell r="T108">
            <v>0</v>
          </cell>
          <cell r="U108">
            <v>0</v>
          </cell>
          <cell r="V108">
            <v>0</v>
          </cell>
          <cell r="W108">
            <v>0</v>
          </cell>
          <cell r="X108">
            <v>0</v>
          </cell>
          <cell r="Y108">
            <v>0</v>
          </cell>
          <cell r="Z108">
            <v>0</v>
          </cell>
          <cell r="AA108">
            <v>0</v>
          </cell>
          <cell r="AB108">
            <v>0</v>
          </cell>
          <cell r="AC108">
            <v>0</v>
          </cell>
          <cell r="AD108">
            <v>0</v>
          </cell>
          <cell r="AE108">
            <v>0</v>
          </cell>
          <cell r="AF108">
            <v>0</v>
          </cell>
        </row>
        <row r="109">
          <cell r="A109" t="str">
            <v>Texas</v>
          </cell>
          <cell r="B109">
            <v>19639.735081193867</v>
          </cell>
          <cell r="C109">
            <v>27882.729982763311</v>
          </cell>
          <cell r="D109">
            <v>26266.857697541505</v>
          </cell>
          <cell r="E109">
            <v>28928.276712328767</v>
          </cell>
          <cell r="F109">
            <v>31676.897741086817</v>
          </cell>
          <cell r="G109">
            <v>29750.341848861466</v>
          </cell>
          <cell r="H109">
            <v>30133.521890592394</v>
          </cell>
          <cell r="I109">
            <v>33175.830645014968</v>
          </cell>
          <cell r="J109">
            <v>36997.436269618069</v>
          </cell>
          <cell r="K109">
            <v>37466.087272067496</v>
          </cell>
          <cell r="L109">
            <v>38605.135643654176</v>
          </cell>
          <cell r="M109">
            <v>44102.181456953636</v>
          </cell>
          <cell r="N109">
            <v>46550.34056064592</v>
          </cell>
          <cell r="O109">
            <v>36626.625510296661</v>
          </cell>
          <cell r="P109">
            <v>18367.366361244669</v>
          </cell>
          <cell r="Q109">
            <v>18468.238011430643</v>
          </cell>
          <cell r="R109">
            <v>16706.30862207579</v>
          </cell>
          <cell r="S109">
            <v>16602.738780952208</v>
          </cell>
          <cell r="T109">
            <v>0</v>
          </cell>
          <cell r="U109">
            <v>0</v>
          </cell>
          <cell r="V109">
            <v>0</v>
          </cell>
          <cell r="W109">
            <v>0</v>
          </cell>
          <cell r="X109">
            <v>0</v>
          </cell>
          <cell r="Y109">
            <v>0</v>
          </cell>
          <cell r="Z109">
            <v>0</v>
          </cell>
          <cell r="AA109">
            <v>0</v>
          </cell>
          <cell r="AB109">
            <v>0</v>
          </cell>
          <cell r="AC109">
            <v>0</v>
          </cell>
          <cell r="AD109">
            <v>0</v>
          </cell>
          <cell r="AE109">
            <v>0</v>
          </cell>
          <cell r="AF109">
            <v>0</v>
          </cell>
        </row>
        <row r="110">
          <cell r="A110" t="str">
            <v>Utah</v>
          </cell>
          <cell r="B110">
            <v>903.978699083734</v>
          </cell>
          <cell r="C110">
            <v>434.18891408872349</v>
          </cell>
          <cell r="D110">
            <v>483.27284768211922</v>
          </cell>
          <cell r="E110">
            <v>616.79628050439987</v>
          </cell>
          <cell r="F110">
            <v>560.80063503583415</v>
          </cell>
          <cell r="G110">
            <v>492.06067313798422</v>
          </cell>
          <cell r="H110">
            <v>642.46700535244486</v>
          </cell>
          <cell r="I110">
            <v>802.91835253560748</v>
          </cell>
          <cell r="J110">
            <v>980.66230608727199</v>
          </cell>
          <cell r="K110">
            <v>1179.6475732559193</v>
          </cell>
          <cell r="L110">
            <v>1216.4490247663973</v>
          </cell>
          <cell r="M110">
            <v>883.64029755964793</v>
          </cell>
          <cell r="N110">
            <v>425.11167558740812</v>
          </cell>
          <cell r="O110">
            <v>397.54054250204115</v>
          </cell>
          <cell r="P110">
            <v>770.95389639843972</v>
          </cell>
          <cell r="Q110">
            <v>763.3567449877529</v>
          </cell>
          <cell r="R110">
            <v>401.00758570243522</v>
          </cell>
          <cell r="S110">
            <v>2000.9617492849939</v>
          </cell>
          <cell r="T110">
            <v>0</v>
          </cell>
          <cell r="U110">
            <v>0</v>
          </cell>
          <cell r="V110">
            <v>0</v>
          </cell>
          <cell r="W110">
            <v>0</v>
          </cell>
          <cell r="X110">
            <v>0</v>
          </cell>
          <cell r="Y110">
            <v>0</v>
          </cell>
          <cell r="Z110">
            <v>0</v>
          </cell>
          <cell r="AA110">
            <v>0</v>
          </cell>
          <cell r="AB110">
            <v>0</v>
          </cell>
          <cell r="AC110">
            <v>0</v>
          </cell>
          <cell r="AD110">
            <v>0</v>
          </cell>
          <cell r="AE110">
            <v>0</v>
          </cell>
          <cell r="AF110">
            <v>0</v>
          </cell>
        </row>
        <row r="111">
          <cell r="A111" t="str">
            <v>Vermont</v>
          </cell>
          <cell r="B111">
            <v>481.35097523360247</v>
          </cell>
          <cell r="C111">
            <v>461.30104327315604</v>
          </cell>
          <cell r="D111">
            <v>493.99905651818921</v>
          </cell>
          <cell r="E111">
            <v>529.35509389458412</v>
          </cell>
          <cell r="F111">
            <v>523.48074027034386</v>
          </cell>
          <cell r="G111">
            <v>368.38836977229431</v>
          </cell>
          <cell r="H111">
            <v>434.79415767032572</v>
          </cell>
          <cell r="I111">
            <v>652.73822008527623</v>
          </cell>
          <cell r="J111">
            <v>931.86589857570527</v>
          </cell>
          <cell r="K111">
            <v>864.78646466479177</v>
          </cell>
          <cell r="L111">
            <v>746.44695636396625</v>
          </cell>
          <cell r="M111">
            <v>898.27888959448433</v>
          </cell>
          <cell r="N111">
            <v>603.08253651456039</v>
          </cell>
          <cell r="O111">
            <v>598.89654359067413</v>
          </cell>
          <cell r="P111">
            <v>720.97719314161304</v>
          </cell>
          <cell r="Q111">
            <v>612.86903746711425</v>
          </cell>
          <cell r="R111">
            <v>575.59607585877711</v>
          </cell>
          <cell r="S111">
            <v>720.67291269163036</v>
          </cell>
          <cell r="T111">
            <v>0</v>
          </cell>
          <cell r="U111">
            <v>0</v>
          </cell>
          <cell r="V111">
            <v>0</v>
          </cell>
          <cell r="W111">
            <v>0</v>
          </cell>
          <cell r="X111">
            <v>0</v>
          </cell>
          <cell r="Y111">
            <v>0</v>
          </cell>
          <cell r="Z111">
            <v>0</v>
          </cell>
          <cell r="AA111">
            <v>0</v>
          </cell>
          <cell r="AB111">
            <v>0</v>
          </cell>
          <cell r="AC111">
            <v>0</v>
          </cell>
          <cell r="AD111">
            <v>0</v>
          </cell>
          <cell r="AE111">
            <v>0</v>
          </cell>
          <cell r="AF111">
            <v>0</v>
          </cell>
        </row>
        <row r="112">
          <cell r="A112" t="str">
            <v>Virginia</v>
          </cell>
          <cell r="B112">
            <v>1863.1730200489885</v>
          </cell>
          <cell r="C112">
            <v>2111.5639481085004</v>
          </cell>
          <cell r="D112">
            <v>3290.0281593032746</v>
          </cell>
          <cell r="E112">
            <v>4437.7518461398886</v>
          </cell>
          <cell r="F112">
            <v>3218.056536333122</v>
          </cell>
          <cell r="G112">
            <v>2789.5304000725755</v>
          </cell>
          <cell r="H112">
            <v>2782.5262269799509</v>
          </cell>
          <cell r="I112">
            <v>2983.9867186791253</v>
          </cell>
          <cell r="J112">
            <v>3447.9363512655359</v>
          </cell>
          <cell r="K112">
            <v>4206.2603284042452</v>
          </cell>
          <cell r="L112">
            <v>4113.0219178082189</v>
          </cell>
          <cell r="M112">
            <v>3521.3326317699352</v>
          </cell>
          <cell r="N112">
            <v>3887.2358704526901</v>
          </cell>
          <cell r="O112">
            <v>3556.6360700353807</v>
          </cell>
          <cell r="P112">
            <v>2951.3533339381288</v>
          </cell>
          <cell r="Q112">
            <v>2715.0389730563365</v>
          </cell>
          <cell r="R112">
            <v>2771.2310372138436</v>
          </cell>
          <cell r="S112">
            <v>3716.5429584142007</v>
          </cell>
          <cell r="T112">
            <v>0</v>
          </cell>
          <cell r="U112">
            <v>0</v>
          </cell>
          <cell r="V112">
            <v>0</v>
          </cell>
          <cell r="W112">
            <v>0</v>
          </cell>
          <cell r="X112">
            <v>0</v>
          </cell>
          <cell r="Y112">
            <v>0</v>
          </cell>
          <cell r="Z112">
            <v>0</v>
          </cell>
          <cell r="AA112">
            <v>0</v>
          </cell>
          <cell r="AB112">
            <v>0</v>
          </cell>
          <cell r="AC112">
            <v>0</v>
          </cell>
          <cell r="AD112">
            <v>0</v>
          </cell>
          <cell r="AE112">
            <v>0</v>
          </cell>
          <cell r="AF112">
            <v>0</v>
          </cell>
        </row>
        <row r="113">
          <cell r="A113" t="str">
            <v>Washington</v>
          </cell>
          <cell r="B113">
            <v>5980.7295473101694</v>
          </cell>
          <cell r="C113">
            <v>5504.3113308536686</v>
          </cell>
          <cell r="D113">
            <v>5667.8082373219631</v>
          </cell>
          <cell r="E113">
            <v>6855.7195318878703</v>
          </cell>
          <cell r="F113">
            <v>7695.0772747890769</v>
          </cell>
          <cell r="G113">
            <v>7961.9531343554381</v>
          </cell>
          <cell r="H113">
            <v>7716.6832441259194</v>
          </cell>
          <cell r="I113">
            <v>7011.1072121926873</v>
          </cell>
          <cell r="J113">
            <v>6780.5679034745526</v>
          </cell>
          <cell r="K113">
            <v>6384.6614714687466</v>
          </cell>
          <cell r="L113">
            <v>6838.2177084278328</v>
          </cell>
          <cell r="M113">
            <v>8398.1485983851944</v>
          </cell>
          <cell r="N113">
            <v>7799.4662251655627</v>
          </cell>
          <cell r="O113">
            <v>8898.4784178535792</v>
          </cell>
          <cell r="P113">
            <v>9545.1731652000381</v>
          </cell>
          <cell r="Q113">
            <v>10387.584486981765</v>
          </cell>
          <cell r="R113">
            <v>11747.331611670543</v>
          </cell>
          <cell r="S113">
            <v>11116.470064227959</v>
          </cell>
          <cell r="T113">
            <v>0</v>
          </cell>
          <cell r="U113">
            <v>0</v>
          </cell>
          <cell r="V113">
            <v>0</v>
          </cell>
          <cell r="W113">
            <v>0</v>
          </cell>
          <cell r="X113">
            <v>0</v>
          </cell>
          <cell r="Y113">
            <v>0</v>
          </cell>
          <cell r="Z113">
            <v>0</v>
          </cell>
          <cell r="AA113">
            <v>0</v>
          </cell>
          <cell r="AB113">
            <v>0</v>
          </cell>
          <cell r="AC113">
            <v>0</v>
          </cell>
          <cell r="AD113">
            <v>0</v>
          </cell>
          <cell r="AE113">
            <v>0</v>
          </cell>
          <cell r="AF113">
            <v>0</v>
          </cell>
        </row>
        <row r="114">
          <cell r="A114" t="str">
            <v>West Virginia</v>
          </cell>
          <cell r="B114">
            <v>484.20359248843323</v>
          </cell>
          <cell r="C114">
            <v>488.87170461761764</v>
          </cell>
          <cell r="D114">
            <v>533.01320874535054</v>
          </cell>
          <cell r="E114">
            <v>584.12727932504765</v>
          </cell>
          <cell r="F114">
            <v>454.34994103238682</v>
          </cell>
          <cell r="G114">
            <v>325.54368139345002</v>
          </cell>
          <cell r="H114">
            <v>389.29545495781542</v>
          </cell>
          <cell r="I114">
            <v>540.44454322779643</v>
          </cell>
          <cell r="J114">
            <v>926.38474099609914</v>
          </cell>
          <cell r="K114">
            <v>1178.638755329765</v>
          </cell>
          <cell r="L114">
            <v>566.42048444162208</v>
          </cell>
          <cell r="M114">
            <v>1024.4146239680667</v>
          </cell>
          <cell r="N114">
            <v>1077.9032023949924</v>
          </cell>
          <cell r="O114">
            <v>1232.6872902113762</v>
          </cell>
          <cell r="P114">
            <v>4056.09128186519</v>
          </cell>
          <cell r="Q114">
            <v>6106.1241767213996</v>
          </cell>
          <cell r="R114">
            <v>4582.9800476945411</v>
          </cell>
          <cell r="S114">
            <v>4767.7797055161791</v>
          </cell>
          <cell r="T114">
            <v>0</v>
          </cell>
          <cell r="U114">
            <v>0</v>
          </cell>
          <cell r="V114">
            <v>0</v>
          </cell>
          <cell r="W114">
            <v>0</v>
          </cell>
          <cell r="X114">
            <v>0</v>
          </cell>
          <cell r="Y114">
            <v>0</v>
          </cell>
          <cell r="Z114">
            <v>0</v>
          </cell>
          <cell r="AA114">
            <v>0</v>
          </cell>
          <cell r="AB114">
            <v>0</v>
          </cell>
          <cell r="AC114">
            <v>0</v>
          </cell>
          <cell r="AD114">
            <v>0</v>
          </cell>
          <cell r="AE114">
            <v>0</v>
          </cell>
          <cell r="AF114">
            <v>0</v>
          </cell>
        </row>
        <row r="115">
          <cell r="A115" t="str">
            <v>Wisconsin</v>
          </cell>
          <cell r="B115">
            <v>14229.492896670596</v>
          </cell>
          <cell r="C115">
            <v>12871.779170824639</v>
          </cell>
          <cell r="D115">
            <v>13448.475115667241</v>
          </cell>
          <cell r="E115">
            <v>13273.76823006441</v>
          </cell>
          <cell r="F115">
            <v>13704.460836432912</v>
          </cell>
          <cell r="G115">
            <v>13736.816601651093</v>
          </cell>
          <cell r="H115">
            <v>14749.776884695637</v>
          </cell>
          <cell r="I115">
            <v>15984.864628504038</v>
          </cell>
          <cell r="J115">
            <v>15822.241622062957</v>
          </cell>
          <cell r="K115">
            <v>15621.67366415676</v>
          </cell>
          <cell r="L115">
            <v>15158.48778009616</v>
          </cell>
          <cell r="M115">
            <v>13166.202340560647</v>
          </cell>
          <cell r="N115">
            <v>15961.976231515921</v>
          </cell>
          <cell r="O115">
            <v>20915.147709335026</v>
          </cell>
          <cell r="P115">
            <v>20931.293749433004</v>
          </cell>
          <cell r="Q115">
            <v>20443.039553660532</v>
          </cell>
          <cell r="R115">
            <v>22409.502080745147</v>
          </cell>
          <cell r="S115">
            <v>27782.431925397337</v>
          </cell>
          <cell r="T115">
            <v>0</v>
          </cell>
          <cell r="U115">
            <v>0</v>
          </cell>
          <cell r="V115">
            <v>0</v>
          </cell>
          <cell r="W115">
            <v>0</v>
          </cell>
          <cell r="X115">
            <v>0</v>
          </cell>
          <cell r="Y115">
            <v>0</v>
          </cell>
          <cell r="Z115">
            <v>0</v>
          </cell>
          <cell r="AA115">
            <v>0</v>
          </cell>
          <cell r="AB115">
            <v>0</v>
          </cell>
          <cell r="AC115">
            <v>0</v>
          </cell>
          <cell r="AD115">
            <v>0</v>
          </cell>
          <cell r="AE115">
            <v>0</v>
          </cell>
          <cell r="AF115">
            <v>0</v>
          </cell>
        </row>
        <row r="116">
          <cell r="A116" t="str">
            <v>Wyoming</v>
          </cell>
          <cell r="B116">
            <v>896.4808491336297</v>
          </cell>
          <cell r="C116">
            <v>1001.772711603012</v>
          </cell>
          <cell r="D116">
            <v>1048.7972602739726</v>
          </cell>
          <cell r="E116">
            <v>1091.7726208836068</v>
          </cell>
          <cell r="F116">
            <v>1225.9277147781911</v>
          </cell>
          <cell r="G116">
            <v>1263.6238229157216</v>
          </cell>
          <cell r="H116">
            <v>1314.2946929148145</v>
          </cell>
          <cell r="I116">
            <v>1355.6623605189152</v>
          </cell>
          <cell r="J116">
            <v>1361.548979406695</v>
          </cell>
          <cell r="K116">
            <v>1323.7250294838066</v>
          </cell>
          <cell r="L116">
            <v>1314.0408963077202</v>
          </cell>
          <cell r="M116">
            <v>1167.2089449333212</v>
          </cell>
          <cell r="N116">
            <v>1073.4813390184158</v>
          </cell>
          <cell r="O116">
            <v>1080.384087816384</v>
          </cell>
          <cell r="P116">
            <v>1115.7384740996099</v>
          </cell>
          <cell r="Q116">
            <v>1084.8234056064593</v>
          </cell>
          <cell r="R116">
            <v>1077.9983966548186</v>
          </cell>
          <cell r="S116">
            <v>1109.7794529212879</v>
          </cell>
          <cell r="T116">
            <v>0</v>
          </cell>
          <cell r="U116">
            <v>0</v>
          </cell>
          <cell r="V116">
            <v>0</v>
          </cell>
          <cell r="W116">
            <v>0</v>
          </cell>
          <cell r="X116">
            <v>0</v>
          </cell>
          <cell r="Y116">
            <v>0</v>
          </cell>
          <cell r="Z116">
            <v>0</v>
          </cell>
          <cell r="AA116">
            <v>0</v>
          </cell>
          <cell r="AB116">
            <v>0</v>
          </cell>
          <cell r="AC116">
            <v>0</v>
          </cell>
          <cell r="AD116">
            <v>0</v>
          </cell>
          <cell r="AE116">
            <v>0</v>
          </cell>
          <cell r="AF116">
            <v>0</v>
          </cell>
        </row>
        <row r="117">
          <cell r="A117" t="str">
            <v>Puerto Rico</v>
          </cell>
          <cell r="B117">
            <v>246.88442347818199</v>
          </cell>
          <cell r="C117">
            <v>262.59457497958812</v>
          </cell>
          <cell r="D117">
            <v>204.98439626236052</v>
          </cell>
          <cell r="E117">
            <v>218.79980041730929</v>
          </cell>
          <cell r="F117">
            <v>271.23474553206933</v>
          </cell>
          <cell r="G117">
            <v>248.60745713508123</v>
          </cell>
          <cell r="H117">
            <v>234.78851492334209</v>
          </cell>
          <cell r="I117">
            <v>207.23294928785265</v>
          </cell>
          <cell r="J117">
            <v>131.11637485258098</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row>
      </sheetData>
      <sheetData sheetId="31" refreshError="1"/>
      <sheetData sheetId="32"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Control"/>
      <sheetName val="Residential"/>
      <sheetName val="Commercial"/>
      <sheetName val="Transportation"/>
      <sheetName val="Electric Power"/>
      <sheetName val="Bunker Fuels"/>
      <sheetName val="Industrial"/>
      <sheetName val="Summary-MMTCO2E"/>
      <sheetName val="Summary-MMTCE"/>
      <sheetName val="Tracker"/>
      <sheetName val="Uncertainty"/>
      <sheetName val="Default State Energy Data Table"/>
      <sheetName val="SED Btu 1990-2005"/>
      <sheetName val="FF Consumption"/>
      <sheetName val="Coal CC"/>
      <sheetName val="Non-Energy Consump."/>
      <sheetName val="Variable CC's"/>
      <sheetName val="Code Key"/>
      <sheetName val="SNG"/>
      <sheetName val="Ethanol"/>
      <sheetName val="Data Sources"/>
      <sheetName val="List Data"/>
      <sheetName val="Notes"/>
    </sheetNames>
    <sheetDataSet>
      <sheetData sheetId="0">
        <row r="19">
          <cell r="D19">
            <v>41.563876651982376</v>
          </cell>
        </row>
        <row r="21">
          <cell r="D21" t="str">
            <v>variable by year</v>
          </cell>
        </row>
        <row r="22">
          <cell r="D22">
            <v>43.5</v>
          </cell>
        </row>
        <row r="26">
          <cell r="D26">
            <v>44.581497797356818</v>
          </cell>
        </row>
        <row r="27">
          <cell r="D27" t="str">
            <v>variable by year</v>
          </cell>
        </row>
        <row r="28">
          <cell r="D28">
            <v>47.33480176211453</v>
          </cell>
        </row>
        <row r="54">
          <cell r="D54">
            <v>0.5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5">
          <cell r="K5">
            <v>5.0000000000000001E-4</v>
          </cell>
        </row>
        <row r="6">
          <cell r="K6">
            <v>3.6666666666666665</v>
          </cell>
        </row>
        <row r="7">
          <cell r="K7">
            <v>0.45351473922902491</v>
          </cell>
        </row>
      </sheetData>
      <sheetData sheetId="22"/>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Control"/>
      <sheetName val="CH4 from Coal Mining"/>
      <sheetName val="CH4 from Abandoned Coal Mines"/>
      <sheetName val="Summary Abandoned Coal Mines"/>
      <sheetName val="Abandoned Data"/>
      <sheetName val="Abandoned Data Inputs"/>
      <sheetName val="Summary"/>
      <sheetName val="Uncertainty"/>
      <sheetName val="Coal codes"/>
      <sheetName val="Coal data"/>
      <sheetName val="Data Sources"/>
      <sheetName val="constants"/>
      <sheetName val="Documentation"/>
      <sheetName val="AbandonedMethods"/>
      <sheetName val="Notes"/>
    </sheetNames>
    <sheetDataSet>
      <sheetData sheetId="0"/>
      <sheetData sheetId="1"/>
      <sheetData sheetId="2"/>
      <sheetData sheetId="3"/>
      <sheetData sheetId="4"/>
      <sheetData sheetId="5"/>
      <sheetData sheetId="6"/>
      <sheetData sheetId="7"/>
      <sheetData sheetId="8">
        <row r="3">
          <cell r="A3" t="str">
            <v>XX</v>
          </cell>
          <cell r="B3" t="str">
            <v xml:space="preserve"> </v>
          </cell>
          <cell r="C3" t="str">
            <v>---</v>
          </cell>
          <cell r="D3" t="str">
            <v>---</v>
          </cell>
          <cell r="E3" t="str">
            <v>---</v>
          </cell>
          <cell r="F3" t="str">
            <v>---</v>
          </cell>
        </row>
        <row r="4">
          <cell r="A4" t="str">
            <v>AL</v>
          </cell>
          <cell r="B4" t="str">
            <v>Alabama</v>
          </cell>
          <cell r="C4" t="str">
            <v>WRB</v>
          </cell>
          <cell r="D4" t="str">
            <v>---</v>
          </cell>
          <cell r="E4" t="str">
            <v>WRB</v>
          </cell>
          <cell r="F4" t="str">
            <v>---</v>
          </cell>
        </row>
        <row r="5">
          <cell r="A5" t="str">
            <v>AK</v>
          </cell>
          <cell r="B5" t="str">
            <v>Alaska</v>
          </cell>
          <cell r="C5" t="str">
            <v>NWB1</v>
          </cell>
          <cell r="D5" t="str">
            <v>---</v>
          </cell>
          <cell r="E5" t="str">
            <v>NWB</v>
          </cell>
          <cell r="F5" t="str">
            <v>---</v>
          </cell>
        </row>
        <row r="6">
          <cell r="A6" t="str">
            <v>AZ</v>
          </cell>
          <cell r="B6" t="str">
            <v>Arizona</v>
          </cell>
          <cell r="C6" t="str">
            <v>WTB3</v>
          </cell>
          <cell r="D6" t="str">
            <v>---</v>
          </cell>
          <cell r="E6" t="str">
            <v>WTB1</v>
          </cell>
          <cell r="F6" t="str">
            <v>---</v>
          </cell>
        </row>
        <row r="7">
          <cell r="A7" t="str">
            <v>AR</v>
          </cell>
          <cell r="B7" t="str">
            <v>Arkansas</v>
          </cell>
          <cell r="C7" t="str">
            <v>WIN2</v>
          </cell>
          <cell r="D7" t="str">
            <v>---</v>
          </cell>
          <cell r="E7" t="str">
            <v>WIN2</v>
          </cell>
          <cell r="F7" t="str">
            <v>---</v>
          </cell>
        </row>
        <row r="8">
          <cell r="A8" t="str">
            <v>CA</v>
          </cell>
          <cell r="B8" t="str">
            <v>California</v>
          </cell>
          <cell r="C8" t="str">
            <v>WTB3</v>
          </cell>
          <cell r="D8" t="str">
            <v>---</v>
          </cell>
          <cell r="E8" t="str">
            <v>WTB1</v>
          </cell>
          <cell r="F8" t="str">
            <v>---</v>
          </cell>
        </row>
        <row r="9">
          <cell r="A9" t="str">
            <v>CO</v>
          </cell>
          <cell r="B9" t="str">
            <v>Colorado</v>
          </cell>
          <cell r="C9" t="str">
            <v>WTB1</v>
          </cell>
          <cell r="D9" t="str">
            <v>---</v>
          </cell>
          <cell r="E9" t="str">
            <v>WTB2</v>
          </cell>
          <cell r="F9" t="str">
            <v>---</v>
          </cell>
        </row>
        <row r="10">
          <cell r="A10" t="str">
            <v>CT</v>
          </cell>
          <cell r="B10" t="str">
            <v>Connecticut</v>
          </cell>
          <cell r="C10" t="str">
            <v>---</v>
          </cell>
          <cell r="D10" t="str">
            <v>---</v>
          </cell>
          <cell r="E10" t="str">
            <v>---</v>
          </cell>
          <cell r="F10" t="str">
            <v>---</v>
          </cell>
        </row>
        <row r="11">
          <cell r="A11" t="str">
            <v>DE</v>
          </cell>
          <cell r="B11" t="str">
            <v>Delaware</v>
          </cell>
          <cell r="C11" t="str">
            <v>---</v>
          </cell>
          <cell r="D11" t="str">
            <v>---</v>
          </cell>
          <cell r="E11" t="str">
            <v>---</v>
          </cell>
          <cell r="F11" t="str">
            <v>---</v>
          </cell>
        </row>
        <row r="12">
          <cell r="A12" t="str">
            <v>FL</v>
          </cell>
          <cell r="B12" t="str">
            <v>Florida</v>
          </cell>
          <cell r="C12" t="str">
            <v>---</v>
          </cell>
          <cell r="D12" t="str">
            <v>---</v>
          </cell>
          <cell r="E12" t="str">
            <v>---</v>
          </cell>
          <cell r="F12" t="str">
            <v>---</v>
          </cell>
        </row>
        <row r="13">
          <cell r="A13" t="str">
            <v>GA</v>
          </cell>
          <cell r="B13" t="str">
            <v>Georgia</v>
          </cell>
          <cell r="C13" t="str">
            <v>---</v>
          </cell>
          <cell r="D13" t="str">
            <v>---</v>
          </cell>
          <cell r="E13" t="str">
            <v>---</v>
          </cell>
          <cell r="F13" t="str">
            <v>---</v>
          </cell>
        </row>
        <row r="14">
          <cell r="A14" t="str">
            <v>HI</v>
          </cell>
          <cell r="B14" t="str">
            <v>Hawaii</v>
          </cell>
          <cell r="C14" t="str">
            <v>---</v>
          </cell>
          <cell r="D14" t="str">
            <v>---</v>
          </cell>
          <cell r="E14" t="str">
            <v>---</v>
          </cell>
          <cell r="F14" t="str">
            <v>---</v>
          </cell>
        </row>
        <row r="15">
          <cell r="A15" t="str">
            <v>ID</v>
          </cell>
          <cell r="B15" t="str">
            <v>Idaho</v>
          </cell>
          <cell r="C15" t="str">
            <v>---</v>
          </cell>
          <cell r="D15" t="str">
            <v>---</v>
          </cell>
          <cell r="E15" t="str">
            <v>---</v>
          </cell>
          <cell r="F15" t="str">
            <v>---</v>
          </cell>
        </row>
        <row r="16">
          <cell r="A16" t="str">
            <v>IL</v>
          </cell>
          <cell r="B16" t="str">
            <v>Illinois</v>
          </cell>
          <cell r="C16" t="str">
            <v>ILB</v>
          </cell>
          <cell r="D16" t="str">
            <v>---</v>
          </cell>
          <cell r="E16" t="str">
            <v>ILB</v>
          </cell>
          <cell r="F16" t="str">
            <v>---</v>
          </cell>
        </row>
        <row r="17">
          <cell r="A17" t="str">
            <v>IN</v>
          </cell>
          <cell r="B17" t="str">
            <v>Indiana</v>
          </cell>
          <cell r="C17" t="str">
            <v>ILB</v>
          </cell>
          <cell r="D17" t="str">
            <v>---</v>
          </cell>
          <cell r="E17" t="str">
            <v>ILB</v>
          </cell>
          <cell r="F17" t="str">
            <v>---</v>
          </cell>
        </row>
        <row r="18">
          <cell r="A18" t="str">
            <v>IA</v>
          </cell>
          <cell r="B18" t="str">
            <v>Iowa</v>
          </cell>
          <cell r="C18" t="str">
            <v>WIN1</v>
          </cell>
          <cell r="D18" t="str">
            <v>---</v>
          </cell>
          <cell r="E18" t="str">
            <v>WIN1</v>
          </cell>
          <cell r="F18" t="str">
            <v>---</v>
          </cell>
        </row>
        <row r="19">
          <cell r="A19" t="str">
            <v>KS</v>
          </cell>
          <cell r="B19" t="str">
            <v>Kansas</v>
          </cell>
          <cell r="C19" t="str">
            <v>WIN1</v>
          </cell>
          <cell r="D19" t="str">
            <v>---</v>
          </cell>
          <cell r="E19" t="str">
            <v>WIN1</v>
          </cell>
          <cell r="F19" t="str">
            <v>---</v>
          </cell>
        </row>
        <row r="20">
          <cell r="A20" t="str">
            <v>KY</v>
          </cell>
          <cell r="B20" t="str">
            <v>Kentucky</v>
          </cell>
          <cell r="C20" t="str">
            <v>CAB3</v>
          </cell>
          <cell r="D20" t="str">
            <v>ILB</v>
          </cell>
          <cell r="E20" t="str">
            <v>CAB</v>
          </cell>
          <cell r="F20" t="str">
            <v>ILB</v>
          </cell>
        </row>
        <row r="21">
          <cell r="A21" t="str">
            <v>LA</v>
          </cell>
          <cell r="B21" t="str">
            <v>Louisiana</v>
          </cell>
          <cell r="C21" t="str">
            <v>WIN3</v>
          </cell>
          <cell r="D21" t="str">
            <v>---</v>
          </cell>
          <cell r="E21" t="str">
            <v>WIN3</v>
          </cell>
          <cell r="F21" t="str">
            <v>---</v>
          </cell>
        </row>
        <row r="22">
          <cell r="A22" t="str">
            <v>ME</v>
          </cell>
          <cell r="B22" t="str">
            <v>Maine</v>
          </cell>
          <cell r="C22" t="str">
            <v>---</v>
          </cell>
          <cell r="D22" t="str">
            <v>---</v>
          </cell>
          <cell r="E22" t="str">
            <v>---</v>
          </cell>
          <cell r="F22" t="str">
            <v>---</v>
          </cell>
        </row>
        <row r="23">
          <cell r="A23" t="str">
            <v>MD</v>
          </cell>
          <cell r="B23" t="str">
            <v>Maryland</v>
          </cell>
          <cell r="C23" t="str">
            <v>NAB</v>
          </cell>
          <cell r="D23" t="str">
            <v>---</v>
          </cell>
          <cell r="E23" t="str">
            <v>NAB</v>
          </cell>
          <cell r="F23" t="str">
            <v>---</v>
          </cell>
        </row>
        <row r="24">
          <cell r="A24" t="str">
            <v>MA</v>
          </cell>
          <cell r="B24" t="str">
            <v>Massachusetts</v>
          </cell>
          <cell r="C24" t="str">
            <v>---</v>
          </cell>
          <cell r="D24" t="str">
            <v>---</v>
          </cell>
          <cell r="E24" t="str">
            <v>---</v>
          </cell>
          <cell r="F24" t="str">
            <v>---</v>
          </cell>
        </row>
        <row r="25">
          <cell r="A25" t="str">
            <v>MI</v>
          </cell>
          <cell r="B25" t="str">
            <v>Michigan</v>
          </cell>
          <cell r="C25" t="str">
            <v>---</v>
          </cell>
          <cell r="D25" t="str">
            <v>---</v>
          </cell>
          <cell r="E25" t="str">
            <v>---</v>
          </cell>
          <cell r="F25" t="str">
            <v>---</v>
          </cell>
        </row>
        <row r="26">
          <cell r="A26" t="str">
            <v>MN</v>
          </cell>
          <cell r="B26" t="str">
            <v>Minnesota</v>
          </cell>
          <cell r="C26" t="str">
            <v>---</v>
          </cell>
          <cell r="D26" t="str">
            <v>---</v>
          </cell>
          <cell r="E26" t="str">
            <v>---</v>
          </cell>
          <cell r="F26" t="str">
            <v>---</v>
          </cell>
        </row>
        <row r="27">
          <cell r="A27" t="str">
            <v>MS</v>
          </cell>
          <cell r="B27" t="str">
            <v>Mississippi</v>
          </cell>
          <cell r="C27" t="str">
            <v>WRB</v>
          </cell>
          <cell r="D27" t="str">
            <v>---</v>
          </cell>
          <cell r="E27" t="str">
            <v>WRB</v>
          </cell>
          <cell r="F27" t="str">
            <v>---</v>
          </cell>
        </row>
        <row r="28">
          <cell r="A28" t="str">
            <v>MO</v>
          </cell>
          <cell r="B28" t="str">
            <v>Missouri</v>
          </cell>
          <cell r="C28" t="str">
            <v>WIN1</v>
          </cell>
          <cell r="D28" t="str">
            <v>---</v>
          </cell>
          <cell r="E28" t="str">
            <v>WIN1</v>
          </cell>
          <cell r="F28" t="str">
            <v>---</v>
          </cell>
        </row>
        <row r="29">
          <cell r="A29" t="str">
            <v>MT</v>
          </cell>
          <cell r="B29" t="str">
            <v>Montana</v>
          </cell>
          <cell r="C29" t="str">
            <v>NGP</v>
          </cell>
          <cell r="D29" t="str">
            <v>---</v>
          </cell>
          <cell r="E29" t="str">
            <v>NGP</v>
          </cell>
          <cell r="F29" t="str">
            <v>---</v>
          </cell>
        </row>
        <row r="30">
          <cell r="A30" t="str">
            <v>NE</v>
          </cell>
          <cell r="B30" t="str">
            <v>Nebraska</v>
          </cell>
          <cell r="C30" t="str">
            <v>---</v>
          </cell>
          <cell r="D30" t="str">
            <v>---</v>
          </cell>
          <cell r="E30" t="str">
            <v>---</v>
          </cell>
          <cell r="F30" t="str">
            <v>---</v>
          </cell>
        </row>
        <row r="31">
          <cell r="A31" t="str">
            <v>NV</v>
          </cell>
          <cell r="B31" t="str">
            <v>Nevada</v>
          </cell>
          <cell r="C31" t="str">
            <v>---</v>
          </cell>
          <cell r="D31" t="str">
            <v>---</v>
          </cell>
          <cell r="E31" t="str">
            <v>---</v>
          </cell>
          <cell r="F31" t="str">
            <v>---</v>
          </cell>
        </row>
        <row r="32">
          <cell r="A32" t="str">
            <v>NH</v>
          </cell>
          <cell r="B32" t="str">
            <v>New Hampshire</v>
          </cell>
          <cell r="C32" t="str">
            <v>---</v>
          </cell>
          <cell r="D32" t="str">
            <v>---</v>
          </cell>
          <cell r="E32" t="str">
            <v>---</v>
          </cell>
          <cell r="F32" t="str">
            <v>---</v>
          </cell>
        </row>
        <row r="33">
          <cell r="A33" t="str">
            <v>NJ</v>
          </cell>
          <cell r="B33" t="str">
            <v>New Jersey</v>
          </cell>
          <cell r="C33" t="str">
            <v>---</v>
          </cell>
          <cell r="D33" t="str">
            <v>---</v>
          </cell>
          <cell r="E33" t="str">
            <v>---</v>
          </cell>
          <cell r="F33" t="str">
            <v>---</v>
          </cell>
        </row>
        <row r="34">
          <cell r="A34" t="str">
            <v>NM</v>
          </cell>
          <cell r="B34" t="str">
            <v>New Mexico</v>
          </cell>
          <cell r="C34" t="str">
            <v>WTB3</v>
          </cell>
          <cell r="D34" t="str">
            <v>---</v>
          </cell>
          <cell r="E34" t="str">
            <v>WTB1</v>
          </cell>
          <cell r="F34" t="str">
            <v>---</v>
          </cell>
        </row>
        <row r="35">
          <cell r="A35" t="str">
            <v>NY</v>
          </cell>
          <cell r="B35" t="str">
            <v>New York</v>
          </cell>
          <cell r="C35" t="str">
            <v>---</v>
          </cell>
          <cell r="D35" t="str">
            <v>---</v>
          </cell>
          <cell r="E35" t="str">
            <v>---</v>
          </cell>
          <cell r="F35" t="str">
            <v>---</v>
          </cell>
        </row>
        <row r="36">
          <cell r="A36" t="str">
            <v>NC</v>
          </cell>
          <cell r="B36" t="str">
            <v>North Carolina</v>
          </cell>
          <cell r="C36" t="str">
            <v>---</v>
          </cell>
          <cell r="D36" t="str">
            <v>---</v>
          </cell>
          <cell r="E36" t="str">
            <v>---</v>
          </cell>
          <cell r="F36" t="str">
            <v>---</v>
          </cell>
        </row>
        <row r="37">
          <cell r="A37" t="str">
            <v>ND</v>
          </cell>
          <cell r="B37" t="str">
            <v>North Dakota</v>
          </cell>
          <cell r="C37" t="str">
            <v>NGP2</v>
          </cell>
          <cell r="D37" t="str">
            <v>---</v>
          </cell>
          <cell r="E37" t="str">
            <v>NGP2</v>
          </cell>
          <cell r="F37" t="str">
            <v>---</v>
          </cell>
        </row>
        <row r="38">
          <cell r="A38" t="str">
            <v>OH</v>
          </cell>
          <cell r="B38" t="str">
            <v>Ohio</v>
          </cell>
          <cell r="C38" t="str">
            <v>NAB</v>
          </cell>
          <cell r="D38" t="str">
            <v>---</v>
          </cell>
          <cell r="E38" t="str">
            <v>NAB</v>
          </cell>
          <cell r="F38" t="str">
            <v>---</v>
          </cell>
        </row>
        <row r="39">
          <cell r="A39" t="str">
            <v>OK</v>
          </cell>
          <cell r="B39" t="str">
            <v>Oklahoma</v>
          </cell>
          <cell r="C39" t="str">
            <v>WIN2</v>
          </cell>
          <cell r="D39" t="str">
            <v>---</v>
          </cell>
          <cell r="E39" t="str">
            <v>WIN2</v>
          </cell>
          <cell r="F39" t="str">
            <v>---</v>
          </cell>
        </row>
        <row r="40">
          <cell r="A40" t="str">
            <v>OR</v>
          </cell>
          <cell r="B40" t="str">
            <v>Oregon</v>
          </cell>
          <cell r="C40" t="str">
            <v>---</v>
          </cell>
          <cell r="D40" t="str">
            <v>---</v>
          </cell>
          <cell r="E40" t="str">
            <v>---</v>
          </cell>
          <cell r="F40" t="str">
            <v>---</v>
          </cell>
        </row>
        <row r="41">
          <cell r="A41" t="str">
            <v>PA</v>
          </cell>
          <cell r="B41" t="str">
            <v>Pennsylvania</v>
          </cell>
          <cell r="C41" t="str">
            <v>NAB</v>
          </cell>
          <cell r="D41" t="str">
            <v>---</v>
          </cell>
          <cell r="E41" t="str">
            <v>NAB</v>
          </cell>
          <cell r="F41" t="str">
            <v>---</v>
          </cell>
        </row>
        <row r="42">
          <cell r="A42" t="str">
            <v>RI</v>
          </cell>
          <cell r="B42" t="str">
            <v>Rhode Island</v>
          </cell>
          <cell r="C42" t="str">
            <v>---</v>
          </cell>
          <cell r="D42" t="str">
            <v>---</v>
          </cell>
          <cell r="E42" t="str">
            <v>---</v>
          </cell>
          <cell r="F42" t="str">
            <v>---</v>
          </cell>
        </row>
        <row r="43">
          <cell r="A43" t="str">
            <v>SC</v>
          </cell>
          <cell r="B43" t="str">
            <v>South Carolina</v>
          </cell>
          <cell r="C43" t="str">
            <v>---</v>
          </cell>
          <cell r="D43" t="str">
            <v>---</v>
          </cell>
          <cell r="E43" t="str">
            <v>---</v>
          </cell>
          <cell r="F43" t="str">
            <v>---</v>
          </cell>
        </row>
        <row r="44">
          <cell r="A44" t="str">
            <v>SD</v>
          </cell>
          <cell r="B44" t="str">
            <v>South Dakota</v>
          </cell>
          <cell r="C44" t="str">
            <v>---</v>
          </cell>
          <cell r="D44" t="str">
            <v>---</v>
          </cell>
          <cell r="E44" t="str">
            <v>---</v>
          </cell>
          <cell r="F44" t="str">
            <v>---</v>
          </cell>
        </row>
        <row r="45">
          <cell r="A45" t="str">
            <v>TN</v>
          </cell>
          <cell r="B45" t="str">
            <v>Tennessee</v>
          </cell>
          <cell r="C45" t="str">
            <v>CAB3</v>
          </cell>
          <cell r="D45" t="str">
            <v>---</v>
          </cell>
          <cell r="E45" t="str">
            <v>CAB</v>
          </cell>
          <cell r="F45" t="str">
            <v>---</v>
          </cell>
        </row>
        <row r="46">
          <cell r="A46" t="str">
            <v>TX</v>
          </cell>
          <cell r="B46" t="str">
            <v>Texas</v>
          </cell>
          <cell r="C46" t="str">
            <v>WIN3</v>
          </cell>
          <cell r="D46" t="str">
            <v>---</v>
          </cell>
          <cell r="E46" t="str">
            <v>WIN3</v>
          </cell>
          <cell r="F46" t="str">
            <v>---</v>
          </cell>
        </row>
        <row r="47">
          <cell r="A47" t="str">
            <v>UT</v>
          </cell>
          <cell r="B47" t="str">
            <v>Utah</v>
          </cell>
          <cell r="C47" t="str">
            <v>WTB2</v>
          </cell>
          <cell r="D47" t="str">
            <v>---</v>
          </cell>
          <cell r="E47" t="str">
            <v>WTB3</v>
          </cell>
          <cell r="F47" t="str">
            <v>---</v>
          </cell>
        </row>
        <row r="48">
          <cell r="A48" t="str">
            <v>VT</v>
          </cell>
          <cell r="B48" t="str">
            <v>Vermont</v>
          </cell>
          <cell r="C48" t="str">
            <v>---</v>
          </cell>
          <cell r="D48" t="str">
            <v>---</v>
          </cell>
          <cell r="E48" t="str">
            <v>---</v>
          </cell>
          <cell r="F48" t="str">
            <v>---</v>
          </cell>
        </row>
        <row r="49">
          <cell r="A49" t="str">
            <v>VA</v>
          </cell>
          <cell r="B49" t="str">
            <v>Virginia</v>
          </cell>
          <cell r="C49" t="str">
            <v>CAB2</v>
          </cell>
          <cell r="D49" t="str">
            <v>---</v>
          </cell>
          <cell r="E49" t="str">
            <v>CAB</v>
          </cell>
          <cell r="F49" t="str">
            <v>---</v>
          </cell>
        </row>
        <row r="50">
          <cell r="A50" t="str">
            <v>WA</v>
          </cell>
          <cell r="B50" t="str">
            <v>Washington</v>
          </cell>
          <cell r="C50" t="str">
            <v>NWB2</v>
          </cell>
          <cell r="D50" t="str">
            <v>---</v>
          </cell>
          <cell r="E50" t="str">
            <v>NWB</v>
          </cell>
          <cell r="F50" t="str">
            <v>---</v>
          </cell>
        </row>
        <row r="51">
          <cell r="A51" t="str">
            <v>WV</v>
          </cell>
          <cell r="B51" t="str">
            <v>West Virginia</v>
          </cell>
          <cell r="C51" t="str">
            <v>CAB1</v>
          </cell>
          <cell r="D51" t="str">
            <v>NAB</v>
          </cell>
          <cell r="E51" t="str">
            <v>CAB</v>
          </cell>
          <cell r="F51" t="str">
            <v>NAB</v>
          </cell>
        </row>
        <row r="52">
          <cell r="A52" t="str">
            <v>WI</v>
          </cell>
          <cell r="B52" t="str">
            <v>Wisconsin</v>
          </cell>
          <cell r="C52" t="str">
            <v>---</v>
          </cell>
          <cell r="D52" t="str">
            <v>---</v>
          </cell>
          <cell r="E52" t="str">
            <v>---</v>
          </cell>
          <cell r="F52" t="str">
            <v>---</v>
          </cell>
        </row>
        <row r="53">
          <cell r="A53" t="str">
            <v>WY</v>
          </cell>
          <cell r="B53" t="str">
            <v>Wyoming</v>
          </cell>
          <cell r="C53" t="str">
            <v>NGP</v>
          </cell>
          <cell r="D53" t="str">
            <v>---</v>
          </cell>
          <cell r="E53" t="str">
            <v>NGP</v>
          </cell>
          <cell r="F53" t="str">
            <v>---</v>
          </cell>
        </row>
      </sheetData>
      <sheetData sheetId="9">
        <row r="4">
          <cell r="D4" t="str">
            <v>Ventilation System Emissions (mcf)</v>
          </cell>
          <cell r="E4" t="str">
            <v>Degasification Liberations (mcf)</v>
          </cell>
          <cell r="F4" t="str">
            <v>Recovered and Used Methane (mcf)</v>
          </cell>
          <cell r="G4" t="str">
            <v>Underground Coal Production ('000 short tons)</v>
          </cell>
          <cell r="H4" t="str">
            <v>2nd Basin Underground</v>
          </cell>
          <cell r="I4" t="str">
            <v>Total Underground</v>
          </cell>
          <cell r="J4" t="str">
            <v>Surface Coal Production ('000 short tons)</v>
          </cell>
          <cell r="K4" t="str">
            <v>2nd Basin Surface</v>
          </cell>
        </row>
        <row r="5">
          <cell r="C5">
            <v>1</v>
          </cell>
          <cell r="D5">
            <v>2</v>
          </cell>
          <cell r="E5">
            <v>3</v>
          </cell>
          <cell r="F5">
            <v>4</v>
          </cell>
          <cell r="G5">
            <v>5</v>
          </cell>
          <cell r="H5">
            <v>6</v>
          </cell>
          <cell r="I5">
            <v>7</v>
          </cell>
          <cell r="J5">
            <v>8</v>
          </cell>
          <cell r="K5">
            <v>9</v>
          </cell>
        </row>
        <row r="6">
          <cell r="C6" t="str">
            <v>1990AL</v>
          </cell>
          <cell r="D6">
            <v>29937.824582200035</v>
          </cell>
          <cell r="E6">
            <v>13310.027839999999</v>
          </cell>
          <cell r="F6">
            <v>13310.027839999999</v>
          </cell>
          <cell r="G6">
            <v>0</v>
          </cell>
          <cell r="H6" t="str">
            <v>---</v>
          </cell>
          <cell r="I6">
            <v>0</v>
          </cell>
          <cell r="J6">
            <v>11413</v>
          </cell>
          <cell r="K6" t="str">
            <v>---</v>
          </cell>
        </row>
        <row r="7">
          <cell r="C7" t="str">
            <v>1990AK</v>
          </cell>
          <cell r="D7">
            <v>0</v>
          </cell>
          <cell r="E7">
            <v>0</v>
          </cell>
          <cell r="F7">
            <v>0</v>
          </cell>
          <cell r="G7">
            <v>0</v>
          </cell>
          <cell r="H7" t="str">
            <v>---</v>
          </cell>
          <cell r="I7">
            <v>0</v>
          </cell>
          <cell r="J7">
            <v>1706</v>
          </cell>
          <cell r="K7" t="str">
            <v>---</v>
          </cell>
        </row>
        <row r="8">
          <cell r="C8" t="str">
            <v>1990AZ</v>
          </cell>
          <cell r="D8">
            <v>0</v>
          </cell>
          <cell r="E8">
            <v>0</v>
          </cell>
          <cell r="F8">
            <v>0</v>
          </cell>
          <cell r="G8">
            <v>0</v>
          </cell>
          <cell r="H8" t="str">
            <v>---</v>
          </cell>
          <cell r="I8">
            <v>0</v>
          </cell>
          <cell r="J8">
            <v>11304</v>
          </cell>
          <cell r="K8" t="str">
            <v>---</v>
          </cell>
        </row>
        <row r="9">
          <cell r="C9" t="str">
            <v>1990AR</v>
          </cell>
          <cell r="D9">
            <v>0</v>
          </cell>
          <cell r="E9">
            <v>0</v>
          </cell>
          <cell r="F9">
            <v>0</v>
          </cell>
          <cell r="G9">
            <v>0</v>
          </cell>
          <cell r="H9" t="str">
            <v>---</v>
          </cell>
          <cell r="I9">
            <v>0</v>
          </cell>
          <cell r="J9">
            <v>39</v>
          </cell>
          <cell r="K9" t="str">
            <v>---</v>
          </cell>
        </row>
        <row r="10">
          <cell r="C10" t="str">
            <v>1990CA</v>
          </cell>
          <cell r="D10">
            <v>0</v>
          </cell>
          <cell r="E10">
            <v>0</v>
          </cell>
          <cell r="F10">
            <v>0</v>
          </cell>
          <cell r="G10">
            <v>0</v>
          </cell>
          <cell r="H10" t="str">
            <v>---</v>
          </cell>
          <cell r="I10">
            <v>0</v>
          </cell>
          <cell r="J10">
            <v>61</v>
          </cell>
          <cell r="K10" t="str">
            <v>---</v>
          </cell>
        </row>
        <row r="11">
          <cell r="C11" t="str">
            <v>1990CO</v>
          </cell>
          <cell r="D11">
            <v>5748.6595831157174</v>
          </cell>
          <cell r="E11">
            <v>3260.666666666667</v>
          </cell>
          <cell r="F11">
            <v>0</v>
          </cell>
          <cell r="G11">
            <v>0</v>
          </cell>
          <cell r="H11" t="str">
            <v>---</v>
          </cell>
          <cell r="I11">
            <v>0</v>
          </cell>
          <cell r="J11">
            <v>8281</v>
          </cell>
          <cell r="K11" t="str">
            <v>---</v>
          </cell>
        </row>
        <row r="12">
          <cell r="C12" t="str">
            <v>1990CT</v>
          </cell>
          <cell r="D12">
            <v>0</v>
          </cell>
          <cell r="E12">
            <v>0</v>
          </cell>
          <cell r="F12">
            <v>0</v>
          </cell>
          <cell r="G12">
            <v>0</v>
          </cell>
          <cell r="H12" t="str">
            <v>---</v>
          </cell>
          <cell r="I12">
            <v>0</v>
          </cell>
          <cell r="K12" t="str">
            <v>---</v>
          </cell>
        </row>
        <row r="13">
          <cell r="C13" t="str">
            <v>1990DE</v>
          </cell>
          <cell r="D13">
            <v>0</v>
          </cell>
          <cell r="E13">
            <v>0</v>
          </cell>
          <cell r="F13">
            <v>0</v>
          </cell>
          <cell r="G13">
            <v>0</v>
          </cell>
          <cell r="H13" t="str">
            <v>---</v>
          </cell>
          <cell r="I13">
            <v>0</v>
          </cell>
          <cell r="K13" t="str">
            <v>---</v>
          </cell>
        </row>
        <row r="14">
          <cell r="C14" t="str">
            <v>1990FL</v>
          </cell>
          <cell r="D14">
            <v>0</v>
          </cell>
          <cell r="E14">
            <v>0</v>
          </cell>
          <cell r="F14">
            <v>0</v>
          </cell>
          <cell r="G14">
            <v>0</v>
          </cell>
          <cell r="H14" t="str">
            <v>---</v>
          </cell>
          <cell r="I14">
            <v>0</v>
          </cell>
          <cell r="K14" t="str">
            <v>---</v>
          </cell>
        </row>
        <row r="15">
          <cell r="C15" t="str">
            <v>1990GA</v>
          </cell>
          <cell r="D15">
            <v>0</v>
          </cell>
          <cell r="E15">
            <v>0</v>
          </cell>
          <cell r="F15">
            <v>0</v>
          </cell>
          <cell r="G15">
            <v>0</v>
          </cell>
          <cell r="H15" t="str">
            <v>---</v>
          </cell>
          <cell r="I15">
            <v>0</v>
          </cell>
          <cell r="K15" t="str">
            <v>---</v>
          </cell>
        </row>
        <row r="16">
          <cell r="C16" t="str">
            <v>1990HI</v>
          </cell>
          <cell r="D16">
            <v>0</v>
          </cell>
          <cell r="E16">
            <v>0</v>
          </cell>
          <cell r="F16">
            <v>0</v>
          </cell>
          <cell r="G16">
            <v>0</v>
          </cell>
          <cell r="H16" t="str">
            <v>---</v>
          </cell>
          <cell r="I16">
            <v>0</v>
          </cell>
          <cell r="K16" t="str">
            <v>---</v>
          </cell>
        </row>
        <row r="17">
          <cell r="C17" t="str">
            <v>1990ID</v>
          </cell>
          <cell r="D17">
            <v>0</v>
          </cell>
          <cell r="E17">
            <v>0</v>
          </cell>
          <cell r="F17">
            <v>0</v>
          </cell>
          <cell r="G17">
            <v>0</v>
          </cell>
          <cell r="H17" t="str">
            <v>---</v>
          </cell>
          <cell r="I17">
            <v>0</v>
          </cell>
          <cell r="K17" t="str">
            <v>---</v>
          </cell>
        </row>
        <row r="18">
          <cell r="C18" t="str">
            <v>1990IL</v>
          </cell>
          <cell r="D18">
            <v>8137.7129163586133</v>
          </cell>
          <cell r="E18">
            <v>0</v>
          </cell>
          <cell r="F18">
            <v>0</v>
          </cell>
          <cell r="G18">
            <v>0</v>
          </cell>
          <cell r="H18" t="str">
            <v>---</v>
          </cell>
          <cell r="I18">
            <v>0</v>
          </cell>
          <cell r="J18">
            <v>18722</v>
          </cell>
          <cell r="K18" t="str">
            <v>---</v>
          </cell>
        </row>
        <row r="19">
          <cell r="C19" t="str">
            <v>1990IN</v>
          </cell>
          <cell r="D19">
            <v>111.98687499576073</v>
          </cell>
          <cell r="E19">
            <v>0</v>
          </cell>
          <cell r="F19">
            <v>0</v>
          </cell>
          <cell r="G19">
            <v>0</v>
          </cell>
          <cell r="H19" t="str">
            <v>---</v>
          </cell>
          <cell r="I19">
            <v>0</v>
          </cell>
          <cell r="J19">
            <v>32849</v>
          </cell>
          <cell r="K19" t="str">
            <v>---</v>
          </cell>
        </row>
        <row r="20">
          <cell r="C20" t="str">
            <v>1990IA</v>
          </cell>
          <cell r="D20">
            <v>0</v>
          </cell>
          <cell r="E20">
            <v>0</v>
          </cell>
          <cell r="F20">
            <v>0</v>
          </cell>
          <cell r="G20">
            <v>0</v>
          </cell>
          <cell r="H20" t="str">
            <v>---</v>
          </cell>
          <cell r="I20">
            <v>0</v>
          </cell>
          <cell r="J20">
            <v>381</v>
          </cell>
          <cell r="K20" t="str">
            <v>---</v>
          </cell>
        </row>
        <row r="21">
          <cell r="C21" t="str">
            <v>1990KS</v>
          </cell>
          <cell r="D21">
            <v>0</v>
          </cell>
          <cell r="E21">
            <v>0</v>
          </cell>
          <cell r="F21">
            <v>0</v>
          </cell>
          <cell r="G21">
            <v>0</v>
          </cell>
          <cell r="H21" t="str">
            <v>---</v>
          </cell>
          <cell r="I21">
            <v>0</v>
          </cell>
          <cell r="J21">
            <v>721</v>
          </cell>
          <cell r="K21" t="str">
            <v>---</v>
          </cell>
        </row>
        <row r="22">
          <cell r="C22" t="str">
            <v>1990KY</v>
          </cell>
          <cell r="D22">
            <v>4330.1591665027481</v>
          </cell>
          <cell r="E22">
            <v>146</v>
          </cell>
          <cell r="F22">
            <v>0</v>
          </cell>
          <cell r="G22">
            <v>0</v>
          </cell>
          <cell r="H22">
            <v>24459</v>
          </cell>
          <cell r="I22">
            <v>24459</v>
          </cell>
          <cell r="J22">
            <v>47241</v>
          </cell>
          <cell r="K22">
            <v>20429</v>
          </cell>
        </row>
        <row r="23">
          <cell r="C23" t="str">
            <v>1990LA</v>
          </cell>
          <cell r="D23">
            <v>0</v>
          </cell>
          <cell r="E23">
            <v>0</v>
          </cell>
          <cell r="F23">
            <v>0</v>
          </cell>
          <cell r="G23">
            <v>0</v>
          </cell>
          <cell r="H23" t="str">
            <v>---</v>
          </cell>
          <cell r="I23">
            <v>0</v>
          </cell>
          <cell r="J23">
            <v>3186</v>
          </cell>
          <cell r="K23" t="str">
            <v>---</v>
          </cell>
        </row>
        <row r="24">
          <cell r="C24" t="str">
            <v>1990ME</v>
          </cell>
          <cell r="D24">
            <v>0</v>
          </cell>
          <cell r="E24">
            <v>0</v>
          </cell>
          <cell r="F24">
            <v>0</v>
          </cell>
          <cell r="G24">
            <v>0</v>
          </cell>
          <cell r="H24" t="str">
            <v>---</v>
          </cell>
          <cell r="I24">
            <v>0</v>
          </cell>
          <cell r="K24" t="str">
            <v>---</v>
          </cell>
        </row>
        <row r="25">
          <cell r="C25" t="str">
            <v>1990MD</v>
          </cell>
          <cell r="D25">
            <v>223.97374999152146</v>
          </cell>
          <cell r="E25">
            <v>0</v>
          </cell>
          <cell r="F25">
            <v>0</v>
          </cell>
          <cell r="G25">
            <v>0</v>
          </cell>
          <cell r="H25" t="str">
            <v>---</v>
          </cell>
          <cell r="I25">
            <v>0</v>
          </cell>
          <cell r="J25">
            <v>1484</v>
          </cell>
          <cell r="K25" t="str">
            <v>---</v>
          </cell>
        </row>
        <row r="26">
          <cell r="C26" t="str">
            <v>1990MA</v>
          </cell>
          <cell r="D26">
            <v>0</v>
          </cell>
          <cell r="E26">
            <v>0</v>
          </cell>
          <cell r="F26">
            <v>0</v>
          </cell>
          <cell r="G26">
            <v>0</v>
          </cell>
          <cell r="H26" t="str">
            <v>---</v>
          </cell>
          <cell r="I26">
            <v>0</v>
          </cell>
          <cell r="K26" t="str">
            <v>---</v>
          </cell>
        </row>
        <row r="27">
          <cell r="C27" t="str">
            <v>1990MI</v>
          </cell>
          <cell r="D27">
            <v>0</v>
          </cell>
          <cell r="E27">
            <v>0</v>
          </cell>
          <cell r="F27">
            <v>0</v>
          </cell>
          <cell r="G27">
            <v>0</v>
          </cell>
          <cell r="H27" t="str">
            <v>---</v>
          </cell>
          <cell r="I27">
            <v>0</v>
          </cell>
          <cell r="K27" t="str">
            <v>---</v>
          </cell>
        </row>
        <row r="28">
          <cell r="C28" t="str">
            <v>1990MN</v>
          </cell>
          <cell r="D28">
            <v>0</v>
          </cell>
          <cell r="E28">
            <v>0</v>
          </cell>
          <cell r="F28">
            <v>0</v>
          </cell>
          <cell r="G28">
            <v>0</v>
          </cell>
          <cell r="H28" t="str">
            <v>---</v>
          </cell>
          <cell r="I28">
            <v>0</v>
          </cell>
          <cell r="K28" t="str">
            <v>---</v>
          </cell>
        </row>
        <row r="29">
          <cell r="C29" t="str">
            <v>1990MS</v>
          </cell>
          <cell r="D29">
            <v>0</v>
          </cell>
          <cell r="E29">
            <v>0</v>
          </cell>
          <cell r="F29">
            <v>0</v>
          </cell>
          <cell r="G29">
            <v>0</v>
          </cell>
          <cell r="H29" t="str">
            <v>---</v>
          </cell>
          <cell r="I29">
            <v>0</v>
          </cell>
          <cell r="K29" t="str">
            <v>---</v>
          </cell>
        </row>
        <row r="30">
          <cell r="C30" t="str">
            <v>1990MO</v>
          </cell>
          <cell r="D30">
            <v>0</v>
          </cell>
          <cell r="E30">
            <v>0</v>
          </cell>
          <cell r="F30">
            <v>0</v>
          </cell>
          <cell r="G30">
            <v>0</v>
          </cell>
          <cell r="H30" t="str">
            <v>---</v>
          </cell>
          <cell r="I30">
            <v>0</v>
          </cell>
          <cell r="J30">
            <v>2646</v>
          </cell>
          <cell r="K30" t="str">
            <v>---</v>
          </cell>
        </row>
        <row r="31">
          <cell r="C31" t="str">
            <v>1990MT</v>
          </cell>
          <cell r="D31">
            <v>0</v>
          </cell>
          <cell r="E31">
            <v>0</v>
          </cell>
          <cell r="F31">
            <v>0</v>
          </cell>
          <cell r="G31">
            <v>0</v>
          </cell>
          <cell r="H31" t="str">
            <v>---</v>
          </cell>
          <cell r="I31">
            <v>0</v>
          </cell>
          <cell r="J31">
            <v>37616</v>
          </cell>
          <cell r="K31" t="str">
            <v>---</v>
          </cell>
        </row>
        <row r="32">
          <cell r="C32" t="str">
            <v>1990NE</v>
          </cell>
          <cell r="D32">
            <v>0</v>
          </cell>
          <cell r="E32">
            <v>0</v>
          </cell>
          <cell r="F32">
            <v>0</v>
          </cell>
          <cell r="G32">
            <v>0</v>
          </cell>
          <cell r="H32" t="str">
            <v>---</v>
          </cell>
          <cell r="I32">
            <v>0</v>
          </cell>
          <cell r="K32" t="str">
            <v>---</v>
          </cell>
        </row>
        <row r="33">
          <cell r="C33" t="str">
            <v>1990NV</v>
          </cell>
          <cell r="D33">
            <v>0</v>
          </cell>
          <cell r="E33">
            <v>0</v>
          </cell>
          <cell r="F33">
            <v>0</v>
          </cell>
          <cell r="G33">
            <v>0</v>
          </cell>
          <cell r="H33" t="str">
            <v>---</v>
          </cell>
          <cell r="I33">
            <v>0</v>
          </cell>
          <cell r="K33" t="str">
            <v>---</v>
          </cell>
        </row>
        <row r="34">
          <cell r="C34" t="str">
            <v>1990NH</v>
          </cell>
          <cell r="D34">
            <v>0</v>
          </cell>
          <cell r="E34">
            <v>0</v>
          </cell>
          <cell r="F34">
            <v>0</v>
          </cell>
          <cell r="G34">
            <v>0</v>
          </cell>
          <cell r="H34" t="str">
            <v>---</v>
          </cell>
          <cell r="I34">
            <v>0</v>
          </cell>
          <cell r="K34" t="str">
            <v>---</v>
          </cell>
        </row>
        <row r="35">
          <cell r="C35" t="str">
            <v>1990NJ</v>
          </cell>
          <cell r="D35">
            <v>0</v>
          </cell>
          <cell r="E35">
            <v>0</v>
          </cell>
          <cell r="F35">
            <v>0</v>
          </cell>
          <cell r="G35">
            <v>0</v>
          </cell>
          <cell r="H35" t="str">
            <v>---</v>
          </cell>
          <cell r="I35">
            <v>0</v>
          </cell>
          <cell r="K35" t="str">
            <v>---</v>
          </cell>
        </row>
        <row r="36">
          <cell r="C36" t="str">
            <v>1990NM</v>
          </cell>
          <cell r="D36">
            <v>37.328958331920248</v>
          </cell>
          <cell r="E36">
            <v>0</v>
          </cell>
          <cell r="F36">
            <v>0</v>
          </cell>
          <cell r="G36">
            <v>0</v>
          </cell>
          <cell r="H36" t="str">
            <v>---</v>
          </cell>
          <cell r="I36">
            <v>0</v>
          </cell>
          <cell r="J36">
            <v>24217</v>
          </cell>
          <cell r="K36" t="str">
            <v>---</v>
          </cell>
        </row>
        <row r="37">
          <cell r="C37" t="str">
            <v>1990NY</v>
          </cell>
          <cell r="D37">
            <v>0</v>
          </cell>
          <cell r="E37">
            <v>0</v>
          </cell>
          <cell r="F37">
            <v>0</v>
          </cell>
          <cell r="G37">
            <v>0</v>
          </cell>
          <cell r="H37" t="str">
            <v>---</v>
          </cell>
          <cell r="I37">
            <v>0</v>
          </cell>
          <cell r="K37" t="str">
            <v>---</v>
          </cell>
        </row>
        <row r="38">
          <cell r="C38" t="str">
            <v>1990NC</v>
          </cell>
          <cell r="D38">
            <v>0</v>
          </cell>
          <cell r="E38">
            <v>0</v>
          </cell>
          <cell r="F38">
            <v>0</v>
          </cell>
          <cell r="G38">
            <v>0</v>
          </cell>
          <cell r="H38" t="str">
            <v>---</v>
          </cell>
          <cell r="I38">
            <v>0</v>
          </cell>
          <cell r="K38" t="str">
            <v>---</v>
          </cell>
        </row>
        <row r="39">
          <cell r="C39" t="str">
            <v>1990ND</v>
          </cell>
          <cell r="D39">
            <v>0</v>
          </cell>
          <cell r="E39">
            <v>0</v>
          </cell>
          <cell r="F39">
            <v>0</v>
          </cell>
          <cell r="G39">
            <v>0</v>
          </cell>
          <cell r="H39" t="str">
            <v>---</v>
          </cell>
          <cell r="I39">
            <v>0</v>
          </cell>
          <cell r="J39">
            <v>29213</v>
          </cell>
          <cell r="K39" t="str">
            <v>---</v>
          </cell>
        </row>
        <row r="40">
          <cell r="C40" t="str">
            <v>1990OH</v>
          </cell>
          <cell r="D40">
            <v>1418.5004166129693</v>
          </cell>
          <cell r="E40">
            <v>0</v>
          </cell>
          <cell r="F40">
            <v>0</v>
          </cell>
          <cell r="G40">
            <v>0</v>
          </cell>
          <cell r="H40" t="str">
            <v>---</v>
          </cell>
          <cell r="I40">
            <v>0</v>
          </cell>
          <cell r="J40">
            <v>22160</v>
          </cell>
          <cell r="K40" t="str">
            <v>---</v>
          </cell>
        </row>
        <row r="41">
          <cell r="C41" t="str">
            <v>1990OK</v>
          </cell>
          <cell r="D41">
            <v>0</v>
          </cell>
          <cell r="E41">
            <v>0</v>
          </cell>
          <cell r="F41">
            <v>0</v>
          </cell>
          <cell r="G41">
            <v>0</v>
          </cell>
          <cell r="H41" t="str">
            <v>---</v>
          </cell>
          <cell r="I41">
            <v>0</v>
          </cell>
          <cell r="J41">
            <v>1582</v>
          </cell>
          <cell r="K41" t="str">
            <v>---</v>
          </cell>
        </row>
        <row r="42">
          <cell r="C42" t="str">
            <v>1990OR</v>
          </cell>
          <cell r="D42">
            <v>0</v>
          </cell>
          <cell r="E42">
            <v>0</v>
          </cell>
          <cell r="F42">
            <v>0</v>
          </cell>
          <cell r="G42">
            <v>0</v>
          </cell>
          <cell r="H42" t="str">
            <v>---</v>
          </cell>
          <cell r="I42">
            <v>0</v>
          </cell>
          <cell r="K42" t="str">
            <v>---</v>
          </cell>
        </row>
        <row r="43">
          <cell r="C43" t="str">
            <v>1990PA</v>
          </cell>
          <cell r="D43">
            <v>12579.858957857123</v>
          </cell>
          <cell r="E43">
            <v>4291.254901960785</v>
          </cell>
          <cell r="F43">
            <v>0</v>
          </cell>
          <cell r="G43">
            <v>0</v>
          </cell>
          <cell r="H43" t="str">
            <v>---</v>
          </cell>
          <cell r="I43">
            <v>0</v>
          </cell>
          <cell r="J43">
            <v>29281</v>
          </cell>
          <cell r="K43" t="str">
            <v>---</v>
          </cell>
        </row>
        <row r="44">
          <cell r="C44" t="str">
            <v>1990RI</v>
          </cell>
          <cell r="D44">
            <v>0</v>
          </cell>
          <cell r="E44">
            <v>0</v>
          </cell>
          <cell r="F44">
            <v>0</v>
          </cell>
          <cell r="G44">
            <v>0</v>
          </cell>
          <cell r="H44" t="str">
            <v>---</v>
          </cell>
          <cell r="I44">
            <v>0</v>
          </cell>
          <cell r="K44" t="str">
            <v>---</v>
          </cell>
        </row>
        <row r="45">
          <cell r="C45" t="str">
            <v>1990SC</v>
          </cell>
          <cell r="D45">
            <v>0</v>
          </cell>
          <cell r="E45">
            <v>0</v>
          </cell>
          <cell r="F45">
            <v>0</v>
          </cell>
          <cell r="G45">
            <v>0</v>
          </cell>
          <cell r="H45" t="str">
            <v>---</v>
          </cell>
          <cell r="I45">
            <v>0</v>
          </cell>
          <cell r="K45" t="str">
            <v>---</v>
          </cell>
        </row>
        <row r="46">
          <cell r="C46" t="str">
            <v>1990SD</v>
          </cell>
          <cell r="D46">
            <v>0</v>
          </cell>
          <cell r="E46">
            <v>0</v>
          </cell>
          <cell r="F46">
            <v>0</v>
          </cell>
          <cell r="G46">
            <v>0</v>
          </cell>
          <cell r="H46" t="str">
            <v>---</v>
          </cell>
          <cell r="I46">
            <v>0</v>
          </cell>
          <cell r="K46" t="str">
            <v>---</v>
          </cell>
        </row>
        <row r="47">
          <cell r="C47" t="str">
            <v>1990TN</v>
          </cell>
          <cell r="D47">
            <v>111.98687499576073</v>
          </cell>
          <cell r="E47">
            <v>0</v>
          </cell>
          <cell r="F47">
            <v>0</v>
          </cell>
          <cell r="G47">
            <v>0</v>
          </cell>
          <cell r="H47" t="str">
            <v>---</v>
          </cell>
          <cell r="I47">
            <v>0</v>
          </cell>
          <cell r="J47">
            <v>1650</v>
          </cell>
          <cell r="K47" t="str">
            <v>---</v>
          </cell>
        </row>
        <row r="48">
          <cell r="C48" t="str">
            <v>1990TX</v>
          </cell>
          <cell r="D48">
            <v>0</v>
          </cell>
          <cell r="E48">
            <v>0</v>
          </cell>
          <cell r="F48">
            <v>0</v>
          </cell>
          <cell r="G48">
            <v>0</v>
          </cell>
          <cell r="H48" t="str">
            <v>---</v>
          </cell>
          <cell r="I48">
            <v>0</v>
          </cell>
          <cell r="J48">
            <v>55755</v>
          </cell>
          <cell r="K48" t="str">
            <v>---</v>
          </cell>
        </row>
        <row r="49">
          <cell r="C49" t="str">
            <v>1990UT</v>
          </cell>
          <cell r="D49">
            <v>2874.3297915578587</v>
          </cell>
          <cell r="E49">
            <v>130.29808999999977</v>
          </cell>
          <cell r="F49">
            <v>130.29808999999977</v>
          </cell>
          <cell r="G49">
            <v>0</v>
          </cell>
          <cell r="H49" t="str">
            <v>---</v>
          </cell>
          <cell r="I49">
            <v>0</v>
          </cell>
          <cell r="K49" t="str">
            <v>---</v>
          </cell>
        </row>
        <row r="50">
          <cell r="C50" t="str">
            <v>1990VT</v>
          </cell>
          <cell r="D50">
            <v>0</v>
          </cell>
          <cell r="E50">
            <v>0</v>
          </cell>
          <cell r="F50">
            <v>0</v>
          </cell>
          <cell r="G50">
            <v>0</v>
          </cell>
          <cell r="H50" t="str">
            <v>---</v>
          </cell>
          <cell r="I50">
            <v>0</v>
          </cell>
          <cell r="K50" t="str">
            <v>---</v>
          </cell>
        </row>
        <row r="51">
          <cell r="C51" t="str">
            <v>1990VA</v>
          </cell>
          <cell r="D51">
            <v>20642.913957551897</v>
          </cell>
          <cell r="E51">
            <v>19981.142857142855</v>
          </cell>
          <cell r="F51">
            <v>0</v>
          </cell>
          <cell r="G51">
            <v>0</v>
          </cell>
          <cell r="H51" t="str">
            <v>---</v>
          </cell>
          <cell r="I51">
            <v>0</v>
          </cell>
          <cell r="J51">
            <v>7681</v>
          </cell>
          <cell r="K51" t="str">
            <v>---</v>
          </cell>
        </row>
        <row r="52">
          <cell r="C52" t="str">
            <v>1990WA</v>
          </cell>
          <cell r="D52">
            <v>0</v>
          </cell>
          <cell r="E52">
            <v>0</v>
          </cell>
          <cell r="F52">
            <v>0</v>
          </cell>
          <cell r="G52">
            <v>0</v>
          </cell>
          <cell r="H52" t="str">
            <v>---</v>
          </cell>
          <cell r="I52">
            <v>0</v>
          </cell>
          <cell r="J52">
            <v>5001</v>
          </cell>
          <cell r="K52" t="str">
            <v>---</v>
          </cell>
        </row>
        <row r="53">
          <cell r="C53" t="str">
            <v>1990WV</v>
          </cell>
          <cell r="D53">
            <v>28071.376665604024</v>
          </cell>
          <cell r="E53">
            <v>12562.952380952382</v>
          </cell>
          <cell r="F53">
            <v>365.24333333333345</v>
          </cell>
          <cell r="G53">
            <v>0</v>
          </cell>
          <cell r="H53">
            <v>48641</v>
          </cell>
          <cell r="I53">
            <v>48641</v>
          </cell>
          <cell r="J53">
            <v>37771</v>
          </cell>
          <cell r="K53">
            <v>7836</v>
          </cell>
        </row>
        <row r="54">
          <cell r="C54" t="str">
            <v>1990WI</v>
          </cell>
          <cell r="D54">
            <v>0</v>
          </cell>
          <cell r="E54">
            <v>0</v>
          </cell>
          <cell r="F54">
            <v>0</v>
          </cell>
          <cell r="G54">
            <v>0</v>
          </cell>
          <cell r="H54" t="str">
            <v>---</v>
          </cell>
          <cell r="I54">
            <v>0</v>
          </cell>
          <cell r="K54" t="str">
            <v>---</v>
          </cell>
        </row>
        <row r="55">
          <cell r="C55" t="str">
            <v>1990WY</v>
          </cell>
          <cell r="D55">
            <v>0</v>
          </cell>
          <cell r="E55">
            <v>0</v>
          </cell>
          <cell r="F55">
            <v>0</v>
          </cell>
          <cell r="G55">
            <v>0</v>
          </cell>
          <cell r="H55" t="str">
            <v>---</v>
          </cell>
          <cell r="I55">
            <v>0</v>
          </cell>
          <cell r="J55">
            <v>182527</v>
          </cell>
          <cell r="K55" t="str">
            <v>---</v>
          </cell>
        </row>
        <row r="56">
          <cell r="C56" t="str">
            <v>1991AL</v>
          </cell>
          <cell r="D56">
            <v>0</v>
          </cell>
          <cell r="E56">
            <v>0</v>
          </cell>
          <cell r="F56">
            <v>13532.753279999997</v>
          </cell>
          <cell r="G56">
            <v>0</v>
          </cell>
          <cell r="H56" t="str">
            <v>---</v>
          </cell>
          <cell r="I56">
            <v>0</v>
          </cell>
          <cell r="J56">
            <v>10104</v>
          </cell>
          <cell r="K56" t="str">
            <v>---</v>
          </cell>
        </row>
        <row r="57">
          <cell r="C57" t="str">
            <v>1991AK</v>
          </cell>
          <cell r="D57">
            <v>0</v>
          </cell>
          <cell r="E57">
            <v>0</v>
          </cell>
          <cell r="F57">
            <v>0</v>
          </cell>
          <cell r="G57">
            <v>0</v>
          </cell>
          <cell r="H57" t="str">
            <v>---</v>
          </cell>
          <cell r="I57">
            <v>0</v>
          </cell>
          <cell r="J57">
            <v>1436</v>
          </cell>
          <cell r="K57" t="str">
            <v>---</v>
          </cell>
        </row>
        <row r="58">
          <cell r="C58" t="str">
            <v>1991AZ</v>
          </cell>
          <cell r="D58">
            <v>0</v>
          </cell>
          <cell r="E58">
            <v>0</v>
          </cell>
          <cell r="F58">
            <v>0</v>
          </cell>
          <cell r="G58">
            <v>0</v>
          </cell>
          <cell r="H58" t="str">
            <v>---</v>
          </cell>
          <cell r="I58">
            <v>0</v>
          </cell>
          <cell r="J58">
            <v>13203</v>
          </cell>
          <cell r="K58" t="str">
            <v>---</v>
          </cell>
        </row>
        <row r="59">
          <cell r="C59" t="str">
            <v>1991AR</v>
          </cell>
          <cell r="D59">
            <v>0</v>
          </cell>
          <cell r="E59">
            <v>0</v>
          </cell>
          <cell r="F59">
            <v>0</v>
          </cell>
          <cell r="G59">
            <v>0</v>
          </cell>
          <cell r="H59" t="str">
            <v>---</v>
          </cell>
          <cell r="I59">
            <v>0</v>
          </cell>
          <cell r="J59">
            <v>34</v>
          </cell>
          <cell r="K59" t="str">
            <v>---</v>
          </cell>
        </row>
        <row r="60">
          <cell r="C60" t="str">
            <v>1991CA</v>
          </cell>
          <cell r="D60">
            <v>0</v>
          </cell>
          <cell r="E60">
            <v>0</v>
          </cell>
          <cell r="F60">
            <v>0</v>
          </cell>
          <cell r="G60">
            <v>0</v>
          </cell>
          <cell r="H60" t="str">
            <v>---</v>
          </cell>
          <cell r="I60">
            <v>0</v>
          </cell>
          <cell r="J60">
            <v>57</v>
          </cell>
          <cell r="K60" t="str">
            <v>---</v>
          </cell>
        </row>
        <row r="61">
          <cell r="C61" t="str">
            <v>1991CO</v>
          </cell>
          <cell r="D61">
            <v>0</v>
          </cell>
          <cell r="E61">
            <v>0</v>
          </cell>
          <cell r="F61">
            <v>0</v>
          </cell>
          <cell r="G61">
            <v>0</v>
          </cell>
          <cell r="H61" t="str">
            <v>---</v>
          </cell>
          <cell r="I61">
            <v>0</v>
          </cell>
          <cell r="J61">
            <v>8233</v>
          </cell>
          <cell r="K61" t="str">
            <v>---</v>
          </cell>
        </row>
        <row r="62">
          <cell r="C62" t="str">
            <v>1991CT</v>
          </cell>
          <cell r="D62">
            <v>0</v>
          </cell>
          <cell r="E62">
            <v>0</v>
          </cell>
          <cell r="F62">
            <v>0</v>
          </cell>
          <cell r="G62">
            <v>0</v>
          </cell>
          <cell r="H62" t="str">
            <v>---</v>
          </cell>
          <cell r="I62">
            <v>0</v>
          </cell>
          <cell r="K62" t="str">
            <v>---</v>
          </cell>
        </row>
        <row r="63">
          <cell r="C63" t="str">
            <v>1991DE</v>
          </cell>
          <cell r="D63">
            <v>0</v>
          </cell>
          <cell r="E63">
            <v>0</v>
          </cell>
          <cell r="F63">
            <v>0</v>
          </cell>
          <cell r="G63">
            <v>0</v>
          </cell>
          <cell r="H63" t="str">
            <v>---</v>
          </cell>
          <cell r="I63">
            <v>0</v>
          </cell>
          <cell r="K63" t="str">
            <v>---</v>
          </cell>
        </row>
        <row r="64">
          <cell r="C64" t="str">
            <v>1991FL</v>
          </cell>
          <cell r="D64">
            <v>0</v>
          </cell>
          <cell r="E64">
            <v>0</v>
          </cell>
          <cell r="F64">
            <v>0</v>
          </cell>
          <cell r="G64">
            <v>0</v>
          </cell>
          <cell r="H64" t="str">
            <v>---</v>
          </cell>
          <cell r="I64">
            <v>0</v>
          </cell>
          <cell r="K64" t="str">
            <v>---</v>
          </cell>
        </row>
        <row r="65">
          <cell r="C65" t="str">
            <v>1991GA</v>
          </cell>
          <cell r="D65">
            <v>0</v>
          </cell>
          <cell r="E65">
            <v>0</v>
          </cell>
          <cell r="F65">
            <v>0</v>
          </cell>
          <cell r="G65">
            <v>0</v>
          </cell>
          <cell r="H65" t="str">
            <v>---</v>
          </cell>
          <cell r="I65">
            <v>0</v>
          </cell>
          <cell r="K65" t="str">
            <v>---</v>
          </cell>
        </row>
        <row r="66">
          <cell r="C66" t="str">
            <v>1991HI</v>
          </cell>
          <cell r="D66">
            <v>0</v>
          </cell>
          <cell r="E66">
            <v>0</v>
          </cell>
          <cell r="F66">
            <v>0</v>
          </cell>
          <cell r="G66">
            <v>0</v>
          </cell>
          <cell r="H66" t="str">
            <v>---</v>
          </cell>
          <cell r="I66">
            <v>0</v>
          </cell>
          <cell r="K66" t="str">
            <v>---</v>
          </cell>
        </row>
        <row r="67">
          <cell r="C67" t="str">
            <v>1991ID</v>
          </cell>
          <cell r="D67">
            <v>0</v>
          </cell>
          <cell r="E67">
            <v>0</v>
          </cell>
          <cell r="F67">
            <v>0</v>
          </cell>
          <cell r="G67">
            <v>0</v>
          </cell>
          <cell r="H67" t="str">
            <v>---</v>
          </cell>
          <cell r="I67">
            <v>0</v>
          </cell>
          <cell r="K67" t="str">
            <v>---</v>
          </cell>
        </row>
        <row r="68">
          <cell r="C68" t="str">
            <v>1991IL</v>
          </cell>
          <cell r="D68">
            <v>0</v>
          </cell>
          <cell r="E68">
            <v>0</v>
          </cell>
          <cell r="F68">
            <v>0</v>
          </cell>
          <cell r="G68">
            <v>0</v>
          </cell>
          <cell r="H68" t="str">
            <v>---</v>
          </cell>
          <cell r="I68">
            <v>0</v>
          </cell>
          <cell r="J68">
            <v>17120</v>
          </cell>
          <cell r="K68" t="str">
            <v>---</v>
          </cell>
        </row>
        <row r="69">
          <cell r="C69" t="str">
            <v>1991IN</v>
          </cell>
          <cell r="D69">
            <v>0</v>
          </cell>
          <cell r="E69">
            <v>0</v>
          </cell>
          <cell r="F69">
            <v>0</v>
          </cell>
          <cell r="G69">
            <v>0</v>
          </cell>
          <cell r="H69" t="str">
            <v>---</v>
          </cell>
          <cell r="I69">
            <v>0</v>
          </cell>
          <cell r="J69">
            <v>28624</v>
          </cell>
          <cell r="K69" t="str">
            <v>---</v>
          </cell>
        </row>
        <row r="70">
          <cell r="C70" t="str">
            <v>1991IA</v>
          </cell>
          <cell r="D70">
            <v>0</v>
          </cell>
          <cell r="E70">
            <v>0</v>
          </cell>
          <cell r="F70">
            <v>0</v>
          </cell>
          <cell r="G70">
            <v>0</v>
          </cell>
          <cell r="H70" t="str">
            <v>---</v>
          </cell>
          <cell r="I70">
            <v>0</v>
          </cell>
          <cell r="J70">
            <v>344</v>
          </cell>
          <cell r="K70" t="str">
            <v>---</v>
          </cell>
        </row>
        <row r="71">
          <cell r="C71" t="str">
            <v>1991KS</v>
          </cell>
          <cell r="D71">
            <v>0</v>
          </cell>
          <cell r="E71">
            <v>0</v>
          </cell>
          <cell r="F71">
            <v>0</v>
          </cell>
          <cell r="G71">
            <v>0</v>
          </cell>
          <cell r="H71" t="str">
            <v>---</v>
          </cell>
          <cell r="I71">
            <v>0</v>
          </cell>
          <cell r="J71">
            <v>416</v>
          </cell>
          <cell r="K71" t="str">
            <v>---</v>
          </cell>
        </row>
        <row r="72">
          <cell r="C72" t="str">
            <v>1991KY</v>
          </cell>
          <cell r="D72">
            <v>0</v>
          </cell>
          <cell r="E72">
            <v>0</v>
          </cell>
          <cell r="F72">
            <v>0</v>
          </cell>
          <cell r="G72">
            <v>0</v>
          </cell>
          <cell r="H72">
            <v>23981</v>
          </cell>
          <cell r="I72">
            <v>23981</v>
          </cell>
          <cell r="J72">
            <v>43571</v>
          </cell>
          <cell r="K72">
            <v>17739</v>
          </cell>
        </row>
        <row r="73">
          <cell r="C73" t="str">
            <v>1991LA</v>
          </cell>
          <cell r="D73">
            <v>0</v>
          </cell>
          <cell r="E73">
            <v>0</v>
          </cell>
          <cell r="F73">
            <v>0</v>
          </cell>
          <cell r="G73">
            <v>0</v>
          </cell>
          <cell r="H73" t="str">
            <v>---</v>
          </cell>
          <cell r="I73">
            <v>0</v>
          </cell>
          <cell r="J73">
            <v>3151</v>
          </cell>
          <cell r="K73" t="str">
            <v>---</v>
          </cell>
        </row>
        <row r="74">
          <cell r="C74" t="str">
            <v>1991ME</v>
          </cell>
          <cell r="D74">
            <v>0</v>
          </cell>
          <cell r="E74">
            <v>0</v>
          </cell>
          <cell r="F74">
            <v>0</v>
          </cell>
          <cell r="G74">
            <v>0</v>
          </cell>
          <cell r="H74" t="str">
            <v>---</v>
          </cell>
          <cell r="I74">
            <v>0</v>
          </cell>
          <cell r="K74" t="str">
            <v>---</v>
          </cell>
        </row>
        <row r="75">
          <cell r="C75" t="str">
            <v>1991MD</v>
          </cell>
          <cell r="D75">
            <v>0</v>
          </cell>
          <cell r="E75">
            <v>0</v>
          </cell>
          <cell r="F75">
            <v>0</v>
          </cell>
          <cell r="G75">
            <v>0</v>
          </cell>
          <cell r="H75" t="str">
            <v>---</v>
          </cell>
          <cell r="I75">
            <v>0</v>
          </cell>
          <cell r="J75">
            <v>1112</v>
          </cell>
          <cell r="K75" t="str">
            <v>---</v>
          </cell>
        </row>
        <row r="76">
          <cell r="C76" t="str">
            <v>1991MA</v>
          </cell>
          <cell r="D76">
            <v>0</v>
          </cell>
          <cell r="E76">
            <v>0</v>
          </cell>
          <cell r="F76">
            <v>0</v>
          </cell>
          <cell r="G76">
            <v>0</v>
          </cell>
          <cell r="H76" t="str">
            <v>---</v>
          </cell>
          <cell r="I76">
            <v>0</v>
          </cell>
          <cell r="K76" t="str">
            <v>---</v>
          </cell>
        </row>
        <row r="77">
          <cell r="C77" t="str">
            <v>1991MI</v>
          </cell>
          <cell r="D77">
            <v>0</v>
          </cell>
          <cell r="E77">
            <v>0</v>
          </cell>
          <cell r="F77">
            <v>0</v>
          </cell>
          <cell r="G77">
            <v>0</v>
          </cell>
          <cell r="H77" t="str">
            <v>---</v>
          </cell>
          <cell r="I77">
            <v>0</v>
          </cell>
          <cell r="K77" t="str">
            <v>---</v>
          </cell>
        </row>
        <row r="78">
          <cell r="C78" t="str">
            <v>1991MN</v>
          </cell>
          <cell r="D78">
            <v>0</v>
          </cell>
          <cell r="E78">
            <v>0</v>
          </cell>
          <cell r="F78">
            <v>0</v>
          </cell>
          <cell r="G78">
            <v>0</v>
          </cell>
          <cell r="H78" t="str">
            <v>---</v>
          </cell>
          <cell r="I78">
            <v>0</v>
          </cell>
          <cell r="K78" t="str">
            <v>---</v>
          </cell>
        </row>
        <row r="79">
          <cell r="C79" t="str">
            <v>1991MS</v>
          </cell>
          <cell r="D79">
            <v>0</v>
          </cell>
          <cell r="E79">
            <v>0</v>
          </cell>
          <cell r="F79">
            <v>0</v>
          </cell>
          <cell r="G79">
            <v>0</v>
          </cell>
          <cell r="H79" t="str">
            <v>---</v>
          </cell>
          <cell r="I79">
            <v>0</v>
          </cell>
          <cell r="K79" t="str">
            <v>---</v>
          </cell>
        </row>
        <row r="80">
          <cell r="C80" t="str">
            <v>1991MO</v>
          </cell>
          <cell r="D80">
            <v>0</v>
          </cell>
          <cell r="E80">
            <v>0</v>
          </cell>
          <cell r="F80">
            <v>0</v>
          </cell>
          <cell r="G80">
            <v>0</v>
          </cell>
          <cell r="H80" t="str">
            <v>---</v>
          </cell>
          <cell r="I80">
            <v>0</v>
          </cell>
          <cell r="J80">
            <v>2304</v>
          </cell>
          <cell r="K80" t="str">
            <v>---</v>
          </cell>
        </row>
        <row r="81">
          <cell r="C81" t="str">
            <v>1991MT</v>
          </cell>
          <cell r="D81">
            <v>0</v>
          </cell>
          <cell r="E81">
            <v>0</v>
          </cell>
          <cell r="F81">
            <v>0</v>
          </cell>
          <cell r="G81">
            <v>0</v>
          </cell>
          <cell r="H81" t="str">
            <v>---</v>
          </cell>
          <cell r="I81">
            <v>0</v>
          </cell>
          <cell r="J81">
            <v>38227</v>
          </cell>
          <cell r="K81" t="str">
            <v>---</v>
          </cell>
        </row>
        <row r="82">
          <cell r="C82" t="str">
            <v>1991NE</v>
          </cell>
          <cell r="D82">
            <v>0</v>
          </cell>
          <cell r="E82">
            <v>0</v>
          </cell>
          <cell r="F82">
            <v>0</v>
          </cell>
          <cell r="G82">
            <v>0</v>
          </cell>
          <cell r="H82" t="str">
            <v>---</v>
          </cell>
          <cell r="I82">
            <v>0</v>
          </cell>
          <cell r="K82" t="str">
            <v>---</v>
          </cell>
        </row>
        <row r="83">
          <cell r="C83" t="str">
            <v>1991NV</v>
          </cell>
          <cell r="D83">
            <v>0</v>
          </cell>
          <cell r="E83">
            <v>0</v>
          </cell>
          <cell r="F83">
            <v>0</v>
          </cell>
          <cell r="G83">
            <v>0</v>
          </cell>
          <cell r="H83" t="str">
            <v>---</v>
          </cell>
          <cell r="I83">
            <v>0</v>
          </cell>
          <cell r="K83" t="str">
            <v>---</v>
          </cell>
        </row>
        <row r="84">
          <cell r="C84" t="str">
            <v>1991NH</v>
          </cell>
          <cell r="D84">
            <v>0</v>
          </cell>
          <cell r="E84">
            <v>0</v>
          </cell>
          <cell r="F84">
            <v>0</v>
          </cell>
          <cell r="G84">
            <v>0</v>
          </cell>
          <cell r="H84" t="str">
            <v>---</v>
          </cell>
          <cell r="I84">
            <v>0</v>
          </cell>
          <cell r="K84" t="str">
            <v>---</v>
          </cell>
        </row>
        <row r="85">
          <cell r="C85" t="str">
            <v>1991NJ</v>
          </cell>
          <cell r="D85">
            <v>0</v>
          </cell>
          <cell r="E85">
            <v>0</v>
          </cell>
          <cell r="F85">
            <v>0</v>
          </cell>
          <cell r="G85">
            <v>0</v>
          </cell>
          <cell r="H85" t="str">
            <v>---</v>
          </cell>
          <cell r="I85">
            <v>0</v>
          </cell>
          <cell r="K85" t="str">
            <v>---</v>
          </cell>
        </row>
        <row r="86">
          <cell r="C86" t="str">
            <v>1991NM</v>
          </cell>
          <cell r="D86">
            <v>0</v>
          </cell>
          <cell r="E86">
            <v>0</v>
          </cell>
          <cell r="F86">
            <v>0</v>
          </cell>
          <cell r="G86">
            <v>0</v>
          </cell>
          <cell r="H86" t="str">
            <v>---</v>
          </cell>
          <cell r="I86">
            <v>0</v>
          </cell>
          <cell r="J86">
            <v>21492</v>
          </cell>
          <cell r="K86" t="str">
            <v>---</v>
          </cell>
        </row>
        <row r="87">
          <cell r="C87" t="str">
            <v>1991NY</v>
          </cell>
          <cell r="D87">
            <v>0</v>
          </cell>
          <cell r="E87">
            <v>0</v>
          </cell>
          <cell r="F87">
            <v>0</v>
          </cell>
          <cell r="G87">
            <v>0</v>
          </cell>
          <cell r="H87" t="str">
            <v>---</v>
          </cell>
          <cell r="I87">
            <v>0</v>
          </cell>
          <cell r="K87" t="str">
            <v>---</v>
          </cell>
        </row>
        <row r="88">
          <cell r="C88" t="str">
            <v>1991NC</v>
          </cell>
          <cell r="D88">
            <v>0</v>
          </cell>
          <cell r="E88">
            <v>0</v>
          </cell>
          <cell r="F88">
            <v>0</v>
          </cell>
          <cell r="G88">
            <v>0</v>
          </cell>
          <cell r="H88" t="str">
            <v>---</v>
          </cell>
          <cell r="I88">
            <v>0</v>
          </cell>
          <cell r="K88" t="str">
            <v>---</v>
          </cell>
        </row>
        <row r="89">
          <cell r="C89" t="str">
            <v>1991ND</v>
          </cell>
          <cell r="D89">
            <v>0</v>
          </cell>
          <cell r="E89">
            <v>0</v>
          </cell>
          <cell r="F89">
            <v>0</v>
          </cell>
          <cell r="G89">
            <v>0</v>
          </cell>
          <cell r="H89" t="str">
            <v>---</v>
          </cell>
          <cell r="I89">
            <v>0</v>
          </cell>
          <cell r="J89">
            <v>29530</v>
          </cell>
          <cell r="K89" t="str">
            <v>---</v>
          </cell>
        </row>
        <row r="90">
          <cell r="C90" t="str">
            <v>1991OH</v>
          </cell>
          <cell r="D90">
            <v>0</v>
          </cell>
          <cell r="E90">
            <v>0</v>
          </cell>
          <cell r="F90">
            <v>0</v>
          </cell>
          <cell r="G90">
            <v>0</v>
          </cell>
          <cell r="H90" t="str">
            <v>---</v>
          </cell>
          <cell r="I90">
            <v>0</v>
          </cell>
          <cell r="J90">
            <v>18229</v>
          </cell>
          <cell r="K90" t="str">
            <v>---</v>
          </cell>
        </row>
        <row r="91">
          <cell r="C91" t="str">
            <v>1991OK</v>
          </cell>
          <cell r="D91">
            <v>0</v>
          </cell>
          <cell r="E91">
            <v>0</v>
          </cell>
          <cell r="F91">
            <v>0</v>
          </cell>
          <cell r="G91">
            <v>0</v>
          </cell>
          <cell r="H91" t="str">
            <v>---</v>
          </cell>
          <cell r="I91">
            <v>0</v>
          </cell>
          <cell r="J91">
            <v>1815</v>
          </cell>
          <cell r="K91" t="str">
            <v>---</v>
          </cell>
        </row>
        <row r="92">
          <cell r="C92" t="str">
            <v>1991OR</v>
          </cell>
          <cell r="D92">
            <v>0</v>
          </cell>
          <cell r="E92">
            <v>0</v>
          </cell>
          <cell r="F92">
            <v>0</v>
          </cell>
          <cell r="G92">
            <v>0</v>
          </cell>
          <cell r="H92" t="str">
            <v>---</v>
          </cell>
          <cell r="I92">
            <v>0</v>
          </cell>
          <cell r="K92" t="str">
            <v>---</v>
          </cell>
        </row>
        <row r="93">
          <cell r="C93" t="str">
            <v>1991PA</v>
          </cell>
          <cell r="D93">
            <v>0</v>
          </cell>
          <cell r="E93">
            <v>0</v>
          </cell>
          <cell r="F93">
            <v>0</v>
          </cell>
          <cell r="G93">
            <v>0</v>
          </cell>
          <cell r="H93" t="str">
            <v>---</v>
          </cell>
          <cell r="I93">
            <v>0</v>
          </cell>
          <cell r="J93">
            <v>23746</v>
          </cell>
          <cell r="K93" t="str">
            <v>---</v>
          </cell>
        </row>
        <row r="94">
          <cell r="C94" t="str">
            <v>1991RI</v>
          </cell>
          <cell r="D94">
            <v>0</v>
          </cell>
          <cell r="E94">
            <v>0</v>
          </cell>
          <cell r="F94">
            <v>0</v>
          </cell>
          <cell r="G94">
            <v>0</v>
          </cell>
          <cell r="H94" t="str">
            <v>---</v>
          </cell>
          <cell r="I94">
            <v>0</v>
          </cell>
          <cell r="K94" t="str">
            <v>---</v>
          </cell>
        </row>
        <row r="95">
          <cell r="C95" t="str">
            <v>1991SC</v>
          </cell>
          <cell r="D95">
            <v>0</v>
          </cell>
          <cell r="E95">
            <v>0</v>
          </cell>
          <cell r="F95">
            <v>0</v>
          </cell>
          <cell r="G95">
            <v>0</v>
          </cell>
          <cell r="H95" t="str">
            <v>---</v>
          </cell>
          <cell r="I95">
            <v>0</v>
          </cell>
          <cell r="K95" t="str">
            <v>---</v>
          </cell>
        </row>
        <row r="96">
          <cell r="C96" t="str">
            <v>1991SD</v>
          </cell>
          <cell r="D96">
            <v>0</v>
          </cell>
          <cell r="E96">
            <v>0</v>
          </cell>
          <cell r="F96">
            <v>0</v>
          </cell>
          <cell r="G96">
            <v>0</v>
          </cell>
          <cell r="H96" t="str">
            <v>---</v>
          </cell>
          <cell r="I96">
            <v>0</v>
          </cell>
          <cell r="K96" t="str">
            <v>---</v>
          </cell>
        </row>
        <row r="97">
          <cell r="C97" t="str">
            <v>1991TN</v>
          </cell>
          <cell r="D97">
            <v>0</v>
          </cell>
          <cell r="E97">
            <v>0</v>
          </cell>
          <cell r="F97">
            <v>0</v>
          </cell>
          <cell r="G97">
            <v>0</v>
          </cell>
          <cell r="H97" t="str">
            <v>---</v>
          </cell>
          <cell r="I97">
            <v>0</v>
          </cell>
          <cell r="J97">
            <v>1197</v>
          </cell>
          <cell r="K97" t="str">
            <v>---</v>
          </cell>
        </row>
        <row r="98">
          <cell r="C98" t="str">
            <v>1991TX</v>
          </cell>
          <cell r="D98">
            <v>0</v>
          </cell>
          <cell r="E98">
            <v>0</v>
          </cell>
          <cell r="F98">
            <v>0</v>
          </cell>
          <cell r="G98">
            <v>0</v>
          </cell>
          <cell r="H98" t="str">
            <v>---</v>
          </cell>
          <cell r="I98">
            <v>0</v>
          </cell>
          <cell r="J98">
            <v>53825</v>
          </cell>
          <cell r="K98" t="str">
            <v>---</v>
          </cell>
        </row>
        <row r="99">
          <cell r="C99" t="str">
            <v>1991UT</v>
          </cell>
          <cell r="D99">
            <v>0</v>
          </cell>
          <cell r="E99">
            <v>0</v>
          </cell>
          <cell r="F99">
            <v>130.29808999999977</v>
          </cell>
          <cell r="G99">
            <v>0</v>
          </cell>
          <cell r="H99" t="str">
            <v>---</v>
          </cell>
          <cell r="I99">
            <v>0</v>
          </cell>
          <cell r="K99" t="str">
            <v>---</v>
          </cell>
        </row>
        <row r="100">
          <cell r="C100" t="str">
            <v>1991VT</v>
          </cell>
          <cell r="D100">
            <v>0</v>
          </cell>
          <cell r="E100">
            <v>0</v>
          </cell>
          <cell r="F100">
            <v>0</v>
          </cell>
          <cell r="G100">
            <v>0</v>
          </cell>
          <cell r="H100" t="str">
            <v>---</v>
          </cell>
          <cell r="I100">
            <v>0</v>
          </cell>
          <cell r="K100" t="str">
            <v>---</v>
          </cell>
        </row>
        <row r="101">
          <cell r="C101" t="str">
            <v>1991VA</v>
          </cell>
          <cell r="D101">
            <v>0</v>
          </cell>
          <cell r="E101">
            <v>0</v>
          </cell>
          <cell r="F101">
            <v>608.20655399999998</v>
          </cell>
          <cell r="G101">
            <v>0</v>
          </cell>
          <cell r="H101" t="str">
            <v>---</v>
          </cell>
          <cell r="I101">
            <v>0</v>
          </cell>
          <cell r="J101">
            <v>7777</v>
          </cell>
          <cell r="K101" t="str">
            <v>---</v>
          </cell>
        </row>
        <row r="102">
          <cell r="C102" t="str">
            <v>1991WA</v>
          </cell>
          <cell r="D102">
            <v>0</v>
          </cell>
          <cell r="E102">
            <v>0</v>
          </cell>
          <cell r="F102">
            <v>0</v>
          </cell>
          <cell r="G102">
            <v>0</v>
          </cell>
          <cell r="H102" t="str">
            <v>---</v>
          </cell>
          <cell r="I102">
            <v>0</v>
          </cell>
          <cell r="J102">
            <v>5143</v>
          </cell>
          <cell r="K102" t="str">
            <v>---</v>
          </cell>
        </row>
        <row r="103">
          <cell r="C103" t="str">
            <v>1991WV</v>
          </cell>
          <cell r="D103">
            <v>0</v>
          </cell>
          <cell r="E103">
            <v>0</v>
          </cell>
          <cell r="F103">
            <v>365</v>
          </cell>
          <cell r="G103">
            <v>0</v>
          </cell>
          <cell r="H103">
            <v>47862.8</v>
          </cell>
          <cell r="I103">
            <v>47862.8</v>
          </cell>
          <cell r="J103">
            <v>39239.910000000003</v>
          </cell>
          <cell r="K103">
            <v>8037.09</v>
          </cell>
        </row>
        <row r="104">
          <cell r="C104" t="str">
            <v>1991WI</v>
          </cell>
          <cell r="D104">
            <v>0</v>
          </cell>
          <cell r="E104">
            <v>0</v>
          </cell>
          <cell r="F104">
            <v>0</v>
          </cell>
          <cell r="G104">
            <v>0</v>
          </cell>
          <cell r="H104" t="str">
            <v>---</v>
          </cell>
          <cell r="I104">
            <v>0</v>
          </cell>
          <cell r="K104" t="str">
            <v>---</v>
          </cell>
        </row>
        <row r="105">
          <cell r="C105" t="str">
            <v>1991WY</v>
          </cell>
          <cell r="D105">
            <v>0</v>
          </cell>
          <cell r="E105">
            <v>0</v>
          </cell>
          <cell r="F105">
            <v>0</v>
          </cell>
          <cell r="G105">
            <v>0</v>
          </cell>
          <cell r="H105" t="str">
            <v>---</v>
          </cell>
          <cell r="I105">
            <v>0</v>
          </cell>
          <cell r="J105">
            <v>191437</v>
          </cell>
          <cell r="K105" t="str">
            <v>---</v>
          </cell>
        </row>
        <row r="106">
          <cell r="C106" t="str">
            <v>1992AL</v>
          </cell>
          <cell r="D106">
            <v>0</v>
          </cell>
          <cell r="E106">
            <v>0</v>
          </cell>
          <cell r="F106">
            <v>12793.12168</v>
          </cell>
          <cell r="G106">
            <v>0</v>
          </cell>
          <cell r="H106" t="str">
            <v>---</v>
          </cell>
          <cell r="I106">
            <v>0</v>
          </cell>
          <cell r="J106">
            <v>9775</v>
          </cell>
          <cell r="K106" t="str">
            <v>---</v>
          </cell>
        </row>
        <row r="107">
          <cell r="C107" t="str">
            <v>1992AK</v>
          </cell>
          <cell r="D107">
            <v>0</v>
          </cell>
          <cell r="E107">
            <v>0</v>
          </cell>
          <cell r="F107">
            <v>0</v>
          </cell>
          <cell r="G107">
            <v>0</v>
          </cell>
          <cell r="H107" t="str">
            <v>---</v>
          </cell>
          <cell r="I107">
            <v>0</v>
          </cell>
          <cell r="J107">
            <v>1534</v>
          </cell>
          <cell r="K107" t="str">
            <v>---</v>
          </cell>
        </row>
        <row r="108">
          <cell r="C108" t="str">
            <v>1992AZ</v>
          </cell>
          <cell r="D108">
            <v>0</v>
          </cell>
          <cell r="E108">
            <v>0</v>
          </cell>
          <cell r="F108">
            <v>0</v>
          </cell>
          <cell r="G108">
            <v>0</v>
          </cell>
          <cell r="H108" t="str">
            <v>---</v>
          </cell>
          <cell r="I108">
            <v>0</v>
          </cell>
          <cell r="J108">
            <v>12512</v>
          </cell>
          <cell r="K108" t="str">
            <v>---</v>
          </cell>
        </row>
        <row r="109">
          <cell r="C109" t="str">
            <v>1992AR</v>
          </cell>
          <cell r="D109">
            <v>0</v>
          </cell>
          <cell r="E109">
            <v>0</v>
          </cell>
          <cell r="F109">
            <v>0</v>
          </cell>
          <cell r="G109">
            <v>0</v>
          </cell>
          <cell r="H109" t="str">
            <v>---</v>
          </cell>
          <cell r="I109">
            <v>0</v>
          </cell>
          <cell r="J109">
            <v>46</v>
          </cell>
          <cell r="K109" t="str">
            <v>---</v>
          </cell>
        </row>
        <row r="110">
          <cell r="C110" t="str">
            <v>1992CA</v>
          </cell>
          <cell r="D110">
            <v>0</v>
          </cell>
          <cell r="E110">
            <v>0</v>
          </cell>
          <cell r="F110">
            <v>0</v>
          </cell>
          <cell r="G110">
            <v>0</v>
          </cell>
          <cell r="H110" t="str">
            <v>---</v>
          </cell>
          <cell r="I110">
            <v>0</v>
          </cell>
          <cell r="J110">
            <v>103</v>
          </cell>
          <cell r="K110" t="str">
            <v>---</v>
          </cell>
        </row>
        <row r="111">
          <cell r="C111" t="str">
            <v>1992CO</v>
          </cell>
          <cell r="D111">
            <v>0</v>
          </cell>
          <cell r="E111">
            <v>0</v>
          </cell>
          <cell r="F111">
            <v>0</v>
          </cell>
          <cell r="G111">
            <v>0</v>
          </cell>
          <cell r="H111" t="str">
            <v>---</v>
          </cell>
          <cell r="I111">
            <v>0</v>
          </cell>
          <cell r="J111">
            <v>8981</v>
          </cell>
          <cell r="K111" t="str">
            <v>---</v>
          </cell>
        </row>
        <row r="112">
          <cell r="C112" t="str">
            <v>1992CT</v>
          </cell>
          <cell r="D112">
            <v>0</v>
          </cell>
          <cell r="E112">
            <v>0</v>
          </cell>
          <cell r="F112">
            <v>0</v>
          </cell>
          <cell r="G112">
            <v>0</v>
          </cell>
          <cell r="H112" t="str">
            <v>---</v>
          </cell>
          <cell r="I112">
            <v>0</v>
          </cell>
          <cell r="K112" t="str">
            <v>---</v>
          </cell>
        </row>
        <row r="113">
          <cell r="C113" t="str">
            <v>1992DE</v>
          </cell>
          <cell r="D113">
            <v>0</v>
          </cell>
          <cell r="E113">
            <v>0</v>
          </cell>
          <cell r="F113">
            <v>0</v>
          </cell>
          <cell r="G113">
            <v>0</v>
          </cell>
          <cell r="H113" t="str">
            <v>---</v>
          </cell>
          <cell r="I113">
            <v>0</v>
          </cell>
          <cell r="K113" t="str">
            <v>---</v>
          </cell>
        </row>
        <row r="114">
          <cell r="C114" t="str">
            <v>1992FL</v>
          </cell>
          <cell r="D114">
            <v>0</v>
          </cell>
          <cell r="E114">
            <v>0</v>
          </cell>
          <cell r="F114">
            <v>0</v>
          </cell>
          <cell r="G114">
            <v>0</v>
          </cell>
          <cell r="H114" t="str">
            <v>---</v>
          </cell>
          <cell r="I114">
            <v>0</v>
          </cell>
          <cell r="K114" t="str">
            <v>---</v>
          </cell>
        </row>
        <row r="115">
          <cell r="C115" t="str">
            <v>1992GA</v>
          </cell>
          <cell r="D115">
            <v>0</v>
          </cell>
          <cell r="E115">
            <v>0</v>
          </cell>
          <cell r="F115">
            <v>0</v>
          </cell>
          <cell r="G115">
            <v>0</v>
          </cell>
          <cell r="H115" t="str">
            <v>---</v>
          </cell>
          <cell r="I115">
            <v>0</v>
          </cell>
          <cell r="K115" t="str">
            <v>---</v>
          </cell>
        </row>
        <row r="116">
          <cell r="C116" t="str">
            <v>1992HI</v>
          </cell>
          <cell r="D116">
            <v>0</v>
          </cell>
          <cell r="E116">
            <v>0</v>
          </cell>
          <cell r="F116">
            <v>0</v>
          </cell>
          <cell r="G116">
            <v>0</v>
          </cell>
          <cell r="H116" t="str">
            <v>---</v>
          </cell>
          <cell r="I116">
            <v>0</v>
          </cell>
          <cell r="K116" t="str">
            <v>---</v>
          </cell>
        </row>
        <row r="117">
          <cell r="C117" t="str">
            <v>1992ID</v>
          </cell>
          <cell r="D117">
            <v>0</v>
          </cell>
          <cell r="E117">
            <v>0</v>
          </cell>
          <cell r="F117">
            <v>0</v>
          </cell>
          <cell r="G117">
            <v>0</v>
          </cell>
          <cell r="H117" t="str">
            <v>---</v>
          </cell>
          <cell r="I117">
            <v>0</v>
          </cell>
          <cell r="K117" t="str">
            <v>---</v>
          </cell>
        </row>
        <row r="118">
          <cell r="C118" t="str">
            <v>1992IL</v>
          </cell>
          <cell r="D118">
            <v>0</v>
          </cell>
          <cell r="E118">
            <v>0</v>
          </cell>
          <cell r="F118">
            <v>0</v>
          </cell>
          <cell r="G118">
            <v>0</v>
          </cell>
          <cell r="H118" t="str">
            <v>---</v>
          </cell>
          <cell r="I118">
            <v>0</v>
          </cell>
          <cell r="J118">
            <v>12892</v>
          </cell>
          <cell r="K118" t="str">
            <v>---</v>
          </cell>
        </row>
        <row r="119">
          <cell r="C119" t="str">
            <v>1992IN</v>
          </cell>
          <cell r="D119">
            <v>0</v>
          </cell>
          <cell r="E119">
            <v>0</v>
          </cell>
          <cell r="F119">
            <v>0</v>
          </cell>
          <cell r="G119">
            <v>0</v>
          </cell>
          <cell r="H119" t="str">
            <v>---</v>
          </cell>
          <cell r="I119">
            <v>0</v>
          </cell>
          <cell r="J119">
            <v>27820</v>
          </cell>
          <cell r="K119" t="str">
            <v>---</v>
          </cell>
        </row>
        <row r="120">
          <cell r="C120" t="str">
            <v>1992IA</v>
          </cell>
          <cell r="D120">
            <v>0</v>
          </cell>
          <cell r="E120">
            <v>0</v>
          </cell>
          <cell r="F120">
            <v>0</v>
          </cell>
          <cell r="G120">
            <v>0</v>
          </cell>
          <cell r="H120" t="str">
            <v>---</v>
          </cell>
          <cell r="I120">
            <v>0</v>
          </cell>
          <cell r="J120">
            <v>289</v>
          </cell>
          <cell r="K120" t="str">
            <v>---</v>
          </cell>
        </row>
        <row r="121">
          <cell r="C121" t="str">
            <v>1992KS</v>
          </cell>
          <cell r="D121">
            <v>0</v>
          </cell>
          <cell r="E121">
            <v>0</v>
          </cell>
          <cell r="F121">
            <v>0</v>
          </cell>
          <cell r="G121">
            <v>0</v>
          </cell>
          <cell r="H121" t="str">
            <v>---</v>
          </cell>
          <cell r="I121">
            <v>0</v>
          </cell>
          <cell r="J121">
            <v>363</v>
          </cell>
          <cell r="K121" t="str">
            <v>---</v>
          </cell>
        </row>
        <row r="122">
          <cell r="C122" t="str">
            <v>1992KY</v>
          </cell>
          <cell r="D122">
            <v>0</v>
          </cell>
          <cell r="E122">
            <v>0</v>
          </cell>
          <cell r="F122">
            <v>0</v>
          </cell>
          <cell r="G122">
            <v>0</v>
          </cell>
          <cell r="H122">
            <v>23548</v>
          </cell>
          <cell r="I122">
            <v>23548</v>
          </cell>
          <cell r="J122">
            <v>46683</v>
          </cell>
          <cell r="K122">
            <v>18102</v>
          </cell>
        </row>
        <row r="123">
          <cell r="C123" t="str">
            <v>1992LA</v>
          </cell>
          <cell r="D123">
            <v>0</v>
          </cell>
          <cell r="E123">
            <v>0</v>
          </cell>
          <cell r="F123">
            <v>0</v>
          </cell>
          <cell r="G123">
            <v>0</v>
          </cell>
          <cell r="H123" t="str">
            <v>---</v>
          </cell>
          <cell r="I123">
            <v>0</v>
          </cell>
          <cell r="J123">
            <v>3240</v>
          </cell>
          <cell r="K123" t="str">
            <v>---</v>
          </cell>
        </row>
        <row r="124">
          <cell r="C124" t="str">
            <v>1992ME</v>
          </cell>
          <cell r="D124">
            <v>0</v>
          </cell>
          <cell r="E124">
            <v>0</v>
          </cell>
          <cell r="F124">
            <v>0</v>
          </cell>
          <cell r="G124">
            <v>0</v>
          </cell>
          <cell r="H124" t="str">
            <v>---</v>
          </cell>
          <cell r="I124">
            <v>0</v>
          </cell>
          <cell r="K124" t="str">
            <v>---</v>
          </cell>
        </row>
        <row r="125">
          <cell r="C125" t="str">
            <v>1992MD</v>
          </cell>
          <cell r="D125">
            <v>0</v>
          </cell>
          <cell r="E125">
            <v>0</v>
          </cell>
          <cell r="F125">
            <v>0</v>
          </cell>
          <cell r="G125">
            <v>0</v>
          </cell>
          <cell r="H125" t="str">
            <v>---</v>
          </cell>
          <cell r="I125">
            <v>0</v>
          </cell>
          <cell r="J125">
            <v>1032</v>
          </cell>
          <cell r="K125" t="str">
            <v>---</v>
          </cell>
        </row>
        <row r="126">
          <cell r="C126" t="str">
            <v>1992MA</v>
          </cell>
          <cell r="D126">
            <v>0</v>
          </cell>
          <cell r="E126">
            <v>0</v>
          </cell>
          <cell r="F126">
            <v>0</v>
          </cell>
          <cell r="G126">
            <v>0</v>
          </cell>
          <cell r="H126" t="str">
            <v>---</v>
          </cell>
          <cell r="I126">
            <v>0</v>
          </cell>
          <cell r="K126" t="str">
            <v>---</v>
          </cell>
        </row>
        <row r="127">
          <cell r="C127" t="str">
            <v>1992MI</v>
          </cell>
          <cell r="D127">
            <v>0</v>
          </cell>
          <cell r="E127">
            <v>0</v>
          </cell>
          <cell r="F127">
            <v>0</v>
          </cell>
          <cell r="G127">
            <v>0</v>
          </cell>
          <cell r="H127" t="str">
            <v>---</v>
          </cell>
          <cell r="I127">
            <v>0</v>
          </cell>
          <cell r="K127" t="str">
            <v>---</v>
          </cell>
        </row>
        <row r="128">
          <cell r="C128" t="str">
            <v>1992MN</v>
          </cell>
          <cell r="D128">
            <v>0</v>
          </cell>
          <cell r="E128">
            <v>0</v>
          </cell>
          <cell r="F128">
            <v>0</v>
          </cell>
          <cell r="G128">
            <v>0</v>
          </cell>
          <cell r="H128" t="str">
            <v>---</v>
          </cell>
          <cell r="I128">
            <v>0</v>
          </cell>
          <cell r="K128" t="str">
            <v>---</v>
          </cell>
        </row>
        <row r="129">
          <cell r="C129" t="str">
            <v>1992MS</v>
          </cell>
          <cell r="D129">
            <v>0</v>
          </cell>
          <cell r="E129">
            <v>0</v>
          </cell>
          <cell r="F129">
            <v>0</v>
          </cell>
          <cell r="G129">
            <v>0</v>
          </cell>
          <cell r="H129" t="str">
            <v>---</v>
          </cell>
          <cell r="I129">
            <v>0</v>
          </cell>
          <cell r="K129" t="str">
            <v>---</v>
          </cell>
        </row>
        <row r="130">
          <cell r="C130" t="str">
            <v>1992MO</v>
          </cell>
          <cell r="D130">
            <v>0</v>
          </cell>
          <cell r="E130">
            <v>0</v>
          </cell>
          <cell r="F130">
            <v>0</v>
          </cell>
          <cell r="G130">
            <v>0</v>
          </cell>
          <cell r="H130" t="str">
            <v>---</v>
          </cell>
          <cell r="I130">
            <v>0</v>
          </cell>
          <cell r="J130">
            <v>2878</v>
          </cell>
          <cell r="K130" t="str">
            <v>---</v>
          </cell>
        </row>
        <row r="131">
          <cell r="C131" t="str">
            <v>1992MT</v>
          </cell>
          <cell r="D131">
            <v>0</v>
          </cell>
          <cell r="E131">
            <v>0</v>
          </cell>
          <cell r="F131">
            <v>0</v>
          </cell>
          <cell r="G131">
            <v>0</v>
          </cell>
          <cell r="H131" t="str">
            <v>---</v>
          </cell>
          <cell r="I131">
            <v>0</v>
          </cell>
          <cell r="J131">
            <v>38879</v>
          </cell>
          <cell r="K131" t="str">
            <v>---</v>
          </cell>
        </row>
        <row r="132">
          <cell r="C132" t="str">
            <v>1992NE</v>
          </cell>
          <cell r="D132">
            <v>0</v>
          </cell>
          <cell r="E132">
            <v>0</v>
          </cell>
          <cell r="F132">
            <v>0</v>
          </cell>
          <cell r="G132">
            <v>0</v>
          </cell>
          <cell r="H132" t="str">
            <v>---</v>
          </cell>
          <cell r="I132">
            <v>0</v>
          </cell>
          <cell r="K132" t="str">
            <v>---</v>
          </cell>
        </row>
        <row r="133">
          <cell r="C133" t="str">
            <v>1992NV</v>
          </cell>
          <cell r="D133">
            <v>0</v>
          </cell>
          <cell r="E133">
            <v>0</v>
          </cell>
          <cell r="F133">
            <v>0</v>
          </cell>
          <cell r="G133">
            <v>0</v>
          </cell>
          <cell r="H133" t="str">
            <v>---</v>
          </cell>
          <cell r="I133">
            <v>0</v>
          </cell>
          <cell r="K133" t="str">
            <v>---</v>
          </cell>
        </row>
        <row r="134">
          <cell r="C134" t="str">
            <v>1992NH</v>
          </cell>
          <cell r="D134">
            <v>0</v>
          </cell>
          <cell r="E134">
            <v>0</v>
          </cell>
          <cell r="F134">
            <v>0</v>
          </cell>
          <cell r="G134">
            <v>0</v>
          </cell>
          <cell r="H134" t="str">
            <v>---</v>
          </cell>
          <cell r="I134">
            <v>0</v>
          </cell>
          <cell r="K134" t="str">
            <v>---</v>
          </cell>
        </row>
        <row r="135">
          <cell r="C135" t="str">
            <v>1992NJ</v>
          </cell>
          <cell r="D135">
            <v>0</v>
          </cell>
          <cell r="E135">
            <v>0</v>
          </cell>
          <cell r="F135">
            <v>0</v>
          </cell>
          <cell r="G135">
            <v>0</v>
          </cell>
          <cell r="H135" t="str">
            <v>---</v>
          </cell>
          <cell r="I135">
            <v>0</v>
          </cell>
          <cell r="K135" t="str">
            <v>---</v>
          </cell>
        </row>
        <row r="136">
          <cell r="C136" t="str">
            <v>1992NM</v>
          </cell>
          <cell r="D136">
            <v>0</v>
          </cell>
          <cell r="E136">
            <v>0</v>
          </cell>
          <cell r="F136">
            <v>0</v>
          </cell>
          <cell r="G136">
            <v>0</v>
          </cell>
          <cell r="H136" t="str">
            <v>---</v>
          </cell>
          <cell r="I136">
            <v>0</v>
          </cell>
          <cell r="J136">
            <v>24456</v>
          </cell>
          <cell r="K136" t="str">
            <v>---</v>
          </cell>
        </row>
        <row r="137">
          <cell r="C137" t="str">
            <v>1992NY</v>
          </cell>
          <cell r="D137">
            <v>0</v>
          </cell>
          <cell r="E137">
            <v>0</v>
          </cell>
          <cell r="F137">
            <v>0</v>
          </cell>
          <cell r="G137">
            <v>0</v>
          </cell>
          <cell r="H137" t="str">
            <v>---</v>
          </cell>
          <cell r="I137">
            <v>0</v>
          </cell>
          <cell r="K137" t="str">
            <v>---</v>
          </cell>
        </row>
        <row r="138">
          <cell r="C138" t="str">
            <v>1992NC</v>
          </cell>
          <cell r="D138">
            <v>0</v>
          </cell>
          <cell r="E138">
            <v>0</v>
          </cell>
          <cell r="F138">
            <v>0</v>
          </cell>
          <cell r="G138">
            <v>0</v>
          </cell>
          <cell r="H138" t="str">
            <v>---</v>
          </cell>
          <cell r="I138">
            <v>0</v>
          </cell>
          <cell r="K138" t="str">
            <v>---</v>
          </cell>
        </row>
        <row r="139">
          <cell r="C139" t="str">
            <v>1992ND</v>
          </cell>
          <cell r="D139">
            <v>0</v>
          </cell>
          <cell r="E139">
            <v>0</v>
          </cell>
          <cell r="F139">
            <v>0</v>
          </cell>
          <cell r="G139">
            <v>0</v>
          </cell>
          <cell r="H139" t="str">
            <v>---</v>
          </cell>
          <cell r="I139">
            <v>0</v>
          </cell>
          <cell r="J139">
            <v>31744</v>
          </cell>
          <cell r="K139" t="str">
            <v>---</v>
          </cell>
        </row>
        <row r="140">
          <cell r="C140" t="str">
            <v>1992OH</v>
          </cell>
          <cell r="D140">
            <v>0</v>
          </cell>
          <cell r="E140">
            <v>0</v>
          </cell>
          <cell r="F140">
            <v>0</v>
          </cell>
          <cell r="G140">
            <v>0</v>
          </cell>
          <cell r="H140" t="str">
            <v>---</v>
          </cell>
          <cell r="I140">
            <v>0</v>
          </cell>
          <cell r="J140">
            <v>18218</v>
          </cell>
          <cell r="K140" t="str">
            <v>---</v>
          </cell>
        </row>
        <row r="141">
          <cell r="C141" t="str">
            <v>1992OK</v>
          </cell>
          <cell r="D141">
            <v>0</v>
          </cell>
          <cell r="E141">
            <v>0</v>
          </cell>
          <cell r="F141">
            <v>0</v>
          </cell>
          <cell r="G141">
            <v>0</v>
          </cell>
          <cell r="H141" t="str">
            <v>---</v>
          </cell>
          <cell r="I141">
            <v>0</v>
          </cell>
          <cell r="J141">
            <v>1675</v>
          </cell>
          <cell r="K141" t="str">
            <v>---</v>
          </cell>
        </row>
        <row r="142">
          <cell r="C142" t="str">
            <v>1992OR</v>
          </cell>
          <cell r="D142">
            <v>0</v>
          </cell>
          <cell r="E142">
            <v>0</v>
          </cell>
          <cell r="F142">
            <v>0</v>
          </cell>
          <cell r="G142">
            <v>0</v>
          </cell>
          <cell r="H142" t="str">
            <v>---</v>
          </cell>
          <cell r="I142">
            <v>0</v>
          </cell>
          <cell r="K142" t="str">
            <v>---</v>
          </cell>
        </row>
        <row r="143">
          <cell r="C143" t="str">
            <v>1992PA</v>
          </cell>
          <cell r="D143">
            <v>0</v>
          </cell>
          <cell r="E143">
            <v>0</v>
          </cell>
          <cell r="F143">
            <v>0</v>
          </cell>
          <cell r="G143">
            <v>0</v>
          </cell>
          <cell r="H143" t="str">
            <v>---</v>
          </cell>
          <cell r="I143">
            <v>0</v>
          </cell>
          <cell r="J143">
            <v>23316</v>
          </cell>
          <cell r="K143" t="str">
            <v>---</v>
          </cell>
        </row>
        <row r="144">
          <cell r="C144" t="str">
            <v>1992RI</v>
          </cell>
          <cell r="D144">
            <v>0</v>
          </cell>
          <cell r="E144">
            <v>0</v>
          </cell>
          <cell r="F144">
            <v>0</v>
          </cell>
          <cell r="G144">
            <v>0</v>
          </cell>
          <cell r="H144" t="str">
            <v>---</v>
          </cell>
          <cell r="I144">
            <v>0</v>
          </cell>
          <cell r="K144" t="str">
            <v>---</v>
          </cell>
        </row>
        <row r="145">
          <cell r="C145" t="str">
            <v>1992SC</v>
          </cell>
          <cell r="D145">
            <v>0</v>
          </cell>
          <cell r="E145">
            <v>0</v>
          </cell>
          <cell r="F145">
            <v>0</v>
          </cell>
          <cell r="G145">
            <v>0</v>
          </cell>
          <cell r="H145" t="str">
            <v>---</v>
          </cell>
          <cell r="I145">
            <v>0</v>
          </cell>
          <cell r="K145" t="str">
            <v>---</v>
          </cell>
        </row>
        <row r="146">
          <cell r="C146" t="str">
            <v>1992SD</v>
          </cell>
          <cell r="D146">
            <v>0</v>
          </cell>
          <cell r="E146">
            <v>0</v>
          </cell>
          <cell r="F146">
            <v>0</v>
          </cell>
          <cell r="G146">
            <v>0</v>
          </cell>
          <cell r="H146" t="str">
            <v>---</v>
          </cell>
          <cell r="I146">
            <v>0</v>
          </cell>
          <cell r="K146" t="str">
            <v>---</v>
          </cell>
        </row>
        <row r="147">
          <cell r="C147" t="str">
            <v>1992TN</v>
          </cell>
          <cell r="D147">
            <v>0</v>
          </cell>
          <cell r="E147">
            <v>0</v>
          </cell>
          <cell r="F147">
            <v>0</v>
          </cell>
          <cell r="G147">
            <v>0</v>
          </cell>
          <cell r="H147" t="str">
            <v>---</v>
          </cell>
          <cell r="I147">
            <v>0</v>
          </cell>
          <cell r="J147">
            <v>1428</v>
          </cell>
          <cell r="K147" t="str">
            <v>---</v>
          </cell>
        </row>
        <row r="148">
          <cell r="C148" t="str">
            <v>1992TX</v>
          </cell>
          <cell r="D148">
            <v>0</v>
          </cell>
          <cell r="E148">
            <v>0</v>
          </cell>
          <cell r="F148">
            <v>0</v>
          </cell>
          <cell r="G148">
            <v>0</v>
          </cell>
          <cell r="H148" t="str">
            <v>---</v>
          </cell>
          <cell r="I148">
            <v>0</v>
          </cell>
          <cell r="J148">
            <v>55071</v>
          </cell>
          <cell r="K148" t="str">
            <v>---</v>
          </cell>
        </row>
        <row r="149">
          <cell r="C149" t="str">
            <v>1992UT</v>
          </cell>
          <cell r="D149">
            <v>0</v>
          </cell>
          <cell r="E149">
            <v>0</v>
          </cell>
          <cell r="F149">
            <v>130.29808999999977</v>
          </cell>
          <cell r="G149">
            <v>0</v>
          </cell>
          <cell r="H149" t="str">
            <v>---</v>
          </cell>
          <cell r="I149">
            <v>0</v>
          </cell>
          <cell r="K149" t="str">
            <v>---</v>
          </cell>
        </row>
        <row r="150">
          <cell r="C150" t="str">
            <v>1992VT</v>
          </cell>
          <cell r="D150">
            <v>0</v>
          </cell>
          <cell r="E150">
            <v>0</v>
          </cell>
          <cell r="F150">
            <v>0</v>
          </cell>
          <cell r="G150">
            <v>0</v>
          </cell>
          <cell r="H150" t="str">
            <v>---</v>
          </cell>
          <cell r="I150">
            <v>0</v>
          </cell>
          <cell r="K150" t="str">
            <v>---</v>
          </cell>
        </row>
        <row r="151">
          <cell r="C151" t="str">
            <v>1992VA</v>
          </cell>
          <cell r="D151">
            <v>0</v>
          </cell>
          <cell r="E151">
            <v>0</v>
          </cell>
          <cell r="F151">
            <v>3771.9525600000002</v>
          </cell>
          <cell r="G151">
            <v>0</v>
          </cell>
          <cell r="H151" t="str">
            <v>---</v>
          </cell>
          <cell r="I151">
            <v>0</v>
          </cell>
          <cell r="J151">
            <v>8259</v>
          </cell>
          <cell r="K151" t="str">
            <v>---</v>
          </cell>
        </row>
        <row r="152">
          <cell r="C152" t="str">
            <v>1992WA</v>
          </cell>
          <cell r="D152">
            <v>0</v>
          </cell>
          <cell r="E152">
            <v>0</v>
          </cell>
          <cell r="F152">
            <v>0</v>
          </cell>
          <cell r="G152">
            <v>0</v>
          </cell>
          <cell r="H152" t="str">
            <v>---</v>
          </cell>
          <cell r="I152">
            <v>0</v>
          </cell>
          <cell r="J152">
            <v>5251</v>
          </cell>
          <cell r="K152" t="str">
            <v>---</v>
          </cell>
        </row>
        <row r="153">
          <cell r="C153" t="str">
            <v>1992WV</v>
          </cell>
          <cell r="D153">
            <v>0</v>
          </cell>
          <cell r="E153">
            <v>0</v>
          </cell>
          <cell r="F153">
            <v>365</v>
          </cell>
          <cell r="G153">
            <v>0</v>
          </cell>
          <cell r="H153">
            <v>46037.2</v>
          </cell>
          <cell r="I153">
            <v>46037.2</v>
          </cell>
          <cell r="J153">
            <v>38793.370000000003</v>
          </cell>
          <cell r="K153">
            <v>7945.63</v>
          </cell>
        </row>
        <row r="154">
          <cell r="C154" t="str">
            <v>1992WI</v>
          </cell>
          <cell r="D154">
            <v>0</v>
          </cell>
          <cell r="E154">
            <v>0</v>
          </cell>
          <cell r="F154">
            <v>0</v>
          </cell>
          <cell r="G154">
            <v>0</v>
          </cell>
          <cell r="H154" t="str">
            <v>---</v>
          </cell>
          <cell r="I154">
            <v>0</v>
          </cell>
          <cell r="K154" t="str">
            <v>---</v>
          </cell>
        </row>
        <row r="155">
          <cell r="C155" t="str">
            <v>1992WY</v>
          </cell>
          <cell r="D155">
            <v>0</v>
          </cell>
          <cell r="E155">
            <v>0</v>
          </cell>
          <cell r="F155">
            <v>0</v>
          </cell>
          <cell r="G155">
            <v>0</v>
          </cell>
          <cell r="H155" t="str">
            <v>---</v>
          </cell>
          <cell r="I155">
            <v>0</v>
          </cell>
          <cell r="J155">
            <v>187658</v>
          </cell>
          <cell r="K155" t="str">
            <v>---</v>
          </cell>
        </row>
        <row r="156">
          <cell r="C156" t="str">
            <v>1993AL</v>
          </cell>
          <cell r="D156">
            <v>23815.875415765116</v>
          </cell>
          <cell r="E156">
            <v>11281.539719999999</v>
          </cell>
          <cell r="F156">
            <v>11281.539720000001</v>
          </cell>
          <cell r="G156">
            <v>0</v>
          </cell>
          <cell r="H156" t="str">
            <v>---</v>
          </cell>
          <cell r="I156">
            <v>0</v>
          </cell>
          <cell r="J156">
            <v>9211</v>
          </cell>
          <cell r="K156" t="str">
            <v>---</v>
          </cell>
        </row>
        <row r="157">
          <cell r="C157" t="str">
            <v>1993AK</v>
          </cell>
          <cell r="D157">
            <v>0</v>
          </cell>
          <cell r="E157">
            <v>0</v>
          </cell>
          <cell r="F157">
            <v>0</v>
          </cell>
          <cell r="G157">
            <v>0</v>
          </cell>
          <cell r="H157" t="str">
            <v>---</v>
          </cell>
          <cell r="I157">
            <v>0</v>
          </cell>
          <cell r="J157">
            <v>1601</v>
          </cell>
          <cell r="K157" t="str">
            <v>---</v>
          </cell>
        </row>
        <row r="158">
          <cell r="C158" t="str">
            <v>1993AZ</v>
          </cell>
          <cell r="D158">
            <v>0</v>
          </cell>
          <cell r="E158">
            <v>0</v>
          </cell>
          <cell r="F158">
            <v>0</v>
          </cell>
          <cell r="G158">
            <v>0</v>
          </cell>
          <cell r="H158" t="str">
            <v>---</v>
          </cell>
          <cell r="I158">
            <v>0</v>
          </cell>
          <cell r="J158">
            <v>12173</v>
          </cell>
          <cell r="K158" t="str">
            <v>---</v>
          </cell>
        </row>
        <row r="159">
          <cell r="C159" t="str">
            <v>1993AR</v>
          </cell>
          <cell r="D159">
            <v>0</v>
          </cell>
          <cell r="E159">
            <v>0</v>
          </cell>
          <cell r="F159">
            <v>0</v>
          </cell>
          <cell r="G159">
            <v>0</v>
          </cell>
          <cell r="H159" t="str">
            <v>---</v>
          </cell>
          <cell r="I159">
            <v>0</v>
          </cell>
          <cell r="J159">
            <v>43</v>
          </cell>
          <cell r="K159" t="str">
            <v>---</v>
          </cell>
        </row>
        <row r="160">
          <cell r="C160" t="str">
            <v>1993CA</v>
          </cell>
          <cell r="D160">
            <v>0</v>
          </cell>
          <cell r="E160">
            <v>0</v>
          </cell>
          <cell r="F160">
            <v>0</v>
          </cell>
          <cell r="G160">
            <v>0</v>
          </cell>
          <cell r="H160" t="str">
            <v>---</v>
          </cell>
          <cell r="I160">
            <v>0</v>
          </cell>
          <cell r="J160">
            <v>0</v>
          </cell>
          <cell r="K160" t="str">
            <v>---</v>
          </cell>
        </row>
        <row r="161">
          <cell r="C161" t="str">
            <v>1993CO</v>
          </cell>
          <cell r="D161">
            <v>4516.8039581623498</v>
          </cell>
          <cell r="E161">
            <v>1192.3333333333335</v>
          </cell>
          <cell r="F161">
            <v>0</v>
          </cell>
          <cell r="G161">
            <v>0</v>
          </cell>
          <cell r="H161" t="str">
            <v>---</v>
          </cell>
          <cell r="I161">
            <v>0</v>
          </cell>
          <cell r="J161">
            <v>9043</v>
          </cell>
          <cell r="K161" t="str">
            <v>---</v>
          </cell>
        </row>
        <row r="162">
          <cell r="C162" t="str">
            <v>1993CT</v>
          </cell>
          <cell r="D162">
            <v>0</v>
          </cell>
          <cell r="E162">
            <v>0</v>
          </cell>
          <cell r="F162">
            <v>0</v>
          </cell>
          <cell r="G162">
            <v>0</v>
          </cell>
          <cell r="H162" t="str">
            <v>---</v>
          </cell>
          <cell r="I162">
            <v>0</v>
          </cell>
          <cell r="K162" t="str">
            <v>---</v>
          </cell>
        </row>
        <row r="163">
          <cell r="C163" t="str">
            <v>1993DE</v>
          </cell>
          <cell r="D163">
            <v>0</v>
          </cell>
          <cell r="E163">
            <v>0</v>
          </cell>
          <cell r="F163">
            <v>0</v>
          </cell>
          <cell r="G163">
            <v>0</v>
          </cell>
          <cell r="H163" t="str">
            <v>---</v>
          </cell>
          <cell r="I163">
            <v>0</v>
          </cell>
          <cell r="K163" t="str">
            <v>---</v>
          </cell>
        </row>
        <row r="164">
          <cell r="C164" t="str">
            <v>1993FL</v>
          </cell>
          <cell r="D164">
            <v>0</v>
          </cell>
          <cell r="E164">
            <v>0</v>
          </cell>
          <cell r="F164">
            <v>0</v>
          </cell>
          <cell r="G164">
            <v>0</v>
          </cell>
          <cell r="H164" t="str">
            <v>---</v>
          </cell>
          <cell r="I164">
            <v>0</v>
          </cell>
          <cell r="K164" t="str">
            <v>---</v>
          </cell>
        </row>
        <row r="165">
          <cell r="C165" t="str">
            <v>1993GA</v>
          </cell>
          <cell r="D165">
            <v>0</v>
          </cell>
          <cell r="E165">
            <v>0</v>
          </cell>
          <cell r="F165">
            <v>0</v>
          </cell>
          <cell r="G165">
            <v>0</v>
          </cell>
          <cell r="H165" t="str">
            <v>---</v>
          </cell>
          <cell r="I165">
            <v>0</v>
          </cell>
          <cell r="K165" t="str">
            <v>---</v>
          </cell>
        </row>
        <row r="166">
          <cell r="C166" t="str">
            <v>1993HI</v>
          </cell>
          <cell r="D166">
            <v>0</v>
          </cell>
          <cell r="E166">
            <v>0</v>
          </cell>
          <cell r="F166">
            <v>0</v>
          </cell>
          <cell r="G166">
            <v>0</v>
          </cell>
          <cell r="H166" t="str">
            <v>---</v>
          </cell>
          <cell r="I166">
            <v>0</v>
          </cell>
          <cell r="K166" t="str">
            <v>---</v>
          </cell>
        </row>
        <row r="167">
          <cell r="C167" t="str">
            <v>1993ID</v>
          </cell>
          <cell r="D167">
            <v>0</v>
          </cell>
          <cell r="E167">
            <v>0</v>
          </cell>
          <cell r="F167">
            <v>0</v>
          </cell>
          <cell r="G167">
            <v>0</v>
          </cell>
          <cell r="H167" t="str">
            <v>---</v>
          </cell>
          <cell r="I167">
            <v>0</v>
          </cell>
          <cell r="K167" t="str">
            <v>---</v>
          </cell>
        </row>
        <row r="168">
          <cell r="C168" t="str">
            <v>1993IL</v>
          </cell>
          <cell r="D168">
            <v>7353.8047913882883</v>
          </cell>
          <cell r="E168">
            <v>0</v>
          </cell>
          <cell r="F168">
            <v>0</v>
          </cell>
          <cell r="G168">
            <v>0</v>
          </cell>
          <cell r="H168" t="str">
            <v>---</v>
          </cell>
          <cell r="I168">
            <v>0</v>
          </cell>
          <cell r="J168">
            <v>8002</v>
          </cell>
          <cell r="K168" t="str">
            <v>---</v>
          </cell>
        </row>
        <row r="169">
          <cell r="C169" t="str">
            <v>1993IN</v>
          </cell>
          <cell r="D169">
            <v>149.31583332768099</v>
          </cell>
          <cell r="E169">
            <v>0</v>
          </cell>
          <cell r="F169">
            <v>0</v>
          </cell>
          <cell r="G169">
            <v>0</v>
          </cell>
          <cell r="H169" t="str">
            <v>---</v>
          </cell>
          <cell r="I169">
            <v>0</v>
          </cell>
          <cell r="J169">
            <v>26713</v>
          </cell>
          <cell r="K169" t="str">
            <v>---</v>
          </cell>
        </row>
        <row r="170">
          <cell r="C170" t="str">
            <v>1993IA</v>
          </cell>
          <cell r="D170">
            <v>0</v>
          </cell>
          <cell r="E170">
            <v>0</v>
          </cell>
          <cell r="F170">
            <v>0</v>
          </cell>
          <cell r="G170">
            <v>0</v>
          </cell>
          <cell r="H170" t="str">
            <v>---</v>
          </cell>
          <cell r="I170">
            <v>0</v>
          </cell>
          <cell r="J170">
            <v>175</v>
          </cell>
          <cell r="K170" t="str">
            <v>---</v>
          </cell>
        </row>
        <row r="171">
          <cell r="C171" t="str">
            <v>1993KS</v>
          </cell>
          <cell r="D171">
            <v>0</v>
          </cell>
          <cell r="E171">
            <v>0</v>
          </cell>
          <cell r="F171">
            <v>0</v>
          </cell>
          <cell r="G171">
            <v>0</v>
          </cell>
          <cell r="H171" t="str">
            <v>---</v>
          </cell>
          <cell r="I171">
            <v>0</v>
          </cell>
          <cell r="J171">
            <v>341</v>
          </cell>
          <cell r="K171" t="str">
            <v>---</v>
          </cell>
        </row>
        <row r="172">
          <cell r="C172" t="str">
            <v>1993KY</v>
          </cell>
          <cell r="D172">
            <v>3732.8958331920244</v>
          </cell>
          <cell r="E172">
            <v>462.33333333333348</v>
          </cell>
          <cell r="F172">
            <v>0</v>
          </cell>
          <cell r="G172">
            <v>0</v>
          </cell>
          <cell r="H172">
            <v>20288</v>
          </cell>
          <cell r="I172">
            <v>20288</v>
          </cell>
          <cell r="J172">
            <v>48272</v>
          </cell>
          <cell r="K172">
            <v>15820</v>
          </cell>
        </row>
        <row r="173">
          <cell r="C173" t="str">
            <v>1993LA</v>
          </cell>
          <cell r="D173">
            <v>0</v>
          </cell>
          <cell r="E173">
            <v>0</v>
          </cell>
          <cell r="F173">
            <v>0</v>
          </cell>
          <cell r="G173">
            <v>0</v>
          </cell>
          <cell r="H173" t="str">
            <v>---</v>
          </cell>
          <cell r="I173">
            <v>0</v>
          </cell>
          <cell r="J173">
            <v>3134</v>
          </cell>
          <cell r="K173" t="str">
            <v>---</v>
          </cell>
        </row>
        <row r="174">
          <cell r="C174" t="str">
            <v>1993ME</v>
          </cell>
          <cell r="D174">
            <v>0</v>
          </cell>
          <cell r="E174">
            <v>0</v>
          </cell>
          <cell r="F174">
            <v>0</v>
          </cell>
          <cell r="G174">
            <v>0</v>
          </cell>
          <cell r="H174" t="str">
            <v>---</v>
          </cell>
          <cell r="I174">
            <v>0</v>
          </cell>
          <cell r="K174" t="str">
            <v>---</v>
          </cell>
        </row>
        <row r="175">
          <cell r="C175" t="str">
            <v>1993MD</v>
          </cell>
          <cell r="D175">
            <v>0</v>
          </cell>
          <cell r="E175">
            <v>0</v>
          </cell>
          <cell r="F175">
            <v>0</v>
          </cell>
          <cell r="G175">
            <v>0</v>
          </cell>
          <cell r="H175" t="str">
            <v>---</v>
          </cell>
          <cell r="I175">
            <v>0</v>
          </cell>
          <cell r="J175">
            <v>827</v>
          </cell>
          <cell r="K175" t="str">
            <v>---</v>
          </cell>
        </row>
        <row r="176">
          <cell r="C176" t="str">
            <v>1993MA</v>
          </cell>
          <cell r="D176">
            <v>0</v>
          </cell>
          <cell r="E176">
            <v>0</v>
          </cell>
          <cell r="F176">
            <v>0</v>
          </cell>
          <cell r="G176">
            <v>0</v>
          </cell>
          <cell r="H176" t="str">
            <v>---</v>
          </cell>
          <cell r="I176">
            <v>0</v>
          </cell>
          <cell r="K176" t="str">
            <v>---</v>
          </cell>
        </row>
        <row r="177">
          <cell r="C177" t="str">
            <v>1993MI</v>
          </cell>
          <cell r="D177">
            <v>0</v>
          </cell>
          <cell r="E177">
            <v>0</v>
          </cell>
          <cell r="F177">
            <v>0</v>
          </cell>
          <cell r="G177">
            <v>0</v>
          </cell>
          <cell r="H177" t="str">
            <v>---</v>
          </cell>
          <cell r="I177">
            <v>0</v>
          </cell>
          <cell r="K177" t="str">
            <v>---</v>
          </cell>
        </row>
        <row r="178">
          <cell r="C178" t="str">
            <v>1993MN</v>
          </cell>
          <cell r="D178">
            <v>0</v>
          </cell>
          <cell r="E178">
            <v>0</v>
          </cell>
          <cell r="F178">
            <v>0</v>
          </cell>
          <cell r="G178">
            <v>0</v>
          </cell>
          <cell r="H178" t="str">
            <v>---</v>
          </cell>
          <cell r="I178">
            <v>0</v>
          </cell>
          <cell r="K178" t="str">
            <v>---</v>
          </cell>
        </row>
        <row r="179">
          <cell r="C179" t="str">
            <v>1993MS</v>
          </cell>
          <cell r="D179">
            <v>0</v>
          </cell>
          <cell r="E179">
            <v>0</v>
          </cell>
          <cell r="F179">
            <v>0</v>
          </cell>
          <cell r="G179">
            <v>0</v>
          </cell>
          <cell r="H179" t="str">
            <v>---</v>
          </cell>
          <cell r="I179">
            <v>0</v>
          </cell>
          <cell r="K179" t="str">
            <v>---</v>
          </cell>
        </row>
        <row r="180">
          <cell r="C180" t="str">
            <v>1993MO</v>
          </cell>
          <cell r="D180">
            <v>0</v>
          </cell>
          <cell r="E180">
            <v>0</v>
          </cell>
          <cell r="F180">
            <v>0</v>
          </cell>
          <cell r="G180">
            <v>0</v>
          </cell>
          <cell r="H180" t="str">
            <v>---</v>
          </cell>
          <cell r="I180">
            <v>0</v>
          </cell>
          <cell r="J180">
            <v>653</v>
          </cell>
          <cell r="K180" t="str">
            <v>---</v>
          </cell>
        </row>
        <row r="181">
          <cell r="C181" t="str">
            <v>1993MT</v>
          </cell>
          <cell r="D181">
            <v>0</v>
          </cell>
          <cell r="E181">
            <v>0</v>
          </cell>
          <cell r="F181">
            <v>0</v>
          </cell>
          <cell r="G181">
            <v>0</v>
          </cell>
          <cell r="H181" t="str">
            <v>---</v>
          </cell>
          <cell r="I181">
            <v>0</v>
          </cell>
          <cell r="J181">
            <v>35907</v>
          </cell>
          <cell r="K181" t="str">
            <v>---</v>
          </cell>
        </row>
        <row r="182">
          <cell r="C182" t="str">
            <v>1993NE</v>
          </cell>
          <cell r="D182">
            <v>0</v>
          </cell>
          <cell r="E182">
            <v>0</v>
          </cell>
          <cell r="F182">
            <v>0</v>
          </cell>
          <cell r="G182">
            <v>0</v>
          </cell>
          <cell r="H182" t="str">
            <v>---</v>
          </cell>
          <cell r="I182">
            <v>0</v>
          </cell>
          <cell r="K182" t="str">
            <v>---</v>
          </cell>
        </row>
        <row r="183">
          <cell r="C183" t="str">
            <v>1993NV</v>
          </cell>
          <cell r="D183">
            <v>0</v>
          </cell>
          <cell r="E183">
            <v>0</v>
          </cell>
          <cell r="F183">
            <v>0</v>
          </cell>
          <cell r="G183">
            <v>0</v>
          </cell>
          <cell r="H183" t="str">
            <v>---</v>
          </cell>
          <cell r="I183">
            <v>0</v>
          </cell>
          <cell r="K183" t="str">
            <v>---</v>
          </cell>
        </row>
        <row r="184">
          <cell r="C184" t="str">
            <v>1993NH</v>
          </cell>
          <cell r="D184">
            <v>0</v>
          </cell>
          <cell r="E184">
            <v>0</v>
          </cell>
          <cell r="F184">
            <v>0</v>
          </cell>
          <cell r="G184">
            <v>0</v>
          </cell>
          <cell r="H184" t="str">
            <v>---</v>
          </cell>
          <cell r="I184">
            <v>0</v>
          </cell>
          <cell r="K184" t="str">
            <v>---</v>
          </cell>
        </row>
        <row r="185">
          <cell r="C185" t="str">
            <v>1993NJ</v>
          </cell>
          <cell r="D185">
            <v>0</v>
          </cell>
          <cell r="E185">
            <v>0</v>
          </cell>
          <cell r="F185">
            <v>0</v>
          </cell>
          <cell r="G185">
            <v>0</v>
          </cell>
          <cell r="H185" t="str">
            <v>---</v>
          </cell>
          <cell r="I185">
            <v>0</v>
          </cell>
          <cell r="K185" t="str">
            <v>---</v>
          </cell>
        </row>
        <row r="186">
          <cell r="C186" t="str">
            <v>1993NM</v>
          </cell>
          <cell r="D186">
            <v>149.31583332768099</v>
          </cell>
          <cell r="E186">
            <v>0</v>
          </cell>
          <cell r="F186">
            <v>0</v>
          </cell>
          <cell r="G186">
            <v>0</v>
          </cell>
          <cell r="H186" t="str">
            <v>---</v>
          </cell>
          <cell r="I186">
            <v>0</v>
          </cell>
          <cell r="J186">
            <v>27549</v>
          </cell>
          <cell r="K186" t="str">
            <v>---</v>
          </cell>
        </row>
        <row r="187">
          <cell r="C187" t="str">
            <v>1993NY</v>
          </cell>
          <cell r="D187">
            <v>0</v>
          </cell>
          <cell r="E187">
            <v>0</v>
          </cell>
          <cell r="F187">
            <v>0</v>
          </cell>
          <cell r="G187">
            <v>0</v>
          </cell>
          <cell r="H187" t="str">
            <v>---</v>
          </cell>
          <cell r="I187">
            <v>0</v>
          </cell>
          <cell r="K187" t="str">
            <v>---</v>
          </cell>
        </row>
        <row r="188">
          <cell r="C188" t="str">
            <v>1993NC</v>
          </cell>
          <cell r="D188">
            <v>0</v>
          </cell>
          <cell r="E188">
            <v>0</v>
          </cell>
          <cell r="F188">
            <v>0</v>
          </cell>
          <cell r="G188">
            <v>0</v>
          </cell>
          <cell r="H188" t="str">
            <v>---</v>
          </cell>
          <cell r="I188">
            <v>0</v>
          </cell>
          <cell r="K188" t="str">
            <v>---</v>
          </cell>
        </row>
        <row r="189">
          <cell r="C189" t="str">
            <v>1993ND</v>
          </cell>
          <cell r="D189">
            <v>0</v>
          </cell>
          <cell r="E189">
            <v>0</v>
          </cell>
          <cell r="F189">
            <v>0</v>
          </cell>
          <cell r="G189">
            <v>0</v>
          </cell>
          <cell r="H189" t="str">
            <v>---</v>
          </cell>
          <cell r="I189">
            <v>0</v>
          </cell>
          <cell r="J189">
            <v>31973</v>
          </cell>
          <cell r="K189" t="str">
            <v>---</v>
          </cell>
        </row>
        <row r="190">
          <cell r="C190" t="str">
            <v>1993OH</v>
          </cell>
          <cell r="D190">
            <v>1381.1714582810491</v>
          </cell>
          <cell r="E190">
            <v>0</v>
          </cell>
          <cell r="F190">
            <v>0</v>
          </cell>
          <cell r="G190">
            <v>0</v>
          </cell>
          <cell r="H190" t="str">
            <v>---</v>
          </cell>
          <cell r="I190">
            <v>0</v>
          </cell>
          <cell r="J190">
            <v>18379</v>
          </cell>
          <cell r="K190" t="str">
            <v>---</v>
          </cell>
        </row>
        <row r="191">
          <cell r="C191" t="str">
            <v>1993OK</v>
          </cell>
          <cell r="D191">
            <v>0</v>
          </cell>
          <cell r="E191">
            <v>0</v>
          </cell>
          <cell r="F191">
            <v>0</v>
          </cell>
          <cell r="G191">
            <v>0</v>
          </cell>
          <cell r="H191" t="str">
            <v>---</v>
          </cell>
          <cell r="I191">
            <v>0</v>
          </cell>
          <cell r="J191">
            <v>1661</v>
          </cell>
          <cell r="K191" t="str">
            <v>---</v>
          </cell>
        </row>
        <row r="192">
          <cell r="C192" t="str">
            <v>1993OR</v>
          </cell>
          <cell r="D192">
            <v>0</v>
          </cell>
          <cell r="E192">
            <v>0</v>
          </cell>
          <cell r="F192">
            <v>0</v>
          </cell>
          <cell r="G192">
            <v>0</v>
          </cell>
          <cell r="H192" t="str">
            <v>---</v>
          </cell>
          <cell r="I192">
            <v>0</v>
          </cell>
          <cell r="K192" t="str">
            <v>---</v>
          </cell>
        </row>
        <row r="193">
          <cell r="C193" t="str">
            <v>1993PA</v>
          </cell>
          <cell r="D193">
            <v>15006.241249431938</v>
          </cell>
          <cell r="E193">
            <v>6619.3823529411784</v>
          </cell>
          <cell r="F193">
            <v>0</v>
          </cell>
          <cell r="G193">
            <v>0</v>
          </cell>
          <cell r="H193" t="str">
            <v>---</v>
          </cell>
          <cell r="I193">
            <v>0</v>
          </cell>
          <cell r="J193">
            <v>22766</v>
          </cell>
          <cell r="K193" t="str">
            <v>---</v>
          </cell>
        </row>
        <row r="194">
          <cell r="C194" t="str">
            <v>1993RI</v>
          </cell>
          <cell r="D194">
            <v>0</v>
          </cell>
          <cell r="E194">
            <v>0</v>
          </cell>
          <cell r="F194">
            <v>0</v>
          </cell>
          <cell r="G194">
            <v>0</v>
          </cell>
          <cell r="H194" t="str">
            <v>---</v>
          </cell>
          <cell r="I194">
            <v>0</v>
          </cell>
          <cell r="K194" t="str">
            <v>---</v>
          </cell>
        </row>
        <row r="195">
          <cell r="C195" t="str">
            <v>1993SC</v>
          </cell>
          <cell r="D195">
            <v>0</v>
          </cell>
          <cell r="E195">
            <v>0</v>
          </cell>
          <cell r="F195">
            <v>0</v>
          </cell>
          <cell r="G195">
            <v>0</v>
          </cell>
          <cell r="H195" t="str">
            <v>---</v>
          </cell>
          <cell r="I195">
            <v>0</v>
          </cell>
          <cell r="K195" t="str">
            <v>---</v>
          </cell>
        </row>
        <row r="196">
          <cell r="C196" t="str">
            <v>1993SD</v>
          </cell>
          <cell r="D196">
            <v>0</v>
          </cell>
          <cell r="E196">
            <v>0</v>
          </cell>
          <cell r="F196">
            <v>0</v>
          </cell>
          <cell r="G196">
            <v>0</v>
          </cell>
          <cell r="H196" t="str">
            <v>---</v>
          </cell>
          <cell r="I196">
            <v>0</v>
          </cell>
          <cell r="K196" t="str">
            <v>---</v>
          </cell>
        </row>
        <row r="197">
          <cell r="C197" t="str">
            <v>1993TN</v>
          </cell>
          <cell r="D197">
            <v>0</v>
          </cell>
          <cell r="E197">
            <v>0</v>
          </cell>
          <cell r="F197">
            <v>0</v>
          </cell>
          <cell r="G197">
            <v>0</v>
          </cell>
          <cell r="H197" t="str">
            <v>---</v>
          </cell>
          <cell r="I197">
            <v>0</v>
          </cell>
          <cell r="J197">
            <v>1151</v>
          </cell>
          <cell r="K197" t="str">
            <v>---</v>
          </cell>
        </row>
        <row r="198">
          <cell r="C198" t="str">
            <v>1993TX</v>
          </cell>
          <cell r="D198">
            <v>0</v>
          </cell>
          <cell r="E198">
            <v>0</v>
          </cell>
          <cell r="F198">
            <v>0</v>
          </cell>
          <cell r="G198">
            <v>0</v>
          </cell>
          <cell r="H198" t="str">
            <v>---</v>
          </cell>
          <cell r="I198">
            <v>0</v>
          </cell>
          <cell r="J198">
            <v>54567</v>
          </cell>
          <cell r="K198" t="str">
            <v>---</v>
          </cell>
        </row>
        <row r="199">
          <cell r="C199" t="str">
            <v>1993UT</v>
          </cell>
          <cell r="D199">
            <v>2799.6718748940184</v>
          </cell>
          <cell r="E199">
            <v>394.79900000000089</v>
          </cell>
          <cell r="F199">
            <v>383</v>
          </cell>
          <cell r="G199">
            <v>0</v>
          </cell>
          <cell r="H199" t="str">
            <v>---</v>
          </cell>
          <cell r="I199">
            <v>0</v>
          </cell>
          <cell r="K199" t="str">
            <v>---</v>
          </cell>
        </row>
        <row r="200">
          <cell r="C200" t="str">
            <v>1993VT</v>
          </cell>
          <cell r="D200">
            <v>0</v>
          </cell>
          <cell r="E200">
            <v>0</v>
          </cell>
          <cell r="F200">
            <v>0</v>
          </cell>
          <cell r="G200">
            <v>0</v>
          </cell>
          <cell r="H200" t="str">
            <v>---</v>
          </cell>
          <cell r="I200">
            <v>0</v>
          </cell>
          <cell r="K200" t="str">
            <v>---</v>
          </cell>
        </row>
        <row r="201">
          <cell r="C201" t="str">
            <v>1993VA</v>
          </cell>
          <cell r="D201">
            <v>18701.808124292042</v>
          </cell>
          <cell r="E201">
            <v>17958.417938931299</v>
          </cell>
          <cell r="F201">
            <v>10787.027053999998</v>
          </cell>
          <cell r="G201">
            <v>0</v>
          </cell>
          <cell r="H201" t="str">
            <v>---</v>
          </cell>
          <cell r="I201">
            <v>0</v>
          </cell>
          <cell r="J201">
            <v>9151</v>
          </cell>
          <cell r="K201" t="str">
            <v>---</v>
          </cell>
        </row>
        <row r="202">
          <cell r="C202" t="str">
            <v>1993WA</v>
          </cell>
          <cell r="D202">
            <v>0</v>
          </cell>
          <cell r="E202">
            <v>0</v>
          </cell>
          <cell r="F202">
            <v>0</v>
          </cell>
          <cell r="G202">
            <v>0</v>
          </cell>
          <cell r="H202" t="str">
            <v>---</v>
          </cell>
          <cell r="I202">
            <v>0</v>
          </cell>
          <cell r="J202">
            <v>4739</v>
          </cell>
          <cell r="K202" t="str">
            <v>---</v>
          </cell>
        </row>
        <row r="203">
          <cell r="C203" t="str">
            <v>1993WV</v>
          </cell>
          <cell r="D203">
            <v>19411.058332598528</v>
          </cell>
          <cell r="E203">
            <v>7281.042635658916</v>
          </cell>
          <cell r="F203">
            <v>138</v>
          </cell>
          <cell r="G203">
            <v>0</v>
          </cell>
          <cell r="H203">
            <v>27133</v>
          </cell>
          <cell r="I203">
            <v>27133</v>
          </cell>
          <cell r="J203">
            <v>35859</v>
          </cell>
          <cell r="K203">
            <v>6669</v>
          </cell>
        </row>
        <row r="204">
          <cell r="C204" t="str">
            <v>1993WI</v>
          </cell>
          <cell r="D204">
            <v>0</v>
          </cell>
          <cell r="E204">
            <v>0</v>
          </cell>
          <cell r="F204">
            <v>0</v>
          </cell>
          <cell r="G204">
            <v>0</v>
          </cell>
          <cell r="H204" t="str">
            <v>---</v>
          </cell>
          <cell r="I204">
            <v>0</v>
          </cell>
          <cell r="K204" t="str">
            <v>---</v>
          </cell>
        </row>
        <row r="205">
          <cell r="C205" t="str">
            <v>1993WY</v>
          </cell>
          <cell r="D205">
            <v>0</v>
          </cell>
          <cell r="E205">
            <v>0</v>
          </cell>
          <cell r="F205">
            <v>0</v>
          </cell>
          <cell r="G205">
            <v>0</v>
          </cell>
          <cell r="H205" t="str">
            <v>---</v>
          </cell>
          <cell r="I205">
            <v>0</v>
          </cell>
          <cell r="J205">
            <v>207993</v>
          </cell>
          <cell r="K205" t="str">
            <v>---</v>
          </cell>
        </row>
        <row r="206">
          <cell r="C206" t="str">
            <v>1994AL</v>
          </cell>
          <cell r="D206">
            <v>27735.416040616743</v>
          </cell>
          <cell r="E206">
            <v>11146.540950920245</v>
          </cell>
          <cell r="F206">
            <v>11145.805</v>
          </cell>
          <cell r="G206">
            <v>0</v>
          </cell>
          <cell r="H206" t="str">
            <v>---</v>
          </cell>
          <cell r="I206">
            <v>0</v>
          </cell>
          <cell r="J206">
            <v>8795</v>
          </cell>
          <cell r="K206" t="str">
            <v>---</v>
          </cell>
        </row>
        <row r="207">
          <cell r="C207" t="str">
            <v>1994AK</v>
          </cell>
          <cell r="D207">
            <v>0</v>
          </cell>
          <cell r="E207">
            <v>0</v>
          </cell>
          <cell r="F207">
            <v>0</v>
          </cell>
          <cell r="G207">
            <v>0</v>
          </cell>
          <cell r="H207" t="str">
            <v>---</v>
          </cell>
          <cell r="I207">
            <v>0</v>
          </cell>
          <cell r="J207">
            <v>1567</v>
          </cell>
          <cell r="K207" t="str">
            <v>---</v>
          </cell>
        </row>
        <row r="208">
          <cell r="C208" t="str">
            <v>1994AZ</v>
          </cell>
          <cell r="D208">
            <v>0</v>
          </cell>
          <cell r="E208">
            <v>0</v>
          </cell>
          <cell r="F208">
            <v>0</v>
          </cell>
          <cell r="G208">
            <v>0</v>
          </cell>
          <cell r="H208" t="str">
            <v>---</v>
          </cell>
          <cell r="I208">
            <v>0</v>
          </cell>
          <cell r="J208">
            <v>13056</v>
          </cell>
          <cell r="K208" t="str">
            <v>---</v>
          </cell>
        </row>
        <row r="209">
          <cell r="C209" t="str">
            <v>1994AR</v>
          </cell>
          <cell r="D209">
            <v>0</v>
          </cell>
          <cell r="E209">
            <v>0</v>
          </cell>
          <cell r="F209">
            <v>0</v>
          </cell>
          <cell r="G209">
            <v>0</v>
          </cell>
          <cell r="H209" t="str">
            <v>---</v>
          </cell>
          <cell r="I209">
            <v>0</v>
          </cell>
          <cell r="J209">
            <v>38</v>
          </cell>
          <cell r="K209" t="str">
            <v>---</v>
          </cell>
        </row>
        <row r="210">
          <cell r="C210" t="str">
            <v>1994CA</v>
          </cell>
          <cell r="D210">
            <v>0</v>
          </cell>
          <cell r="E210">
            <v>0</v>
          </cell>
          <cell r="F210">
            <v>0</v>
          </cell>
          <cell r="G210">
            <v>0</v>
          </cell>
          <cell r="H210" t="str">
            <v>---</v>
          </cell>
          <cell r="I210">
            <v>0</v>
          </cell>
          <cell r="J210">
            <v>0</v>
          </cell>
          <cell r="K210" t="str">
            <v>---</v>
          </cell>
        </row>
        <row r="211">
          <cell r="C211" t="str">
            <v>1994CO</v>
          </cell>
          <cell r="D211">
            <v>6047.2912497710795</v>
          </cell>
          <cell r="E211">
            <v>1411.333333333333</v>
          </cell>
          <cell r="F211">
            <v>0</v>
          </cell>
          <cell r="G211">
            <v>0</v>
          </cell>
          <cell r="H211" t="str">
            <v>---</v>
          </cell>
          <cell r="I211">
            <v>0</v>
          </cell>
          <cell r="J211">
            <v>8972</v>
          </cell>
          <cell r="K211" t="str">
            <v>---</v>
          </cell>
        </row>
        <row r="212">
          <cell r="C212" t="str">
            <v>1994CT</v>
          </cell>
          <cell r="D212">
            <v>0</v>
          </cell>
          <cell r="E212">
            <v>0</v>
          </cell>
          <cell r="F212">
            <v>0</v>
          </cell>
          <cell r="G212">
            <v>0</v>
          </cell>
          <cell r="H212" t="str">
            <v>---</v>
          </cell>
          <cell r="I212">
            <v>0</v>
          </cell>
          <cell r="K212" t="str">
            <v>---</v>
          </cell>
        </row>
        <row r="213">
          <cell r="C213" t="str">
            <v>1994DE</v>
          </cell>
          <cell r="D213">
            <v>0</v>
          </cell>
          <cell r="E213">
            <v>0</v>
          </cell>
          <cell r="F213">
            <v>0</v>
          </cell>
          <cell r="G213">
            <v>0</v>
          </cell>
          <cell r="H213" t="str">
            <v>---</v>
          </cell>
          <cell r="I213">
            <v>0</v>
          </cell>
          <cell r="K213" t="str">
            <v>---</v>
          </cell>
        </row>
        <row r="214">
          <cell r="C214" t="str">
            <v>1994FL</v>
          </cell>
          <cell r="D214">
            <v>0</v>
          </cell>
          <cell r="E214">
            <v>0</v>
          </cell>
          <cell r="F214">
            <v>0</v>
          </cell>
          <cell r="G214">
            <v>0</v>
          </cell>
          <cell r="H214" t="str">
            <v>---</v>
          </cell>
          <cell r="I214">
            <v>0</v>
          </cell>
          <cell r="K214" t="str">
            <v>---</v>
          </cell>
        </row>
        <row r="215">
          <cell r="C215" t="str">
            <v>1994GA</v>
          </cell>
          <cell r="D215">
            <v>0</v>
          </cell>
          <cell r="E215">
            <v>0</v>
          </cell>
          <cell r="F215">
            <v>0</v>
          </cell>
          <cell r="G215">
            <v>0</v>
          </cell>
          <cell r="H215" t="str">
            <v>---</v>
          </cell>
          <cell r="I215">
            <v>0</v>
          </cell>
          <cell r="K215" t="str">
            <v>---</v>
          </cell>
        </row>
        <row r="216">
          <cell r="C216" t="str">
            <v>1994HI</v>
          </cell>
          <cell r="D216">
            <v>0</v>
          </cell>
          <cell r="E216">
            <v>0</v>
          </cell>
          <cell r="F216">
            <v>0</v>
          </cell>
          <cell r="G216">
            <v>0</v>
          </cell>
          <cell r="H216" t="str">
            <v>---</v>
          </cell>
          <cell r="I216">
            <v>0</v>
          </cell>
          <cell r="K216" t="str">
            <v>---</v>
          </cell>
        </row>
        <row r="217">
          <cell r="C217" t="str">
            <v>1994ID</v>
          </cell>
          <cell r="D217">
            <v>0</v>
          </cell>
          <cell r="E217">
            <v>0</v>
          </cell>
          <cell r="F217">
            <v>0</v>
          </cell>
          <cell r="G217">
            <v>0</v>
          </cell>
          <cell r="H217" t="str">
            <v>---</v>
          </cell>
          <cell r="I217">
            <v>0</v>
          </cell>
          <cell r="K217" t="str">
            <v>---</v>
          </cell>
        </row>
        <row r="218">
          <cell r="C218" t="str">
            <v>1994IL</v>
          </cell>
          <cell r="D218">
            <v>8921.6210413289391</v>
          </cell>
          <cell r="E218">
            <v>0</v>
          </cell>
          <cell r="F218">
            <v>0</v>
          </cell>
          <cell r="G218">
            <v>0</v>
          </cell>
          <cell r="H218" t="str">
            <v>---</v>
          </cell>
          <cell r="I218">
            <v>0</v>
          </cell>
          <cell r="J218">
            <v>9516</v>
          </cell>
          <cell r="K218" t="str">
            <v>---</v>
          </cell>
        </row>
        <row r="219">
          <cell r="C219" t="str">
            <v>1994IN</v>
          </cell>
          <cell r="D219">
            <v>223.97374999152146</v>
          </cell>
          <cell r="E219">
            <v>0</v>
          </cell>
          <cell r="F219">
            <v>0</v>
          </cell>
          <cell r="G219">
            <v>0</v>
          </cell>
          <cell r="H219" t="str">
            <v>---</v>
          </cell>
          <cell r="I219">
            <v>0</v>
          </cell>
          <cell r="J219">
            <v>27603</v>
          </cell>
          <cell r="K219" t="str">
            <v>---</v>
          </cell>
        </row>
        <row r="220">
          <cell r="C220" t="str">
            <v>1994IA</v>
          </cell>
          <cell r="D220">
            <v>0</v>
          </cell>
          <cell r="E220">
            <v>0</v>
          </cell>
          <cell r="F220">
            <v>0</v>
          </cell>
          <cell r="G220">
            <v>0</v>
          </cell>
          <cell r="H220" t="str">
            <v>---</v>
          </cell>
          <cell r="I220">
            <v>0</v>
          </cell>
          <cell r="J220">
            <v>46</v>
          </cell>
          <cell r="K220" t="str">
            <v>---</v>
          </cell>
        </row>
        <row r="221">
          <cell r="C221" t="str">
            <v>1994KS</v>
          </cell>
          <cell r="D221">
            <v>0</v>
          </cell>
          <cell r="E221">
            <v>0</v>
          </cell>
          <cell r="F221">
            <v>0</v>
          </cell>
          <cell r="G221">
            <v>0</v>
          </cell>
          <cell r="H221" t="str">
            <v>---</v>
          </cell>
          <cell r="I221">
            <v>0</v>
          </cell>
          <cell r="J221">
            <v>284</v>
          </cell>
          <cell r="K221" t="str">
            <v>---</v>
          </cell>
        </row>
        <row r="222">
          <cell r="C222" t="str">
            <v>1994KY</v>
          </cell>
          <cell r="D222">
            <v>4666.1197914900304</v>
          </cell>
          <cell r="E222">
            <v>511</v>
          </cell>
          <cell r="F222">
            <v>0</v>
          </cell>
          <cell r="G222">
            <v>0</v>
          </cell>
          <cell r="H222">
            <v>22445</v>
          </cell>
          <cell r="I222">
            <v>22445</v>
          </cell>
          <cell r="J222">
            <v>51478</v>
          </cell>
          <cell r="K222">
            <v>14749</v>
          </cell>
        </row>
        <row r="223">
          <cell r="C223" t="str">
            <v>1994LA</v>
          </cell>
          <cell r="D223">
            <v>0</v>
          </cell>
          <cell r="E223">
            <v>0</v>
          </cell>
          <cell r="F223">
            <v>0</v>
          </cell>
          <cell r="G223">
            <v>0</v>
          </cell>
          <cell r="H223" t="str">
            <v>---</v>
          </cell>
          <cell r="I223">
            <v>0</v>
          </cell>
          <cell r="J223">
            <v>3463</v>
          </cell>
          <cell r="K223" t="str">
            <v>---</v>
          </cell>
        </row>
        <row r="224">
          <cell r="C224" t="str">
            <v>1994ME</v>
          </cell>
          <cell r="D224">
            <v>0</v>
          </cell>
          <cell r="E224">
            <v>0</v>
          </cell>
          <cell r="F224">
            <v>0</v>
          </cell>
          <cell r="G224">
            <v>0</v>
          </cell>
          <cell r="H224" t="str">
            <v>---</v>
          </cell>
          <cell r="I224">
            <v>0</v>
          </cell>
          <cell r="K224" t="str">
            <v>---</v>
          </cell>
        </row>
        <row r="225">
          <cell r="C225" t="str">
            <v>1994MD</v>
          </cell>
          <cell r="D225">
            <v>0</v>
          </cell>
          <cell r="E225">
            <v>0</v>
          </cell>
          <cell r="F225">
            <v>0</v>
          </cell>
          <cell r="G225">
            <v>0</v>
          </cell>
          <cell r="H225" t="str">
            <v>---</v>
          </cell>
          <cell r="I225">
            <v>0</v>
          </cell>
          <cell r="J225">
            <v>793</v>
          </cell>
          <cell r="K225" t="str">
            <v>---</v>
          </cell>
        </row>
        <row r="226">
          <cell r="C226" t="str">
            <v>1994MA</v>
          </cell>
          <cell r="D226">
            <v>0</v>
          </cell>
          <cell r="E226">
            <v>0</v>
          </cell>
          <cell r="F226">
            <v>0</v>
          </cell>
          <cell r="G226">
            <v>0</v>
          </cell>
          <cell r="H226" t="str">
            <v>---</v>
          </cell>
          <cell r="I226">
            <v>0</v>
          </cell>
          <cell r="K226" t="str">
            <v>---</v>
          </cell>
        </row>
        <row r="227">
          <cell r="C227" t="str">
            <v>1994MI</v>
          </cell>
          <cell r="D227">
            <v>0</v>
          </cell>
          <cell r="E227">
            <v>0</v>
          </cell>
          <cell r="F227">
            <v>0</v>
          </cell>
          <cell r="G227">
            <v>0</v>
          </cell>
          <cell r="H227" t="str">
            <v>---</v>
          </cell>
          <cell r="I227">
            <v>0</v>
          </cell>
          <cell r="K227" t="str">
            <v>---</v>
          </cell>
        </row>
        <row r="228">
          <cell r="C228" t="str">
            <v>1994MN</v>
          </cell>
          <cell r="D228">
            <v>0</v>
          </cell>
          <cell r="E228">
            <v>0</v>
          </cell>
          <cell r="F228">
            <v>0</v>
          </cell>
          <cell r="G228">
            <v>0</v>
          </cell>
          <cell r="H228" t="str">
            <v>---</v>
          </cell>
          <cell r="I228">
            <v>0</v>
          </cell>
          <cell r="K228" t="str">
            <v>---</v>
          </cell>
        </row>
        <row r="229">
          <cell r="C229" t="str">
            <v>1994MS</v>
          </cell>
          <cell r="D229">
            <v>0</v>
          </cell>
          <cell r="E229">
            <v>0</v>
          </cell>
          <cell r="F229">
            <v>0</v>
          </cell>
          <cell r="G229">
            <v>0</v>
          </cell>
          <cell r="H229" t="str">
            <v>---</v>
          </cell>
          <cell r="I229">
            <v>0</v>
          </cell>
          <cell r="K229" t="str">
            <v>---</v>
          </cell>
        </row>
        <row r="230">
          <cell r="C230" t="str">
            <v>1994MO</v>
          </cell>
          <cell r="D230">
            <v>0</v>
          </cell>
          <cell r="E230">
            <v>0</v>
          </cell>
          <cell r="F230">
            <v>0</v>
          </cell>
          <cell r="G230">
            <v>0</v>
          </cell>
          <cell r="H230" t="str">
            <v>---</v>
          </cell>
          <cell r="I230">
            <v>0</v>
          </cell>
          <cell r="J230">
            <v>838</v>
          </cell>
          <cell r="K230" t="str">
            <v>---</v>
          </cell>
        </row>
        <row r="231">
          <cell r="C231" t="str">
            <v>1994MT</v>
          </cell>
          <cell r="D231">
            <v>0</v>
          </cell>
          <cell r="E231">
            <v>0</v>
          </cell>
          <cell r="F231">
            <v>0</v>
          </cell>
          <cell r="G231">
            <v>0</v>
          </cell>
          <cell r="H231" t="str">
            <v>---</v>
          </cell>
          <cell r="I231">
            <v>0</v>
          </cell>
          <cell r="J231">
            <v>41636</v>
          </cell>
          <cell r="K231" t="str">
            <v>---</v>
          </cell>
        </row>
        <row r="232">
          <cell r="C232" t="str">
            <v>1994NE</v>
          </cell>
          <cell r="D232">
            <v>0</v>
          </cell>
          <cell r="E232">
            <v>0</v>
          </cell>
          <cell r="F232">
            <v>0</v>
          </cell>
          <cell r="G232">
            <v>0</v>
          </cell>
          <cell r="H232" t="str">
            <v>---</v>
          </cell>
          <cell r="I232">
            <v>0</v>
          </cell>
          <cell r="K232" t="str">
            <v>---</v>
          </cell>
        </row>
        <row r="233">
          <cell r="C233" t="str">
            <v>1994NV</v>
          </cell>
          <cell r="D233">
            <v>0</v>
          </cell>
          <cell r="E233">
            <v>0</v>
          </cell>
          <cell r="F233">
            <v>0</v>
          </cell>
          <cell r="G233">
            <v>0</v>
          </cell>
          <cell r="H233" t="str">
            <v>---</v>
          </cell>
          <cell r="I233">
            <v>0</v>
          </cell>
          <cell r="K233" t="str">
            <v>---</v>
          </cell>
        </row>
        <row r="234">
          <cell r="C234" t="str">
            <v>1994NH</v>
          </cell>
          <cell r="D234">
            <v>0</v>
          </cell>
          <cell r="E234">
            <v>0</v>
          </cell>
          <cell r="F234">
            <v>0</v>
          </cell>
          <cell r="G234">
            <v>0</v>
          </cell>
          <cell r="H234" t="str">
            <v>---</v>
          </cell>
          <cell r="I234">
            <v>0</v>
          </cell>
          <cell r="K234" t="str">
            <v>---</v>
          </cell>
        </row>
        <row r="235">
          <cell r="C235" t="str">
            <v>1994NJ</v>
          </cell>
          <cell r="D235">
            <v>0</v>
          </cell>
          <cell r="E235">
            <v>0</v>
          </cell>
          <cell r="F235">
            <v>0</v>
          </cell>
          <cell r="G235">
            <v>0</v>
          </cell>
          <cell r="H235" t="str">
            <v>---</v>
          </cell>
          <cell r="I235">
            <v>0</v>
          </cell>
          <cell r="K235" t="str">
            <v>---</v>
          </cell>
        </row>
        <row r="236">
          <cell r="C236" t="str">
            <v>1994NM</v>
          </cell>
          <cell r="D236">
            <v>186.64479165960122</v>
          </cell>
          <cell r="E236">
            <v>0</v>
          </cell>
          <cell r="F236">
            <v>0</v>
          </cell>
          <cell r="G236">
            <v>0</v>
          </cell>
          <cell r="H236" t="str">
            <v>---</v>
          </cell>
          <cell r="I236">
            <v>0</v>
          </cell>
          <cell r="J236">
            <v>27091</v>
          </cell>
          <cell r="K236" t="str">
            <v>---</v>
          </cell>
        </row>
        <row r="237">
          <cell r="C237" t="str">
            <v>1994NY</v>
          </cell>
          <cell r="D237">
            <v>0</v>
          </cell>
          <cell r="E237">
            <v>0</v>
          </cell>
          <cell r="F237">
            <v>0</v>
          </cell>
          <cell r="G237">
            <v>0</v>
          </cell>
          <cell r="H237" t="str">
            <v>---</v>
          </cell>
          <cell r="I237">
            <v>0</v>
          </cell>
          <cell r="K237" t="str">
            <v>---</v>
          </cell>
        </row>
        <row r="238">
          <cell r="C238" t="str">
            <v>1994NC</v>
          </cell>
          <cell r="D238">
            <v>0</v>
          </cell>
          <cell r="E238">
            <v>0</v>
          </cell>
          <cell r="F238">
            <v>0</v>
          </cell>
          <cell r="G238">
            <v>0</v>
          </cell>
          <cell r="H238" t="str">
            <v>---</v>
          </cell>
          <cell r="I238">
            <v>0</v>
          </cell>
          <cell r="K238" t="str">
            <v>---</v>
          </cell>
        </row>
        <row r="239">
          <cell r="C239" t="str">
            <v>1994ND</v>
          </cell>
          <cell r="D239">
            <v>0</v>
          </cell>
          <cell r="E239">
            <v>0</v>
          </cell>
          <cell r="F239">
            <v>0</v>
          </cell>
          <cell r="G239">
            <v>0</v>
          </cell>
          <cell r="H239" t="str">
            <v>---</v>
          </cell>
          <cell r="I239">
            <v>0</v>
          </cell>
          <cell r="J239">
            <v>32286</v>
          </cell>
          <cell r="K239" t="str">
            <v>---</v>
          </cell>
        </row>
        <row r="240">
          <cell r="C240" t="str">
            <v>1994OH</v>
          </cell>
          <cell r="D240">
            <v>1717.1320832683311</v>
          </cell>
          <cell r="E240">
            <v>0</v>
          </cell>
          <cell r="F240">
            <v>0</v>
          </cell>
          <cell r="G240">
            <v>0</v>
          </cell>
          <cell r="H240" t="str">
            <v>---</v>
          </cell>
          <cell r="I240">
            <v>0</v>
          </cell>
          <cell r="J240">
            <v>16290</v>
          </cell>
          <cell r="K240" t="str">
            <v>---</v>
          </cell>
        </row>
        <row r="241">
          <cell r="C241" t="str">
            <v>1994OK</v>
          </cell>
          <cell r="D241">
            <v>37.328958331920248</v>
          </cell>
          <cell r="E241">
            <v>0</v>
          </cell>
          <cell r="F241">
            <v>0</v>
          </cell>
          <cell r="G241">
            <v>0</v>
          </cell>
          <cell r="H241" t="str">
            <v>---</v>
          </cell>
          <cell r="I241">
            <v>0</v>
          </cell>
          <cell r="J241">
            <v>1776</v>
          </cell>
          <cell r="K241" t="str">
            <v>---</v>
          </cell>
        </row>
        <row r="242">
          <cell r="C242" t="str">
            <v>1994OR</v>
          </cell>
          <cell r="D242">
            <v>0</v>
          </cell>
          <cell r="E242">
            <v>0</v>
          </cell>
          <cell r="F242">
            <v>0</v>
          </cell>
          <cell r="G242">
            <v>0</v>
          </cell>
          <cell r="H242" t="str">
            <v>---</v>
          </cell>
          <cell r="I242">
            <v>0</v>
          </cell>
          <cell r="K242" t="str">
            <v>---</v>
          </cell>
        </row>
        <row r="243">
          <cell r="C243" t="str">
            <v>1994PA</v>
          </cell>
          <cell r="D243">
            <v>13177.122291167847</v>
          </cell>
          <cell r="E243">
            <v>5968.8235294117649</v>
          </cell>
          <cell r="F243">
            <v>0</v>
          </cell>
          <cell r="G243">
            <v>0</v>
          </cell>
          <cell r="H243" t="str">
            <v>---</v>
          </cell>
          <cell r="I243">
            <v>0</v>
          </cell>
          <cell r="J243">
            <v>22263</v>
          </cell>
          <cell r="K243" t="str">
            <v>---</v>
          </cell>
        </row>
        <row r="244">
          <cell r="C244" t="str">
            <v>1994RI</v>
          </cell>
          <cell r="D244">
            <v>0</v>
          </cell>
          <cell r="E244">
            <v>0</v>
          </cell>
          <cell r="F244">
            <v>0</v>
          </cell>
          <cell r="G244">
            <v>0</v>
          </cell>
          <cell r="H244" t="str">
            <v>---</v>
          </cell>
          <cell r="I244">
            <v>0</v>
          </cell>
          <cell r="K244" t="str">
            <v>---</v>
          </cell>
        </row>
        <row r="245">
          <cell r="C245" t="str">
            <v>1994SC</v>
          </cell>
          <cell r="D245">
            <v>0</v>
          </cell>
          <cell r="E245">
            <v>0</v>
          </cell>
          <cell r="F245">
            <v>0</v>
          </cell>
          <cell r="G245">
            <v>0</v>
          </cell>
          <cell r="H245" t="str">
            <v>---</v>
          </cell>
          <cell r="I245">
            <v>0</v>
          </cell>
          <cell r="K245" t="str">
            <v>---</v>
          </cell>
        </row>
        <row r="246">
          <cell r="C246" t="str">
            <v>1994SD</v>
          </cell>
          <cell r="D246">
            <v>0</v>
          </cell>
          <cell r="E246">
            <v>0</v>
          </cell>
          <cell r="F246">
            <v>0</v>
          </cell>
          <cell r="G246">
            <v>0</v>
          </cell>
          <cell r="H246" t="str">
            <v>---</v>
          </cell>
          <cell r="I246">
            <v>0</v>
          </cell>
          <cell r="K246" t="str">
            <v>---</v>
          </cell>
        </row>
        <row r="247">
          <cell r="C247" t="str">
            <v>1994TN</v>
          </cell>
          <cell r="D247">
            <v>0</v>
          </cell>
          <cell r="E247">
            <v>0</v>
          </cell>
          <cell r="F247">
            <v>0</v>
          </cell>
          <cell r="G247">
            <v>0</v>
          </cell>
          <cell r="H247" t="str">
            <v>---</v>
          </cell>
          <cell r="I247">
            <v>0</v>
          </cell>
          <cell r="J247">
            <v>1093</v>
          </cell>
          <cell r="K247" t="str">
            <v>---</v>
          </cell>
        </row>
        <row r="248">
          <cell r="C248" t="str">
            <v>1994TX</v>
          </cell>
          <cell r="D248">
            <v>0</v>
          </cell>
          <cell r="E248">
            <v>0</v>
          </cell>
          <cell r="F248">
            <v>0</v>
          </cell>
          <cell r="G248">
            <v>0</v>
          </cell>
          <cell r="H248" t="str">
            <v>---</v>
          </cell>
          <cell r="I248">
            <v>0</v>
          </cell>
          <cell r="J248">
            <v>52346</v>
          </cell>
          <cell r="K248" t="str">
            <v>---</v>
          </cell>
        </row>
        <row r="249">
          <cell r="C249" t="str">
            <v>1994UT</v>
          </cell>
          <cell r="D249">
            <v>1530.4872916087302</v>
          </cell>
          <cell r="E249">
            <v>311.05375757575825</v>
          </cell>
          <cell r="F249">
            <v>3.4961197609077534</v>
          </cell>
          <cell r="G249">
            <v>0</v>
          </cell>
          <cell r="H249" t="str">
            <v>---</v>
          </cell>
          <cell r="I249">
            <v>0</v>
          </cell>
          <cell r="K249" t="str">
            <v>---</v>
          </cell>
        </row>
        <row r="250">
          <cell r="C250" t="str">
            <v>1994VT</v>
          </cell>
          <cell r="D250">
            <v>0</v>
          </cell>
          <cell r="E250">
            <v>0</v>
          </cell>
          <cell r="F250">
            <v>0</v>
          </cell>
          <cell r="G250">
            <v>0</v>
          </cell>
          <cell r="H250" t="str">
            <v>---</v>
          </cell>
          <cell r="I250">
            <v>0</v>
          </cell>
          <cell r="K250" t="str">
            <v>---</v>
          </cell>
        </row>
        <row r="251">
          <cell r="C251" t="str">
            <v>1994VA</v>
          </cell>
          <cell r="D251">
            <v>17656.597290998277</v>
          </cell>
          <cell r="E251">
            <v>20347.463587668812</v>
          </cell>
          <cell r="F251">
            <v>15426.28909241096</v>
          </cell>
          <cell r="G251">
            <v>0</v>
          </cell>
          <cell r="H251" t="str">
            <v>---</v>
          </cell>
          <cell r="I251">
            <v>0</v>
          </cell>
          <cell r="J251">
            <v>9075</v>
          </cell>
          <cell r="K251" t="str">
            <v>---</v>
          </cell>
        </row>
        <row r="252">
          <cell r="C252" t="str">
            <v>1994WA</v>
          </cell>
          <cell r="D252">
            <v>0</v>
          </cell>
          <cell r="E252">
            <v>0</v>
          </cell>
          <cell r="F252">
            <v>0</v>
          </cell>
          <cell r="G252">
            <v>0</v>
          </cell>
          <cell r="H252" t="str">
            <v>---</v>
          </cell>
          <cell r="I252">
            <v>0</v>
          </cell>
          <cell r="J252">
            <v>4893</v>
          </cell>
          <cell r="K252" t="str">
            <v>---</v>
          </cell>
        </row>
        <row r="253">
          <cell r="C253" t="str">
            <v>1994WV</v>
          </cell>
          <cell r="D253">
            <v>16536.728541040669</v>
          </cell>
          <cell r="E253">
            <v>5857.2596899224809</v>
          </cell>
          <cell r="F253">
            <v>70.072888837209305</v>
          </cell>
          <cell r="G253">
            <v>0</v>
          </cell>
          <cell r="H253">
            <v>43702</v>
          </cell>
          <cell r="I253">
            <v>43702</v>
          </cell>
          <cell r="J253">
            <v>44483</v>
          </cell>
          <cell r="K253">
            <v>5614</v>
          </cell>
        </row>
        <row r="254">
          <cell r="C254" t="str">
            <v>1994WI</v>
          </cell>
          <cell r="D254">
            <v>0</v>
          </cell>
          <cell r="E254">
            <v>0</v>
          </cell>
          <cell r="F254">
            <v>0</v>
          </cell>
          <cell r="G254">
            <v>0</v>
          </cell>
          <cell r="H254" t="str">
            <v>---</v>
          </cell>
          <cell r="I254">
            <v>0</v>
          </cell>
          <cell r="K254" t="str">
            <v>---</v>
          </cell>
        </row>
        <row r="255">
          <cell r="C255" t="str">
            <v>1994WY</v>
          </cell>
          <cell r="D255">
            <v>0</v>
          </cell>
          <cell r="E255">
            <v>0</v>
          </cell>
          <cell r="F255">
            <v>0</v>
          </cell>
          <cell r="G255">
            <v>0</v>
          </cell>
          <cell r="H255" t="str">
            <v>---</v>
          </cell>
          <cell r="I255">
            <v>0</v>
          </cell>
          <cell r="J255">
            <v>234357</v>
          </cell>
          <cell r="K255" t="str">
            <v>---</v>
          </cell>
        </row>
        <row r="256">
          <cell r="C256" t="str">
            <v>1995AL</v>
          </cell>
          <cell r="D256">
            <v>31706.930931362054</v>
          </cell>
          <cell r="E256">
            <v>12486.854359999999</v>
          </cell>
          <cell r="F256">
            <v>12486.854359999999</v>
          </cell>
          <cell r="G256">
            <v>0</v>
          </cell>
          <cell r="H256" t="str">
            <v>---</v>
          </cell>
          <cell r="I256">
            <v>0</v>
          </cell>
          <cell r="J256">
            <v>7036</v>
          </cell>
          <cell r="K256" t="str">
            <v>---</v>
          </cell>
        </row>
        <row r="257">
          <cell r="C257" t="str">
            <v>1995AK</v>
          </cell>
          <cell r="D257">
            <v>0</v>
          </cell>
          <cell r="E257">
            <v>0</v>
          </cell>
          <cell r="F257">
            <v>0</v>
          </cell>
          <cell r="G257">
            <v>0</v>
          </cell>
          <cell r="H257" t="str">
            <v>---</v>
          </cell>
          <cell r="I257">
            <v>0</v>
          </cell>
          <cell r="J257">
            <v>1698</v>
          </cell>
          <cell r="K257" t="str">
            <v>---</v>
          </cell>
        </row>
        <row r="258">
          <cell r="C258" t="str">
            <v>1995AZ</v>
          </cell>
          <cell r="D258">
            <v>0</v>
          </cell>
          <cell r="E258">
            <v>0</v>
          </cell>
          <cell r="F258">
            <v>0</v>
          </cell>
          <cell r="G258">
            <v>0</v>
          </cell>
          <cell r="H258" t="str">
            <v>---</v>
          </cell>
          <cell r="I258">
            <v>0</v>
          </cell>
          <cell r="J258">
            <v>11947</v>
          </cell>
          <cell r="K258" t="str">
            <v>---</v>
          </cell>
        </row>
        <row r="259">
          <cell r="C259" t="str">
            <v>1995AR</v>
          </cell>
          <cell r="D259">
            <v>0</v>
          </cell>
          <cell r="E259">
            <v>0</v>
          </cell>
          <cell r="F259">
            <v>0</v>
          </cell>
          <cell r="G259">
            <v>0</v>
          </cell>
          <cell r="H259" t="str">
            <v>---</v>
          </cell>
          <cell r="I259">
            <v>0</v>
          </cell>
          <cell r="J259">
            <v>29</v>
          </cell>
          <cell r="K259" t="str">
            <v>---</v>
          </cell>
        </row>
        <row r="260">
          <cell r="C260" t="str">
            <v>1995CA</v>
          </cell>
          <cell r="D260">
            <v>0</v>
          </cell>
          <cell r="E260">
            <v>0</v>
          </cell>
          <cell r="F260">
            <v>0</v>
          </cell>
          <cell r="G260">
            <v>0</v>
          </cell>
          <cell r="H260" t="str">
            <v>---</v>
          </cell>
          <cell r="I260">
            <v>0</v>
          </cell>
          <cell r="J260">
            <v>0</v>
          </cell>
          <cell r="K260" t="str">
            <v>---</v>
          </cell>
        </row>
        <row r="261">
          <cell r="C261" t="str">
            <v>1995CO</v>
          </cell>
          <cell r="D261">
            <v>5828.7735028693778</v>
          </cell>
          <cell r="E261">
            <v>0</v>
          </cell>
          <cell r="F261">
            <v>0</v>
          </cell>
          <cell r="G261">
            <v>0</v>
          </cell>
          <cell r="H261" t="str">
            <v>---</v>
          </cell>
          <cell r="I261">
            <v>0</v>
          </cell>
          <cell r="J261">
            <v>8523</v>
          </cell>
          <cell r="K261" t="str">
            <v>---</v>
          </cell>
        </row>
        <row r="262">
          <cell r="C262" t="str">
            <v>1995CT</v>
          </cell>
          <cell r="D262">
            <v>0</v>
          </cell>
          <cell r="E262">
            <v>0</v>
          </cell>
          <cell r="F262">
            <v>0</v>
          </cell>
          <cell r="G262">
            <v>0</v>
          </cell>
          <cell r="H262" t="str">
            <v>---</v>
          </cell>
          <cell r="I262">
            <v>0</v>
          </cell>
          <cell r="K262" t="str">
            <v>---</v>
          </cell>
        </row>
        <row r="263">
          <cell r="C263" t="str">
            <v>1995DE</v>
          </cell>
          <cell r="D263">
            <v>0</v>
          </cell>
          <cell r="E263">
            <v>0</v>
          </cell>
          <cell r="F263">
            <v>0</v>
          </cell>
          <cell r="G263">
            <v>0</v>
          </cell>
          <cell r="H263" t="str">
            <v>---</v>
          </cell>
          <cell r="I263">
            <v>0</v>
          </cell>
          <cell r="K263" t="str">
            <v>---</v>
          </cell>
        </row>
        <row r="264">
          <cell r="C264" t="str">
            <v>1995FL</v>
          </cell>
          <cell r="D264">
            <v>0</v>
          </cell>
          <cell r="E264">
            <v>0</v>
          </cell>
          <cell r="F264">
            <v>0</v>
          </cell>
          <cell r="G264">
            <v>0</v>
          </cell>
          <cell r="H264" t="str">
            <v>---</v>
          </cell>
          <cell r="I264">
            <v>0</v>
          </cell>
          <cell r="K264" t="str">
            <v>---</v>
          </cell>
        </row>
        <row r="265">
          <cell r="C265" t="str">
            <v>1995GA</v>
          </cell>
          <cell r="D265">
            <v>0</v>
          </cell>
          <cell r="E265">
            <v>0</v>
          </cell>
          <cell r="F265">
            <v>0</v>
          </cell>
          <cell r="G265">
            <v>0</v>
          </cell>
          <cell r="H265" t="str">
            <v>---</v>
          </cell>
          <cell r="I265">
            <v>0</v>
          </cell>
          <cell r="K265" t="str">
            <v>---</v>
          </cell>
        </row>
        <row r="266">
          <cell r="C266" t="str">
            <v>1995HI</v>
          </cell>
          <cell r="D266">
            <v>0</v>
          </cell>
          <cell r="E266">
            <v>0</v>
          </cell>
          <cell r="F266">
            <v>0</v>
          </cell>
          <cell r="G266">
            <v>0</v>
          </cell>
          <cell r="H266" t="str">
            <v>---</v>
          </cell>
          <cell r="I266">
            <v>0</v>
          </cell>
          <cell r="K266" t="str">
            <v>---</v>
          </cell>
        </row>
        <row r="267">
          <cell r="C267" t="str">
            <v>1995ID</v>
          </cell>
          <cell r="D267">
            <v>0</v>
          </cell>
          <cell r="E267">
            <v>0</v>
          </cell>
          <cell r="F267">
            <v>0</v>
          </cell>
          <cell r="G267">
            <v>0</v>
          </cell>
          <cell r="H267" t="str">
            <v>---</v>
          </cell>
          <cell r="I267">
            <v>0</v>
          </cell>
          <cell r="K267" t="str">
            <v>---</v>
          </cell>
        </row>
        <row r="268">
          <cell r="C268" t="str">
            <v>1995IL</v>
          </cell>
          <cell r="D268">
            <v>10140.468970745356</v>
          </cell>
          <cell r="E268">
            <v>0</v>
          </cell>
          <cell r="F268">
            <v>0</v>
          </cell>
          <cell r="G268">
            <v>0</v>
          </cell>
          <cell r="H268" t="str">
            <v>---</v>
          </cell>
          <cell r="I268">
            <v>0</v>
          </cell>
          <cell r="J268">
            <v>7062</v>
          </cell>
          <cell r="K268" t="str">
            <v>---</v>
          </cell>
        </row>
        <row r="269">
          <cell r="C269" t="str">
            <v>1995IN</v>
          </cell>
          <cell r="D269">
            <v>159.69242473614733</v>
          </cell>
          <cell r="E269">
            <v>0</v>
          </cell>
          <cell r="F269">
            <v>0</v>
          </cell>
          <cell r="G269">
            <v>0</v>
          </cell>
          <cell r="H269" t="str">
            <v>---</v>
          </cell>
          <cell r="I269">
            <v>0</v>
          </cell>
          <cell r="J269">
            <v>22467</v>
          </cell>
          <cell r="K269" t="str">
            <v>---</v>
          </cell>
        </row>
        <row r="270">
          <cell r="C270" t="str">
            <v>1995IA</v>
          </cell>
          <cell r="D270">
            <v>0</v>
          </cell>
          <cell r="E270">
            <v>0</v>
          </cell>
          <cell r="F270">
            <v>0</v>
          </cell>
          <cell r="G270">
            <v>0</v>
          </cell>
          <cell r="H270" t="str">
            <v>---</v>
          </cell>
          <cell r="I270">
            <v>0</v>
          </cell>
          <cell r="J270">
            <v>0</v>
          </cell>
          <cell r="K270" t="str">
            <v>---</v>
          </cell>
        </row>
        <row r="271">
          <cell r="C271" t="str">
            <v>1995KS</v>
          </cell>
          <cell r="D271">
            <v>0</v>
          </cell>
          <cell r="E271">
            <v>0</v>
          </cell>
          <cell r="F271">
            <v>0</v>
          </cell>
          <cell r="G271">
            <v>0</v>
          </cell>
          <cell r="H271" t="str">
            <v>---</v>
          </cell>
          <cell r="I271">
            <v>0</v>
          </cell>
          <cell r="J271">
            <v>285</v>
          </cell>
          <cell r="K271" t="str">
            <v>---</v>
          </cell>
        </row>
        <row r="272">
          <cell r="C272" t="str">
            <v>1995KY</v>
          </cell>
          <cell r="D272">
            <v>4682.9803553875199</v>
          </cell>
          <cell r="E272">
            <v>0</v>
          </cell>
          <cell r="F272">
            <v>0</v>
          </cell>
          <cell r="G272">
            <v>0</v>
          </cell>
          <cell r="H272">
            <v>24351</v>
          </cell>
          <cell r="I272">
            <v>24351</v>
          </cell>
          <cell r="J272">
            <v>48685</v>
          </cell>
          <cell r="K272">
            <v>10847</v>
          </cell>
        </row>
        <row r="273">
          <cell r="C273" t="str">
            <v>1995LA</v>
          </cell>
          <cell r="D273">
            <v>0</v>
          </cell>
          <cell r="E273">
            <v>0</v>
          </cell>
          <cell r="F273">
            <v>0</v>
          </cell>
          <cell r="G273">
            <v>0</v>
          </cell>
          <cell r="H273" t="str">
            <v>---</v>
          </cell>
          <cell r="I273">
            <v>0</v>
          </cell>
          <cell r="J273">
            <v>3719</v>
          </cell>
          <cell r="K273" t="str">
            <v>---</v>
          </cell>
        </row>
        <row r="274">
          <cell r="C274" t="str">
            <v>1995ME</v>
          </cell>
          <cell r="D274">
            <v>0</v>
          </cell>
          <cell r="E274">
            <v>0</v>
          </cell>
          <cell r="F274">
            <v>0</v>
          </cell>
          <cell r="G274">
            <v>0</v>
          </cell>
          <cell r="H274" t="str">
            <v>---</v>
          </cell>
          <cell r="I274">
            <v>0</v>
          </cell>
          <cell r="K274" t="str">
            <v>---</v>
          </cell>
        </row>
        <row r="275">
          <cell r="C275" t="str">
            <v>1995MD</v>
          </cell>
          <cell r="D275">
            <v>0</v>
          </cell>
          <cell r="E275">
            <v>0</v>
          </cell>
          <cell r="F275">
            <v>0</v>
          </cell>
          <cell r="G275">
            <v>0</v>
          </cell>
          <cell r="H275" t="str">
            <v>---</v>
          </cell>
          <cell r="I275">
            <v>0</v>
          </cell>
          <cell r="J275">
            <v>776</v>
          </cell>
          <cell r="K275" t="str">
            <v>---</v>
          </cell>
        </row>
        <row r="276">
          <cell r="C276" t="str">
            <v>1995MA</v>
          </cell>
          <cell r="D276">
            <v>0</v>
          </cell>
          <cell r="E276">
            <v>0</v>
          </cell>
          <cell r="F276">
            <v>0</v>
          </cell>
          <cell r="G276">
            <v>0</v>
          </cell>
          <cell r="H276" t="str">
            <v>---</v>
          </cell>
          <cell r="I276">
            <v>0</v>
          </cell>
          <cell r="K276" t="str">
            <v>---</v>
          </cell>
        </row>
        <row r="277">
          <cell r="C277" t="str">
            <v>1995MI</v>
          </cell>
          <cell r="D277">
            <v>0</v>
          </cell>
          <cell r="E277">
            <v>0</v>
          </cell>
          <cell r="F277">
            <v>0</v>
          </cell>
          <cell r="G277">
            <v>0</v>
          </cell>
          <cell r="H277" t="str">
            <v>---</v>
          </cell>
          <cell r="I277">
            <v>0</v>
          </cell>
          <cell r="K277" t="str">
            <v>---</v>
          </cell>
        </row>
        <row r="278">
          <cell r="C278" t="str">
            <v>1995MN</v>
          </cell>
          <cell r="D278">
            <v>0</v>
          </cell>
          <cell r="E278">
            <v>0</v>
          </cell>
          <cell r="F278">
            <v>0</v>
          </cell>
          <cell r="G278">
            <v>0</v>
          </cell>
          <cell r="H278" t="str">
            <v>---</v>
          </cell>
          <cell r="I278">
            <v>0</v>
          </cell>
          <cell r="K278" t="str">
            <v>---</v>
          </cell>
        </row>
        <row r="279">
          <cell r="C279" t="str">
            <v>1995MS</v>
          </cell>
          <cell r="D279">
            <v>0</v>
          </cell>
          <cell r="E279">
            <v>0</v>
          </cell>
          <cell r="F279">
            <v>0</v>
          </cell>
          <cell r="G279">
            <v>0</v>
          </cell>
          <cell r="H279" t="str">
            <v>---</v>
          </cell>
          <cell r="I279">
            <v>0</v>
          </cell>
          <cell r="K279" t="str">
            <v>---</v>
          </cell>
        </row>
        <row r="280">
          <cell r="C280" t="str">
            <v>1995MO</v>
          </cell>
          <cell r="D280">
            <v>0</v>
          </cell>
          <cell r="E280">
            <v>0</v>
          </cell>
          <cell r="F280">
            <v>0</v>
          </cell>
          <cell r="G280">
            <v>0</v>
          </cell>
          <cell r="H280" t="str">
            <v>---</v>
          </cell>
          <cell r="I280">
            <v>0</v>
          </cell>
          <cell r="J280">
            <v>548</v>
          </cell>
          <cell r="K280" t="str">
            <v>---</v>
          </cell>
        </row>
        <row r="281">
          <cell r="C281" t="str">
            <v>1995MT</v>
          </cell>
          <cell r="D281">
            <v>0</v>
          </cell>
          <cell r="E281">
            <v>0</v>
          </cell>
          <cell r="F281">
            <v>0</v>
          </cell>
          <cell r="G281">
            <v>0</v>
          </cell>
          <cell r="H281" t="str">
            <v>---</v>
          </cell>
          <cell r="I281">
            <v>0</v>
          </cell>
          <cell r="J281">
            <v>39441</v>
          </cell>
          <cell r="K281" t="str">
            <v>---</v>
          </cell>
        </row>
        <row r="282">
          <cell r="C282" t="str">
            <v>1995NE</v>
          </cell>
          <cell r="D282">
            <v>0</v>
          </cell>
          <cell r="E282">
            <v>0</v>
          </cell>
          <cell r="F282">
            <v>0</v>
          </cell>
          <cell r="G282">
            <v>0</v>
          </cell>
          <cell r="H282" t="str">
            <v>---</v>
          </cell>
          <cell r="I282">
            <v>0</v>
          </cell>
          <cell r="K282" t="str">
            <v>---</v>
          </cell>
        </row>
        <row r="283">
          <cell r="C283" t="str">
            <v>1995NV</v>
          </cell>
          <cell r="D283">
            <v>0</v>
          </cell>
          <cell r="E283">
            <v>0</v>
          </cell>
          <cell r="F283">
            <v>0</v>
          </cell>
          <cell r="G283">
            <v>0</v>
          </cell>
          <cell r="H283" t="str">
            <v>---</v>
          </cell>
          <cell r="I283">
            <v>0</v>
          </cell>
          <cell r="K283" t="str">
            <v>---</v>
          </cell>
        </row>
        <row r="284">
          <cell r="C284" t="str">
            <v>1995NH</v>
          </cell>
          <cell r="D284">
            <v>0</v>
          </cell>
          <cell r="E284">
            <v>0</v>
          </cell>
          <cell r="F284">
            <v>0</v>
          </cell>
          <cell r="G284">
            <v>0</v>
          </cell>
          <cell r="H284" t="str">
            <v>---</v>
          </cell>
          <cell r="I284">
            <v>0</v>
          </cell>
          <cell r="K284" t="str">
            <v>---</v>
          </cell>
        </row>
        <row r="285">
          <cell r="C285" t="str">
            <v>1995NJ</v>
          </cell>
          <cell r="D285">
            <v>0</v>
          </cell>
          <cell r="E285">
            <v>0</v>
          </cell>
          <cell r="F285">
            <v>0</v>
          </cell>
          <cell r="G285">
            <v>0</v>
          </cell>
          <cell r="H285" t="str">
            <v>---</v>
          </cell>
          <cell r="I285">
            <v>0</v>
          </cell>
          <cell r="K285" t="str">
            <v>---</v>
          </cell>
        </row>
        <row r="286">
          <cell r="C286" t="str">
            <v>1995NM</v>
          </cell>
          <cell r="D286">
            <v>119.76931855211051</v>
          </cell>
          <cell r="E286">
            <v>0</v>
          </cell>
          <cell r="F286">
            <v>0</v>
          </cell>
          <cell r="G286">
            <v>0</v>
          </cell>
          <cell r="H286" t="str">
            <v>---</v>
          </cell>
          <cell r="I286">
            <v>0</v>
          </cell>
          <cell r="J286">
            <v>26173</v>
          </cell>
          <cell r="K286" t="str">
            <v>---</v>
          </cell>
        </row>
        <row r="287">
          <cell r="C287" t="str">
            <v>1995NY</v>
          </cell>
          <cell r="D287">
            <v>0</v>
          </cell>
          <cell r="E287">
            <v>0</v>
          </cell>
          <cell r="F287">
            <v>0</v>
          </cell>
          <cell r="G287">
            <v>0</v>
          </cell>
          <cell r="H287" t="str">
            <v>---</v>
          </cell>
          <cell r="I287">
            <v>0</v>
          </cell>
          <cell r="K287" t="str">
            <v>---</v>
          </cell>
        </row>
        <row r="288">
          <cell r="C288" t="str">
            <v>1995NC</v>
          </cell>
          <cell r="D288">
            <v>0</v>
          </cell>
          <cell r="E288">
            <v>0</v>
          </cell>
          <cell r="F288">
            <v>0</v>
          </cell>
          <cell r="G288">
            <v>0</v>
          </cell>
          <cell r="H288" t="str">
            <v>---</v>
          </cell>
          <cell r="I288">
            <v>0</v>
          </cell>
          <cell r="K288" t="str">
            <v>---</v>
          </cell>
        </row>
        <row r="289">
          <cell r="C289" t="str">
            <v>1995ND</v>
          </cell>
          <cell r="D289">
            <v>0</v>
          </cell>
          <cell r="E289">
            <v>0</v>
          </cell>
          <cell r="F289">
            <v>0</v>
          </cell>
          <cell r="G289">
            <v>0</v>
          </cell>
          <cell r="H289" t="str">
            <v>---</v>
          </cell>
          <cell r="I289">
            <v>0</v>
          </cell>
          <cell r="J289">
            <v>30112</v>
          </cell>
          <cell r="K289" t="str">
            <v>---</v>
          </cell>
        </row>
        <row r="290">
          <cell r="C290" t="str">
            <v>1995OH</v>
          </cell>
          <cell r="D290">
            <v>1796.5397782816576</v>
          </cell>
          <cell r="E290">
            <v>0</v>
          </cell>
          <cell r="F290">
            <v>0</v>
          </cell>
          <cell r="G290">
            <v>0</v>
          </cell>
          <cell r="H290" t="str">
            <v>---</v>
          </cell>
          <cell r="I290">
            <v>0</v>
          </cell>
          <cell r="J290">
            <v>13041</v>
          </cell>
          <cell r="K290" t="str">
            <v>---</v>
          </cell>
        </row>
        <row r="291">
          <cell r="C291" t="str">
            <v>1995OK</v>
          </cell>
          <cell r="D291">
            <v>0</v>
          </cell>
          <cell r="E291">
            <v>0</v>
          </cell>
          <cell r="F291">
            <v>0</v>
          </cell>
          <cell r="G291">
            <v>0</v>
          </cell>
          <cell r="H291" t="str">
            <v>---</v>
          </cell>
          <cell r="I291">
            <v>0</v>
          </cell>
          <cell r="J291">
            <v>1851</v>
          </cell>
          <cell r="K291" t="str">
            <v>---</v>
          </cell>
        </row>
        <row r="292">
          <cell r="C292" t="str">
            <v>1995OR</v>
          </cell>
          <cell r="D292">
            <v>0</v>
          </cell>
          <cell r="E292">
            <v>0</v>
          </cell>
          <cell r="F292">
            <v>0</v>
          </cell>
          <cell r="G292">
            <v>0</v>
          </cell>
          <cell r="H292" t="str">
            <v>---</v>
          </cell>
          <cell r="I292">
            <v>0</v>
          </cell>
          <cell r="K292" t="str">
            <v>---</v>
          </cell>
        </row>
        <row r="293">
          <cell r="C293" t="str">
            <v>1995PA</v>
          </cell>
          <cell r="D293">
            <v>17286.70497768795</v>
          </cell>
          <cell r="E293">
            <v>3672.1862745098047</v>
          </cell>
          <cell r="F293">
            <v>0</v>
          </cell>
          <cell r="G293">
            <v>0</v>
          </cell>
          <cell r="H293" t="str">
            <v>---</v>
          </cell>
          <cell r="I293">
            <v>0</v>
          </cell>
          <cell r="J293">
            <v>20167</v>
          </cell>
          <cell r="K293" t="str">
            <v>---</v>
          </cell>
        </row>
        <row r="294">
          <cell r="C294" t="str">
            <v>1995RI</v>
          </cell>
          <cell r="D294">
            <v>0</v>
          </cell>
          <cell r="E294">
            <v>0</v>
          </cell>
          <cell r="F294">
            <v>0</v>
          </cell>
          <cell r="G294">
            <v>0</v>
          </cell>
          <cell r="H294" t="str">
            <v>---</v>
          </cell>
          <cell r="I294">
            <v>0</v>
          </cell>
          <cell r="K294" t="str">
            <v>---</v>
          </cell>
        </row>
        <row r="295">
          <cell r="C295" t="str">
            <v>1995SC</v>
          </cell>
          <cell r="D295">
            <v>0</v>
          </cell>
          <cell r="E295">
            <v>0</v>
          </cell>
          <cell r="F295">
            <v>0</v>
          </cell>
          <cell r="G295">
            <v>0</v>
          </cell>
          <cell r="H295" t="str">
            <v>---</v>
          </cell>
          <cell r="I295">
            <v>0</v>
          </cell>
          <cell r="K295" t="str">
            <v>---</v>
          </cell>
        </row>
        <row r="296">
          <cell r="C296" t="str">
            <v>1995SD</v>
          </cell>
          <cell r="D296">
            <v>0</v>
          </cell>
          <cell r="E296">
            <v>0</v>
          </cell>
          <cell r="F296">
            <v>0</v>
          </cell>
          <cell r="G296">
            <v>0</v>
          </cell>
          <cell r="H296" t="str">
            <v>---</v>
          </cell>
          <cell r="I296">
            <v>0</v>
          </cell>
          <cell r="K296" t="str">
            <v>---</v>
          </cell>
        </row>
        <row r="297">
          <cell r="C297" t="str">
            <v>1995TN</v>
          </cell>
          <cell r="D297">
            <v>0</v>
          </cell>
          <cell r="E297">
            <v>0</v>
          </cell>
          <cell r="F297">
            <v>0</v>
          </cell>
          <cell r="G297">
            <v>0</v>
          </cell>
          <cell r="H297" t="str">
            <v>---</v>
          </cell>
          <cell r="I297">
            <v>0</v>
          </cell>
          <cell r="J297">
            <v>1258</v>
          </cell>
          <cell r="K297" t="str">
            <v>---</v>
          </cell>
        </row>
        <row r="298">
          <cell r="C298" t="str">
            <v>1995TX</v>
          </cell>
          <cell r="D298">
            <v>0</v>
          </cell>
          <cell r="E298">
            <v>0</v>
          </cell>
          <cell r="F298">
            <v>0</v>
          </cell>
          <cell r="G298">
            <v>0</v>
          </cell>
          <cell r="H298" t="str">
            <v>---</v>
          </cell>
          <cell r="I298">
            <v>0</v>
          </cell>
          <cell r="J298">
            <v>52684</v>
          </cell>
          <cell r="K298" t="str">
            <v>---</v>
          </cell>
        </row>
        <row r="299">
          <cell r="C299" t="str">
            <v>1995UT</v>
          </cell>
          <cell r="D299">
            <v>1756.6166720976207</v>
          </cell>
          <cell r="E299">
            <v>0</v>
          </cell>
          <cell r="F299">
            <v>0</v>
          </cell>
          <cell r="G299">
            <v>0</v>
          </cell>
          <cell r="H299" t="str">
            <v>---</v>
          </cell>
          <cell r="I299">
            <v>0</v>
          </cell>
          <cell r="K299" t="str">
            <v>---</v>
          </cell>
        </row>
        <row r="300">
          <cell r="C300" t="str">
            <v>1995VT</v>
          </cell>
          <cell r="D300">
            <v>0</v>
          </cell>
          <cell r="E300">
            <v>0</v>
          </cell>
          <cell r="F300">
            <v>0</v>
          </cell>
          <cell r="G300">
            <v>0</v>
          </cell>
          <cell r="H300" t="str">
            <v>---</v>
          </cell>
          <cell r="I300">
            <v>0</v>
          </cell>
          <cell r="K300" t="str">
            <v>---</v>
          </cell>
        </row>
        <row r="301">
          <cell r="C301" t="str">
            <v>1995VA</v>
          </cell>
          <cell r="D301">
            <v>14292.472013885186</v>
          </cell>
          <cell r="E301">
            <v>19740.020361990952</v>
          </cell>
          <cell r="F301">
            <v>17769.615620000004</v>
          </cell>
          <cell r="G301">
            <v>0</v>
          </cell>
          <cell r="H301" t="str">
            <v>---</v>
          </cell>
          <cell r="I301">
            <v>0</v>
          </cell>
          <cell r="J301">
            <v>8727</v>
          </cell>
          <cell r="K301" t="str">
            <v>---</v>
          </cell>
        </row>
        <row r="302">
          <cell r="C302" t="str">
            <v>1995WA</v>
          </cell>
          <cell r="D302">
            <v>0</v>
          </cell>
          <cell r="E302">
            <v>0</v>
          </cell>
          <cell r="F302">
            <v>0</v>
          </cell>
          <cell r="G302">
            <v>0</v>
          </cell>
          <cell r="H302" t="str">
            <v>---</v>
          </cell>
          <cell r="I302">
            <v>0</v>
          </cell>
          <cell r="J302">
            <v>4868</v>
          </cell>
          <cell r="K302" t="str">
            <v>---</v>
          </cell>
        </row>
        <row r="303">
          <cell r="C303" t="str">
            <v>1995WV</v>
          </cell>
          <cell r="D303">
            <v>21566.461960616696</v>
          </cell>
          <cell r="E303">
            <v>572.38636363636397</v>
          </cell>
          <cell r="F303">
            <v>0</v>
          </cell>
          <cell r="G303">
            <v>0</v>
          </cell>
          <cell r="H303">
            <v>40726</v>
          </cell>
          <cell r="I303">
            <v>40726</v>
          </cell>
          <cell r="J303">
            <v>47580</v>
          </cell>
          <cell r="K303">
            <v>5388</v>
          </cell>
        </row>
        <row r="304">
          <cell r="C304" t="str">
            <v>1995WI</v>
          </cell>
          <cell r="D304">
            <v>0</v>
          </cell>
          <cell r="E304">
            <v>0</v>
          </cell>
          <cell r="F304">
            <v>0</v>
          </cell>
          <cell r="G304">
            <v>0</v>
          </cell>
          <cell r="H304" t="str">
            <v>---</v>
          </cell>
          <cell r="I304">
            <v>0</v>
          </cell>
          <cell r="K304" t="str">
            <v>---</v>
          </cell>
        </row>
        <row r="305">
          <cell r="C305" t="str">
            <v>1995WY</v>
          </cell>
          <cell r="D305">
            <v>0</v>
          </cell>
          <cell r="E305">
            <v>0</v>
          </cell>
          <cell r="F305">
            <v>0</v>
          </cell>
          <cell r="G305">
            <v>0</v>
          </cell>
          <cell r="H305" t="str">
            <v>---</v>
          </cell>
          <cell r="I305">
            <v>0</v>
          </cell>
          <cell r="J305">
            <v>261814</v>
          </cell>
          <cell r="K305" t="str">
            <v>---</v>
          </cell>
        </row>
        <row r="306">
          <cell r="C306" t="str">
            <v>1996AL</v>
          </cell>
          <cell r="D306">
            <v>27518.329884580642</v>
          </cell>
          <cell r="E306">
            <v>17444.156080000001</v>
          </cell>
          <cell r="F306">
            <v>17444.156080000001</v>
          </cell>
          <cell r="G306">
            <v>0</v>
          </cell>
          <cell r="H306" t="str">
            <v>---</v>
          </cell>
          <cell r="I306">
            <v>0</v>
          </cell>
          <cell r="J306">
            <v>6420</v>
          </cell>
          <cell r="K306" t="str">
            <v>---</v>
          </cell>
        </row>
        <row r="307">
          <cell r="C307" t="str">
            <v>1996AK</v>
          </cell>
          <cell r="D307">
            <v>0</v>
          </cell>
          <cell r="E307">
            <v>0</v>
          </cell>
          <cell r="F307">
            <v>0</v>
          </cell>
          <cell r="G307">
            <v>0</v>
          </cell>
          <cell r="H307" t="str">
            <v>---</v>
          </cell>
          <cell r="I307">
            <v>0</v>
          </cell>
          <cell r="J307">
            <v>1481</v>
          </cell>
          <cell r="K307" t="str">
            <v>---</v>
          </cell>
        </row>
        <row r="308">
          <cell r="C308" t="str">
            <v>1996AZ</v>
          </cell>
          <cell r="D308">
            <v>0</v>
          </cell>
          <cell r="E308">
            <v>0</v>
          </cell>
          <cell r="F308">
            <v>0</v>
          </cell>
          <cell r="G308">
            <v>0</v>
          </cell>
          <cell r="H308" t="str">
            <v>---</v>
          </cell>
          <cell r="I308">
            <v>0</v>
          </cell>
          <cell r="J308">
            <v>10442</v>
          </cell>
          <cell r="K308" t="str">
            <v>---</v>
          </cell>
        </row>
        <row r="309">
          <cell r="C309" t="str">
            <v>1996AR</v>
          </cell>
          <cell r="D309">
            <v>0</v>
          </cell>
          <cell r="E309">
            <v>0</v>
          </cell>
          <cell r="F309">
            <v>0</v>
          </cell>
          <cell r="G309">
            <v>0</v>
          </cell>
          <cell r="H309" t="str">
            <v>---</v>
          </cell>
          <cell r="I309">
            <v>0</v>
          </cell>
          <cell r="J309">
            <v>21</v>
          </cell>
          <cell r="K309" t="str">
            <v>---</v>
          </cell>
        </row>
        <row r="310">
          <cell r="C310" t="str">
            <v>1996CA</v>
          </cell>
          <cell r="D310">
            <v>0</v>
          </cell>
          <cell r="E310">
            <v>0</v>
          </cell>
          <cell r="F310">
            <v>0</v>
          </cell>
          <cell r="G310">
            <v>0</v>
          </cell>
          <cell r="H310" t="str">
            <v>---</v>
          </cell>
          <cell r="I310">
            <v>0</v>
          </cell>
          <cell r="J310">
            <v>0</v>
          </cell>
          <cell r="K310" t="str">
            <v>---</v>
          </cell>
        </row>
        <row r="311">
          <cell r="C311" t="str">
            <v>1996CO</v>
          </cell>
          <cell r="D311">
            <v>4163.3783939429532</v>
          </cell>
          <cell r="E311">
            <v>97.6</v>
          </cell>
          <cell r="F311">
            <v>0</v>
          </cell>
          <cell r="G311">
            <v>0</v>
          </cell>
          <cell r="H311" t="str">
            <v>---</v>
          </cell>
          <cell r="I311">
            <v>0</v>
          </cell>
          <cell r="J311">
            <v>9305</v>
          </cell>
          <cell r="K311" t="str">
            <v>---</v>
          </cell>
        </row>
        <row r="312">
          <cell r="C312" t="str">
            <v>1996CT</v>
          </cell>
          <cell r="D312">
            <v>0</v>
          </cell>
          <cell r="E312">
            <v>0</v>
          </cell>
          <cell r="F312">
            <v>0</v>
          </cell>
          <cell r="G312">
            <v>0</v>
          </cell>
          <cell r="H312" t="str">
            <v>---</v>
          </cell>
          <cell r="I312">
            <v>0</v>
          </cell>
          <cell r="K312" t="str">
            <v>---</v>
          </cell>
        </row>
        <row r="313">
          <cell r="C313" t="str">
            <v>1996DE</v>
          </cell>
          <cell r="D313">
            <v>0</v>
          </cell>
          <cell r="E313">
            <v>0</v>
          </cell>
          <cell r="F313">
            <v>0</v>
          </cell>
          <cell r="G313">
            <v>0</v>
          </cell>
          <cell r="H313" t="str">
            <v>---</v>
          </cell>
          <cell r="I313">
            <v>0</v>
          </cell>
          <cell r="K313" t="str">
            <v>---</v>
          </cell>
        </row>
        <row r="314">
          <cell r="C314" t="str">
            <v>1996FL</v>
          </cell>
          <cell r="D314">
            <v>0</v>
          </cell>
          <cell r="E314">
            <v>0</v>
          </cell>
          <cell r="F314">
            <v>0</v>
          </cell>
          <cell r="G314">
            <v>0</v>
          </cell>
          <cell r="H314" t="str">
            <v>---</v>
          </cell>
          <cell r="I314">
            <v>0</v>
          </cell>
          <cell r="K314" t="str">
            <v>---</v>
          </cell>
        </row>
        <row r="315">
          <cell r="C315" t="str">
            <v>1996GA</v>
          </cell>
          <cell r="D315">
            <v>0</v>
          </cell>
          <cell r="E315">
            <v>0</v>
          </cell>
          <cell r="F315">
            <v>0</v>
          </cell>
          <cell r="G315">
            <v>0</v>
          </cell>
          <cell r="H315" t="str">
            <v>---</v>
          </cell>
          <cell r="I315">
            <v>0</v>
          </cell>
          <cell r="K315" t="str">
            <v>---</v>
          </cell>
        </row>
        <row r="316">
          <cell r="C316" t="str">
            <v>1996HI</v>
          </cell>
          <cell r="D316">
            <v>0</v>
          </cell>
          <cell r="E316">
            <v>0</v>
          </cell>
          <cell r="F316">
            <v>0</v>
          </cell>
          <cell r="G316">
            <v>0</v>
          </cell>
          <cell r="H316" t="str">
            <v>---</v>
          </cell>
          <cell r="I316">
            <v>0</v>
          </cell>
          <cell r="K316" t="str">
            <v>---</v>
          </cell>
        </row>
        <row r="317">
          <cell r="C317" t="str">
            <v>1996ID</v>
          </cell>
          <cell r="D317">
            <v>0</v>
          </cell>
          <cell r="E317">
            <v>0</v>
          </cell>
          <cell r="F317">
            <v>0</v>
          </cell>
          <cell r="G317">
            <v>0</v>
          </cell>
          <cell r="H317" t="str">
            <v>---</v>
          </cell>
          <cell r="I317">
            <v>0</v>
          </cell>
          <cell r="K317" t="str">
            <v>---</v>
          </cell>
        </row>
        <row r="318">
          <cell r="C318" t="str">
            <v>1996IL</v>
          </cell>
          <cell r="D318">
            <v>9447.6663554859333</v>
          </cell>
          <cell r="E318">
            <v>0</v>
          </cell>
          <cell r="F318">
            <v>0</v>
          </cell>
          <cell r="G318">
            <v>0</v>
          </cell>
          <cell r="H318" t="str">
            <v>---</v>
          </cell>
          <cell r="I318">
            <v>0</v>
          </cell>
          <cell r="J318">
            <v>7707</v>
          </cell>
          <cell r="K318" t="str">
            <v>---</v>
          </cell>
        </row>
        <row r="319">
          <cell r="C319" t="str">
            <v>1996IN</v>
          </cell>
          <cell r="D319">
            <v>0</v>
          </cell>
          <cell r="E319">
            <v>0</v>
          </cell>
          <cell r="F319">
            <v>0</v>
          </cell>
          <cell r="G319">
            <v>0</v>
          </cell>
          <cell r="H319" t="str">
            <v>---</v>
          </cell>
          <cell r="I319">
            <v>0</v>
          </cell>
          <cell r="J319">
            <v>26707</v>
          </cell>
          <cell r="K319" t="str">
            <v>---</v>
          </cell>
        </row>
        <row r="320">
          <cell r="C320" t="str">
            <v>1996IA</v>
          </cell>
          <cell r="D320">
            <v>0</v>
          </cell>
          <cell r="E320">
            <v>0</v>
          </cell>
          <cell r="F320">
            <v>0</v>
          </cell>
          <cell r="G320">
            <v>0</v>
          </cell>
          <cell r="H320" t="str">
            <v>---</v>
          </cell>
          <cell r="I320">
            <v>0</v>
          </cell>
          <cell r="J320">
            <v>0</v>
          </cell>
          <cell r="K320" t="str">
            <v>---</v>
          </cell>
        </row>
        <row r="321">
          <cell r="C321" t="str">
            <v>1996KS</v>
          </cell>
          <cell r="D321">
            <v>0</v>
          </cell>
          <cell r="E321">
            <v>0</v>
          </cell>
          <cell r="F321">
            <v>0</v>
          </cell>
          <cell r="G321">
            <v>0</v>
          </cell>
          <cell r="H321" t="str">
            <v>---</v>
          </cell>
          <cell r="I321">
            <v>0</v>
          </cell>
          <cell r="J321">
            <v>232</v>
          </cell>
          <cell r="K321" t="str">
            <v>---</v>
          </cell>
        </row>
        <row r="322">
          <cell r="C322" t="str">
            <v>1996KY</v>
          </cell>
          <cell r="D322">
            <v>3466.8131626486515</v>
          </cell>
          <cell r="E322">
            <v>24.4</v>
          </cell>
          <cell r="F322">
            <v>0</v>
          </cell>
          <cell r="G322">
            <v>0</v>
          </cell>
          <cell r="H322">
            <v>25135</v>
          </cell>
          <cell r="I322">
            <v>25135</v>
          </cell>
          <cell r="J322">
            <v>47779</v>
          </cell>
          <cell r="K322">
            <v>10340</v>
          </cell>
        </row>
        <row r="323">
          <cell r="C323" t="str">
            <v>1996LA</v>
          </cell>
          <cell r="D323">
            <v>0</v>
          </cell>
          <cell r="E323">
            <v>0</v>
          </cell>
          <cell r="F323">
            <v>0</v>
          </cell>
          <cell r="G323">
            <v>0</v>
          </cell>
          <cell r="H323" t="str">
            <v>---</v>
          </cell>
          <cell r="I323">
            <v>0</v>
          </cell>
          <cell r="J323">
            <v>3221</v>
          </cell>
          <cell r="K323" t="str">
            <v>---</v>
          </cell>
        </row>
        <row r="324">
          <cell r="C324" t="str">
            <v>1996ME</v>
          </cell>
          <cell r="D324">
            <v>0</v>
          </cell>
          <cell r="E324">
            <v>0</v>
          </cell>
          <cell r="F324">
            <v>0</v>
          </cell>
          <cell r="G324">
            <v>0</v>
          </cell>
          <cell r="H324" t="str">
            <v>---</v>
          </cell>
          <cell r="I324">
            <v>0</v>
          </cell>
          <cell r="K324" t="str">
            <v>---</v>
          </cell>
        </row>
        <row r="325">
          <cell r="C325" t="str">
            <v>1996MD</v>
          </cell>
          <cell r="D325">
            <v>0</v>
          </cell>
          <cell r="E325">
            <v>0</v>
          </cell>
          <cell r="F325">
            <v>0</v>
          </cell>
          <cell r="G325">
            <v>0</v>
          </cell>
          <cell r="H325" t="str">
            <v>---</v>
          </cell>
          <cell r="I325">
            <v>0</v>
          </cell>
          <cell r="J325">
            <v>797</v>
          </cell>
          <cell r="K325" t="str">
            <v>---</v>
          </cell>
        </row>
        <row r="326">
          <cell r="C326" t="str">
            <v>1996MA</v>
          </cell>
          <cell r="D326">
            <v>0</v>
          </cell>
          <cell r="E326">
            <v>0</v>
          </cell>
          <cell r="F326">
            <v>0</v>
          </cell>
          <cell r="G326">
            <v>0</v>
          </cell>
          <cell r="H326" t="str">
            <v>---</v>
          </cell>
          <cell r="I326">
            <v>0</v>
          </cell>
          <cell r="K326" t="str">
            <v>---</v>
          </cell>
        </row>
        <row r="327">
          <cell r="C327" t="str">
            <v>1996MI</v>
          </cell>
          <cell r="D327">
            <v>0</v>
          </cell>
          <cell r="E327">
            <v>0</v>
          </cell>
          <cell r="F327">
            <v>0</v>
          </cell>
          <cell r="G327">
            <v>0</v>
          </cell>
          <cell r="H327" t="str">
            <v>---</v>
          </cell>
          <cell r="I327">
            <v>0</v>
          </cell>
          <cell r="K327" t="str">
            <v>---</v>
          </cell>
        </row>
        <row r="328">
          <cell r="C328" t="str">
            <v>1996MN</v>
          </cell>
          <cell r="D328">
            <v>0</v>
          </cell>
          <cell r="E328">
            <v>0</v>
          </cell>
          <cell r="F328">
            <v>0</v>
          </cell>
          <cell r="G328">
            <v>0</v>
          </cell>
          <cell r="H328" t="str">
            <v>---</v>
          </cell>
          <cell r="I328">
            <v>0</v>
          </cell>
          <cell r="K328" t="str">
            <v>---</v>
          </cell>
        </row>
        <row r="329">
          <cell r="C329" t="str">
            <v>1996MS</v>
          </cell>
          <cell r="D329">
            <v>0</v>
          </cell>
          <cell r="E329">
            <v>0</v>
          </cell>
          <cell r="F329">
            <v>0</v>
          </cell>
          <cell r="G329">
            <v>0</v>
          </cell>
          <cell r="H329" t="str">
            <v>---</v>
          </cell>
          <cell r="I329">
            <v>0</v>
          </cell>
          <cell r="K329" t="str">
            <v>---</v>
          </cell>
        </row>
        <row r="330">
          <cell r="C330" t="str">
            <v>1996MO</v>
          </cell>
          <cell r="D330">
            <v>0</v>
          </cell>
          <cell r="E330">
            <v>0</v>
          </cell>
          <cell r="F330">
            <v>0</v>
          </cell>
          <cell r="G330">
            <v>0</v>
          </cell>
          <cell r="H330" t="str">
            <v>---</v>
          </cell>
          <cell r="I330">
            <v>0</v>
          </cell>
          <cell r="J330">
            <v>710</v>
          </cell>
          <cell r="K330" t="str">
            <v>---</v>
          </cell>
        </row>
        <row r="331">
          <cell r="C331" t="str">
            <v>1996MT</v>
          </cell>
          <cell r="D331">
            <v>0</v>
          </cell>
          <cell r="E331">
            <v>0</v>
          </cell>
          <cell r="F331">
            <v>0</v>
          </cell>
          <cell r="G331">
            <v>0</v>
          </cell>
          <cell r="H331" t="str">
            <v>---</v>
          </cell>
          <cell r="I331">
            <v>0</v>
          </cell>
          <cell r="J331">
            <v>37744</v>
          </cell>
          <cell r="K331" t="str">
            <v>---</v>
          </cell>
        </row>
        <row r="332">
          <cell r="C332" t="str">
            <v>1996NE</v>
          </cell>
          <cell r="D332">
            <v>0</v>
          </cell>
          <cell r="E332">
            <v>0</v>
          </cell>
          <cell r="F332">
            <v>0</v>
          </cell>
          <cell r="G332">
            <v>0</v>
          </cell>
          <cell r="H332" t="str">
            <v>---</v>
          </cell>
          <cell r="I332">
            <v>0</v>
          </cell>
          <cell r="K332" t="str">
            <v>---</v>
          </cell>
        </row>
        <row r="333">
          <cell r="C333" t="str">
            <v>1996NV</v>
          </cell>
          <cell r="D333">
            <v>0</v>
          </cell>
          <cell r="E333">
            <v>0</v>
          </cell>
          <cell r="F333">
            <v>0</v>
          </cell>
          <cell r="G333">
            <v>0</v>
          </cell>
          <cell r="H333" t="str">
            <v>---</v>
          </cell>
          <cell r="I333">
            <v>0</v>
          </cell>
          <cell r="K333" t="str">
            <v>---</v>
          </cell>
        </row>
        <row r="334">
          <cell r="C334" t="str">
            <v>1996NH</v>
          </cell>
          <cell r="D334">
            <v>0</v>
          </cell>
          <cell r="E334">
            <v>0</v>
          </cell>
          <cell r="F334">
            <v>0</v>
          </cell>
          <cell r="G334">
            <v>0</v>
          </cell>
          <cell r="H334" t="str">
            <v>---</v>
          </cell>
          <cell r="I334">
            <v>0</v>
          </cell>
          <cell r="K334" t="str">
            <v>---</v>
          </cell>
        </row>
        <row r="335">
          <cell r="C335" t="str">
            <v>1996NJ</v>
          </cell>
          <cell r="D335">
            <v>0</v>
          </cell>
          <cell r="E335">
            <v>0</v>
          </cell>
          <cell r="F335">
            <v>0</v>
          </cell>
          <cell r="G335">
            <v>0</v>
          </cell>
          <cell r="H335" t="str">
            <v>---</v>
          </cell>
          <cell r="I335">
            <v>0</v>
          </cell>
          <cell r="K335" t="str">
            <v>---</v>
          </cell>
        </row>
        <row r="336">
          <cell r="C336" t="str">
            <v>1996NM</v>
          </cell>
          <cell r="D336">
            <v>0</v>
          </cell>
          <cell r="E336">
            <v>0</v>
          </cell>
          <cell r="F336">
            <v>0</v>
          </cell>
          <cell r="G336">
            <v>0</v>
          </cell>
          <cell r="H336" t="str">
            <v>---</v>
          </cell>
          <cell r="I336">
            <v>0</v>
          </cell>
          <cell r="J336">
            <v>24067</v>
          </cell>
          <cell r="K336" t="str">
            <v>---</v>
          </cell>
        </row>
        <row r="337">
          <cell r="C337" t="str">
            <v>1996NY</v>
          </cell>
          <cell r="D337">
            <v>0</v>
          </cell>
          <cell r="E337">
            <v>0</v>
          </cell>
          <cell r="F337">
            <v>0</v>
          </cell>
          <cell r="G337">
            <v>0</v>
          </cell>
          <cell r="H337" t="str">
            <v>---</v>
          </cell>
          <cell r="I337">
            <v>0</v>
          </cell>
          <cell r="K337" t="str">
            <v>---</v>
          </cell>
        </row>
        <row r="338">
          <cell r="C338" t="str">
            <v>1996NC</v>
          </cell>
          <cell r="D338">
            <v>0</v>
          </cell>
          <cell r="E338">
            <v>0</v>
          </cell>
          <cell r="F338">
            <v>0</v>
          </cell>
          <cell r="G338">
            <v>0</v>
          </cell>
          <cell r="H338" t="str">
            <v>---</v>
          </cell>
          <cell r="I338">
            <v>0</v>
          </cell>
          <cell r="K338" t="str">
            <v>---</v>
          </cell>
        </row>
        <row r="339">
          <cell r="C339" t="str">
            <v>1996ND</v>
          </cell>
          <cell r="D339">
            <v>0</v>
          </cell>
          <cell r="E339">
            <v>0</v>
          </cell>
          <cell r="F339">
            <v>0</v>
          </cell>
          <cell r="G339">
            <v>0</v>
          </cell>
          <cell r="H339" t="str">
            <v>---</v>
          </cell>
          <cell r="I339">
            <v>0</v>
          </cell>
          <cell r="J339">
            <v>29861</v>
          </cell>
          <cell r="K339" t="str">
            <v>---</v>
          </cell>
        </row>
        <row r="340">
          <cell r="C340" t="str">
            <v>1996OH</v>
          </cell>
          <cell r="D340">
            <v>1601.2993822857513</v>
          </cell>
          <cell r="E340">
            <v>0</v>
          </cell>
          <cell r="F340">
            <v>0</v>
          </cell>
          <cell r="G340">
            <v>0</v>
          </cell>
          <cell r="H340" t="str">
            <v>---</v>
          </cell>
          <cell r="I340">
            <v>0</v>
          </cell>
          <cell r="J340">
            <v>12660</v>
          </cell>
          <cell r="K340" t="str">
            <v>---</v>
          </cell>
        </row>
        <row r="341">
          <cell r="C341" t="str">
            <v>1996OK</v>
          </cell>
          <cell r="D341">
            <v>0</v>
          </cell>
          <cell r="E341">
            <v>0</v>
          </cell>
          <cell r="F341">
            <v>0</v>
          </cell>
          <cell r="G341">
            <v>0</v>
          </cell>
          <cell r="H341" t="str">
            <v>---</v>
          </cell>
          <cell r="I341">
            <v>0</v>
          </cell>
          <cell r="J341">
            <v>1564</v>
          </cell>
          <cell r="K341" t="str">
            <v>---</v>
          </cell>
        </row>
        <row r="342">
          <cell r="C342" t="str">
            <v>1996OR</v>
          </cell>
          <cell r="D342">
            <v>0</v>
          </cell>
          <cell r="E342">
            <v>0</v>
          </cell>
          <cell r="F342">
            <v>0</v>
          </cell>
          <cell r="G342">
            <v>0</v>
          </cell>
          <cell r="H342" t="str">
            <v>---</v>
          </cell>
          <cell r="I342">
            <v>0</v>
          </cell>
          <cell r="K342" t="str">
            <v>---</v>
          </cell>
        </row>
        <row r="343">
          <cell r="C343" t="str">
            <v>1996PA</v>
          </cell>
          <cell r="D343">
            <v>15532.604008171789</v>
          </cell>
          <cell r="E343">
            <v>5919.8705882352951</v>
          </cell>
          <cell r="F343">
            <v>0</v>
          </cell>
          <cell r="G343">
            <v>0</v>
          </cell>
          <cell r="H343" t="str">
            <v>---</v>
          </cell>
          <cell r="I343">
            <v>0</v>
          </cell>
          <cell r="J343">
            <v>20694</v>
          </cell>
          <cell r="K343" t="str">
            <v>---</v>
          </cell>
        </row>
        <row r="344">
          <cell r="C344" t="str">
            <v>1996RI</v>
          </cell>
          <cell r="D344">
            <v>0</v>
          </cell>
          <cell r="E344">
            <v>0</v>
          </cell>
          <cell r="F344">
            <v>0</v>
          </cell>
          <cell r="G344">
            <v>0</v>
          </cell>
          <cell r="H344" t="str">
            <v>---</v>
          </cell>
          <cell r="I344">
            <v>0</v>
          </cell>
          <cell r="K344" t="str">
            <v>---</v>
          </cell>
        </row>
        <row r="345">
          <cell r="C345" t="str">
            <v>1996SC</v>
          </cell>
          <cell r="D345">
            <v>0</v>
          </cell>
          <cell r="E345">
            <v>0</v>
          </cell>
          <cell r="F345">
            <v>0</v>
          </cell>
          <cell r="G345">
            <v>0</v>
          </cell>
          <cell r="H345" t="str">
            <v>---</v>
          </cell>
          <cell r="I345">
            <v>0</v>
          </cell>
          <cell r="K345" t="str">
            <v>---</v>
          </cell>
        </row>
        <row r="346">
          <cell r="C346" t="str">
            <v>1996SD</v>
          </cell>
          <cell r="D346">
            <v>0</v>
          </cell>
          <cell r="E346">
            <v>0</v>
          </cell>
          <cell r="F346">
            <v>0</v>
          </cell>
          <cell r="G346">
            <v>0</v>
          </cell>
          <cell r="H346" t="str">
            <v>---</v>
          </cell>
          <cell r="I346">
            <v>0</v>
          </cell>
          <cell r="K346" t="str">
            <v>---</v>
          </cell>
        </row>
        <row r="347">
          <cell r="C347" t="str">
            <v>1996TN</v>
          </cell>
          <cell r="D347">
            <v>0</v>
          </cell>
          <cell r="E347">
            <v>0</v>
          </cell>
          <cell r="F347">
            <v>0</v>
          </cell>
          <cell r="G347">
            <v>0</v>
          </cell>
          <cell r="H347" t="str">
            <v>---</v>
          </cell>
          <cell r="I347">
            <v>0</v>
          </cell>
          <cell r="J347">
            <v>1857</v>
          </cell>
          <cell r="K347" t="str">
            <v>---</v>
          </cell>
        </row>
        <row r="348">
          <cell r="C348" t="str">
            <v>1996TX</v>
          </cell>
          <cell r="D348">
            <v>0</v>
          </cell>
          <cell r="E348">
            <v>0</v>
          </cell>
          <cell r="F348">
            <v>0</v>
          </cell>
          <cell r="G348">
            <v>0</v>
          </cell>
          <cell r="H348" t="str">
            <v>---</v>
          </cell>
          <cell r="I348">
            <v>0</v>
          </cell>
          <cell r="J348">
            <v>55164</v>
          </cell>
          <cell r="K348" t="str">
            <v>---</v>
          </cell>
        </row>
        <row r="349">
          <cell r="C349" t="str">
            <v>1996UT</v>
          </cell>
          <cell r="D349">
            <v>1921.5592587429016</v>
          </cell>
          <cell r="E349">
            <v>0</v>
          </cell>
          <cell r="F349">
            <v>0</v>
          </cell>
          <cell r="G349">
            <v>0</v>
          </cell>
          <cell r="H349" t="str">
            <v>---</v>
          </cell>
          <cell r="I349">
            <v>0</v>
          </cell>
          <cell r="K349" t="str">
            <v>---</v>
          </cell>
        </row>
        <row r="350">
          <cell r="C350" t="str">
            <v>1996VT</v>
          </cell>
          <cell r="D350">
            <v>0</v>
          </cell>
          <cell r="E350">
            <v>0</v>
          </cell>
          <cell r="F350">
            <v>0</v>
          </cell>
          <cell r="G350">
            <v>0</v>
          </cell>
          <cell r="H350" t="str">
            <v>---</v>
          </cell>
          <cell r="I350">
            <v>0</v>
          </cell>
          <cell r="K350" t="str">
            <v>---</v>
          </cell>
        </row>
        <row r="351">
          <cell r="C351" t="str">
            <v>1996VA</v>
          </cell>
          <cell r="D351">
            <v>14331.629471457474</v>
          </cell>
          <cell r="E351">
            <v>20853.124225774227</v>
          </cell>
          <cell r="F351">
            <v>19310.350493000002</v>
          </cell>
          <cell r="G351">
            <v>0</v>
          </cell>
          <cell r="H351" t="str">
            <v>---</v>
          </cell>
          <cell r="I351">
            <v>0</v>
          </cell>
          <cell r="J351">
            <v>10022</v>
          </cell>
          <cell r="K351" t="str">
            <v>---</v>
          </cell>
        </row>
        <row r="352">
          <cell r="C352" t="str">
            <v>1996WA</v>
          </cell>
          <cell r="D352">
            <v>0</v>
          </cell>
          <cell r="E352">
            <v>0</v>
          </cell>
          <cell r="F352">
            <v>0</v>
          </cell>
          <cell r="G352">
            <v>0</v>
          </cell>
          <cell r="H352" t="str">
            <v>---</v>
          </cell>
          <cell r="I352">
            <v>0</v>
          </cell>
          <cell r="J352">
            <v>4565</v>
          </cell>
          <cell r="K352" t="str">
            <v>---</v>
          </cell>
        </row>
        <row r="353">
          <cell r="C353" t="str">
            <v>1996WV</v>
          </cell>
          <cell r="D353">
            <v>20856.924454271913</v>
          </cell>
          <cell r="E353">
            <v>7276.8536585365864</v>
          </cell>
          <cell r="F353">
            <v>538.50247999999999</v>
          </cell>
          <cell r="G353">
            <v>0</v>
          </cell>
          <cell r="H353">
            <v>40274</v>
          </cell>
          <cell r="I353">
            <v>40274</v>
          </cell>
          <cell r="J353">
            <v>49211</v>
          </cell>
          <cell r="K353">
            <v>5637</v>
          </cell>
        </row>
        <row r="354">
          <cell r="C354" t="str">
            <v>1996WI</v>
          </cell>
          <cell r="D354">
            <v>0</v>
          </cell>
          <cell r="E354">
            <v>0</v>
          </cell>
          <cell r="F354">
            <v>0</v>
          </cell>
          <cell r="G354">
            <v>0</v>
          </cell>
          <cell r="H354" t="str">
            <v>---</v>
          </cell>
          <cell r="I354">
            <v>0</v>
          </cell>
          <cell r="K354" t="str">
            <v>---</v>
          </cell>
        </row>
        <row r="355">
          <cell r="C355" t="str">
            <v>1996WY</v>
          </cell>
          <cell r="D355">
            <v>0</v>
          </cell>
          <cell r="E355">
            <v>0</v>
          </cell>
          <cell r="F355">
            <v>0</v>
          </cell>
          <cell r="G355">
            <v>0</v>
          </cell>
          <cell r="H355" t="str">
            <v>---</v>
          </cell>
          <cell r="I355">
            <v>0</v>
          </cell>
          <cell r="J355">
            <v>275799</v>
          </cell>
          <cell r="K355" t="str">
            <v>---</v>
          </cell>
        </row>
        <row r="356">
          <cell r="C356" t="str">
            <v>1997AL</v>
          </cell>
          <cell r="D356">
            <v>23687.062265</v>
          </cell>
          <cell r="E356">
            <v>10805.390533571428</v>
          </cell>
          <cell r="F356">
            <v>10096.37724</v>
          </cell>
          <cell r="G356">
            <v>0</v>
          </cell>
          <cell r="H356" t="str">
            <v>---</v>
          </cell>
          <cell r="I356">
            <v>0</v>
          </cell>
          <cell r="J356">
            <v>5963</v>
          </cell>
          <cell r="K356" t="str">
            <v>---</v>
          </cell>
        </row>
        <row r="357">
          <cell r="C357" t="str">
            <v>1997AK</v>
          </cell>
          <cell r="D357">
            <v>0</v>
          </cell>
          <cell r="E357">
            <v>0</v>
          </cell>
          <cell r="F357">
            <v>0</v>
          </cell>
          <cell r="G357">
            <v>0</v>
          </cell>
          <cell r="H357" t="str">
            <v>---</v>
          </cell>
          <cell r="I357">
            <v>0</v>
          </cell>
          <cell r="J357">
            <v>1450</v>
          </cell>
          <cell r="K357" t="str">
            <v>---</v>
          </cell>
        </row>
        <row r="358">
          <cell r="C358" t="str">
            <v>1997AZ</v>
          </cell>
          <cell r="D358">
            <v>0</v>
          </cell>
          <cell r="E358">
            <v>0</v>
          </cell>
          <cell r="F358">
            <v>0</v>
          </cell>
          <cell r="G358">
            <v>0</v>
          </cell>
          <cell r="H358" t="str">
            <v>---</v>
          </cell>
          <cell r="I358">
            <v>0</v>
          </cell>
          <cell r="J358">
            <v>11723</v>
          </cell>
          <cell r="K358" t="str">
            <v>---</v>
          </cell>
        </row>
        <row r="359">
          <cell r="C359" t="str">
            <v>1997AR</v>
          </cell>
          <cell r="D359">
            <v>0</v>
          </cell>
          <cell r="E359">
            <v>0</v>
          </cell>
          <cell r="F359">
            <v>0</v>
          </cell>
          <cell r="G359">
            <v>0</v>
          </cell>
          <cell r="H359" t="str">
            <v>---</v>
          </cell>
          <cell r="I359">
            <v>0</v>
          </cell>
          <cell r="J359">
            <v>18</v>
          </cell>
          <cell r="K359" t="str">
            <v>---</v>
          </cell>
        </row>
        <row r="360">
          <cell r="C360" t="str">
            <v>1997CA</v>
          </cell>
          <cell r="D360">
            <v>0</v>
          </cell>
          <cell r="E360">
            <v>0</v>
          </cell>
          <cell r="F360">
            <v>0</v>
          </cell>
          <cell r="G360">
            <v>0</v>
          </cell>
          <cell r="H360" t="str">
            <v>---</v>
          </cell>
          <cell r="I360">
            <v>0</v>
          </cell>
          <cell r="J360">
            <v>0</v>
          </cell>
          <cell r="K360" t="str">
            <v>---</v>
          </cell>
        </row>
        <row r="361">
          <cell r="C361" t="str">
            <v>1997CO</v>
          </cell>
          <cell r="D361">
            <v>7310.4568849999996</v>
          </cell>
          <cell r="E361">
            <v>0</v>
          </cell>
          <cell r="F361">
            <v>0</v>
          </cell>
          <cell r="G361">
            <v>0</v>
          </cell>
          <cell r="H361" t="str">
            <v>---</v>
          </cell>
          <cell r="I361">
            <v>0</v>
          </cell>
          <cell r="J361">
            <v>9626</v>
          </cell>
          <cell r="K361" t="str">
            <v>---</v>
          </cell>
        </row>
        <row r="362">
          <cell r="C362" t="str">
            <v>1997CT</v>
          </cell>
          <cell r="D362">
            <v>0</v>
          </cell>
          <cell r="E362">
            <v>0</v>
          </cell>
          <cell r="F362">
            <v>0</v>
          </cell>
          <cell r="G362">
            <v>0</v>
          </cell>
          <cell r="H362" t="str">
            <v>---</v>
          </cell>
          <cell r="I362">
            <v>0</v>
          </cell>
          <cell r="K362" t="str">
            <v>---</v>
          </cell>
        </row>
        <row r="363">
          <cell r="C363" t="str">
            <v>1997DE</v>
          </cell>
          <cell r="D363">
            <v>0</v>
          </cell>
          <cell r="E363">
            <v>0</v>
          </cell>
          <cell r="F363">
            <v>0</v>
          </cell>
          <cell r="G363">
            <v>0</v>
          </cell>
          <cell r="H363" t="str">
            <v>---</v>
          </cell>
          <cell r="I363">
            <v>0</v>
          </cell>
          <cell r="K363" t="str">
            <v>---</v>
          </cell>
        </row>
        <row r="364">
          <cell r="C364" t="str">
            <v>1997FL</v>
          </cell>
          <cell r="D364">
            <v>0</v>
          </cell>
          <cell r="E364">
            <v>0</v>
          </cell>
          <cell r="F364">
            <v>0</v>
          </cell>
          <cell r="G364">
            <v>0</v>
          </cell>
          <cell r="H364" t="str">
            <v>---</v>
          </cell>
          <cell r="I364">
            <v>0</v>
          </cell>
          <cell r="K364" t="str">
            <v>---</v>
          </cell>
        </row>
        <row r="365">
          <cell r="C365" t="str">
            <v>1997GA</v>
          </cell>
          <cell r="D365">
            <v>0</v>
          </cell>
          <cell r="E365">
            <v>0</v>
          </cell>
          <cell r="F365">
            <v>0</v>
          </cell>
          <cell r="G365">
            <v>0</v>
          </cell>
          <cell r="H365" t="str">
            <v>---</v>
          </cell>
          <cell r="I365">
            <v>0</v>
          </cell>
          <cell r="K365" t="str">
            <v>---</v>
          </cell>
        </row>
        <row r="366">
          <cell r="C366" t="str">
            <v>1997HI</v>
          </cell>
          <cell r="D366">
            <v>0</v>
          </cell>
          <cell r="E366">
            <v>0</v>
          </cell>
          <cell r="F366">
            <v>0</v>
          </cell>
          <cell r="G366">
            <v>0</v>
          </cell>
          <cell r="H366" t="str">
            <v>---</v>
          </cell>
          <cell r="I366">
            <v>0</v>
          </cell>
          <cell r="K366" t="str">
            <v>---</v>
          </cell>
        </row>
        <row r="367">
          <cell r="C367" t="str">
            <v>1997ID</v>
          </cell>
          <cell r="D367">
            <v>0</v>
          </cell>
          <cell r="E367">
            <v>0</v>
          </cell>
          <cell r="F367">
            <v>0</v>
          </cell>
          <cell r="G367">
            <v>0</v>
          </cell>
          <cell r="H367" t="str">
            <v>---</v>
          </cell>
          <cell r="I367">
            <v>0</v>
          </cell>
          <cell r="K367" t="str">
            <v>---</v>
          </cell>
        </row>
        <row r="368">
          <cell r="C368" t="str">
            <v>1997IL</v>
          </cell>
          <cell r="D368">
            <v>7301.3355349999993</v>
          </cell>
          <cell r="E368">
            <v>0</v>
          </cell>
          <cell r="F368">
            <v>0</v>
          </cell>
          <cell r="G368">
            <v>0</v>
          </cell>
          <cell r="H368" t="str">
            <v>---</v>
          </cell>
          <cell r="I368">
            <v>0</v>
          </cell>
          <cell r="J368">
            <v>6334</v>
          </cell>
          <cell r="K368" t="str">
            <v>---</v>
          </cell>
        </row>
        <row r="369">
          <cell r="C369" t="str">
            <v>1997IN</v>
          </cell>
          <cell r="D369">
            <v>118.81917999999999</v>
          </cell>
          <cell r="E369">
            <v>0</v>
          </cell>
          <cell r="F369">
            <v>0</v>
          </cell>
          <cell r="G369">
            <v>0</v>
          </cell>
          <cell r="H369" t="str">
            <v>---</v>
          </cell>
          <cell r="I369">
            <v>0</v>
          </cell>
          <cell r="J369">
            <v>31967</v>
          </cell>
          <cell r="K369" t="str">
            <v>---</v>
          </cell>
        </row>
        <row r="370">
          <cell r="C370" t="str">
            <v>1997IA</v>
          </cell>
          <cell r="D370">
            <v>0</v>
          </cell>
          <cell r="E370">
            <v>0</v>
          </cell>
          <cell r="F370">
            <v>0</v>
          </cell>
          <cell r="G370">
            <v>0</v>
          </cell>
          <cell r="H370" t="str">
            <v>---</v>
          </cell>
          <cell r="I370">
            <v>0</v>
          </cell>
          <cell r="J370">
            <v>0</v>
          </cell>
          <cell r="K370" t="str">
            <v>---</v>
          </cell>
        </row>
        <row r="371">
          <cell r="C371" t="str">
            <v>1997KS</v>
          </cell>
          <cell r="D371">
            <v>0</v>
          </cell>
          <cell r="E371">
            <v>0</v>
          </cell>
          <cell r="F371">
            <v>0</v>
          </cell>
          <cell r="G371">
            <v>0</v>
          </cell>
          <cell r="H371" t="str">
            <v>---</v>
          </cell>
          <cell r="I371">
            <v>0</v>
          </cell>
          <cell r="J371">
            <v>360</v>
          </cell>
          <cell r="K371" t="str">
            <v>---</v>
          </cell>
        </row>
        <row r="372">
          <cell r="C372" t="str">
            <v>1997KY</v>
          </cell>
          <cell r="D372">
            <v>4786.0948937500025</v>
          </cell>
          <cell r="E372">
            <v>83.301111111111027</v>
          </cell>
          <cell r="F372">
            <v>0</v>
          </cell>
          <cell r="G372">
            <v>0</v>
          </cell>
          <cell r="H372">
            <v>26374</v>
          </cell>
          <cell r="I372">
            <v>26374</v>
          </cell>
          <cell r="J372">
            <v>50990</v>
          </cell>
          <cell r="K372">
            <v>8561</v>
          </cell>
        </row>
        <row r="373">
          <cell r="C373" t="str">
            <v>1997LA</v>
          </cell>
          <cell r="D373">
            <v>0</v>
          </cell>
          <cell r="E373">
            <v>0</v>
          </cell>
          <cell r="F373">
            <v>0</v>
          </cell>
          <cell r="G373">
            <v>0</v>
          </cell>
          <cell r="H373" t="str">
            <v>---</v>
          </cell>
          <cell r="I373">
            <v>0</v>
          </cell>
          <cell r="J373">
            <v>3545</v>
          </cell>
          <cell r="K373" t="str">
            <v>---</v>
          </cell>
        </row>
        <row r="374">
          <cell r="C374" t="str">
            <v>1997ME</v>
          </cell>
          <cell r="D374">
            <v>0</v>
          </cell>
          <cell r="E374">
            <v>0</v>
          </cell>
          <cell r="F374">
            <v>0</v>
          </cell>
          <cell r="G374">
            <v>0</v>
          </cell>
          <cell r="H374" t="str">
            <v>---</v>
          </cell>
          <cell r="I374">
            <v>0</v>
          </cell>
          <cell r="K374" t="str">
            <v>---</v>
          </cell>
        </row>
        <row r="375">
          <cell r="C375" t="str">
            <v>1997MD</v>
          </cell>
          <cell r="D375">
            <v>0</v>
          </cell>
          <cell r="E375">
            <v>0</v>
          </cell>
          <cell r="F375">
            <v>0</v>
          </cell>
          <cell r="G375">
            <v>0</v>
          </cell>
          <cell r="H375" t="str">
            <v>---</v>
          </cell>
          <cell r="I375">
            <v>0</v>
          </cell>
          <cell r="J375">
            <v>859</v>
          </cell>
          <cell r="K375" t="str">
            <v>---</v>
          </cell>
        </row>
        <row r="376">
          <cell r="C376" t="str">
            <v>1997MA</v>
          </cell>
          <cell r="D376">
            <v>0</v>
          </cell>
          <cell r="E376">
            <v>0</v>
          </cell>
          <cell r="F376">
            <v>0</v>
          </cell>
          <cell r="G376">
            <v>0</v>
          </cell>
          <cell r="H376" t="str">
            <v>---</v>
          </cell>
          <cell r="I376">
            <v>0</v>
          </cell>
          <cell r="K376" t="str">
            <v>---</v>
          </cell>
        </row>
        <row r="377">
          <cell r="C377" t="str">
            <v>1997MI</v>
          </cell>
          <cell r="D377">
            <v>0</v>
          </cell>
          <cell r="E377">
            <v>0</v>
          </cell>
          <cell r="F377">
            <v>0</v>
          </cell>
          <cell r="G377">
            <v>0</v>
          </cell>
          <cell r="H377" t="str">
            <v>---</v>
          </cell>
          <cell r="I377">
            <v>0</v>
          </cell>
          <cell r="K377" t="str">
            <v>---</v>
          </cell>
        </row>
        <row r="378">
          <cell r="C378" t="str">
            <v>1997MN</v>
          </cell>
          <cell r="D378">
            <v>0</v>
          </cell>
          <cell r="E378">
            <v>0</v>
          </cell>
          <cell r="F378">
            <v>0</v>
          </cell>
          <cell r="G378">
            <v>0</v>
          </cell>
          <cell r="H378" t="str">
            <v>---</v>
          </cell>
          <cell r="I378">
            <v>0</v>
          </cell>
          <cell r="K378" t="str">
            <v>---</v>
          </cell>
        </row>
        <row r="379">
          <cell r="C379" t="str">
            <v>1997MS</v>
          </cell>
          <cell r="D379">
            <v>0</v>
          </cell>
          <cell r="E379">
            <v>0</v>
          </cell>
          <cell r="F379">
            <v>0</v>
          </cell>
          <cell r="G379">
            <v>0</v>
          </cell>
          <cell r="H379" t="str">
            <v>---</v>
          </cell>
          <cell r="I379">
            <v>0</v>
          </cell>
          <cell r="K379" t="str">
            <v>---</v>
          </cell>
        </row>
        <row r="380">
          <cell r="C380" t="str">
            <v>1997MO</v>
          </cell>
          <cell r="D380">
            <v>0</v>
          </cell>
          <cell r="E380">
            <v>0</v>
          </cell>
          <cell r="F380">
            <v>0</v>
          </cell>
          <cell r="G380">
            <v>0</v>
          </cell>
          <cell r="H380" t="str">
            <v>---</v>
          </cell>
          <cell r="I380">
            <v>0</v>
          </cell>
          <cell r="J380">
            <v>401</v>
          </cell>
          <cell r="K380" t="str">
            <v>---</v>
          </cell>
        </row>
        <row r="381">
          <cell r="C381" t="str">
            <v>1997MT</v>
          </cell>
          <cell r="D381">
            <v>0</v>
          </cell>
          <cell r="E381">
            <v>0</v>
          </cell>
          <cell r="F381">
            <v>0</v>
          </cell>
          <cell r="G381">
            <v>0</v>
          </cell>
          <cell r="H381" t="str">
            <v>---</v>
          </cell>
          <cell r="I381">
            <v>0</v>
          </cell>
          <cell r="J381">
            <v>40997</v>
          </cell>
          <cell r="K381" t="str">
            <v>---</v>
          </cell>
        </row>
        <row r="382">
          <cell r="C382" t="str">
            <v>1997NE</v>
          </cell>
          <cell r="D382">
            <v>0</v>
          </cell>
          <cell r="E382">
            <v>0</v>
          </cell>
          <cell r="F382">
            <v>0</v>
          </cell>
          <cell r="G382">
            <v>0</v>
          </cell>
          <cell r="H382" t="str">
            <v>---</v>
          </cell>
          <cell r="I382">
            <v>0</v>
          </cell>
          <cell r="K382" t="str">
            <v>---</v>
          </cell>
        </row>
        <row r="383">
          <cell r="C383" t="str">
            <v>1997NV</v>
          </cell>
          <cell r="D383">
            <v>0</v>
          </cell>
          <cell r="E383">
            <v>0</v>
          </cell>
          <cell r="F383">
            <v>0</v>
          </cell>
          <cell r="G383">
            <v>0</v>
          </cell>
          <cell r="H383" t="str">
            <v>---</v>
          </cell>
          <cell r="I383">
            <v>0</v>
          </cell>
          <cell r="K383" t="str">
            <v>---</v>
          </cell>
        </row>
        <row r="384">
          <cell r="C384" t="str">
            <v>1997NH</v>
          </cell>
          <cell r="D384">
            <v>0</v>
          </cell>
          <cell r="E384">
            <v>0</v>
          </cell>
          <cell r="F384">
            <v>0</v>
          </cell>
          <cell r="G384">
            <v>0</v>
          </cell>
          <cell r="H384" t="str">
            <v>---</v>
          </cell>
          <cell r="I384">
            <v>0</v>
          </cell>
          <cell r="K384" t="str">
            <v>---</v>
          </cell>
        </row>
        <row r="385">
          <cell r="C385" t="str">
            <v>1997NJ</v>
          </cell>
          <cell r="D385">
            <v>0</v>
          </cell>
          <cell r="E385">
            <v>0</v>
          </cell>
          <cell r="F385">
            <v>0</v>
          </cell>
          <cell r="G385">
            <v>0</v>
          </cell>
          <cell r="H385" t="str">
            <v>---</v>
          </cell>
          <cell r="I385">
            <v>0</v>
          </cell>
          <cell r="K385" t="str">
            <v>---</v>
          </cell>
        </row>
        <row r="386">
          <cell r="C386" t="str">
            <v>1997NM</v>
          </cell>
          <cell r="D386">
            <v>0</v>
          </cell>
          <cell r="E386">
            <v>0</v>
          </cell>
          <cell r="F386">
            <v>0</v>
          </cell>
          <cell r="G386">
            <v>0</v>
          </cell>
          <cell r="H386" t="str">
            <v>---</v>
          </cell>
          <cell r="I386">
            <v>0</v>
          </cell>
          <cell r="J386">
            <v>27025</v>
          </cell>
          <cell r="K386" t="str">
            <v>---</v>
          </cell>
        </row>
        <row r="387">
          <cell r="C387" t="str">
            <v>1997NY</v>
          </cell>
          <cell r="D387">
            <v>0</v>
          </cell>
          <cell r="E387">
            <v>0</v>
          </cell>
          <cell r="F387">
            <v>0</v>
          </cell>
          <cell r="G387">
            <v>0</v>
          </cell>
          <cell r="H387" t="str">
            <v>---</v>
          </cell>
          <cell r="I387">
            <v>0</v>
          </cell>
          <cell r="K387" t="str">
            <v>---</v>
          </cell>
        </row>
        <row r="388">
          <cell r="C388" t="str">
            <v>1997NC</v>
          </cell>
          <cell r="D388">
            <v>0</v>
          </cell>
          <cell r="E388">
            <v>0</v>
          </cell>
          <cell r="F388">
            <v>0</v>
          </cell>
          <cell r="G388">
            <v>0</v>
          </cell>
          <cell r="H388" t="str">
            <v>---</v>
          </cell>
          <cell r="I388">
            <v>0</v>
          </cell>
          <cell r="K388" t="str">
            <v>---</v>
          </cell>
        </row>
        <row r="389">
          <cell r="C389" t="str">
            <v>1997ND</v>
          </cell>
          <cell r="D389">
            <v>0</v>
          </cell>
          <cell r="E389">
            <v>0</v>
          </cell>
          <cell r="F389">
            <v>0</v>
          </cell>
          <cell r="G389">
            <v>0</v>
          </cell>
          <cell r="H389" t="str">
            <v>---</v>
          </cell>
          <cell r="I389">
            <v>0</v>
          </cell>
          <cell r="J389">
            <v>29580</v>
          </cell>
          <cell r="K389" t="str">
            <v>---</v>
          </cell>
        </row>
        <row r="390">
          <cell r="C390" t="str">
            <v>1997OH</v>
          </cell>
          <cell r="D390">
            <v>1898.1029299999998</v>
          </cell>
          <cell r="E390">
            <v>0</v>
          </cell>
          <cell r="F390">
            <v>0</v>
          </cell>
          <cell r="G390">
            <v>0</v>
          </cell>
          <cell r="H390" t="str">
            <v>---</v>
          </cell>
          <cell r="I390">
            <v>0</v>
          </cell>
          <cell r="J390">
            <v>12205</v>
          </cell>
          <cell r="K390" t="str">
            <v>---</v>
          </cell>
        </row>
        <row r="391">
          <cell r="C391" t="str">
            <v>1997OK</v>
          </cell>
          <cell r="D391">
            <v>117.96398500000001</v>
          </cell>
          <cell r="E391">
            <v>0</v>
          </cell>
          <cell r="F391">
            <v>0</v>
          </cell>
          <cell r="G391">
            <v>0</v>
          </cell>
          <cell r="H391" t="str">
            <v>---</v>
          </cell>
          <cell r="I391">
            <v>0</v>
          </cell>
          <cell r="J391">
            <v>1409</v>
          </cell>
          <cell r="K391" t="str">
            <v>---</v>
          </cell>
        </row>
        <row r="392">
          <cell r="C392" t="str">
            <v>1997OR</v>
          </cell>
          <cell r="D392">
            <v>0</v>
          </cell>
          <cell r="E392">
            <v>0</v>
          </cell>
          <cell r="F392">
            <v>0</v>
          </cell>
          <cell r="G392">
            <v>0</v>
          </cell>
          <cell r="H392" t="str">
            <v>---</v>
          </cell>
          <cell r="I392">
            <v>0</v>
          </cell>
          <cell r="K392" t="str">
            <v>---</v>
          </cell>
        </row>
        <row r="393">
          <cell r="C393" t="str">
            <v>1997PA</v>
          </cell>
          <cell r="D393">
            <v>17768.926350000002</v>
          </cell>
          <cell r="E393">
            <v>6834.405048137256</v>
          </cell>
          <cell r="F393">
            <v>0</v>
          </cell>
          <cell r="G393">
            <v>0</v>
          </cell>
          <cell r="H393" t="str">
            <v>---</v>
          </cell>
          <cell r="I393">
            <v>0</v>
          </cell>
          <cell r="J393">
            <v>21369</v>
          </cell>
          <cell r="K393" t="str">
            <v>---</v>
          </cell>
        </row>
        <row r="394">
          <cell r="C394" t="str">
            <v>1997RI</v>
          </cell>
          <cell r="D394">
            <v>0</v>
          </cell>
          <cell r="E394">
            <v>0</v>
          </cell>
          <cell r="F394">
            <v>0</v>
          </cell>
          <cell r="G394">
            <v>0</v>
          </cell>
          <cell r="H394" t="str">
            <v>---</v>
          </cell>
          <cell r="I394">
            <v>0</v>
          </cell>
          <cell r="K394" t="str">
            <v>---</v>
          </cell>
        </row>
        <row r="395">
          <cell r="C395" t="str">
            <v>1997SC</v>
          </cell>
          <cell r="D395">
            <v>0</v>
          </cell>
          <cell r="E395">
            <v>0</v>
          </cell>
          <cell r="F395">
            <v>0</v>
          </cell>
          <cell r="G395">
            <v>0</v>
          </cell>
          <cell r="H395" t="str">
            <v>---</v>
          </cell>
          <cell r="I395">
            <v>0</v>
          </cell>
          <cell r="K395" t="str">
            <v>---</v>
          </cell>
        </row>
        <row r="396">
          <cell r="C396" t="str">
            <v>1997SD</v>
          </cell>
          <cell r="D396">
            <v>0</v>
          </cell>
          <cell r="E396">
            <v>0</v>
          </cell>
          <cell r="F396">
            <v>0</v>
          </cell>
          <cell r="G396">
            <v>0</v>
          </cell>
          <cell r="H396" t="str">
            <v>---</v>
          </cell>
          <cell r="I396">
            <v>0</v>
          </cell>
          <cell r="K396" t="str">
            <v>---</v>
          </cell>
        </row>
        <row r="397">
          <cell r="C397" t="str">
            <v>1997TN</v>
          </cell>
          <cell r="D397">
            <v>10.158649583333334</v>
          </cell>
          <cell r="E397">
            <v>0</v>
          </cell>
          <cell r="F397">
            <v>0</v>
          </cell>
          <cell r="G397">
            <v>0</v>
          </cell>
          <cell r="H397" t="str">
            <v>---</v>
          </cell>
          <cell r="I397">
            <v>0</v>
          </cell>
          <cell r="J397">
            <v>1904</v>
          </cell>
          <cell r="K397" t="str">
            <v>---</v>
          </cell>
        </row>
        <row r="398">
          <cell r="C398" t="str">
            <v>1997TX</v>
          </cell>
          <cell r="D398">
            <v>0</v>
          </cell>
          <cell r="E398">
            <v>0</v>
          </cell>
          <cell r="F398">
            <v>0</v>
          </cell>
          <cell r="G398">
            <v>0</v>
          </cell>
          <cell r="H398" t="str">
            <v>---</v>
          </cell>
          <cell r="I398">
            <v>0</v>
          </cell>
          <cell r="J398">
            <v>53328</v>
          </cell>
          <cell r="K398" t="str">
            <v>---</v>
          </cell>
        </row>
        <row r="399">
          <cell r="C399" t="str">
            <v>1997UT</v>
          </cell>
          <cell r="D399">
            <v>2704.0444649999999</v>
          </cell>
          <cell r="E399">
            <v>0</v>
          </cell>
          <cell r="F399">
            <v>0</v>
          </cell>
          <cell r="G399">
            <v>0</v>
          </cell>
          <cell r="H399" t="str">
            <v>---</v>
          </cell>
          <cell r="I399">
            <v>0</v>
          </cell>
          <cell r="K399" t="str">
            <v>---</v>
          </cell>
        </row>
        <row r="400">
          <cell r="C400" t="str">
            <v>1997VT</v>
          </cell>
          <cell r="D400">
            <v>0</v>
          </cell>
          <cell r="E400">
            <v>0</v>
          </cell>
          <cell r="F400">
            <v>0</v>
          </cell>
          <cell r="G400">
            <v>0</v>
          </cell>
          <cell r="H400" t="str">
            <v>---</v>
          </cell>
          <cell r="I400">
            <v>0</v>
          </cell>
          <cell r="K400" t="str">
            <v>---</v>
          </cell>
        </row>
        <row r="401">
          <cell r="C401" t="str">
            <v>1997VA</v>
          </cell>
          <cell r="D401">
            <v>11701.352500000005</v>
          </cell>
          <cell r="E401">
            <v>17804.24513615403</v>
          </cell>
          <cell r="F401">
            <v>16662.681623999997</v>
          </cell>
          <cell r="G401">
            <v>0</v>
          </cell>
          <cell r="H401" t="str">
            <v>---</v>
          </cell>
          <cell r="I401">
            <v>0</v>
          </cell>
          <cell r="J401">
            <v>8907</v>
          </cell>
          <cell r="K401" t="str">
            <v>---</v>
          </cell>
        </row>
        <row r="402">
          <cell r="C402" t="str">
            <v>1997WA</v>
          </cell>
          <cell r="D402">
            <v>0</v>
          </cell>
          <cell r="E402">
            <v>0</v>
          </cell>
          <cell r="F402">
            <v>0</v>
          </cell>
          <cell r="G402">
            <v>0</v>
          </cell>
          <cell r="H402" t="str">
            <v>---</v>
          </cell>
          <cell r="I402">
            <v>0</v>
          </cell>
          <cell r="J402">
            <v>4495</v>
          </cell>
          <cell r="K402" t="str">
            <v>---</v>
          </cell>
        </row>
        <row r="403">
          <cell r="C403" t="str">
            <v>1997WV</v>
          </cell>
          <cell r="D403">
            <v>18777.38944291669</v>
          </cell>
          <cell r="E403">
            <v>7234.2532962585265</v>
          </cell>
          <cell r="F403">
            <v>1432.16941</v>
          </cell>
          <cell r="G403">
            <v>0</v>
          </cell>
          <cell r="H403">
            <v>37056</v>
          </cell>
          <cell r="I403">
            <v>37056</v>
          </cell>
          <cell r="J403">
            <v>51474</v>
          </cell>
          <cell r="K403">
            <v>5746</v>
          </cell>
        </row>
        <row r="404">
          <cell r="C404" t="str">
            <v>1997WI</v>
          </cell>
          <cell r="D404">
            <v>0</v>
          </cell>
          <cell r="E404">
            <v>0</v>
          </cell>
          <cell r="F404">
            <v>0</v>
          </cell>
          <cell r="G404">
            <v>0</v>
          </cell>
          <cell r="H404" t="str">
            <v>---</v>
          </cell>
          <cell r="I404">
            <v>0</v>
          </cell>
          <cell r="K404" t="str">
            <v>---</v>
          </cell>
        </row>
        <row r="405">
          <cell r="C405" t="str">
            <v>1997WY</v>
          </cell>
          <cell r="D405">
            <v>4.6811249999999998</v>
          </cell>
          <cell r="E405">
            <v>0</v>
          </cell>
          <cell r="F405">
            <v>0</v>
          </cell>
          <cell r="G405">
            <v>0</v>
          </cell>
          <cell r="H405" t="str">
            <v>---</v>
          </cell>
          <cell r="I405">
            <v>0</v>
          </cell>
          <cell r="J405">
            <v>279035</v>
          </cell>
          <cell r="K405" t="str">
            <v>---</v>
          </cell>
        </row>
        <row r="406">
          <cell r="C406" t="str">
            <v>1998AL</v>
          </cell>
          <cell r="D406">
            <v>24521.392728238407</v>
          </cell>
          <cell r="E406">
            <v>13134.386571270074</v>
          </cell>
          <cell r="F406">
            <v>13123.532360000001</v>
          </cell>
          <cell r="G406">
            <v>0</v>
          </cell>
          <cell r="H406" t="str">
            <v>---</v>
          </cell>
          <cell r="I406">
            <v>0</v>
          </cell>
          <cell r="J406">
            <v>5697</v>
          </cell>
          <cell r="K406" t="str">
            <v>---</v>
          </cell>
        </row>
        <row r="407">
          <cell r="C407" t="str">
            <v>1998AK</v>
          </cell>
          <cell r="D407">
            <v>0</v>
          </cell>
          <cell r="E407">
            <v>0</v>
          </cell>
          <cell r="F407">
            <v>0</v>
          </cell>
          <cell r="G407">
            <v>0</v>
          </cell>
          <cell r="H407" t="str">
            <v>---</v>
          </cell>
          <cell r="I407">
            <v>0</v>
          </cell>
          <cell r="J407">
            <v>1344</v>
          </cell>
          <cell r="K407" t="str">
            <v>---</v>
          </cell>
        </row>
        <row r="408">
          <cell r="C408" t="str">
            <v>1998AZ</v>
          </cell>
          <cell r="D408">
            <v>0</v>
          </cell>
          <cell r="E408">
            <v>0</v>
          </cell>
          <cell r="F408">
            <v>0</v>
          </cell>
          <cell r="G408">
            <v>0</v>
          </cell>
          <cell r="H408" t="str">
            <v>---</v>
          </cell>
          <cell r="I408">
            <v>0</v>
          </cell>
          <cell r="J408">
            <v>11315</v>
          </cell>
          <cell r="K408" t="str">
            <v>---</v>
          </cell>
        </row>
        <row r="409">
          <cell r="C409" t="str">
            <v>1998AR</v>
          </cell>
          <cell r="D409">
            <v>0</v>
          </cell>
          <cell r="E409">
            <v>0</v>
          </cell>
          <cell r="F409">
            <v>0</v>
          </cell>
          <cell r="G409">
            <v>0</v>
          </cell>
          <cell r="H409" t="str">
            <v>---</v>
          </cell>
          <cell r="I409">
            <v>0</v>
          </cell>
          <cell r="J409">
            <v>24</v>
          </cell>
          <cell r="K409" t="str">
            <v>---</v>
          </cell>
        </row>
        <row r="410">
          <cell r="C410" t="str">
            <v>1998CA</v>
          </cell>
          <cell r="D410">
            <v>0</v>
          </cell>
          <cell r="E410">
            <v>0</v>
          </cell>
          <cell r="F410">
            <v>0</v>
          </cell>
          <cell r="G410">
            <v>0</v>
          </cell>
          <cell r="H410" t="str">
            <v>---</v>
          </cell>
          <cell r="I410">
            <v>0</v>
          </cell>
          <cell r="J410">
            <v>0</v>
          </cell>
          <cell r="K410" t="str">
            <v>---</v>
          </cell>
        </row>
        <row r="411">
          <cell r="C411" t="str">
            <v>1998CO</v>
          </cell>
          <cell r="D411">
            <v>7159.320918478983</v>
          </cell>
          <cell r="E411">
            <v>0</v>
          </cell>
          <cell r="F411">
            <v>0</v>
          </cell>
          <cell r="G411">
            <v>0</v>
          </cell>
          <cell r="H411" t="str">
            <v>---</v>
          </cell>
          <cell r="I411">
            <v>0</v>
          </cell>
          <cell r="J411">
            <v>9926</v>
          </cell>
          <cell r="K411" t="str">
            <v>---</v>
          </cell>
        </row>
        <row r="412">
          <cell r="C412" t="str">
            <v>1998CT</v>
          </cell>
          <cell r="D412">
            <v>0</v>
          </cell>
          <cell r="E412">
            <v>0</v>
          </cell>
          <cell r="F412">
            <v>0</v>
          </cell>
          <cell r="G412">
            <v>0</v>
          </cell>
          <cell r="H412" t="str">
            <v>---</v>
          </cell>
          <cell r="I412">
            <v>0</v>
          </cell>
          <cell r="K412" t="str">
            <v>---</v>
          </cell>
        </row>
        <row r="413">
          <cell r="C413" t="str">
            <v>1998DE</v>
          </cell>
          <cell r="D413">
            <v>0</v>
          </cell>
          <cell r="E413">
            <v>0</v>
          </cell>
          <cell r="F413">
            <v>0</v>
          </cell>
          <cell r="G413">
            <v>0</v>
          </cell>
          <cell r="H413" t="str">
            <v>---</v>
          </cell>
          <cell r="I413">
            <v>0</v>
          </cell>
          <cell r="K413" t="str">
            <v>---</v>
          </cell>
        </row>
        <row r="414">
          <cell r="C414" t="str">
            <v>1998FL</v>
          </cell>
          <cell r="D414">
            <v>0</v>
          </cell>
          <cell r="E414">
            <v>0</v>
          </cell>
          <cell r="F414">
            <v>0</v>
          </cell>
          <cell r="G414">
            <v>0</v>
          </cell>
          <cell r="H414" t="str">
            <v>---</v>
          </cell>
          <cell r="I414">
            <v>0</v>
          </cell>
          <cell r="K414" t="str">
            <v>---</v>
          </cell>
        </row>
        <row r="415">
          <cell r="C415" t="str">
            <v>1998GA</v>
          </cell>
          <cell r="D415">
            <v>0</v>
          </cell>
          <cell r="E415">
            <v>0</v>
          </cell>
          <cell r="F415">
            <v>0</v>
          </cell>
          <cell r="G415">
            <v>0</v>
          </cell>
          <cell r="H415" t="str">
            <v>---</v>
          </cell>
          <cell r="I415">
            <v>0</v>
          </cell>
          <cell r="K415" t="str">
            <v>---</v>
          </cell>
        </row>
        <row r="416">
          <cell r="C416" t="str">
            <v>1998HI</v>
          </cell>
          <cell r="D416">
            <v>0</v>
          </cell>
          <cell r="E416">
            <v>0</v>
          </cell>
          <cell r="F416">
            <v>0</v>
          </cell>
          <cell r="G416">
            <v>0</v>
          </cell>
          <cell r="H416" t="str">
            <v>---</v>
          </cell>
          <cell r="I416">
            <v>0</v>
          </cell>
          <cell r="K416" t="str">
            <v>---</v>
          </cell>
        </row>
        <row r="417">
          <cell r="C417" t="str">
            <v>1998ID</v>
          </cell>
          <cell r="D417">
            <v>0</v>
          </cell>
          <cell r="E417">
            <v>0</v>
          </cell>
          <cell r="F417">
            <v>0</v>
          </cell>
          <cell r="G417">
            <v>0</v>
          </cell>
          <cell r="H417" t="str">
            <v>---</v>
          </cell>
          <cell r="I417">
            <v>0</v>
          </cell>
          <cell r="K417" t="str">
            <v>---</v>
          </cell>
        </row>
        <row r="418">
          <cell r="C418" t="str">
            <v>1998IL</v>
          </cell>
          <cell r="D418">
            <v>6752.8085622443732</v>
          </cell>
          <cell r="E418">
            <v>0</v>
          </cell>
          <cell r="F418">
            <v>0</v>
          </cell>
          <cell r="G418">
            <v>0</v>
          </cell>
          <cell r="H418" t="str">
            <v>---</v>
          </cell>
          <cell r="I418">
            <v>0</v>
          </cell>
          <cell r="J418">
            <v>4482</v>
          </cell>
          <cell r="K418" t="str">
            <v>---</v>
          </cell>
        </row>
        <row r="419">
          <cell r="C419" t="str">
            <v>1998IN</v>
          </cell>
          <cell r="D419">
            <v>145.58293749448896</v>
          </cell>
          <cell r="E419">
            <v>0</v>
          </cell>
          <cell r="F419">
            <v>0</v>
          </cell>
          <cell r="G419">
            <v>0</v>
          </cell>
          <cell r="H419" t="str">
            <v>---</v>
          </cell>
          <cell r="I419">
            <v>0</v>
          </cell>
          <cell r="J419">
            <v>33359</v>
          </cell>
          <cell r="K419" t="str">
            <v>---</v>
          </cell>
        </row>
        <row r="420">
          <cell r="C420" t="str">
            <v>1998IA</v>
          </cell>
          <cell r="D420">
            <v>0</v>
          </cell>
          <cell r="E420">
            <v>0</v>
          </cell>
          <cell r="F420">
            <v>0</v>
          </cell>
          <cell r="G420">
            <v>0</v>
          </cell>
          <cell r="H420" t="str">
            <v>---</v>
          </cell>
          <cell r="I420">
            <v>0</v>
          </cell>
          <cell r="J420">
            <v>0</v>
          </cell>
          <cell r="K420" t="str">
            <v>---</v>
          </cell>
        </row>
        <row r="421">
          <cell r="C421" t="str">
            <v>1998KS</v>
          </cell>
          <cell r="D421">
            <v>0</v>
          </cell>
          <cell r="E421">
            <v>0</v>
          </cell>
          <cell r="F421">
            <v>0</v>
          </cell>
          <cell r="G421">
            <v>0</v>
          </cell>
          <cell r="H421" t="str">
            <v>---</v>
          </cell>
          <cell r="I421">
            <v>0</v>
          </cell>
          <cell r="J421">
            <v>341</v>
          </cell>
          <cell r="K421" t="str">
            <v>---</v>
          </cell>
        </row>
        <row r="422">
          <cell r="C422" t="str">
            <v>1998KY</v>
          </cell>
          <cell r="D422">
            <v>4552.2664685776745</v>
          </cell>
          <cell r="E422">
            <v>77.461111111111109</v>
          </cell>
          <cell r="F422">
            <v>0</v>
          </cell>
          <cell r="G422">
            <v>0</v>
          </cell>
          <cell r="H422">
            <v>25767</v>
          </cell>
          <cell r="I422">
            <v>25767</v>
          </cell>
          <cell r="J422">
            <v>49589</v>
          </cell>
          <cell r="K422">
            <v>7874</v>
          </cell>
        </row>
        <row r="423">
          <cell r="C423" t="str">
            <v>1998LA</v>
          </cell>
          <cell r="D423">
            <v>0</v>
          </cell>
          <cell r="E423">
            <v>0</v>
          </cell>
          <cell r="F423">
            <v>0</v>
          </cell>
          <cell r="G423">
            <v>0</v>
          </cell>
          <cell r="H423" t="str">
            <v>---</v>
          </cell>
          <cell r="I423">
            <v>0</v>
          </cell>
          <cell r="J423">
            <v>3216</v>
          </cell>
          <cell r="K423" t="str">
            <v>---</v>
          </cell>
        </row>
        <row r="424">
          <cell r="C424" t="str">
            <v>1998ME</v>
          </cell>
          <cell r="D424">
            <v>0</v>
          </cell>
          <cell r="E424">
            <v>0</v>
          </cell>
          <cell r="F424">
            <v>0</v>
          </cell>
          <cell r="G424">
            <v>0</v>
          </cell>
          <cell r="H424" t="str">
            <v>---</v>
          </cell>
          <cell r="I424">
            <v>0</v>
          </cell>
          <cell r="K424" t="str">
            <v>---</v>
          </cell>
        </row>
        <row r="425">
          <cell r="C425" t="str">
            <v>1998MD</v>
          </cell>
          <cell r="D425">
            <v>0</v>
          </cell>
          <cell r="E425">
            <v>0</v>
          </cell>
          <cell r="F425">
            <v>0</v>
          </cell>
          <cell r="G425">
            <v>0</v>
          </cell>
          <cell r="H425" t="str">
            <v>---</v>
          </cell>
          <cell r="I425">
            <v>0</v>
          </cell>
          <cell r="J425">
            <v>734</v>
          </cell>
          <cell r="K425" t="str">
            <v>---</v>
          </cell>
        </row>
        <row r="426">
          <cell r="C426" t="str">
            <v>1998MA</v>
          </cell>
          <cell r="D426">
            <v>0</v>
          </cell>
          <cell r="E426">
            <v>0</v>
          </cell>
          <cell r="F426">
            <v>0</v>
          </cell>
          <cell r="G426">
            <v>0</v>
          </cell>
          <cell r="H426" t="str">
            <v>---</v>
          </cell>
          <cell r="I426">
            <v>0</v>
          </cell>
          <cell r="K426" t="str">
            <v>---</v>
          </cell>
        </row>
        <row r="427">
          <cell r="C427" t="str">
            <v>1998MI</v>
          </cell>
          <cell r="D427">
            <v>0</v>
          </cell>
          <cell r="E427">
            <v>0</v>
          </cell>
          <cell r="F427">
            <v>0</v>
          </cell>
          <cell r="G427">
            <v>0</v>
          </cell>
          <cell r="H427" t="str">
            <v>---</v>
          </cell>
          <cell r="I427">
            <v>0</v>
          </cell>
          <cell r="K427" t="str">
            <v>---</v>
          </cell>
        </row>
        <row r="428">
          <cell r="C428" t="str">
            <v>1998MN</v>
          </cell>
          <cell r="D428">
            <v>0</v>
          </cell>
          <cell r="E428">
            <v>0</v>
          </cell>
          <cell r="F428">
            <v>0</v>
          </cell>
          <cell r="G428">
            <v>0</v>
          </cell>
          <cell r="H428" t="str">
            <v>---</v>
          </cell>
          <cell r="I428">
            <v>0</v>
          </cell>
          <cell r="K428" t="str">
            <v>---</v>
          </cell>
        </row>
        <row r="429">
          <cell r="C429" t="str">
            <v>1998MS</v>
          </cell>
          <cell r="D429">
            <v>0</v>
          </cell>
          <cell r="E429">
            <v>0</v>
          </cell>
          <cell r="F429">
            <v>0</v>
          </cell>
          <cell r="G429">
            <v>0</v>
          </cell>
          <cell r="H429" t="str">
            <v>---</v>
          </cell>
          <cell r="I429">
            <v>0</v>
          </cell>
          <cell r="K429" t="str">
            <v>---</v>
          </cell>
        </row>
        <row r="430">
          <cell r="C430" t="str">
            <v>1998MO</v>
          </cell>
          <cell r="D430">
            <v>0</v>
          </cell>
          <cell r="E430">
            <v>0</v>
          </cell>
          <cell r="F430">
            <v>0</v>
          </cell>
          <cell r="G430">
            <v>0</v>
          </cell>
          <cell r="H430" t="str">
            <v>---</v>
          </cell>
          <cell r="I430">
            <v>0</v>
          </cell>
          <cell r="J430">
            <v>372</v>
          </cell>
          <cell r="K430" t="str">
            <v>---</v>
          </cell>
        </row>
        <row r="431">
          <cell r="C431" t="str">
            <v>1998MT</v>
          </cell>
          <cell r="D431">
            <v>0</v>
          </cell>
          <cell r="E431">
            <v>0</v>
          </cell>
          <cell r="F431">
            <v>0</v>
          </cell>
          <cell r="G431">
            <v>0</v>
          </cell>
          <cell r="H431" t="str">
            <v>---</v>
          </cell>
          <cell r="I431">
            <v>0</v>
          </cell>
          <cell r="J431">
            <v>42840</v>
          </cell>
          <cell r="K431" t="str">
            <v>---</v>
          </cell>
        </row>
        <row r="432">
          <cell r="C432" t="str">
            <v>1998NE</v>
          </cell>
          <cell r="D432">
            <v>0</v>
          </cell>
          <cell r="E432">
            <v>0</v>
          </cell>
          <cell r="F432">
            <v>0</v>
          </cell>
          <cell r="G432">
            <v>0</v>
          </cell>
          <cell r="H432" t="str">
            <v>---</v>
          </cell>
          <cell r="I432">
            <v>0</v>
          </cell>
          <cell r="K432" t="str">
            <v>---</v>
          </cell>
        </row>
        <row r="433">
          <cell r="C433" t="str">
            <v>1998NV</v>
          </cell>
          <cell r="D433">
            <v>0</v>
          </cell>
          <cell r="E433">
            <v>0</v>
          </cell>
          <cell r="F433">
            <v>0</v>
          </cell>
          <cell r="G433">
            <v>0</v>
          </cell>
          <cell r="H433" t="str">
            <v>---</v>
          </cell>
          <cell r="I433">
            <v>0</v>
          </cell>
          <cell r="K433" t="str">
            <v>---</v>
          </cell>
        </row>
        <row r="434">
          <cell r="C434" t="str">
            <v>1998NH</v>
          </cell>
          <cell r="D434">
            <v>0</v>
          </cell>
          <cell r="E434">
            <v>0</v>
          </cell>
          <cell r="F434">
            <v>0</v>
          </cell>
          <cell r="G434">
            <v>0</v>
          </cell>
          <cell r="H434" t="str">
            <v>---</v>
          </cell>
          <cell r="I434">
            <v>0</v>
          </cell>
          <cell r="K434" t="str">
            <v>---</v>
          </cell>
        </row>
        <row r="435">
          <cell r="C435" t="str">
            <v>1998NJ</v>
          </cell>
          <cell r="D435">
            <v>0</v>
          </cell>
          <cell r="E435">
            <v>0</v>
          </cell>
          <cell r="F435">
            <v>0</v>
          </cell>
          <cell r="G435">
            <v>0</v>
          </cell>
          <cell r="H435" t="str">
            <v>---</v>
          </cell>
          <cell r="I435">
            <v>0</v>
          </cell>
          <cell r="K435" t="str">
            <v>---</v>
          </cell>
        </row>
        <row r="436">
          <cell r="C436" t="str">
            <v>1998NM</v>
          </cell>
          <cell r="D436">
            <v>0</v>
          </cell>
          <cell r="E436">
            <v>0</v>
          </cell>
          <cell r="F436">
            <v>0</v>
          </cell>
          <cell r="G436">
            <v>0</v>
          </cell>
          <cell r="H436" t="str">
            <v>---</v>
          </cell>
          <cell r="I436">
            <v>0</v>
          </cell>
          <cell r="J436">
            <v>28394</v>
          </cell>
          <cell r="K436" t="str">
            <v>---</v>
          </cell>
        </row>
        <row r="437">
          <cell r="C437" t="str">
            <v>1998NY</v>
          </cell>
          <cell r="D437">
            <v>0</v>
          </cell>
          <cell r="E437">
            <v>0</v>
          </cell>
          <cell r="F437">
            <v>0</v>
          </cell>
          <cell r="G437">
            <v>0</v>
          </cell>
          <cell r="H437" t="str">
            <v>---</v>
          </cell>
          <cell r="I437">
            <v>0</v>
          </cell>
          <cell r="K437" t="str">
            <v>---</v>
          </cell>
        </row>
        <row r="438">
          <cell r="C438" t="str">
            <v>1998NC</v>
          </cell>
          <cell r="D438">
            <v>0</v>
          </cell>
          <cell r="E438">
            <v>0</v>
          </cell>
          <cell r="F438">
            <v>0</v>
          </cell>
          <cell r="G438">
            <v>0</v>
          </cell>
          <cell r="H438" t="str">
            <v>---</v>
          </cell>
          <cell r="I438">
            <v>0</v>
          </cell>
          <cell r="K438" t="str">
            <v>---</v>
          </cell>
        </row>
        <row r="439">
          <cell r="C439" t="str">
            <v>1998ND</v>
          </cell>
          <cell r="D439">
            <v>0</v>
          </cell>
          <cell r="E439">
            <v>0</v>
          </cell>
          <cell r="F439">
            <v>0</v>
          </cell>
          <cell r="G439">
            <v>0</v>
          </cell>
          <cell r="H439" t="str">
            <v>---</v>
          </cell>
          <cell r="I439">
            <v>0</v>
          </cell>
          <cell r="J439">
            <v>29912</v>
          </cell>
          <cell r="K439" t="str">
            <v>---</v>
          </cell>
        </row>
        <row r="440">
          <cell r="C440" t="str">
            <v>1998OH</v>
          </cell>
          <cell r="D440">
            <v>1832.8518540972841</v>
          </cell>
          <cell r="E440">
            <v>0</v>
          </cell>
          <cell r="F440">
            <v>0</v>
          </cell>
          <cell r="G440">
            <v>0</v>
          </cell>
          <cell r="H440" t="str">
            <v>---</v>
          </cell>
          <cell r="I440">
            <v>0</v>
          </cell>
          <cell r="J440">
            <v>13444</v>
          </cell>
          <cell r="K440" t="str">
            <v>---</v>
          </cell>
        </row>
        <row r="441">
          <cell r="C441" t="str">
            <v>1998OK</v>
          </cell>
          <cell r="D441">
            <v>123.18556249533681</v>
          </cell>
          <cell r="E441">
            <v>0</v>
          </cell>
          <cell r="F441">
            <v>0</v>
          </cell>
          <cell r="G441">
            <v>0</v>
          </cell>
          <cell r="H441" t="str">
            <v>---</v>
          </cell>
          <cell r="I441">
            <v>0</v>
          </cell>
          <cell r="J441">
            <v>1415</v>
          </cell>
          <cell r="K441" t="str">
            <v>---</v>
          </cell>
        </row>
        <row r="442">
          <cell r="C442" t="str">
            <v>1998OR</v>
          </cell>
          <cell r="D442">
            <v>0</v>
          </cell>
          <cell r="E442">
            <v>0</v>
          </cell>
          <cell r="F442">
            <v>0</v>
          </cell>
          <cell r="G442">
            <v>0</v>
          </cell>
          <cell r="H442" t="str">
            <v>---</v>
          </cell>
          <cell r="I442">
            <v>0</v>
          </cell>
          <cell r="K442" t="str">
            <v>---</v>
          </cell>
        </row>
        <row r="443">
          <cell r="C443" t="str">
            <v>1998PA</v>
          </cell>
          <cell r="D443">
            <v>17902.968415988951</v>
          </cell>
          <cell r="E443">
            <v>7333.9950980392168</v>
          </cell>
          <cell r="F443">
            <v>0</v>
          </cell>
          <cell r="G443">
            <v>0</v>
          </cell>
          <cell r="H443" t="str">
            <v>---</v>
          </cell>
          <cell r="I443">
            <v>0</v>
          </cell>
          <cell r="J443">
            <v>21483</v>
          </cell>
          <cell r="K443" t="str">
            <v>---</v>
          </cell>
        </row>
        <row r="444">
          <cell r="C444" t="str">
            <v>1998RI</v>
          </cell>
          <cell r="D444">
            <v>0</v>
          </cell>
          <cell r="E444">
            <v>0</v>
          </cell>
          <cell r="F444">
            <v>0</v>
          </cell>
          <cell r="G444">
            <v>0</v>
          </cell>
          <cell r="H444" t="str">
            <v>---</v>
          </cell>
          <cell r="I444">
            <v>0</v>
          </cell>
          <cell r="K444" t="str">
            <v>---</v>
          </cell>
        </row>
        <row r="445">
          <cell r="C445" t="str">
            <v>1998SC</v>
          </cell>
          <cell r="D445">
            <v>0</v>
          </cell>
          <cell r="E445">
            <v>0</v>
          </cell>
          <cell r="F445">
            <v>0</v>
          </cell>
          <cell r="G445">
            <v>0</v>
          </cell>
          <cell r="H445" t="str">
            <v>---</v>
          </cell>
          <cell r="I445">
            <v>0</v>
          </cell>
          <cell r="K445" t="str">
            <v>---</v>
          </cell>
        </row>
        <row r="446">
          <cell r="C446" t="str">
            <v>1998SD</v>
          </cell>
          <cell r="D446">
            <v>0</v>
          </cell>
          <cell r="E446">
            <v>0</v>
          </cell>
          <cell r="F446">
            <v>0</v>
          </cell>
          <cell r="G446">
            <v>0</v>
          </cell>
          <cell r="H446" t="str">
            <v>---</v>
          </cell>
          <cell r="I446">
            <v>0</v>
          </cell>
          <cell r="K446" t="str">
            <v>---</v>
          </cell>
        </row>
        <row r="447">
          <cell r="C447" t="str">
            <v>1998TN</v>
          </cell>
          <cell r="D447">
            <v>0</v>
          </cell>
          <cell r="E447">
            <v>0</v>
          </cell>
          <cell r="F447">
            <v>0</v>
          </cell>
          <cell r="G447">
            <v>0</v>
          </cell>
          <cell r="H447" t="str">
            <v>---</v>
          </cell>
          <cell r="I447">
            <v>0</v>
          </cell>
          <cell r="J447">
            <v>1649</v>
          </cell>
          <cell r="K447" t="str">
            <v>---</v>
          </cell>
        </row>
        <row r="448">
          <cell r="C448" t="str">
            <v>1998TX</v>
          </cell>
          <cell r="D448">
            <v>0</v>
          </cell>
          <cell r="E448">
            <v>0</v>
          </cell>
          <cell r="F448">
            <v>0</v>
          </cell>
          <cell r="G448">
            <v>0</v>
          </cell>
          <cell r="H448" t="str">
            <v>---</v>
          </cell>
          <cell r="I448">
            <v>0</v>
          </cell>
          <cell r="J448">
            <v>52583</v>
          </cell>
          <cell r="K448" t="str">
            <v>---</v>
          </cell>
        </row>
        <row r="449">
          <cell r="C449" t="str">
            <v>1998UT</v>
          </cell>
          <cell r="D449">
            <v>3016.1798332191561</v>
          </cell>
          <cell r="E449">
            <v>0</v>
          </cell>
          <cell r="F449">
            <v>0</v>
          </cell>
          <cell r="G449">
            <v>0</v>
          </cell>
          <cell r="H449" t="str">
            <v>---</v>
          </cell>
          <cell r="I449">
            <v>0</v>
          </cell>
          <cell r="K449" t="str">
            <v>---</v>
          </cell>
        </row>
        <row r="450">
          <cell r="C450" t="str">
            <v>1998VT</v>
          </cell>
          <cell r="D450">
            <v>0</v>
          </cell>
          <cell r="E450">
            <v>0</v>
          </cell>
          <cell r="F450">
            <v>0</v>
          </cell>
          <cell r="G450">
            <v>0</v>
          </cell>
          <cell r="H450" t="str">
            <v>---</v>
          </cell>
          <cell r="I450">
            <v>0</v>
          </cell>
          <cell r="K450" t="str">
            <v>---</v>
          </cell>
        </row>
        <row r="451">
          <cell r="C451" t="str">
            <v>1998VA</v>
          </cell>
          <cell r="D451">
            <v>9474.0896246413595</v>
          </cell>
          <cell r="E451">
            <v>20607.818207282915</v>
          </cell>
          <cell r="F451">
            <v>19867.731800000001</v>
          </cell>
          <cell r="G451">
            <v>0</v>
          </cell>
          <cell r="H451" t="str">
            <v>---</v>
          </cell>
          <cell r="I451">
            <v>0</v>
          </cell>
          <cell r="J451">
            <v>8535</v>
          </cell>
          <cell r="K451" t="str">
            <v>---</v>
          </cell>
        </row>
        <row r="452">
          <cell r="C452" t="str">
            <v>1998WA</v>
          </cell>
          <cell r="D452">
            <v>0</v>
          </cell>
          <cell r="E452">
            <v>0</v>
          </cell>
          <cell r="F452">
            <v>0</v>
          </cell>
          <cell r="G452">
            <v>0</v>
          </cell>
          <cell r="H452" t="str">
            <v>---</v>
          </cell>
          <cell r="I452">
            <v>0</v>
          </cell>
          <cell r="J452">
            <v>4638</v>
          </cell>
          <cell r="K452" t="str">
            <v>---</v>
          </cell>
        </row>
        <row r="453">
          <cell r="C453" t="str">
            <v>1998WV</v>
          </cell>
          <cell r="D453">
            <v>20639.1810617187</v>
          </cell>
          <cell r="E453">
            <v>8258.6140522875812</v>
          </cell>
          <cell r="F453">
            <v>2118.8873100000001</v>
          </cell>
          <cell r="G453">
            <v>0</v>
          </cell>
          <cell r="H453">
            <v>39236</v>
          </cell>
          <cell r="I453">
            <v>39236</v>
          </cell>
          <cell r="J453">
            <v>48572</v>
          </cell>
          <cell r="K453">
            <v>5382</v>
          </cell>
        </row>
        <row r="454">
          <cell r="C454" t="str">
            <v>1998WI</v>
          </cell>
          <cell r="D454">
            <v>0</v>
          </cell>
          <cell r="E454">
            <v>0</v>
          </cell>
          <cell r="F454">
            <v>0</v>
          </cell>
          <cell r="G454">
            <v>0</v>
          </cell>
          <cell r="H454" t="str">
            <v>---</v>
          </cell>
          <cell r="I454">
            <v>0</v>
          </cell>
          <cell r="K454" t="str">
            <v>---</v>
          </cell>
        </row>
        <row r="455">
          <cell r="C455" t="str">
            <v>1998WY</v>
          </cell>
          <cell r="D455">
            <v>0</v>
          </cell>
          <cell r="E455">
            <v>0</v>
          </cell>
          <cell r="F455">
            <v>0</v>
          </cell>
          <cell r="G455">
            <v>0</v>
          </cell>
          <cell r="H455" t="str">
            <v>---</v>
          </cell>
          <cell r="I455">
            <v>0</v>
          </cell>
          <cell r="J455">
            <v>312686</v>
          </cell>
          <cell r="K455" t="str">
            <v>---</v>
          </cell>
        </row>
        <row r="456">
          <cell r="C456" t="str">
            <v>1999AL</v>
          </cell>
          <cell r="D456">
            <v>24083.524047004987</v>
          </cell>
          <cell r="E456">
            <v>9547.8065999999999</v>
          </cell>
          <cell r="F456">
            <v>9573.0332400000007</v>
          </cell>
          <cell r="G456">
            <v>0</v>
          </cell>
          <cell r="H456" t="str">
            <v>---</v>
          </cell>
          <cell r="I456">
            <v>0</v>
          </cell>
          <cell r="J456">
            <v>4705</v>
          </cell>
          <cell r="K456" t="str">
            <v>---</v>
          </cell>
        </row>
        <row r="457">
          <cell r="C457" t="str">
            <v>1999AK</v>
          </cell>
          <cell r="D457">
            <v>0</v>
          </cell>
          <cell r="E457">
            <v>0</v>
          </cell>
          <cell r="F457">
            <v>0</v>
          </cell>
          <cell r="G457">
            <v>0</v>
          </cell>
          <cell r="H457" t="str">
            <v>---</v>
          </cell>
          <cell r="I457">
            <v>0</v>
          </cell>
          <cell r="J457">
            <v>1565</v>
          </cell>
          <cell r="K457" t="str">
            <v>---</v>
          </cell>
        </row>
        <row r="458">
          <cell r="C458" t="str">
            <v>1999AZ</v>
          </cell>
          <cell r="D458">
            <v>0</v>
          </cell>
          <cell r="E458">
            <v>0</v>
          </cell>
          <cell r="F458">
            <v>0</v>
          </cell>
          <cell r="G458">
            <v>0</v>
          </cell>
          <cell r="H458" t="str">
            <v>---</v>
          </cell>
          <cell r="I458">
            <v>0</v>
          </cell>
          <cell r="J458">
            <v>11787</v>
          </cell>
          <cell r="K458" t="str">
            <v>---</v>
          </cell>
        </row>
        <row r="459">
          <cell r="C459" t="str">
            <v>1999AR</v>
          </cell>
          <cell r="D459">
            <v>0</v>
          </cell>
          <cell r="E459">
            <v>0</v>
          </cell>
          <cell r="F459">
            <v>0</v>
          </cell>
          <cell r="G459">
            <v>0</v>
          </cell>
          <cell r="H459" t="str">
            <v>---</v>
          </cell>
          <cell r="I459">
            <v>0</v>
          </cell>
          <cell r="J459">
            <v>22</v>
          </cell>
          <cell r="K459" t="str">
            <v>---</v>
          </cell>
        </row>
        <row r="460">
          <cell r="C460" t="str">
            <v>1999CA</v>
          </cell>
          <cell r="D460">
            <v>0</v>
          </cell>
          <cell r="E460">
            <v>0</v>
          </cell>
          <cell r="F460">
            <v>0</v>
          </cell>
          <cell r="G460">
            <v>0</v>
          </cell>
          <cell r="H460" t="str">
            <v>---</v>
          </cell>
          <cell r="I460">
            <v>0</v>
          </cell>
          <cell r="J460">
            <v>0</v>
          </cell>
          <cell r="K460" t="str">
            <v>---</v>
          </cell>
        </row>
        <row r="461">
          <cell r="C461" t="str">
            <v>1999CO</v>
          </cell>
          <cell r="D461">
            <v>7351.1917643050547</v>
          </cell>
          <cell r="E461">
            <v>0</v>
          </cell>
          <cell r="F461">
            <v>0</v>
          </cell>
          <cell r="G461">
            <v>0</v>
          </cell>
          <cell r="H461" t="str">
            <v>---</v>
          </cell>
          <cell r="I461">
            <v>0</v>
          </cell>
          <cell r="J461">
            <v>9511</v>
          </cell>
          <cell r="K461" t="str">
            <v>---</v>
          </cell>
        </row>
        <row r="462">
          <cell r="C462" t="str">
            <v>1999CT</v>
          </cell>
          <cell r="D462">
            <v>0</v>
          </cell>
          <cell r="E462">
            <v>0</v>
          </cell>
          <cell r="F462">
            <v>0</v>
          </cell>
          <cell r="G462">
            <v>0</v>
          </cell>
          <cell r="H462" t="str">
            <v>---</v>
          </cell>
          <cell r="I462">
            <v>0</v>
          </cell>
          <cell r="K462" t="str">
            <v>---</v>
          </cell>
        </row>
        <row r="463">
          <cell r="C463" t="str">
            <v>1999DE</v>
          </cell>
          <cell r="D463">
            <v>0</v>
          </cell>
          <cell r="E463">
            <v>0</v>
          </cell>
          <cell r="F463">
            <v>0</v>
          </cell>
          <cell r="G463">
            <v>0</v>
          </cell>
          <cell r="H463" t="str">
            <v>---</v>
          </cell>
          <cell r="I463">
            <v>0</v>
          </cell>
          <cell r="K463" t="str">
            <v>---</v>
          </cell>
        </row>
        <row r="464">
          <cell r="C464" t="str">
            <v>1999FL</v>
          </cell>
          <cell r="D464">
            <v>0</v>
          </cell>
          <cell r="E464">
            <v>0</v>
          </cell>
          <cell r="F464">
            <v>0</v>
          </cell>
          <cell r="G464">
            <v>0</v>
          </cell>
          <cell r="H464" t="str">
            <v>---</v>
          </cell>
          <cell r="I464">
            <v>0</v>
          </cell>
          <cell r="K464" t="str">
            <v>---</v>
          </cell>
        </row>
        <row r="465">
          <cell r="C465" t="str">
            <v>1999GA</v>
          </cell>
          <cell r="D465">
            <v>0</v>
          </cell>
          <cell r="E465">
            <v>0</v>
          </cell>
          <cell r="F465">
            <v>0</v>
          </cell>
          <cell r="G465">
            <v>0</v>
          </cell>
          <cell r="H465" t="str">
            <v>---</v>
          </cell>
          <cell r="I465">
            <v>0</v>
          </cell>
          <cell r="K465" t="str">
            <v>---</v>
          </cell>
        </row>
        <row r="466">
          <cell r="C466" t="str">
            <v>1999HI</v>
          </cell>
          <cell r="D466">
            <v>0</v>
          </cell>
          <cell r="E466">
            <v>0</v>
          </cell>
          <cell r="F466">
            <v>0</v>
          </cell>
          <cell r="G466">
            <v>0</v>
          </cell>
          <cell r="H466" t="str">
            <v>---</v>
          </cell>
          <cell r="I466">
            <v>0</v>
          </cell>
          <cell r="K466" t="str">
            <v>---</v>
          </cell>
        </row>
        <row r="467">
          <cell r="C467" t="str">
            <v>1999ID</v>
          </cell>
          <cell r="D467">
            <v>0</v>
          </cell>
          <cell r="E467">
            <v>0</v>
          </cell>
          <cell r="F467">
            <v>0</v>
          </cell>
          <cell r="G467">
            <v>0</v>
          </cell>
          <cell r="H467" t="str">
            <v>---</v>
          </cell>
          <cell r="I467">
            <v>0</v>
          </cell>
          <cell r="K467" t="str">
            <v>---</v>
          </cell>
        </row>
        <row r="468">
          <cell r="C468" t="str">
            <v>1999IL</v>
          </cell>
          <cell r="D468">
            <v>6749.8222455778168</v>
          </cell>
          <cell r="E468">
            <v>0</v>
          </cell>
          <cell r="F468">
            <v>0</v>
          </cell>
          <cell r="G468">
            <v>0</v>
          </cell>
          <cell r="H468" t="str">
            <v>---</v>
          </cell>
          <cell r="I468">
            <v>0</v>
          </cell>
          <cell r="J468">
            <v>3659</v>
          </cell>
          <cell r="K468" t="str">
            <v>---</v>
          </cell>
        </row>
        <row r="469">
          <cell r="C469" t="str">
            <v>1999IN</v>
          </cell>
          <cell r="D469">
            <v>147.8226749944042</v>
          </cell>
          <cell r="E469">
            <v>0</v>
          </cell>
          <cell r="F469">
            <v>0</v>
          </cell>
          <cell r="G469">
            <v>0</v>
          </cell>
          <cell r="H469" t="str">
            <v>---</v>
          </cell>
          <cell r="I469">
            <v>0</v>
          </cell>
          <cell r="J469">
            <v>30451</v>
          </cell>
          <cell r="K469" t="str">
            <v>---</v>
          </cell>
        </row>
        <row r="470">
          <cell r="C470" t="str">
            <v>1999IA</v>
          </cell>
          <cell r="D470">
            <v>0</v>
          </cell>
          <cell r="E470">
            <v>0</v>
          </cell>
          <cell r="F470">
            <v>0</v>
          </cell>
          <cell r="G470">
            <v>0</v>
          </cell>
          <cell r="H470" t="str">
            <v>---</v>
          </cell>
          <cell r="I470">
            <v>0</v>
          </cell>
          <cell r="J470">
            <v>0</v>
          </cell>
          <cell r="K470" t="str">
            <v>---</v>
          </cell>
        </row>
        <row r="471">
          <cell r="C471" t="str">
            <v>1999KS</v>
          </cell>
          <cell r="D471">
            <v>0</v>
          </cell>
          <cell r="E471">
            <v>0</v>
          </cell>
          <cell r="F471">
            <v>0</v>
          </cell>
          <cell r="G471">
            <v>0</v>
          </cell>
          <cell r="H471" t="str">
            <v>---</v>
          </cell>
          <cell r="I471">
            <v>0</v>
          </cell>
          <cell r="J471">
            <v>409</v>
          </cell>
          <cell r="K471" t="str">
            <v>---</v>
          </cell>
        </row>
        <row r="472">
          <cell r="C472" t="str">
            <v>1999KY</v>
          </cell>
          <cell r="D472">
            <v>4504.4854019128152</v>
          </cell>
          <cell r="E472">
            <v>80.178333333333285</v>
          </cell>
          <cell r="F472">
            <v>0</v>
          </cell>
          <cell r="G472">
            <v>0</v>
          </cell>
          <cell r="H472">
            <v>23218</v>
          </cell>
          <cell r="I472">
            <v>23218</v>
          </cell>
          <cell r="J472">
            <v>47111</v>
          </cell>
          <cell r="K472">
            <v>6364</v>
          </cell>
        </row>
        <row r="473">
          <cell r="C473" t="str">
            <v>1999LA</v>
          </cell>
          <cell r="D473">
            <v>0</v>
          </cell>
          <cell r="E473">
            <v>0</v>
          </cell>
          <cell r="F473">
            <v>0</v>
          </cell>
          <cell r="G473">
            <v>0</v>
          </cell>
          <cell r="H473" t="str">
            <v>---</v>
          </cell>
          <cell r="I473">
            <v>0</v>
          </cell>
          <cell r="J473">
            <v>2953</v>
          </cell>
          <cell r="K473" t="str">
            <v>---</v>
          </cell>
        </row>
        <row r="474">
          <cell r="C474" t="str">
            <v>1999ME</v>
          </cell>
          <cell r="D474">
            <v>0</v>
          </cell>
          <cell r="E474">
            <v>0</v>
          </cell>
          <cell r="F474">
            <v>0</v>
          </cell>
          <cell r="G474">
            <v>0</v>
          </cell>
          <cell r="H474" t="str">
            <v>---</v>
          </cell>
          <cell r="I474">
            <v>0</v>
          </cell>
          <cell r="K474" t="str">
            <v>---</v>
          </cell>
        </row>
        <row r="475">
          <cell r="C475" t="str">
            <v>1999MD</v>
          </cell>
          <cell r="D475">
            <v>0</v>
          </cell>
          <cell r="E475">
            <v>0</v>
          </cell>
          <cell r="F475">
            <v>0</v>
          </cell>
          <cell r="G475">
            <v>0</v>
          </cell>
          <cell r="H475" t="str">
            <v>---</v>
          </cell>
          <cell r="I475">
            <v>0</v>
          </cell>
          <cell r="J475">
            <v>557</v>
          </cell>
          <cell r="K475" t="str">
            <v>---</v>
          </cell>
        </row>
        <row r="476">
          <cell r="C476" t="str">
            <v>1999MA</v>
          </cell>
          <cell r="D476">
            <v>0</v>
          </cell>
          <cell r="E476">
            <v>0</v>
          </cell>
          <cell r="F476">
            <v>0</v>
          </cell>
          <cell r="G476">
            <v>0</v>
          </cell>
          <cell r="H476" t="str">
            <v>---</v>
          </cell>
          <cell r="I476">
            <v>0</v>
          </cell>
          <cell r="K476" t="str">
            <v>---</v>
          </cell>
        </row>
        <row r="477">
          <cell r="C477" t="str">
            <v>1999MI</v>
          </cell>
          <cell r="D477">
            <v>0</v>
          </cell>
          <cell r="E477">
            <v>0</v>
          </cell>
          <cell r="F477">
            <v>0</v>
          </cell>
          <cell r="G477">
            <v>0</v>
          </cell>
          <cell r="H477" t="str">
            <v>---</v>
          </cell>
          <cell r="I477">
            <v>0</v>
          </cell>
          <cell r="K477" t="str">
            <v>---</v>
          </cell>
        </row>
        <row r="478">
          <cell r="C478" t="str">
            <v>1999MN</v>
          </cell>
          <cell r="D478">
            <v>0</v>
          </cell>
          <cell r="E478">
            <v>0</v>
          </cell>
          <cell r="F478">
            <v>0</v>
          </cell>
          <cell r="G478">
            <v>0</v>
          </cell>
          <cell r="H478" t="str">
            <v>---</v>
          </cell>
          <cell r="I478">
            <v>0</v>
          </cell>
          <cell r="K478" t="str">
            <v>---</v>
          </cell>
        </row>
        <row r="479">
          <cell r="C479" t="str">
            <v>1999MS</v>
          </cell>
          <cell r="D479">
            <v>0</v>
          </cell>
          <cell r="E479">
            <v>0</v>
          </cell>
          <cell r="F479">
            <v>0</v>
          </cell>
          <cell r="G479">
            <v>0</v>
          </cell>
          <cell r="H479" t="str">
            <v>---</v>
          </cell>
          <cell r="I479">
            <v>0</v>
          </cell>
          <cell r="J479">
            <v>18</v>
          </cell>
          <cell r="K479" t="str">
            <v>---</v>
          </cell>
        </row>
        <row r="480">
          <cell r="C480" t="str">
            <v>1999MO</v>
          </cell>
          <cell r="D480">
            <v>0</v>
          </cell>
          <cell r="E480">
            <v>0</v>
          </cell>
          <cell r="F480">
            <v>0</v>
          </cell>
          <cell r="G480">
            <v>0</v>
          </cell>
          <cell r="H480" t="str">
            <v>---</v>
          </cell>
          <cell r="I480">
            <v>0</v>
          </cell>
          <cell r="J480">
            <v>392</v>
          </cell>
          <cell r="K480" t="str">
            <v>---</v>
          </cell>
        </row>
        <row r="481">
          <cell r="C481" t="str">
            <v>1999MT</v>
          </cell>
          <cell r="D481">
            <v>0</v>
          </cell>
          <cell r="E481">
            <v>0</v>
          </cell>
          <cell r="F481">
            <v>0</v>
          </cell>
          <cell r="G481">
            <v>0</v>
          </cell>
          <cell r="H481" t="str">
            <v>---</v>
          </cell>
          <cell r="I481">
            <v>0</v>
          </cell>
          <cell r="J481">
            <v>41102</v>
          </cell>
          <cell r="K481" t="str">
            <v>---</v>
          </cell>
        </row>
        <row r="482">
          <cell r="C482" t="str">
            <v>1999NE</v>
          </cell>
          <cell r="D482">
            <v>0</v>
          </cell>
          <cell r="E482">
            <v>0</v>
          </cell>
          <cell r="F482">
            <v>0</v>
          </cell>
          <cell r="G482">
            <v>0</v>
          </cell>
          <cell r="H482" t="str">
            <v>---</v>
          </cell>
          <cell r="I482">
            <v>0</v>
          </cell>
          <cell r="K482" t="str">
            <v>---</v>
          </cell>
        </row>
        <row r="483">
          <cell r="C483" t="str">
            <v>1999NV</v>
          </cell>
          <cell r="D483">
            <v>0</v>
          </cell>
          <cell r="E483">
            <v>0</v>
          </cell>
          <cell r="F483">
            <v>0</v>
          </cell>
          <cell r="G483">
            <v>0</v>
          </cell>
          <cell r="H483" t="str">
            <v>---</v>
          </cell>
          <cell r="I483">
            <v>0</v>
          </cell>
          <cell r="K483" t="str">
            <v>---</v>
          </cell>
        </row>
        <row r="484">
          <cell r="C484" t="str">
            <v>1999NH</v>
          </cell>
          <cell r="D484">
            <v>0</v>
          </cell>
          <cell r="E484">
            <v>0</v>
          </cell>
          <cell r="F484">
            <v>0</v>
          </cell>
          <cell r="G484">
            <v>0</v>
          </cell>
          <cell r="H484" t="str">
            <v>---</v>
          </cell>
          <cell r="I484">
            <v>0</v>
          </cell>
          <cell r="K484" t="str">
            <v>---</v>
          </cell>
        </row>
        <row r="485">
          <cell r="C485" t="str">
            <v>1999NJ</v>
          </cell>
          <cell r="D485">
            <v>0</v>
          </cell>
          <cell r="E485">
            <v>0</v>
          </cell>
          <cell r="F485">
            <v>0</v>
          </cell>
          <cell r="G485">
            <v>0</v>
          </cell>
          <cell r="H485" t="str">
            <v>---</v>
          </cell>
          <cell r="I485">
            <v>0</v>
          </cell>
          <cell r="K485" t="str">
            <v>---</v>
          </cell>
        </row>
        <row r="486">
          <cell r="C486" t="str">
            <v>1999NM</v>
          </cell>
          <cell r="D486">
            <v>0</v>
          </cell>
          <cell r="E486">
            <v>0</v>
          </cell>
          <cell r="F486">
            <v>0</v>
          </cell>
          <cell r="G486">
            <v>0</v>
          </cell>
          <cell r="H486" t="str">
            <v>---</v>
          </cell>
          <cell r="I486">
            <v>0</v>
          </cell>
          <cell r="J486">
            <v>29051</v>
          </cell>
          <cell r="K486" t="str">
            <v>---</v>
          </cell>
        </row>
        <row r="487">
          <cell r="C487" t="str">
            <v>1999NY</v>
          </cell>
          <cell r="D487">
            <v>0</v>
          </cell>
          <cell r="E487">
            <v>0</v>
          </cell>
          <cell r="F487">
            <v>0</v>
          </cell>
          <cell r="G487">
            <v>0</v>
          </cell>
          <cell r="H487" t="str">
            <v>---</v>
          </cell>
          <cell r="I487">
            <v>0</v>
          </cell>
          <cell r="K487" t="str">
            <v>---</v>
          </cell>
        </row>
        <row r="488">
          <cell r="C488" t="str">
            <v>1999NC</v>
          </cell>
          <cell r="D488">
            <v>0</v>
          </cell>
          <cell r="E488">
            <v>0</v>
          </cell>
          <cell r="F488">
            <v>0</v>
          </cell>
          <cell r="G488">
            <v>0</v>
          </cell>
          <cell r="H488" t="str">
            <v>---</v>
          </cell>
          <cell r="I488">
            <v>0</v>
          </cell>
          <cell r="K488" t="str">
            <v>---</v>
          </cell>
        </row>
        <row r="489">
          <cell r="C489" t="str">
            <v>1999ND</v>
          </cell>
          <cell r="D489">
            <v>0</v>
          </cell>
          <cell r="E489">
            <v>0</v>
          </cell>
          <cell r="F489">
            <v>0</v>
          </cell>
          <cell r="G489">
            <v>0</v>
          </cell>
          <cell r="H489" t="str">
            <v>---</v>
          </cell>
          <cell r="I489">
            <v>0</v>
          </cell>
          <cell r="J489">
            <v>31135</v>
          </cell>
          <cell r="K489" t="str">
            <v>---</v>
          </cell>
        </row>
        <row r="490">
          <cell r="C490" t="str">
            <v>1999OH</v>
          </cell>
          <cell r="D490">
            <v>1871.6739707624813</v>
          </cell>
          <cell r="E490">
            <v>0</v>
          </cell>
          <cell r="F490">
            <v>0</v>
          </cell>
          <cell r="G490">
            <v>0</v>
          </cell>
          <cell r="H490" t="str">
            <v>---</v>
          </cell>
          <cell r="I490">
            <v>0</v>
          </cell>
          <cell r="J490">
            <v>11048</v>
          </cell>
          <cell r="K490" t="str">
            <v>---</v>
          </cell>
        </row>
        <row r="491">
          <cell r="C491" t="str">
            <v>1999OK</v>
          </cell>
          <cell r="D491">
            <v>194.85716249262367</v>
          </cell>
          <cell r="E491">
            <v>0</v>
          </cell>
          <cell r="F491">
            <v>0</v>
          </cell>
          <cell r="G491">
            <v>0</v>
          </cell>
          <cell r="H491" t="str">
            <v>---</v>
          </cell>
          <cell r="I491">
            <v>0</v>
          </cell>
          <cell r="J491">
            <v>1461</v>
          </cell>
          <cell r="K491" t="str">
            <v>---</v>
          </cell>
        </row>
        <row r="492">
          <cell r="C492" t="str">
            <v>1999OR</v>
          </cell>
          <cell r="D492">
            <v>0</v>
          </cell>
          <cell r="E492">
            <v>0</v>
          </cell>
          <cell r="F492">
            <v>0</v>
          </cell>
          <cell r="G492">
            <v>0</v>
          </cell>
          <cell r="H492" t="str">
            <v>---</v>
          </cell>
          <cell r="I492">
            <v>0</v>
          </cell>
          <cell r="K492" t="str">
            <v>---</v>
          </cell>
        </row>
        <row r="493">
          <cell r="C493" t="str">
            <v>1999PA</v>
          </cell>
          <cell r="D493">
            <v>15831.584518150696</v>
          </cell>
          <cell r="E493">
            <v>3994.3470833333331</v>
          </cell>
          <cell r="F493">
            <v>0</v>
          </cell>
          <cell r="G493">
            <v>0</v>
          </cell>
          <cell r="H493" t="str">
            <v>---</v>
          </cell>
          <cell r="I493">
            <v>0</v>
          </cell>
          <cell r="J493">
            <v>17188</v>
          </cell>
          <cell r="K493" t="str">
            <v>---</v>
          </cell>
        </row>
        <row r="494">
          <cell r="C494" t="str">
            <v>1999RI</v>
          </cell>
          <cell r="D494">
            <v>0</v>
          </cell>
          <cell r="E494">
            <v>0</v>
          </cell>
          <cell r="F494">
            <v>0</v>
          </cell>
          <cell r="G494">
            <v>0</v>
          </cell>
          <cell r="H494" t="str">
            <v>---</v>
          </cell>
          <cell r="I494">
            <v>0</v>
          </cell>
          <cell r="K494" t="str">
            <v>---</v>
          </cell>
        </row>
        <row r="495">
          <cell r="C495" t="str">
            <v>1999SC</v>
          </cell>
          <cell r="D495">
            <v>0</v>
          </cell>
          <cell r="E495">
            <v>0</v>
          </cell>
          <cell r="F495">
            <v>0</v>
          </cell>
          <cell r="G495">
            <v>0</v>
          </cell>
          <cell r="H495" t="str">
            <v>---</v>
          </cell>
          <cell r="I495">
            <v>0</v>
          </cell>
          <cell r="K495" t="str">
            <v>---</v>
          </cell>
        </row>
        <row r="496">
          <cell r="C496" t="str">
            <v>1999SD</v>
          </cell>
          <cell r="D496">
            <v>0</v>
          </cell>
          <cell r="E496">
            <v>0</v>
          </cell>
          <cell r="F496">
            <v>0</v>
          </cell>
          <cell r="G496">
            <v>0</v>
          </cell>
          <cell r="H496" t="str">
            <v>---</v>
          </cell>
          <cell r="I496">
            <v>0</v>
          </cell>
          <cell r="K496" t="str">
            <v>---</v>
          </cell>
        </row>
        <row r="497">
          <cell r="C497" t="str">
            <v>1999TN</v>
          </cell>
          <cell r="D497">
            <v>0</v>
          </cell>
          <cell r="E497">
            <v>0</v>
          </cell>
          <cell r="F497">
            <v>0</v>
          </cell>
          <cell r="G497">
            <v>0</v>
          </cell>
          <cell r="H497" t="str">
            <v>---</v>
          </cell>
          <cell r="I497">
            <v>0</v>
          </cell>
          <cell r="J497">
            <v>1548</v>
          </cell>
          <cell r="K497" t="str">
            <v>---</v>
          </cell>
        </row>
        <row r="498">
          <cell r="C498" t="str">
            <v>1999TX</v>
          </cell>
          <cell r="D498">
            <v>0</v>
          </cell>
          <cell r="E498">
            <v>0</v>
          </cell>
          <cell r="F498">
            <v>0</v>
          </cell>
          <cell r="G498">
            <v>0</v>
          </cell>
          <cell r="H498" t="str">
            <v>---</v>
          </cell>
          <cell r="I498">
            <v>0</v>
          </cell>
          <cell r="J498">
            <v>53072</v>
          </cell>
          <cell r="K498" t="str">
            <v>---</v>
          </cell>
        </row>
        <row r="499">
          <cell r="C499" t="str">
            <v>1999UT</v>
          </cell>
          <cell r="D499">
            <v>2781.3806853113774</v>
          </cell>
          <cell r="E499">
            <v>0</v>
          </cell>
          <cell r="F499">
            <v>0</v>
          </cell>
          <cell r="G499">
            <v>0</v>
          </cell>
          <cell r="H499" t="str">
            <v>---</v>
          </cell>
          <cell r="I499">
            <v>0</v>
          </cell>
          <cell r="K499" t="str">
            <v>---</v>
          </cell>
        </row>
        <row r="500">
          <cell r="C500" t="str">
            <v>1999VT</v>
          </cell>
          <cell r="D500">
            <v>0</v>
          </cell>
          <cell r="E500">
            <v>0</v>
          </cell>
          <cell r="F500">
            <v>0</v>
          </cell>
          <cell r="G500">
            <v>0</v>
          </cell>
          <cell r="H500" t="str">
            <v>---</v>
          </cell>
          <cell r="I500">
            <v>0</v>
          </cell>
          <cell r="K500" t="str">
            <v>---</v>
          </cell>
        </row>
        <row r="501">
          <cell r="C501" t="str">
            <v>1999VA</v>
          </cell>
          <cell r="D501">
            <v>9316.188130897337</v>
          </cell>
          <cell r="E501">
            <v>19970.435032384758</v>
          </cell>
          <cell r="F501">
            <v>19455.791539999998</v>
          </cell>
          <cell r="G501">
            <v>0</v>
          </cell>
          <cell r="H501" t="str">
            <v>---</v>
          </cell>
          <cell r="I501">
            <v>0</v>
          </cell>
          <cell r="J501">
            <v>9732</v>
          </cell>
          <cell r="K501" t="str">
            <v>---</v>
          </cell>
        </row>
        <row r="502">
          <cell r="C502" t="str">
            <v>1999WA</v>
          </cell>
          <cell r="D502">
            <v>0</v>
          </cell>
          <cell r="E502">
            <v>0</v>
          </cell>
          <cell r="F502">
            <v>0</v>
          </cell>
          <cell r="G502">
            <v>0</v>
          </cell>
          <cell r="H502" t="str">
            <v>---</v>
          </cell>
          <cell r="I502">
            <v>0</v>
          </cell>
          <cell r="J502">
            <v>4101</v>
          </cell>
          <cell r="K502" t="str">
            <v>---</v>
          </cell>
        </row>
        <row r="503">
          <cell r="C503" t="str">
            <v>1999WV</v>
          </cell>
          <cell r="D503">
            <v>21198.592831280857</v>
          </cell>
          <cell r="E503">
            <v>6408.735880392157</v>
          </cell>
          <cell r="F503">
            <v>2130.6349</v>
          </cell>
          <cell r="G503">
            <v>0</v>
          </cell>
          <cell r="H503">
            <v>33653</v>
          </cell>
          <cell r="I503">
            <v>33653</v>
          </cell>
          <cell r="J503">
            <v>49116</v>
          </cell>
          <cell r="K503">
            <v>5135</v>
          </cell>
        </row>
        <row r="504">
          <cell r="C504" t="str">
            <v>1999WI</v>
          </cell>
          <cell r="D504">
            <v>0</v>
          </cell>
          <cell r="E504">
            <v>0</v>
          </cell>
          <cell r="F504">
            <v>0</v>
          </cell>
          <cell r="G504">
            <v>0</v>
          </cell>
          <cell r="H504" t="str">
            <v>---</v>
          </cell>
          <cell r="I504">
            <v>0</v>
          </cell>
          <cell r="K504" t="str">
            <v>---</v>
          </cell>
        </row>
        <row r="505">
          <cell r="C505" t="str">
            <v>1999WY</v>
          </cell>
          <cell r="D505">
            <v>0</v>
          </cell>
          <cell r="E505">
            <v>0</v>
          </cell>
          <cell r="F505">
            <v>0</v>
          </cell>
          <cell r="G505">
            <v>0</v>
          </cell>
          <cell r="H505" t="str">
            <v>---</v>
          </cell>
          <cell r="I505">
            <v>0</v>
          </cell>
          <cell r="J505">
            <v>335446</v>
          </cell>
          <cell r="K505" t="str">
            <v>---</v>
          </cell>
        </row>
        <row r="506">
          <cell r="C506" t="str">
            <v>2000AL</v>
          </cell>
          <cell r="D506">
            <v>21717.599327260072</v>
          </cell>
          <cell r="E506">
            <v>12834.863870000001</v>
          </cell>
          <cell r="F506">
            <v>12834.863870000001</v>
          </cell>
          <cell r="G506">
            <v>0</v>
          </cell>
          <cell r="H506" t="str">
            <v>---</v>
          </cell>
          <cell r="I506">
            <v>0</v>
          </cell>
          <cell r="J506">
            <v>3450</v>
          </cell>
          <cell r="K506" t="str">
            <v>---</v>
          </cell>
        </row>
        <row r="507">
          <cell r="C507" t="str">
            <v>2000AK</v>
          </cell>
          <cell r="D507">
            <v>0</v>
          </cell>
          <cell r="E507">
            <v>0</v>
          </cell>
          <cell r="F507">
            <v>0</v>
          </cell>
          <cell r="G507">
            <v>0</v>
          </cell>
          <cell r="H507" t="str">
            <v>---</v>
          </cell>
          <cell r="I507">
            <v>0</v>
          </cell>
          <cell r="J507">
            <v>1641</v>
          </cell>
          <cell r="K507" t="str">
            <v>---</v>
          </cell>
        </row>
        <row r="508">
          <cell r="C508" t="str">
            <v>2000AZ</v>
          </cell>
          <cell r="D508">
            <v>0</v>
          </cell>
          <cell r="E508">
            <v>0</v>
          </cell>
          <cell r="F508">
            <v>0</v>
          </cell>
          <cell r="G508">
            <v>0</v>
          </cell>
          <cell r="H508" t="str">
            <v>---</v>
          </cell>
          <cell r="I508">
            <v>0</v>
          </cell>
          <cell r="J508">
            <v>13111</v>
          </cell>
          <cell r="K508" t="str">
            <v>---</v>
          </cell>
        </row>
        <row r="509">
          <cell r="C509" t="str">
            <v>2000AR</v>
          </cell>
          <cell r="D509">
            <v>0</v>
          </cell>
          <cell r="E509">
            <v>0</v>
          </cell>
          <cell r="F509">
            <v>0</v>
          </cell>
          <cell r="G509">
            <v>0</v>
          </cell>
          <cell r="H509" t="str">
            <v>---</v>
          </cell>
          <cell r="I509">
            <v>0</v>
          </cell>
          <cell r="J509">
            <v>12</v>
          </cell>
          <cell r="K509" t="str">
            <v>---</v>
          </cell>
        </row>
        <row r="510">
          <cell r="C510" t="str">
            <v>2000CA</v>
          </cell>
          <cell r="D510">
            <v>0</v>
          </cell>
          <cell r="E510">
            <v>0</v>
          </cell>
          <cell r="F510">
            <v>0</v>
          </cell>
          <cell r="G510">
            <v>0</v>
          </cell>
          <cell r="H510" t="str">
            <v>---</v>
          </cell>
          <cell r="I510">
            <v>0</v>
          </cell>
          <cell r="J510">
            <v>0</v>
          </cell>
          <cell r="K510" t="str">
            <v>---</v>
          </cell>
        </row>
        <row r="511">
          <cell r="C511" t="str">
            <v>2000CO</v>
          </cell>
          <cell r="D511">
            <v>6800.8800788863873</v>
          </cell>
          <cell r="E511">
            <v>2097.1799999999998</v>
          </cell>
          <cell r="F511">
            <v>0</v>
          </cell>
          <cell r="G511">
            <v>0</v>
          </cell>
          <cell r="H511" t="str">
            <v>---</v>
          </cell>
          <cell r="I511">
            <v>0</v>
          </cell>
          <cell r="J511">
            <v>9156</v>
          </cell>
          <cell r="K511" t="str">
            <v>---</v>
          </cell>
        </row>
        <row r="512">
          <cell r="C512" t="str">
            <v>2000CT</v>
          </cell>
          <cell r="D512">
            <v>0</v>
          </cell>
          <cell r="E512">
            <v>0</v>
          </cell>
          <cell r="F512">
            <v>0</v>
          </cell>
          <cell r="G512">
            <v>0</v>
          </cell>
          <cell r="H512" t="str">
            <v>---</v>
          </cell>
          <cell r="I512">
            <v>0</v>
          </cell>
          <cell r="K512" t="str">
            <v>---</v>
          </cell>
        </row>
        <row r="513">
          <cell r="C513" t="str">
            <v>2000DE</v>
          </cell>
          <cell r="D513">
            <v>0</v>
          </cell>
          <cell r="E513">
            <v>0</v>
          </cell>
          <cell r="F513">
            <v>0</v>
          </cell>
          <cell r="G513">
            <v>0</v>
          </cell>
          <cell r="H513" t="str">
            <v>---</v>
          </cell>
          <cell r="I513">
            <v>0</v>
          </cell>
          <cell r="K513" t="str">
            <v>---</v>
          </cell>
        </row>
        <row r="514">
          <cell r="C514" t="str">
            <v>2000FL</v>
          </cell>
          <cell r="D514">
            <v>0</v>
          </cell>
          <cell r="E514">
            <v>0</v>
          </cell>
          <cell r="F514">
            <v>0</v>
          </cell>
          <cell r="G514">
            <v>0</v>
          </cell>
          <cell r="H514" t="str">
            <v>---</v>
          </cell>
          <cell r="I514">
            <v>0</v>
          </cell>
          <cell r="K514" t="str">
            <v>---</v>
          </cell>
        </row>
        <row r="515">
          <cell r="C515" t="str">
            <v>2000GA</v>
          </cell>
          <cell r="D515">
            <v>0</v>
          </cell>
          <cell r="E515">
            <v>0</v>
          </cell>
          <cell r="F515">
            <v>0</v>
          </cell>
          <cell r="G515">
            <v>0</v>
          </cell>
          <cell r="H515" t="str">
            <v>---</v>
          </cell>
          <cell r="I515">
            <v>0</v>
          </cell>
          <cell r="K515" t="str">
            <v>---</v>
          </cell>
        </row>
        <row r="516">
          <cell r="C516" t="str">
            <v>2000HI</v>
          </cell>
          <cell r="D516">
            <v>0</v>
          </cell>
          <cell r="E516">
            <v>0</v>
          </cell>
          <cell r="F516">
            <v>0</v>
          </cell>
          <cell r="G516">
            <v>0</v>
          </cell>
          <cell r="H516" t="str">
            <v>---</v>
          </cell>
          <cell r="I516">
            <v>0</v>
          </cell>
          <cell r="K516" t="str">
            <v>---</v>
          </cell>
        </row>
        <row r="517">
          <cell r="C517" t="str">
            <v>2000ID</v>
          </cell>
          <cell r="D517">
            <v>0</v>
          </cell>
          <cell r="E517">
            <v>0</v>
          </cell>
          <cell r="F517">
            <v>0</v>
          </cell>
          <cell r="G517">
            <v>0</v>
          </cell>
          <cell r="H517" t="str">
            <v>---</v>
          </cell>
          <cell r="I517">
            <v>0</v>
          </cell>
          <cell r="K517" t="str">
            <v>---</v>
          </cell>
        </row>
        <row r="518">
          <cell r="C518" t="str">
            <v>2000IL</v>
          </cell>
          <cell r="D518">
            <v>7619.1267546773324</v>
          </cell>
          <cell r="E518">
            <v>0</v>
          </cell>
          <cell r="F518">
            <v>0</v>
          </cell>
          <cell r="G518">
            <v>0</v>
          </cell>
          <cell r="H518" t="str">
            <v>---</v>
          </cell>
          <cell r="I518">
            <v>0</v>
          </cell>
          <cell r="J518">
            <v>3802</v>
          </cell>
          <cell r="K518" t="str">
            <v>---</v>
          </cell>
        </row>
        <row r="519">
          <cell r="C519" t="str">
            <v>2000IN</v>
          </cell>
          <cell r="D519">
            <v>218.22406769721857</v>
          </cell>
          <cell r="E519">
            <v>0</v>
          </cell>
          <cell r="F519">
            <v>0</v>
          </cell>
          <cell r="G519">
            <v>0</v>
          </cell>
          <cell r="H519" t="str">
            <v>---</v>
          </cell>
          <cell r="I519">
            <v>0</v>
          </cell>
          <cell r="J519">
            <v>24277</v>
          </cell>
          <cell r="K519" t="str">
            <v>---</v>
          </cell>
        </row>
        <row r="520">
          <cell r="C520" t="str">
            <v>2000IA</v>
          </cell>
          <cell r="D520">
            <v>0</v>
          </cell>
          <cell r="E520">
            <v>0</v>
          </cell>
          <cell r="F520">
            <v>0</v>
          </cell>
          <cell r="G520">
            <v>0</v>
          </cell>
          <cell r="H520" t="str">
            <v>---</v>
          </cell>
          <cell r="I520">
            <v>0</v>
          </cell>
          <cell r="J520">
            <v>0</v>
          </cell>
          <cell r="K520" t="str">
            <v>---</v>
          </cell>
        </row>
        <row r="521">
          <cell r="C521" t="str">
            <v>2000KS</v>
          </cell>
          <cell r="D521">
            <v>0</v>
          </cell>
          <cell r="E521">
            <v>0</v>
          </cell>
          <cell r="F521">
            <v>0</v>
          </cell>
          <cell r="G521">
            <v>0</v>
          </cell>
          <cell r="H521" t="str">
            <v>---</v>
          </cell>
          <cell r="I521">
            <v>0</v>
          </cell>
          <cell r="J521">
            <v>201</v>
          </cell>
          <cell r="K521" t="str">
            <v>---</v>
          </cell>
        </row>
        <row r="522">
          <cell r="C522" t="str">
            <v>2000KY</v>
          </cell>
          <cell r="D522">
            <v>4431.1375782797468</v>
          </cell>
          <cell r="E522">
            <v>0</v>
          </cell>
          <cell r="F522">
            <v>0</v>
          </cell>
          <cell r="G522">
            <v>0</v>
          </cell>
          <cell r="H522">
            <v>20390</v>
          </cell>
          <cell r="I522">
            <v>20390</v>
          </cell>
          <cell r="J522">
            <v>45114</v>
          </cell>
          <cell r="K522">
            <v>5552</v>
          </cell>
        </row>
        <row r="523">
          <cell r="C523" t="str">
            <v>2000LA</v>
          </cell>
          <cell r="D523">
            <v>0</v>
          </cell>
          <cell r="E523">
            <v>0</v>
          </cell>
          <cell r="F523">
            <v>0</v>
          </cell>
          <cell r="G523">
            <v>0</v>
          </cell>
          <cell r="H523" t="str">
            <v>---</v>
          </cell>
          <cell r="I523">
            <v>0</v>
          </cell>
          <cell r="J523">
            <v>3688</v>
          </cell>
          <cell r="K523" t="str">
            <v>---</v>
          </cell>
        </row>
        <row r="524">
          <cell r="C524" t="str">
            <v>2000ME</v>
          </cell>
          <cell r="D524">
            <v>0</v>
          </cell>
          <cell r="E524">
            <v>0</v>
          </cell>
          <cell r="F524">
            <v>0</v>
          </cell>
          <cell r="G524">
            <v>0</v>
          </cell>
          <cell r="H524" t="str">
            <v>---</v>
          </cell>
          <cell r="I524">
            <v>0</v>
          </cell>
          <cell r="K524" t="str">
            <v>---</v>
          </cell>
        </row>
        <row r="525">
          <cell r="C525" t="str">
            <v>2000MD</v>
          </cell>
          <cell r="D525">
            <v>0</v>
          </cell>
          <cell r="E525">
            <v>0</v>
          </cell>
          <cell r="F525">
            <v>0</v>
          </cell>
          <cell r="G525">
            <v>0</v>
          </cell>
          <cell r="H525" t="str">
            <v>---</v>
          </cell>
          <cell r="I525">
            <v>0</v>
          </cell>
          <cell r="J525">
            <v>1350</v>
          </cell>
          <cell r="K525" t="str">
            <v>---</v>
          </cell>
        </row>
        <row r="526">
          <cell r="C526" t="str">
            <v>2000MA</v>
          </cell>
          <cell r="D526">
            <v>0</v>
          </cell>
          <cell r="E526">
            <v>0</v>
          </cell>
          <cell r="F526">
            <v>0</v>
          </cell>
          <cell r="G526">
            <v>0</v>
          </cell>
          <cell r="H526" t="str">
            <v>---</v>
          </cell>
          <cell r="I526">
            <v>0</v>
          </cell>
          <cell r="K526" t="str">
            <v>---</v>
          </cell>
        </row>
        <row r="527">
          <cell r="C527" t="str">
            <v>2000MI</v>
          </cell>
          <cell r="D527">
            <v>0</v>
          </cell>
          <cell r="E527">
            <v>0</v>
          </cell>
          <cell r="F527">
            <v>0</v>
          </cell>
          <cell r="G527">
            <v>0</v>
          </cell>
          <cell r="H527" t="str">
            <v>---</v>
          </cell>
          <cell r="I527">
            <v>0</v>
          </cell>
          <cell r="K527" t="str">
            <v>---</v>
          </cell>
        </row>
        <row r="528">
          <cell r="C528" t="str">
            <v>2000MN</v>
          </cell>
          <cell r="D528">
            <v>0</v>
          </cell>
          <cell r="E528">
            <v>0</v>
          </cell>
          <cell r="F528">
            <v>0</v>
          </cell>
          <cell r="G528">
            <v>0</v>
          </cell>
          <cell r="H528" t="str">
            <v>---</v>
          </cell>
          <cell r="I528">
            <v>0</v>
          </cell>
          <cell r="K528" t="str">
            <v>---</v>
          </cell>
        </row>
        <row r="529">
          <cell r="C529" t="str">
            <v>2000MS</v>
          </cell>
          <cell r="D529">
            <v>0</v>
          </cell>
          <cell r="E529">
            <v>0</v>
          </cell>
          <cell r="F529">
            <v>0</v>
          </cell>
          <cell r="G529">
            <v>0</v>
          </cell>
          <cell r="H529" t="str">
            <v>---</v>
          </cell>
          <cell r="I529">
            <v>0</v>
          </cell>
          <cell r="J529">
            <v>802</v>
          </cell>
          <cell r="K529" t="str">
            <v>---</v>
          </cell>
        </row>
        <row r="530">
          <cell r="C530" t="str">
            <v>2000MO</v>
          </cell>
          <cell r="D530">
            <v>0</v>
          </cell>
          <cell r="E530">
            <v>0</v>
          </cell>
          <cell r="F530">
            <v>0</v>
          </cell>
          <cell r="G530">
            <v>0</v>
          </cell>
          <cell r="H530" t="str">
            <v>---</v>
          </cell>
          <cell r="I530">
            <v>0</v>
          </cell>
          <cell r="J530">
            <v>436</v>
          </cell>
          <cell r="K530" t="str">
            <v>---</v>
          </cell>
        </row>
        <row r="531">
          <cell r="C531" t="str">
            <v>2000MT</v>
          </cell>
          <cell r="D531">
            <v>0</v>
          </cell>
          <cell r="E531">
            <v>0</v>
          </cell>
          <cell r="F531">
            <v>0</v>
          </cell>
          <cell r="G531">
            <v>0</v>
          </cell>
          <cell r="H531" t="str">
            <v>---</v>
          </cell>
          <cell r="I531">
            <v>0</v>
          </cell>
          <cell r="J531">
            <v>38352</v>
          </cell>
          <cell r="K531" t="str">
            <v>---</v>
          </cell>
        </row>
        <row r="532">
          <cell r="C532" t="str">
            <v>2000NE</v>
          </cell>
          <cell r="D532">
            <v>0</v>
          </cell>
          <cell r="E532">
            <v>0</v>
          </cell>
          <cell r="F532">
            <v>0</v>
          </cell>
          <cell r="G532">
            <v>0</v>
          </cell>
          <cell r="H532" t="str">
            <v>---</v>
          </cell>
          <cell r="I532">
            <v>0</v>
          </cell>
          <cell r="K532" t="str">
            <v>---</v>
          </cell>
        </row>
        <row r="533">
          <cell r="C533" t="str">
            <v>2000NV</v>
          </cell>
          <cell r="D533">
            <v>0</v>
          </cell>
          <cell r="E533">
            <v>0</v>
          </cell>
          <cell r="F533">
            <v>0</v>
          </cell>
          <cell r="G533">
            <v>0</v>
          </cell>
          <cell r="H533" t="str">
            <v>---</v>
          </cell>
          <cell r="I533">
            <v>0</v>
          </cell>
          <cell r="K533" t="str">
            <v>---</v>
          </cell>
        </row>
        <row r="534">
          <cell r="C534" t="str">
            <v>2000NH</v>
          </cell>
          <cell r="D534">
            <v>0</v>
          </cell>
          <cell r="E534">
            <v>0</v>
          </cell>
          <cell r="F534">
            <v>0</v>
          </cell>
          <cell r="G534">
            <v>0</v>
          </cell>
          <cell r="H534" t="str">
            <v>---</v>
          </cell>
          <cell r="I534">
            <v>0</v>
          </cell>
          <cell r="K534" t="str">
            <v>---</v>
          </cell>
        </row>
        <row r="535">
          <cell r="C535" t="str">
            <v>2000NJ</v>
          </cell>
          <cell r="D535">
            <v>0</v>
          </cell>
          <cell r="E535">
            <v>0</v>
          </cell>
          <cell r="F535">
            <v>0</v>
          </cell>
          <cell r="G535">
            <v>0</v>
          </cell>
          <cell r="H535" t="str">
            <v>---</v>
          </cell>
          <cell r="I535">
            <v>0</v>
          </cell>
          <cell r="K535" t="str">
            <v>---</v>
          </cell>
        </row>
        <row r="536">
          <cell r="C536" t="str">
            <v>2000NM</v>
          </cell>
          <cell r="D536">
            <v>0</v>
          </cell>
          <cell r="E536">
            <v>0</v>
          </cell>
          <cell r="F536">
            <v>0</v>
          </cell>
          <cell r="G536">
            <v>0</v>
          </cell>
          <cell r="H536" t="str">
            <v>---</v>
          </cell>
          <cell r="I536">
            <v>0</v>
          </cell>
          <cell r="J536">
            <v>27320</v>
          </cell>
          <cell r="K536" t="str">
            <v>---</v>
          </cell>
        </row>
        <row r="537">
          <cell r="C537" t="str">
            <v>2000NY</v>
          </cell>
          <cell r="D537">
            <v>0</v>
          </cell>
          <cell r="E537">
            <v>0</v>
          </cell>
          <cell r="F537">
            <v>0</v>
          </cell>
          <cell r="G537">
            <v>0</v>
          </cell>
          <cell r="H537" t="str">
            <v>---</v>
          </cell>
          <cell r="I537">
            <v>0</v>
          </cell>
          <cell r="K537" t="str">
            <v>---</v>
          </cell>
        </row>
        <row r="538">
          <cell r="C538" t="str">
            <v>2000NC</v>
          </cell>
          <cell r="D538">
            <v>0</v>
          </cell>
          <cell r="E538">
            <v>0</v>
          </cell>
          <cell r="F538">
            <v>0</v>
          </cell>
          <cell r="G538">
            <v>0</v>
          </cell>
          <cell r="H538" t="str">
            <v>---</v>
          </cell>
          <cell r="I538">
            <v>0</v>
          </cell>
          <cell r="K538" t="str">
            <v>---</v>
          </cell>
        </row>
        <row r="539">
          <cell r="C539" t="str">
            <v>2000ND</v>
          </cell>
          <cell r="D539">
            <v>0</v>
          </cell>
          <cell r="E539">
            <v>0</v>
          </cell>
          <cell r="F539">
            <v>0</v>
          </cell>
          <cell r="G539">
            <v>0</v>
          </cell>
          <cell r="H539" t="str">
            <v>---</v>
          </cell>
          <cell r="I539">
            <v>0</v>
          </cell>
          <cell r="J539">
            <v>31270</v>
          </cell>
          <cell r="K539" t="str">
            <v>---</v>
          </cell>
        </row>
        <row r="540">
          <cell r="C540" t="str">
            <v>2000OH</v>
          </cell>
          <cell r="D540">
            <v>1549.652899256406</v>
          </cell>
          <cell r="E540">
            <v>0</v>
          </cell>
          <cell r="F540">
            <v>0</v>
          </cell>
          <cell r="G540">
            <v>0</v>
          </cell>
          <cell r="H540" t="str">
            <v>---</v>
          </cell>
          <cell r="I540">
            <v>0</v>
          </cell>
          <cell r="J540">
            <v>10356</v>
          </cell>
          <cell r="K540" t="str">
            <v>---</v>
          </cell>
        </row>
        <row r="541">
          <cell r="C541" t="str">
            <v>2000OK</v>
          </cell>
          <cell r="D541">
            <v>194.64239314331672</v>
          </cell>
          <cell r="E541">
            <v>0</v>
          </cell>
          <cell r="F541">
            <v>0</v>
          </cell>
          <cell r="G541">
            <v>0</v>
          </cell>
          <cell r="H541" t="str">
            <v>---</v>
          </cell>
          <cell r="I541">
            <v>0</v>
          </cell>
          <cell r="J541">
            <v>1345</v>
          </cell>
          <cell r="K541" t="str">
            <v>---</v>
          </cell>
        </row>
        <row r="542">
          <cell r="C542" t="str">
            <v>2000OR</v>
          </cell>
          <cell r="D542">
            <v>0</v>
          </cell>
          <cell r="E542">
            <v>0</v>
          </cell>
          <cell r="F542">
            <v>0</v>
          </cell>
          <cell r="G542">
            <v>0</v>
          </cell>
          <cell r="H542" t="str">
            <v>---</v>
          </cell>
          <cell r="I542">
            <v>0</v>
          </cell>
          <cell r="K542" t="str">
            <v>---</v>
          </cell>
        </row>
        <row r="543">
          <cell r="C543" t="str">
            <v>2000PA</v>
          </cell>
          <cell r="D543">
            <v>17907.100169185142</v>
          </cell>
          <cell r="E543">
            <v>2325.1729666729666</v>
          </cell>
          <cell r="F543">
            <v>0</v>
          </cell>
          <cell r="G543">
            <v>0</v>
          </cell>
          <cell r="H543" t="str">
            <v>---</v>
          </cell>
          <cell r="I543">
            <v>0</v>
          </cell>
          <cell r="J543">
            <v>17283</v>
          </cell>
          <cell r="K543" t="str">
            <v>---</v>
          </cell>
        </row>
        <row r="544">
          <cell r="C544" t="str">
            <v>2000RI</v>
          </cell>
          <cell r="D544">
            <v>0</v>
          </cell>
          <cell r="E544">
            <v>0</v>
          </cell>
          <cell r="F544">
            <v>0</v>
          </cell>
          <cell r="G544">
            <v>0</v>
          </cell>
          <cell r="H544" t="str">
            <v>---</v>
          </cell>
          <cell r="I544">
            <v>0</v>
          </cell>
          <cell r="K544" t="str">
            <v>---</v>
          </cell>
        </row>
        <row r="545">
          <cell r="C545" t="str">
            <v>2000SC</v>
          </cell>
          <cell r="D545">
            <v>0</v>
          </cell>
          <cell r="E545">
            <v>0</v>
          </cell>
          <cell r="F545">
            <v>0</v>
          </cell>
          <cell r="G545">
            <v>0</v>
          </cell>
          <cell r="H545" t="str">
            <v>---</v>
          </cell>
          <cell r="I545">
            <v>0</v>
          </cell>
          <cell r="K545" t="str">
            <v>---</v>
          </cell>
        </row>
        <row r="546">
          <cell r="C546" t="str">
            <v>2000SD</v>
          </cell>
          <cell r="D546">
            <v>0</v>
          </cell>
          <cell r="E546">
            <v>0</v>
          </cell>
          <cell r="F546">
            <v>0</v>
          </cell>
          <cell r="G546">
            <v>0</v>
          </cell>
          <cell r="H546" t="str">
            <v>---</v>
          </cell>
          <cell r="I546">
            <v>0</v>
          </cell>
          <cell r="K546" t="str">
            <v>---</v>
          </cell>
        </row>
        <row r="547">
          <cell r="C547" t="str">
            <v>2000TN</v>
          </cell>
          <cell r="D547">
            <v>0</v>
          </cell>
          <cell r="E547">
            <v>0</v>
          </cell>
          <cell r="F547">
            <v>0</v>
          </cell>
          <cell r="G547">
            <v>0</v>
          </cell>
          <cell r="H547" t="str">
            <v>---</v>
          </cell>
          <cell r="I547">
            <v>0</v>
          </cell>
          <cell r="J547">
            <v>1213</v>
          </cell>
          <cell r="K547" t="str">
            <v>---</v>
          </cell>
        </row>
        <row r="548">
          <cell r="C548" t="str">
            <v>2000TX</v>
          </cell>
          <cell r="D548">
            <v>0</v>
          </cell>
          <cell r="E548">
            <v>0</v>
          </cell>
          <cell r="F548">
            <v>0</v>
          </cell>
          <cell r="G548">
            <v>0</v>
          </cell>
          <cell r="H548" t="str">
            <v>---</v>
          </cell>
          <cell r="I548">
            <v>0</v>
          </cell>
          <cell r="J548">
            <v>48488</v>
          </cell>
          <cell r="K548" t="str">
            <v>---</v>
          </cell>
        </row>
        <row r="549">
          <cell r="C549" t="str">
            <v>2000UT</v>
          </cell>
          <cell r="D549">
            <v>1948.5409435906217</v>
          </cell>
          <cell r="E549">
            <v>0</v>
          </cell>
          <cell r="F549">
            <v>0</v>
          </cell>
          <cell r="G549">
            <v>0</v>
          </cell>
          <cell r="H549" t="str">
            <v>---</v>
          </cell>
          <cell r="I549">
            <v>0</v>
          </cell>
          <cell r="K549" t="str">
            <v>---</v>
          </cell>
        </row>
        <row r="550">
          <cell r="C550" t="str">
            <v>2000VT</v>
          </cell>
          <cell r="D550">
            <v>0</v>
          </cell>
          <cell r="E550">
            <v>0</v>
          </cell>
          <cell r="F550">
            <v>0</v>
          </cell>
          <cell r="G550">
            <v>0</v>
          </cell>
          <cell r="H550" t="str">
            <v>---</v>
          </cell>
          <cell r="I550">
            <v>0</v>
          </cell>
          <cell r="K550" t="str">
            <v>---</v>
          </cell>
        </row>
        <row r="551">
          <cell r="C551" t="str">
            <v>2000VA</v>
          </cell>
          <cell r="D551">
            <v>8291.0173233162805</v>
          </cell>
          <cell r="E551">
            <v>22567.236086086778</v>
          </cell>
          <cell r="F551">
            <v>22358.918830034891</v>
          </cell>
          <cell r="G551">
            <v>0</v>
          </cell>
          <cell r="H551" t="str">
            <v>---</v>
          </cell>
          <cell r="I551">
            <v>0</v>
          </cell>
          <cell r="J551">
            <v>9654</v>
          </cell>
          <cell r="K551" t="str">
            <v>---</v>
          </cell>
        </row>
        <row r="552">
          <cell r="C552" t="str">
            <v>2000WA</v>
          </cell>
          <cell r="D552">
            <v>0</v>
          </cell>
          <cell r="E552">
            <v>0</v>
          </cell>
          <cell r="F552">
            <v>0</v>
          </cell>
          <cell r="G552">
            <v>0</v>
          </cell>
          <cell r="H552" t="str">
            <v>---</v>
          </cell>
          <cell r="I552">
            <v>0</v>
          </cell>
          <cell r="J552">
            <v>4270</v>
          </cell>
          <cell r="K552" t="str">
            <v>---</v>
          </cell>
        </row>
        <row r="553">
          <cell r="C553" t="str">
            <v>2000WV</v>
          </cell>
          <cell r="D553">
            <v>18426.94426562664</v>
          </cell>
          <cell r="E553">
            <v>5671.4530450980392</v>
          </cell>
          <cell r="F553">
            <v>1689.0553</v>
          </cell>
          <cell r="G553">
            <v>0</v>
          </cell>
          <cell r="H553">
            <v>32281</v>
          </cell>
          <cell r="I553">
            <v>32281</v>
          </cell>
          <cell r="J553">
            <v>54498</v>
          </cell>
          <cell r="K553">
            <v>5919</v>
          </cell>
        </row>
        <row r="554">
          <cell r="C554" t="str">
            <v>2000WI</v>
          </cell>
          <cell r="D554">
            <v>0</v>
          </cell>
          <cell r="E554">
            <v>0</v>
          </cell>
          <cell r="F554">
            <v>0</v>
          </cell>
          <cell r="G554">
            <v>0</v>
          </cell>
          <cell r="H554" t="str">
            <v>---</v>
          </cell>
          <cell r="I554">
            <v>0</v>
          </cell>
          <cell r="K554" t="str">
            <v>---</v>
          </cell>
        </row>
        <row r="555">
          <cell r="C555" t="str">
            <v>2000WY</v>
          </cell>
          <cell r="D555">
            <v>0</v>
          </cell>
          <cell r="E555">
            <v>0</v>
          </cell>
          <cell r="F555">
            <v>0</v>
          </cell>
          <cell r="G555">
            <v>0</v>
          </cell>
          <cell r="H555" t="str">
            <v>---</v>
          </cell>
          <cell r="I555">
            <v>0</v>
          </cell>
          <cell r="J555">
            <v>338048</v>
          </cell>
          <cell r="K555" t="str">
            <v>---</v>
          </cell>
        </row>
        <row r="556">
          <cell r="C556" t="str">
            <v>2001AL</v>
          </cell>
          <cell r="D556">
            <v>20281.793614648897</v>
          </cell>
          <cell r="E556">
            <v>12142.0213</v>
          </cell>
          <cell r="F556">
            <v>12142.0213</v>
          </cell>
          <cell r="G556">
            <v>0</v>
          </cell>
          <cell r="I556">
            <v>0</v>
          </cell>
          <cell r="J556">
            <v>4192</v>
          </cell>
        </row>
        <row r="557">
          <cell r="C557" t="str">
            <v>2001AK</v>
          </cell>
          <cell r="D557">
            <v>0</v>
          </cell>
          <cell r="E557">
            <v>0</v>
          </cell>
          <cell r="F557">
            <v>0</v>
          </cell>
          <cell r="G557">
            <v>0</v>
          </cell>
          <cell r="I557">
            <v>0</v>
          </cell>
          <cell r="J557">
            <v>1514.241</v>
          </cell>
        </row>
        <row r="558">
          <cell r="C558" t="str">
            <v>2001AZ</v>
          </cell>
          <cell r="D558">
            <v>0</v>
          </cell>
          <cell r="E558">
            <v>0</v>
          </cell>
          <cell r="F558">
            <v>0</v>
          </cell>
          <cell r="G558">
            <v>0</v>
          </cell>
          <cell r="I558">
            <v>0</v>
          </cell>
          <cell r="J558">
            <v>13417.523999999999</v>
          </cell>
        </row>
        <row r="559">
          <cell r="C559" t="str">
            <v>2001AR</v>
          </cell>
          <cell r="D559">
            <v>0</v>
          </cell>
          <cell r="E559">
            <v>0</v>
          </cell>
          <cell r="F559">
            <v>0</v>
          </cell>
          <cell r="G559">
            <v>0</v>
          </cell>
          <cell r="I559">
            <v>0</v>
          </cell>
          <cell r="J559">
            <v>13</v>
          </cell>
        </row>
        <row r="560">
          <cell r="C560" t="str">
            <v>2001CA</v>
          </cell>
          <cell r="D560">
            <v>0</v>
          </cell>
          <cell r="E560">
            <v>0</v>
          </cell>
          <cell r="F560">
            <v>0</v>
          </cell>
          <cell r="G560">
            <v>0</v>
          </cell>
          <cell r="I560">
            <v>0</v>
          </cell>
          <cell r="J560">
            <v>0</v>
          </cell>
        </row>
        <row r="561">
          <cell r="C561" t="str">
            <v>2001CO</v>
          </cell>
          <cell r="D561">
            <v>6718.0926309956876</v>
          </cell>
          <cell r="E561">
            <v>2139.7516666666666</v>
          </cell>
          <cell r="F561">
            <v>0</v>
          </cell>
          <cell r="G561">
            <v>0</v>
          </cell>
          <cell r="I561">
            <v>0</v>
          </cell>
          <cell r="J561">
            <v>9825.0300000000007</v>
          </cell>
        </row>
        <row r="562">
          <cell r="C562" t="str">
            <v>2001CT</v>
          </cell>
          <cell r="D562">
            <v>0</v>
          </cell>
          <cell r="E562">
            <v>0</v>
          </cell>
          <cell r="F562">
            <v>0</v>
          </cell>
          <cell r="G562">
            <v>0</v>
          </cell>
          <cell r="I562">
            <v>0</v>
          </cell>
        </row>
        <row r="563">
          <cell r="C563" t="str">
            <v>2001DE</v>
          </cell>
          <cell r="D563">
            <v>0</v>
          </cell>
          <cell r="E563">
            <v>0</v>
          </cell>
          <cell r="F563">
            <v>0</v>
          </cell>
          <cell r="G563">
            <v>0</v>
          </cell>
          <cell r="I563">
            <v>0</v>
          </cell>
        </row>
        <row r="564">
          <cell r="C564" t="str">
            <v>2001FL</v>
          </cell>
          <cell r="D564">
            <v>0</v>
          </cell>
          <cell r="E564">
            <v>0</v>
          </cell>
          <cell r="F564">
            <v>0</v>
          </cell>
          <cell r="G564">
            <v>0</v>
          </cell>
          <cell r="I564">
            <v>0</v>
          </cell>
        </row>
        <row r="565">
          <cell r="C565" t="str">
            <v>2001GA</v>
          </cell>
          <cell r="D565">
            <v>0</v>
          </cell>
          <cell r="E565">
            <v>0</v>
          </cell>
          <cell r="F565">
            <v>0</v>
          </cell>
          <cell r="G565">
            <v>0</v>
          </cell>
          <cell r="I565">
            <v>0</v>
          </cell>
        </row>
        <row r="566">
          <cell r="C566" t="str">
            <v>2001HI</v>
          </cell>
          <cell r="D566">
            <v>0</v>
          </cell>
          <cell r="E566">
            <v>0</v>
          </cell>
          <cell r="F566">
            <v>0</v>
          </cell>
          <cell r="G566">
            <v>0</v>
          </cell>
          <cell r="I566">
            <v>0</v>
          </cell>
        </row>
        <row r="567">
          <cell r="C567" t="str">
            <v>2001ID</v>
          </cell>
          <cell r="D567">
            <v>0</v>
          </cell>
          <cell r="E567">
            <v>0</v>
          </cell>
          <cell r="F567">
            <v>0</v>
          </cell>
          <cell r="G567">
            <v>0</v>
          </cell>
          <cell r="I567">
            <v>0</v>
          </cell>
        </row>
        <row r="568">
          <cell r="C568" t="str">
            <v>2001IL</v>
          </cell>
          <cell r="D568">
            <v>6229.8298560141702</v>
          </cell>
          <cell r="E568">
            <v>0</v>
          </cell>
          <cell r="F568">
            <v>0</v>
          </cell>
          <cell r="G568">
            <v>0</v>
          </cell>
          <cell r="I568">
            <v>0</v>
          </cell>
          <cell r="J568">
            <v>5671.3919999999998</v>
          </cell>
        </row>
        <row r="569">
          <cell r="C569" t="str">
            <v>2001IN</v>
          </cell>
          <cell r="D569">
            <v>866.4051228838689</v>
          </cell>
          <cell r="E569">
            <v>0</v>
          </cell>
          <cell r="F569">
            <v>0</v>
          </cell>
          <cell r="G569">
            <v>0</v>
          </cell>
          <cell r="I569">
            <v>0</v>
          </cell>
          <cell r="J569">
            <v>29546.457999999999</v>
          </cell>
        </row>
        <row r="570">
          <cell r="C570" t="str">
            <v>2001IA</v>
          </cell>
          <cell r="D570">
            <v>0</v>
          </cell>
          <cell r="E570">
            <v>0</v>
          </cell>
          <cell r="F570">
            <v>0</v>
          </cell>
          <cell r="G570">
            <v>0</v>
          </cell>
          <cell r="I570">
            <v>0</v>
          </cell>
          <cell r="J570">
            <v>0</v>
          </cell>
        </row>
        <row r="571">
          <cell r="C571" t="str">
            <v>2001KS</v>
          </cell>
          <cell r="D571">
            <v>0</v>
          </cell>
          <cell r="E571">
            <v>0</v>
          </cell>
          <cell r="F571">
            <v>0</v>
          </cell>
          <cell r="G571">
            <v>0</v>
          </cell>
          <cell r="I571">
            <v>0</v>
          </cell>
          <cell r="J571">
            <v>176.06399999999999</v>
          </cell>
        </row>
        <row r="572">
          <cell r="C572" t="str">
            <v>2001KY</v>
          </cell>
          <cell r="D572">
            <v>4542.0137889262351</v>
          </cell>
          <cell r="E572">
            <v>0</v>
          </cell>
          <cell r="F572">
            <v>0</v>
          </cell>
          <cell r="G572">
            <v>0</v>
          </cell>
          <cell r="H572">
            <v>19060.519</v>
          </cell>
          <cell r="I572">
            <v>19060.519</v>
          </cell>
          <cell r="J572">
            <v>47262</v>
          </cell>
          <cell r="K572">
            <v>5676</v>
          </cell>
        </row>
        <row r="573">
          <cell r="C573" t="str">
            <v>2001LA</v>
          </cell>
          <cell r="D573">
            <v>0</v>
          </cell>
          <cell r="E573">
            <v>0</v>
          </cell>
          <cell r="F573">
            <v>0</v>
          </cell>
          <cell r="G573">
            <v>0</v>
          </cell>
          <cell r="I573">
            <v>0</v>
          </cell>
          <cell r="J573">
            <v>3715.136</v>
          </cell>
        </row>
        <row r="574">
          <cell r="C574" t="str">
            <v>2001ME</v>
          </cell>
          <cell r="D574">
            <v>0</v>
          </cell>
          <cell r="E574">
            <v>0</v>
          </cell>
          <cell r="F574">
            <v>0</v>
          </cell>
          <cell r="G574">
            <v>0</v>
          </cell>
          <cell r="I574">
            <v>0</v>
          </cell>
        </row>
        <row r="575">
          <cell r="C575" t="str">
            <v>2001MD</v>
          </cell>
          <cell r="D575">
            <v>0</v>
          </cell>
          <cell r="E575">
            <v>0</v>
          </cell>
          <cell r="F575">
            <v>0</v>
          </cell>
          <cell r="G575">
            <v>0</v>
          </cell>
          <cell r="I575">
            <v>0</v>
          </cell>
          <cell r="J575">
            <v>1399.49</v>
          </cell>
        </row>
        <row r="576">
          <cell r="C576" t="str">
            <v>2001MA</v>
          </cell>
          <cell r="D576">
            <v>0</v>
          </cell>
          <cell r="E576">
            <v>0</v>
          </cell>
          <cell r="F576">
            <v>0</v>
          </cell>
          <cell r="G576">
            <v>0</v>
          </cell>
          <cell r="I576">
            <v>0</v>
          </cell>
        </row>
        <row r="577">
          <cell r="C577" t="str">
            <v>2001MI</v>
          </cell>
          <cell r="D577">
            <v>0</v>
          </cell>
          <cell r="E577">
            <v>0</v>
          </cell>
          <cell r="F577">
            <v>0</v>
          </cell>
          <cell r="G577">
            <v>0</v>
          </cell>
          <cell r="I577">
            <v>0</v>
          </cell>
        </row>
        <row r="578">
          <cell r="C578" t="str">
            <v>2001MN</v>
          </cell>
          <cell r="D578">
            <v>0</v>
          </cell>
          <cell r="E578">
            <v>0</v>
          </cell>
          <cell r="F578">
            <v>0</v>
          </cell>
          <cell r="G578">
            <v>0</v>
          </cell>
          <cell r="I578">
            <v>0</v>
          </cell>
        </row>
        <row r="579">
          <cell r="C579" t="str">
            <v>2001MS</v>
          </cell>
          <cell r="D579">
            <v>0</v>
          </cell>
          <cell r="E579">
            <v>0</v>
          </cell>
          <cell r="F579">
            <v>0</v>
          </cell>
          <cell r="G579">
            <v>0</v>
          </cell>
          <cell r="I579">
            <v>0</v>
          </cell>
          <cell r="J579">
            <v>603.827</v>
          </cell>
        </row>
        <row r="580">
          <cell r="C580" t="str">
            <v>2001MO</v>
          </cell>
          <cell r="D580">
            <v>0</v>
          </cell>
          <cell r="E580">
            <v>0</v>
          </cell>
          <cell r="F580">
            <v>0</v>
          </cell>
          <cell r="G580">
            <v>0</v>
          </cell>
          <cell r="I580">
            <v>0</v>
          </cell>
          <cell r="J580">
            <v>366.435</v>
          </cell>
        </row>
        <row r="581">
          <cell r="C581" t="str">
            <v>2001MT</v>
          </cell>
          <cell r="D581">
            <v>0</v>
          </cell>
          <cell r="E581">
            <v>0</v>
          </cell>
          <cell r="F581">
            <v>0</v>
          </cell>
          <cell r="G581">
            <v>0</v>
          </cell>
          <cell r="I581">
            <v>0</v>
          </cell>
          <cell r="J581">
            <v>39142.82</v>
          </cell>
        </row>
        <row r="582">
          <cell r="C582" t="str">
            <v>2001NE</v>
          </cell>
          <cell r="D582">
            <v>0</v>
          </cell>
          <cell r="E582">
            <v>0</v>
          </cell>
          <cell r="F582">
            <v>0</v>
          </cell>
          <cell r="G582">
            <v>0</v>
          </cell>
          <cell r="I582">
            <v>0</v>
          </cell>
        </row>
        <row r="583">
          <cell r="C583" t="str">
            <v>2001NV</v>
          </cell>
          <cell r="D583">
            <v>0</v>
          </cell>
          <cell r="E583">
            <v>0</v>
          </cell>
          <cell r="F583">
            <v>0</v>
          </cell>
          <cell r="G583">
            <v>0</v>
          </cell>
          <cell r="I583">
            <v>0</v>
          </cell>
        </row>
        <row r="584">
          <cell r="C584" t="str">
            <v>2001NH</v>
          </cell>
          <cell r="D584">
            <v>0</v>
          </cell>
          <cell r="E584">
            <v>0</v>
          </cell>
          <cell r="F584">
            <v>0</v>
          </cell>
          <cell r="G584">
            <v>0</v>
          </cell>
          <cell r="I584">
            <v>0</v>
          </cell>
        </row>
        <row r="585">
          <cell r="C585" t="str">
            <v>2001NJ</v>
          </cell>
          <cell r="D585">
            <v>0</v>
          </cell>
          <cell r="E585">
            <v>0</v>
          </cell>
          <cell r="F585">
            <v>0</v>
          </cell>
          <cell r="G585">
            <v>0</v>
          </cell>
          <cell r="I585">
            <v>0</v>
          </cell>
        </row>
        <row r="586">
          <cell r="C586" t="str">
            <v>2001NM</v>
          </cell>
          <cell r="D586">
            <v>116.09306041227197</v>
          </cell>
          <cell r="E586">
            <v>0</v>
          </cell>
          <cell r="F586">
            <v>0</v>
          </cell>
          <cell r="G586">
            <v>0</v>
          </cell>
          <cell r="I586">
            <v>0</v>
          </cell>
          <cell r="J586">
            <v>28937.455999999998</v>
          </cell>
        </row>
        <row r="587">
          <cell r="C587" t="str">
            <v>2001NY</v>
          </cell>
          <cell r="D587">
            <v>0</v>
          </cell>
          <cell r="E587">
            <v>0</v>
          </cell>
          <cell r="F587">
            <v>0</v>
          </cell>
          <cell r="G587">
            <v>0</v>
          </cell>
          <cell r="I587">
            <v>0</v>
          </cell>
        </row>
        <row r="588">
          <cell r="C588" t="str">
            <v>2001NC</v>
          </cell>
          <cell r="D588">
            <v>0</v>
          </cell>
          <cell r="E588">
            <v>0</v>
          </cell>
          <cell r="F588">
            <v>0</v>
          </cell>
          <cell r="G588">
            <v>0</v>
          </cell>
          <cell r="I588">
            <v>0</v>
          </cell>
        </row>
        <row r="589">
          <cell r="C589" t="str">
            <v>2001ND</v>
          </cell>
          <cell r="D589">
            <v>0</v>
          </cell>
          <cell r="E589">
            <v>0</v>
          </cell>
          <cell r="F589">
            <v>0</v>
          </cell>
          <cell r="G589">
            <v>0</v>
          </cell>
          <cell r="I589">
            <v>0</v>
          </cell>
          <cell r="J589">
            <v>30475.417000000001</v>
          </cell>
        </row>
        <row r="590">
          <cell r="C590" t="str">
            <v>2001OH</v>
          </cell>
          <cell r="D590">
            <v>1309.4405410349059</v>
          </cell>
          <cell r="E590">
            <v>0</v>
          </cell>
          <cell r="F590">
            <v>0</v>
          </cell>
          <cell r="G590">
            <v>0</v>
          </cell>
          <cell r="I590">
            <v>0</v>
          </cell>
          <cell r="J590">
            <v>12505.972</v>
          </cell>
        </row>
        <row r="591">
          <cell r="C591" t="str">
            <v>2001OK</v>
          </cell>
          <cell r="D591">
            <v>350.51891873673105</v>
          </cell>
          <cell r="E591">
            <v>0</v>
          </cell>
          <cell r="F591">
            <v>0</v>
          </cell>
          <cell r="G591">
            <v>0</v>
          </cell>
          <cell r="I591">
            <v>0</v>
          </cell>
          <cell r="J591">
            <v>1299.826</v>
          </cell>
        </row>
        <row r="592">
          <cell r="C592" t="str">
            <v>2001OR</v>
          </cell>
          <cell r="D592">
            <v>0</v>
          </cell>
          <cell r="E592">
            <v>0</v>
          </cell>
          <cell r="F592">
            <v>0</v>
          </cell>
          <cell r="G592">
            <v>0</v>
          </cell>
          <cell r="I592">
            <v>0</v>
          </cell>
        </row>
        <row r="593">
          <cell r="C593" t="str">
            <v>2001PA</v>
          </cell>
          <cell r="D593">
            <v>15854.355182733163</v>
          </cell>
          <cell r="E593">
            <v>2320.35214095936</v>
          </cell>
          <cell r="F593">
            <v>0</v>
          </cell>
          <cell r="G593">
            <v>0</v>
          </cell>
          <cell r="I593">
            <v>0</v>
          </cell>
          <cell r="J593">
            <v>16011</v>
          </cell>
        </row>
        <row r="594">
          <cell r="C594" t="str">
            <v>2001RI</v>
          </cell>
          <cell r="D594">
            <v>0</v>
          </cell>
          <cell r="E594">
            <v>0</v>
          </cell>
          <cell r="F594">
            <v>0</v>
          </cell>
          <cell r="G594">
            <v>0</v>
          </cell>
          <cell r="I594">
            <v>0</v>
          </cell>
        </row>
        <row r="595">
          <cell r="C595" t="str">
            <v>2001SC</v>
          </cell>
          <cell r="D595">
            <v>0</v>
          </cell>
          <cell r="E595">
            <v>0</v>
          </cell>
          <cell r="F595">
            <v>0</v>
          </cell>
          <cell r="G595">
            <v>0</v>
          </cell>
          <cell r="I595">
            <v>0</v>
          </cell>
        </row>
        <row r="596">
          <cell r="C596" t="str">
            <v>2001SD</v>
          </cell>
          <cell r="D596">
            <v>0</v>
          </cell>
          <cell r="E596">
            <v>0</v>
          </cell>
          <cell r="F596">
            <v>0</v>
          </cell>
          <cell r="G596">
            <v>0</v>
          </cell>
          <cell r="I596">
            <v>0</v>
          </cell>
        </row>
        <row r="597">
          <cell r="C597" t="str">
            <v>2001TN</v>
          </cell>
          <cell r="D597">
            <v>0</v>
          </cell>
          <cell r="E597">
            <v>0</v>
          </cell>
          <cell r="F597">
            <v>0</v>
          </cell>
          <cell r="G597">
            <v>0</v>
          </cell>
          <cell r="I597">
            <v>0</v>
          </cell>
          <cell r="J597">
            <v>2003.194</v>
          </cell>
        </row>
        <row r="598">
          <cell r="C598" t="str">
            <v>2001TX</v>
          </cell>
          <cell r="D598">
            <v>0</v>
          </cell>
          <cell r="E598">
            <v>0</v>
          </cell>
          <cell r="F598">
            <v>0</v>
          </cell>
          <cell r="G598">
            <v>0</v>
          </cell>
          <cell r="I598">
            <v>0</v>
          </cell>
          <cell r="J598">
            <v>45042.406000000003</v>
          </cell>
        </row>
        <row r="599">
          <cell r="C599" t="str">
            <v>2001UT</v>
          </cell>
          <cell r="D599">
            <v>1208.4150845432964</v>
          </cell>
          <cell r="E599">
            <v>0</v>
          </cell>
          <cell r="F599">
            <v>0</v>
          </cell>
          <cell r="G599">
            <v>0</v>
          </cell>
          <cell r="I599">
            <v>0</v>
          </cell>
          <cell r="J599">
            <v>0</v>
          </cell>
        </row>
        <row r="600">
          <cell r="C600" t="str">
            <v>2001VT</v>
          </cell>
          <cell r="D600">
            <v>0</v>
          </cell>
          <cell r="E600">
            <v>0</v>
          </cell>
          <cell r="F600">
            <v>0</v>
          </cell>
          <cell r="G600">
            <v>0</v>
          </cell>
          <cell r="I600">
            <v>0</v>
          </cell>
        </row>
        <row r="601">
          <cell r="C601" t="str">
            <v>2001VA</v>
          </cell>
          <cell r="D601">
            <v>7850.8127697313457</v>
          </cell>
          <cell r="E601">
            <v>25839.999834974718</v>
          </cell>
          <cell r="F601">
            <v>25698.483519999998</v>
          </cell>
          <cell r="G601">
            <v>0</v>
          </cell>
          <cell r="I601">
            <v>0</v>
          </cell>
          <cell r="J601">
            <v>10271</v>
          </cell>
        </row>
        <row r="602">
          <cell r="C602" t="str">
            <v>2001WA</v>
          </cell>
          <cell r="D602">
            <v>0</v>
          </cell>
          <cell r="E602">
            <v>0</v>
          </cell>
          <cell r="F602">
            <v>0</v>
          </cell>
          <cell r="G602">
            <v>0</v>
          </cell>
          <cell r="I602">
            <v>0</v>
          </cell>
          <cell r="J602">
            <v>4624.2449999999999</v>
          </cell>
        </row>
        <row r="603">
          <cell r="C603" t="str">
            <v>2001WV</v>
          </cell>
          <cell r="D603">
            <v>20866.056243348248</v>
          </cell>
          <cell r="E603">
            <v>6852.7061239215691</v>
          </cell>
          <cell r="F603">
            <v>3005.3288200000002</v>
          </cell>
          <cell r="G603">
            <v>0</v>
          </cell>
          <cell r="H603">
            <v>32752.531999999999</v>
          </cell>
          <cell r="I603">
            <v>32752.531999999999</v>
          </cell>
          <cell r="J603">
            <v>57447</v>
          </cell>
          <cell r="K603">
            <v>5417.9660000000003</v>
          </cell>
        </row>
        <row r="604">
          <cell r="C604" t="str">
            <v>2001WI</v>
          </cell>
          <cell r="D604">
            <v>0</v>
          </cell>
          <cell r="E604">
            <v>0</v>
          </cell>
          <cell r="F604">
            <v>0</v>
          </cell>
          <cell r="G604">
            <v>0</v>
          </cell>
          <cell r="I604">
            <v>0</v>
          </cell>
        </row>
        <row r="605">
          <cell r="C605" t="str">
            <v>2001WY</v>
          </cell>
          <cell r="D605">
            <v>0</v>
          </cell>
          <cell r="E605">
            <v>0</v>
          </cell>
          <cell r="F605">
            <v>0</v>
          </cell>
          <cell r="G605">
            <v>0</v>
          </cell>
          <cell r="I605">
            <v>0</v>
          </cell>
          <cell r="J605">
            <v>368749.17200000002</v>
          </cell>
        </row>
        <row r="606">
          <cell r="C606" t="str">
            <v>2002AL</v>
          </cell>
          <cell r="D606">
            <v>17106.4236920441</v>
          </cell>
          <cell r="E606">
            <v>13060.547719999999</v>
          </cell>
          <cell r="F606">
            <v>13060.54772</v>
          </cell>
          <cell r="G606">
            <v>0</v>
          </cell>
          <cell r="I606">
            <v>0</v>
          </cell>
          <cell r="J606">
            <v>4015</v>
          </cell>
        </row>
        <row r="607">
          <cell r="C607" t="str">
            <v>2002AK</v>
          </cell>
          <cell r="D607">
            <v>0</v>
          </cell>
          <cell r="E607">
            <v>0</v>
          </cell>
          <cell r="F607">
            <v>0</v>
          </cell>
          <cell r="G607">
            <v>0</v>
          </cell>
          <cell r="I607">
            <v>0</v>
          </cell>
          <cell r="J607">
            <v>1146</v>
          </cell>
        </row>
        <row r="608">
          <cell r="C608" t="str">
            <v>2002AZ</v>
          </cell>
          <cell r="D608">
            <v>0</v>
          </cell>
          <cell r="E608">
            <v>0</v>
          </cell>
          <cell r="F608">
            <v>0</v>
          </cell>
          <cell r="G608">
            <v>0</v>
          </cell>
          <cell r="I608">
            <v>0</v>
          </cell>
          <cell r="J608">
            <v>12804</v>
          </cell>
        </row>
        <row r="609">
          <cell r="C609" t="str">
            <v>2002AR</v>
          </cell>
          <cell r="D609">
            <v>0</v>
          </cell>
          <cell r="E609">
            <v>0</v>
          </cell>
          <cell r="F609">
            <v>0</v>
          </cell>
          <cell r="G609">
            <v>0</v>
          </cell>
          <cell r="I609">
            <v>0</v>
          </cell>
          <cell r="J609">
            <v>13</v>
          </cell>
        </row>
        <row r="610">
          <cell r="C610" t="str">
            <v>2002CA</v>
          </cell>
          <cell r="D610">
            <v>0</v>
          </cell>
          <cell r="E610">
            <v>0</v>
          </cell>
          <cell r="F610">
            <v>0</v>
          </cell>
          <cell r="G610">
            <v>0</v>
          </cell>
          <cell r="I610">
            <v>0</v>
          </cell>
          <cell r="J610">
            <v>0</v>
          </cell>
        </row>
        <row r="611">
          <cell r="C611" t="str">
            <v>2002CO</v>
          </cell>
          <cell r="D611">
            <v>5574.6790240869168</v>
          </cell>
          <cell r="E611">
            <v>4138.8566666666666</v>
          </cell>
          <cell r="F611">
            <v>0</v>
          </cell>
          <cell r="G611">
            <v>0</v>
          </cell>
          <cell r="I611">
            <v>0</v>
          </cell>
          <cell r="J611">
            <v>9771</v>
          </cell>
        </row>
        <row r="612">
          <cell r="C612" t="str">
            <v>2002CT</v>
          </cell>
          <cell r="D612">
            <v>0</v>
          </cell>
          <cell r="E612">
            <v>0</v>
          </cell>
          <cell r="F612">
            <v>0</v>
          </cell>
          <cell r="G612">
            <v>0</v>
          </cell>
          <cell r="I612">
            <v>0</v>
          </cell>
        </row>
        <row r="613">
          <cell r="C613" t="str">
            <v>2002DE</v>
          </cell>
          <cell r="D613">
            <v>0</v>
          </cell>
          <cell r="E613">
            <v>0</v>
          </cell>
          <cell r="F613">
            <v>0</v>
          </cell>
          <cell r="G613">
            <v>0</v>
          </cell>
          <cell r="I613">
            <v>0</v>
          </cell>
        </row>
        <row r="614">
          <cell r="C614" t="str">
            <v>2002FL</v>
          </cell>
          <cell r="D614">
            <v>0</v>
          </cell>
          <cell r="E614">
            <v>0</v>
          </cell>
          <cell r="F614">
            <v>0</v>
          </cell>
          <cell r="G614">
            <v>0</v>
          </cell>
          <cell r="I614">
            <v>0</v>
          </cell>
        </row>
        <row r="615">
          <cell r="C615" t="str">
            <v>2002GA</v>
          </cell>
          <cell r="D615">
            <v>0</v>
          </cell>
          <cell r="E615">
            <v>0</v>
          </cell>
          <cell r="F615">
            <v>0</v>
          </cell>
          <cell r="G615">
            <v>0</v>
          </cell>
          <cell r="I615">
            <v>0</v>
          </cell>
        </row>
        <row r="616">
          <cell r="C616" t="str">
            <v>2002HI</v>
          </cell>
          <cell r="D616">
            <v>0</v>
          </cell>
          <cell r="E616">
            <v>0</v>
          </cell>
          <cell r="F616">
            <v>0</v>
          </cell>
          <cell r="G616">
            <v>0</v>
          </cell>
          <cell r="I616">
            <v>0</v>
          </cell>
        </row>
        <row r="617">
          <cell r="C617" t="str">
            <v>2002ID</v>
          </cell>
          <cell r="D617">
            <v>0</v>
          </cell>
          <cell r="E617">
            <v>0</v>
          </cell>
          <cell r="F617">
            <v>0</v>
          </cell>
          <cell r="G617">
            <v>0</v>
          </cell>
          <cell r="I617">
            <v>0</v>
          </cell>
        </row>
        <row r="618">
          <cell r="C618" t="str">
            <v>2002IL</v>
          </cell>
          <cell r="D618">
            <v>4900.1723602311713</v>
          </cell>
          <cell r="E618">
            <v>0</v>
          </cell>
          <cell r="F618">
            <v>0</v>
          </cell>
          <cell r="G618">
            <v>0</v>
          </cell>
          <cell r="I618">
            <v>0</v>
          </cell>
          <cell r="J618">
            <v>6383</v>
          </cell>
        </row>
        <row r="619">
          <cell r="C619" t="str">
            <v>2002IN</v>
          </cell>
          <cell r="D619">
            <v>1143.7592832900361</v>
          </cell>
          <cell r="E619">
            <v>0</v>
          </cell>
          <cell r="F619">
            <v>0</v>
          </cell>
          <cell r="G619">
            <v>0</v>
          </cell>
          <cell r="I619">
            <v>0</v>
          </cell>
          <cell r="J619">
            <v>27428</v>
          </cell>
        </row>
        <row r="620">
          <cell r="C620" t="str">
            <v>2002IA</v>
          </cell>
          <cell r="D620">
            <v>0</v>
          </cell>
          <cell r="E620">
            <v>0</v>
          </cell>
          <cell r="F620">
            <v>0</v>
          </cell>
          <cell r="G620">
            <v>0</v>
          </cell>
          <cell r="I620">
            <v>0</v>
          </cell>
          <cell r="J620">
            <v>0</v>
          </cell>
        </row>
        <row r="621">
          <cell r="C621" t="str">
            <v>2002KS</v>
          </cell>
          <cell r="D621">
            <v>0</v>
          </cell>
          <cell r="E621">
            <v>0</v>
          </cell>
          <cell r="F621">
            <v>0</v>
          </cell>
          <cell r="G621">
            <v>0</v>
          </cell>
          <cell r="I621">
            <v>0</v>
          </cell>
          <cell r="J621">
            <v>205</v>
          </cell>
        </row>
        <row r="622">
          <cell r="C622" t="str">
            <v>2002KY</v>
          </cell>
          <cell r="D622">
            <v>4004.7948521257954</v>
          </cell>
          <cell r="E622">
            <v>0</v>
          </cell>
          <cell r="F622">
            <v>0</v>
          </cell>
          <cell r="G622">
            <v>0</v>
          </cell>
          <cell r="H622">
            <v>19176</v>
          </cell>
          <cell r="I622">
            <v>19176</v>
          </cell>
          <cell r="J622">
            <v>42984</v>
          </cell>
          <cell r="K622">
            <v>5569</v>
          </cell>
        </row>
        <row r="623">
          <cell r="C623" t="str">
            <v>2002LA</v>
          </cell>
          <cell r="D623">
            <v>0</v>
          </cell>
          <cell r="E623">
            <v>0</v>
          </cell>
          <cell r="F623">
            <v>0</v>
          </cell>
          <cell r="G623">
            <v>0</v>
          </cell>
          <cell r="I623">
            <v>0</v>
          </cell>
          <cell r="J623">
            <v>3803</v>
          </cell>
        </row>
        <row r="624">
          <cell r="C624" t="str">
            <v>2002ME</v>
          </cell>
          <cell r="D624">
            <v>0</v>
          </cell>
          <cell r="E624">
            <v>0</v>
          </cell>
          <cell r="F624">
            <v>0</v>
          </cell>
          <cell r="G624">
            <v>0</v>
          </cell>
          <cell r="I624">
            <v>0</v>
          </cell>
        </row>
        <row r="625">
          <cell r="C625" t="str">
            <v>2002MD</v>
          </cell>
          <cell r="D625">
            <v>0</v>
          </cell>
          <cell r="E625">
            <v>0</v>
          </cell>
          <cell r="F625">
            <v>0</v>
          </cell>
          <cell r="G625">
            <v>0</v>
          </cell>
          <cell r="I625">
            <v>0</v>
          </cell>
          <cell r="J625">
            <v>1820</v>
          </cell>
        </row>
        <row r="626">
          <cell r="C626" t="str">
            <v>2002MA</v>
          </cell>
          <cell r="D626">
            <v>0</v>
          </cell>
          <cell r="E626">
            <v>0</v>
          </cell>
          <cell r="F626">
            <v>0</v>
          </cell>
          <cell r="G626">
            <v>0</v>
          </cell>
          <cell r="I626">
            <v>0</v>
          </cell>
        </row>
        <row r="627">
          <cell r="C627" t="str">
            <v>2002MI</v>
          </cell>
          <cell r="D627">
            <v>0</v>
          </cell>
          <cell r="E627">
            <v>0</v>
          </cell>
          <cell r="F627">
            <v>0</v>
          </cell>
          <cell r="G627">
            <v>0</v>
          </cell>
          <cell r="I627">
            <v>0</v>
          </cell>
        </row>
        <row r="628">
          <cell r="C628" t="str">
            <v>2002MN</v>
          </cell>
          <cell r="D628">
            <v>0</v>
          </cell>
          <cell r="E628">
            <v>0</v>
          </cell>
          <cell r="F628">
            <v>0</v>
          </cell>
          <cell r="G628">
            <v>0</v>
          </cell>
          <cell r="I628">
            <v>0</v>
          </cell>
        </row>
        <row r="629">
          <cell r="C629" t="str">
            <v>2002MS</v>
          </cell>
          <cell r="D629">
            <v>0</v>
          </cell>
          <cell r="E629">
            <v>0</v>
          </cell>
          <cell r="F629">
            <v>0</v>
          </cell>
          <cell r="G629">
            <v>0</v>
          </cell>
          <cell r="I629">
            <v>0</v>
          </cell>
          <cell r="J629">
            <v>2305</v>
          </cell>
        </row>
        <row r="630">
          <cell r="C630" t="str">
            <v>2002MO</v>
          </cell>
          <cell r="D630">
            <v>0</v>
          </cell>
          <cell r="E630">
            <v>0</v>
          </cell>
          <cell r="F630">
            <v>0</v>
          </cell>
          <cell r="G630">
            <v>0</v>
          </cell>
          <cell r="I630">
            <v>0</v>
          </cell>
          <cell r="J630">
            <v>248</v>
          </cell>
        </row>
        <row r="631">
          <cell r="C631" t="str">
            <v>2002MT</v>
          </cell>
          <cell r="D631">
            <v>0</v>
          </cell>
          <cell r="E631">
            <v>0</v>
          </cell>
          <cell r="F631">
            <v>0</v>
          </cell>
          <cell r="G631">
            <v>0</v>
          </cell>
          <cell r="I631">
            <v>0</v>
          </cell>
          <cell r="J631">
            <v>37386</v>
          </cell>
        </row>
        <row r="632">
          <cell r="C632" t="str">
            <v>2002NE</v>
          </cell>
          <cell r="D632">
            <v>0</v>
          </cell>
          <cell r="E632">
            <v>0</v>
          </cell>
          <cell r="F632">
            <v>0</v>
          </cell>
          <cell r="G632">
            <v>0</v>
          </cell>
          <cell r="I632">
            <v>0</v>
          </cell>
        </row>
        <row r="633">
          <cell r="C633" t="str">
            <v>2002NV</v>
          </cell>
          <cell r="D633">
            <v>0</v>
          </cell>
          <cell r="E633">
            <v>0</v>
          </cell>
          <cell r="F633">
            <v>0</v>
          </cell>
          <cell r="G633">
            <v>0</v>
          </cell>
          <cell r="I633">
            <v>0</v>
          </cell>
        </row>
        <row r="634">
          <cell r="C634" t="str">
            <v>2002NH</v>
          </cell>
          <cell r="D634">
            <v>0</v>
          </cell>
          <cell r="E634">
            <v>0</v>
          </cell>
          <cell r="F634">
            <v>0</v>
          </cell>
          <cell r="G634">
            <v>0</v>
          </cell>
          <cell r="I634">
            <v>0</v>
          </cell>
        </row>
        <row r="635">
          <cell r="C635" t="str">
            <v>2002NJ</v>
          </cell>
          <cell r="D635">
            <v>0</v>
          </cell>
          <cell r="E635">
            <v>0</v>
          </cell>
          <cell r="F635">
            <v>0</v>
          </cell>
          <cell r="G635">
            <v>0</v>
          </cell>
          <cell r="I635">
            <v>0</v>
          </cell>
        </row>
        <row r="636">
          <cell r="C636" t="str">
            <v>2002NM</v>
          </cell>
          <cell r="D636">
            <v>572.62622081165648</v>
          </cell>
          <cell r="E636">
            <v>186.63666666666666</v>
          </cell>
          <cell r="F636">
            <v>0</v>
          </cell>
          <cell r="G636">
            <v>0</v>
          </cell>
          <cell r="I636">
            <v>0</v>
          </cell>
          <cell r="J636">
            <v>27163</v>
          </cell>
        </row>
        <row r="637">
          <cell r="C637" t="str">
            <v>2002NY</v>
          </cell>
          <cell r="D637">
            <v>0</v>
          </cell>
          <cell r="E637">
            <v>0</v>
          </cell>
          <cell r="F637">
            <v>0</v>
          </cell>
          <cell r="G637">
            <v>0</v>
          </cell>
          <cell r="I637">
            <v>0</v>
          </cell>
        </row>
        <row r="638">
          <cell r="C638" t="str">
            <v>2002NC</v>
          </cell>
          <cell r="D638">
            <v>0</v>
          </cell>
          <cell r="E638">
            <v>0</v>
          </cell>
          <cell r="F638">
            <v>0</v>
          </cell>
          <cell r="G638">
            <v>0</v>
          </cell>
          <cell r="I638">
            <v>0</v>
          </cell>
        </row>
        <row r="639">
          <cell r="C639" t="str">
            <v>2002ND</v>
          </cell>
          <cell r="D639">
            <v>0</v>
          </cell>
          <cell r="E639">
            <v>0</v>
          </cell>
          <cell r="F639">
            <v>0</v>
          </cell>
          <cell r="G639">
            <v>0</v>
          </cell>
          <cell r="I639">
            <v>0</v>
          </cell>
          <cell r="J639">
            <v>30799</v>
          </cell>
        </row>
        <row r="640">
          <cell r="C640" t="str">
            <v>2002OH</v>
          </cell>
          <cell r="D640">
            <v>917.54579579859967</v>
          </cell>
          <cell r="E640">
            <v>0</v>
          </cell>
          <cell r="F640">
            <v>0</v>
          </cell>
          <cell r="G640">
            <v>0</v>
          </cell>
          <cell r="I640">
            <v>0</v>
          </cell>
          <cell r="J640">
            <v>10306</v>
          </cell>
        </row>
        <row r="641">
          <cell r="C641" t="str">
            <v>2002OK</v>
          </cell>
          <cell r="D641">
            <v>446.45434164976609</v>
          </cell>
          <cell r="E641">
            <v>0</v>
          </cell>
          <cell r="F641">
            <v>0</v>
          </cell>
          <cell r="G641">
            <v>0</v>
          </cell>
          <cell r="I641">
            <v>0</v>
          </cell>
          <cell r="J641">
            <v>943</v>
          </cell>
        </row>
        <row r="642">
          <cell r="C642" t="str">
            <v>2002OR</v>
          </cell>
          <cell r="D642">
            <v>0</v>
          </cell>
          <cell r="E642">
            <v>0</v>
          </cell>
          <cell r="F642">
            <v>0</v>
          </cell>
          <cell r="G642">
            <v>0</v>
          </cell>
          <cell r="I642">
            <v>0</v>
          </cell>
        </row>
        <row r="643">
          <cell r="C643" t="str">
            <v>2002PA</v>
          </cell>
          <cell r="D643">
            <v>14982.724005682832</v>
          </cell>
          <cell r="E643">
            <v>1631.1957886176378</v>
          </cell>
          <cell r="F643">
            <v>0</v>
          </cell>
          <cell r="G643">
            <v>0</v>
          </cell>
          <cell r="I643">
            <v>0</v>
          </cell>
          <cell r="J643">
            <v>12612</v>
          </cell>
        </row>
        <row r="644">
          <cell r="C644" t="str">
            <v>2002RI</v>
          </cell>
          <cell r="D644">
            <v>0</v>
          </cell>
          <cell r="E644">
            <v>0</v>
          </cell>
          <cell r="F644">
            <v>0</v>
          </cell>
          <cell r="G644">
            <v>0</v>
          </cell>
          <cell r="I644">
            <v>0</v>
          </cell>
        </row>
        <row r="645">
          <cell r="C645" t="str">
            <v>2002SC</v>
          </cell>
          <cell r="D645">
            <v>0</v>
          </cell>
          <cell r="E645">
            <v>0</v>
          </cell>
          <cell r="F645">
            <v>0</v>
          </cell>
          <cell r="G645">
            <v>0</v>
          </cell>
          <cell r="I645">
            <v>0</v>
          </cell>
        </row>
        <row r="646">
          <cell r="C646" t="str">
            <v>2002SD</v>
          </cell>
          <cell r="D646">
            <v>0</v>
          </cell>
          <cell r="E646">
            <v>0</v>
          </cell>
          <cell r="F646">
            <v>0</v>
          </cell>
          <cell r="G646">
            <v>0</v>
          </cell>
          <cell r="I646">
            <v>0</v>
          </cell>
        </row>
        <row r="647">
          <cell r="C647" t="str">
            <v>2002TN</v>
          </cell>
          <cell r="D647">
            <v>0</v>
          </cell>
          <cell r="E647">
            <v>0</v>
          </cell>
          <cell r="F647">
            <v>0</v>
          </cell>
          <cell r="G647">
            <v>0</v>
          </cell>
          <cell r="I647">
            <v>0</v>
          </cell>
          <cell r="J647">
            <v>2081</v>
          </cell>
        </row>
        <row r="648">
          <cell r="C648" t="str">
            <v>2002TX</v>
          </cell>
          <cell r="D648">
            <v>0</v>
          </cell>
          <cell r="E648">
            <v>0</v>
          </cell>
          <cell r="F648">
            <v>0</v>
          </cell>
          <cell r="G648">
            <v>0</v>
          </cell>
          <cell r="I648">
            <v>0</v>
          </cell>
          <cell r="J648">
            <v>45247</v>
          </cell>
        </row>
        <row r="649">
          <cell r="C649" t="str">
            <v>2002UT</v>
          </cell>
          <cell r="D649">
            <v>1889.9651603451218</v>
          </cell>
          <cell r="E649">
            <v>0</v>
          </cell>
          <cell r="F649">
            <v>0</v>
          </cell>
          <cell r="G649">
            <v>0</v>
          </cell>
          <cell r="I649">
            <v>0</v>
          </cell>
          <cell r="J649">
            <v>268</v>
          </cell>
        </row>
        <row r="650">
          <cell r="C650" t="str">
            <v>2002VT</v>
          </cell>
          <cell r="D650">
            <v>0</v>
          </cell>
          <cell r="E650">
            <v>0</v>
          </cell>
          <cell r="F650">
            <v>0</v>
          </cell>
          <cell r="G650">
            <v>0</v>
          </cell>
          <cell r="I650">
            <v>0</v>
          </cell>
        </row>
        <row r="651">
          <cell r="C651" t="str">
            <v>2002VA</v>
          </cell>
          <cell r="D651">
            <v>8020.8732767797028</v>
          </cell>
          <cell r="E651">
            <v>26746.574550533267</v>
          </cell>
          <cell r="F651">
            <v>26746.028540000003</v>
          </cell>
          <cell r="G651">
            <v>0</v>
          </cell>
          <cell r="I651">
            <v>0</v>
          </cell>
          <cell r="J651">
            <v>9465</v>
          </cell>
        </row>
        <row r="652">
          <cell r="C652" t="str">
            <v>2002WA</v>
          </cell>
          <cell r="D652">
            <v>0</v>
          </cell>
          <cell r="E652">
            <v>0</v>
          </cell>
          <cell r="F652">
            <v>0</v>
          </cell>
          <cell r="G652">
            <v>0</v>
          </cell>
          <cell r="I652">
            <v>0</v>
          </cell>
          <cell r="J652">
            <v>5827</v>
          </cell>
        </row>
        <row r="653">
          <cell r="C653" t="str">
            <v>2002WV</v>
          </cell>
          <cell r="D653">
            <v>20900.888763672276</v>
          </cell>
          <cell r="E653">
            <v>4827.4298126956883</v>
          </cell>
          <cell r="F653">
            <v>3476.39858</v>
          </cell>
          <cell r="G653">
            <v>0</v>
          </cell>
          <cell r="H653">
            <v>28683</v>
          </cell>
          <cell r="I653">
            <v>28683</v>
          </cell>
          <cell r="J653">
            <v>56810</v>
          </cell>
          <cell r="K653">
            <v>5350</v>
          </cell>
        </row>
        <row r="654">
          <cell r="C654" t="str">
            <v>2002WI</v>
          </cell>
          <cell r="D654">
            <v>0</v>
          </cell>
          <cell r="E654">
            <v>0</v>
          </cell>
          <cell r="F654">
            <v>0</v>
          </cell>
          <cell r="G654">
            <v>0</v>
          </cell>
          <cell r="I654">
            <v>0</v>
          </cell>
        </row>
        <row r="655">
          <cell r="C655" t="str">
            <v>2002WY</v>
          </cell>
          <cell r="D655">
            <v>0</v>
          </cell>
          <cell r="E655">
            <v>0</v>
          </cell>
          <cell r="F655">
            <v>0</v>
          </cell>
          <cell r="G655">
            <v>0</v>
          </cell>
          <cell r="I655">
            <v>0</v>
          </cell>
          <cell r="J655">
            <v>373161</v>
          </cell>
        </row>
        <row r="656">
          <cell r="C656" t="str">
            <v>2003AL</v>
          </cell>
          <cell r="D656">
            <v>17616.771771933116</v>
          </cell>
          <cell r="E656">
            <v>11087.003499999999</v>
          </cell>
          <cell r="F656">
            <v>11087.003499999999</v>
          </cell>
          <cell r="G656">
            <v>0</v>
          </cell>
          <cell r="I656">
            <v>0</v>
          </cell>
          <cell r="J656">
            <v>4742</v>
          </cell>
        </row>
        <row r="657">
          <cell r="C657" t="str">
            <v>2003AK</v>
          </cell>
          <cell r="D657">
            <v>0</v>
          </cell>
          <cell r="E657">
            <v>0</v>
          </cell>
          <cell r="F657">
            <v>0</v>
          </cell>
          <cell r="G657">
            <v>0</v>
          </cell>
          <cell r="I657">
            <v>0</v>
          </cell>
          <cell r="J657">
            <v>1081</v>
          </cell>
        </row>
        <row r="658">
          <cell r="C658" t="str">
            <v>2003AZ</v>
          </cell>
          <cell r="D658">
            <v>0</v>
          </cell>
          <cell r="E658">
            <v>0</v>
          </cell>
          <cell r="F658">
            <v>0</v>
          </cell>
          <cell r="G658">
            <v>0</v>
          </cell>
          <cell r="I658">
            <v>0</v>
          </cell>
          <cell r="J658">
            <v>12059</v>
          </cell>
        </row>
        <row r="659">
          <cell r="C659" t="str">
            <v>2003AR</v>
          </cell>
          <cell r="D659">
            <v>0</v>
          </cell>
          <cell r="E659">
            <v>0</v>
          </cell>
          <cell r="F659">
            <v>0</v>
          </cell>
          <cell r="G659">
            <v>0</v>
          </cell>
          <cell r="I659">
            <v>0</v>
          </cell>
          <cell r="J659">
            <v>7</v>
          </cell>
        </row>
        <row r="660">
          <cell r="C660" t="str">
            <v>2003CA</v>
          </cell>
          <cell r="D660">
            <v>0</v>
          </cell>
          <cell r="E660">
            <v>0</v>
          </cell>
          <cell r="F660">
            <v>0</v>
          </cell>
          <cell r="G660">
            <v>0</v>
          </cell>
          <cell r="I660">
            <v>0</v>
          </cell>
          <cell r="J660">
            <v>0</v>
          </cell>
        </row>
        <row r="661">
          <cell r="C661" t="str">
            <v>2003CO</v>
          </cell>
          <cell r="D661">
            <v>5858.3010796594835</v>
          </cell>
          <cell r="E661">
            <v>4997.4921179951098</v>
          </cell>
          <cell r="F661">
            <v>40</v>
          </cell>
          <cell r="G661">
            <v>0</v>
          </cell>
          <cell r="I661">
            <v>0</v>
          </cell>
          <cell r="J661">
            <v>8654</v>
          </cell>
        </row>
        <row r="662">
          <cell r="C662" t="str">
            <v>2003CT</v>
          </cell>
          <cell r="D662">
            <v>0</v>
          </cell>
          <cell r="E662">
            <v>0</v>
          </cell>
          <cell r="F662">
            <v>0</v>
          </cell>
          <cell r="G662">
            <v>0</v>
          </cell>
          <cell r="I662">
            <v>0</v>
          </cell>
          <cell r="J662">
            <v>0</v>
          </cell>
        </row>
        <row r="663">
          <cell r="C663" t="str">
            <v>2003DE</v>
          </cell>
          <cell r="D663">
            <v>0</v>
          </cell>
          <cell r="E663">
            <v>0</v>
          </cell>
          <cell r="F663">
            <v>0</v>
          </cell>
          <cell r="G663">
            <v>0</v>
          </cell>
          <cell r="I663">
            <v>0</v>
          </cell>
          <cell r="J663">
            <v>0</v>
          </cell>
        </row>
        <row r="664">
          <cell r="C664" t="str">
            <v>2003FL</v>
          </cell>
          <cell r="D664">
            <v>0</v>
          </cell>
          <cell r="E664">
            <v>0</v>
          </cell>
          <cell r="F664">
            <v>0</v>
          </cell>
          <cell r="G664">
            <v>0</v>
          </cell>
          <cell r="I664">
            <v>0</v>
          </cell>
          <cell r="J664">
            <v>0</v>
          </cell>
        </row>
        <row r="665">
          <cell r="C665" t="str">
            <v>2003GA</v>
          </cell>
          <cell r="D665">
            <v>0</v>
          </cell>
          <cell r="E665">
            <v>0</v>
          </cell>
          <cell r="F665">
            <v>0</v>
          </cell>
          <cell r="G665">
            <v>0</v>
          </cell>
          <cell r="I665">
            <v>0</v>
          </cell>
          <cell r="J665">
            <v>0</v>
          </cell>
        </row>
        <row r="666">
          <cell r="C666" t="str">
            <v>2003HI</v>
          </cell>
          <cell r="D666">
            <v>0</v>
          </cell>
          <cell r="E666">
            <v>0</v>
          </cell>
          <cell r="F666">
            <v>0</v>
          </cell>
          <cell r="G666">
            <v>0</v>
          </cell>
          <cell r="I666">
            <v>0</v>
          </cell>
          <cell r="J666">
            <v>0</v>
          </cell>
        </row>
        <row r="667">
          <cell r="C667" t="str">
            <v>2003ID</v>
          </cell>
          <cell r="D667">
            <v>0</v>
          </cell>
          <cell r="E667">
            <v>0</v>
          </cell>
          <cell r="F667">
            <v>0</v>
          </cell>
          <cell r="G667">
            <v>0</v>
          </cell>
          <cell r="I667">
            <v>0</v>
          </cell>
          <cell r="J667">
            <v>0</v>
          </cell>
        </row>
        <row r="668">
          <cell r="C668" t="str">
            <v>2003IL</v>
          </cell>
          <cell r="D668">
            <v>3749.8766666514398</v>
          </cell>
          <cell r="E668">
            <v>0</v>
          </cell>
          <cell r="F668">
            <v>0</v>
          </cell>
          <cell r="G668">
            <v>0</v>
          </cell>
          <cell r="I668">
            <v>0</v>
          </cell>
          <cell r="J668">
            <v>5655</v>
          </cell>
        </row>
        <row r="669">
          <cell r="C669" t="str">
            <v>2003IN</v>
          </cell>
          <cell r="D669">
            <v>1509.5177492657735</v>
          </cell>
          <cell r="E669">
            <v>0</v>
          </cell>
          <cell r="F669">
            <v>0</v>
          </cell>
          <cell r="G669">
            <v>0</v>
          </cell>
          <cell r="I669">
            <v>0</v>
          </cell>
          <cell r="J669">
            <v>26720</v>
          </cell>
        </row>
        <row r="670">
          <cell r="C670" t="str">
            <v>2003IA</v>
          </cell>
          <cell r="D670">
            <v>0</v>
          </cell>
          <cell r="E670">
            <v>0</v>
          </cell>
          <cell r="F670">
            <v>0</v>
          </cell>
          <cell r="G670">
            <v>0</v>
          </cell>
          <cell r="I670">
            <v>0</v>
          </cell>
          <cell r="J670">
            <v>0</v>
          </cell>
        </row>
        <row r="671">
          <cell r="C671" t="str">
            <v>2003KS</v>
          </cell>
          <cell r="D671">
            <v>0</v>
          </cell>
          <cell r="E671">
            <v>0</v>
          </cell>
          <cell r="F671">
            <v>0</v>
          </cell>
          <cell r="G671">
            <v>0</v>
          </cell>
          <cell r="I671">
            <v>0</v>
          </cell>
          <cell r="J671">
            <v>154</v>
          </cell>
        </row>
        <row r="672">
          <cell r="C672" t="str">
            <v>2003KY</v>
          </cell>
          <cell r="D672">
            <v>4020.7920931009453</v>
          </cell>
          <cell r="E672">
            <v>0</v>
          </cell>
          <cell r="F672">
            <v>0</v>
          </cell>
          <cell r="G672">
            <v>0</v>
          </cell>
          <cell r="H672">
            <v>17160</v>
          </cell>
          <cell r="I672">
            <v>17160</v>
          </cell>
          <cell r="J672">
            <v>39142</v>
          </cell>
          <cell r="K672">
            <v>4300</v>
          </cell>
        </row>
        <row r="673">
          <cell r="C673" t="str">
            <v>2003LA</v>
          </cell>
          <cell r="D673">
            <v>0</v>
          </cell>
          <cell r="E673">
            <v>0</v>
          </cell>
          <cell r="F673">
            <v>0</v>
          </cell>
          <cell r="G673">
            <v>0</v>
          </cell>
          <cell r="I673">
            <v>0</v>
          </cell>
          <cell r="J673">
            <v>4028</v>
          </cell>
        </row>
        <row r="674">
          <cell r="C674" t="str">
            <v>2003ME</v>
          </cell>
          <cell r="D674">
            <v>0</v>
          </cell>
          <cell r="E674">
            <v>0</v>
          </cell>
          <cell r="F674">
            <v>0</v>
          </cell>
          <cell r="G674">
            <v>0</v>
          </cell>
          <cell r="I674">
            <v>0</v>
          </cell>
          <cell r="J674">
            <v>0</v>
          </cell>
        </row>
        <row r="675">
          <cell r="C675" t="str">
            <v>2003MD</v>
          </cell>
          <cell r="D675">
            <v>0</v>
          </cell>
          <cell r="E675">
            <v>0</v>
          </cell>
          <cell r="F675">
            <v>0</v>
          </cell>
          <cell r="G675">
            <v>0</v>
          </cell>
          <cell r="I675">
            <v>0</v>
          </cell>
          <cell r="J675">
            <v>1756</v>
          </cell>
        </row>
        <row r="676">
          <cell r="C676" t="str">
            <v>2003MA</v>
          </cell>
          <cell r="D676">
            <v>0</v>
          </cell>
          <cell r="E676">
            <v>0</v>
          </cell>
          <cell r="F676">
            <v>0</v>
          </cell>
          <cell r="G676">
            <v>0</v>
          </cell>
          <cell r="I676">
            <v>0</v>
          </cell>
          <cell r="J676">
            <v>0</v>
          </cell>
        </row>
        <row r="677">
          <cell r="C677" t="str">
            <v>2003MI</v>
          </cell>
          <cell r="D677">
            <v>0</v>
          </cell>
          <cell r="E677">
            <v>0</v>
          </cell>
          <cell r="F677">
            <v>0</v>
          </cell>
          <cell r="G677">
            <v>0</v>
          </cell>
          <cell r="I677">
            <v>0</v>
          </cell>
          <cell r="J677">
            <v>0</v>
          </cell>
        </row>
        <row r="678">
          <cell r="C678" t="str">
            <v>2003MN</v>
          </cell>
          <cell r="D678">
            <v>0</v>
          </cell>
          <cell r="E678">
            <v>0</v>
          </cell>
          <cell r="F678">
            <v>0</v>
          </cell>
          <cell r="G678">
            <v>0</v>
          </cell>
          <cell r="I678">
            <v>0</v>
          </cell>
          <cell r="J678">
            <v>0</v>
          </cell>
        </row>
        <row r="679">
          <cell r="C679" t="str">
            <v>2003MS</v>
          </cell>
          <cell r="D679">
            <v>0</v>
          </cell>
          <cell r="E679">
            <v>0</v>
          </cell>
          <cell r="F679">
            <v>0</v>
          </cell>
          <cell r="G679">
            <v>0</v>
          </cell>
          <cell r="I679">
            <v>0</v>
          </cell>
          <cell r="J679">
            <v>3695</v>
          </cell>
        </row>
        <row r="680">
          <cell r="C680" t="str">
            <v>2003MO</v>
          </cell>
          <cell r="D680">
            <v>0</v>
          </cell>
          <cell r="E680">
            <v>0</v>
          </cell>
          <cell r="F680">
            <v>0</v>
          </cell>
          <cell r="G680">
            <v>0</v>
          </cell>
          <cell r="I680">
            <v>0</v>
          </cell>
          <cell r="J680">
            <v>533</v>
          </cell>
        </row>
        <row r="681">
          <cell r="C681" t="str">
            <v>2003MT</v>
          </cell>
          <cell r="D681">
            <v>0</v>
          </cell>
          <cell r="E681">
            <v>0</v>
          </cell>
          <cell r="F681">
            <v>0</v>
          </cell>
          <cell r="G681">
            <v>0</v>
          </cell>
          <cell r="I681">
            <v>0</v>
          </cell>
          <cell r="J681">
            <v>36962</v>
          </cell>
        </row>
        <row r="682">
          <cell r="C682" t="str">
            <v>2003NE</v>
          </cell>
          <cell r="D682">
            <v>0</v>
          </cell>
          <cell r="E682">
            <v>0</v>
          </cell>
          <cell r="F682">
            <v>0</v>
          </cell>
          <cell r="G682">
            <v>0</v>
          </cell>
          <cell r="I682">
            <v>0</v>
          </cell>
          <cell r="J682">
            <v>0</v>
          </cell>
        </row>
        <row r="683">
          <cell r="C683" t="str">
            <v>2003NV</v>
          </cell>
          <cell r="D683">
            <v>0</v>
          </cell>
          <cell r="E683">
            <v>0</v>
          </cell>
          <cell r="F683">
            <v>0</v>
          </cell>
          <cell r="G683">
            <v>0</v>
          </cell>
          <cell r="I683">
            <v>0</v>
          </cell>
          <cell r="J683">
            <v>0</v>
          </cell>
        </row>
        <row r="684">
          <cell r="C684" t="str">
            <v>2003NH</v>
          </cell>
          <cell r="D684">
            <v>0</v>
          </cell>
          <cell r="E684">
            <v>0</v>
          </cell>
          <cell r="F684">
            <v>0</v>
          </cell>
          <cell r="G684">
            <v>0</v>
          </cell>
          <cell r="I684">
            <v>0</v>
          </cell>
          <cell r="J684">
            <v>0</v>
          </cell>
        </row>
        <row r="685">
          <cell r="C685" t="str">
            <v>2003NJ</v>
          </cell>
          <cell r="D685">
            <v>0</v>
          </cell>
          <cell r="E685">
            <v>0</v>
          </cell>
          <cell r="F685">
            <v>0</v>
          </cell>
          <cell r="G685">
            <v>0</v>
          </cell>
          <cell r="I685">
            <v>0</v>
          </cell>
          <cell r="J685">
            <v>0</v>
          </cell>
        </row>
        <row r="686">
          <cell r="C686" t="str">
            <v>2003NM</v>
          </cell>
          <cell r="D686">
            <v>470.08767845928821</v>
          </cell>
          <cell r="E686">
            <v>853.63295642857156</v>
          </cell>
          <cell r="F686">
            <v>8</v>
          </cell>
          <cell r="G686">
            <v>0</v>
          </cell>
          <cell r="I686">
            <v>0</v>
          </cell>
          <cell r="J686">
            <v>20499</v>
          </cell>
        </row>
        <row r="687">
          <cell r="C687" t="str">
            <v>2003NY</v>
          </cell>
          <cell r="D687">
            <v>0</v>
          </cell>
          <cell r="E687">
            <v>0</v>
          </cell>
          <cell r="F687">
            <v>0</v>
          </cell>
          <cell r="G687">
            <v>0</v>
          </cell>
          <cell r="I687">
            <v>0</v>
          </cell>
          <cell r="J687">
            <v>0</v>
          </cell>
        </row>
        <row r="688">
          <cell r="C688" t="str">
            <v>2003NC</v>
          </cell>
          <cell r="D688">
            <v>0</v>
          </cell>
          <cell r="E688">
            <v>0</v>
          </cell>
          <cell r="F688">
            <v>0</v>
          </cell>
          <cell r="G688">
            <v>0</v>
          </cell>
          <cell r="I688">
            <v>0</v>
          </cell>
          <cell r="J688">
            <v>0</v>
          </cell>
        </row>
        <row r="689">
          <cell r="C689" t="str">
            <v>2003ND</v>
          </cell>
          <cell r="D689">
            <v>0</v>
          </cell>
          <cell r="E689">
            <v>0</v>
          </cell>
          <cell r="F689">
            <v>0</v>
          </cell>
          <cell r="G689">
            <v>0</v>
          </cell>
          <cell r="I689">
            <v>0</v>
          </cell>
          <cell r="J689">
            <v>30775</v>
          </cell>
        </row>
        <row r="690">
          <cell r="C690" t="str">
            <v>2003OH</v>
          </cell>
          <cell r="D690">
            <v>801.85159530610429</v>
          </cell>
          <cell r="E690">
            <v>0</v>
          </cell>
          <cell r="F690">
            <v>0</v>
          </cell>
          <cell r="G690">
            <v>0</v>
          </cell>
          <cell r="I690">
            <v>0</v>
          </cell>
          <cell r="J690">
            <v>9182</v>
          </cell>
        </row>
        <row r="691">
          <cell r="C691" t="str">
            <v>2003OK</v>
          </cell>
          <cell r="D691">
            <v>374.25565676083255</v>
          </cell>
          <cell r="E691">
            <v>0</v>
          </cell>
          <cell r="F691">
            <v>0</v>
          </cell>
          <cell r="G691">
            <v>0</v>
          </cell>
          <cell r="I691">
            <v>0</v>
          </cell>
          <cell r="J691">
            <v>1172</v>
          </cell>
        </row>
        <row r="692">
          <cell r="C692" t="str">
            <v>2003OR</v>
          </cell>
          <cell r="D692">
            <v>0</v>
          </cell>
          <cell r="E692">
            <v>0</v>
          </cell>
          <cell r="F692">
            <v>0</v>
          </cell>
          <cell r="G692">
            <v>0</v>
          </cell>
          <cell r="I692">
            <v>0</v>
          </cell>
          <cell r="J692">
            <v>0</v>
          </cell>
        </row>
        <row r="693">
          <cell r="C693" t="str">
            <v>2003PA</v>
          </cell>
          <cell r="D693">
            <v>14485.9442555683</v>
          </cell>
          <cell r="E693">
            <v>2353.52</v>
          </cell>
          <cell r="F693">
            <v>0</v>
          </cell>
          <cell r="G693">
            <v>0</v>
          </cell>
          <cell r="I693">
            <v>0</v>
          </cell>
          <cell r="J693">
            <v>11512</v>
          </cell>
        </row>
        <row r="694">
          <cell r="C694" t="str">
            <v>2003RI</v>
          </cell>
          <cell r="D694">
            <v>0</v>
          </cell>
          <cell r="E694">
            <v>0</v>
          </cell>
          <cell r="F694">
            <v>0</v>
          </cell>
          <cell r="G694">
            <v>0</v>
          </cell>
          <cell r="I694">
            <v>0</v>
          </cell>
          <cell r="J694">
            <v>0</v>
          </cell>
        </row>
        <row r="695">
          <cell r="C695" t="str">
            <v>2003SC</v>
          </cell>
          <cell r="D695">
            <v>0</v>
          </cell>
          <cell r="E695">
            <v>0</v>
          </cell>
          <cell r="F695">
            <v>0</v>
          </cell>
          <cell r="G695">
            <v>0</v>
          </cell>
          <cell r="I695">
            <v>0</v>
          </cell>
          <cell r="J695">
            <v>0</v>
          </cell>
        </row>
        <row r="696">
          <cell r="C696" t="str">
            <v>2003SD</v>
          </cell>
          <cell r="D696">
            <v>0</v>
          </cell>
          <cell r="E696">
            <v>0</v>
          </cell>
          <cell r="F696">
            <v>0</v>
          </cell>
          <cell r="G696">
            <v>0</v>
          </cell>
          <cell r="I696">
            <v>0</v>
          </cell>
          <cell r="J696">
            <v>0</v>
          </cell>
        </row>
        <row r="697">
          <cell r="C697" t="str">
            <v>2003TN</v>
          </cell>
          <cell r="D697">
            <v>0</v>
          </cell>
          <cell r="E697">
            <v>0</v>
          </cell>
          <cell r="F697">
            <v>0</v>
          </cell>
          <cell r="G697">
            <v>0</v>
          </cell>
          <cell r="I697">
            <v>0</v>
          </cell>
          <cell r="J697">
            <v>1907</v>
          </cell>
        </row>
        <row r="698">
          <cell r="C698" t="str">
            <v>2003TX</v>
          </cell>
          <cell r="D698">
            <v>0</v>
          </cell>
          <cell r="E698">
            <v>0</v>
          </cell>
          <cell r="F698">
            <v>0</v>
          </cell>
          <cell r="G698">
            <v>0</v>
          </cell>
          <cell r="I698">
            <v>0</v>
          </cell>
          <cell r="J698">
            <v>47517</v>
          </cell>
        </row>
        <row r="699">
          <cell r="C699" t="str">
            <v>2003UT</v>
          </cell>
          <cell r="D699">
            <v>2663.0803635929387</v>
          </cell>
          <cell r="E699">
            <v>0</v>
          </cell>
          <cell r="F699">
            <v>0</v>
          </cell>
          <cell r="G699">
            <v>0</v>
          </cell>
          <cell r="I699">
            <v>0</v>
          </cell>
          <cell r="J699">
            <v>25</v>
          </cell>
        </row>
        <row r="700">
          <cell r="C700" t="str">
            <v>2003VT</v>
          </cell>
          <cell r="D700">
            <v>0</v>
          </cell>
          <cell r="E700">
            <v>0</v>
          </cell>
          <cell r="F700">
            <v>0</v>
          </cell>
          <cell r="G700">
            <v>0</v>
          </cell>
          <cell r="I700">
            <v>0</v>
          </cell>
          <cell r="J700">
            <v>0</v>
          </cell>
        </row>
        <row r="701">
          <cell r="C701" t="str">
            <v>2003VA</v>
          </cell>
          <cell r="D701">
            <v>7518.6997744545006</v>
          </cell>
          <cell r="E701">
            <v>26913.726415249155</v>
          </cell>
          <cell r="F701">
            <v>25879.923170000002</v>
          </cell>
          <cell r="G701">
            <v>0</v>
          </cell>
          <cell r="I701">
            <v>0</v>
          </cell>
          <cell r="J701">
            <v>10371</v>
          </cell>
        </row>
        <row r="702">
          <cell r="C702" t="str">
            <v>2003WA</v>
          </cell>
          <cell r="D702">
            <v>0</v>
          </cell>
          <cell r="E702">
            <v>0</v>
          </cell>
          <cell r="F702">
            <v>0</v>
          </cell>
          <cell r="G702">
            <v>0</v>
          </cell>
          <cell r="I702">
            <v>0</v>
          </cell>
          <cell r="J702">
            <v>6232</v>
          </cell>
        </row>
        <row r="703">
          <cell r="C703" t="str">
            <v>2003WV</v>
          </cell>
          <cell r="D703">
            <v>18316.402691961201</v>
          </cell>
          <cell r="E703">
            <v>3545.7458192322292</v>
          </cell>
          <cell r="F703">
            <v>1222.4222199999999</v>
          </cell>
          <cell r="G703">
            <v>0</v>
          </cell>
          <cell r="H703">
            <v>30029</v>
          </cell>
          <cell r="I703">
            <v>30029</v>
          </cell>
          <cell r="J703">
            <v>47999</v>
          </cell>
          <cell r="K703">
            <v>4920</v>
          </cell>
        </row>
        <row r="704">
          <cell r="C704" t="str">
            <v>2003WI</v>
          </cell>
          <cell r="D704">
            <v>0</v>
          </cell>
          <cell r="E704">
            <v>0</v>
          </cell>
          <cell r="F704">
            <v>0</v>
          </cell>
          <cell r="G704">
            <v>0</v>
          </cell>
          <cell r="I704">
            <v>0</v>
          </cell>
          <cell r="J704">
            <v>0</v>
          </cell>
        </row>
        <row r="705">
          <cell r="C705" t="str">
            <v>2003WY</v>
          </cell>
          <cell r="D705">
            <v>0</v>
          </cell>
          <cell r="E705">
            <v>0</v>
          </cell>
          <cell r="F705">
            <v>0</v>
          </cell>
          <cell r="G705">
            <v>0</v>
          </cell>
          <cell r="I705">
            <v>0</v>
          </cell>
          <cell r="J705">
            <v>376270</v>
          </cell>
        </row>
        <row r="706">
          <cell r="C706" t="str">
            <v>2004AL</v>
          </cell>
          <cell r="D706">
            <v>20064.261922425398</v>
          </cell>
          <cell r="E706">
            <v>9552.0170100000014</v>
          </cell>
          <cell r="F706">
            <v>13206.097009999999</v>
          </cell>
          <cell r="G706">
            <v>0</v>
          </cell>
          <cell r="I706">
            <v>0</v>
          </cell>
          <cell r="J706">
            <v>6156</v>
          </cell>
        </row>
        <row r="707">
          <cell r="C707" t="str">
            <v>2004AK</v>
          </cell>
          <cell r="D707">
            <v>0</v>
          </cell>
          <cell r="E707">
            <v>0</v>
          </cell>
          <cell r="F707">
            <v>0</v>
          </cell>
          <cell r="G707">
            <v>0</v>
          </cell>
          <cell r="I707">
            <v>0</v>
          </cell>
          <cell r="J707">
            <v>1512</v>
          </cell>
        </row>
        <row r="708">
          <cell r="C708" t="str">
            <v>2004AZ</v>
          </cell>
          <cell r="D708">
            <v>0</v>
          </cell>
          <cell r="E708">
            <v>0</v>
          </cell>
          <cell r="F708">
            <v>0</v>
          </cell>
          <cell r="G708">
            <v>0</v>
          </cell>
          <cell r="I708">
            <v>0</v>
          </cell>
          <cell r="J708">
            <v>12731</v>
          </cell>
        </row>
        <row r="709">
          <cell r="C709" t="str">
            <v>2004AR</v>
          </cell>
          <cell r="D709">
            <v>0</v>
          </cell>
          <cell r="E709">
            <v>0</v>
          </cell>
          <cell r="F709">
            <v>0</v>
          </cell>
          <cell r="G709">
            <v>0</v>
          </cell>
          <cell r="I709">
            <v>0</v>
          </cell>
          <cell r="J709">
            <v>6</v>
          </cell>
        </row>
        <row r="710">
          <cell r="C710" t="str">
            <v>2004CA</v>
          </cell>
          <cell r="D710">
            <v>0</v>
          </cell>
          <cell r="E710">
            <v>0</v>
          </cell>
          <cell r="F710">
            <v>0</v>
          </cell>
          <cell r="G710">
            <v>0</v>
          </cell>
          <cell r="I710">
            <v>0</v>
          </cell>
          <cell r="J710">
            <v>0</v>
          </cell>
        </row>
        <row r="711">
          <cell r="C711" t="str">
            <v>2004CO</v>
          </cell>
          <cell r="D711">
            <v>5742.6656773899167</v>
          </cell>
          <cell r="E711">
            <v>4329.6470666666664</v>
          </cell>
          <cell r="F711">
            <v>170</v>
          </cell>
          <cell r="G711">
            <v>0</v>
          </cell>
          <cell r="I711">
            <v>0</v>
          </cell>
          <cell r="J711">
            <v>10262</v>
          </cell>
        </row>
        <row r="712">
          <cell r="C712" t="str">
            <v>2004CT</v>
          </cell>
          <cell r="D712">
            <v>0</v>
          </cell>
          <cell r="E712">
            <v>0</v>
          </cell>
          <cell r="F712">
            <v>0</v>
          </cell>
          <cell r="G712">
            <v>0</v>
          </cell>
          <cell r="I712">
            <v>0</v>
          </cell>
          <cell r="J712">
            <v>0</v>
          </cell>
        </row>
        <row r="713">
          <cell r="C713" t="str">
            <v>2004DE</v>
          </cell>
          <cell r="D713">
            <v>0</v>
          </cell>
          <cell r="E713">
            <v>0</v>
          </cell>
          <cell r="F713">
            <v>0</v>
          </cell>
          <cell r="G713">
            <v>0</v>
          </cell>
          <cell r="I713">
            <v>0</v>
          </cell>
          <cell r="J713">
            <v>0</v>
          </cell>
        </row>
        <row r="714">
          <cell r="C714" t="str">
            <v>2004FL</v>
          </cell>
          <cell r="D714">
            <v>0</v>
          </cell>
          <cell r="E714">
            <v>0</v>
          </cell>
          <cell r="F714">
            <v>0</v>
          </cell>
          <cell r="G714">
            <v>0</v>
          </cell>
          <cell r="I714">
            <v>0</v>
          </cell>
          <cell r="J714">
            <v>0</v>
          </cell>
        </row>
        <row r="715">
          <cell r="C715" t="str">
            <v>2004GA</v>
          </cell>
          <cell r="D715">
            <v>0</v>
          </cell>
          <cell r="E715">
            <v>0</v>
          </cell>
          <cell r="F715">
            <v>0</v>
          </cell>
          <cell r="G715">
            <v>0</v>
          </cell>
          <cell r="I715">
            <v>0</v>
          </cell>
          <cell r="J715">
            <v>0</v>
          </cell>
        </row>
        <row r="716">
          <cell r="C716" t="str">
            <v>2004HI</v>
          </cell>
          <cell r="D716">
            <v>0</v>
          </cell>
          <cell r="E716">
            <v>0</v>
          </cell>
          <cell r="F716">
            <v>0</v>
          </cell>
          <cell r="G716">
            <v>0</v>
          </cell>
          <cell r="I716">
            <v>0</v>
          </cell>
          <cell r="J716">
            <v>0</v>
          </cell>
        </row>
        <row r="717">
          <cell r="C717" t="str">
            <v>2004ID</v>
          </cell>
          <cell r="D717">
            <v>0</v>
          </cell>
          <cell r="E717">
            <v>0</v>
          </cell>
          <cell r="F717">
            <v>0</v>
          </cell>
          <cell r="G717">
            <v>0</v>
          </cell>
          <cell r="I717">
            <v>0</v>
          </cell>
          <cell r="J717">
            <v>0</v>
          </cell>
        </row>
        <row r="718">
          <cell r="C718" t="str">
            <v>2004IL</v>
          </cell>
          <cell r="D718">
            <v>4840.9809048509915</v>
          </cell>
          <cell r="E718">
            <v>0</v>
          </cell>
          <cell r="F718">
            <v>0</v>
          </cell>
          <cell r="G718">
            <v>0</v>
          </cell>
          <cell r="I718">
            <v>0</v>
          </cell>
          <cell r="J718">
            <v>4946</v>
          </cell>
        </row>
        <row r="719">
          <cell r="C719" t="str">
            <v>2004IN</v>
          </cell>
          <cell r="D719">
            <v>1325.0655225525795</v>
          </cell>
          <cell r="E719">
            <v>0</v>
          </cell>
          <cell r="F719">
            <v>0</v>
          </cell>
          <cell r="G719">
            <v>0</v>
          </cell>
          <cell r="I719">
            <v>0</v>
          </cell>
          <cell r="J719">
            <v>25018</v>
          </cell>
        </row>
        <row r="720">
          <cell r="C720" t="str">
            <v>2004IA</v>
          </cell>
          <cell r="D720">
            <v>0</v>
          </cell>
          <cell r="E720">
            <v>0</v>
          </cell>
          <cell r="F720">
            <v>0</v>
          </cell>
          <cell r="G720">
            <v>0</v>
          </cell>
          <cell r="I720">
            <v>0</v>
          </cell>
          <cell r="J720">
            <v>0</v>
          </cell>
        </row>
        <row r="721">
          <cell r="C721" t="str">
            <v>2004KS</v>
          </cell>
          <cell r="D721">
            <v>0</v>
          </cell>
          <cell r="E721">
            <v>0</v>
          </cell>
          <cell r="F721">
            <v>0</v>
          </cell>
          <cell r="G721">
            <v>0</v>
          </cell>
          <cell r="I721">
            <v>0</v>
          </cell>
          <cell r="J721">
            <v>71</v>
          </cell>
        </row>
        <row r="722">
          <cell r="C722" t="str">
            <v>2004KY</v>
          </cell>
          <cell r="D722">
            <v>3928.2203746971873</v>
          </cell>
          <cell r="E722">
            <v>0</v>
          </cell>
          <cell r="F722">
            <v>0</v>
          </cell>
          <cell r="G722">
            <v>0</v>
          </cell>
          <cell r="H722">
            <v>19321</v>
          </cell>
          <cell r="I722">
            <v>19321</v>
          </cell>
          <cell r="J722">
            <v>38427</v>
          </cell>
          <cell r="K722">
            <v>4052</v>
          </cell>
        </row>
        <row r="723">
          <cell r="C723" t="str">
            <v>2004LA</v>
          </cell>
          <cell r="D723">
            <v>0</v>
          </cell>
          <cell r="E723">
            <v>0</v>
          </cell>
          <cell r="F723">
            <v>0</v>
          </cell>
          <cell r="G723">
            <v>0</v>
          </cell>
          <cell r="I723">
            <v>0</v>
          </cell>
          <cell r="J723">
            <v>3805</v>
          </cell>
        </row>
        <row r="724">
          <cell r="C724" t="str">
            <v>2004ME</v>
          </cell>
          <cell r="D724">
            <v>0</v>
          </cell>
          <cell r="E724">
            <v>0</v>
          </cell>
          <cell r="F724">
            <v>0</v>
          </cell>
          <cell r="G724">
            <v>0</v>
          </cell>
          <cell r="I724">
            <v>0</v>
          </cell>
          <cell r="J724">
            <v>0</v>
          </cell>
        </row>
        <row r="725">
          <cell r="C725" t="str">
            <v>2004MD</v>
          </cell>
          <cell r="D725">
            <v>0</v>
          </cell>
          <cell r="E725">
            <v>0</v>
          </cell>
          <cell r="F725">
            <v>0</v>
          </cell>
          <cell r="G725">
            <v>0</v>
          </cell>
          <cell r="I725">
            <v>0</v>
          </cell>
          <cell r="J725">
            <v>1886</v>
          </cell>
        </row>
        <row r="726">
          <cell r="C726" t="str">
            <v>2004MA</v>
          </cell>
          <cell r="D726">
            <v>0</v>
          </cell>
          <cell r="E726">
            <v>0</v>
          </cell>
          <cell r="F726">
            <v>0</v>
          </cell>
          <cell r="G726">
            <v>0</v>
          </cell>
          <cell r="I726">
            <v>0</v>
          </cell>
          <cell r="J726">
            <v>0</v>
          </cell>
        </row>
        <row r="727">
          <cell r="C727" t="str">
            <v>2004MI</v>
          </cell>
          <cell r="D727">
            <v>0</v>
          </cell>
          <cell r="E727">
            <v>0</v>
          </cell>
          <cell r="F727">
            <v>0</v>
          </cell>
          <cell r="G727">
            <v>0</v>
          </cell>
          <cell r="I727">
            <v>0</v>
          </cell>
          <cell r="J727">
            <v>0</v>
          </cell>
        </row>
        <row r="728">
          <cell r="C728" t="str">
            <v>2004MN</v>
          </cell>
          <cell r="D728">
            <v>0</v>
          </cell>
          <cell r="E728">
            <v>0</v>
          </cell>
          <cell r="F728">
            <v>0</v>
          </cell>
          <cell r="G728">
            <v>0</v>
          </cell>
          <cell r="I728">
            <v>0</v>
          </cell>
          <cell r="J728">
            <v>0</v>
          </cell>
        </row>
        <row r="729">
          <cell r="C729" t="str">
            <v>2004MS</v>
          </cell>
          <cell r="D729">
            <v>0</v>
          </cell>
          <cell r="E729">
            <v>0</v>
          </cell>
          <cell r="F729">
            <v>0</v>
          </cell>
          <cell r="G729">
            <v>0</v>
          </cell>
          <cell r="I729">
            <v>0</v>
          </cell>
          <cell r="J729">
            <v>3586</v>
          </cell>
        </row>
        <row r="730">
          <cell r="C730" t="str">
            <v>2004MO</v>
          </cell>
          <cell r="D730">
            <v>0</v>
          </cell>
          <cell r="E730">
            <v>0</v>
          </cell>
          <cell r="F730">
            <v>0</v>
          </cell>
          <cell r="G730">
            <v>0</v>
          </cell>
          <cell r="I730">
            <v>0</v>
          </cell>
          <cell r="J730">
            <v>578</v>
          </cell>
        </row>
        <row r="731">
          <cell r="C731" t="str">
            <v>2004MT</v>
          </cell>
          <cell r="D731">
            <v>0</v>
          </cell>
          <cell r="E731">
            <v>0</v>
          </cell>
          <cell r="F731">
            <v>0</v>
          </cell>
          <cell r="G731">
            <v>0</v>
          </cell>
          <cell r="I731">
            <v>0</v>
          </cell>
          <cell r="J731">
            <v>39831</v>
          </cell>
        </row>
        <row r="732">
          <cell r="C732" t="str">
            <v>2004NE</v>
          </cell>
          <cell r="D732">
            <v>0</v>
          </cell>
          <cell r="E732">
            <v>0</v>
          </cell>
          <cell r="F732">
            <v>0</v>
          </cell>
          <cell r="G732">
            <v>0</v>
          </cell>
          <cell r="I732">
            <v>0</v>
          </cell>
          <cell r="J732">
            <v>0</v>
          </cell>
        </row>
        <row r="733">
          <cell r="C733" t="str">
            <v>2004NV</v>
          </cell>
          <cell r="D733">
            <v>0</v>
          </cell>
          <cell r="E733">
            <v>0</v>
          </cell>
          <cell r="F733">
            <v>0</v>
          </cell>
          <cell r="G733">
            <v>0</v>
          </cell>
          <cell r="I733">
            <v>0</v>
          </cell>
          <cell r="J733">
            <v>0</v>
          </cell>
        </row>
        <row r="734">
          <cell r="C734" t="str">
            <v>2004NH</v>
          </cell>
          <cell r="D734">
            <v>0</v>
          </cell>
          <cell r="E734">
            <v>0</v>
          </cell>
          <cell r="F734">
            <v>0</v>
          </cell>
          <cell r="G734">
            <v>0</v>
          </cell>
          <cell r="I734">
            <v>0</v>
          </cell>
          <cell r="J734">
            <v>0</v>
          </cell>
        </row>
        <row r="735">
          <cell r="C735" t="str">
            <v>2004NJ</v>
          </cell>
          <cell r="D735">
            <v>0</v>
          </cell>
          <cell r="E735">
            <v>0</v>
          </cell>
          <cell r="F735">
            <v>0</v>
          </cell>
          <cell r="G735">
            <v>0</v>
          </cell>
          <cell r="I735">
            <v>0</v>
          </cell>
          <cell r="J735">
            <v>0</v>
          </cell>
        </row>
        <row r="736">
          <cell r="C736" t="str">
            <v>2004NM</v>
          </cell>
          <cell r="D736">
            <v>619.11253511354971</v>
          </cell>
          <cell r="E736">
            <v>908.04599999999971</v>
          </cell>
          <cell r="F736">
            <v>69</v>
          </cell>
          <cell r="G736">
            <v>0</v>
          </cell>
          <cell r="I736">
            <v>0</v>
          </cell>
          <cell r="J736">
            <v>19565</v>
          </cell>
        </row>
        <row r="737">
          <cell r="C737" t="str">
            <v>2004NY</v>
          </cell>
          <cell r="D737">
            <v>0</v>
          </cell>
          <cell r="E737">
            <v>0</v>
          </cell>
          <cell r="F737">
            <v>0</v>
          </cell>
          <cell r="G737">
            <v>0</v>
          </cell>
          <cell r="I737">
            <v>0</v>
          </cell>
          <cell r="J737">
            <v>0</v>
          </cell>
        </row>
        <row r="738">
          <cell r="C738" t="str">
            <v>2004NC</v>
          </cell>
          <cell r="D738">
            <v>0</v>
          </cell>
          <cell r="E738">
            <v>0</v>
          </cell>
          <cell r="F738">
            <v>0</v>
          </cell>
          <cell r="G738">
            <v>0</v>
          </cell>
          <cell r="I738">
            <v>0</v>
          </cell>
          <cell r="J738">
            <v>0</v>
          </cell>
        </row>
        <row r="739">
          <cell r="C739" t="str">
            <v>2004ND</v>
          </cell>
          <cell r="D739">
            <v>0</v>
          </cell>
          <cell r="E739">
            <v>0</v>
          </cell>
          <cell r="F739">
            <v>0</v>
          </cell>
          <cell r="G739">
            <v>0</v>
          </cell>
          <cell r="I739">
            <v>0</v>
          </cell>
          <cell r="J739">
            <v>29943</v>
          </cell>
        </row>
        <row r="740">
          <cell r="C740" t="str">
            <v>2004OH</v>
          </cell>
          <cell r="D740">
            <v>1302.9810971767031</v>
          </cell>
          <cell r="E740">
            <v>0</v>
          </cell>
          <cell r="F740">
            <v>0</v>
          </cell>
          <cell r="G740">
            <v>0</v>
          </cell>
          <cell r="I740">
            <v>0</v>
          </cell>
          <cell r="J740">
            <v>8952</v>
          </cell>
        </row>
        <row r="741">
          <cell r="C741" t="str">
            <v>2004OK</v>
          </cell>
          <cell r="D741">
            <v>565.21156470463131</v>
          </cell>
          <cell r="E741">
            <v>0</v>
          </cell>
          <cell r="F741">
            <v>0</v>
          </cell>
          <cell r="G741">
            <v>0</v>
          </cell>
          <cell r="I741">
            <v>0</v>
          </cell>
          <cell r="J741">
            <v>1383</v>
          </cell>
        </row>
        <row r="742">
          <cell r="C742" t="str">
            <v>2004OR</v>
          </cell>
          <cell r="D742">
            <v>0</v>
          </cell>
          <cell r="E742">
            <v>0</v>
          </cell>
          <cell r="F742">
            <v>0</v>
          </cell>
          <cell r="G742">
            <v>0</v>
          </cell>
          <cell r="I742">
            <v>0</v>
          </cell>
          <cell r="J742">
            <v>0</v>
          </cell>
        </row>
        <row r="743">
          <cell r="C743" t="str">
            <v>2004PA</v>
          </cell>
          <cell r="D743">
            <v>14262.907963559392</v>
          </cell>
          <cell r="E743">
            <v>2096.4256800000003</v>
          </cell>
          <cell r="F743">
            <v>0</v>
          </cell>
          <cell r="G743">
            <v>0</v>
          </cell>
          <cell r="I743">
            <v>0</v>
          </cell>
          <cell r="J743">
            <v>12772</v>
          </cell>
        </row>
        <row r="744">
          <cell r="C744" t="str">
            <v>2004RI</v>
          </cell>
          <cell r="D744">
            <v>0</v>
          </cell>
          <cell r="E744">
            <v>0</v>
          </cell>
          <cell r="F744">
            <v>0</v>
          </cell>
          <cell r="G744">
            <v>0</v>
          </cell>
          <cell r="I744">
            <v>0</v>
          </cell>
          <cell r="J744">
            <v>0</v>
          </cell>
        </row>
        <row r="745">
          <cell r="C745" t="str">
            <v>2004SC</v>
          </cell>
          <cell r="D745">
            <v>0</v>
          </cell>
          <cell r="E745">
            <v>0</v>
          </cell>
          <cell r="F745">
            <v>0</v>
          </cell>
          <cell r="G745">
            <v>0</v>
          </cell>
          <cell r="I745">
            <v>0</v>
          </cell>
          <cell r="J745">
            <v>0</v>
          </cell>
        </row>
        <row r="746">
          <cell r="C746" t="str">
            <v>2004SD</v>
          </cell>
          <cell r="D746">
            <v>0</v>
          </cell>
          <cell r="E746">
            <v>0</v>
          </cell>
          <cell r="F746">
            <v>0</v>
          </cell>
          <cell r="G746">
            <v>0</v>
          </cell>
          <cell r="I746">
            <v>0</v>
          </cell>
          <cell r="J746">
            <v>0</v>
          </cell>
        </row>
        <row r="747">
          <cell r="C747" t="str">
            <v>2004TN</v>
          </cell>
          <cell r="D747">
            <v>0</v>
          </cell>
          <cell r="E747">
            <v>0</v>
          </cell>
          <cell r="F747">
            <v>0</v>
          </cell>
          <cell r="G747">
            <v>0</v>
          </cell>
          <cell r="I747">
            <v>0</v>
          </cell>
          <cell r="J747">
            <v>2061</v>
          </cell>
        </row>
        <row r="748">
          <cell r="C748" t="str">
            <v>2004TX</v>
          </cell>
          <cell r="D748">
            <v>0</v>
          </cell>
          <cell r="E748">
            <v>0</v>
          </cell>
          <cell r="F748">
            <v>0</v>
          </cell>
          <cell r="G748">
            <v>0</v>
          </cell>
          <cell r="I748">
            <v>0</v>
          </cell>
          <cell r="J748">
            <v>45863</v>
          </cell>
        </row>
        <row r="749">
          <cell r="C749" t="str">
            <v>2004UT</v>
          </cell>
          <cell r="D749">
            <v>4314.3235064805176</v>
          </cell>
          <cell r="E749">
            <v>235.82600000000002</v>
          </cell>
          <cell r="F749">
            <v>0</v>
          </cell>
          <cell r="G749">
            <v>0</v>
          </cell>
          <cell r="I749">
            <v>0</v>
          </cell>
          <cell r="J749">
            <v>0</v>
          </cell>
        </row>
        <row r="750">
          <cell r="C750" t="str">
            <v>2004VT</v>
          </cell>
          <cell r="D750">
            <v>0</v>
          </cell>
          <cell r="E750">
            <v>0</v>
          </cell>
          <cell r="F750">
            <v>0</v>
          </cell>
          <cell r="G750">
            <v>0</v>
          </cell>
          <cell r="I750">
            <v>0</v>
          </cell>
          <cell r="J750">
            <v>0</v>
          </cell>
        </row>
        <row r="751">
          <cell r="C751" t="str">
            <v>2004VA</v>
          </cell>
          <cell r="D751">
            <v>8034.1267955965541</v>
          </cell>
          <cell r="E751">
            <v>25047.262692524928</v>
          </cell>
          <cell r="F751">
            <v>24979.133579999998</v>
          </cell>
          <cell r="G751">
            <v>0</v>
          </cell>
          <cell r="I751">
            <v>0</v>
          </cell>
          <cell r="J751">
            <v>10983</v>
          </cell>
        </row>
        <row r="752">
          <cell r="C752" t="str">
            <v>2004WA</v>
          </cell>
          <cell r="D752">
            <v>0</v>
          </cell>
          <cell r="E752">
            <v>0</v>
          </cell>
          <cell r="F752">
            <v>0</v>
          </cell>
          <cell r="G752">
            <v>0</v>
          </cell>
          <cell r="I752">
            <v>0</v>
          </cell>
          <cell r="J752">
            <v>5653</v>
          </cell>
        </row>
        <row r="753">
          <cell r="C753" t="str">
            <v>2004WV</v>
          </cell>
          <cell r="D753">
            <v>19417.815180869962</v>
          </cell>
          <cell r="E753">
            <v>3258.476032162228</v>
          </cell>
          <cell r="F753">
            <v>1443.6025300000001</v>
          </cell>
          <cell r="G753">
            <v>0</v>
          </cell>
          <cell r="H753">
            <v>36082</v>
          </cell>
          <cell r="I753">
            <v>36082</v>
          </cell>
          <cell r="J753">
            <v>52497</v>
          </cell>
          <cell r="K753">
            <v>4564</v>
          </cell>
        </row>
        <row r="754">
          <cell r="C754" t="str">
            <v>2004WI</v>
          </cell>
          <cell r="D754">
            <v>0</v>
          </cell>
          <cell r="E754">
            <v>0</v>
          </cell>
          <cell r="F754">
            <v>0</v>
          </cell>
          <cell r="G754">
            <v>0</v>
          </cell>
          <cell r="I754">
            <v>0</v>
          </cell>
          <cell r="J754">
            <v>0</v>
          </cell>
        </row>
        <row r="755">
          <cell r="C755" t="str">
            <v>2004WY</v>
          </cell>
          <cell r="D755">
            <v>0</v>
          </cell>
          <cell r="E755">
            <v>0</v>
          </cell>
          <cell r="F755">
            <v>0</v>
          </cell>
          <cell r="G755">
            <v>0</v>
          </cell>
          <cell r="I755">
            <v>0</v>
          </cell>
          <cell r="J755">
            <v>396450</v>
          </cell>
        </row>
        <row r="756">
          <cell r="C756" t="str">
            <v>2005AL</v>
          </cell>
          <cell r="D756">
            <v>13665.683697816019</v>
          </cell>
          <cell r="E756">
            <v>15764.661439131653</v>
          </cell>
          <cell r="F756">
            <v>15244.57286</v>
          </cell>
          <cell r="G756">
            <v>0</v>
          </cell>
          <cell r="I756">
            <v>0</v>
          </cell>
          <cell r="J756">
            <v>8044</v>
          </cell>
        </row>
        <row r="757">
          <cell r="C757" t="str">
            <v>2005AK</v>
          </cell>
          <cell r="D757">
            <v>0</v>
          </cell>
          <cell r="E757">
            <v>0</v>
          </cell>
          <cell r="F757">
            <v>0</v>
          </cell>
          <cell r="G757">
            <v>0</v>
          </cell>
          <cell r="I757">
            <v>0</v>
          </cell>
          <cell r="J757">
            <v>1454</v>
          </cell>
        </row>
        <row r="758">
          <cell r="C758" t="str">
            <v>2005AZ</v>
          </cell>
          <cell r="D758">
            <v>0</v>
          </cell>
          <cell r="E758">
            <v>0</v>
          </cell>
          <cell r="F758">
            <v>0</v>
          </cell>
          <cell r="G758">
            <v>0</v>
          </cell>
          <cell r="I758">
            <v>0</v>
          </cell>
          <cell r="J758">
            <v>12072</v>
          </cell>
        </row>
        <row r="759">
          <cell r="C759" t="str">
            <v>2005AR</v>
          </cell>
          <cell r="D759">
            <v>0</v>
          </cell>
          <cell r="E759">
            <v>0</v>
          </cell>
          <cell r="F759">
            <v>0</v>
          </cell>
          <cell r="G759">
            <v>0</v>
          </cell>
          <cell r="I759">
            <v>0</v>
          </cell>
          <cell r="J759">
            <v>3</v>
          </cell>
        </row>
        <row r="760">
          <cell r="C760" t="str">
            <v>2005CA</v>
          </cell>
          <cell r="D760">
            <v>0</v>
          </cell>
          <cell r="E760">
            <v>0</v>
          </cell>
          <cell r="F760">
            <v>0</v>
          </cell>
          <cell r="G760">
            <v>0</v>
          </cell>
          <cell r="I760">
            <v>0</v>
          </cell>
          <cell r="J760">
            <v>0</v>
          </cell>
        </row>
        <row r="761">
          <cell r="C761" t="str">
            <v>2005CO</v>
          </cell>
          <cell r="D761">
            <v>6439.1529614360406</v>
          </cell>
          <cell r="E761">
            <v>4748.4495666666671</v>
          </cell>
          <cell r="F761">
            <v>170</v>
          </cell>
          <cell r="G761">
            <v>0</v>
          </cell>
          <cell r="I761">
            <v>0</v>
          </cell>
          <cell r="J761">
            <v>10071</v>
          </cell>
        </row>
        <row r="762">
          <cell r="C762" t="str">
            <v>2005CT</v>
          </cell>
          <cell r="D762">
            <v>0</v>
          </cell>
          <cell r="E762">
            <v>0</v>
          </cell>
          <cell r="F762">
            <v>0</v>
          </cell>
          <cell r="G762">
            <v>0</v>
          </cell>
          <cell r="I762">
            <v>0</v>
          </cell>
          <cell r="J762">
            <v>0</v>
          </cell>
        </row>
        <row r="763">
          <cell r="C763" t="str">
            <v>2005DE</v>
          </cell>
          <cell r="D763">
            <v>0</v>
          </cell>
          <cell r="E763">
            <v>0</v>
          </cell>
          <cell r="F763">
            <v>0</v>
          </cell>
          <cell r="G763">
            <v>0</v>
          </cell>
          <cell r="I763">
            <v>0</v>
          </cell>
          <cell r="J763">
            <v>0</v>
          </cell>
        </row>
        <row r="764">
          <cell r="C764" t="str">
            <v>2005FL</v>
          </cell>
          <cell r="D764">
            <v>0</v>
          </cell>
          <cell r="E764">
            <v>0</v>
          </cell>
          <cell r="F764">
            <v>0</v>
          </cell>
          <cell r="G764">
            <v>0</v>
          </cell>
          <cell r="I764">
            <v>0</v>
          </cell>
          <cell r="J764">
            <v>0</v>
          </cell>
        </row>
        <row r="765">
          <cell r="C765" t="str">
            <v>2005GA</v>
          </cell>
          <cell r="D765">
            <v>0</v>
          </cell>
          <cell r="E765">
            <v>0</v>
          </cell>
          <cell r="F765">
            <v>0</v>
          </cell>
          <cell r="G765">
            <v>0</v>
          </cell>
          <cell r="I765">
            <v>0</v>
          </cell>
          <cell r="J765">
            <v>0</v>
          </cell>
        </row>
        <row r="766">
          <cell r="C766" t="str">
            <v>2005HI</v>
          </cell>
          <cell r="D766">
            <v>0</v>
          </cell>
          <cell r="E766">
            <v>0</v>
          </cell>
          <cell r="F766">
            <v>0</v>
          </cell>
          <cell r="G766">
            <v>0</v>
          </cell>
          <cell r="I766">
            <v>0</v>
          </cell>
          <cell r="J766">
            <v>0</v>
          </cell>
        </row>
        <row r="767">
          <cell r="C767" t="str">
            <v>2005ID</v>
          </cell>
          <cell r="D767">
            <v>0</v>
          </cell>
          <cell r="E767">
            <v>0</v>
          </cell>
          <cell r="F767">
            <v>0</v>
          </cell>
          <cell r="G767">
            <v>0</v>
          </cell>
          <cell r="I767">
            <v>0</v>
          </cell>
          <cell r="J767">
            <v>0</v>
          </cell>
        </row>
        <row r="768">
          <cell r="C768" t="str">
            <v>2005IL</v>
          </cell>
          <cell r="D768">
            <v>5582.9190081219913</v>
          </cell>
          <cell r="E768">
            <v>0</v>
          </cell>
          <cell r="F768">
            <v>0</v>
          </cell>
          <cell r="G768">
            <v>0</v>
          </cell>
          <cell r="I768">
            <v>0</v>
          </cell>
          <cell r="J768">
            <v>5671</v>
          </cell>
        </row>
        <row r="769">
          <cell r="C769" t="str">
            <v>2005IN</v>
          </cell>
          <cell r="D769">
            <v>1612.946960563942</v>
          </cell>
          <cell r="E769">
            <v>0</v>
          </cell>
          <cell r="F769">
            <v>0</v>
          </cell>
          <cell r="G769">
            <v>0</v>
          </cell>
          <cell r="I769">
            <v>0</v>
          </cell>
          <cell r="J769">
            <v>23268</v>
          </cell>
        </row>
        <row r="770">
          <cell r="C770" t="str">
            <v>2005IA</v>
          </cell>
          <cell r="D770">
            <v>0</v>
          </cell>
          <cell r="E770">
            <v>0</v>
          </cell>
          <cell r="F770">
            <v>0</v>
          </cell>
          <cell r="G770">
            <v>0</v>
          </cell>
          <cell r="I770">
            <v>0</v>
          </cell>
          <cell r="J770">
            <v>0</v>
          </cell>
        </row>
        <row r="771">
          <cell r="C771" t="str">
            <v>2005KS</v>
          </cell>
          <cell r="D771">
            <v>0</v>
          </cell>
          <cell r="E771">
            <v>0</v>
          </cell>
          <cell r="F771">
            <v>0</v>
          </cell>
          <cell r="G771">
            <v>0</v>
          </cell>
          <cell r="I771">
            <v>0</v>
          </cell>
          <cell r="J771">
            <v>171</v>
          </cell>
        </row>
        <row r="772">
          <cell r="C772" t="str">
            <v>2005KY</v>
          </cell>
          <cell r="D772">
            <v>3233.6523104649186</v>
          </cell>
          <cell r="E772">
            <v>0</v>
          </cell>
          <cell r="F772">
            <v>0</v>
          </cell>
          <cell r="G772">
            <v>0</v>
          </cell>
          <cell r="H772">
            <v>21648</v>
          </cell>
          <cell r="I772">
            <v>21648</v>
          </cell>
          <cell r="J772">
            <v>41269</v>
          </cell>
          <cell r="K772">
            <v>4763</v>
          </cell>
        </row>
        <row r="773">
          <cell r="C773" t="str">
            <v>2005LA</v>
          </cell>
          <cell r="D773">
            <v>0</v>
          </cell>
          <cell r="E773">
            <v>0</v>
          </cell>
          <cell r="F773">
            <v>0</v>
          </cell>
          <cell r="G773">
            <v>0</v>
          </cell>
          <cell r="I773">
            <v>0</v>
          </cell>
          <cell r="J773">
            <v>4161</v>
          </cell>
        </row>
        <row r="774">
          <cell r="C774" t="str">
            <v>2005ME</v>
          </cell>
          <cell r="D774">
            <v>0</v>
          </cell>
          <cell r="E774">
            <v>0</v>
          </cell>
          <cell r="F774">
            <v>0</v>
          </cell>
          <cell r="G774">
            <v>0</v>
          </cell>
          <cell r="I774">
            <v>0</v>
          </cell>
          <cell r="J774">
            <v>0</v>
          </cell>
        </row>
        <row r="775">
          <cell r="C775" t="str">
            <v>2005MD</v>
          </cell>
          <cell r="D775">
            <v>0</v>
          </cell>
          <cell r="E775">
            <v>0</v>
          </cell>
          <cell r="F775">
            <v>0</v>
          </cell>
          <cell r="G775">
            <v>0</v>
          </cell>
          <cell r="I775">
            <v>0</v>
          </cell>
          <cell r="J775">
            <v>2009</v>
          </cell>
        </row>
        <row r="776">
          <cell r="C776" t="str">
            <v>2005MA</v>
          </cell>
          <cell r="D776">
            <v>0</v>
          </cell>
          <cell r="E776">
            <v>0</v>
          </cell>
          <cell r="F776">
            <v>0</v>
          </cell>
          <cell r="G776">
            <v>0</v>
          </cell>
          <cell r="I776">
            <v>0</v>
          </cell>
          <cell r="J776">
            <v>0</v>
          </cell>
        </row>
        <row r="777">
          <cell r="C777" t="str">
            <v>2005MI</v>
          </cell>
          <cell r="D777">
            <v>0</v>
          </cell>
          <cell r="E777">
            <v>0</v>
          </cell>
          <cell r="F777">
            <v>0</v>
          </cell>
          <cell r="G777">
            <v>0</v>
          </cell>
          <cell r="I777">
            <v>0</v>
          </cell>
          <cell r="J777">
            <v>0</v>
          </cell>
        </row>
        <row r="778">
          <cell r="C778" t="str">
            <v>2005MN</v>
          </cell>
          <cell r="D778">
            <v>0</v>
          </cell>
          <cell r="E778">
            <v>0</v>
          </cell>
          <cell r="F778">
            <v>0</v>
          </cell>
          <cell r="G778">
            <v>0</v>
          </cell>
          <cell r="I778">
            <v>0</v>
          </cell>
          <cell r="J778">
            <v>0</v>
          </cell>
        </row>
        <row r="779">
          <cell r="C779" t="str">
            <v>2005MS</v>
          </cell>
          <cell r="D779">
            <v>0</v>
          </cell>
          <cell r="E779">
            <v>0</v>
          </cell>
          <cell r="F779">
            <v>0</v>
          </cell>
          <cell r="G779">
            <v>0</v>
          </cell>
          <cell r="I779">
            <v>0</v>
          </cell>
          <cell r="J779">
            <v>3555</v>
          </cell>
        </row>
        <row r="780">
          <cell r="C780" t="str">
            <v>2005MO</v>
          </cell>
          <cell r="D780">
            <v>0</v>
          </cell>
          <cell r="E780">
            <v>0</v>
          </cell>
          <cell r="F780">
            <v>0</v>
          </cell>
          <cell r="G780">
            <v>0</v>
          </cell>
          <cell r="I780">
            <v>0</v>
          </cell>
          <cell r="J780">
            <v>598</v>
          </cell>
        </row>
        <row r="781">
          <cell r="C781" t="str">
            <v>2005MT</v>
          </cell>
          <cell r="D781">
            <v>0</v>
          </cell>
          <cell r="E781">
            <v>0</v>
          </cell>
          <cell r="F781">
            <v>0</v>
          </cell>
          <cell r="G781">
            <v>0</v>
          </cell>
          <cell r="I781">
            <v>0</v>
          </cell>
          <cell r="J781">
            <v>40192</v>
          </cell>
        </row>
        <row r="782">
          <cell r="C782" t="str">
            <v>2005NE</v>
          </cell>
          <cell r="D782">
            <v>0</v>
          </cell>
          <cell r="E782">
            <v>0</v>
          </cell>
          <cell r="F782">
            <v>0</v>
          </cell>
          <cell r="G782">
            <v>0</v>
          </cell>
          <cell r="I782">
            <v>0</v>
          </cell>
          <cell r="J782">
            <v>0</v>
          </cell>
        </row>
        <row r="783">
          <cell r="C783" t="str">
            <v>2005NV</v>
          </cell>
          <cell r="D783">
            <v>0</v>
          </cell>
          <cell r="E783">
            <v>0</v>
          </cell>
          <cell r="F783">
            <v>0</v>
          </cell>
          <cell r="G783">
            <v>0</v>
          </cell>
          <cell r="I783">
            <v>0</v>
          </cell>
          <cell r="J783">
            <v>0</v>
          </cell>
        </row>
        <row r="784">
          <cell r="C784" t="str">
            <v>2005NH</v>
          </cell>
          <cell r="D784">
            <v>0</v>
          </cell>
          <cell r="E784">
            <v>0</v>
          </cell>
          <cell r="F784">
            <v>0</v>
          </cell>
          <cell r="G784">
            <v>0</v>
          </cell>
          <cell r="I784">
            <v>0</v>
          </cell>
          <cell r="J784">
            <v>0</v>
          </cell>
        </row>
        <row r="785">
          <cell r="C785" t="str">
            <v>2005NJ</v>
          </cell>
          <cell r="D785">
            <v>0</v>
          </cell>
          <cell r="E785">
            <v>0</v>
          </cell>
          <cell r="F785">
            <v>0</v>
          </cell>
          <cell r="G785">
            <v>0</v>
          </cell>
          <cell r="I785">
            <v>0</v>
          </cell>
          <cell r="J785">
            <v>0</v>
          </cell>
        </row>
        <row r="786">
          <cell r="C786" t="str">
            <v>2005NM</v>
          </cell>
          <cell r="D786">
            <v>1443.1748580703684</v>
          </cell>
          <cell r="E786">
            <v>940.7510000000002</v>
          </cell>
          <cell r="F786">
            <v>2.25</v>
          </cell>
          <cell r="G786">
            <v>0</v>
          </cell>
          <cell r="I786">
            <v>0</v>
          </cell>
          <cell r="J786">
            <v>20613</v>
          </cell>
        </row>
        <row r="787">
          <cell r="C787" t="str">
            <v>2005NY</v>
          </cell>
          <cell r="D787">
            <v>0</v>
          </cell>
          <cell r="E787">
            <v>0</v>
          </cell>
          <cell r="F787">
            <v>0</v>
          </cell>
          <cell r="G787">
            <v>0</v>
          </cell>
          <cell r="I787">
            <v>0</v>
          </cell>
          <cell r="J787">
            <v>0</v>
          </cell>
        </row>
        <row r="788">
          <cell r="C788" t="str">
            <v>2005NC</v>
          </cell>
          <cell r="D788">
            <v>0</v>
          </cell>
          <cell r="E788">
            <v>0</v>
          </cell>
          <cell r="F788">
            <v>0</v>
          </cell>
          <cell r="G788">
            <v>0</v>
          </cell>
          <cell r="I788">
            <v>0</v>
          </cell>
          <cell r="J788">
            <v>0</v>
          </cell>
        </row>
        <row r="789">
          <cell r="C789" t="str">
            <v>2005ND</v>
          </cell>
          <cell r="D789">
            <v>0</v>
          </cell>
          <cell r="E789">
            <v>0</v>
          </cell>
          <cell r="F789">
            <v>0</v>
          </cell>
          <cell r="G789">
            <v>0</v>
          </cell>
          <cell r="I789">
            <v>0</v>
          </cell>
          <cell r="J789">
            <v>29956</v>
          </cell>
        </row>
        <row r="790">
          <cell r="C790" t="str">
            <v>2005OH</v>
          </cell>
          <cell r="D790">
            <v>1442.2416341120706</v>
          </cell>
          <cell r="E790">
            <v>0</v>
          </cell>
          <cell r="F790">
            <v>0</v>
          </cell>
          <cell r="G790">
            <v>0</v>
          </cell>
          <cell r="I790">
            <v>0</v>
          </cell>
          <cell r="J790">
            <v>8896</v>
          </cell>
        </row>
        <row r="791">
          <cell r="C791" t="str">
            <v>2005OK</v>
          </cell>
          <cell r="D791">
            <v>586.10197476947974</v>
          </cell>
          <cell r="E791">
            <v>0</v>
          </cell>
          <cell r="F791">
            <v>0</v>
          </cell>
          <cell r="G791">
            <v>0</v>
          </cell>
          <cell r="I791">
            <v>0</v>
          </cell>
          <cell r="J791">
            <v>1391</v>
          </cell>
        </row>
        <row r="792">
          <cell r="C792" t="str">
            <v>2005OR</v>
          </cell>
          <cell r="D792">
            <v>0</v>
          </cell>
          <cell r="E792">
            <v>0</v>
          </cell>
          <cell r="F792">
            <v>0</v>
          </cell>
          <cell r="G792">
            <v>0</v>
          </cell>
          <cell r="I792">
            <v>0</v>
          </cell>
          <cell r="J792">
            <v>0</v>
          </cell>
        </row>
        <row r="793">
          <cell r="C793" t="str">
            <v>2005PA</v>
          </cell>
          <cell r="D793">
            <v>12612.932414939203</v>
          </cell>
          <cell r="E793">
            <v>2527.5136449411762</v>
          </cell>
          <cell r="F793">
            <v>1095</v>
          </cell>
          <cell r="G793">
            <v>0</v>
          </cell>
          <cell r="I793">
            <v>0</v>
          </cell>
          <cell r="J793">
            <v>12931</v>
          </cell>
        </row>
        <row r="794">
          <cell r="C794" t="str">
            <v>2005RI</v>
          </cell>
          <cell r="D794">
            <v>0</v>
          </cell>
          <cell r="E794">
            <v>0</v>
          </cell>
          <cell r="F794">
            <v>0</v>
          </cell>
          <cell r="G794">
            <v>0</v>
          </cell>
          <cell r="I794">
            <v>0</v>
          </cell>
          <cell r="J794">
            <v>0</v>
          </cell>
        </row>
        <row r="795">
          <cell r="C795" t="str">
            <v>2005SC</v>
          </cell>
          <cell r="D795">
            <v>0</v>
          </cell>
          <cell r="E795">
            <v>0</v>
          </cell>
          <cell r="F795">
            <v>0</v>
          </cell>
          <cell r="G795">
            <v>0</v>
          </cell>
          <cell r="I795">
            <v>0</v>
          </cell>
          <cell r="J795">
            <v>0</v>
          </cell>
        </row>
        <row r="796">
          <cell r="C796" t="str">
            <v>2005SD</v>
          </cell>
          <cell r="D796">
            <v>0</v>
          </cell>
          <cell r="E796">
            <v>0</v>
          </cell>
          <cell r="F796">
            <v>0</v>
          </cell>
          <cell r="G796">
            <v>0</v>
          </cell>
          <cell r="I796">
            <v>0</v>
          </cell>
          <cell r="J796">
            <v>0</v>
          </cell>
        </row>
        <row r="797">
          <cell r="C797" t="str">
            <v>2005TN</v>
          </cell>
          <cell r="D797">
            <v>0</v>
          </cell>
          <cell r="E797">
            <v>0</v>
          </cell>
          <cell r="F797">
            <v>0</v>
          </cell>
          <cell r="G797">
            <v>0</v>
          </cell>
          <cell r="I797">
            <v>0</v>
          </cell>
          <cell r="J797">
            <v>1993</v>
          </cell>
        </row>
        <row r="798">
          <cell r="C798" t="str">
            <v>2005TX</v>
          </cell>
          <cell r="D798">
            <v>0</v>
          </cell>
          <cell r="E798">
            <v>0</v>
          </cell>
          <cell r="F798">
            <v>0</v>
          </cell>
          <cell r="G798">
            <v>0</v>
          </cell>
          <cell r="I798">
            <v>0</v>
          </cell>
          <cell r="J798">
            <v>45939</v>
          </cell>
        </row>
        <row r="799">
          <cell r="C799" t="str">
            <v>2005UT</v>
          </cell>
          <cell r="D799">
            <v>3254.2639294601436</v>
          </cell>
          <cell r="E799">
            <v>740.76750000000004</v>
          </cell>
          <cell r="F799">
            <v>0</v>
          </cell>
          <cell r="G799">
            <v>0</v>
          </cell>
          <cell r="I799">
            <v>0</v>
          </cell>
          <cell r="J799">
            <v>0</v>
          </cell>
        </row>
        <row r="800">
          <cell r="C800" t="str">
            <v>2005VT</v>
          </cell>
          <cell r="D800">
            <v>0</v>
          </cell>
          <cell r="E800">
            <v>0</v>
          </cell>
          <cell r="F800">
            <v>0</v>
          </cell>
          <cell r="G800">
            <v>0</v>
          </cell>
          <cell r="I800">
            <v>0</v>
          </cell>
          <cell r="J800">
            <v>0</v>
          </cell>
        </row>
        <row r="801">
          <cell r="C801" t="str">
            <v>2005VA</v>
          </cell>
          <cell r="D801">
            <v>6007.9982768753052</v>
          </cell>
          <cell r="E801">
            <v>16055.597495392147</v>
          </cell>
          <cell r="F801">
            <v>16056.328040000002</v>
          </cell>
          <cell r="G801">
            <v>0</v>
          </cell>
          <cell r="I801">
            <v>0</v>
          </cell>
          <cell r="J801">
            <v>11357</v>
          </cell>
        </row>
        <row r="802">
          <cell r="C802" t="str">
            <v>2005WA</v>
          </cell>
          <cell r="D802">
            <v>0</v>
          </cell>
          <cell r="E802">
            <v>0</v>
          </cell>
          <cell r="F802">
            <v>0</v>
          </cell>
          <cell r="G802">
            <v>0</v>
          </cell>
          <cell r="I802">
            <v>0</v>
          </cell>
          <cell r="J802">
            <v>5266</v>
          </cell>
        </row>
        <row r="803">
          <cell r="C803" t="str">
            <v>2005WV</v>
          </cell>
          <cell r="D803">
            <v>20645.864172513553</v>
          </cell>
          <cell r="E803">
            <v>6722.6920934453783</v>
          </cell>
          <cell r="F803">
            <v>4853.9629800000002</v>
          </cell>
          <cell r="G803">
            <v>0</v>
          </cell>
          <cell r="H803">
            <v>37590</v>
          </cell>
          <cell r="I803">
            <v>37590</v>
          </cell>
          <cell r="J803">
            <v>57603</v>
          </cell>
          <cell r="K803">
            <v>5037</v>
          </cell>
        </row>
        <row r="804">
          <cell r="C804" t="str">
            <v>2005WI</v>
          </cell>
          <cell r="D804">
            <v>0</v>
          </cell>
          <cell r="E804">
            <v>0</v>
          </cell>
          <cell r="F804">
            <v>0</v>
          </cell>
          <cell r="G804">
            <v>0</v>
          </cell>
          <cell r="I804">
            <v>0</v>
          </cell>
          <cell r="J804">
            <v>0</v>
          </cell>
        </row>
        <row r="805">
          <cell r="C805" t="str">
            <v>2005WY</v>
          </cell>
          <cell r="D805">
            <v>0</v>
          </cell>
          <cell r="E805">
            <v>0</v>
          </cell>
          <cell r="F805">
            <v>0</v>
          </cell>
          <cell r="G805">
            <v>0</v>
          </cell>
          <cell r="I805">
            <v>0</v>
          </cell>
          <cell r="J805">
            <v>403908</v>
          </cell>
        </row>
        <row r="806">
          <cell r="C806" t="str">
            <v>2006AL</v>
          </cell>
          <cell r="D806">
            <v>12670.48343433095</v>
          </cell>
          <cell r="E806">
            <v>18336.958659131655</v>
          </cell>
          <cell r="F806">
            <v>17816.870080000001</v>
          </cell>
          <cell r="G806">
            <v>0</v>
          </cell>
          <cell r="I806">
            <v>0</v>
          </cell>
          <cell r="J806">
            <v>8092</v>
          </cell>
        </row>
        <row r="807">
          <cell r="C807" t="str">
            <v>2006AK</v>
          </cell>
          <cell r="D807">
            <v>0</v>
          </cell>
          <cell r="E807">
            <v>0</v>
          </cell>
          <cell r="F807">
            <v>0</v>
          </cell>
          <cell r="G807">
            <v>0</v>
          </cell>
          <cell r="I807">
            <v>0</v>
          </cell>
          <cell r="J807">
            <v>1425</v>
          </cell>
        </row>
        <row r="808">
          <cell r="C808" t="str">
            <v>2006AZ</v>
          </cell>
          <cell r="D808">
            <v>0</v>
          </cell>
          <cell r="E808">
            <v>0</v>
          </cell>
          <cell r="F808">
            <v>0</v>
          </cell>
          <cell r="G808">
            <v>0</v>
          </cell>
          <cell r="I808">
            <v>0</v>
          </cell>
          <cell r="J808">
            <v>8216</v>
          </cell>
        </row>
        <row r="809">
          <cell r="C809" t="str">
            <v>2006AR</v>
          </cell>
          <cell r="D809">
            <v>1.2782151230680514</v>
          </cell>
          <cell r="E809">
            <v>0</v>
          </cell>
          <cell r="F809">
            <v>0</v>
          </cell>
          <cell r="G809">
            <v>0</v>
          </cell>
          <cell r="I809">
            <v>0</v>
          </cell>
          <cell r="J809">
            <v>5</v>
          </cell>
        </row>
        <row r="810">
          <cell r="C810" t="str">
            <v>2006CA</v>
          </cell>
          <cell r="D810">
            <v>0</v>
          </cell>
          <cell r="E810">
            <v>0</v>
          </cell>
          <cell r="F810">
            <v>0</v>
          </cell>
          <cell r="G810">
            <v>0</v>
          </cell>
          <cell r="I810">
            <v>0</v>
          </cell>
          <cell r="J810">
            <v>0</v>
          </cell>
        </row>
        <row r="811">
          <cell r="C811" t="str">
            <v>2006CO</v>
          </cell>
          <cell r="D811">
            <v>6642.1744886985616</v>
          </cell>
          <cell r="E811">
            <v>4184.0936716666665</v>
          </cell>
          <cell r="F811">
            <v>170</v>
          </cell>
          <cell r="G811">
            <v>0</v>
          </cell>
          <cell r="I811">
            <v>0</v>
          </cell>
          <cell r="J811">
            <v>9663</v>
          </cell>
        </row>
        <row r="812">
          <cell r="C812" t="str">
            <v>2006CT</v>
          </cell>
          <cell r="D812">
            <v>0</v>
          </cell>
          <cell r="E812">
            <v>0</v>
          </cell>
          <cell r="F812">
            <v>0</v>
          </cell>
          <cell r="G812">
            <v>0</v>
          </cell>
          <cell r="I812">
            <v>0</v>
          </cell>
        </row>
        <row r="813">
          <cell r="C813" t="str">
            <v>2006DE</v>
          </cell>
          <cell r="D813">
            <v>0</v>
          </cell>
          <cell r="E813">
            <v>0</v>
          </cell>
          <cell r="F813">
            <v>0</v>
          </cell>
          <cell r="G813">
            <v>0</v>
          </cell>
          <cell r="I813">
            <v>0</v>
          </cell>
        </row>
        <row r="814">
          <cell r="C814" t="str">
            <v>2006FL</v>
          </cell>
          <cell r="D814">
            <v>0</v>
          </cell>
          <cell r="E814">
            <v>0</v>
          </cell>
          <cell r="F814">
            <v>0</v>
          </cell>
          <cell r="G814">
            <v>0</v>
          </cell>
          <cell r="I814">
            <v>0</v>
          </cell>
        </row>
        <row r="815">
          <cell r="C815" t="str">
            <v>2006GA</v>
          </cell>
          <cell r="D815">
            <v>0</v>
          </cell>
          <cell r="E815">
            <v>0</v>
          </cell>
          <cell r="F815">
            <v>0</v>
          </cell>
          <cell r="G815">
            <v>0</v>
          </cell>
          <cell r="I815">
            <v>0</v>
          </cell>
        </row>
        <row r="816">
          <cell r="C816" t="str">
            <v>2006HI</v>
          </cell>
          <cell r="D816">
            <v>0</v>
          </cell>
          <cell r="E816">
            <v>0</v>
          </cell>
          <cell r="F816">
            <v>0</v>
          </cell>
          <cell r="G816">
            <v>0</v>
          </cell>
          <cell r="I816">
            <v>0</v>
          </cell>
        </row>
        <row r="817">
          <cell r="C817" t="str">
            <v>2006ID</v>
          </cell>
          <cell r="D817">
            <v>0</v>
          </cell>
          <cell r="E817">
            <v>0</v>
          </cell>
          <cell r="F817">
            <v>0</v>
          </cell>
          <cell r="G817">
            <v>0</v>
          </cell>
          <cell r="I817">
            <v>0</v>
          </cell>
        </row>
        <row r="818">
          <cell r="C818" t="str">
            <v>2006IL</v>
          </cell>
          <cell r="D818">
            <v>5939.5133779496782</v>
          </cell>
          <cell r="E818">
            <v>0</v>
          </cell>
          <cell r="F818">
            <v>0</v>
          </cell>
          <cell r="G818">
            <v>0</v>
          </cell>
          <cell r="I818">
            <v>0</v>
          </cell>
          <cell r="J818">
            <v>5609</v>
          </cell>
        </row>
        <row r="819">
          <cell r="C819" t="str">
            <v>2006IN</v>
          </cell>
          <cell r="D819">
            <v>1860.4479398009271</v>
          </cell>
          <cell r="E819">
            <v>0</v>
          </cell>
          <cell r="F819">
            <v>0</v>
          </cell>
          <cell r="G819">
            <v>0</v>
          </cell>
          <cell r="I819">
            <v>0</v>
          </cell>
          <cell r="J819">
            <v>24383</v>
          </cell>
        </row>
        <row r="820">
          <cell r="C820" t="str">
            <v>2006IA</v>
          </cell>
          <cell r="D820">
            <v>0</v>
          </cell>
          <cell r="E820">
            <v>0</v>
          </cell>
          <cell r="F820">
            <v>0</v>
          </cell>
          <cell r="G820">
            <v>0</v>
          </cell>
          <cell r="I820">
            <v>0</v>
          </cell>
          <cell r="J820">
            <v>0</v>
          </cell>
        </row>
        <row r="821">
          <cell r="C821" t="str">
            <v>2006KS</v>
          </cell>
          <cell r="D821">
            <v>0</v>
          </cell>
          <cell r="E821">
            <v>0</v>
          </cell>
          <cell r="F821">
            <v>0</v>
          </cell>
          <cell r="G821">
            <v>0</v>
          </cell>
          <cell r="I821">
            <v>0</v>
          </cell>
          <cell r="J821">
            <v>426</v>
          </cell>
        </row>
        <row r="822">
          <cell r="C822" t="str">
            <v>2006KY</v>
          </cell>
          <cell r="D822">
            <v>4819.2561600963436</v>
          </cell>
          <cell r="E822">
            <v>0</v>
          </cell>
          <cell r="F822">
            <v>0</v>
          </cell>
          <cell r="G822">
            <v>0</v>
          </cell>
          <cell r="H822">
            <v>23870</v>
          </cell>
          <cell r="I822">
            <v>23870</v>
          </cell>
          <cell r="J822">
            <v>44295</v>
          </cell>
          <cell r="K822">
            <v>3370</v>
          </cell>
        </row>
        <row r="823">
          <cell r="C823" t="str">
            <v>2006LA</v>
          </cell>
          <cell r="D823">
            <v>0</v>
          </cell>
          <cell r="E823">
            <v>0</v>
          </cell>
          <cell r="F823">
            <v>0</v>
          </cell>
          <cell r="G823">
            <v>0</v>
          </cell>
          <cell r="I823">
            <v>0</v>
          </cell>
          <cell r="J823">
            <v>4114</v>
          </cell>
        </row>
        <row r="824">
          <cell r="C824" t="str">
            <v>2006ME</v>
          </cell>
          <cell r="D824">
            <v>0</v>
          </cell>
          <cell r="E824">
            <v>0</v>
          </cell>
          <cell r="F824">
            <v>0</v>
          </cell>
          <cell r="G824">
            <v>0</v>
          </cell>
          <cell r="I824">
            <v>0</v>
          </cell>
        </row>
        <row r="825">
          <cell r="C825" t="str">
            <v>2006MD</v>
          </cell>
          <cell r="D825">
            <v>0</v>
          </cell>
          <cell r="E825">
            <v>0</v>
          </cell>
          <cell r="F825">
            <v>0</v>
          </cell>
          <cell r="G825">
            <v>0</v>
          </cell>
          <cell r="I825">
            <v>0</v>
          </cell>
          <cell r="J825">
            <v>2228</v>
          </cell>
        </row>
        <row r="826">
          <cell r="C826" t="str">
            <v>2006MA</v>
          </cell>
          <cell r="D826">
            <v>0</v>
          </cell>
          <cell r="E826">
            <v>0</v>
          </cell>
          <cell r="F826">
            <v>0</v>
          </cell>
          <cell r="G826">
            <v>0</v>
          </cell>
          <cell r="I826">
            <v>0</v>
          </cell>
        </row>
        <row r="827">
          <cell r="C827" t="str">
            <v>2006MI</v>
          </cell>
          <cell r="D827">
            <v>0</v>
          </cell>
          <cell r="E827">
            <v>0</v>
          </cell>
          <cell r="F827">
            <v>0</v>
          </cell>
          <cell r="G827">
            <v>0</v>
          </cell>
          <cell r="I827">
            <v>0</v>
          </cell>
        </row>
        <row r="828">
          <cell r="C828" t="str">
            <v>2006MN</v>
          </cell>
          <cell r="D828">
            <v>0</v>
          </cell>
          <cell r="E828">
            <v>0</v>
          </cell>
          <cell r="F828">
            <v>0</v>
          </cell>
          <cell r="G828">
            <v>0</v>
          </cell>
          <cell r="I828">
            <v>0</v>
          </cell>
        </row>
        <row r="829">
          <cell r="C829" t="str">
            <v>2006MS</v>
          </cell>
          <cell r="D829">
            <v>0</v>
          </cell>
          <cell r="E829">
            <v>0</v>
          </cell>
          <cell r="F829">
            <v>0</v>
          </cell>
          <cell r="G829">
            <v>0</v>
          </cell>
          <cell r="I829">
            <v>0</v>
          </cell>
          <cell r="J829">
            <v>3797</v>
          </cell>
        </row>
        <row r="830">
          <cell r="C830" t="str">
            <v>2006MO</v>
          </cell>
          <cell r="D830">
            <v>0</v>
          </cell>
          <cell r="E830">
            <v>0</v>
          </cell>
          <cell r="F830">
            <v>0</v>
          </cell>
          <cell r="G830">
            <v>0</v>
          </cell>
          <cell r="I830">
            <v>0</v>
          </cell>
          <cell r="J830">
            <v>394</v>
          </cell>
        </row>
        <row r="831">
          <cell r="C831" t="str">
            <v>2006MT</v>
          </cell>
          <cell r="D831">
            <v>0</v>
          </cell>
          <cell r="E831">
            <v>0</v>
          </cell>
          <cell r="F831">
            <v>0</v>
          </cell>
          <cell r="G831">
            <v>0</v>
          </cell>
          <cell r="I831">
            <v>0</v>
          </cell>
          <cell r="J831">
            <v>41502</v>
          </cell>
        </row>
        <row r="832">
          <cell r="C832" t="str">
            <v>2006NE</v>
          </cell>
          <cell r="D832">
            <v>0</v>
          </cell>
          <cell r="E832">
            <v>0</v>
          </cell>
          <cell r="F832">
            <v>0</v>
          </cell>
          <cell r="G832">
            <v>0</v>
          </cell>
          <cell r="I832">
            <v>0</v>
          </cell>
        </row>
        <row r="833">
          <cell r="C833" t="str">
            <v>2006NV</v>
          </cell>
          <cell r="D833">
            <v>0</v>
          </cell>
          <cell r="E833">
            <v>0</v>
          </cell>
          <cell r="F833">
            <v>0</v>
          </cell>
          <cell r="G833">
            <v>0</v>
          </cell>
          <cell r="I833">
            <v>0</v>
          </cell>
        </row>
        <row r="834">
          <cell r="C834" t="str">
            <v>2006NH</v>
          </cell>
          <cell r="D834">
            <v>0</v>
          </cell>
          <cell r="E834">
            <v>0</v>
          </cell>
          <cell r="F834">
            <v>0</v>
          </cell>
          <cell r="G834">
            <v>0</v>
          </cell>
          <cell r="I834">
            <v>0</v>
          </cell>
        </row>
        <row r="835">
          <cell r="C835" t="str">
            <v>2006NJ</v>
          </cell>
          <cell r="D835">
            <v>0</v>
          </cell>
          <cell r="E835">
            <v>0</v>
          </cell>
          <cell r="F835">
            <v>0</v>
          </cell>
          <cell r="G835">
            <v>0</v>
          </cell>
          <cell r="I835">
            <v>0</v>
          </cell>
        </row>
        <row r="836">
          <cell r="C836" t="str">
            <v>2006NM</v>
          </cell>
          <cell r="D836">
            <v>1459.6921755530766</v>
          </cell>
          <cell r="E836">
            <v>951.51801333333333</v>
          </cell>
          <cell r="F836">
            <v>0</v>
          </cell>
          <cell r="G836">
            <v>0</v>
          </cell>
          <cell r="I836">
            <v>0</v>
          </cell>
          <cell r="J836">
            <v>18919</v>
          </cell>
        </row>
        <row r="837">
          <cell r="C837" t="str">
            <v>2006NY</v>
          </cell>
          <cell r="D837">
            <v>0</v>
          </cell>
          <cell r="E837">
            <v>0</v>
          </cell>
          <cell r="F837">
            <v>0</v>
          </cell>
          <cell r="G837">
            <v>0</v>
          </cell>
          <cell r="I837">
            <v>0</v>
          </cell>
        </row>
        <row r="838">
          <cell r="C838" t="str">
            <v>2006NC</v>
          </cell>
          <cell r="D838">
            <v>0</v>
          </cell>
          <cell r="E838">
            <v>0</v>
          </cell>
          <cell r="F838">
            <v>0</v>
          </cell>
          <cell r="G838">
            <v>0</v>
          </cell>
          <cell r="I838">
            <v>0</v>
          </cell>
        </row>
        <row r="839">
          <cell r="C839" t="str">
            <v>2006ND</v>
          </cell>
          <cell r="D839">
            <v>0</v>
          </cell>
          <cell r="E839">
            <v>0</v>
          </cell>
          <cell r="F839">
            <v>0</v>
          </cell>
          <cell r="G839">
            <v>0</v>
          </cell>
          <cell r="I839">
            <v>0</v>
          </cell>
          <cell r="J839">
            <v>30411</v>
          </cell>
        </row>
        <row r="840">
          <cell r="C840" t="str">
            <v>2006OH</v>
          </cell>
          <cell r="D840">
            <v>1682.0383829613263</v>
          </cell>
          <cell r="E840">
            <v>0</v>
          </cell>
          <cell r="F840">
            <v>0</v>
          </cell>
          <cell r="G840">
            <v>0</v>
          </cell>
          <cell r="I840">
            <v>0</v>
          </cell>
          <cell r="J840">
            <v>7596</v>
          </cell>
        </row>
        <row r="841">
          <cell r="C841" t="str">
            <v>2006OK</v>
          </cell>
          <cell r="D841">
            <v>342.37449785769587</v>
          </cell>
          <cell r="E841">
            <v>0</v>
          </cell>
          <cell r="F841">
            <v>0</v>
          </cell>
          <cell r="G841">
            <v>0</v>
          </cell>
          <cell r="I841">
            <v>0</v>
          </cell>
          <cell r="J841">
            <v>1534</v>
          </cell>
        </row>
        <row r="842">
          <cell r="C842" t="str">
            <v>2006OR</v>
          </cell>
          <cell r="D842">
            <v>0</v>
          </cell>
          <cell r="E842">
            <v>0</v>
          </cell>
          <cell r="F842">
            <v>0</v>
          </cell>
          <cell r="G842">
            <v>0</v>
          </cell>
          <cell r="I842">
            <v>0</v>
          </cell>
        </row>
        <row r="843">
          <cell r="C843" t="str">
            <v>2006PA</v>
          </cell>
          <cell r="D843">
            <v>13277.451785537605</v>
          </cell>
          <cell r="E843">
            <v>2551.335962018677</v>
          </cell>
          <cell r="F843">
            <v>1095</v>
          </cell>
          <cell r="G843">
            <v>0</v>
          </cell>
          <cell r="I843">
            <v>0</v>
          </cell>
          <cell r="J843">
            <v>12228</v>
          </cell>
        </row>
        <row r="844">
          <cell r="C844" t="str">
            <v>2006RI</v>
          </cell>
          <cell r="D844">
            <v>0</v>
          </cell>
          <cell r="E844">
            <v>0</v>
          </cell>
          <cell r="F844">
            <v>0</v>
          </cell>
          <cell r="G844">
            <v>0</v>
          </cell>
          <cell r="I844">
            <v>0</v>
          </cell>
        </row>
        <row r="845">
          <cell r="C845" t="str">
            <v>2006SC</v>
          </cell>
          <cell r="D845">
            <v>0</v>
          </cell>
          <cell r="E845">
            <v>0</v>
          </cell>
          <cell r="F845">
            <v>0</v>
          </cell>
          <cell r="G845">
            <v>0</v>
          </cell>
          <cell r="I845">
            <v>0</v>
          </cell>
        </row>
        <row r="846">
          <cell r="C846" t="str">
            <v>2006SD</v>
          </cell>
          <cell r="D846">
            <v>0</v>
          </cell>
          <cell r="E846">
            <v>0</v>
          </cell>
          <cell r="F846">
            <v>0</v>
          </cell>
          <cell r="G846">
            <v>0</v>
          </cell>
          <cell r="I846">
            <v>0</v>
          </cell>
        </row>
        <row r="847">
          <cell r="C847" t="str">
            <v>2006TN</v>
          </cell>
          <cell r="D847">
            <v>0</v>
          </cell>
          <cell r="E847">
            <v>0</v>
          </cell>
          <cell r="F847">
            <v>0</v>
          </cell>
          <cell r="G847">
            <v>0</v>
          </cell>
          <cell r="I847">
            <v>0</v>
          </cell>
          <cell r="J847">
            <v>1613</v>
          </cell>
        </row>
        <row r="848">
          <cell r="C848" t="str">
            <v>2006TX</v>
          </cell>
          <cell r="D848">
            <v>0</v>
          </cell>
          <cell r="E848">
            <v>0</v>
          </cell>
          <cell r="F848">
            <v>0</v>
          </cell>
          <cell r="G848">
            <v>0</v>
          </cell>
          <cell r="I848">
            <v>0</v>
          </cell>
          <cell r="J848">
            <v>45548</v>
          </cell>
        </row>
        <row r="849">
          <cell r="C849" t="str">
            <v>2006UT</v>
          </cell>
          <cell r="D849">
            <v>3822.0638892490651</v>
          </cell>
          <cell r="E849">
            <v>782.67193333333353</v>
          </cell>
          <cell r="F849">
            <v>0</v>
          </cell>
          <cell r="G849">
            <v>0</v>
          </cell>
          <cell r="I849">
            <v>0</v>
          </cell>
          <cell r="J849">
            <v>0</v>
          </cell>
        </row>
        <row r="850">
          <cell r="C850" t="str">
            <v>2006VT</v>
          </cell>
          <cell r="D850">
            <v>0</v>
          </cell>
          <cell r="E850">
            <v>0</v>
          </cell>
          <cell r="F850">
            <v>0</v>
          </cell>
          <cell r="G850">
            <v>0</v>
          </cell>
          <cell r="I850">
            <v>0</v>
          </cell>
        </row>
        <row r="851">
          <cell r="C851" t="str">
            <v>2006VA</v>
          </cell>
          <cell r="D851">
            <v>6766.527036759604</v>
          </cell>
          <cell r="E851">
            <v>23341.138999999999</v>
          </cell>
          <cell r="F851">
            <v>23341.138999999999</v>
          </cell>
          <cell r="G851">
            <v>0</v>
          </cell>
          <cell r="I851">
            <v>0</v>
          </cell>
          <cell r="J851">
            <v>11059</v>
          </cell>
        </row>
        <row r="852">
          <cell r="C852" t="str">
            <v>2006WA</v>
          </cell>
          <cell r="D852">
            <v>0</v>
          </cell>
          <cell r="E852">
            <v>0</v>
          </cell>
          <cell r="F852">
            <v>0</v>
          </cell>
          <cell r="G852">
            <v>0</v>
          </cell>
          <cell r="I852">
            <v>0</v>
          </cell>
          <cell r="J852">
            <v>2580</v>
          </cell>
        </row>
        <row r="853">
          <cell r="C853" t="str">
            <v>2006WV</v>
          </cell>
          <cell r="D853">
            <v>21179.18174226693</v>
          </cell>
          <cell r="E853">
            <v>3692.8994530882346</v>
          </cell>
          <cell r="F853">
            <v>3574.21621</v>
          </cell>
          <cell r="G853">
            <v>0</v>
          </cell>
          <cell r="H853">
            <v>36074</v>
          </cell>
          <cell r="I853">
            <v>36074</v>
          </cell>
          <cell r="J853">
            <v>61421</v>
          </cell>
          <cell r="K853">
            <v>6324</v>
          </cell>
        </row>
        <row r="854">
          <cell r="C854" t="str">
            <v>2006WI</v>
          </cell>
          <cell r="D854">
            <v>0</v>
          </cell>
          <cell r="E854">
            <v>0</v>
          </cell>
          <cell r="F854">
            <v>0</v>
          </cell>
          <cell r="G854">
            <v>0</v>
          </cell>
          <cell r="I854">
            <v>0</v>
          </cell>
        </row>
        <row r="855">
          <cell r="C855" t="str">
            <v>2006WY</v>
          </cell>
          <cell r="D855">
            <v>0</v>
          </cell>
          <cell r="E855">
            <v>0</v>
          </cell>
          <cell r="F855">
            <v>0</v>
          </cell>
          <cell r="G855">
            <v>0</v>
          </cell>
          <cell r="I855">
            <v>0</v>
          </cell>
          <cell r="J855">
            <v>446223</v>
          </cell>
        </row>
        <row r="856">
          <cell r="C856" t="str">
            <v>2007AL</v>
          </cell>
          <cell r="D856">
            <v>15258.142775000002</v>
          </cell>
          <cell r="E856">
            <v>14208.786894229688</v>
          </cell>
          <cell r="F856">
            <v>13863.102319999996</v>
          </cell>
          <cell r="G856">
            <v>0</v>
          </cell>
          <cell r="I856">
            <v>0</v>
          </cell>
          <cell r="J856">
            <v>7865</v>
          </cell>
        </row>
        <row r="857">
          <cell r="C857" t="str">
            <v>2007AK</v>
          </cell>
          <cell r="D857">
            <v>0</v>
          </cell>
          <cell r="E857">
            <v>0</v>
          </cell>
          <cell r="F857">
            <v>0</v>
          </cell>
          <cell r="G857">
            <v>0</v>
          </cell>
          <cell r="I857">
            <v>0</v>
          </cell>
          <cell r="J857">
            <v>1324</v>
          </cell>
        </row>
        <row r="858">
          <cell r="C858" t="str">
            <v>2007AZ</v>
          </cell>
          <cell r="D858">
            <v>0</v>
          </cell>
          <cell r="E858">
            <v>0</v>
          </cell>
          <cell r="F858">
            <v>0</v>
          </cell>
          <cell r="G858">
            <v>0</v>
          </cell>
          <cell r="I858">
            <v>0</v>
          </cell>
          <cell r="J858">
            <v>7983</v>
          </cell>
        </row>
        <row r="859">
          <cell r="C859" t="str">
            <v>2007AR</v>
          </cell>
          <cell r="D859">
            <v>135.51783875000001</v>
          </cell>
          <cell r="E859">
            <v>0</v>
          </cell>
          <cell r="F859">
            <v>0</v>
          </cell>
          <cell r="G859">
            <v>0</v>
          </cell>
          <cell r="I859">
            <v>0</v>
          </cell>
          <cell r="J859">
            <v>2</v>
          </cell>
        </row>
        <row r="860">
          <cell r="C860" t="str">
            <v>2007CA</v>
          </cell>
          <cell r="D860">
            <v>0</v>
          </cell>
          <cell r="E860">
            <v>0</v>
          </cell>
          <cell r="F860">
            <v>0</v>
          </cell>
          <cell r="G860">
            <v>0</v>
          </cell>
          <cell r="I860">
            <v>0</v>
          </cell>
        </row>
        <row r="861">
          <cell r="C861" t="str">
            <v>2007CO</v>
          </cell>
          <cell r="D861">
            <v>7166.7254832499993</v>
          </cell>
          <cell r="E861">
            <v>3745.2348875000002</v>
          </cell>
          <cell r="F861">
            <v>170</v>
          </cell>
          <cell r="G861">
            <v>0</v>
          </cell>
          <cell r="I861">
            <v>0</v>
          </cell>
          <cell r="J861">
            <v>8774</v>
          </cell>
        </row>
        <row r="862">
          <cell r="C862" t="str">
            <v>2007CT</v>
          </cell>
          <cell r="D862">
            <v>0</v>
          </cell>
          <cell r="E862">
            <v>0</v>
          </cell>
          <cell r="F862">
            <v>0</v>
          </cell>
          <cell r="G862">
            <v>0</v>
          </cell>
          <cell r="I862">
            <v>0</v>
          </cell>
        </row>
        <row r="863">
          <cell r="C863" t="str">
            <v>2007DE</v>
          </cell>
          <cell r="D863">
            <v>0</v>
          </cell>
          <cell r="E863">
            <v>0</v>
          </cell>
          <cell r="F863">
            <v>0</v>
          </cell>
          <cell r="G863">
            <v>0</v>
          </cell>
          <cell r="I863">
            <v>0</v>
          </cell>
        </row>
        <row r="864">
          <cell r="C864" t="str">
            <v>2007FL</v>
          </cell>
          <cell r="D864">
            <v>0</v>
          </cell>
          <cell r="E864">
            <v>0</v>
          </cell>
          <cell r="F864">
            <v>0</v>
          </cell>
          <cell r="G864">
            <v>0</v>
          </cell>
          <cell r="I864">
            <v>0</v>
          </cell>
        </row>
        <row r="865">
          <cell r="C865" t="str">
            <v>2007GA</v>
          </cell>
          <cell r="D865">
            <v>0</v>
          </cell>
          <cell r="E865">
            <v>0</v>
          </cell>
          <cell r="F865">
            <v>0</v>
          </cell>
          <cell r="G865">
            <v>0</v>
          </cell>
          <cell r="I865">
            <v>0</v>
          </cell>
        </row>
        <row r="866">
          <cell r="C866" t="str">
            <v>2007HI</v>
          </cell>
          <cell r="D866">
            <v>0</v>
          </cell>
          <cell r="E866">
            <v>0</v>
          </cell>
          <cell r="F866">
            <v>0</v>
          </cell>
          <cell r="G866">
            <v>0</v>
          </cell>
          <cell r="I866">
            <v>0</v>
          </cell>
        </row>
        <row r="867">
          <cell r="C867" t="str">
            <v>2007ID</v>
          </cell>
          <cell r="D867">
            <v>0</v>
          </cell>
          <cell r="E867">
            <v>0</v>
          </cell>
          <cell r="F867">
            <v>0</v>
          </cell>
          <cell r="G867">
            <v>0</v>
          </cell>
          <cell r="I867">
            <v>0</v>
          </cell>
        </row>
        <row r="868">
          <cell r="C868" t="str">
            <v>2007IL</v>
          </cell>
          <cell r="D868">
            <v>3482.8197155000003</v>
          </cell>
          <cell r="E868">
            <v>0</v>
          </cell>
          <cell r="F868">
            <v>0</v>
          </cell>
          <cell r="G868">
            <v>0</v>
          </cell>
          <cell r="I868">
            <v>0</v>
          </cell>
          <cell r="J868">
            <v>5638</v>
          </cell>
        </row>
        <row r="869">
          <cell r="C869" t="str">
            <v>2007IN</v>
          </cell>
          <cell r="D869">
            <v>2179.3727990000002</v>
          </cell>
          <cell r="E869">
            <v>0</v>
          </cell>
          <cell r="F869">
            <v>0</v>
          </cell>
          <cell r="G869">
            <v>0</v>
          </cell>
          <cell r="I869">
            <v>0</v>
          </cell>
          <cell r="J869">
            <v>24399</v>
          </cell>
        </row>
        <row r="870">
          <cell r="C870" t="str">
            <v>2007IA</v>
          </cell>
          <cell r="D870">
            <v>0</v>
          </cell>
          <cell r="E870">
            <v>0</v>
          </cell>
          <cell r="F870">
            <v>0</v>
          </cell>
          <cell r="G870">
            <v>0</v>
          </cell>
          <cell r="I870">
            <v>0</v>
          </cell>
        </row>
        <row r="871">
          <cell r="C871" t="str">
            <v>2007KS</v>
          </cell>
          <cell r="D871">
            <v>0</v>
          </cell>
          <cell r="E871">
            <v>0</v>
          </cell>
          <cell r="F871">
            <v>0</v>
          </cell>
          <cell r="G871">
            <v>0</v>
          </cell>
          <cell r="I871">
            <v>0</v>
          </cell>
          <cell r="J871">
            <v>420</v>
          </cell>
        </row>
        <row r="872">
          <cell r="C872" t="str">
            <v>2007KY</v>
          </cell>
          <cell r="D872">
            <v>5126.3688512499984</v>
          </cell>
          <cell r="E872">
            <v>0</v>
          </cell>
          <cell r="F872">
            <v>0</v>
          </cell>
          <cell r="G872">
            <v>0</v>
          </cell>
          <cell r="H872">
            <v>24513</v>
          </cell>
          <cell r="I872">
            <v>24513</v>
          </cell>
          <cell r="J872">
            <v>42365</v>
          </cell>
          <cell r="K872">
            <v>3699</v>
          </cell>
        </row>
        <row r="873">
          <cell r="C873" t="str">
            <v>2007LA</v>
          </cell>
          <cell r="D873">
            <v>0</v>
          </cell>
          <cell r="E873">
            <v>0</v>
          </cell>
          <cell r="F873">
            <v>0</v>
          </cell>
          <cell r="G873">
            <v>0</v>
          </cell>
          <cell r="I873">
            <v>0</v>
          </cell>
          <cell r="J873">
            <v>3127</v>
          </cell>
        </row>
        <row r="874">
          <cell r="C874" t="str">
            <v>2007ME</v>
          </cell>
          <cell r="D874">
            <v>0</v>
          </cell>
          <cell r="E874">
            <v>0</v>
          </cell>
          <cell r="F874">
            <v>0</v>
          </cell>
          <cell r="G874">
            <v>0</v>
          </cell>
          <cell r="I874">
            <v>0</v>
          </cell>
        </row>
        <row r="875">
          <cell r="C875" t="str">
            <v>2007MD</v>
          </cell>
          <cell r="D875">
            <v>0</v>
          </cell>
          <cell r="E875">
            <v>0</v>
          </cell>
          <cell r="F875">
            <v>0</v>
          </cell>
          <cell r="G875">
            <v>0</v>
          </cell>
          <cell r="I875">
            <v>0</v>
          </cell>
          <cell r="J875">
            <v>1690</v>
          </cell>
        </row>
        <row r="876">
          <cell r="C876" t="str">
            <v>2007MA</v>
          </cell>
          <cell r="D876">
            <v>0</v>
          </cell>
          <cell r="E876">
            <v>0</v>
          </cell>
          <cell r="F876">
            <v>0</v>
          </cell>
          <cell r="G876">
            <v>0</v>
          </cell>
          <cell r="I876">
            <v>0</v>
          </cell>
        </row>
        <row r="877">
          <cell r="C877" t="str">
            <v>2007MI</v>
          </cell>
          <cell r="D877">
            <v>0</v>
          </cell>
          <cell r="E877">
            <v>0</v>
          </cell>
          <cell r="F877">
            <v>0</v>
          </cell>
          <cell r="G877">
            <v>0</v>
          </cell>
          <cell r="I877">
            <v>0</v>
          </cell>
        </row>
        <row r="878">
          <cell r="C878" t="str">
            <v>2007MN</v>
          </cell>
          <cell r="D878">
            <v>0</v>
          </cell>
          <cell r="E878">
            <v>0</v>
          </cell>
          <cell r="F878">
            <v>0</v>
          </cell>
          <cell r="G878">
            <v>0</v>
          </cell>
          <cell r="I878">
            <v>0</v>
          </cell>
        </row>
        <row r="879">
          <cell r="C879" t="str">
            <v>2007MS</v>
          </cell>
          <cell r="D879">
            <v>0</v>
          </cell>
          <cell r="E879">
            <v>0</v>
          </cell>
          <cell r="F879">
            <v>0</v>
          </cell>
          <cell r="G879">
            <v>0</v>
          </cell>
          <cell r="I879">
            <v>0</v>
          </cell>
          <cell r="J879">
            <v>3545</v>
          </cell>
        </row>
        <row r="880">
          <cell r="C880" t="str">
            <v>2007MO</v>
          </cell>
          <cell r="D880">
            <v>0</v>
          </cell>
          <cell r="E880">
            <v>0</v>
          </cell>
          <cell r="F880">
            <v>0</v>
          </cell>
          <cell r="G880">
            <v>0</v>
          </cell>
          <cell r="I880">
            <v>0</v>
          </cell>
          <cell r="J880">
            <v>236</v>
          </cell>
        </row>
        <row r="881">
          <cell r="C881" t="str">
            <v>2007MT</v>
          </cell>
          <cell r="D881">
            <v>0</v>
          </cell>
          <cell r="E881">
            <v>0</v>
          </cell>
          <cell r="F881">
            <v>0</v>
          </cell>
          <cell r="G881">
            <v>0</v>
          </cell>
          <cell r="I881">
            <v>0</v>
          </cell>
          <cell r="J881">
            <v>43343</v>
          </cell>
        </row>
        <row r="882">
          <cell r="C882" t="str">
            <v>2007NE</v>
          </cell>
          <cell r="D882">
            <v>0</v>
          </cell>
          <cell r="E882">
            <v>0</v>
          </cell>
          <cell r="F882">
            <v>0</v>
          </cell>
          <cell r="G882">
            <v>0</v>
          </cell>
          <cell r="I882">
            <v>0</v>
          </cell>
        </row>
        <row r="883">
          <cell r="C883" t="str">
            <v>2007NV</v>
          </cell>
          <cell r="D883">
            <v>0</v>
          </cell>
          <cell r="E883">
            <v>0</v>
          </cell>
          <cell r="F883">
            <v>0</v>
          </cell>
          <cell r="G883">
            <v>0</v>
          </cell>
          <cell r="I883">
            <v>0</v>
          </cell>
        </row>
        <row r="884">
          <cell r="C884" t="str">
            <v>2007NH</v>
          </cell>
          <cell r="D884">
            <v>0</v>
          </cell>
          <cell r="E884">
            <v>0</v>
          </cell>
          <cell r="F884">
            <v>0</v>
          </cell>
          <cell r="G884">
            <v>0</v>
          </cell>
          <cell r="I884">
            <v>0</v>
          </cell>
        </row>
        <row r="885">
          <cell r="C885" t="str">
            <v>2007NJ</v>
          </cell>
          <cell r="D885">
            <v>0</v>
          </cell>
          <cell r="E885">
            <v>0</v>
          </cell>
          <cell r="F885">
            <v>0</v>
          </cell>
          <cell r="G885">
            <v>0</v>
          </cell>
          <cell r="I885">
            <v>0</v>
          </cell>
        </row>
        <row r="886">
          <cell r="C886" t="str">
            <v>2007NM</v>
          </cell>
          <cell r="D886">
            <v>0</v>
          </cell>
          <cell r="E886">
            <v>0</v>
          </cell>
          <cell r="F886">
            <v>0</v>
          </cell>
          <cell r="G886">
            <v>0</v>
          </cell>
          <cell r="I886">
            <v>0</v>
          </cell>
          <cell r="J886">
            <v>17553</v>
          </cell>
        </row>
        <row r="887">
          <cell r="C887" t="str">
            <v>2007NY</v>
          </cell>
          <cell r="D887">
            <v>0</v>
          </cell>
          <cell r="E887">
            <v>0</v>
          </cell>
          <cell r="F887">
            <v>0</v>
          </cell>
          <cell r="G887">
            <v>0</v>
          </cell>
          <cell r="I887">
            <v>0</v>
          </cell>
        </row>
        <row r="888">
          <cell r="C888" t="str">
            <v>2007NC</v>
          </cell>
          <cell r="D888">
            <v>0</v>
          </cell>
          <cell r="E888">
            <v>0</v>
          </cell>
          <cell r="F888">
            <v>0</v>
          </cell>
          <cell r="G888">
            <v>0</v>
          </cell>
          <cell r="I888">
            <v>0</v>
          </cell>
        </row>
        <row r="889">
          <cell r="C889" t="str">
            <v>2007ND</v>
          </cell>
          <cell r="D889">
            <v>0</v>
          </cell>
          <cell r="E889">
            <v>0</v>
          </cell>
          <cell r="F889">
            <v>0</v>
          </cell>
          <cell r="G889">
            <v>0</v>
          </cell>
          <cell r="I889">
            <v>0</v>
          </cell>
          <cell r="J889">
            <v>29606</v>
          </cell>
        </row>
        <row r="890">
          <cell r="C890" t="str">
            <v>2007OH</v>
          </cell>
          <cell r="D890">
            <v>1023.1559687500001</v>
          </cell>
          <cell r="E890">
            <v>0</v>
          </cell>
          <cell r="F890">
            <v>0</v>
          </cell>
          <cell r="G890">
            <v>0</v>
          </cell>
          <cell r="I890">
            <v>0</v>
          </cell>
          <cell r="J890">
            <v>6783</v>
          </cell>
        </row>
        <row r="891">
          <cell r="C891" t="str">
            <v>2007OK</v>
          </cell>
          <cell r="D891">
            <v>522.45282100000009</v>
          </cell>
          <cell r="E891">
            <v>0</v>
          </cell>
          <cell r="F891">
            <v>0</v>
          </cell>
          <cell r="G891">
            <v>0</v>
          </cell>
          <cell r="I891">
            <v>0</v>
          </cell>
          <cell r="J891">
            <v>1134</v>
          </cell>
        </row>
        <row r="892">
          <cell r="C892" t="str">
            <v>2007OR</v>
          </cell>
          <cell r="D892">
            <v>0</v>
          </cell>
          <cell r="E892">
            <v>0</v>
          </cell>
          <cell r="F892">
            <v>0</v>
          </cell>
          <cell r="G892">
            <v>0</v>
          </cell>
          <cell r="I892">
            <v>0</v>
          </cell>
        </row>
        <row r="893">
          <cell r="C893" t="str">
            <v>2007PA</v>
          </cell>
          <cell r="D893">
            <v>14239.53684445</v>
          </cell>
          <cell r="E893">
            <v>2883.5001961834178</v>
          </cell>
          <cell r="F893">
            <v>1096.4000000000001</v>
          </cell>
          <cell r="G893">
            <v>0</v>
          </cell>
          <cell r="I893">
            <v>0</v>
          </cell>
          <cell r="J893">
            <v>11504</v>
          </cell>
        </row>
        <row r="894">
          <cell r="C894" t="str">
            <v>2007RI</v>
          </cell>
          <cell r="D894">
            <v>0</v>
          </cell>
          <cell r="E894">
            <v>0</v>
          </cell>
          <cell r="F894">
            <v>0</v>
          </cell>
          <cell r="G894">
            <v>0</v>
          </cell>
          <cell r="I894">
            <v>0</v>
          </cell>
        </row>
        <row r="895">
          <cell r="C895" t="str">
            <v>2007SC</v>
          </cell>
          <cell r="D895">
            <v>0</v>
          </cell>
          <cell r="E895">
            <v>0</v>
          </cell>
          <cell r="F895">
            <v>0</v>
          </cell>
          <cell r="G895">
            <v>0</v>
          </cell>
          <cell r="I895">
            <v>0</v>
          </cell>
        </row>
        <row r="896">
          <cell r="C896" t="str">
            <v>2007SD</v>
          </cell>
          <cell r="D896">
            <v>0</v>
          </cell>
          <cell r="E896">
            <v>0</v>
          </cell>
          <cell r="F896">
            <v>0</v>
          </cell>
          <cell r="G896">
            <v>0</v>
          </cell>
          <cell r="I896">
            <v>0</v>
          </cell>
        </row>
        <row r="897">
          <cell r="C897" t="str">
            <v>2007TN</v>
          </cell>
          <cell r="D897">
            <v>0</v>
          </cell>
          <cell r="E897">
            <v>0</v>
          </cell>
          <cell r="F897">
            <v>0</v>
          </cell>
          <cell r="G897">
            <v>0</v>
          </cell>
          <cell r="I897">
            <v>0</v>
          </cell>
          <cell r="J897">
            <v>1763</v>
          </cell>
        </row>
        <row r="898">
          <cell r="C898" t="str">
            <v>2007TX</v>
          </cell>
          <cell r="D898">
            <v>0</v>
          </cell>
          <cell r="E898">
            <v>0</v>
          </cell>
          <cell r="F898">
            <v>0</v>
          </cell>
          <cell r="G898">
            <v>0</v>
          </cell>
          <cell r="I898">
            <v>0</v>
          </cell>
          <cell r="J898">
            <v>41948</v>
          </cell>
        </row>
        <row r="899">
          <cell r="C899" t="str">
            <v>2007UT</v>
          </cell>
          <cell r="D899">
            <v>2742.9607105</v>
          </cell>
          <cell r="E899">
            <v>662.65558583333336</v>
          </cell>
          <cell r="F899">
            <v>0</v>
          </cell>
          <cell r="G899">
            <v>0</v>
          </cell>
          <cell r="I899">
            <v>0</v>
          </cell>
        </row>
        <row r="900">
          <cell r="C900" t="str">
            <v>2007VT</v>
          </cell>
          <cell r="D900">
            <v>0</v>
          </cell>
          <cell r="E900">
            <v>0</v>
          </cell>
          <cell r="F900">
            <v>0</v>
          </cell>
          <cell r="G900">
            <v>0</v>
          </cell>
          <cell r="I900">
            <v>0</v>
          </cell>
        </row>
        <row r="901">
          <cell r="C901" t="str">
            <v>2007VA</v>
          </cell>
          <cell r="D901">
            <v>7521.39006075</v>
          </cell>
          <cell r="E901">
            <v>19087.624219999998</v>
          </cell>
          <cell r="F901">
            <v>19087.624219999998</v>
          </cell>
          <cell r="G901">
            <v>0</v>
          </cell>
          <cell r="I901">
            <v>0</v>
          </cell>
          <cell r="J901">
            <v>9615</v>
          </cell>
        </row>
        <row r="902">
          <cell r="C902" t="str">
            <v>2007WA</v>
          </cell>
          <cell r="D902">
            <v>0</v>
          </cell>
          <cell r="E902">
            <v>0</v>
          </cell>
          <cell r="F902">
            <v>0</v>
          </cell>
          <cell r="G902">
            <v>0</v>
          </cell>
          <cell r="I902">
            <v>0</v>
          </cell>
        </row>
        <row r="903">
          <cell r="C903" t="str">
            <v>2007WV</v>
          </cell>
          <cell r="D903">
            <v>20173.045692499993</v>
          </cell>
          <cell r="E903">
            <v>3731.4691672941171</v>
          </cell>
          <cell r="F903">
            <v>2509.3002900000001</v>
          </cell>
          <cell r="G903">
            <v>0</v>
          </cell>
          <cell r="H903">
            <v>36076</v>
          </cell>
          <cell r="I903">
            <v>36076</v>
          </cell>
          <cell r="J903">
            <v>62483</v>
          </cell>
          <cell r="K903">
            <v>6144</v>
          </cell>
        </row>
        <row r="904">
          <cell r="C904" t="str">
            <v>2007WI</v>
          </cell>
          <cell r="D904">
            <v>0</v>
          </cell>
          <cell r="E904">
            <v>0</v>
          </cell>
          <cell r="F904">
            <v>0</v>
          </cell>
          <cell r="G904">
            <v>0</v>
          </cell>
          <cell r="I904">
            <v>0</v>
          </cell>
        </row>
        <row r="905">
          <cell r="C905" t="str">
            <v>2007WY</v>
          </cell>
          <cell r="D905">
            <v>0</v>
          </cell>
          <cell r="E905">
            <v>0</v>
          </cell>
          <cell r="F905">
            <v>0</v>
          </cell>
          <cell r="G905">
            <v>0</v>
          </cell>
          <cell r="I905">
            <v>0</v>
          </cell>
          <cell r="J905">
            <v>450746</v>
          </cell>
        </row>
      </sheetData>
      <sheetData sheetId="10"/>
      <sheetData sheetId="11">
        <row r="1">
          <cell r="M1">
            <v>1</v>
          </cell>
        </row>
        <row r="19">
          <cell r="B19">
            <v>19.2</v>
          </cell>
        </row>
        <row r="20">
          <cell r="B20">
            <v>9.9999999999999995E-7</v>
          </cell>
        </row>
      </sheetData>
      <sheetData sheetId="12"/>
      <sheetData sheetId="13"/>
      <sheetData sheetId="14"/>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Control"/>
      <sheetName val="Enteric Fermentation"/>
      <sheetName val="CH4 from Manure Management"/>
      <sheetName val="N2O from Manure Management"/>
      <sheetName val="Ag Soils-Plant-Residues&amp;Legumes"/>
      <sheetName val="Ag Soils-Plant-Fertilizers"/>
      <sheetName val="Ag Soils-Animals"/>
      <sheetName val="Rice Cultivation"/>
      <sheetName val="Ag. Residue Burning-CH4"/>
      <sheetName val="Ag. Residue Burning-N2O"/>
      <sheetName val="Summary"/>
      <sheetName val="Default Livestock_Crop Data "/>
      <sheetName val="Summary Figures"/>
      <sheetName val="National Adjustment"/>
      <sheetName val="Uncertainty"/>
      <sheetName val="constants"/>
      <sheetName val="FertilizerData"/>
      <sheetName val="enteric EFsNEW"/>
      <sheetName val="enteric EFs"/>
      <sheetName val="VS-CattleNEW"/>
      <sheetName val="VS-Cattle"/>
      <sheetName val="MCF"/>
      <sheetName val="manure%"/>
      <sheetName val="Documentation"/>
      <sheetName val="Data Sources"/>
      <sheetName val="Notes"/>
      <sheetName val="ListData"/>
      <sheetName val="animal data"/>
      <sheetName val="crop data"/>
    </sheetNames>
    <sheetDataSet>
      <sheetData sheetId="0">
        <row r="12">
          <cell r="C12" t="str">
            <v>varies by year</v>
          </cell>
        </row>
        <row r="13">
          <cell r="C13" t="str">
            <v>varies by year</v>
          </cell>
        </row>
        <row r="14">
          <cell r="C14" t="str">
            <v>varies by year</v>
          </cell>
        </row>
        <row r="15">
          <cell r="C15" t="str">
            <v>varies by year</v>
          </cell>
        </row>
        <row r="17">
          <cell r="C17" t="str">
            <v>varies by year</v>
          </cell>
        </row>
        <row r="18">
          <cell r="C18" t="str">
            <v>varies by year</v>
          </cell>
        </row>
        <row r="19">
          <cell r="C19" t="str">
            <v>varies by year</v>
          </cell>
        </row>
        <row r="20">
          <cell r="C20" t="str">
            <v>varies by year</v>
          </cell>
        </row>
        <row r="21">
          <cell r="C21" t="str">
            <v>varies by year</v>
          </cell>
        </row>
        <row r="22">
          <cell r="C22" t="str">
            <v>varies by year</v>
          </cell>
        </row>
        <row r="23">
          <cell r="C23" t="str">
            <v>varies by year</v>
          </cell>
        </row>
        <row r="24">
          <cell r="C24" t="str">
            <v>varies by year</v>
          </cell>
        </row>
        <row r="25">
          <cell r="C25">
            <v>53</v>
          </cell>
        </row>
        <row r="27">
          <cell r="C27">
            <v>8</v>
          </cell>
        </row>
        <row r="28">
          <cell r="C28">
            <v>5</v>
          </cell>
        </row>
        <row r="29">
          <cell r="C29">
            <v>1.5</v>
          </cell>
        </row>
        <row r="30">
          <cell r="C30">
            <v>18</v>
          </cell>
        </row>
        <row r="39">
          <cell r="F39" t="str">
            <v>varies by year</v>
          </cell>
        </row>
        <row r="40">
          <cell r="F40" t="str">
            <v>varies by year</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3">
          <cell r="B3">
            <v>0.90720000000000001</v>
          </cell>
        </row>
        <row r="4">
          <cell r="B4">
            <v>2000</v>
          </cell>
        </row>
        <row r="5">
          <cell r="B5">
            <v>0.45400000000000001</v>
          </cell>
        </row>
        <row r="10">
          <cell r="B10">
            <v>365</v>
          </cell>
        </row>
        <row r="11">
          <cell r="B11">
            <v>1.5714285714285714</v>
          </cell>
        </row>
        <row r="16">
          <cell r="B16">
            <v>0.2</v>
          </cell>
        </row>
        <row r="19">
          <cell r="G19">
            <v>1.2500000000000001E-2</v>
          </cell>
        </row>
        <row r="20">
          <cell r="B20">
            <v>4.1000000000000002E-2</v>
          </cell>
          <cell r="G20">
            <v>0.02</v>
          </cell>
        </row>
        <row r="21">
          <cell r="B21">
            <v>0.2</v>
          </cell>
          <cell r="G21">
            <v>0.3</v>
          </cell>
        </row>
        <row r="22">
          <cell r="B22">
            <v>0.1</v>
          </cell>
          <cell r="G22">
            <v>7.4999999999999997E-3</v>
          </cell>
        </row>
        <row r="23">
          <cell r="B23">
            <v>0.01</v>
          </cell>
          <cell r="G23">
            <v>0.01</v>
          </cell>
        </row>
        <row r="24">
          <cell r="B24">
            <v>0.01</v>
          </cell>
        </row>
        <row r="28">
          <cell r="G28">
            <v>4.2000000000000003E-2</v>
          </cell>
        </row>
      </sheetData>
      <sheetData sheetId="16"/>
      <sheetData sheetId="17">
        <row r="3">
          <cell r="A3" t="str">
            <v>Dairy Cows</v>
          </cell>
          <cell r="B3">
            <v>1990</v>
          </cell>
          <cell r="C3">
            <v>1991</v>
          </cell>
          <cell r="D3">
            <v>1992</v>
          </cell>
          <cell r="E3">
            <v>1993</v>
          </cell>
          <cell r="F3">
            <v>1994</v>
          </cell>
          <cell r="G3">
            <v>1995</v>
          </cell>
          <cell r="H3">
            <v>1996</v>
          </cell>
          <cell r="I3">
            <v>1997</v>
          </cell>
          <cell r="J3">
            <v>1998</v>
          </cell>
          <cell r="K3">
            <v>1999</v>
          </cell>
          <cell r="L3">
            <v>2000</v>
          </cell>
          <cell r="M3">
            <v>2001</v>
          </cell>
          <cell r="N3">
            <v>2002</v>
          </cell>
          <cell r="O3">
            <v>2003</v>
          </cell>
          <cell r="P3">
            <v>2004</v>
          </cell>
          <cell r="Q3">
            <v>2005</v>
          </cell>
          <cell r="R3">
            <v>2006</v>
          </cell>
          <cell r="S3">
            <v>2007</v>
          </cell>
          <cell r="T3">
            <v>2008</v>
          </cell>
          <cell r="U3">
            <v>2009</v>
          </cell>
          <cell r="V3">
            <v>2010</v>
          </cell>
          <cell r="W3">
            <v>2011</v>
          </cell>
          <cell r="X3">
            <v>2012</v>
          </cell>
          <cell r="Y3">
            <v>2013</v>
          </cell>
          <cell r="Z3">
            <v>2014</v>
          </cell>
          <cell r="AA3">
            <v>2015</v>
          </cell>
          <cell r="AB3">
            <v>2016</v>
          </cell>
          <cell r="AC3">
            <v>2017</v>
          </cell>
          <cell r="AD3">
            <v>2018</v>
          </cell>
          <cell r="AE3">
            <v>2019</v>
          </cell>
          <cell r="AF3">
            <v>2020</v>
          </cell>
        </row>
        <row r="4">
          <cell r="A4" t="str">
            <v>Alabama</v>
          </cell>
          <cell r="B4">
            <v>141.97145204266889</v>
          </cell>
          <cell r="C4">
            <v>144.46390784610423</v>
          </cell>
          <cell r="D4">
            <v>142.2444815176861</v>
          </cell>
          <cell r="E4">
            <v>130.69791010049971</v>
          </cell>
          <cell r="F4">
            <v>132.08420120008893</v>
          </cell>
          <cell r="G4">
            <v>135.06441608493418</v>
          </cell>
          <cell r="H4">
            <v>116.35401898315584</v>
          </cell>
          <cell r="I4">
            <v>116.04316790935493</v>
          </cell>
          <cell r="J4">
            <v>117.23646851757972</v>
          </cell>
          <cell r="K4">
            <v>117.79077635887225</v>
          </cell>
          <cell r="L4">
            <v>117.76734947005055</v>
          </cell>
          <cell r="M4">
            <v>119.02462038173971</v>
          </cell>
          <cell r="N4">
            <v>117.30207479235364</v>
          </cell>
          <cell r="O4">
            <v>117.89507858802496</v>
          </cell>
          <cell r="P4">
            <v>119.52294164932339</v>
          </cell>
          <cell r="Q4">
            <v>117.89507858802496</v>
          </cell>
          <cell r="R4">
            <v>119.87177259578502</v>
          </cell>
          <cell r="S4">
            <v>122.45667336492245</v>
          </cell>
          <cell r="T4">
            <v>122.45667336492245</v>
          </cell>
          <cell r="U4">
            <v>122.45667336492245</v>
          </cell>
          <cell r="V4">
            <v>122.45667336492245</v>
          </cell>
          <cell r="W4">
            <v>122.45667336492245</v>
          </cell>
          <cell r="X4">
            <v>122.45667336492245</v>
          </cell>
          <cell r="Y4">
            <v>122.45667336492245</v>
          </cell>
          <cell r="Z4">
            <v>122.45667336492245</v>
          </cell>
          <cell r="AA4">
            <v>122.45667336492245</v>
          </cell>
          <cell r="AB4">
            <v>122.45667336492245</v>
          </cell>
          <cell r="AC4">
            <v>122.45667336492245</v>
          </cell>
          <cell r="AD4">
            <v>122.45667336492245</v>
          </cell>
          <cell r="AE4">
            <v>122.45667336492245</v>
          </cell>
          <cell r="AF4">
            <v>122.45667336492245</v>
          </cell>
        </row>
        <row r="5">
          <cell r="A5" t="str">
            <v>Alaska</v>
          </cell>
          <cell r="B5">
            <v>126.52132554677488</v>
          </cell>
          <cell r="C5">
            <v>123.48004219430915</v>
          </cell>
          <cell r="D5">
            <v>141.41740183731144</v>
          </cell>
          <cell r="E5">
            <v>138.120471675781</v>
          </cell>
          <cell r="F5">
            <v>144.23614888336579</v>
          </cell>
          <cell r="G5">
            <v>138.120471675781</v>
          </cell>
          <cell r="H5">
            <v>137.58371164869803</v>
          </cell>
          <cell r="I5">
            <v>134.0690044798198</v>
          </cell>
          <cell r="J5">
            <v>129.38272237811637</v>
          </cell>
          <cell r="K5">
            <v>122.82192626042477</v>
          </cell>
          <cell r="L5">
            <v>124.69644027641273</v>
          </cell>
          <cell r="M5">
            <v>117.2528619881767</v>
          </cell>
          <cell r="N5">
            <v>121.97191163596628</v>
          </cell>
          <cell r="O5">
            <v>117.75425950739285</v>
          </cell>
          <cell r="P5">
            <v>114.88841556818315</v>
          </cell>
          <cell r="Q5">
            <v>115.33574311043785</v>
          </cell>
          <cell r="R5">
            <v>115.23989098629706</v>
          </cell>
          <cell r="S5">
            <v>125.43254882788297</v>
          </cell>
          <cell r="T5">
            <v>125.43254882788297</v>
          </cell>
          <cell r="U5">
            <v>125.43254882788297</v>
          </cell>
          <cell r="V5">
            <v>125.43254882788297</v>
          </cell>
          <cell r="W5">
            <v>125.43254882788297</v>
          </cell>
          <cell r="X5">
            <v>125.43254882788297</v>
          </cell>
          <cell r="Y5">
            <v>125.43254882788297</v>
          </cell>
          <cell r="Z5">
            <v>125.43254882788297</v>
          </cell>
          <cell r="AA5">
            <v>125.43254882788297</v>
          </cell>
          <cell r="AB5">
            <v>125.43254882788297</v>
          </cell>
          <cell r="AC5">
            <v>125.43254882788297</v>
          </cell>
          <cell r="AD5">
            <v>125.43254882788297</v>
          </cell>
          <cell r="AE5">
            <v>125.43254882788297</v>
          </cell>
          <cell r="AF5">
            <v>125.43254882788297</v>
          </cell>
        </row>
        <row r="6">
          <cell r="A6" t="str">
            <v>Arizona</v>
          </cell>
          <cell r="B6">
            <v>141.72773625556979</v>
          </cell>
          <cell r="C6">
            <v>144.03728053049272</v>
          </cell>
          <cell r="D6">
            <v>144.91975260354198</v>
          </cell>
          <cell r="E6">
            <v>143.4686926847335</v>
          </cell>
          <cell r="F6">
            <v>148.54518296205811</v>
          </cell>
          <cell r="G6">
            <v>149.21528826792337</v>
          </cell>
          <cell r="H6">
            <v>150.0101041944254</v>
          </cell>
          <cell r="I6">
            <v>152.24586630233304</v>
          </cell>
          <cell r="J6">
            <v>150.05959635244844</v>
          </cell>
          <cell r="K6">
            <v>156.0280791142136</v>
          </cell>
          <cell r="L6">
            <v>155.80458282426702</v>
          </cell>
          <cell r="M6">
            <v>156.5126368088408</v>
          </cell>
          <cell r="N6">
            <v>161.98554569525101</v>
          </cell>
          <cell r="O6">
            <v>160.22591789267449</v>
          </cell>
          <cell r="P6">
            <v>159.68340815100163</v>
          </cell>
          <cell r="Q6">
            <v>159.22489756710385</v>
          </cell>
          <cell r="R6">
            <v>159.97017119151542</v>
          </cell>
          <cell r="S6">
            <v>161.67485341376502</v>
          </cell>
          <cell r="T6">
            <v>161.67485341376502</v>
          </cell>
          <cell r="U6">
            <v>161.67485341376502</v>
          </cell>
          <cell r="V6">
            <v>161.67485341376502</v>
          </cell>
          <cell r="W6">
            <v>161.67485341376502</v>
          </cell>
          <cell r="X6">
            <v>161.67485341376502</v>
          </cell>
          <cell r="Y6">
            <v>161.67485341376502</v>
          </cell>
          <cell r="Z6">
            <v>161.67485341376502</v>
          </cell>
          <cell r="AA6">
            <v>161.67485341376502</v>
          </cell>
          <cell r="AB6">
            <v>161.67485341376502</v>
          </cell>
          <cell r="AC6">
            <v>161.67485341376502</v>
          </cell>
          <cell r="AD6">
            <v>161.67485341376502</v>
          </cell>
          <cell r="AE6">
            <v>161.67485341376502</v>
          </cell>
          <cell r="AF6">
            <v>161.67485341376502</v>
          </cell>
        </row>
        <row r="7">
          <cell r="A7" t="str">
            <v>Arkansas</v>
          </cell>
          <cell r="B7">
            <v>131.79012624969241</v>
          </cell>
          <cell r="C7">
            <v>131.03904552495933</v>
          </cell>
          <cell r="D7">
            <v>133.09277004372063</v>
          </cell>
          <cell r="E7">
            <v>120.78068010654431</v>
          </cell>
          <cell r="F7">
            <v>121.38883333391448</v>
          </cell>
          <cell r="G7">
            <v>120.53220126371114</v>
          </cell>
          <cell r="H7">
            <v>108.47947181573328</v>
          </cell>
          <cell r="I7">
            <v>108.19095955755184</v>
          </cell>
          <cell r="J7">
            <v>108.26610781398657</v>
          </cell>
          <cell r="K7">
            <v>109.78335677166028</v>
          </cell>
          <cell r="L7">
            <v>110.00218680741888</v>
          </cell>
          <cell r="M7">
            <v>109.4416846660132</v>
          </cell>
          <cell r="N7">
            <v>109.19631800625002</v>
          </cell>
          <cell r="O7">
            <v>108.90018659609071</v>
          </cell>
          <cell r="P7">
            <v>113.88437722390749</v>
          </cell>
          <cell r="Q7">
            <v>114.23136217283276</v>
          </cell>
          <cell r="R7">
            <v>111.66066140534303</v>
          </cell>
          <cell r="S7">
            <v>111.82465907351717</v>
          </cell>
          <cell r="T7">
            <v>111.82465907351717</v>
          </cell>
          <cell r="U7">
            <v>111.82465907351717</v>
          </cell>
          <cell r="V7">
            <v>111.82465907351717</v>
          </cell>
          <cell r="W7">
            <v>111.82465907351717</v>
          </cell>
          <cell r="X7">
            <v>111.82465907351717</v>
          </cell>
          <cell r="Y7">
            <v>111.82465907351717</v>
          </cell>
          <cell r="Z7">
            <v>111.82465907351717</v>
          </cell>
          <cell r="AA7">
            <v>111.82465907351717</v>
          </cell>
          <cell r="AB7">
            <v>111.82465907351717</v>
          </cell>
          <cell r="AC7">
            <v>111.82465907351717</v>
          </cell>
          <cell r="AD7">
            <v>111.82465907351717</v>
          </cell>
          <cell r="AE7">
            <v>111.82465907351717</v>
          </cell>
          <cell r="AF7">
            <v>111.82465907351717</v>
          </cell>
        </row>
        <row r="8">
          <cell r="A8" t="str">
            <v>California</v>
          </cell>
          <cell r="B8">
            <v>144.74750247493429</v>
          </cell>
          <cell r="C8">
            <v>145.08939396570577</v>
          </cell>
          <cell r="D8">
            <v>145.90548298539258</v>
          </cell>
          <cell r="E8">
            <v>128.52341599738637</v>
          </cell>
          <cell r="F8">
            <v>133.67537700672059</v>
          </cell>
          <cell r="G8">
            <v>131.27085373809749</v>
          </cell>
          <cell r="H8">
            <v>112.71375632570131</v>
          </cell>
          <cell r="I8">
            <v>114.9269960989831</v>
          </cell>
          <cell r="J8">
            <v>113.67401785032722</v>
          </cell>
          <cell r="K8">
            <v>118.08096202226001</v>
          </cell>
          <cell r="L8">
            <v>119.23892689283736</v>
          </cell>
          <cell r="M8">
            <v>118.33196940332512</v>
          </cell>
          <cell r="N8">
            <v>119.56760954538501</v>
          </cell>
          <cell r="O8">
            <v>118.62729422911914</v>
          </cell>
          <cell r="P8">
            <v>119.10982998438644</v>
          </cell>
          <cell r="Q8">
            <v>119.98731082062486</v>
          </cell>
          <cell r="R8">
            <v>121.34770593309484</v>
          </cell>
          <cell r="S8">
            <v>123.41833562512737</v>
          </cell>
          <cell r="T8">
            <v>123.41833562512737</v>
          </cell>
          <cell r="U8">
            <v>123.41833562512737</v>
          </cell>
          <cell r="V8">
            <v>123.41833562512737</v>
          </cell>
          <cell r="W8">
            <v>123.41833562512737</v>
          </cell>
          <cell r="X8">
            <v>123.41833562512737</v>
          </cell>
          <cell r="Y8">
            <v>123.41833562512737</v>
          </cell>
          <cell r="Z8">
            <v>123.41833562512737</v>
          </cell>
          <cell r="AA8">
            <v>123.41833562512737</v>
          </cell>
          <cell r="AB8">
            <v>123.41833562512737</v>
          </cell>
          <cell r="AC8">
            <v>123.41833562512737</v>
          </cell>
          <cell r="AD8">
            <v>123.41833562512737</v>
          </cell>
          <cell r="AE8">
            <v>123.41833562512737</v>
          </cell>
          <cell r="AF8">
            <v>123.41833562512737</v>
          </cell>
        </row>
        <row r="9">
          <cell r="A9" t="str">
            <v>Colorado</v>
          </cell>
          <cell r="B9">
            <v>132.77189301255316</v>
          </cell>
          <cell r="C9">
            <v>133.41244887033147</v>
          </cell>
          <cell r="D9">
            <v>134.90173794671713</v>
          </cell>
          <cell r="E9">
            <v>134.79698750549457</v>
          </cell>
          <cell r="F9">
            <v>138.8366973393662</v>
          </cell>
          <cell r="G9">
            <v>136.86877430448689</v>
          </cell>
          <cell r="H9">
            <v>137.95259124498102</v>
          </cell>
          <cell r="I9">
            <v>140.13842345142643</v>
          </cell>
          <cell r="J9">
            <v>141.58057150879981</v>
          </cell>
          <cell r="K9">
            <v>143.45610198928262</v>
          </cell>
          <cell r="L9">
            <v>146.64413730581197</v>
          </cell>
          <cell r="M9">
            <v>145.63577429047288</v>
          </cell>
          <cell r="N9">
            <v>146.34210210486827</v>
          </cell>
          <cell r="O9">
            <v>146.10260890251791</v>
          </cell>
          <cell r="P9">
            <v>145.63066886911906</v>
          </cell>
          <cell r="Q9">
            <v>150.28142964934969</v>
          </cell>
          <cell r="R9">
            <v>152.58702236062339</v>
          </cell>
          <cell r="S9">
            <v>151.63188589641848</v>
          </cell>
          <cell r="T9">
            <v>151.63188589641848</v>
          </cell>
          <cell r="U9">
            <v>151.63188589641848</v>
          </cell>
          <cell r="V9">
            <v>151.63188589641848</v>
          </cell>
          <cell r="W9">
            <v>151.63188589641848</v>
          </cell>
          <cell r="X9">
            <v>151.63188589641848</v>
          </cell>
          <cell r="Y9">
            <v>151.63188589641848</v>
          </cell>
          <cell r="Z9">
            <v>151.63188589641848</v>
          </cell>
          <cell r="AA9">
            <v>151.63188589641848</v>
          </cell>
          <cell r="AB9">
            <v>151.63188589641848</v>
          </cell>
          <cell r="AC9">
            <v>151.63188589641848</v>
          </cell>
          <cell r="AD9">
            <v>151.63188589641848</v>
          </cell>
          <cell r="AE9">
            <v>151.63188589641848</v>
          </cell>
          <cell r="AF9">
            <v>151.63188589641848</v>
          </cell>
        </row>
        <row r="10">
          <cell r="A10" t="str">
            <v>Connecticut</v>
          </cell>
          <cell r="B10">
            <v>135.60689994627597</v>
          </cell>
          <cell r="C10">
            <v>136.67678352292003</v>
          </cell>
          <cell r="D10">
            <v>136.95605763292883</v>
          </cell>
          <cell r="E10">
            <v>130.58214075001095</v>
          </cell>
          <cell r="F10">
            <v>130.96021048325233</v>
          </cell>
          <cell r="G10">
            <v>132.54313866303937</v>
          </cell>
          <cell r="H10">
            <v>126.74781532010621</v>
          </cell>
          <cell r="I10">
            <v>128.0783226059593</v>
          </cell>
          <cell r="J10">
            <v>130.73933717766548</v>
          </cell>
          <cell r="K10">
            <v>131.927621217026</v>
          </cell>
          <cell r="L10">
            <v>131.31588829566599</v>
          </cell>
          <cell r="M10">
            <v>132.97049748636482</v>
          </cell>
          <cell r="N10">
            <v>134.50723487531224</v>
          </cell>
          <cell r="O10">
            <v>135.09689435728981</v>
          </cell>
          <cell r="P10">
            <v>138.39897299656474</v>
          </cell>
          <cell r="Q10">
            <v>136.8023609166645</v>
          </cell>
          <cell r="R10">
            <v>137.26454058571045</v>
          </cell>
          <cell r="S10">
            <v>136.84437775580159</v>
          </cell>
          <cell r="T10">
            <v>136.84437775580159</v>
          </cell>
          <cell r="U10">
            <v>136.84437775580159</v>
          </cell>
          <cell r="V10">
            <v>136.84437775580159</v>
          </cell>
          <cell r="W10">
            <v>136.84437775580159</v>
          </cell>
          <cell r="X10">
            <v>136.84437775580159</v>
          </cell>
          <cell r="Y10">
            <v>136.84437775580159</v>
          </cell>
          <cell r="Z10">
            <v>136.84437775580159</v>
          </cell>
          <cell r="AA10">
            <v>136.84437775580159</v>
          </cell>
          <cell r="AB10">
            <v>136.84437775580159</v>
          </cell>
          <cell r="AC10">
            <v>136.84437775580159</v>
          </cell>
          <cell r="AD10">
            <v>136.84437775580159</v>
          </cell>
          <cell r="AE10">
            <v>136.84437775580159</v>
          </cell>
          <cell r="AF10">
            <v>136.84437775580159</v>
          </cell>
        </row>
        <row r="11">
          <cell r="A11" t="str">
            <v>Delaware</v>
          </cell>
          <cell r="B11">
            <v>127.04780058757517</v>
          </cell>
          <cell r="C11">
            <v>129.09454401106586</v>
          </cell>
          <cell r="D11">
            <v>130.26582025565224</v>
          </cell>
          <cell r="E11">
            <v>125.24576139810249</v>
          </cell>
          <cell r="F11">
            <v>123.56579217963008</v>
          </cell>
          <cell r="G11">
            <v>124.40577678886632</v>
          </cell>
          <cell r="H11">
            <v>117.96509466485959</v>
          </cell>
          <cell r="I11">
            <v>119.43002246718402</v>
          </cell>
          <cell r="J11">
            <v>118.5804536589022</v>
          </cell>
          <cell r="K11">
            <v>118.23256757835449</v>
          </cell>
          <cell r="L11">
            <v>119.22036650400904</v>
          </cell>
          <cell r="M11">
            <v>126.69050665647372</v>
          </cell>
          <cell r="N11">
            <v>126.69050665647372</v>
          </cell>
          <cell r="O11">
            <v>123.64476688543186</v>
          </cell>
          <cell r="P11">
            <v>128.93798209852389</v>
          </cell>
          <cell r="Q11">
            <v>130.66404831007117</v>
          </cell>
          <cell r="R11">
            <v>125.16992531222404</v>
          </cell>
          <cell r="S11">
            <v>126.49484332960154</v>
          </cell>
          <cell r="T11">
            <v>126.49484332960154</v>
          </cell>
          <cell r="U11">
            <v>126.49484332960154</v>
          </cell>
          <cell r="V11">
            <v>126.49484332960154</v>
          </cell>
          <cell r="W11">
            <v>126.49484332960154</v>
          </cell>
          <cell r="X11">
            <v>126.49484332960154</v>
          </cell>
          <cell r="Y11">
            <v>126.49484332960154</v>
          </cell>
          <cell r="Z11">
            <v>126.49484332960154</v>
          </cell>
          <cell r="AA11">
            <v>126.49484332960154</v>
          </cell>
          <cell r="AB11">
            <v>126.49484332960154</v>
          </cell>
          <cell r="AC11">
            <v>126.49484332960154</v>
          </cell>
          <cell r="AD11">
            <v>126.49484332960154</v>
          </cell>
          <cell r="AE11">
            <v>126.49484332960154</v>
          </cell>
          <cell r="AF11">
            <v>126.49484332960154</v>
          </cell>
        </row>
        <row r="12">
          <cell r="A12" t="str">
            <v>Florida</v>
          </cell>
          <cell r="B12">
            <v>151.16741469006305</v>
          </cell>
          <cell r="C12">
            <v>150.66187837997947</v>
          </cell>
          <cell r="D12">
            <v>152.25576418888525</v>
          </cell>
          <cell r="E12">
            <v>135.93793274379357</v>
          </cell>
          <cell r="F12">
            <v>138.33224764929187</v>
          </cell>
          <cell r="G12">
            <v>137.40675705300671</v>
          </cell>
          <cell r="H12">
            <v>123.58288045172793</v>
          </cell>
          <cell r="I12">
            <v>123.91486144453194</v>
          </cell>
          <cell r="J12">
            <v>120.48036276686612</v>
          </cell>
          <cell r="K12">
            <v>122.73760657511222</v>
          </cell>
          <cell r="L12">
            <v>124.75652737095297</v>
          </cell>
          <cell r="M12">
            <v>124.84579739234769</v>
          </cell>
          <cell r="N12">
            <v>123.37710277200672</v>
          </cell>
          <cell r="O12">
            <v>122.7115268483727</v>
          </cell>
          <cell r="P12">
            <v>127.09099450276813</v>
          </cell>
          <cell r="Q12">
            <v>128.13925000484355</v>
          </cell>
          <cell r="R12">
            <v>127.568890916425</v>
          </cell>
          <cell r="S12">
            <v>128.2610389801192</v>
          </cell>
          <cell r="T12">
            <v>128.2610389801192</v>
          </cell>
          <cell r="U12">
            <v>128.2610389801192</v>
          </cell>
          <cell r="V12">
            <v>128.2610389801192</v>
          </cell>
          <cell r="W12">
            <v>128.2610389801192</v>
          </cell>
          <cell r="X12">
            <v>128.2610389801192</v>
          </cell>
          <cell r="Y12">
            <v>128.2610389801192</v>
          </cell>
          <cell r="Z12">
            <v>128.2610389801192</v>
          </cell>
          <cell r="AA12">
            <v>128.2610389801192</v>
          </cell>
          <cell r="AB12">
            <v>128.2610389801192</v>
          </cell>
          <cell r="AC12">
            <v>128.2610389801192</v>
          </cell>
          <cell r="AD12">
            <v>128.2610389801192</v>
          </cell>
          <cell r="AE12">
            <v>128.2610389801192</v>
          </cell>
          <cell r="AF12">
            <v>128.2610389801192</v>
          </cell>
        </row>
        <row r="13">
          <cell r="A13" t="str">
            <v>Georgia</v>
          </cell>
          <cell r="B13">
            <v>145.80689561311053</v>
          </cell>
          <cell r="C13">
            <v>148.58933517530448</v>
          </cell>
          <cell r="D13">
            <v>155.45952509796942</v>
          </cell>
          <cell r="E13">
            <v>139.65661848551736</v>
          </cell>
          <cell r="F13">
            <v>141.6311270333434</v>
          </cell>
          <cell r="G13">
            <v>141.23888602860094</v>
          </cell>
          <cell r="H13">
            <v>123.30045782213324</v>
          </cell>
          <cell r="I13">
            <v>123.38196995492964</v>
          </cell>
          <cell r="J13">
            <v>123.82240427809141</v>
          </cell>
          <cell r="K13">
            <v>126.38572895423199</v>
          </cell>
          <cell r="L13">
            <v>127.11351034588016</v>
          </cell>
          <cell r="M13">
            <v>128.42211330011091</v>
          </cell>
          <cell r="N13">
            <v>130.9179885867332</v>
          </cell>
          <cell r="O13">
            <v>129.70871935619618</v>
          </cell>
          <cell r="P13">
            <v>129.19045796692549</v>
          </cell>
          <cell r="Q13">
            <v>130.78018141425702</v>
          </cell>
          <cell r="R13">
            <v>134.63277817380245</v>
          </cell>
          <cell r="S13">
            <v>134.37606838620627</v>
          </cell>
          <cell r="T13">
            <v>134.37606838620627</v>
          </cell>
          <cell r="U13">
            <v>134.37606838620627</v>
          </cell>
          <cell r="V13">
            <v>134.37606838620627</v>
          </cell>
          <cell r="W13">
            <v>134.37606838620627</v>
          </cell>
          <cell r="X13">
            <v>134.37606838620627</v>
          </cell>
          <cell r="Y13">
            <v>134.37606838620627</v>
          </cell>
          <cell r="Z13">
            <v>134.37606838620627</v>
          </cell>
          <cell r="AA13">
            <v>134.37606838620627</v>
          </cell>
          <cell r="AB13">
            <v>134.37606838620627</v>
          </cell>
          <cell r="AC13">
            <v>134.37606838620627</v>
          </cell>
          <cell r="AD13">
            <v>134.37606838620627</v>
          </cell>
          <cell r="AE13">
            <v>134.37606838620627</v>
          </cell>
          <cell r="AF13">
            <v>134.37606838620627</v>
          </cell>
        </row>
        <row r="14">
          <cell r="A14" t="str">
            <v>Hawaii</v>
          </cell>
          <cell r="B14">
            <v>124.79910724333854</v>
          </cell>
          <cell r="C14">
            <v>122.41801019705476</v>
          </cell>
          <cell r="D14">
            <v>122.96658144415457</v>
          </cell>
          <cell r="E14">
            <v>120.50282317105554</v>
          </cell>
          <cell r="F14">
            <v>120.34498361928772</v>
          </cell>
          <cell r="G14">
            <v>123.18409735558899</v>
          </cell>
          <cell r="H14">
            <v>121.65534050382378</v>
          </cell>
          <cell r="I14">
            <v>120.7826225157168</v>
          </cell>
          <cell r="J14">
            <v>124.90706108331165</v>
          </cell>
          <cell r="K14">
            <v>122.62575584732528</v>
          </cell>
          <cell r="L14">
            <v>124.17574422395663</v>
          </cell>
          <cell r="M14">
            <v>123.18313553461694</v>
          </cell>
          <cell r="N14">
            <v>125.56035753660319</v>
          </cell>
          <cell r="O14">
            <v>123.26964984836847</v>
          </cell>
          <cell r="P14">
            <v>119.23283038266418</v>
          </cell>
          <cell r="Q14">
            <v>117.93449864046391</v>
          </cell>
          <cell r="R14">
            <v>119.48206588564111</v>
          </cell>
          <cell r="S14">
            <v>115.20353287875871</v>
          </cell>
          <cell r="T14">
            <v>115.20353287875871</v>
          </cell>
          <cell r="U14">
            <v>115.20353287875871</v>
          </cell>
          <cell r="V14">
            <v>115.20353287875871</v>
          </cell>
          <cell r="W14">
            <v>115.20353287875871</v>
          </cell>
          <cell r="X14">
            <v>115.20353287875871</v>
          </cell>
          <cell r="Y14">
            <v>115.20353287875871</v>
          </cell>
          <cell r="Z14">
            <v>115.20353287875871</v>
          </cell>
          <cell r="AA14">
            <v>115.20353287875871</v>
          </cell>
          <cell r="AB14">
            <v>115.20353287875871</v>
          </cell>
          <cell r="AC14">
            <v>115.20353287875871</v>
          </cell>
          <cell r="AD14">
            <v>115.20353287875871</v>
          </cell>
          <cell r="AE14">
            <v>115.20353287875871</v>
          </cell>
          <cell r="AF14">
            <v>115.20353287875871</v>
          </cell>
        </row>
        <row r="15">
          <cell r="A15" t="str">
            <v>Idaho</v>
          </cell>
          <cell r="B15">
            <v>137.27382443324936</v>
          </cell>
          <cell r="C15">
            <v>136.94370101248873</v>
          </cell>
          <cell r="D15">
            <v>140.19641009190445</v>
          </cell>
          <cell r="E15">
            <v>137.87131160638168</v>
          </cell>
          <cell r="F15">
            <v>141.99569452476587</v>
          </cell>
          <cell r="G15">
            <v>142.41726606131985</v>
          </cell>
          <cell r="H15">
            <v>141.78489185623863</v>
          </cell>
          <cell r="I15">
            <v>144.29784413296437</v>
          </cell>
          <cell r="J15">
            <v>147.04454724912043</v>
          </cell>
          <cell r="K15">
            <v>149.36131148314908</v>
          </cell>
          <cell r="L15">
            <v>151.56760277979009</v>
          </cell>
          <cell r="M15">
            <v>152.96252940724682</v>
          </cell>
          <cell r="N15">
            <v>152.22044674006733</v>
          </cell>
          <cell r="O15">
            <v>155.17187650086902</v>
          </cell>
          <cell r="P15">
            <v>154.02438947539778</v>
          </cell>
          <cell r="Q15">
            <v>157.76171145432417</v>
          </cell>
          <cell r="R15">
            <v>157.82262759182913</v>
          </cell>
          <cell r="S15">
            <v>158.52427383780764</v>
          </cell>
          <cell r="T15">
            <v>158.52427383780764</v>
          </cell>
          <cell r="U15">
            <v>158.52427383780764</v>
          </cell>
          <cell r="V15">
            <v>158.52427383780764</v>
          </cell>
          <cell r="W15">
            <v>158.52427383780764</v>
          </cell>
          <cell r="X15">
            <v>158.52427383780764</v>
          </cell>
          <cell r="Y15">
            <v>158.52427383780764</v>
          </cell>
          <cell r="Z15">
            <v>158.52427383780764</v>
          </cell>
          <cell r="AA15">
            <v>158.52427383780764</v>
          </cell>
          <cell r="AB15">
            <v>158.52427383780764</v>
          </cell>
          <cell r="AC15">
            <v>158.52427383780764</v>
          </cell>
          <cell r="AD15">
            <v>158.52427383780764</v>
          </cell>
          <cell r="AE15">
            <v>158.52427383780764</v>
          </cell>
          <cell r="AF15">
            <v>158.52427383780764</v>
          </cell>
        </row>
        <row r="16">
          <cell r="A16" t="str">
            <v>Illinois</v>
          </cell>
          <cell r="B16">
            <v>122.59937852007222</v>
          </cell>
          <cell r="C16">
            <v>123.53970153075514</v>
          </cell>
          <cell r="D16">
            <v>123.56089094053932</v>
          </cell>
          <cell r="E16">
            <v>123.27617601069502</v>
          </cell>
          <cell r="F16">
            <v>124.04424214402187</v>
          </cell>
          <cell r="G16">
            <v>125.53581785428976</v>
          </cell>
          <cell r="H16">
            <v>124.41942617949823</v>
          </cell>
          <cell r="I16">
            <v>126.47070995586533</v>
          </cell>
          <cell r="J16">
            <v>126.49626486994001</v>
          </cell>
          <cell r="K16">
            <v>126.19938851124083</v>
          </cell>
          <cell r="L16">
            <v>130.00756011695768</v>
          </cell>
          <cell r="M16">
            <v>129.67267892634587</v>
          </cell>
          <cell r="N16">
            <v>131.35306329584515</v>
          </cell>
          <cell r="O16">
            <v>133.77455685789511</v>
          </cell>
          <cell r="P16">
            <v>133.95234008710636</v>
          </cell>
          <cell r="Q16">
            <v>135.3132185124071</v>
          </cell>
          <cell r="R16">
            <v>137.01162757755756</v>
          </cell>
          <cell r="S16">
            <v>134.45395051584541</v>
          </cell>
          <cell r="T16">
            <v>134.45395051584541</v>
          </cell>
          <cell r="U16">
            <v>134.45395051584541</v>
          </cell>
          <cell r="V16">
            <v>134.45395051584541</v>
          </cell>
          <cell r="W16">
            <v>134.45395051584541</v>
          </cell>
          <cell r="X16">
            <v>134.45395051584541</v>
          </cell>
          <cell r="Y16">
            <v>134.45395051584541</v>
          </cell>
          <cell r="Z16">
            <v>134.45395051584541</v>
          </cell>
          <cell r="AA16">
            <v>134.45395051584541</v>
          </cell>
          <cell r="AB16">
            <v>134.45395051584541</v>
          </cell>
          <cell r="AC16">
            <v>134.45395051584541</v>
          </cell>
          <cell r="AD16">
            <v>134.45395051584541</v>
          </cell>
          <cell r="AE16">
            <v>134.45395051584541</v>
          </cell>
          <cell r="AF16">
            <v>134.45395051584541</v>
          </cell>
        </row>
        <row r="17">
          <cell r="A17" t="str">
            <v>Indiana</v>
          </cell>
          <cell r="B17">
            <v>122.1178520461585</v>
          </cell>
          <cell r="C17">
            <v>125.60927118438396</v>
          </cell>
          <cell r="D17">
            <v>127.48618901500136</v>
          </cell>
          <cell r="E17">
            <v>124.61400085915702</v>
          </cell>
          <cell r="F17">
            <v>124.23261614079377</v>
          </cell>
          <cell r="G17">
            <v>123.461317837976</v>
          </cell>
          <cell r="H17">
            <v>122.11004611316802</v>
          </cell>
          <cell r="I17">
            <v>124.13244366021988</v>
          </cell>
          <cell r="J17">
            <v>124.63074501956281</v>
          </cell>
          <cell r="K17">
            <v>124.48399474367832</v>
          </cell>
          <cell r="L17">
            <v>126.48900160165243</v>
          </cell>
          <cell r="M17">
            <v>127.13400537745058</v>
          </cell>
          <cell r="N17">
            <v>130.42650161913028</v>
          </cell>
          <cell r="O17">
            <v>138.89724098714075</v>
          </cell>
          <cell r="P17">
            <v>140.18062045104185</v>
          </cell>
          <cell r="Q17">
            <v>141.17256822672888</v>
          </cell>
          <cell r="R17">
            <v>139.43918869374366</v>
          </cell>
          <cell r="S17">
            <v>141.22189282584293</v>
          </cell>
          <cell r="T17">
            <v>141.22189282584293</v>
          </cell>
          <cell r="U17">
            <v>141.22189282584293</v>
          </cell>
          <cell r="V17">
            <v>141.22189282584293</v>
          </cell>
          <cell r="W17">
            <v>141.22189282584293</v>
          </cell>
          <cell r="X17">
            <v>141.22189282584293</v>
          </cell>
          <cell r="Y17">
            <v>141.22189282584293</v>
          </cell>
          <cell r="Z17">
            <v>141.22189282584293</v>
          </cell>
          <cell r="AA17">
            <v>141.22189282584293</v>
          </cell>
          <cell r="AB17">
            <v>141.22189282584293</v>
          </cell>
          <cell r="AC17">
            <v>141.22189282584293</v>
          </cell>
          <cell r="AD17">
            <v>141.22189282584293</v>
          </cell>
          <cell r="AE17">
            <v>141.22189282584293</v>
          </cell>
          <cell r="AF17">
            <v>141.22189282584293</v>
          </cell>
        </row>
        <row r="18">
          <cell r="A18" t="str">
            <v>Iowa</v>
          </cell>
          <cell r="B18">
            <v>124.28852381879597</v>
          </cell>
          <cell r="C18">
            <v>124.19270759849836</v>
          </cell>
          <cell r="D18">
            <v>123.58938783326548</v>
          </cell>
          <cell r="E18">
            <v>123.38464265492108</v>
          </cell>
          <cell r="F18">
            <v>124.08644649329108</v>
          </cell>
          <cell r="G18">
            <v>126.49160929417637</v>
          </cell>
          <cell r="H18">
            <v>123.02736464141898</v>
          </cell>
          <cell r="I18">
            <v>124.44545937923348</v>
          </cell>
          <cell r="J18">
            <v>128.87662586517899</v>
          </cell>
          <cell r="K18">
            <v>130.28990993908158</v>
          </cell>
          <cell r="L18">
            <v>133.39106967067931</v>
          </cell>
          <cell r="M18">
            <v>132.10757004835352</v>
          </cell>
          <cell r="N18">
            <v>132.81465978292883</v>
          </cell>
          <cell r="O18">
            <v>135.8253345412958</v>
          </cell>
          <cell r="P18">
            <v>139.80944853257688</v>
          </cell>
          <cell r="Q18">
            <v>142.55424651680428</v>
          </cell>
          <cell r="R18">
            <v>140.50182264089736</v>
          </cell>
          <cell r="S18">
            <v>140.33289325786805</v>
          </cell>
          <cell r="T18">
            <v>140.33289325786805</v>
          </cell>
          <cell r="U18">
            <v>140.33289325786805</v>
          </cell>
          <cell r="V18">
            <v>140.33289325786805</v>
          </cell>
          <cell r="W18">
            <v>140.33289325786805</v>
          </cell>
          <cell r="X18">
            <v>140.33289325786805</v>
          </cell>
          <cell r="Y18">
            <v>140.33289325786805</v>
          </cell>
          <cell r="Z18">
            <v>140.33289325786805</v>
          </cell>
          <cell r="AA18">
            <v>140.33289325786805</v>
          </cell>
          <cell r="AB18">
            <v>140.33289325786805</v>
          </cell>
          <cell r="AC18">
            <v>140.33289325786805</v>
          </cell>
          <cell r="AD18">
            <v>140.33289325786805</v>
          </cell>
          <cell r="AE18">
            <v>140.33289325786805</v>
          </cell>
          <cell r="AF18">
            <v>140.33289325786805</v>
          </cell>
        </row>
        <row r="19">
          <cell r="A19" t="str">
            <v>Kansas</v>
          </cell>
          <cell r="B19">
            <v>113.83989413622336</v>
          </cell>
          <cell r="C19">
            <v>114.27004488171127</v>
          </cell>
          <cell r="D19">
            <v>118.49312288605238</v>
          </cell>
          <cell r="E19">
            <v>115.19572407939732</v>
          </cell>
          <cell r="F19">
            <v>119.60750005571744</v>
          </cell>
          <cell r="G19">
            <v>119.47458061089247</v>
          </cell>
          <cell r="H19">
            <v>118.76801393684998</v>
          </cell>
          <cell r="I19">
            <v>123.67779420959778</v>
          </cell>
          <cell r="J19">
            <v>124.36588043135635</v>
          </cell>
          <cell r="K19">
            <v>125.56582685478982</v>
          </cell>
          <cell r="L19">
            <v>127.90433229326558</v>
          </cell>
          <cell r="M19">
            <v>129.26568007502553</v>
          </cell>
          <cell r="N19">
            <v>135.89214437432727</v>
          </cell>
          <cell r="O19">
            <v>136.7592095394489</v>
          </cell>
          <cell r="P19">
            <v>138.44135689213908</v>
          </cell>
          <cell r="Q19">
            <v>142.0093234284758</v>
          </cell>
          <cell r="R19">
            <v>143.73763090887422</v>
          </cell>
          <cell r="S19">
            <v>138.93361294319067</v>
          </cell>
          <cell r="T19">
            <v>138.93361294319067</v>
          </cell>
          <cell r="U19">
            <v>138.93361294319067</v>
          </cell>
          <cell r="V19">
            <v>138.93361294319067</v>
          </cell>
          <cell r="W19">
            <v>138.93361294319067</v>
          </cell>
          <cell r="X19">
            <v>138.93361294319067</v>
          </cell>
          <cell r="Y19">
            <v>138.93361294319067</v>
          </cell>
          <cell r="Z19">
            <v>138.93361294319067</v>
          </cell>
          <cell r="AA19">
            <v>138.93361294319067</v>
          </cell>
          <cell r="AB19">
            <v>138.93361294319067</v>
          </cell>
          <cell r="AC19">
            <v>138.93361294319067</v>
          </cell>
          <cell r="AD19">
            <v>138.93361294319067</v>
          </cell>
          <cell r="AE19">
            <v>138.93361294319067</v>
          </cell>
          <cell r="AF19">
            <v>138.93361294319067</v>
          </cell>
        </row>
        <row r="20">
          <cell r="A20" t="str">
            <v>Kentucky</v>
          </cell>
          <cell r="B20">
            <v>135.5628419665706</v>
          </cell>
          <cell r="C20">
            <v>136.99941287183293</v>
          </cell>
          <cell r="D20">
            <v>139.29461928401813</v>
          </cell>
          <cell r="E20">
            <v>124.57727433280013</v>
          </cell>
          <cell r="F20">
            <v>125.03963443003271</v>
          </cell>
          <cell r="G20">
            <v>127.38937877169371</v>
          </cell>
          <cell r="H20">
            <v>110.79699350169071</v>
          </cell>
          <cell r="I20">
            <v>111.21862241727251</v>
          </cell>
          <cell r="J20">
            <v>111.02400793127211</v>
          </cell>
          <cell r="K20">
            <v>111.81171434607829</v>
          </cell>
          <cell r="L20">
            <v>113.50129263482992</v>
          </cell>
          <cell r="M20">
            <v>113.81815545950138</v>
          </cell>
          <cell r="N20">
            <v>114.84903220911205</v>
          </cell>
          <cell r="O20">
            <v>112.4762183198952</v>
          </cell>
          <cell r="P20">
            <v>113.65417825439116</v>
          </cell>
          <cell r="Q20">
            <v>113.53144184791908</v>
          </cell>
          <cell r="R20">
            <v>115.11157530854977</v>
          </cell>
          <cell r="S20">
            <v>117.45581753721687</v>
          </cell>
          <cell r="T20">
            <v>117.45581753721687</v>
          </cell>
          <cell r="U20">
            <v>117.45581753721687</v>
          </cell>
          <cell r="V20">
            <v>117.45581753721687</v>
          </cell>
          <cell r="W20">
            <v>117.45581753721687</v>
          </cell>
          <cell r="X20">
            <v>117.45581753721687</v>
          </cell>
          <cell r="Y20">
            <v>117.45581753721687</v>
          </cell>
          <cell r="Z20">
            <v>117.45581753721687</v>
          </cell>
          <cell r="AA20">
            <v>117.45581753721687</v>
          </cell>
          <cell r="AB20">
            <v>117.45581753721687</v>
          </cell>
          <cell r="AC20">
            <v>117.45581753721687</v>
          </cell>
          <cell r="AD20">
            <v>117.45581753721687</v>
          </cell>
          <cell r="AE20">
            <v>117.45581753721687</v>
          </cell>
          <cell r="AF20">
            <v>117.45581753721687</v>
          </cell>
        </row>
        <row r="21">
          <cell r="A21" t="str">
            <v>Louisiana</v>
          </cell>
          <cell r="B21">
            <v>130.6409614953472</v>
          </cell>
          <cell r="C21">
            <v>130.98263794342395</v>
          </cell>
          <cell r="D21">
            <v>132.56758124747606</v>
          </cell>
          <cell r="E21">
            <v>119.14510784506615</v>
          </cell>
          <cell r="F21">
            <v>118.58691826810697</v>
          </cell>
          <cell r="G21">
            <v>119.46459380887798</v>
          </cell>
          <cell r="H21">
            <v>108.843321005635</v>
          </cell>
          <cell r="I21">
            <v>108.38679895482217</v>
          </cell>
          <cell r="J21">
            <v>107.9500156684561</v>
          </cell>
          <cell r="K21">
            <v>106.8949878650775</v>
          </cell>
          <cell r="L21">
            <v>108.40344677414747</v>
          </cell>
          <cell r="M21">
            <v>106.89608326079323</v>
          </cell>
          <cell r="N21">
            <v>108.32508767749643</v>
          </cell>
          <cell r="O21">
            <v>108.35403268603012</v>
          </cell>
          <cell r="P21">
            <v>110.48679036907392</v>
          </cell>
          <cell r="Q21">
            <v>109.669271454737</v>
          </cell>
          <cell r="R21">
            <v>109.56970639662528</v>
          </cell>
          <cell r="S21">
            <v>108.21350289383173</v>
          </cell>
          <cell r="T21">
            <v>108.21350289383173</v>
          </cell>
          <cell r="U21">
            <v>108.21350289383173</v>
          </cell>
          <cell r="V21">
            <v>108.21350289383173</v>
          </cell>
          <cell r="W21">
            <v>108.21350289383173</v>
          </cell>
          <cell r="X21">
            <v>108.21350289383173</v>
          </cell>
          <cell r="Y21">
            <v>108.21350289383173</v>
          </cell>
          <cell r="Z21">
            <v>108.21350289383173</v>
          </cell>
          <cell r="AA21">
            <v>108.21350289383173</v>
          </cell>
          <cell r="AB21">
            <v>108.21350289383173</v>
          </cell>
          <cell r="AC21">
            <v>108.21350289383173</v>
          </cell>
          <cell r="AD21">
            <v>108.21350289383173</v>
          </cell>
          <cell r="AE21">
            <v>108.21350289383173</v>
          </cell>
          <cell r="AF21">
            <v>108.21350289383173</v>
          </cell>
        </row>
        <row r="22">
          <cell r="A22" t="str">
            <v>Maine</v>
          </cell>
          <cell r="B22">
            <v>131.25093220756162</v>
          </cell>
          <cell r="C22">
            <v>131.9864763978656</v>
          </cell>
          <cell r="D22">
            <v>135.83848771145534</v>
          </cell>
          <cell r="E22">
            <v>129.80568370008046</v>
          </cell>
          <cell r="F22">
            <v>130.60067352270093</v>
          </cell>
          <cell r="G22">
            <v>130.81066674909059</v>
          </cell>
          <cell r="H22">
            <v>123.44101500029811</v>
          </cell>
          <cell r="I22">
            <v>124.80397341207633</v>
          </cell>
          <cell r="J22">
            <v>126.55635089641747</v>
          </cell>
          <cell r="K22">
            <v>125.83546873814103</v>
          </cell>
          <cell r="L22">
            <v>128.72310729105081</v>
          </cell>
          <cell r="M22">
            <v>128.86133404068326</v>
          </cell>
          <cell r="N22">
            <v>130.93374580803399</v>
          </cell>
          <cell r="O22">
            <v>131.32827586341173</v>
          </cell>
          <cell r="P22">
            <v>132.0125357998858</v>
          </cell>
          <cell r="Q22">
            <v>132.13349201886535</v>
          </cell>
          <cell r="R22">
            <v>131.76306533619697</v>
          </cell>
          <cell r="S22">
            <v>131.16584782848989</v>
          </cell>
          <cell r="T22">
            <v>131.16584782848989</v>
          </cell>
          <cell r="U22">
            <v>131.16584782848989</v>
          </cell>
          <cell r="V22">
            <v>131.16584782848989</v>
          </cell>
          <cell r="W22">
            <v>131.16584782848989</v>
          </cell>
          <cell r="X22">
            <v>131.16584782848989</v>
          </cell>
          <cell r="Y22">
            <v>131.16584782848989</v>
          </cell>
          <cell r="Z22">
            <v>131.16584782848989</v>
          </cell>
          <cell r="AA22">
            <v>131.16584782848989</v>
          </cell>
          <cell r="AB22">
            <v>131.16584782848989</v>
          </cell>
          <cell r="AC22">
            <v>131.16584782848989</v>
          </cell>
          <cell r="AD22">
            <v>131.16584782848989</v>
          </cell>
          <cell r="AE22">
            <v>131.16584782848989</v>
          </cell>
          <cell r="AF22">
            <v>131.16584782848989</v>
          </cell>
        </row>
        <row r="23">
          <cell r="A23" t="str">
            <v>Maryland</v>
          </cell>
          <cell r="B23">
            <v>126.13918355889976</v>
          </cell>
          <cell r="C23">
            <v>130.63547397833725</v>
          </cell>
          <cell r="D23">
            <v>133.81484034356487</v>
          </cell>
          <cell r="E23">
            <v>124.12433846561186</v>
          </cell>
          <cell r="F23">
            <v>124.45142698139998</v>
          </cell>
          <cell r="G23">
            <v>125.35191374941124</v>
          </cell>
          <cell r="H23">
            <v>120.54948342456964</v>
          </cell>
          <cell r="I23">
            <v>121.89919999730284</v>
          </cell>
          <cell r="J23">
            <v>122.54897887452478</v>
          </cell>
          <cell r="K23">
            <v>123.70930544858514</v>
          </cell>
          <cell r="L23">
            <v>124.55247857652184</v>
          </cell>
          <cell r="M23">
            <v>123.15330056186635</v>
          </cell>
          <cell r="N23">
            <v>124.27588149896833</v>
          </cell>
          <cell r="O23">
            <v>122.34076552351364</v>
          </cell>
          <cell r="P23">
            <v>122.84282086914615</v>
          </cell>
          <cell r="Q23">
            <v>123.97327127380314</v>
          </cell>
          <cell r="R23">
            <v>129.14362824819554</v>
          </cell>
          <cell r="S23">
            <v>132.0813533203995</v>
          </cell>
          <cell r="T23">
            <v>132.0813533203995</v>
          </cell>
          <cell r="U23">
            <v>132.0813533203995</v>
          </cell>
          <cell r="V23">
            <v>132.0813533203995</v>
          </cell>
          <cell r="W23">
            <v>132.0813533203995</v>
          </cell>
          <cell r="X23">
            <v>132.0813533203995</v>
          </cell>
          <cell r="Y23">
            <v>132.0813533203995</v>
          </cell>
          <cell r="Z23">
            <v>132.0813533203995</v>
          </cell>
          <cell r="AA23">
            <v>132.0813533203995</v>
          </cell>
          <cell r="AB23">
            <v>132.0813533203995</v>
          </cell>
          <cell r="AC23">
            <v>132.0813533203995</v>
          </cell>
          <cell r="AD23">
            <v>132.0813533203995</v>
          </cell>
          <cell r="AE23">
            <v>132.0813533203995</v>
          </cell>
          <cell r="AF23">
            <v>132.0813533203995</v>
          </cell>
        </row>
        <row r="24">
          <cell r="A24" t="str">
            <v>Massachusetts</v>
          </cell>
          <cell r="B24">
            <v>132.36272196602545</v>
          </cell>
          <cell r="C24">
            <v>132.93217870644656</v>
          </cell>
          <cell r="D24">
            <v>134.92527729792022</v>
          </cell>
          <cell r="E24">
            <v>128.26700127157474</v>
          </cell>
          <cell r="F24">
            <v>129.40224624672214</v>
          </cell>
          <cell r="G24">
            <v>130.70567306181499</v>
          </cell>
          <cell r="H24">
            <v>125.40252567046424</v>
          </cell>
          <cell r="I24">
            <v>126.98320972557465</v>
          </cell>
          <cell r="J24">
            <v>127.59729514500943</v>
          </cell>
          <cell r="K24">
            <v>127.4130661823022</v>
          </cell>
          <cell r="L24">
            <v>128.57423809846065</v>
          </cell>
          <cell r="M24">
            <v>128.02101394232656</v>
          </cell>
          <cell r="N24">
            <v>128.78130461445147</v>
          </cell>
          <cell r="O24">
            <v>129.91173277326368</v>
          </cell>
          <cell r="P24">
            <v>129.66458143888266</v>
          </cell>
          <cell r="Q24">
            <v>128.25580770998866</v>
          </cell>
          <cell r="R24">
            <v>129.51783116299802</v>
          </cell>
          <cell r="S24">
            <v>128.02101394232653</v>
          </cell>
          <cell r="T24">
            <v>128.02101394232653</v>
          </cell>
          <cell r="U24">
            <v>128.02101394232653</v>
          </cell>
          <cell r="V24">
            <v>128.02101394232653</v>
          </cell>
          <cell r="W24">
            <v>128.02101394232653</v>
          </cell>
          <cell r="X24">
            <v>128.02101394232653</v>
          </cell>
          <cell r="Y24">
            <v>128.02101394232653</v>
          </cell>
          <cell r="Z24">
            <v>128.02101394232653</v>
          </cell>
          <cell r="AA24">
            <v>128.02101394232653</v>
          </cell>
          <cell r="AB24">
            <v>128.02101394232653</v>
          </cell>
          <cell r="AC24">
            <v>128.02101394232653</v>
          </cell>
          <cell r="AD24">
            <v>128.02101394232653</v>
          </cell>
          <cell r="AE24">
            <v>128.02101394232653</v>
          </cell>
          <cell r="AF24">
            <v>128.02101394232653</v>
          </cell>
        </row>
        <row r="25">
          <cell r="A25" t="str">
            <v>Michigan</v>
          </cell>
          <cell r="B25">
            <v>125.4240184741944</v>
          </cell>
          <cell r="C25">
            <v>126.63832628025544</v>
          </cell>
          <cell r="D25">
            <v>129.23504263437667</v>
          </cell>
          <cell r="E25">
            <v>127.8931468030228</v>
          </cell>
          <cell r="F25">
            <v>129.65742623761864</v>
          </cell>
          <cell r="G25">
            <v>130.32568433085322</v>
          </cell>
          <cell r="H25">
            <v>128.08663699040798</v>
          </cell>
          <cell r="I25">
            <v>130.92456720338316</v>
          </cell>
          <cell r="J25">
            <v>131.97595587605164</v>
          </cell>
          <cell r="K25">
            <v>133.17741501692325</v>
          </cell>
          <cell r="L25">
            <v>136.260944916613</v>
          </cell>
          <cell r="M25">
            <v>137.49264391558515</v>
          </cell>
          <cell r="N25">
            <v>141.32166543922713</v>
          </cell>
          <cell r="O25">
            <v>144.42326452625719</v>
          </cell>
          <cell r="P25">
            <v>143.5523841987731</v>
          </cell>
          <cell r="Q25">
            <v>146.52018565298286</v>
          </cell>
          <cell r="R25">
            <v>148.91413885932042</v>
          </cell>
          <cell r="S25">
            <v>150.69524685206397</v>
          </cell>
          <cell r="T25">
            <v>150.69524685206397</v>
          </cell>
          <cell r="U25">
            <v>150.69524685206397</v>
          </cell>
          <cell r="V25">
            <v>150.69524685206397</v>
          </cell>
          <cell r="W25">
            <v>150.69524685206397</v>
          </cell>
          <cell r="X25">
            <v>150.69524685206397</v>
          </cell>
          <cell r="Y25">
            <v>150.69524685206397</v>
          </cell>
          <cell r="Z25">
            <v>150.69524685206397</v>
          </cell>
          <cell r="AA25">
            <v>150.69524685206397</v>
          </cell>
          <cell r="AB25">
            <v>150.69524685206397</v>
          </cell>
          <cell r="AC25">
            <v>150.69524685206397</v>
          </cell>
          <cell r="AD25">
            <v>150.69524685206397</v>
          </cell>
          <cell r="AE25">
            <v>150.69524685206397</v>
          </cell>
          <cell r="AF25">
            <v>150.69524685206397</v>
          </cell>
        </row>
        <row r="26">
          <cell r="A26" t="str">
            <v>Minnesota</v>
          </cell>
          <cell r="B26">
            <v>120.21488269524147</v>
          </cell>
          <cell r="C26">
            <v>121.14844227539601</v>
          </cell>
          <cell r="D26">
            <v>124.20065076373379</v>
          </cell>
          <cell r="E26">
            <v>123.01423490310123</v>
          </cell>
          <cell r="F26">
            <v>123.31922083684758</v>
          </cell>
          <cell r="G26">
            <v>125.56076704392063</v>
          </cell>
          <cell r="H26">
            <v>124.98666185003947</v>
          </cell>
          <cell r="I26">
            <v>124.96343718819486</v>
          </cell>
          <cell r="J26">
            <v>127.54491174225194</v>
          </cell>
          <cell r="K26">
            <v>129.77136486108088</v>
          </cell>
          <cell r="L26">
            <v>131.31339676106205</v>
          </cell>
          <cell r="M26">
            <v>129.1323774122493</v>
          </cell>
          <cell r="N26">
            <v>129.48812183742956</v>
          </cell>
          <cell r="O26">
            <v>129.85221957728689</v>
          </cell>
          <cell r="P26">
            <v>130.01246195796918</v>
          </cell>
          <cell r="Q26">
            <v>132.37379719454651</v>
          </cell>
          <cell r="R26">
            <v>134.40745113900562</v>
          </cell>
          <cell r="S26">
            <v>135.2751725565453</v>
          </cell>
          <cell r="T26">
            <v>135.2751725565453</v>
          </cell>
          <cell r="U26">
            <v>135.2751725565453</v>
          </cell>
          <cell r="V26">
            <v>135.2751725565453</v>
          </cell>
          <cell r="W26">
            <v>135.2751725565453</v>
          </cell>
          <cell r="X26">
            <v>135.2751725565453</v>
          </cell>
          <cell r="Y26">
            <v>135.2751725565453</v>
          </cell>
          <cell r="Z26">
            <v>135.2751725565453</v>
          </cell>
          <cell r="AA26">
            <v>135.2751725565453</v>
          </cell>
          <cell r="AB26">
            <v>135.2751725565453</v>
          </cell>
          <cell r="AC26">
            <v>135.2751725565453</v>
          </cell>
          <cell r="AD26">
            <v>135.2751725565453</v>
          </cell>
          <cell r="AE26">
            <v>135.2751725565453</v>
          </cell>
          <cell r="AF26">
            <v>135.2751725565453</v>
          </cell>
        </row>
        <row r="27">
          <cell r="A27" t="str">
            <v>Mississippi</v>
          </cell>
          <cell r="B27">
            <v>141.29585165836772</v>
          </cell>
          <cell r="C27">
            <v>141.38540577697265</v>
          </cell>
          <cell r="D27">
            <v>143.92138485387545</v>
          </cell>
          <cell r="E27">
            <v>128.0995639812576</v>
          </cell>
          <cell r="F27">
            <v>128.98713577576214</v>
          </cell>
          <cell r="G27">
            <v>129.36712551253595</v>
          </cell>
          <cell r="H27">
            <v>113.74265073205565</v>
          </cell>
          <cell r="I27">
            <v>116.06487069373246</v>
          </cell>
          <cell r="J27">
            <v>117.23646851757971</v>
          </cell>
          <cell r="K27">
            <v>120.16435039637439</v>
          </cell>
          <cell r="L27">
            <v>122.14682263276694</v>
          </cell>
          <cell r="M27">
            <v>118.68575398780074</v>
          </cell>
          <cell r="N27">
            <v>118.12762888011869</v>
          </cell>
          <cell r="O27">
            <v>116.49226348574361</v>
          </cell>
          <cell r="P27">
            <v>118.04150077440133</v>
          </cell>
          <cell r="Q27">
            <v>122.95540775657425</v>
          </cell>
          <cell r="R27">
            <v>121.676579449611</v>
          </cell>
          <cell r="S27">
            <v>123.54277103163572</v>
          </cell>
          <cell r="T27">
            <v>123.54277103163572</v>
          </cell>
          <cell r="U27">
            <v>123.54277103163572</v>
          </cell>
          <cell r="V27">
            <v>123.54277103163572</v>
          </cell>
          <cell r="W27">
            <v>123.54277103163572</v>
          </cell>
          <cell r="X27">
            <v>123.54277103163572</v>
          </cell>
          <cell r="Y27">
            <v>123.54277103163572</v>
          </cell>
          <cell r="Z27">
            <v>123.54277103163572</v>
          </cell>
          <cell r="AA27">
            <v>123.54277103163572</v>
          </cell>
          <cell r="AB27">
            <v>123.54277103163572</v>
          </cell>
          <cell r="AC27">
            <v>123.54277103163572</v>
          </cell>
          <cell r="AD27">
            <v>123.54277103163572</v>
          </cell>
          <cell r="AE27">
            <v>123.54277103163572</v>
          </cell>
          <cell r="AF27">
            <v>123.54277103163572</v>
          </cell>
        </row>
        <row r="28">
          <cell r="A28" t="str">
            <v>Missouri</v>
          </cell>
          <cell r="B28">
            <v>118.18247468488015</v>
          </cell>
          <cell r="C28">
            <v>117.43612640360332</v>
          </cell>
          <cell r="D28">
            <v>120.85975088425421</v>
          </cell>
          <cell r="E28">
            <v>116.22882247019756</v>
          </cell>
          <cell r="F28">
            <v>117.01101876857636</v>
          </cell>
          <cell r="G28">
            <v>118.53392339569024</v>
          </cell>
          <cell r="H28">
            <v>113.93400301107813</v>
          </cell>
          <cell r="I28">
            <v>113.62089274722462</v>
          </cell>
          <cell r="J28">
            <v>115.93156863400723</v>
          </cell>
          <cell r="K28">
            <v>116.51294710030302</v>
          </cell>
          <cell r="L28">
            <v>118.88053898069629</v>
          </cell>
          <cell r="M28">
            <v>113.81669730434675</v>
          </cell>
          <cell r="N28">
            <v>116.86223130132522</v>
          </cell>
          <cell r="O28">
            <v>118.52180468312771</v>
          </cell>
          <cell r="P28">
            <v>120.59416083586675</v>
          </cell>
          <cell r="Q28">
            <v>124.13183409321216</v>
          </cell>
          <cell r="R28">
            <v>124.02949208476761</v>
          </cell>
          <cell r="S28">
            <v>119.96668897939645</v>
          </cell>
          <cell r="T28">
            <v>119.96668897939645</v>
          </cell>
          <cell r="U28">
            <v>119.96668897939645</v>
          </cell>
          <cell r="V28">
            <v>119.96668897939645</v>
          </cell>
          <cell r="W28">
            <v>119.96668897939645</v>
          </cell>
          <cell r="X28">
            <v>119.96668897939645</v>
          </cell>
          <cell r="Y28">
            <v>119.96668897939645</v>
          </cell>
          <cell r="Z28">
            <v>119.96668897939645</v>
          </cell>
          <cell r="AA28">
            <v>119.96668897939645</v>
          </cell>
          <cell r="AB28">
            <v>119.96668897939645</v>
          </cell>
          <cell r="AC28">
            <v>119.96668897939645</v>
          </cell>
          <cell r="AD28">
            <v>119.96668897939645</v>
          </cell>
          <cell r="AE28">
            <v>119.96668897939645</v>
          </cell>
          <cell r="AF28">
            <v>119.96668897939645</v>
          </cell>
        </row>
        <row r="29">
          <cell r="A29" t="str">
            <v>Montana</v>
          </cell>
          <cell r="B29">
            <v>117.81000494894541</v>
          </cell>
          <cell r="C29">
            <v>118.66630335953248</v>
          </cell>
          <cell r="D29">
            <v>120.58739251924885</v>
          </cell>
          <cell r="E29">
            <v>117.71067346807031</v>
          </cell>
          <cell r="F29">
            <v>120.40088202966454</v>
          </cell>
          <cell r="G29">
            <v>121.94314582901734</v>
          </cell>
          <cell r="H29">
            <v>121.62535921076851</v>
          </cell>
          <cell r="I29">
            <v>122.3291287530257</v>
          </cell>
          <cell r="J29">
            <v>124.88510400761986</v>
          </cell>
          <cell r="K29">
            <v>127.54611857932585</v>
          </cell>
          <cell r="L29">
            <v>131.36257676218557</v>
          </cell>
          <cell r="M29">
            <v>132.8528558982423</v>
          </cell>
          <cell r="N29">
            <v>135.78230551622582</v>
          </cell>
          <cell r="O29">
            <v>136.66931408110207</v>
          </cell>
          <cell r="P29">
            <v>137.33456494329792</v>
          </cell>
          <cell r="Q29">
            <v>138.31493931829075</v>
          </cell>
          <cell r="R29">
            <v>134.5334960949555</v>
          </cell>
          <cell r="S29">
            <v>134.00829394793485</v>
          </cell>
          <cell r="T29">
            <v>134.00829394793485</v>
          </cell>
          <cell r="U29">
            <v>134.00829394793485</v>
          </cell>
          <cell r="V29">
            <v>134.00829394793485</v>
          </cell>
          <cell r="W29">
            <v>134.00829394793485</v>
          </cell>
          <cell r="X29">
            <v>134.00829394793485</v>
          </cell>
          <cell r="Y29">
            <v>134.00829394793485</v>
          </cell>
          <cell r="Z29">
            <v>134.00829394793485</v>
          </cell>
          <cell r="AA29">
            <v>134.00829394793485</v>
          </cell>
          <cell r="AB29">
            <v>134.00829394793485</v>
          </cell>
          <cell r="AC29">
            <v>134.00829394793485</v>
          </cell>
          <cell r="AD29">
            <v>134.00829394793485</v>
          </cell>
          <cell r="AE29">
            <v>134.00829394793485</v>
          </cell>
          <cell r="AF29">
            <v>134.00829394793485</v>
          </cell>
        </row>
        <row r="30">
          <cell r="A30" t="str">
            <v>Nebraska</v>
          </cell>
          <cell r="B30">
            <v>119.14300781100333</v>
          </cell>
          <cell r="C30">
            <v>119.33645566859857</v>
          </cell>
          <cell r="D30">
            <v>119.60045280704055</v>
          </cell>
          <cell r="E30">
            <v>116.75915210201381</v>
          </cell>
          <cell r="F30">
            <v>119.57716955771943</v>
          </cell>
          <cell r="G30">
            <v>121.12251322538313</v>
          </cell>
          <cell r="H30">
            <v>121.0960527054044</v>
          </cell>
          <cell r="I30">
            <v>120.51756619891674</v>
          </cell>
          <cell r="J30">
            <v>120.22832572640351</v>
          </cell>
          <cell r="K30">
            <v>121.79257566375753</v>
          </cell>
          <cell r="L30">
            <v>126.26813373275942</v>
          </cell>
          <cell r="M30">
            <v>124.80561623684252</v>
          </cell>
          <cell r="N30">
            <v>129.68911304410219</v>
          </cell>
          <cell r="O30">
            <v>130.57807924331004</v>
          </cell>
          <cell r="P30">
            <v>128.80623108341396</v>
          </cell>
          <cell r="Q30">
            <v>131.81295720435034</v>
          </cell>
          <cell r="R30">
            <v>133.32123103503125</v>
          </cell>
          <cell r="S30">
            <v>132.89202526926047</v>
          </cell>
          <cell r="T30">
            <v>132.89202526926047</v>
          </cell>
          <cell r="U30">
            <v>132.89202526926047</v>
          </cell>
          <cell r="V30">
            <v>132.89202526926047</v>
          </cell>
          <cell r="W30">
            <v>132.89202526926047</v>
          </cell>
          <cell r="X30">
            <v>132.89202526926047</v>
          </cell>
          <cell r="Y30">
            <v>132.89202526926047</v>
          </cell>
          <cell r="Z30">
            <v>132.89202526926047</v>
          </cell>
          <cell r="AA30">
            <v>132.89202526926047</v>
          </cell>
          <cell r="AB30">
            <v>132.89202526926047</v>
          </cell>
          <cell r="AC30">
            <v>132.89202526926047</v>
          </cell>
          <cell r="AD30">
            <v>132.89202526926047</v>
          </cell>
          <cell r="AE30">
            <v>132.89202526926047</v>
          </cell>
          <cell r="AF30">
            <v>132.89202526926047</v>
          </cell>
        </row>
        <row r="31">
          <cell r="A31" t="str">
            <v>Nevada</v>
          </cell>
          <cell r="B31">
            <v>136.94858016085732</v>
          </cell>
          <cell r="C31">
            <v>141.72773625556982</v>
          </cell>
          <cell r="D31">
            <v>142.37944156067934</v>
          </cell>
          <cell r="E31">
            <v>139.22129249948895</v>
          </cell>
          <cell r="F31">
            <v>141.60374996476799</v>
          </cell>
          <cell r="G31">
            <v>140.7196349363617</v>
          </cell>
          <cell r="H31">
            <v>143.06666352941625</v>
          </cell>
          <cell r="I31">
            <v>141.15249467107031</v>
          </cell>
          <cell r="J31">
            <v>145.20793099222658</v>
          </cell>
          <cell r="K31">
            <v>140.70477340112791</v>
          </cell>
          <cell r="L31">
            <v>144.07889627929299</v>
          </cell>
          <cell r="M31">
            <v>145.3961057623832</v>
          </cell>
          <cell r="N31">
            <v>148.09540876614162</v>
          </cell>
          <cell r="O31">
            <v>145.3961057623832</v>
          </cell>
          <cell r="P31">
            <v>149.44505439148804</v>
          </cell>
          <cell r="Q31">
            <v>155.01235802194077</v>
          </cell>
          <cell r="R31">
            <v>148.55153935431389</v>
          </cell>
          <cell r="S31">
            <v>149.48879342404166</v>
          </cell>
          <cell r="T31">
            <v>149.48879342404166</v>
          </cell>
          <cell r="U31">
            <v>149.48879342404166</v>
          </cell>
          <cell r="V31">
            <v>149.48879342404166</v>
          </cell>
          <cell r="W31">
            <v>149.48879342404166</v>
          </cell>
          <cell r="X31">
            <v>149.48879342404166</v>
          </cell>
          <cell r="Y31">
            <v>149.48879342404166</v>
          </cell>
          <cell r="Z31">
            <v>149.48879342404166</v>
          </cell>
          <cell r="AA31">
            <v>149.48879342404166</v>
          </cell>
          <cell r="AB31">
            <v>149.48879342404166</v>
          </cell>
          <cell r="AC31">
            <v>149.48879342404166</v>
          </cell>
          <cell r="AD31">
            <v>149.48879342404166</v>
          </cell>
          <cell r="AE31">
            <v>149.48879342404166</v>
          </cell>
          <cell r="AF31">
            <v>149.48879342404166</v>
          </cell>
        </row>
        <row r="32">
          <cell r="A32" t="str">
            <v>New Hampshire</v>
          </cell>
          <cell r="B32">
            <v>133.37350645045086</v>
          </cell>
          <cell r="C32">
            <v>133.56265306127656</v>
          </cell>
          <cell r="D32">
            <v>136.50484212071223</v>
          </cell>
          <cell r="E32">
            <v>128.50570946973252</v>
          </cell>
          <cell r="F32">
            <v>129.23569706973228</v>
          </cell>
          <cell r="G32">
            <v>131.96564997566924</v>
          </cell>
          <cell r="H32">
            <v>125.01815640464346</v>
          </cell>
          <cell r="I32">
            <v>125.81645966386311</v>
          </cell>
          <cell r="J32">
            <v>126.81434151861806</v>
          </cell>
          <cell r="K32">
            <v>127.79121217307417</v>
          </cell>
          <cell r="L32">
            <v>129.54188228883609</v>
          </cell>
          <cell r="M32">
            <v>131.56903151744777</v>
          </cell>
          <cell r="N32">
            <v>132.89953880330074</v>
          </cell>
          <cell r="O32">
            <v>136.25352812113363</v>
          </cell>
          <cell r="P32">
            <v>135.75458719375621</v>
          </cell>
          <cell r="Q32">
            <v>135.50511673006739</v>
          </cell>
          <cell r="R32">
            <v>138.13286820251736</v>
          </cell>
          <cell r="S32">
            <v>142.84666814510655</v>
          </cell>
          <cell r="T32">
            <v>142.84666814510655</v>
          </cell>
          <cell r="U32">
            <v>142.84666814510655</v>
          </cell>
          <cell r="V32">
            <v>142.84666814510655</v>
          </cell>
          <cell r="W32">
            <v>142.84666814510655</v>
          </cell>
          <cell r="X32">
            <v>142.84666814510655</v>
          </cell>
          <cell r="Y32">
            <v>142.84666814510655</v>
          </cell>
          <cell r="Z32">
            <v>142.84666814510655</v>
          </cell>
          <cell r="AA32">
            <v>142.84666814510655</v>
          </cell>
          <cell r="AB32">
            <v>142.84666814510655</v>
          </cell>
          <cell r="AC32">
            <v>142.84666814510655</v>
          </cell>
          <cell r="AD32">
            <v>142.84666814510655</v>
          </cell>
          <cell r="AE32">
            <v>142.84666814510655</v>
          </cell>
          <cell r="AF32">
            <v>142.84666814510655</v>
          </cell>
        </row>
        <row r="33">
          <cell r="A33" t="str">
            <v>New Jersey</v>
          </cell>
          <cell r="B33">
            <v>126.48199641824742</v>
          </cell>
          <cell r="C33">
            <v>129.22502196734388</v>
          </cell>
          <cell r="D33">
            <v>129.75461403032719</v>
          </cell>
          <cell r="E33">
            <v>124.48977407942233</v>
          </cell>
          <cell r="F33">
            <v>121.25582572647284</v>
          </cell>
          <cell r="G33">
            <v>121.94060202183027</v>
          </cell>
          <cell r="H33">
            <v>114.2410457207955</v>
          </cell>
          <cell r="I33">
            <v>117.18716859936571</v>
          </cell>
          <cell r="J33">
            <v>121.69888728889289</v>
          </cell>
          <cell r="K33">
            <v>126.09821440964181</v>
          </cell>
          <cell r="L33">
            <v>121.22620758115862</v>
          </cell>
          <cell r="M33">
            <v>126.59546684654482</v>
          </cell>
          <cell r="N33">
            <v>132.62661565785945</v>
          </cell>
          <cell r="O33">
            <v>126.48581151666212</v>
          </cell>
          <cell r="P33">
            <v>126.69050665647374</v>
          </cell>
          <cell r="Q33">
            <v>124.0294920847676</v>
          </cell>
          <cell r="R33">
            <v>124.75521827572275</v>
          </cell>
          <cell r="S33">
            <v>127.22270512164579</v>
          </cell>
          <cell r="T33">
            <v>127.22270512164579</v>
          </cell>
          <cell r="U33">
            <v>127.22270512164579</v>
          </cell>
          <cell r="V33">
            <v>127.22270512164579</v>
          </cell>
          <cell r="W33">
            <v>127.22270512164579</v>
          </cell>
          <cell r="X33">
            <v>127.22270512164579</v>
          </cell>
          <cell r="Y33">
            <v>127.22270512164579</v>
          </cell>
          <cell r="Z33">
            <v>127.22270512164579</v>
          </cell>
          <cell r="AA33">
            <v>127.22270512164579</v>
          </cell>
          <cell r="AB33">
            <v>127.22270512164579</v>
          </cell>
          <cell r="AC33">
            <v>127.22270512164579</v>
          </cell>
          <cell r="AD33">
            <v>127.22270512164579</v>
          </cell>
          <cell r="AE33">
            <v>127.22270512164579</v>
          </cell>
          <cell r="AF33">
            <v>127.22270512164579</v>
          </cell>
        </row>
        <row r="34">
          <cell r="A34" t="str">
            <v>New Mexico</v>
          </cell>
          <cell r="B34">
            <v>147.44020200149467</v>
          </cell>
          <cell r="C34">
            <v>150.68311646296937</v>
          </cell>
          <cell r="D34">
            <v>150.78895645065748</v>
          </cell>
          <cell r="E34">
            <v>151.79980803596413</v>
          </cell>
          <cell r="F34">
            <v>151.00046421569525</v>
          </cell>
          <cell r="G34">
            <v>145.93637468011812</v>
          </cell>
          <cell r="H34">
            <v>144.94838217443962</v>
          </cell>
          <cell r="I34">
            <v>147.5223387366602</v>
          </cell>
          <cell r="J34">
            <v>148.39995187646915</v>
          </cell>
          <cell r="K34">
            <v>149.6549265607388</v>
          </cell>
          <cell r="L34">
            <v>152.10930743648908</v>
          </cell>
          <cell r="M34">
            <v>151.08994289396981</v>
          </cell>
          <cell r="N34">
            <v>152.07429149639725</v>
          </cell>
          <cell r="O34">
            <v>152.26409762463086</v>
          </cell>
          <cell r="P34">
            <v>150.73415410088705</v>
          </cell>
          <cell r="Q34">
            <v>152.95444917484582</v>
          </cell>
          <cell r="R34">
            <v>154.22348052522696</v>
          </cell>
          <cell r="S34">
            <v>153.67356047587597</v>
          </cell>
          <cell r="T34">
            <v>153.67356047587597</v>
          </cell>
          <cell r="U34">
            <v>153.67356047587597</v>
          </cell>
          <cell r="V34">
            <v>153.67356047587597</v>
          </cell>
          <cell r="W34">
            <v>153.67356047587597</v>
          </cell>
          <cell r="X34">
            <v>153.67356047587597</v>
          </cell>
          <cell r="Y34">
            <v>153.67356047587597</v>
          </cell>
          <cell r="Z34">
            <v>153.67356047587597</v>
          </cell>
          <cell r="AA34">
            <v>153.67356047587597</v>
          </cell>
          <cell r="AB34">
            <v>153.67356047587597</v>
          </cell>
          <cell r="AC34">
            <v>153.67356047587597</v>
          </cell>
          <cell r="AD34">
            <v>153.67356047587597</v>
          </cell>
          <cell r="AE34">
            <v>153.67356047587597</v>
          </cell>
          <cell r="AF34">
            <v>153.67356047587597</v>
          </cell>
        </row>
        <row r="35">
          <cell r="A35" t="str">
            <v>New York</v>
          </cell>
          <cell r="B35">
            <v>131.42406653702878</v>
          </cell>
          <cell r="C35">
            <v>132.95587737478593</v>
          </cell>
          <cell r="D35">
            <v>136.12656119727995</v>
          </cell>
          <cell r="E35">
            <v>129.45204539278808</v>
          </cell>
          <cell r="F35">
            <v>130.19091608370775</v>
          </cell>
          <cell r="G35">
            <v>132.80862487440496</v>
          </cell>
          <cell r="H35">
            <v>125.80053720053425</v>
          </cell>
          <cell r="I35">
            <v>126.19562340202897</v>
          </cell>
          <cell r="J35">
            <v>127.26047081072825</v>
          </cell>
          <cell r="K35">
            <v>129.15088932276217</v>
          </cell>
          <cell r="L35">
            <v>129.71837525905605</v>
          </cell>
          <cell r="M35">
            <v>130.13557046242138</v>
          </cell>
          <cell r="N35">
            <v>132.41464612683785</v>
          </cell>
          <cell r="O35">
            <v>131.26300655512432</v>
          </cell>
          <cell r="P35">
            <v>131.15938541061067</v>
          </cell>
          <cell r="Q35">
            <v>134.56267708171282</v>
          </cell>
          <cell r="R35">
            <v>135.52232389092629</v>
          </cell>
          <cell r="S35">
            <v>137.21360872431833</v>
          </cell>
          <cell r="T35">
            <v>137.21360872431833</v>
          </cell>
          <cell r="U35">
            <v>137.21360872431833</v>
          </cell>
          <cell r="V35">
            <v>137.21360872431833</v>
          </cell>
          <cell r="W35">
            <v>137.21360872431833</v>
          </cell>
          <cell r="X35">
            <v>137.21360872431833</v>
          </cell>
          <cell r="Y35">
            <v>137.21360872431833</v>
          </cell>
          <cell r="Z35">
            <v>137.21360872431833</v>
          </cell>
          <cell r="AA35">
            <v>137.21360872431833</v>
          </cell>
          <cell r="AB35">
            <v>137.21360872431833</v>
          </cell>
          <cell r="AC35">
            <v>137.21360872431833</v>
          </cell>
          <cell r="AD35">
            <v>137.21360872431833</v>
          </cell>
          <cell r="AE35">
            <v>137.21360872431833</v>
          </cell>
          <cell r="AF35">
            <v>137.21360872431833</v>
          </cell>
        </row>
        <row r="36">
          <cell r="A36" t="str">
            <v>North Carolina</v>
          </cell>
          <cell r="B36">
            <v>157.16645590054318</v>
          </cell>
          <cell r="C36">
            <v>158.19897671098528</v>
          </cell>
          <cell r="D36">
            <v>158.6074925373766</v>
          </cell>
          <cell r="E36">
            <v>142.22076628006144</v>
          </cell>
          <cell r="F36">
            <v>144.9100761849426</v>
          </cell>
          <cell r="G36">
            <v>144.67311185924609</v>
          </cell>
          <cell r="H36">
            <v>125.79753943103441</v>
          </cell>
          <cell r="I36">
            <v>127.99210405566835</v>
          </cell>
          <cell r="J36">
            <v>128.67868871524564</v>
          </cell>
          <cell r="K36">
            <v>128.58987254892509</v>
          </cell>
          <cell r="L36">
            <v>128.9415072307288</v>
          </cell>
          <cell r="M36">
            <v>130.64031412976124</v>
          </cell>
          <cell r="N36">
            <v>132.78203743192466</v>
          </cell>
          <cell r="O36">
            <v>130.20889692792593</v>
          </cell>
          <cell r="P36">
            <v>132.32145917920263</v>
          </cell>
          <cell r="Q36">
            <v>136.63704683602802</v>
          </cell>
          <cell r="R36">
            <v>135.72406467881117</v>
          </cell>
          <cell r="S36">
            <v>138.40325688525166</v>
          </cell>
          <cell r="T36">
            <v>138.40325688525166</v>
          </cell>
          <cell r="U36">
            <v>138.40325688525166</v>
          </cell>
          <cell r="V36">
            <v>138.40325688525166</v>
          </cell>
          <cell r="W36">
            <v>138.40325688525166</v>
          </cell>
          <cell r="X36">
            <v>138.40325688525166</v>
          </cell>
          <cell r="Y36">
            <v>138.40325688525166</v>
          </cell>
          <cell r="Z36">
            <v>138.40325688525166</v>
          </cell>
          <cell r="AA36">
            <v>138.40325688525166</v>
          </cell>
          <cell r="AB36">
            <v>138.40325688525166</v>
          </cell>
          <cell r="AC36">
            <v>138.40325688525166</v>
          </cell>
          <cell r="AD36">
            <v>138.40325688525166</v>
          </cell>
          <cell r="AE36">
            <v>138.40325688525166</v>
          </cell>
          <cell r="AF36">
            <v>138.40325688525166</v>
          </cell>
        </row>
        <row r="37">
          <cell r="A37" t="str">
            <v>North Dakota</v>
          </cell>
          <cell r="B37">
            <v>114.03624551564582</v>
          </cell>
          <cell r="C37">
            <v>114.02975697475792</v>
          </cell>
          <cell r="D37">
            <v>114.26624224168518</v>
          </cell>
          <cell r="E37">
            <v>113.56113756091992</v>
          </cell>
          <cell r="F37">
            <v>112.95319637582976</v>
          </cell>
          <cell r="G37">
            <v>114.22577991132071</v>
          </cell>
          <cell r="H37">
            <v>112.11652306228471</v>
          </cell>
          <cell r="I37">
            <v>111.17612447017949</v>
          </cell>
          <cell r="J37">
            <v>115.61068344743845</v>
          </cell>
          <cell r="K37">
            <v>116.48118559556291</v>
          </cell>
          <cell r="L37">
            <v>117.40100121987905</v>
          </cell>
          <cell r="M37">
            <v>116.0464428081881</v>
          </cell>
          <cell r="N37">
            <v>119.33945070429543</v>
          </cell>
          <cell r="O37">
            <v>119.46774805201902</v>
          </cell>
          <cell r="P37">
            <v>121.91633149142643</v>
          </cell>
          <cell r="Q37">
            <v>116.77217456060437</v>
          </cell>
          <cell r="R37">
            <v>118.79061790876462</v>
          </cell>
          <cell r="S37">
            <v>121.2767134037616</v>
          </cell>
          <cell r="T37">
            <v>121.2767134037616</v>
          </cell>
          <cell r="U37">
            <v>121.2767134037616</v>
          </cell>
          <cell r="V37">
            <v>121.2767134037616</v>
          </cell>
          <cell r="W37">
            <v>121.2767134037616</v>
          </cell>
          <cell r="X37">
            <v>121.2767134037616</v>
          </cell>
          <cell r="Y37">
            <v>121.2767134037616</v>
          </cell>
          <cell r="Z37">
            <v>121.2767134037616</v>
          </cell>
          <cell r="AA37">
            <v>121.2767134037616</v>
          </cell>
          <cell r="AB37">
            <v>121.2767134037616</v>
          </cell>
          <cell r="AC37">
            <v>121.2767134037616</v>
          </cell>
          <cell r="AD37">
            <v>121.2767134037616</v>
          </cell>
          <cell r="AE37">
            <v>121.2767134037616</v>
          </cell>
          <cell r="AF37">
            <v>121.2767134037616</v>
          </cell>
        </row>
        <row r="38">
          <cell r="A38" t="str">
            <v>Ohio</v>
          </cell>
          <cell r="B38">
            <v>118.73602224459022</v>
          </cell>
          <cell r="C38">
            <v>121.52766398812422</v>
          </cell>
          <cell r="D38">
            <v>123.80409954992263</v>
          </cell>
          <cell r="E38">
            <v>122.54045977620007</v>
          </cell>
          <cell r="F38">
            <v>123.36148159396137</v>
          </cell>
          <cell r="G38">
            <v>125.65539684388604</v>
          </cell>
          <cell r="H38">
            <v>122.28801287059814</v>
          </cell>
          <cell r="I38">
            <v>125.62427781168319</v>
          </cell>
          <cell r="J38">
            <v>127.03206160048913</v>
          </cell>
          <cell r="K38">
            <v>128.51841215123909</v>
          </cell>
          <cell r="L38">
            <v>128.31801602091173</v>
          </cell>
          <cell r="M38">
            <v>126.10200951988054</v>
          </cell>
          <cell r="N38">
            <v>128.34094255757415</v>
          </cell>
          <cell r="O38">
            <v>129.09565508414576</v>
          </cell>
          <cell r="P38">
            <v>129.37175382391504</v>
          </cell>
          <cell r="Q38">
            <v>130.28287688442296</v>
          </cell>
          <cell r="R38">
            <v>130.96366646912693</v>
          </cell>
          <cell r="S38">
            <v>132.18608119568589</v>
          </cell>
          <cell r="T38">
            <v>132.18608119568589</v>
          </cell>
          <cell r="U38">
            <v>132.18608119568589</v>
          </cell>
          <cell r="V38">
            <v>132.18608119568589</v>
          </cell>
          <cell r="W38">
            <v>132.18608119568589</v>
          </cell>
          <cell r="X38">
            <v>132.18608119568589</v>
          </cell>
          <cell r="Y38">
            <v>132.18608119568589</v>
          </cell>
          <cell r="Z38">
            <v>132.18608119568589</v>
          </cell>
          <cell r="AA38">
            <v>132.18608119568589</v>
          </cell>
          <cell r="AB38">
            <v>132.18608119568589</v>
          </cell>
          <cell r="AC38">
            <v>132.18608119568589</v>
          </cell>
          <cell r="AD38">
            <v>132.18608119568589</v>
          </cell>
          <cell r="AE38">
            <v>132.18608119568589</v>
          </cell>
          <cell r="AF38">
            <v>132.18608119568589</v>
          </cell>
        </row>
        <row r="39">
          <cell r="A39" t="str">
            <v>Oklahoma</v>
          </cell>
          <cell r="B39">
            <v>134.16097736504744</v>
          </cell>
          <cell r="C39">
            <v>134.29168341075155</v>
          </cell>
          <cell r="D39">
            <v>136.58073792711579</v>
          </cell>
          <cell r="E39">
            <v>124.69382558807024</v>
          </cell>
          <cell r="F39">
            <v>126.07185034611427</v>
          </cell>
          <cell r="G39">
            <v>126.9726460561545</v>
          </cell>
          <cell r="H39">
            <v>113.22339001650039</v>
          </cell>
          <cell r="I39">
            <v>114.5433068224377</v>
          </cell>
          <cell r="J39">
            <v>113.98052174087113</v>
          </cell>
          <cell r="K39">
            <v>114.5433068224377</v>
          </cell>
          <cell r="L39">
            <v>117.98233009957205</v>
          </cell>
          <cell r="M39">
            <v>121.64538527028101</v>
          </cell>
          <cell r="N39">
            <v>122.25294743655975</v>
          </cell>
          <cell r="O39">
            <v>124.0072668906997</v>
          </cell>
          <cell r="P39">
            <v>124.77318311440104</v>
          </cell>
          <cell r="Q39">
            <v>125.91899702583386</v>
          </cell>
          <cell r="R39">
            <v>126.51695894963487</v>
          </cell>
          <cell r="S39">
            <v>126.31611965729397</v>
          </cell>
          <cell r="T39">
            <v>126.31611965729397</v>
          </cell>
          <cell r="U39">
            <v>126.31611965729397</v>
          </cell>
          <cell r="V39">
            <v>126.31611965729397</v>
          </cell>
          <cell r="W39">
            <v>126.31611965729397</v>
          </cell>
          <cell r="X39">
            <v>126.31611965729397</v>
          </cell>
          <cell r="Y39">
            <v>126.31611965729397</v>
          </cell>
          <cell r="Z39">
            <v>126.31611965729397</v>
          </cell>
          <cell r="AA39">
            <v>126.31611965729397</v>
          </cell>
          <cell r="AB39">
            <v>126.31611965729397</v>
          </cell>
          <cell r="AC39">
            <v>126.31611965729397</v>
          </cell>
          <cell r="AD39">
            <v>126.31611965729397</v>
          </cell>
          <cell r="AE39">
            <v>126.31611965729397</v>
          </cell>
          <cell r="AF39">
            <v>126.31611965729397</v>
          </cell>
        </row>
        <row r="40">
          <cell r="A40" t="str">
            <v>Oregon</v>
          </cell>
          <cell r="B40">
            <v>136.39562010163945</v>
          </cell>
          <cell r="C40">
            <v>137.77407031877792</v>
          </cell>
          <cell r="D40">
            <v>138.61830221782654</v>
          </cell>
          <cell r="E40">
            <v>137.1664257689483</v>
          </cell>
          <cell r="F40">
            <v>138.10823794739025</v>
          </cell>
          <cell r="G40">
            <v>138.74464830850701</v>
          </cell>
          <cell r="H40">
            <v>136.69936400246621</v>
          </cell>
          <cell r="I40">
            <v>139.223910678121</v>
          </cell>
          <cell r="J40">
            <v>138.79214419433754</v>
          </cell>
          <cell r="K40">
            <v>142.67807193105156</v>
          </cell>
          <cell r="L40">
            <v>140.62979472097865</v>
          </cell>
          <cell r="M40">
            <v>139.80216968593675</v>
          </cell>
          <cell r="N40">
            <v>141.00826924811224</v>
          </cell>
          <cell r="O40">
            <v>140.73187828773521</v>
          </cell>
          <cell r="P40">
            <v>143.3575777199857</v>
          </cell>
          <cell r="Q40">
            <v>143.18620039815897</v>
          </cell>
          <cell r="R40">
            <v>143.70904726156701</v>
          </cell>
          <cell r="S40">
            <v>145.46945664298678</v>
          </cell>
          <cell r="T40">
            <v>145.46945664298678</v>
          </cell>
          <cell r="U40">
            <v>145.46945664298678</v>
          </cell>
          <cell r="V40">
            <v>145.46945664298678</v>
          </cell>
          <cell r="W40">
            <v>145.46945664298678</v>
          </cell>
          <cell r="X40">
            <v>145.46945664298678</v>
          </cell>
          <cell r="Y40">
            <v>145.46945664298678</v>
          </cell>
          <cell r="Z40">
            <v>145.46945664298678</v>
          </cell>
          <cell r="AA40">
            <v>145.46945664298678</v>
          </cell>
          <cell r="AB40">
            <v>145.46945664298678</v>
          </cell>
          <cell r="AC40">
            <v>145.46945664298678</v>
          </cell>
          <cell r="AD40">
            <v>145.46945664298678</v>
          </cell>
          <cell r="AE40">
            <v>145.46945664298678</v>
          </cell>
          <cell r="AF40">
            <v>145.46945664298678</v>
          </cell>
        </row>
        <row r="41">
          <cell r="A41" t="str">
            <v>Pennsylvania</v>
          </cell>
          <cell r="B41">
            <v>131.72501625832365</v>
          </cell>
          <cell r="C41">
            <v>134.09075089063094</v>
          </cell>
          <cell r="D41">
            <v>137.56408158866535</v>
          </cell>
          <cell r="E41">
            <v>130.31849201595031</v>
          </cell>
          <cell r="F41">
            <v>130.74510860180769</v>
          </cell>
          <cell r="G41">
            <v>132.77261851180279</v>
          </cell>
          <cell r="H41">
            <v>126.36041505794806</v>
          </cell>
          <cell r="I41">
            <v>128.01465499848874</v>
          </cell>
          <cell r="J41">
            <v>129.85155000822559</v>
          </cell>
          <cell r="K41">
            <v>131.18557769899897</v>
          </cell>
          <cell r="L41">
            <v>132.52635700363251</v>
          </cell>
          <cell r="M41">
            <v>132.45899877966613</v>
          </cell>
          <cell r="N41">
            <v>133.68419979827118</v>
          </cell>
          <cell r="O41">
            <v>131.92923623448615</v>
          </cell>
          <cell r="P41">
            <v>131.62900631470163</v>
          </cell>
          <cell r="Q41">
            <v>134.89411792158182</v>
          </cell>
          <cell r="R41">
            <v>137.56032133655927</v>
          </cell>
          <cell r="S41">
            <v>137.68775665780143</v>
          </cell>
          <cell r="T41">
            <v>137.68775665780143</v>
          </cell>
          <cell r="U41">
            <v>137.68775665780143</v>
          </cell>
          <cell r="V41">
            <v>137.68775665780143</v>
          </cell>
          <cell r="W41">
            <v>137.68775665780143</v>
          </cell>
          <cell r="X41">
            <v>137.68775665780143</v>
          </cell>
          <cell r="Y41">
            <v>137.68775665780143</v>
          </cell>
          <cell r="Z41">
            <v>137.68775665780143</v>
          </cell>
          <cell r="AA41">
            <v>137.68775665780143</v>
          </cell>
          <cell r="AB41">
            <v>137.68775665780143</v>
          </cell>
          <cell r="AC41">
            <v>137.68775665780143</v>
          </cell>
          <cell r="AD41">
            <v>137.68775665780143</v>
          </cell>
          <cell r="AE41">
            <v>137.68775665780143</v>
          </cell>
          <cell r="AF41">
            <v>137.68775665780143</v>
          </cell>
        </row>
        <row r="42">
          <cell r="A42" t="str">
            <v>Rhode Island</v>
          </cell>
          <cell r="B42">
            <v>129.62221755185874</v>
          </cell>
          <cell r="C42">
            <v>129.98998964701084</v>
          </cell>
          <cell r="D42">
            <v>130.62959542957427</v>
          </cell>
          <cell r="E42">
            <v>121.94060202183032</v>
          </cell>
          <cell r="F42">
            <v>124.5966813179039</v>
          </cell>
          <cell r="G42">
            <v>126.5057383119569</v>
          </cell>
          <cell r="H42">
            <v>122.22408943591374</v>
          </cell>
          <cell r="I42">
            <v>124.02027454988837</v>
          </cell>
          <cell r="J42">
            <v>123.07941435650615</v>
          </cell>
          <cell r="K42">
            <v>122.22408943591374</v>
          </cell>
          <cell r="L42">
            <v>122.44584157713271</v>
          </cell>
          <cell r="M42">
            <v>125.74014192595229</v>
          </cell>
          <cell r="N42">
            <v>125.74014192595227</v>
          </cell>
          <cell r="O42">
            <v>128.02101394232656</v>
          </cell>
          <cell r="P42">
            <v>125.35999937062056</v>
          </cell>
          <cell r="Q42">
            <v>128.02101394232659</v>
          </cell>
          <cell r="R42">
            <v>129.10960879022065</v>
          </cell>
          <cell r="S42">
            <v>125.84381868507776</v>
          </cell>
          <cell r="T42">
            <v>125.84381868507776</v>
          </cell>
          <cell r="U42">
            <v>125.84381868507776</v>
          </cell>
          <cell r="V42">
            <v>125.84381868507776</v>
          </cell>
          <cell r="W42">
            <v>125.84381868507776</v>
          </cell>
          <cell r="X42">
            <v>125.84381868507776</v>
          </cell>
          <cell r="Y42">
            <v>125.84381868507776</v>
          </cell>
          <cell r="Z42">
            <v>125.84381868507776</v>
          </cell>
          <cell r="AA42">
            <v>125.84381868507776</v>
          </cell>
          <cell r="AB42">
            <v>125.84381868507776</v>
          </cell>
          <cell r="AC42">
            <v>125.84381868507776</v>
          </cell>
          <cell r="AD42">
            <v>125.84381868507776</v>
          </cell>
          <cell r="AE42">
            <v>125.84381868507776</v>
          </cell>
          <cell r="AF42">
            <v>125.84381868507776</v>
          </cell>
        </row>
        <row r="43">
          <cell r="A43" t="str">
            <v>South Carolina</v>
          </cell>
          <cell r="B43">
            <v>144.7880185283046</v>
          </cell>
          <cell r="C43">
            <v>142.26689470042956</v>
          </cell>
          <cell r="D43">
            <v>148.06352697963416</v>
          </cell>
          <cell r="E43">
            <v>136.13125975663829</v>
          </cell>
          <cell r="F43">
            <v>137.32152430529763</v>
          </cell>
          <cell r="G43">
            <v>136.4355434218688</v>
          </cell>
          <cell r="H43">
            <v>120.66852700908341</v>
          </cell>
          <cell r="I43">
            <v>123.10137608787637</v>
          </cell>
          <cell r="J43">
            <v>121.87887036219745</v>
          </cell>
          <cell r="K43">
            <v>123.51952374464418</v>
          </cell>
          <cell r="L43">
            <v>126.33416005389142</v>
          </cell>
          <cell r="M43">
            <v>131.63779392970667</v>
          </cell>
          <cell r="N43">
            <v>134.49928952491814</v>
          </cell>
          <cell r="O43">
            <v>128.71486403140824</v>
          </cell>
          <cell r="P43">
            <v>129.2901255254348</v>
          </cell>
          <cell r="Q43">
            <v>125.80184911074406</v>
          </cell>
          <cell r="R43">
            <v>126.96460607953411</v>
          </cell>
          <cell r="S43">
            <v>133.26934756601341</v>
          </cell>
          <cell r="T43">
            <v>133.26934756601341</v>
          </cell>
          <cell r="U43">
            <v>133.26934756601341</v>
          </cell>
          <cell r="V43">
            <v>133.26934756601341</v>
          </cell>
          <cell r="W43">
            <v>133.26934756601341</v>
          </cell>
          <cell r="X43">
            <v>133.26934756601341</v>
          </cell>
          <cell r="Y43">
            <v>133.26934756601341</v>
          </cell>
          <cell r="Z43">
            <v>133.26934756601341</v>
          </cell>
          <cell r="AA43">
            <v>133.26934756601341</v>
          </cell>
          <cell r="AB43">
            <v>133.26934756601341</v>
          </cell>
          <cell r="AC43">
            <v>133.26934756601341</v>
          </cell>
          <cell r="AD43">
            <v>133.26934756601341</v>
          </cell>
          <cell r="AE43">
            <v>133.26934756601341</v>
          </cell>
          <cell r="AF43">
            <v>133.26934756601341</v>
          </cell>
        </row>
        <row r="44">
          <cell r="A44" t="str">
            <v>South Dakota</v>
          </cell>
          <cell r="B44">
            <v>112.53030843541087</v>
          </cell>
          <cell r="C44">
            <v>112.74272940506432</v>
          </cell>
          <cell r="D44">
            <v>114.63510977795667</v>
          </cell>
          <cell r="E44">
            <v>113.65191470510466</v>
          </cell>
          <cell r="F44">
            <v>114.82461687030539</v>
          </cell>
          <cell r="G44">
            <v>115.45875949917489</v>
          </cell>
          <cell r="H44">
            <v>112.88677431136431</v>
          </cell>
          <cell r="I44">
            <v>112.9675600963152</v>
          </cell>
          <cell r="J44">
            <v>116.2368038688444</v>
          </cell>
          <cell r="K44">
            <v>118.15110885660219</v>
          </cell>
          <cell r="L44">
            <v>122.28711191388868</v>
          </cell>
          <cell r="M44">
            <v>121.60766483504754</v>
          </cell>
          <cell r="N44">
            <v>119.99155427228617</v>
          </cell>
          <cell r="O44">
            <v>124.90567804620748</v>
          </cell>
          <cell r="P44">
            <v>127.37239184902813</v>
          </cell>
          <cell r="Q44">
            <v>130.97769803565808</v>
          </cell>
          <cell r="R44">
            <v>134.32860630400302</v>
          </cell>
          <cell r="S44">
            <v>137.22499303533272</v>
          </cell>
          <cell r="T44">
            <v>137.22499303533272</v>
          </cell>
          <cell r="U44">
            <v>137.22499303533272</v>
          </cell>
          <cell r="V44">
            <v>137.22499303533272</v>
          </cell>
          <cell r="W44">
            <v>137.22499303533272</v>
          </cell>
          <cell r="X44">
            <v>137.22499303533272</v>
          </cell>
          <cell r="Y44">
            <v>137.22499303533272</v>
          </cell>
          <cell r="Z44">
            <v>137.22499303533272</v>
          </cell>
          <cell r="AA44">
            <v>137.22499303533272</v>
          </cell>
          <cell r="AB44">
            <v>137.22499303533272</v>
          </cell>
          <cell r="AC44">
            <v>137.22499303533272</v>
          </cell>
          <cell r="AD44">
            <v>137.22499303533272</v>
          </cell>
          <cell r="AE44">
            <v>137.22499303533272</v>
          </cell>
          <cell r="AF44">
            <v>137.22499303533272</v>
          </cell>
        </row>
        <row r="45">
          <cell r="A45" t="str">
            <v>Tennessee</v>
          </cell>
          <cell r="B45">
            <v>140.00125438961661</v>
          </cell>
          <cell r="C45">
            <v>140.19605608099167</v>
          </cell>
          <cell r="D45">
            <v>140.1572591574996</v>
          </cell>
          <cell r="E45">
            <v>126.71079256361347</v>
          </cell>
          <cell r="F45">
            <v>130.36214017551509</v>
          </cell>
          <cell r="G45">
            <v>133.10304194862681</v>
          </cell>
          <cell r="H45">
            <v>117.81330539138609</v>
          </cell>
          <cell r="I45">
            <v>119.02823717581643</v>
          </cell>
          <cell r="J45">
            <v>119.25081189874591</v>
          </cell>
          <cell r="K45">
            <v>120.48825619072718</v>
          </cell>
          <cell r="L45">
            <v>121.20471247458867</v>
          </cell>
          <cell r="M45">
            <v>119.91474300718833</v>
          </cell>
          <cell r="N45">
            <v>121.62383727691697</v>
          </cell>
          <cell r="O45">
            <v>122.84931749588631</v>
          </cell>
          <cell r="P45">
            <v>123.42981740309632</v>
          </cell>
          <cell r="Q45">
            <v>124.78526094556888</v>
          </cell>
          <cell r="R45">
            <v>124.44471451375287</v>
          </cell>
          <cell r="S45">
            <v>125.23707545972643</v>
          </cell>
          <cell r="T45">
            <v>125.23707545972643</v>
          </cell>
          <cell r="U45">
            <v>125.23707545972643</v>
          </cell>
          <cell r="V45">
            <v>125.23707545972643</v>
          </cell>
          <cell r="W45">
            <v>125.23707545972643</v>
          </cell>
          <cell r="X45">
            <v>125.23707545972643</v>
          </cell>
          <cell r="Y45">
            <v>125.23707545972643</v>
          </cell>
          <cell r="Z45">
            <v>125.23707545972643</v>
          </cell>
          <cell r="AA45">
            <v>125.23707545972643</v>
          </cell>
          <cell r="AB45">
            <v>125.23707545972643</v>
          </cell>
          <cell r="AC45">
            <v>125.23707545972643</v>
          </cell>
          <cell r="AD45">
            <v>125.23707545972643</v>
          </cell>
          <cell r="AE45">
            <v>125.23707545972643</v>
          </cell>
          <cell r="AF45">
            <v>125.23707545972643</v>
          </cell>
        </row>
        <row r="46">
          <cell r="A46" t="str">
            <v>Texas</v>
          </cell>
          <cell r="B46">
            <v>144.02668138195949</v>
          </cell>
          <cell r="C46">
            <v>142.49795880062288</v>
          </cell>
          <cell r="D46">
            <v>144.67101815654769</v>
          </cell>
          <cell r="E46">
            <v>133.09976739602078</v>
          </cell>
          <cell r="F46">
            <v>135.23879163466592</v>
          </cell>
          <cell r="G46">
            <v>134.17744499633147</v>
          </cell>
          <cell r="H46">
            <v>121.86974019314226</v>
          </cell>
          <cell r="I46">
            <v>121.24700631418509</v>
          </cell>
          <cell r="J46">
            <v>123.89171218784902</v>
          </cell>
          <cell r="K46">
            <v>125.35163715431253</v>
          </cell>
          <cell r="L46">
            <v>126.20003777349794</v>
          </cell>
          <cell r="M46">
            <v>122.67560227359171</v>
          </cell>
          <cell r="N46">
            <v>126.87184606346658</v>
          </cell>
          <cell r="O46">
            <v>130.57447091179844</v>
          </cell>
          <cell r="P46">
            <v>135.30635828846638</v>
          </cell>
          <cell r="Q46">
            <v>140.4611058252714</v>
          </cell>
          <cell r="R46">
            <v>145.22891919604351</v>
          </cell>
          <cell r="S46">
            <v>144.49173710849772</v>
          </cell>
          <cell r="T46">
            <v>144.49173710849772</v>
          </cell>
          <cell r="U46">
            <v>144.49173710849772</v>
          </cell>
          <cell r="V46">
            <v>144.49173710849772</v>
          </cell>
          <cell r="W46">
            <v>144.49173710849772</v>
          </cell>
          <cell r="X46">
            <v>144.49173710849772</v>
          </cell>
          <cell r="Y46">
            <v>144.49173710849772</v>
          </cell>
          <cell r="Z46">
            <v>144.49173710849772</v>
          </cell>
          <cell r="AA46">
            <v>144.49173710849772</v>
          </cell>
          <cell r="AB46">
            <v>144.49173710849772</v>
          </cell>
          <cell r="AC46">
            <v>144.49173710849772</v>
          </cell>
          <cell r="AD46">
            <v>144.49173710849772</v>
          </cell>
          <cell r="AE46">
            <v>144.49173710849772</v>
          </cell>
          <cell r="AF46">
            <v>144.49173710849772</v>
          </cell>
        </row>
        <row r="47">
          <cell r="A47" t="str">
            <v>Utah</v>
          </cell>
          <cell r="B47">
            <v>134.50468980684718</v>
          </cell>
          <cell r="C47">
            <v>135.10071470662857</v>
          </cell>
          <cell r="D47">
            <v>136.95917384528056</v>
          </cell>
          <cell r="E47">
            <v>135.13058066680259</v>
          </cell>
          <cell r="F47">
            <v>135.96576078164566</v>
          </cell>
          <cell r="G47">
            <v>136.39001049667249</v>
          </cell>
          <cell r="H47">
            <v>135.47488852267765</v>
          </cell>
          <cell r="I47">
            <v>135.15045103131075</v>
          </cell>
          <cell r="J47">
            <v>134.67821874366297</v>
          </cell>
          <cell r="K47">
            <v>137.15287953360689</v>
          </cell>
          <cell r="L47">
            <v>137.89124823214823</v>
          </cell>
          <cell r="M47">
            <v>136.16166945903925</v>
          </cell>
          <cell r="N47">
            <v>139.12858388338762</v>
          </cell>
          <cell r="O47">
            <v>138.74982960068778</v>
          </cell>
          <cell r="P47">
            <v>140.68959075874741</v>
          </cell>
          <cell r="Q47">
            <v>143.18184001092874</v>
          </cell>
          <cell r="R47">
            <v>149.25084674029566</v>
          </cell>
          <cell r="S47">
            <v>149.5145208840066</v>
          </cell>
          <cell r="T47">
            <v>149.5145208840066</v>
          </cell>
          <cell r="U47">
            <v>149.5145208840066</v>
          </cell>
          <cell r="V47">
            <v>149.5145208840066</v>
          </cell>
          <cell r="W47">
            <v>149.5145208840066</v>
          </cell>
          <cell r="X47">
            <v>149.5145208840066</v>
          </cell>
          <cell r="Y47">
            <v>149.5145208840066</v>
          </cell>
          <cell r="Z47">
            <v>149.5145208840066</v>
          </cell>
          <cell r="AA47">
            <v>149.5145208840066</v>
          </cell>
          <cell r="AB47">
            <v>149.5145208840066</v>
          </cell>
          <cell r="AC47">
            <v>149.5145208840066</v>
          </cell>
          <cell r="AD47">
            <v>149.5145208840066</v>
          </cell>
          <cell r="AE47">
            <v>149.5145208840066</v>
          </cell>
          <cell r="AF47">
            <v>149.5145208840066</v>
          </cell>
        </row>
        <row r="48">
          <cell r="A48" t="str">
            <v>Vermont</v>
          </cell>
          <cell r="B48">
            <v>130.84737844373603</v>
          </cell>
          <cell r="C48">
            <v>131.5328442855822</v>
          </cell>
          <cell r="D48">
            <v>134.27769612022536</v>
          </cell>
          <cell r="E48">
            <v>128.42422846975336</v>
          </cell>
          <cell r="F48">
            <v>128.81836149981618</v>
          </cell>
          <cell r="G48">
            <v>131.58845801821059</v>
          </cell>
          <cell r="H48">
            <v>126.08768100218643</v>
          </cell>
          <cell r="I48">
            <v>125.21772943871774</v>
          </cell>
          <cell r="J48">
            <v>126.05446239461999</v>
          </cell>
          <cell r="K48">
            <v>127.96190453929425</v>
          </cell>
          <cell r="L48">
            <v>129.00456171792646</v>
          </cell>
          <cell r="M48">
            <v>129.79501994915665</v>
          </cell>
          <cell r="N48">
            <v>130.22412560862639</v>
          </cell>
          <cell r="O48">
            <v>130.80703903820489</v>
          </cell>
          <cell r="P48">
            <v>131.57209032109108</v>
          </cell>
          <cell r="Q48">
            <v>133.88268834741737</v>
          </cell>
          <cell r="R48">
            <v>133.54120350867606</v>
          </cell>
          <cell r="S48">
            <v>132.32615215670575</v>
          </cell>
          <cell r="T48">
            <v>132.32615215670575</v>
          </cell>
          <cell r="U48">
            <v>132.32615215670575</v>
          </cell>
          <cell r="V48">
            <v>132.32615215670575</v>
          </cell>
          <cell r="W48">
            <v>132.32615215670575</v>
          </cell>
          <cell r="X48">
            <v>132.32615215670575</v>
          </cell>
          <cell r="Y48">
            <v>132.32615215670575</v>
          </cell>
          <cell r="Z48">
            <v>132.32615215670575</v>
          </cell>
          <cell r="AA48">
            <v>132.32615215670575</v>
          </cell>
          <cell r="AB48">
            <v>132.32615215670575</v>
          </cell>
          <cell r="AC48">
            <v>132.32615215670575</v>
          </cell>
          <cell r="AD48">
            <v>132.32615215670575</v>
          </cell>
          <cell r="AE48">
            <v>132.32615215670575</v>
          </cell>
          <cell r="AF48">
            <v>132.32615215670575</v>
          </cell>
        </row>
        <row r="49">
          <cell r="A49" t="str">
            <v>Virginia</v>
          </cell>
          <cell r="B49">
            <v>152.07451465451811</v>
          </cell>
          <cell r="C49">
            <v>154.1043446159004</v>
          </cell>
          <cell r="D49">
            <v>155.83287152730256</v>
          </cell>
          <cell r="E49">
            <v>139.27728640883396</v>
          </cell>
          <cell r="F49">
            <v>137.86738844371621</v>
          </cell>
          <cell r="G49">
            <v>139.28916813446637</v>
          </cell>
          <cell r="H49">
            <v>119.37003950479948</v>
          </cell>
          <cell r="I49">
            <v>121.49934705163656</v>
          </cell>
          <cell r="J49">
            <v>121.43124217192998</v>
          </cell>
          <cell r="K49">
            <v>123.93201435583961</v>
          </cell>
          <cell r="L49">
            <v>125.3314914156505</v>
          </cell>
          <cell r="M49">
            <v>125.7013387791359</v>
          </cell>
          <cell r="N49">
            <v>125.3699637016319</v>
          </cell>
          <cell r="O49">
            <v>123.10794968747925</v>
          </cell>
          <cell r="P49">
            <v>127.72206079591365</v>
          </cell>
          <cell r="Q49">
            <v>129.71757673621627</v>
          </cell>
          <cell r="R49">
            <v>131.18930093305656</v>
          </cell>
          <cell r="S49">
            <v>131.85052528317345</v>
          </cell>
          <cell r="T49">
            <v>131.85052528317345</v>
          </cell>
          <cell r="U49">
            <v>131.85052528317345</v>
          </cell>
          <cell r="V49">
            <v>131.85052528317345</v>
          </cell>
          <cell r="W49">
            <v>131.85052528317345</v>
          </cell>
          <cell r="X49">
            <v>131.85052528317345</v>
          </cell>
          <cell r="Y49">
            <v>131.85052528317345</v>
          </cell>
          <cell r="Z49">
            <v>131.85052528317345</v>
          </cell>
          <cell r="AA49">
            <v>131.85052528317345</v>
          </cell>
          <cell r="AB49">
            <v>131.85052528317345</v>
          </cell>
          <cell r="AC49">
            <v>131.85052528317345</v>
          </cell>
          <cell r="AD49">
            <v>131.85052528317345</v>
          </cell>
          <cell r="AE49">
            <v>131.85052528317345</v>
          </cell>
          <cell r="AF49">
            <v>131.85052528317345</v>
          </cell>
        </row>
        <row r="50">
          <cell r="A50" t="str">
            <v>Washington</v>
          </cell>
          <cell r="B50">
            <v>146.20991808146496</v>
          </cell>
          <cell r="C50">
            <v>147.43816196055155</v>
          </cell>
          <cell r="D50">
            <v>150.07686714433621</v>
          </cell>
          <cell r="E50">
            <v>147.68663290677864</v>
          </cell>
          <cell r="F50">
            <v>150.07299729165581</v>
          </cell>
          <cell r="G50">
            <v>150.74101493055997</v>
          </cell>
          <cell r="H50">
            <v>150.40899147800235</v>
          </cell>
          <cell r="I50">
            <v>152.21213500489173</v>
          </cell>
          <cell r="J50">
            <v>154.35228592649753</v>
          </cell>
          <cell r="K50">
            <v>158.28777633962628</v>
          </cell>
          <cell r="L50">
            <v>159.27816014109064</v>
          </cell>
          <cell r="M50">
            <v>157.72805067527469</v>
          </cell>
          <cell r="N50">
            <v>159.53805211577267</v>
          </cell>
          <cell r="O50">
            <v>159.65005295165017</v>
          </cell>
          <cell r="P50">
            <v>159.95680207972458</v>
          </cell>
          <cell r="Q50">
            <v>161.71719970807899</v>
          </cell>
          <cell r="R50">
            <v>160.81100898996729</v>
          </cell>
          <cell r="S50">
            <v>161.58976709744883</v>
          </cell>
          <cell r="T50">
            <v>161.58976709744883</v>
          </cell>
          <cell r="U50">
            <v>161.58976709744883</v>
          </cell>
          <cell r="V50">
            <v>161.58976709744883</v>
          </cell>
          <cell r="W50">
            <v>161.58976709744883</v>
          </cell>
          <cell r="X50">
            <v>161.58976709744883</v>
          </cell>
          <cell r="Y50">
            <v>161.58976709744883</v>
          </cell>
          <cell r="Z50">
            <v>161.58976709744883</v>
          </cell>
          <cell r="AA50">
            <v>161.58976709744883</v>
          </cell>
          <cell r="AB50">
            <v>161.58976709744883</v>
          </cell>
          <cell r="AC50">
            <v>161.58976709744883</v>
          </cell>
          <cell r="AD50">
            <v>161.58976709744883</v>
          </cell>
          <cell r="AE50">
            <v>161.58976709744883</v>
          </cell>
          <cell r="AF50">
            <v>161.58976709744883</v>
          </cell>
        </row>
        <row r="51">
          <cell r="A51" t="str">
            <v>West Virginia</v>
          </cell>
          <cell r="B51">
            <v>116.3823637098435</v>
          </cell>
          <cell r="C51">
            <v>118.54103630054993</v>
          </cell>
          <cell r="D51">
            <v>120.076093868168</v>
          </cell>
          <cell r="E51">
            <v>113.72334499592543</v>
          </cell>
          <cell r="F51">
            <v>115.43319955387592</v>
          </cell>
          <cell r="G51">
            <v>116.70590421657799</v>
          </cell>
          <cell r="H51">
            <v>110.64867549284615</v>
          </cell>
          <cell r="I51">
            <v>119.34132272298866</v>
          </cell>
          <cell r="J51">
            <v>122.00233729469466</v>
          </cell>
          <cell r="K51">
            <v>121.33708643249878</v>
          </cell>
          <cell r="L51">
            <v>122.57628008740669</v>
          </cell>
          <cell r="M51">
            <v>122.28319883894619</v>
          </cell>
          <cell r="N51">
            <v>120.78637605681351</v>
          </cell>
          <cell r="O51">
            <v>117.64305488808851</v>
          </cell>
          <cell r="P51">
            <v>119.7309275174911</v>
          </cell>
          <cell r="Q51">
            <v>119.73092751749108</v>
          </cell>
          <cell r="R51">
            <v>121.57316709141186</v>
          </cell>
          <cell r="S51">
            <v>121.26612994315568</v>
          </cell>
          <cell r="T51">
            <v>121.26612994315568</v>
          </cell>
          <cell r="U51">
            <v>121.26612994315568</v>
          </cell>
          <cell r="V51">
            <v>121.26612994315568</v>
          </cell>
          <cell r="W51">
            <v>121.26612994315568</v>
          </cell>
          <cell r="X51">
            <v>121.26612994315568</v>
          </cell>
          <cell r="Y51">
            <v>121.26612994315568</v>
          </cell>
          <cell r="Z51">
            <v>121.26612994315568</v>
          </cell>
          <cell r="AA51">
            <v>121.26612994315568</v>
          </cell>
          <cell r="AB51">
            <v>121.26612994315568</v>
          </cell>
          <cell r="AC51">
            <v>121.26612994315568</v>
          </cell>
          <cell r="AD51">
            <v>121.26612994315568</v>
          </cell>
          <cell r="AE51">
            <v>121.26612994315568</v>
          </cell>
          <cell r="AF51">
            <v>121.26612994315568</v>
          </cell>
        </row>
        <row r="52">
          <cell r="A52" t="str">
            <v>Wisconsin</v>
          </cell>
          <cell r="B52">
            <v>119.58226427583106</v>
          </cell>
          <cell r="C52">
            <v>120.27091436695198</v>
          </cell>
          <cell r="D52">
            <v>122.72192775790271</v>
          </cell>
          <cell r="E52">
            <v>121.15339652025736</v>
          </cell>
          <cell r="F52">
            <v>121.94856662287557</v>
          </cell>
          <cell r="G52">
            <v>123.55166064175796</v>
          </cell>
          <cell r="H52">
            <v>121.99407296339648</v>
          </cell>
          <cell r="I52">
            <v>124.44908545191622</v>
          </cell>
          <cell r="J52">
            <v>126.95472948292463</v>
          </cell>
          <cell r="K52">
            <v>127.81953113335024</v>
          </cell>
          <cell r="L52">
            <v>129.43199337758404</v>
          </cell>
          <cell r="M52">
            <v>128.74702376780144</v>
          </cell>
          <cell r="N52">
            <v>129.48760462154084</v>
          </cell>
          <cell r="O52">
            <v>130.92567056641562</v>
          </cell>
          <cell r="P52">
            <v>131.19879392445907</v>
          </cell>
          <cell r="Q52">
            <v>134.00829394793482</v>
          </cell>
          <cell r="R52">
            <v>135.3008053310765</v>
          </cell>
          <cell r="S52">
            <v>137.24280639545924</v>
          </cell>
          <cell r="T52">
            <v>137.24280639545924</v>
          </cell>
          <cell r="U52">
            <v>137.24280639545924</v>
          </cell>
          <cell r="V52">
            <v>137.24280639545924</v>
          </cell>
          <cell r="W52">
            <v>137.24280639545924</v>
          </cell>
          <cell r="X52">
            <v>137.24280639545924</v>
          </cell>
          <cell r="Y52">
            <v>137.24280639545924</v>
          </cell>
          <cell r="Z52">
            <v>137.24280639545924</v>
          </cell>
          <cell r="AA52">
            <v>137.24280639545924</v>
          </cell>
          <cell r="AB52">
            <v>137.24280639545924</v>
          </cell>
          <cell r="AC52">
            <v>137.24280639545924</v>
          </cell>
          <cell r="AD52">
            <v>137.24280639545924</v>
          </cell>
          <cell r="AE52">
            <v>137.24280639545924</v>
          </cell>
          <cell r="AF52">
            <v>137.24280639545924</v>
          </cell>
        </row>
        <row r="53">
          <cell r="A53" t="str">
            <v>Wyoming</v>
          </cell>
          <cell r="B53">
            <v>112.85703768054904</v>
          </cell>
          <cell r="C53">
            <v>113.78835232864</v>
          </cell>
          <cell r="D53">
            <v>116.36405107900229</v>
          </cell>
          <cell r="E53">
            <v>116.67461366543282</v>
          </cell>
          <cell r="F53">
            <v>113.10497296307754</v>
          </cell>
          <cell r="G53">
            <v>114.58232261495763</v>
          </cell>
          <cell r="H53">
            <v>113.57578929713826</v>
          </cell>
          <cell r="I53">
            <v>111.03573094441187</v>
          </cell>
          <cell r="J53">
            <v>112.70332395322093</v>
          </cell>
          <cell r="K53">
            <v>113.57578929713826</v>
          </cell>
          <cell r="L53">
            <v>114.5261540276597</v>
          </cell>
          <cell r="M53">
            <v>116.04644280818813</v>
          </cell>
          <cell r="N53">
            <v>117.31647476528198</v>
          </cell>
          <cell r="O53">
            <v>116.88676290654473</v>
          </cell>
          <cell r="P53">
            <v>119.01688039499223</v>
          </cell>
          <cell r="Q53">
            <v>119.54920677377146</v>
          </cell>
          <cell r="R53">
            <v>130.46358544220973</v>
          </cell>
          <cell r="S53">
            <v>135.32943573317795</v>
          </cell>
          <cell r="T53">
            <v>135.32943573317795</v>
          </cell>
          <cell r="U53">
            <v>135.32943573317795</v>
          </cell>
          <cell r="V53">
            <v>135.32943573317795</v>
          </cell>
          <cell r="W53">
            <v>135.32943573317795</v>
          </cell>
          <cell r="X53">
            <v>135.32943573317795</v>
          </cell>
          <cell r="Y53">
            <v>135.32943573317795</v>
          </cell>
          <cell r="Z53">
            <v>135.32943573317795</v>
          </cell>
          <cell r="AA53">
            <v>135.32943573317795</v>
          </cell>
          <cell r="AB53">
            <v>135.32943573317795</v>
          </cell>
          <cell r="AC53">
            <v>135.32943573317795</v>
          </cell>
          <cell r="AD53">
            <v>135.32943573317795</v>
          </cell>
          <cell r="AE53">
            <v>135.32943573317795</v>
          </cell>
          <cell r="AF53">
            <v>135.32943573317795</v>
          </cell>
        </row>
        <row r="55">
          <cell r="A55" t="str">
            <v>Dairy Replacements 7-11 months</v>
          </cell>
          <cell r="B55">
            <v>1990</v>
          </cell>
          <cell r="C55">
            <v>1991</v>
          </cell>
          <cell r="D55">
            <v>1992</v>
          </cell>
          <cell r="E55">
            <v>1993</v>
          </cell>
          <cell r="F55">
            <v>1994</v>
          </cell>
          <cell r="G55">
            <v>1995</v>
          </cell>
          <cell r="H55">
            <v>1996</v>
          </cell>
          <cell r="I55">
            <v>1997</v>
          </cell>
          <cell r="J55">
            <v>1998</v>
          </cell>
          <cell r="K55">
            <v>1999</v>
          </cell>
          <cell r="L55">
            <v>2000</v>
          </cell>
          <cell r="M55">
            <v>2001</v>
          </cell>
          <cell r="N55">
            <v>2002</v>
          </cell>
          <cell r="O55">
            <v>2003</v>
          </cell>
          <cell r="P55">
            <v>2004</v>
          </cell>
          <cell r="Q55">
            <v>2005</v>
          </cell>
          <cell r="R55">
            <v>2006</v>
          </cell>
          <cell r="S55">
            <v>2007</v>
          </cell>
          <cell r="T55">
            <v>2008</v>
          </cell>
          <cell r="U55">
            <v>2009</v>
          </cell>
          <cell r="V55">
            <v>2010</v>
          </cell>
          <cell r="W55">
            <v>2011</v>
          </cell>
          <cell r="X55">
            <v>2012</v>
          </cell>
          <cell r="Y55">
            <v>2013</v>
          </cell>
          <cell r="Z55">
            <v>2014</v>
          </cell>
          <cell r="AA55">
            <v>2015</v>
          </cell>
          <cell r="AB55">
            <v>2016</v>
          </cell>
          <cell r="AC55">
            <v>2017</v>
          </cell>
          <cell r="AD55">
            <v>2018</v>
          </cell>
          <cell r="AE55">
            <v>2019</v>
          </cell>
          <cell r="AF55">
            <v>2020</v>
          </cell>
        </row>
        <row r="56">
          <cell r="A56" t="str">
            <v>Alabama</v>
          </cell>
          <cell r="B56">
            <v>53.155620432323381</v>
          </cell>
          <cell r="C56">
            <v>53.141958122684898</v>
          </cell>
          <cell r="D56">
            <v>53.13953441471952</v>
          </cell>
          <cell r="E56">
            <v>53.154614914966551</v>
          </cell>
          <cell r="F56">
            <v>53.146730697026364</v>
          </cell>
          <cell r="G56">
            <v>53.157546538335431</v>
          </cell>
          <cell r="H56">
            <v>53.157444016621263</v>
          </cell>
          <cell r="I56">
            <v>53.161185998907577</v>
          </cell>
          <cell r="J56">
            <v>53.131303776400451</v>
          </cell>
          <cell r="K56">
            <v>53.156333714745699</v>
          </cell>
          <cell r="L56">
            <v>53.142133345648688</v>
          </cell>
          <cell r="M56">
            <v>53.149968170701861</v>
          </cell>
          <cell r="N56">
            <v>53.13847151477384</v>
          </cell>
          <cell r="O56">
            <v>53.162720462242881</v>
          </cell>
          <cell r="P56">
            <v>53.136191127131724</v>
          </cell>
          <cell r="Q56">
            <v>53.124617942060745</v>
          </cell>
          <cell r="R56">
            <v>53.145218065755216</v>
          </cell>
          <cell r="S56">
            <v>53.131596292260099</v>
          </cell>
          <cell r="T56">
            <v>53.131596292260099</v>
          </cell>
          <cell r="U56">
            <v>53.131596292260099</v>
          </cell>
          <cell r="V56">
            <v>53.131596292260099</v>
          </cell>
          <cell r="W56">
            <v>53.131596292260099</v>
          </cell>
          <cell r="X56">
            <v>53.131596292260099</v>
          </cell>
          <cell r="Y56">
            <v>53.131596292260099</v>
          </cell>
          <cell r="Z56">
            <v>53.131596292260099</v>
          </cell>
          <cell r="AA56">
            <v>53.131596292260099</v>
          </cell>
          <cell r="AB56">
            <v>53.131596292260099</v>
          </cell>
          <cell r="AC56">
            <v>53.131596292260099</v>
          </cell>
          <cell r="AD56">
            <v>53.131596292260099</v>
          </cell>
          <cell r="AE56">
            <v>53.131596292260099</v>
          </cell>
          <cell r="AF56">
            <v>53.131596292260099</v>
          </cell>
        </row>
        <row r="57">
          <cell r="A57" t="str">
            <v>Alaska</v>
          </cell>
          <cell r="B57">
            <v>45.683021181627566</v>
          </cell>
          <cell r="C57">
            <v>45.671279514885107</v>
          </cell>
          <cell r="D57">
            <v>45.669196530970694</v>
          </cell>
          <cell r="E57">
            <v>45.682157019562723</v>
          </cell>
          <cell r="F57">
            <v>45.675381162330083</v>
          </cell>
          <cell r="G57">
            <v>45.684676516303959</v>
          </cell>
          <cell r="H57">
            <v>45.684588407057888</v>
          </cell>
          <cell r="I57">
            <v>45.687804342732363</v>
          </cell>
          <cell r="J57">
            <v>45.66212295301959</v>
          </cell>
          <cell r="K57">
            <v>45.68363419104675</v>
          </cell>
          <cell r="L57">
            <v>45.671430105063557</v>
          </cell>
          <cell r="M57">
            <v>45.678163513044645</v>
          </cell>
          <cell r="N57">
            <v>45.668283053142069</v>
          </cell>
          <cell r="O57">
            <v>45.689123091727836</v>
          </cell>
          <cell r="P57">
            <v>45.666323241628064</v>
          </cell>
          <cell r="Q57">
            <v>45.656377011023729</v>
          </cell>
          <cell r="R57">
            <v>45.674081176254525</v>
          </cell>
          <cell r="S57">
            <v>45.662374347098016</v>
          </cell>
          <cell r="T57">
            <v>45.662374347098016</v>
          </cell>
          <cell r="U57">
            <v>45.662374347098016</v>
          </cell>
          <cell r="V57">
            <v>45.662374347098016</v>
          </cell>
          <cell r="W57">
            <v>45.662374347098016</v>
          </cell>
          <cell r="X57">
            <v>45.662374347098016</v>
          </cell>
          <cell r="Y57">
            <v>45.662374347098016</v>
          </cell>
          <cell r="Z57">
            <v>45.662374347098016</v>
          </cell>
          <cell r="AA57">
            <v>45.662374347098016</v>
          </cell>
          <cell r="AB57">
            <v>45.662374347098016</v>
          </cell>
          <cell r="AC57">
            <v>45.662374347098016</v>
          </cell>
          <cell r="AD57">
            <v>45.662374347098016</v>
          </cell>
          <cell r="AE57">
            <v>45.662374347098016</v>
          </cell>
          <cell r="AF57">
            <v>45.662374347098016</v>
          </cell>
        </row>
        <row r="58">
          <cell r="A58" t="str">
            <v>Arizona</v>
          </cell>
          <cell r="B58">
            <v>45.683021181627566</v>
          </cell>
          <cell r="C58">
            <v>45.671279514885107</v>
          </cell>
          <cell r="D58">
            <v>45.669196530970709</v>
          </cell>
          <cell r="E58">
            <v>45.682157019562709</v>
          </cell>
          <cell r="F58">
            <v>45.675381162330076</v>
          </cell>
          <cell r="G58">
            <v>45.684676516303959</v>
          </cell>
          <cell r="H58">
            <v>45.684588407057895</v>
          </cell>
          <cell r="I58">
            <v>45.687804342732363</v>
          </cell>
          <cell r="J58">
            <v>45.66212295301959</v>
          </cell>
          <cell r="K58">
            <v>45.683634191046743</v>
          </cell>
          <cell r="L58">
            <v>45.67143010506355</v>
          </cell>
          <cell r="M58">
            <v>45.678163513044645</v>
          </cell>
          <cell r="N58">
            <v>45.66828305314209</v>
          </cell>
          <cell r="O58">
            <v>45.689123091727836</v>
          </cell>
          <cell r="P58">
            <v>45.666323241628064</v>
          </cell>
          <cell r="Q58">
            <v>45.656377011023736</v>
          </cell>
          <cell r="R58">
            <v>45.674081176254539</v>
          </cell>
          <cell r="S58">
            <v>45.662374347098023</v>
          </cell>
          <cell r="T58">
            <v>45.662374347098023</v>
          </cell>
          <cell r="U58">
            <v>45.662374347098023</v>
          </cell>
          <cell r="V58">
            <v>45.662374347098023</v>
          </cell>
          <cell r="W58">
            <v>45.662374347098023</v>
          </cell>
          <cell r="X58">
            <v>45.662374347098023</v>
          </cell>
          <cell r="Y58">
            <v>45.662374347098023</v>
          </cell>
          <cell r="Z58">
            <v>45.662374347098023</v>
          </cell>
          <cell r="AA58">
            <v>45.662374347098023</v>
          </cell>
          <cell r="AB58">
            <v>45.662374347098023</v>
          </cell>
          <cell r="AC58">
            <v>45.662374347098023</v>
          </cell>
          <cell r="AD58">
            <v>45.662374347098023</v>
          </cell>
          <cell r="AE58">
            <v>45.662374347098023</v>
          </cell>
          <cell r="AF58">
            <v>45.662374347098023</v>
          </cell>
        </row>
        <row r="59">
          <cell r="A59" t="str">
            <v>Arkansas</v>
          </cell>
          <cell r="B59">
            <v>51.673336340729342</v>
          </cell>
          <cell r="C59">
            <v>51.660035183586324</v>
          </cell>
          <cell r="D59">
            <v>51.657679003354019</v>
          </cell>
          <cell r="E59">
            <v>51.672363536988534</v>
          </cell>
          <cell r="F59">
            <v>51.664689576074544</v>
          </cell>
          <cell r="G59">
            <v>51.675215294085369</v>
          </cell>
          <cell r="H59">
            <v>51.675109773602891</v>
          </cell>
          <cell r="I59">
            <v>51.678749184584738</v>
          </cell>
          <cell r="J59">
            <v>51.649659964975775</v>
          </cell>
          <cell r="K59">
            <v>51.674032716428663</v>
          </cell>
          <cell r="L59">
            <v>51.660204454082567</v>
          </cell>
          <cell r="M59">
            <v>51.667831517916468</v>
          </cell>
          <cell r="N59">
            <v>51.656639833311488</v>
          </cell>
          <cell r="O59">
            <v>51.68024839002679</v>
          </cell>
          <cell r="P59">
            <v>51.654416159042206</v>
          </cell>
          <cell r="Q59">
            <v>51.643152218080161</v>
          </cell>
          <cell r="R59">
            <v>51.663209085569015</v>
          </cell>
          <cell r="S59">
            <v>51.649944633718945</v>
          </cell>
          <cell r="T59">
            <v>51.649944633718945</v>
          </cell>
          <cell r="U59">
            <v>51.649944633718945</v>
          </cell>
          <cell r="V59">
            <v>51.649944633718945</v>
          </cell>
          <cell r="W59">
            <v>51.649944633718945</v>
          </cell>
          <cell r="X59">
            <v>51.649944633718945</v>
          </cell>
          <cell r="Y59">
            <v>51.649944633718945</v>
          </cell>
          <cell r="Z59">
            <v>51.649944633718945</v>
          </cell>
          <cell r="AA59">
            <v>51.649944633718945</v>
          </cell>
          <cell r="AB59">
            <v>51.649944633718945</v>
          </cell>
          <cell r="AC59">
            <v>51.649944633718945</v>
          </cell>
          <cell r="AD59">
            <v>51.649944633718945</v>
          </cell>
          <cell r="AE59">
            <v>51.649944633718945</v>
          </cell>
          <cell r="AF59">
            <v>51.649944633718945</v>
          </cell>
        </row>
        <row r="60">
          <cell r="A60" t="str">
            <v>California</v>
          </cell>
          <cell r="B60">
            <v>45.683021181627559</v>
          </cell>
          <cell r="C60">
            <v>45.6712795148851</v>
          </cell>
          <cell r="D60">
            <v>45.669196530970687</v>
          </cell>
          <cell r="E60">
            <v>45.682157019562716</v>
          </cell>
          <cell r="F60">
            <v>45.675381162330083</v>
          </cell>
          <cell r="G60">
            <v>45.684676516303959</v>
          </cell>
          <cell r="H60">
            <v>45.684588407057895</v>
          </cell>
          <cell r="I60">
            <v>45.687804342732363</v>
          </cell>
          <cell r="J60">
            <v>45.662122953019576</v>
          </cell>
          <cell r="K60">
            <v>45.683634191046743</v>
          </cell>
          <cell r="L60">
            <v>45.671430105063557</v>
          </cell>
          <cell r="M60">
            <v>45.67816351304463</v>
          </cell>
          <cell r="N60">
            <v>45.668283053142083</v>
          </cell>
          <cell r="O60">
            <v>45.689123091727836</v>
          </cell>
          <cell r="P60">
            <v>45.666323241628064</v>
          </cell>
          <cell r="Q60">
            <v>45.656377011023736</v>
          </cell>
          <cell r="R60">
            <v>45.674081176254532</v>
          </cell>
          <cell r="S60">
            <v>45.662374347098023</v>
          </cell>
          <cell r="T60">
            <v>45.662374347098023</v>
          </cell>
          <cell r="U60">
            <v>45.662374347098023</v>
          </cell>
          <cell r="V60">
            <v>45.662374347098023</v>
          </cell>
          <cell r="W60">
            <v>45.662374347098023</v>
          </cell>
          <cell r="X60">
            <v>45.662374347098023</v>
          </cell>
          <cell r="Y60">
            <v>45.662374347098023</v>
          </cell>
          <cell r="Z60">
            <v>45.662374347098023</v>
          </cell>
          <cell r="AA60">
            <v>45.662374347098023</v>
          </cell>
          <cell r="AB60">
            <v>45.662374347098023</v>
          </cell>
          <cell r="AC60">
            <v>45.662374347098023</v>
          </cell>
          <cell r="AD60">
            <v>45.662374347098023</v>
          </cell>
          <cell r="AE60">
            <v>45.662374347098023</v>
          </cell>
          <cell r="AF60">
            <v>45.662374347098023</v>
          </cell>
        </row>
        <row r="61">
          <cell r="A61" t="str">
            <v>Colorado</v>
          </cell>
          <cell r="B61">
            <v>43.217831373890156</v>
          </cell>
          <cell r="C61">
            <v>43.206723321922517</v>
          </cell>
          <cell r="D61">
            <v>43.204752741929376</v>
          </cell>
          <cell r="E61">
            <v>43.217013844544852</v>
          </cell>
          <cell r="F61">
            <v>43.210603632441561</v>
          </cell>
          <cell r="G61">
            <v>43.21939738185246</v>
          </cell>
          <cell r="H61">
            <v>43.219314027239712</v>
          </cell>
          <cell r="I61">
            <v>43.222356421593098</v>
          </cell>
          <cell r="J61">
            <v>43.198060874990759</v>
          </cell>
          <cell r="K61">
            <v>43.218411303523176</v>
          </cell>
          <cell r="L61">
            <v>43.206865785813285</v>
          </cell>
          <cell r="M61">
            <v>43.21323583935115</v>
          </cell>
          <cell r="N61">
            <v>43.203888558043552</v>
          </cell>
          <cell r="O61">
            <v>43.223604007024996</v>
          </cell>
          <cell r="P61">
            <v>43.202034503706805</v>
          </cell>
          <cell r="Q61">
            <v>43.19262500087742</v>
          </cell>
          <cell r="R61">
            <v>43.209373797427418</v>
          </cell>
          <cell r="S61">
            <v>43.198298703107405</v>
          </cell>
          <cell r="T61">
            <v>43.198298703107405</v>
          </cell>
          <cell r="U61">
            <v>43.198298703107405</v>
          </cell>
          <cell r="V61">
            <v>43.198298703107405</v>
          </cell>
          <cell r="W61">
            <v>43.198298703107405</v>
          </cell>
          <cell r="X61">
            <v>43.198298703107405</v>
          </cell>
          <cell r="Y61">
            <v>43.198298703107405</v>
          </cell>
          <cell r="Z61">
            <v>43.198298703107405</v>
          </cell>
          <cell r="AA61">
            <v>43.198298703107405</v>
          </cell>
          <cell r="AB61">
            <v>43.198298703107405</v>
          </cell>
          <cell r="AC61">
            <v>43.198298703107405</v>
          </cell>
          <cell r="AD61">
            <v>43.198298703107405</v>
          </cell>
          <cell r="AE61">
            <v>43.198298703107405</v>
          </cell>
          <cell r="AF61">
            <v>43.198298703107405</v>
          </cell>
        </row>
        <row r="62">
          <cell r="A62" t="str">
            <v>Connecticut</v>
          </cell>
          <cell r="B62">
            <v>46.097137065146697</v>
          </cell>
          <cell r="C62">
            <v>46.085304347766183</v>
          </cell>
          <cell r="D62">
            <v>46.08320252754568</v>
          </cell>
          <cell r="E62">
            <v>46.096261442810736</v>
          </cell>
          <cell r="F62">
            <v>46.089431611562432</v>
          </cell>
          <cell r="G62">
            <v>46.098802316741647</v>
          </cell>
          <cell r="H62">
            <v>46.098717953856124</v>
          </cell>
          <cell r="I62">
            <v>46.101961663394079</v>
          </cell>
          <cell r="J62">
            <v>46.076078730274268</v>
          </cell>
          <cell r="K62">
            <v>46.09775331638707</v>
          </cell>
          <cell r="L62">
            <v>46.085457130361327</v>
          </cell>
          <cell r="M62">
            <v>46.092243259730516</v>
          </cell>
          <cell r="N62">
            <v>46.082285354620325</v>
          </cell>
          <cell r="O62">
            <v>46.103286522795791</v>
          </cell>
          <cell r="P62">
            <v>46.080313113387781</v>
          </cell>
          <cell r="Q62">
            <v>46.070287181897662</v>
          </cell>
          <cell r="R62">
            <v>46.088127631421713</v>
          </cell>
          <cell r="S62">
            <v>46.076332162774115</v>
          </cell>
          <cell r="T62">
            <v>46.076332162774115</v>
          </cell>
          <cell r="U62">
            <v>46.076332162774115</v>
          </cell>
          <cell r="V62">
            <v>46.076332162774115</v>
          </cell>
          <cell r="W62">
            <v>46.076332162774115</v>
          </cell>
          <cell r="X62">
            <v>46.076332162774115</v>
          </cell>
          <cell r="Y62">
            <v>46.076332162774115</v>
          </cell>
          <cell r="Z62">
            <v>46.076332162774115</v>
          </cell>
          <cell r="AA62">
            <v>46.076332162774115</v>
          </cell>
          <cell r="AB62">
            <v>46.076332162774115</v>
          </cell>
          <cell r="AC62">
            <v>46.076332162774115</v>
          </cell>
          <cell r="AD62">
            <v>46.076332162774115</v>
          </cell>
          <cell r="AE62">
            <v>46.076332162774115</v>
          </cell>
          <cell r="AF62">
            <v>46.076332162774115</v>
          </cell>
        </row>
        <row r="63">
          <cell r="A63" t="str">
            <v>Delaware</v>
          </cell>
          <cell r="B63">
            <v>46.097137065146704</v>
          </cell>
          <cell r="C63">
            <v>46.085304347766183</v>
          </cell>
          <cell r="D63">
            <v>46.08320252754568</v>
          </cell>
          <cell r="E63">
            <v>46.096261442810736</v>
          </cell>
          <cell r="F63">
            <v>46.089431611562425</v>
          </cell>
          <cell r="G63">
            <v>46.098802316741654</v>
          </cell>
          <cell r="H63">
            <v>46.098717953856109</v>
          </cell>
          <cell r="I63">
            <v>46.101961663394071</v>
          </cell>
          <cell r="J63">
            <v>46.076078730274276</v>
          </cell>
          <cell r="K63">
            <v>46.09775331638707</v>
          </cell>
          <cell r="L63">
            <v>46.085457130361327</v>
          </cell>
          <cell r="M63">
            <v>46.092243259730516</v>
          </cell>
          <cell r="N63">
            <v>46.082285354620311</v>
          </cell>
          <cell r="O63">
            <v>46.103286522795806</v>
          </cell>
          <cell r="P63">
            <v>46.080313113387774</v>
          </cell>
          <cell r="Q63">
            <v>46.070287181897648</v>
          </cell>
          <cell r="R63">
            <v>46.088127631421706</v>
          </cell>
          <cell r="S63">
            <v>46.076332162774115</v>
          </cell>
          <cell r="T63">
            <v>46.076332162774115</v>
          </cell>
          <cell r="U63">
            <v>46.076332162774115</v>
          </cell>
          <cell r="V63">
            <v>46.076332162774115</v>
          </cell>
          <cell r="W63">
            <v>46.076332162774115</v>
          </cell>
          <cell r="X63">
            <v>46.076332162774115</v>
          </cell>
          <cell r="Y63">
            <v>46.076332162774115</v>
          </cell>
          <cell r="Z63">
            <v>46.076332162774115</v>
          </cell>
          <cell r="AA63">
            <v>46.076332162774115</v>
          </cell>
          <cell r="AB63">
            <v>46.076332162774115</v>
          </cell>
          <cell r="AC63">
            <v>46.076332162774115</v>
          </cell>
          <cell r="AD63">
            <v>46.076332162774115</v>
          </cell>
          <cell r="AE63">
            <v>46.076332162774115</v>
          </cell>
          <cell r="AF63">
            <v>46.076332162774115</v>
          </cell>
        </row>
        <row r="64">
          <cell r="A64" t="str">
            <v>Florida</v>
          </cell>
          <cell r="B64">
            <v>53.155620432323381</v>
          </cell>
          <cell r="C64">
            <v>53.141958122684876</v>
          </cell>
          <cell r="D64">
            <v>53.139534414719513</v>
          </cell>
          <cell r="E64">
            <v>53.154614914966544</v>
          </cell>
          <cell r="F64">
            <v>53.146730697026371</v>
          </cell>
          <cell r="G64">
            <v>53.157546538335424</v>
          </cell>
          <cell r="H64">
            <v>53.15744401662127</v>
          </cell>
          <cell r="I64">
            <v>53.161185998907555</v>
          </cell>
          <cell r="J64">
            <v>53.131303776400443</v>
          </cell>
          <cell r="K64">
            <v>53.156333714745706</v>
          </cell>
          <cell r="L64">
            <v>53.142133345648688</v>
          </cell>
          <cell r="M64">
            <v>53.149968170701868</v>
          </cell>
          <cell r="N64">
            <v>53.138471514773862</v>
          </cell>
          <cell r="O64">
            <v>53.162720462242874</v>
          </cell>
          <cell r="P64">
            <v>53.136191127131717</v>
          </cell>
          <cell r="Q64">
            <v>53.124617942060731</v>
          </cell>
          <cell r="R64">
            <v>53.145218065755238</v>
          </cell>
          <cell r="S64">
            <v>53.131596292260092</v>
          </cell>
          <cell r="T64">
            <v>53.131596292260092</v>
          </cell>
          <cell r="U64">
            <v>53.131596292260092</v>
          </cell>
          <cell r="V64">
            <v>53.131596292260092</v>
          </cell>
          <cell r="W64">
            <v>53.131596292260092</v>
          </cell>
          <cell r="X64">
            <v>53.131596292260092</v>
          </cell>
          <cell r="Y64">
            <v>53.131596292260092</v>
          </cell>
          <cell r="Z64">
            <v>53.131596292260092</v>
          </cell>
          <cell r="AA64">
            <v>53.131596292260092</v>
          </cell>
          <cell r="AB64">
            <v>53.131596292260092</v>
          </cell>
          <cell r="AC64">
            <v>53.131596292260092</v>
          </cell>
          <cell r="AD64">
            <v>53.131596292260092</v>
          </cell>
          <cell r="AE64">
            <v>53.131596292260092</v>
          </cell>
          <cell r="AF64">
            <v>53.131596292260092</v>
          </cell>
        </row>
        <row r="65">
          <cell r="A65" t="str">
            <v>Georgia</v>
          </cell>
          <cell r="B65">
            <v>53.155620432323389</v>
          </cell>
          <cell r="C65">
            <v>53.141958122684883</v>
          </cell>
          <cell r="D65">
            <v>53.139534414719506</v>
          </cell>
          <cell r="E65">
            <v>53.15461491496653</v>
          </cell>
          <cell r="F65">
            <v>53.146730697026364</v>
          </cell>
          <cell r="G65">
            <v>53.157546538335424</v>
          </cell>
          <cell r="H65">
            <v>53.157444016621263</v>
          </cell>
          <cell r="I65">
            <v>53.161185998907577</v>
          </cell>
          <cell r="J65">
            <v>53.131303776400451</v>
          </cell>
          <cell r="K65">
            <v>53.15633371474572</v>
          </cell>
          <cell r="L65">
            <v>53.142133345648681</v>
          </cell>
          <cell r="M65">
            <v>53.149968170701875</v>
          </cell>
          <cell r="N65">
            <v>53.13847151477384</v>
          </cell>
          <cell r="O65">
            <v>53.162720462242881</v>
          </cell>
          <cell r="P65">
            <v>53.136191127131717</v>
          </cell>
          <cell r="Q65">
            <v>53.124617942060752</v>
          </cell>
          <cell r="R65">
            <v>53.14521806575523</v>
          </cell>
          <cell r="S65">
            <v>53.131596292260099</v>
          </cell>
          <cell r="T65">
            <v>53.131596292260099</v>
          </cell>
          <cell r="U65">
            <v>53.131596292260099</v>
          </cell>
          <cell r="V65">
            <v>53.131596292260099</v>
          </cell>
          <cell r="W65">
            <v>53.131596292260099</v>
          </cell>
          <cell r="X65">
            <v>53.131596292260099</v>
          </cell>
          <cell r="Y65">
            <v>53.131596292260099</v>
          </cell>
          <cell r="Z65">
            <v>53.131596292260099</v>
          </cell>
          <cell r="AA65">
            <v>53.131596292260099</v>
          </cell>
          <cell r="AB65">
            <v>53.131596292260099</v>
          </cell>
          <cell r="AC65">
            <v>53.131596292260099</v>
          </cell>
          <cell r="AD65">
            <v>53.131596292260099</v>
          </cell>
          <cell r="AE65">
            <v>53.131596292260099</v>
          </cell>
          <cell r="AF65">
            <v>53.131596292260099</v>
          </cell>
        </row>
        <row r="66">
          <cell r="A66" t="str">
            <v>Hawaii</v>
          </cell>
          <cell r="B66">
            <v>45.683021181627566</v>
          </cell>
          <cell r="C66">
            <v>45.671279514885093</v>
          </cell>
          <cell r="D66">
            <v>45.669196530970709</v>
          </cell>
          <cell r="E66">
            <v>45.682157019562723</v>
          </cell>
          <cell r="F66">
            <v>45.675381162330069</v>
          </cell>
          <cell r="G66">
            <v>45.684676516303959</v>
          </cell>
          <cell r="H66">
            <v>45.684588407057895</v>
          </cell>
          <cell r="I66">
            <v>45.687804342732356</v>
          </cell>
          <cell r="J66">
            <v>45.66212295301959</v>
          </cell>
          <cell r="K66">
            <v>45.683634191046757</v>
          </cell>
          <cell r="L66">
            <v>45.671430105063557</v>
          </cell>
          <cell r="M66">
            <v>45.678163513044638</v>
          </cell>
          <cell r="N66">
            <v>45.668283053142069</v>
          </cell>
          <cell r="O66">
            <v>45.689123091727843</v>
          </cell>
          <cell r="P66">
            <v>45.666323241628064</v>
          </cell>
          <cell r="Q66">
            <v>45.656377011023729</v>
          </cell>
          <cell r="R66">
            <v>45.674081176254539</v>
          </cell>
          <cell r="S66">
            <v>45.662374347098023</v>
          </cell>
          <cell r="T66">
            <v>45.662374347098023</v>
          </cell>
          <cell r="U66">
            <v>45.662374347098023</v>
          </cell>
          <cell r="V66">
            <v>45.662374347098023</v>
          </cell>
          <cell r="W66">
            <v>45.662374347098023</v>
          </cell>
          <cell r="X66">
            <v>45.662374347098023</v>
          </cell>
          <cell r="Y66">
            <v>45.662374347098023</v>
          </cell>
          <cell r="Z66">
            <v>45.662374347098023</v>
          </cell>
          <cell r="AA66">
            <v>45.662374347098023</v>
          </cell>
          <cell r="AB66">
            <v>45.662374347098023</v>
          </cell>
          <cell r="AC66">
            <v>45.662374347098023</v>
          </cell>
          <cell r="AD66">
            <v>45.662374347098023</v>
          </cell>
          <cell r="AE66">
            <v>45.662374347098023</v>
          </cell>
          <cell r="AF66">
            <v>45.662374347098023</v>
          </cell>
        </row>
        <row r="67">
          <cell r="A67" t="str">
            <v>Idaho</v>
          </cell>
          <cell r="B67">
            <v>45.683021181627566</v>
          </cell>
          <cell r="C67">
            <v>45.671279514885093</v>
          </cell>
          <cell r="D67">
            <v>45.669196530970709</v>
          </cell>
          <cell r="E67">
            <v>45.682157019562709</v>
          </cell>
          <cell r="F67">
            <v>45.675381162330076</v>
          </cell>
          <cell r="G67">
            <v>45.684676516303959</v>
          </cell>
          <cell r="H67">
            <v>45.684588407057895</v>
          </cell>
          <cell r="I67">
            <v>45.687804342732356</v>
          </cell>
          <cell r="J67">
            <v>45.662122953019583</v>
          </cell>
          <cell r="K67">
            <v>45.68363419104675</v>
          </cell>
          <cell r="L67">
            <v>45.671430105063557</v>
          </cell>
          <cell r="M67">
            <v>45.678163513044645</v>
          </cell>
          <cell r="N67">
            <v>45.668283053142069</v>
          </cell>
          <cell r="O67">
            <v>45.689123091727843</v>
          </cell>
          <cell r="P67">
            <v>45.666323241628056</v>
          </cell>
          <cell r="Q67">
            <v>45.656377011023721</v>
          </cell>
          <cell r="R67">
            <v>45.674081176254525</v>
          </cell>
          <cell r="S67">
            <v>45.662374347098016</v>
          </cell>
          <cell r="T67">
            <v>45.662374347098016</v>
          </cell>
          <cell r="U67">
            <v>45.662374347098016</v>
          </cell>
          <cell r="V67">
            <v>45.662374347098016</v>
          </cell>
          <cell r="W67">
            <v>45.662374347098016</v>
          </cell>
          <cell r="X67">
            <v>45.662374347098016</v>
          </cell>
          <cell r="Y67">
            <v>45.662374347098016</v>
          </cell>
          <cell r="Z67">
            <v>45.662374347098016</v>
          </cell>
          <cell r="AA67">
            <v>45.662374347098016</v>
          </cell>
          <cell r="AB67">
            <v>45.662374347098016</v>
          </cell>
          <cell r="AC67">
            <v>45.662374347098016</v>
          </cell>
          <cell r="AD67">
            <v>45.662374347098016</v>
          </cell>
          <cell r="AE67">
            <v>45.662374347098016</v>
          </cell>
          <cell r="AF67">
            <v>45.662374347098016</v>
          </cell>
        </row>
        <row r="68">
          <cell r="A68" t="str">
            <v>Illinois</v>
          </cell>
          <cell r="B68">
            <v>43.217831373890171</v>
          </cell>
          <cell r="C68">
            <v>43.206723321922532</v>
          </cell>
          <cell r="D68">
            <v>43.204752741929376</v>
          </cell>
          <cell r="E68">
            <v>43.217013844544844</v>
          </cell>
          <cell r="F68">
            <v>43.210603632441554</v>
          </cell>
          <cell r="G68">
            <v>43.219397381852453</v>
          </cell>
          <cell r="H68">
            <v>43.219314027239712</v>
          </cell>
          <cell r="I68">
            <v>43.222356421593112</v>
          </cell>
          <cell r="J68">
            <v>43.198060874990759</v>
          </cell>
          <cell r="K68">
            <v>43.218411303523183</v>
          </cell>
          <cell r="L68">
            <v>43.206865785813285</v>
          </cell>
          <cell r="M68">
            <v>43.213235839351142</v>
          </cell>
          <cell r="N68">
            <v>43.203888558043552</v>
          </cell>
          <cell r="O68">
            <v>43.223604007024996</v>
          </cell>
          <cell r="P68">
            <v>43.202034503706798</v>
          </cell>
          <cell r="Q68">
            <v>43.192625000877406</v>
          </cell>
          <cell r="R68">
            <v>43.209373797427403</v>
          </cell>
          <cell r="S68">
            <v>43.198298703107405</v>
          </cell>
          <cell r="T68">
            <v>43.198298703107405</v>
          </cell>
          <cell r="U68">
            <v>43.198298703107405</v>
          </cell>
          <cell r="V68">
            <v>43.198298703107405</v>
          </cell>
          <cell r="W68">
            <v>43.198298703107405</v>
          </cell>
          <cell r="X68">
            <v>43.198298703107405</v>
          </cell>
          <cell r="Y68">
            <v>43.198298703107405</v>
          </cell>
          <cell r="Z68">
            <v>43.198298703107405</v>
          </cell>
          <cell r="AA68">
            <v>43.198298703107405</v>
          </cell>
          <cell r="AB68">
            <v>43.198298703107405</v>
          </cell>
          <cell r="AC68">
            <v>43.198298703107405</v>
          </cell>
          <cell r="AD68">
            <v>43.198298703107405</v>
          </cell>
          <cell r="AE68">
            <v>43.198298703107405</v>
          </cell>
          <cell r="AF68">
            <v>43.198298703107405</v>
          </cell>
        </row>
        <row r="69">
          <cell r="A69" t="str">
            <v>Indiana</v>
          </cell>
          <cell r="B69">
            <v>43.217831373890171</v>
          </cell>
          <cell r="C69">
            <v>43.206723321922524</v>
          </cell>
          <cell r="D69">
            <v>43.204752741929376</v>
          </cell>
          <cell r="E69">
            <v>43.217013844544844</v>
          </cell>
          <cell r="F69">
            <v>43.210603632441561</v>
          </cell>
          <cell r="G69">
            <v>43.219397381852446</v>
          </cell>
          <cell r="H69">
            <v>43.219314027239726</v>
          </cell>
          <cell r="I69">
            <v>43.222356421593098</v>
          </cell>
          <cell r="J69">
            <v>43.198060874990759</v>
          </cell>
          <cell r="K69">
            <v>43.218411303523176</v>
          </cell>
          <cell r="L69">
            <v>43.206865785813285</v>
          </cell>
          <cell r="M69">
            <v>43.213235839351142</v>
          </cell>
          <cell r="N69">
            <v>43.203888558043552</v>
          </cell>
          <cell r="O69">
            <v>43.223604007024989</v>
          </cell>
          <cell r="P69">
            <v>43.202034503706805</v>
          </cell>
          <cell r="Q69">
            <v>43.19262500087742</v>
          </cell>
          <cell r="R69">
            <v>43.209373797427403</v>
          </cell>
          <cell r="S69">
            <v>43.198298703107398</v>
          </cell>
          <cell r="T69">
            <v>43.198298703107398</v>
          </cell>
          <cell r="U69">
            <v>43.198298703107398</v>
          </cell>
          <cell r="V69">
            <v>43.198298703107398</v>
          </cell>
          <cell r="W69">
            <v>43.198298703107398</v>
          </cell>
          <cell r="X69">
            <v>43.198298703107398</v>
          </cell>
          <cell r="Y69">
            <v>43.198298703107398</v>
          </cell>
          <cell r="Z69">
            <v>43.198298703107398</v>
          </cell>
          <cell r="AA69">
            <v>43.198298703107398</v>
          </cell>
          <cell r="AB69">
            <v>43.198298703107398</v>
          </cell>
          <cell r="AC69">
            <v>43.198298703107398</v>
          </cell>
          <cell r="AD69">
            <v>43.198298703107398</v>
          </cell>
          <cell r="AE69">
            <v>43.198298703107398</v>
          </cell>
          <cell r="AF69">
            <v>43.198298703107398</v>
          </cell>
        </row>
        <row r="70">
          <cell r="A70" t="str">
            <v>Iowa</v>
          </cell>
          <cell r="B70">
            <v>43.217831373890171</v>
          </cell>
          <cell r="C70">
            <v>43.20672332192251</v>
          </cell>
          <cell r="D70">
            <v>43.204752741929369</v>
          </cell>
          <cell r="E70">
            <v>43.217013844544859</v>
          </cell>
          <cell r="F70">
            <v>43.210603632441554</v>
          </cell>
          <cell r="G70">
            <v>43.219397381852446</v>
          </cell>
          <cell r="H70">
            <v>43.219314027239719</v>
          </cell>
          <cell r="I70">
            <v>43.222356421593098</v>
          </cell>
          <cell r="J70">
            <v>43.198060874990759</v>
          </cell>
          <cell r="K70">
            <v>43.218411303523183</v>
          </cell>
          <cell r="L70">
            <v>43.206865785813271</v>
          </cell>
          <cell r="M70">
            <v>43.213235839351142</v>
          </cell>
          <cell r="N70">
            <v>43.203888558043545</v>
          </cell>
          <cell r="O70">
            <v>43.223604007024996</v>
          </cell>
          <cell r="P70">
            <v>43.202034503706798</v>
          </cell>
          <cell r="Q70">
            <v>43.19262500087742</v>
          </cell>
          <cell r="R70">
            <v>43.209373797427403</v>
          </cell>
          <cell r="S70">
            <v>43.198298703107405</v>
          </cell>
          <cell r="T70">
            <v>43.198298703107405</v>
          </cell>
          <cell r="U70">
            <v>43.198298703107405</v>
          </cell>
          <cell r="V70">
            <v>43.198298703107405</v>
          </cell>
          <cell r="W70">
            <v>43.198298703107405</v>
          </cell>
          <cell r="X70">
            <v>43.198298703107405</v>
          </cell>
          <cell r="Y70">
            <v>43.198298703107405</v>
          </cell>
          <cell r="Z70">
            <v>43.198298703107405</v>
          </cell>
          <cell r="AA70">
            <v>43.198298703107405</v>
          </cell>
          <cell r="AB70">
            <v>43.198298703107405</v>
          </cell>
          <cell r="AC70">
            <v>43.198298703107405</v>
          </cell>
          <cell r="AD70">
            <v>43.198298703107405</v>
          </cell>
          <cell r="AE70">
            <v>43.198298703107405</v>
          </cell>
          <cell r="AF70">
            <v>43.198298703107405</v>
          </cell>
        </row>
        <row r="71">
          <cell r="A71" t="str">
            <v>Kansas</v>
          </cell>
          <cell r="B71">
            <v>43.217831373890171</v>
          </cell>
          <cell r="C71">
            <v>43.206723321922524</v>
          </cell>
          <cell r="D71">
            <v>43.204752741929383</v>
          </cell>
          <cell r="E71">
            <v>43.217013844544852</v>
          </cell>
          <cell r="F71">
            <v>43.210603632441561</v>
          </cell>
          <cell r="G71">
            <v>43.219397381852438</v>
          </cell>
          <cell r="H71">
            <v>43.219314027239719</v>
          </cell>
          <cell r="I71">
            <v>43.222356421593098</v>
          </cell>
          <cell r="J71">
            <v>43.198060874990759</v>
          </cell>
          <cell r="K71">
            <v>43.218411303523176</v>
          </cell>
          <cell r="L71">
            <v>43.206865785813271</v>
          </cell>
          <cell r="M71">
            <v>43.213235839351142</v>
          </cell>
          <cell r="N71">
            <v>43.203888558043552</v>
          </cell>
          <cell r="O71">
            <v>43.223604007024996</v>
          </cell>
          <cell r="P71">
            <v>43.202034503706805</v>
          </cell>
          <cell r="Q71">
            <v>43.192625000877406</v>
          </cell>
          <cell r="R71">
            <v>43.209373797427418</v>
          </cell>
          <cell r="S71">
            <v>43.198298703107405</v>
          </cell>
          <cell r="T71">
            <v>43.198298703107405</v>
          </cell>
          <cell r="U71">
            <v>43.198298703107405</v>
          </cell>
          <cell r="V71">
            <v>43.198298703107405</v>
          </cell>
          <cell r="W71">
            <v>43.198298703107405</v>
          </cell>
          <cell r="X71">
            <v>43.198298703107405</v>
          </cell>
          <cell r="Y71">
            <v>43.198298703107405</v>
          </cell>
          <cell r="Z71">
            <v>43.198298703107405</v>
          </cell>
          <cell r="AA71">
            <v>43.198298703107405</v>
          </cell>
          <cell r="AB71">
            <v>43.198298703107405</v>
          </cell>
          <cell r="AC71">
            <v>43.198298703107405</v>
          </cell>
          <cell r="AD71">
            <v>43.198298703107405</v>
          </cell>
          <cell r="AE71">
            <v>43.198298703107405</v>
          </cell>
          <cell r="AF71">
            <v>43.198298703107405</v>
          </cell>
        </row>
        <row r="72">
          <cell r="A72" t="str">
            <v>Kentucky</v>
          </cell>
          <cell r="B72">
            <v>53.155620432323389</v>
          </cell>
          <cell r="C72">
            <v>53.14195812268489</v>
          </cell>
          <cell r="D72">
            <v>53.139534414719513</v>
          </cell>
          <cell r="E72">
            <v>53.154614914966544</v>
          </cell>
          <cell r="F72">
            <v>53.146730697026371</v>
          </cell>
          <cell r="G72">
            <v>53.157546538335438</v>
          </cell>
          <cell r="H72">
            <v>53.157444016621263</v>
          </cell>
          <cell r="I72">
            <v>53.16118599890757</v>
          </cell>
          <cell r="J72">
            <v>53.131303776400451</v>
          </cell>
          <cell r="K72">
            <v>53.156333714745699</v>
          </cell>
          <cell r="L72">
            <v>53.142133345648688</v>
          </cell>
          <cell r="M72">
            <v>53.149968170701868</v>
          </cell>
          <cell r="N72">
            <v>53.138471514773862</v>
          </cell>
          <cell r="O72">
            <v>53.162720462242888</v>
          </cell>
          <cell r="P72">
            <v>53.136191127131717</v>
          </cell>
          <cell r="Q72">
            <v>53.124617942060738</v>
          </cell>
          <cell r="R72">
            <v>53.145218065755216</v>
          </cell>
          <cell r="S72">
            <v>53.131596292260099</v>
          </cell>
          <cell r="T72">
            <v>53.131596292260099</v>
          </cell>
          <cell r="U72">
            <v>53.131596292260099</v>
          </cell>
          <cell r="V72">
            <v>53.131596292260099</v>
          </cell>
          <cell r="W72">
            <v>53.131596292260099</v>
          </cell>
          <cell r="X72">
            <v>53.131596292260099</v>
          </cell>
          <cell r="Y72">
            <v>53.131596292260099</v>
          </cell>
          <cell r="Z72">
            <v>53.131596292260099</v>
          </cell>
          <cell r="AA72">
            <v>53.131596292260099</v>
          </cell>
          <cell r="AB72">
            <v>53.131596292260099</v>
          </cell>
          <cell r="AC72">
            <v>53.131596292260099</v>
          </cell>
          <cell r="AD72">
            <v>53.131596292260099</v>
          </cell>
          <cell r="AE72">
            <v>53.131596292260099</v>
          </cell>
          <cell r="AF72">
            <v>53.131596292260099</v>
          </cell>
        </row>
        <row r="73">
          <cell r="A73" t="str">
            <v>Louisiana</v>
          </cell>
          <cell r="B73">
            <v>51.673336340729357</v>
          </cell>
          <cell r="C73">
            <v>51.660035183586324</v>
          </cell>
          <cell r="D73">
            <v>51.657679003354026</v>
          </cell>
          <cell r="E73">
            <v>51.672363536988534</v>
          </cell>
          <cell r="F73">
            <v>51.664689576074551</v>
          </cell>
          <cell r="G73">
            <v>51.675215294085355</v>
          </cell>
          <cell r="H73">
            <v>51.675109773602898</v>
          </cell>
          <cell r="I73">
            <v>51.678749184584738</v>
          </cell>
          <cell r="J73">
            <v>51.649659964975783</v>
          </cell>
          <cell r="K73">
            <v>51.674032716428677</v>
          </cell>
          <cell r="L73">
            <v>51.660204454082574</v>
          </cell>
          <cell r="M73">
            <v>51.667831517916476</v>
          </cell>
          <cell r="N73">
            <v>51.656639833311473</v>
          </cell>
          <cell r="O73">
            <v>51.68024839002679</v>
          </cell>
          <cell r="P73">
            <v>51.654416159042206</v>
          </cell>
          <cell r="Q73">
            <v>51.643152218080154</v>
          </cell>
          <cell r="R73">
            <v>51.663209085569001</v>
          </cell>
          <cell r="S73">
            <v>51.64994463371896</v>
          </cell>
          <cell r="T73">
            <v>51.64994463371896</v>
          </cell>
          <cell r="U73">
            <v>51.64994463371896</v>
          </cell>
          <cell r="V73">
            <v>51.64994463371896</v>
          </cell>
          <cell r="W73">
            <v>51.64994463371896</v>
          </cell>
          <cell r="X73">
            <v>51.64994463371896</v>
          </cell>
          <cell r="Y73">
            <v>51.64994463371896</v>
          </cell>
          <cell r="Z73">
            <v>51.64994463371896</v>
          </cell>
          <cell r="AA73">
            <v>51.64994463371896</v>
          </cell>
          <cell r="AB73">
            <v>51.64994463371896</v>
          </cell>
          <cell r="AC73">
            <v>51.64994463371896</v>
          </cell>
          <cell r="AD73">
            <v>51.64994463371896</v>
          </cell>
          <cell r="AE73">
            <v>51.64994463371896</v>
          </cell>
          <cell r="AF73">
            <v>51.64994463371896</v>
          </cell>
        </row>
        <row r="74">
          <cell r="A74" t="str">
            <v>Maine</v>
          </cell>
          <cell r="B74">
            <v>46.097137065146697</v>
          </cell>
          <cell r="C74">
            <v>46.085304347766176</v>
          </cell>
          <cell r="D74">
            <v>46.08320252754568</v>
          </cell>
          <cell r="E74">
            <v>46.096261442810729</v>
          </cell>
          <cell r="F74">
            <v>46.089431611562432</v>
          </cell>
          <cell r="G74">
            <v>46.098802316741633</v>
          </cell>
          <cell r="H74">
            <v>46.098717953856102</v>
          </cell>
          <cell r="I74">
            <v>46.101961663394071</v>
          </cell>
          <cell r="J74">
            <v>46.076078730274276</v>
          </cell>
          <cell r="K74">
            <v>46.097753316387056</v>
          </cell>
          <cell r="L74">
            <v>46.085457130361327</v>
          </cell>
          <cell r="M74">
            <v>46.092243259730516</v>
          </cell>
          <cell r="N74">
            <v>46.082285354620332</v>
          </cell>
          <cell r="O74">
            <v>46.103286522795813</v>
          </cell>
          <cell r="P74">
            <v>46.080313113387781</v>
          </cell>
          <cell r="Q74">
            <v>46.070287181897662</v>
          </cell>
          <cell r="R74">
            <v>46.08812763142172</v>
          </cell>
          <cell r="S74">
            <v>46.076332162774108</v>
          </cell>
          <cell r="T74">
            <v>46.076332162774108</v>
          </cell>
          <cell r="U74">
            <v>46.076332162774108</v>
          </cell>
          <cell r="V74">
            <v>46.076332162774108</v>
          </cell>
          <cell r="W74">
            <v>46.076332162774108</v>
          </cell>
          <cell r="X74">
            <v>46.076332162774108</v>
          </cell>
          <cell r="Y74">
            <v>46.076332162774108</v>
          </cell>
          <cell r="Z74">
            <v>46.076332162774108</v>
          </cell>
          <cell r="AA74">
            <v>46.076332162774108</v>
          </cell>
          <cell r="AB74">
            <v>46.076332162774108</v>
          </cell>
          <cell r="AC74">
            <v>46.076332162774108</v>
          </cell>
          <cell r="AD74">
            <v>46.076332162774108</v>
          </cell>
          <cell r="AE74">
            <v>46.076332162774108</v>
          </cell>
          <cell r="AF74">
            <v>46.076332162774108</v>
          </cell>
        </row>
        <row r="75">
          <cell r="A75" t="str">
            <v>Maryland</v>
          </cell>
          <cell r="B75">
            <v>46.09713706514669</v>
          </cell>
          <cell r="C75">
            <v>46.085304347766183</v>
          </cell>
          <cell r="D75">
            <v>46.083202527545687</v>
          </cell>
          <cell r="E75">
            <v>46.096261442810722</v>
          </cell>
          <cell r="F75">
            <v>46.089431611562425</v>
          </cell>
          <cell r="G75">
            <v>46.09880231674164</v>
          </cell>
          <cell r="H75">
            <v>46.098717953856116</v>
          </cell>
          <cell r="I75">
            <v>46.101961663394079</v>
          </cell>
          <cell r="J75">
            <v>46.076078730274276</v>
          </cell>
          <cell r="K75">
            <v>46.09775331638707</v>
          </cell>
          <cell r="L75">
            <v>46.08545713036132</v>
          </cell>
          <cell r="M75">
            <v>46.092243259730509</v>
          </cell>
          <cell r="N75">
            <v>46.082285354620339</v>
          </cell>
          <cell r="O75">
            <v>46.103286522795806</v>
          </cell>
          <cell r="P75">
            <v>46.080313113387767</v>
          </cell>
          <cell r="Q75">
            <v>46.070287181897655</v>
          </cell>
          <cell r="R75">
            <v>46.088127631421706</v>
          </cell>
          <cell r="S75">
            <v>46.076332162774108</v>
          </cell>
          <cell r="T75">
            <v>46.076332162774108</v>
          </cell>
          <cell r="U75">
            <v>46.076332162774108</v>
          </cell>
          <cell r="V75">
            <v>46.076332162774108</v>
          </cell>
          <cell r="W75">
            <v>46.076332162774108</v>
          </cell>
          <cell r="X75">
            <v>46.076332162774108</v>
          </cell>
          <cell r="Y75">
            <v>46.076332162774108</v>
          </cell>
          <cell r="Z75">
            <v>46.076332162774108</v>
          </cell>
          <cell r="AA75">
            <v>46.076332162774108</v>
          </cell>
          <cell r="AB75">
            <v>46.076332162774108</v>
          </cell>
          <cell r="AC75">
            <v>46.076332162774108</v>
          </cell>
          <cell r="AD75">
            <v>46.076332162774108</v>
          </cell>
          <cell r="AE75">
            <v>46.076332162774108</v>
          </cell>
          <cell r="AF75">
            <v>46.076332162774108</v>
          </cell>
        </row>
        <row r="76">
          <cell r="A76" t="str">
            <v>Massachusetts</v>
          </cell>
          <cell r="B76">
            <v>46.09713706514669</v>
          </cell>
          <cell r="C76">
            <v>46.085304347766183</v>
          </cell>
          <cell r="D76">
            <v>46.08320252754568</v>
          </cell>
          <cell r="E76">
            <v>46.096261442810729</v>
          </cell>
          <cell r="F76">
            <v>46.089431611562425</v>
          </cell>
          <cell r="G76">
            <v>46.098802316741633</v>
          </cell>
          <cell r="H76">
            <v>46.098717953856109</v>
          </cell>
          <cell r="I76">
            <v>46.101961663394057</v>
          </cell>
          <cell r="J76">
            <v>46.076078730274261</v>
          </cell>
          <cell r="K76">
            <v>46.09775331638707</v>
          </cell>
          <cell r="L76">
            <v>46.085457130361327</v>
          </cell>
          <cell r="M76">
            <v>46.092243259730509</v>
          </cell>
          <cell r="N76">
            <v>46.082285354620325</v>
          </cell>
          <cell r="O76">
            <v>46.103286522795798</v>
          </cell>
          <cell r="P76">
            <v>46.080313113387774</v>
          </cell>
          <cell r="Q76">
            <v>46.070287181897655</v>
          </cell>
          <cell r="R76">
            <v>46.08812763142172</v>
          </cell>
          <cell r="S76">
            <v>46.076332162774101</v>
          </cell>
          <cell r="T76">
            <v>46.076332162774101</v>
          </cell>
          <cell r="U76">
            <v>46.076332162774101</v>
          </cell>
          <cell r="V76">
            <v>46.076332162774101</v>
          </cell>
          <cell r="W76">
            <v>46.076332162774101</v>
          </cell>
          <cell r="X76">
            <v>46.076332162774101</v>
          </cell>
          <cell r="Y76">
            <v>46.076332162774101</v>
          </cell>
          <cell r="Z76">
            <v>46.076332162774101</v>
          </cell>
          <cell r="AA76">
            <v>46.076332162774101</v>
          </cell>
          <cell r="AB76">
            <v>46.076332162774101</v>
          </cell>
          <cell r="AC76">
            <v>46.076332162774101</v>
          </cell>
          <cell r="AD76">
            <v>46.076332162774101</v>
          </cell>
          <cell r="AE76">
            <v>46.076332162774101</v>
          </cell>
          <cell r="AF76">
            <v>46.076332162774101</v>
          </cell>
        </row>
        <row r="77">
          <cell r="A77" t="str">
            <v>Michigan</v>
          </cell>
          <cell r="B77">
            <v>43.217831373890164</v>
          </cell>
          <cell r="C77">
            <v>43.206723321922524</v>
          </cell>
          <cell r="D77">
            <v>43.204752741929362</v>
          </cell>
          <cell r="E77">
            <v>43.217013844544852</v>
          </cell>
          <cell r="F77">
            <v>43.210603632441554</v>
          </cell>
          <cell r="G77">
            <v>43.219397381852453</v>
          </cell>
          <cell r="H77">
            <v>43.219314027239726</v>
          </cell>
          <cell r="I77">
            <v>43.222356421593112</v>
          </cell>
          <cell r="J77">
            <v>43.198060874990766</v>
          </cell>
          <cell r="K77">
            <v>43.218411303523176</v>
          </cell>
          <cell r="L77">
            <v>43.206865785813271</v>
          </cell>
          <cell r="M77">
            <v>43.213235839351135</v>
          </cell>
          <cell r="N77">
            <v>43.203888558043545</v>
          </cell>
          <cell r="O77">
            <v>43.223604007024996</v>
          </cell>
          <cell r="P77">
            <v>43.202034503706805</v>
          </cell>
          <cell r="Q77">
            <v>43.192625000877406</v>
          </cell>
          <cell r="R77">
            <v>43.209373797427411</v>
          </cell>
          <cell r="S77">
            <v>43.198298703107398</v>
          </cell>
          <cell r="T77">
            <v>43.198298703107398</v>
          </cell>
          <cell r="U77">
            <v>43.198298703107398</v>
          </cell>
          <cell r="V77">
            <v>43.198298703107398</v>
          </cell>
          <cell r="W77">
            <v>43.198298703107398</v>
          </cell>
          <cell r="X77">
            <v>43.198298703107398</v>
          </cell>
          <cell r="Y77">
            <v>43.198298703107398</v>
          </cell>
          <cell r="Z77">
            <v>43.198298703107398</v>
          </cell>
          <cell r="AA77">
            <v>43.198298703107398</v>
          </cell>
          <cell r="AB77">
            <v>43.198298703107398</v>
          </cell>
          <cell r="AC77">
            <v>43.198298703107398</v>
          </cell>
          <cell r="AD77">
            <v>43.198298703107398</v>
          </cell>
          <cell r="AE77">
            <v>43.198298703107398</v>
          </cell>
          <cell r="AF77">
            <v>43.198298703107398</v>
          </cell>
        </row>
        <row r="78">
          <cell r="A78" t="str">
            <v>Minnesota</v>
          </cell>
          <cell r="B78">
            <v>43.217831373890164</v>
          </cell>
          <cell r="C78">
            <v>43.206723321922524</v>
          </cell>
          <cell r="D78">
            <v>43.204752741929383</v>
          </cell>
          <cell r="E78">
            <v>43.217013844544852</v>
          </cell>
          <cell r="F78">
            <v>43.210603632441547</v>
          </cell>
          <cell r="G78">
            <v>43.219397381852453</v>
          </cell>
          <cell r="H78">
            <v>43.219314027239726</v>
          </cell>
          <cell r="I78">
            <v>43.222356421593105</v>
          </cell>
          <cell r="J78">
            <v>43.198060874990759</v>
          </cell>
          <cell r="K78">
            <v>43.218411303523176</v>
          </cell>
          <cell r="L78">
            <v>43.206865785813278</v>
          </cell>
          <cell r="M78">
            <v>43.21323583935115</v>
          </cell>
          <cell r="N78">
            <v>43.203888558043552</v>
          </cell>
          <cell r="O78">
            <v>43.223604007025003</v>
          </cell>
          <cell r="P78">
            <v>43.202034503706805</v>
          </cell>
          <cell r="Q78">
            <v>43.192625000877399</v>
          </cell>
          <cell r="R78">
            <v>43.209373797427403</v>
          </cell>
          <cell r="S78">
            <v>43.198298703107398</v>
          </cell>
          <cell r="T78">
            <v>43.198298703107398</v>
          </cell>
          <cell r="U78">
            <v>43.198298703107398</v>
          </cell>
          <cell r="V78">
            <v>43.198298703107398</v>
          </cell>
          <cell r="W78">
            <v>43.198298703107398</v>
          </cell>
          <cell r="X78">
            <v>43.198298703107398</v>
          </cell>
          <cell r="Y78">
            <v>43.198298703107398</v>
          </cell>
          <cell r="Z78">
            <v>43.198298703107398</v>
          </cell>
          <cell r="AA78">
            <v>43.198298703107398</v>
          </cell>
          <cell r="AB78">
            <v>43.198298703107398</v>
          </cell>
          <cell r="AC78">
            <v>43.198298703107398</v>
          </cell>
          <cell r="AD78">
            <v>43.198298703107398</v>
          </cell>
          <cell r="AE78">
            <v>43.198298703107398</v>
          </cell>
          <cell r="AF78">
            <v>43.198298703107398</v>
          </cell>
        </row>
        <row r="79">
          <cell r="A79" t="str">
            <v>Mississippi</v>
          </cell>
          <cell r="B79">
            <v>53.155620432323374</v>
          </cell>
          <cell r="C79">
            <v>53.14195812268489</v>
          </cell>
          <cell r="D79">
            <v>53.139534414719513</v>
          </cell>
          <cell r="E79">
            <v>53.154614914966558</v>
          </cell>
          <cell r="F79">
            <v>53.146730697026342</v>
          </cell>
          <cell r="G79">
            <v>53.157546538335431</v>
          </cell>
          <cell r="H79">
            <v>53.157444016621255</v>
          </cell>
          <cell r="I79">
            <v>53.161185998907591</v>
          </cell>
          <cell r="J79">
            <v>53.131303776400451</v>
          </cell>
          <cell r="K79">
            <v>53.156333714745699</v>
          </cell>
          <cell r="L79">
            <v>53.142133345648688</v>
          </cell>
          <cell r="M79">
            <v>53.149968170701868</v>
          </cell>
          <cell r="N79">
            <v>53.138471514773855</v>
          </cell>
          <cell r="O79">
            <v>53.162720462242881</v>
          </cell>
          <cell r="P79">
            <v>53.136191127131724</v>
          </cell>
          <cell r="Q79">
            <v>53.124617942060745</v>
          </cell>
          <cell r="R79">
            <v>53.14521806575523</v>
          </cell>
          <cell r="S79">
            <v>53.131596292260099</v>
          </cell>
          <cell r="T79">
            <v>53.131596292260099</v>
          </cell>
          <cell r="U79">
            <v>53.131596292260099</v>
          </cell>
          <cell r="V79">
            <v>53.131596292260099</v>
          </cell>
          <cell r="W79">
            <v>53.131596292260099</v>
          </cell>
          <cell r="X79">
            <v>53.131596292260099</v>
          </cell>
          <cell r="Y79">
            <v>53.131596292260099</v>
          </cell>
          <cell r="Z79">
            <v>53.131596292260099</v>
          </cell>
          <cell r="AA79">
            <v>53.131596292260099</v>
          </cell>
          <cell r="AB79">
            <v>53.131596292260099</v>
          </cell>
          <cell r="AC79">
            <v>53.131596292260099</v>
          </cell>
          <cell r="AD79">
            <v>53.131596292260099</v>
          </cell>
          <cell r="AE79">
            <v>53.131596292260099</v>
          </cell>
          <cell r="AF79">
            <v>53.131596292260099</v>
          </cell>
        </row>
        <row r="80">
          <cell r="A80" t="str">
            <v>Missouri</v>
          </cell>
          <cell r="B80">
            <v>43.217831373890156</v>
          </cell>
          <cell r="C80">
            <v>43.206723321922532</v>
          </cell>
          <cell r="D80">
            <v>43.204752741929369</v>
          </cell>
          <cell r="E80">
            <v>43.217013844544859</v>
          </cell>
          <cell r="F80">
            <v>43.210603632441547</v>
          </cell>
          <cell r="G80">
            <v>43.219397381852438</v>
          </cell>
          <cell r="H80">
            <v>43.219314027239719</v>
          </cell>
          <cell r="I80">
            <v>43.222356421593105</v>
          </cell>
          <cell r="J80">
            <v>43.198060874990759</v>
          </cell>
          <cell r="K80">
            <v>43.218411303523162</v>
          </cell>
          <cell r="L80">
            <v>43.206865785813278</v>
          </cell>
          <cell r="M80">
            <v>43.213235839351135</v>
          </cell>
          <cell r="N80">
            <v>43.203888558043545</v>
          </cell>
          <cell r="O80">
            <v>43.223604007024989</v>
          </cell>
          <cell r="P80">
            <v>43.202034503706798</v>
          </cell>
          <cell r="Q80">
            <v>43.192625000877413</v>
          </cell>
          <cell r="R80">
            <v>43.209373797427403</v>
          </cell>
          <cell r="S80">
            <v>43.198298703107398</v>
          </cell>
          <cell r="T80">
            <v>43.198298703107398</v>
          </cell>
          <cell r="U80">
            <v>43.198298703107398</v>
          </cell>
          <cell r="V80">
            <v>43.198298703107398</v>
          </cell>
          <cell r="W80">
            <v>43.198298703107398</v>
          </cell>
          <cell r="X80">
            <v>43.198298703107398</v>
          </cell>
          <cell r="Y80">
            <v>43.198298703107398</v>
          </cell>
          <cell r="Z80">
            <v>43.198298703107398</v>
          </cell>
          <cell r="AA80">
            <v>43.198298703107398</v>
          </cell>
          <cell r="AB80">
            <v>43.198298703107398</v>
          </cell>
          <cell r="AC80">
            <v>43.198298703107398</v>
          </cell>
          <cell r="AD80">
            <v>43.198298703107398</v>
          </cell>
          <cell r="AE80">
            <v>43.198298703107398</v>
          </cell>
          <cell r="AF80">
            <v>43.198298703107398</v>
          </cell>
        </row>
        <row r="81">
          <cell r="A81" t="str">
            <v>Montana</v>
          </cell>
          <cell r="B81">
            <v>43.217831373890156</v>
          </cell>
          <cell r="C81">
            <v>43.206723321922517</v>
          </cell>
          <cell r="D81">
            <v>43.204752741929376</v>
          </cell>
          <cell r="E81">
            <v>43.217013844544852</v>
          </cell>
          <cell r="F81">
            <v>43.210603632441554</v>
          </cell>
          <cell r="G81">
            <v>43.219397381852446</v>
          </cell>
          <cell r="H81">
            <v>43.219314027239726</v>
          </cell>
          <cell r="I81">
            <v>43.222356421593112</v>
          </cell>
          <cell r="J81">
            <v>43.198060874990759</v>
          </cell>
          <cell r="K81">
            <v>43.218411303523176</v>
          </cell>
          <cell r="L81">
            <v>43.206865785813271</v>
          </cell>
          <cell r="M81">
            <v>43.213235839351142</v>
          </cell>
          <cell r="N81">
            <v>43.203888558043545</v>
          </cell>
          <cell r="O81">
            <v>43.223604007024996</v>
          </cell>
          <cell r="P81">
            <v>43.202034503706805</v>
          </cell>
          <cell r="Q81">
            <v>43.192625000877406</v>
          </cell>
          <cell r="R81">
            <v>43.209373797427411</v>
          </cell>
          <cell r="S81">
            <v>43.198298703107405</v>
          </cell>
          <cell r="T81">
            <v>43.198298703107405</v>
          </cell>
          <cell r="U81">
            <v>43.198298703107405</v>
          </cell>
          <cell r="V81">
            <v>43.198298703107405</v>
          </cell>
          <cell r="W81">
            <v>43.198298703107405</v>
          </cell>
          <cell r="X81">
            <v>43.198298703107405</v>
          </cell>
          <cell r="Y81">
            <v>43.198298703107405</v>
          </cell>
          <cell r="Z81">
            <v>43.198298703107405</v>
          </cell>
          <cell r="AA81">
            <v>43.198298703107405</v>
          </cell>
          <cell r="AB81">
            <v>43.198298703107405</v>
          </cell>
          <cell r="AC81">
            <v>43.198298703107405</v>
          </cell>
          <cell r="AD81">
            <v>43.198298703107405</v>
          </cell>
          <cell r="AE81">
            <v>43.198298703107405</v>
          </cell>
          <cell r="AF81">
            <v>43.198298703107405</v>
          </cell>
        </row>
        <row r="82">
          <cell r="A82" t="str">
            <v>Nebraska</v>
          </cell>
          <cell r="B82">
            <v>43.217831373890171</v>
          </cell>
          <cell r="C82">
            <v>43.206723321922524</v>
          </cell>
          <cell r="D82">
            <v>43.204752741929376</v>
          </cell>
          <cell r="E82">
            <v>43.217013844544844</v>
          </cell>
          <cell r="F82">
            <v>43.210603632441554</v>
          </cell>
          <cell r="G82">
            <v>43.219397381852446</v>
          </cell>
          <cell r="H82">
            <v>43.219314027239719</v>
          </cell>
          <cell r="I82">
            <v>43.222356421593098</v>
          </cell>
          <cell r="J82">
            <v>43.198060874990759</v>
          </cell>
          <cell r="K82">
            <v>43.218411303523183</v>
          </cell>
          <cell r="L82">
            <v>43.206865785813285</v>
          </cell>
          <cell r="M82">
            <v>43.213235839351142</v>
          </cell>
          <cell r="N82">
            <v>43.203888558043552</v>
          </cell>
          <cell r="O82">
            <v>43.223604007024989</v>
          </cell>
          <cell r="P82">
            <v>43.202034503706805</v>
          </cell>
          <cell r="Q82">
            <v>43.192625000877406</v>
          </cell>
          <cell r="R82">
            <v>43.209373797427403</v>
          </cell>
          <cell r="S82">
            <v>43.198298703107405</v>
          </cell>
          <cell r="T82">
            <v>43.198298703107405</v>
          </cell>
          <cell r="U82">
            <v>43.198298703107405</v>
          </cell>
          <cell r="V82">
            <v>43.198298703107405</v>
          </cell>
          <cell r="W82">
            <v>43.198298703107405</v>
          </cell>
          <cell r="X82">
            <v>43.198298703107405</v>
          </cell>
          <cell r="Y82">
            <v>43.198298703107405</v>
          </cell>
          <cell r="Z82">
            <v>43.198298703107405</v>
          </cell>
          <cell r="AA82">
            <v>43.198298703107405</v>
          </cell>
          <cell r="AB82">
            <v>43.198298703107405</v>
          </cell>
          <cell r="AC82">
            <v>43.198298703107405</v>
          </cell>
          <cell r="AD82">
            <v>43.198298703107405</v>
          </cell>
          <cell r="AE82">
            <v>43.198298703107405</v>
          </cell>
          <cell r="AF82">
            <v>43.198298703107405</v>
          </cell>
        </row>
        <row r="83">
          <cell r="A83" t="str">
            <v>Nevada</v>
          </cell>
          <cell r="B83">
            <v>45.683021181627559</v>
          </cell>
          <cell r="C83">
            <v>45.6712795148851</v>
          </cell>
          <cell r="D83">
            <v>45.669196530970687</v>
          </cell>
          <cell r="E83">
            <v>45.682157019562723</v>
          </cell>
          <cell r="F83">
            <v>45.675381162330069</v>
          </cell>
          <cell r="G83">
            <v>45.684676516303966</v>
          </cell>
          <cell r="H83">
            <v>45.684588407057888</v>
          </cell>
          <cell r="I83">
            <v>45.687804342732356</v>
          </cell>
          <cell r="J83">
            <v>45.662122953019576</v>
          </cell>
          <cell r="K83">
            <v>45.683634191046757</v>
          </cell>
          <cell r="L83">
            <v>45.67143010506355</v>
          </cell>
          <cell r="M83">
            <v>45.678163513044638</v>
          </cell>
          <cell r="N83">
            <v>45.66828305314209</v>
          </cell>
          <cell r="O83">
            <v>45.689123091727836</v>
          </cell>
          <cell r="P83">
            <v>45.666323241628064</v>
          </cell>
          <cell r="Q83">
            <v>45.656377011023729</v>
          </cell>
          <cell r="R83">
            <v>45.674081176254532</v>
          </cell>
          <cell r="S83">
            <v>45.662374347098016</v>
          </cell>
          <cell r="T83">
            <v>45.662374347098016</v>
          </cell>
          <cell r="U83">
            <v>45.662374347098016</v>
          </cell>
          <cell r="V83">
            <v>45.662374347098016</v>
          </cell>
          <cell r="W83">
            <v>45.662374347098016</v>
          </cell>
          <cell r="X83">
            <v>45.662374347098016</v>
          </cell>
          <cell r="Y83">
            <v>45.662374347098016</v>
          </cell>
          <cell r="Z83">
            <v>45.662374347098016</v>
          </cell>
          <cell r="AA83">
            <v>45.662374347098016</v>
          </cell>
          <cell r="AB83">
            <v>45.662374347098016</v>
          </cell>
          <cell r="AC83">
            <v>45.662374347098016</v>
          </cell>
          <cell r="AD83">
            <v>45.662374347098016</v>
          </cell>
          <cell r="AE83">
            <v>45.662374347098016</v>
          </cell>
          <cell r="AF83">
            <v>45.662374347098016</v>
          </cell>
        </row>
        <row r="84">
          <cell r="A84" t="str">
            <v>New Hampshire</v>
          </cell>
          <cell r="B84">
            <v>46.097137065146704</v>
          </cell>
          <cell r="C84">
            <v>46.085304347766183</v>
          </cell>
          <cell r="D84">
            <v>46.08320252754568</v>
          </cell>
          <cell r="E84">
            <v>46.096261442810729</v>
          </cell>
          <cell r="F84">
            <v>46.089431611562432</v>
          </cell>
          <cell r="G84">
            <v>46.098802316741633</v>
          </cell>
          <cell r="H84">
            <v>46.098717953856109</v>
          </cell>
          <cell r="I84">
            <v>46.101961663394079</v>
          </cell>
          <cell r="J84">
            <v>46.076078730274276</v>
          </cell>
          <cell r="K84">
            <v>46.097753316387056</v>
          </cell>
          <cell r="L84">
            <v>46.085457130361327</v>
          </cell>
          <cell r="M84">
            <v>46.092243259730516</v>
          </cell>
          <cell r="N84">
            <v>46.082285354620325</v>
          </cell>
          <cell r="O84">
            <v>46.103286522795806</v>
          </cell>
          <cell r="P84">
            <v>46.080313113387774</v>
          </cell>
          <cell r="Q84">
            <v>46.070287181897655</v>
          </cell>
          <cell r="R84">
            <v>46.08812763142172</v>
          </cell>
          <cell r="S84">
            <v>46.076332162774115</v>
          </cell>
          <cell r="T84">
            <v>46.076332162774115</v>
          </cell>
          <cell r="U84">
            <v>46.076332162774115</v>
          </cell>
          <cell r="V84">
            <v>46.076332162774115</v>
          </cell>
          <cell r="W84">
            <v>46.076332162774115</v>
          </cell>
          <cell r="X84">
            <v>46.076332162774115</v>
          </cell>
          <cell r="Y84">
            <v>46.076332162774115</v>
          </cell>
          <cell r="Z84">
            <v>46.076332162774115</v>
          </cell>
          <cell r="AA84">
            <v>46.076332162774115</v>
          </cell>
          <cell r="AB84">
            <v>46.076332162774115</v>
          </cell>
          <cell r="AC84">
            <v>46.076332162774115</v>
          </cell>
          <cell r="AD84">
            <v>46.076332162774115</v>
          </cell>
          <cell r="AE84">
            <v>46.076332162774115</v>
          </cell>
          <cell r="AF84">
            <v>46.076332162774115</v>
          </cell>
        </row>
        <row r="85">
          <cell r="A85" t="str">
            <v>New Jersey</v>
          </cell>
          <cell r="B85">
            <v>46.09713706514669</v>
          </cell>
          <cell r="C85">
            <v>46.085304347766197</v>
          </cell>
          <cell r="D85">
            <v>46.083202527545687</v>
          </cell>
          <cell r="E85">
            <v>46.096261442810729</v>
          </cell>
          <cell r="F85">
            <v>46.089431611562418</v>
          </cell>
          <cell r="G85">
            <v>46.098802316741647</v>
          </cell>
          <cell r="H85">
            <v>46.098717953856124</v>
          </cell>
          <cell r="I85">
            <v>46.101961663394079</v>
          </cell>
          <cell r="J85">
            <v>46.076078730274276</v>
          </cell>
          <cell r="K85">
            <v>46.097753316387077</v>
          </cell>
          <cell r="L85">
            <v>46.085457130361327</v>
          </cell>
          <cell r="M85">
            <v>46.092243259730502</v>
          </cell>
          <cell r="N85">
            <v>46.082285354620311</v>
          </cell>
          <cell r="O85">
            <v>46.103286522795806</v>
          </cell>
          <cell r="P85">
            <v>46.080313113387774</v>
          </cell>
          <cell r="Q85">
            <v>46.070287181897655</v>
          </cell>
          <cell r="R85">
            <v>46.088127631421706</v>
          </cell>
          <cell r="S85">
            <v>46.076332162774115</v>
          </cell>
          <cell r="T85">
            <v>46.076332162774115</v>
          </cell>
          <cell r="U85">
            <v>46.076332162774115</v>
          </cell>
          <cell r="V85">
            <v>46.076332162774115</v>
          </cell>
          <cell r="W85">
            <v>46.076332162774115</v>
          </cell>
          <cell r="X85">
            <v>46.076332162774115</v>
          </cell>
          <cell r="Y85">
            <v>46.076332162774115</v>
          </cell>
          <cell r="Z85">
            <v>46.076332162774115</v>
          </cell>
          <cell r="AA85">
            <v>46.076332162774115</v>
          </cell>
          <cell r="AB85">
            <v>46.076332162774115</v>
          </cell>
          <cell r="AC85">
            <v>46.076332162774115</v>
          </cell>
          <cell r="AD85">
            <v>46.076332162774115</v>
          </cell>
          <cell r="AE85">
            <v>46.076332162774115</v>
          </cell>
          <cell r="AF85">
            <v>46.076332162774115</v>
          </cell>
        </row>
        <row r="86">
          <cell r="A86" t="str">
            <v>New Mexico</v>
          </cell>
          <cell r="B86">
            <v>45.683021181627566</v>
          </cell>
          <cell r="C86">
            <v>45.671279514885093</v>
          </cell>
          <cell r="D86">
            <v>45.669196530970702</v>
          </cell>
          <cell r="E86">
            <v>45.682157019562709</v>
          </cell>
          <cell r="F86">
            <v>45.675381162330069</v>
          </cell>
          <cell r="G86">
            <v>45.684676516303952</v>
          </cell>
          <cell r="H86">
            <v>45.684588407057888</v>
          </cell>
          <cell r="I86">
            <v>45.687804342732356</v>
          </cell>
          <cell r="J86">
            <v>45.662122953019576</v>
          </cell>
          <cell r="K86">
            <v>45.68363419104675</v>
          </cell>
          <cell r="L86">
            <v>45.671430105063543</v>
          </cell>
          <cell r="M86">
            <v>45.678163513044645</v>
          </cell>
          <cell r="N86">
            <v>45.668283053142083</v>
          </cell>
          <cell r="O86">
            <v>45.689123091727836</v>
          </cell>
          <cell r="P86">
            <v>45.666323241628056</v>
          </cell>
          <cell r="Q86">
            <v>45.656377011023736</v>
          </cell>
          <cell r="R86">
            <v>45.674081176254518</v>
          </cell>
          <cell r="S86">
            <v>45.662374347098023</v>
          </cell>
          <cell r="T86">
            <v>45.662374347098023</v>
          </cell>
          <cell r="U86">
            <v>45.662374347098023</v>
          </cell>
          <cell r="V86">
            <v>45.662374347098023</v>
          </cell>
          <cell r="W86">
            <v>45.662374347098023</v>
          </cell>
          <cell r="X86">
            <v>45.662374347098023</v>
          </cell>
          <cell r="Y86">
            <v>45.662374347098023</v>
          </cell>
          <cell r="Z86">
            <v>45.662374347098023</v>
          </cell>
          <cell r="AA86">
            <v>45.662374347098023</v>
          </cell>
          <cell r="AB86">
            <v>45.662374347098023</v>
          </cell>
          <cell r="AC86">
            <v>45.662374347098023</v>
          </cell>
          <cell r="AD86">
            <v>45.662374347098023</v>
          </cell>
          <cell r="AE86">
            <v>45.662374347098023</v>
          </cell>
          <cell r="AF86">
            <v>45.662374347098023</v>
          </cell>
        </row>
        <row r="87">
          <cell r="A87" t="str">
            <v>New York</v>
          </cell>
          <cell r="B87">
            <v>46.097137065146697</v>
          </cell>
          <cell r="C87">
            <v>46.085304347766183</v>
          </cell>
          <cell r="D87">
            <v>46.083202527545694</v>
          </cell>
          <cell r="E87">
            <v>46.096261442810736</v>
          </cell>
          <cell r="F87">
            <v>46.089431611562432</v>
          </cell>
          <cell r="G87">
            <v>46.098802316741647</v>
          </cell>
          <cell r="H87">
            <v>46.098717953856116</v>
          </cell>
          <cell r="I87">
            <v>46.101961663394064</v>
          </cell>
          <cell r="J87">
            <v>46.076078730274268</v>
          </cell>
          <cell r="K87">
            <v>46.09775331638707</v>
          </cell>
          <cell r="L87">
            <v>46.085457130361334</v>
          </cell>
          <cell r="M87">
            <v>46.092243259730516</v>
          </cell>
          <cell r="N87">
            <v>46.082285354620325</v>
          </cell>
          <cell r="O87">
            <v>46.103286522795813</v>
          </cell>
          <cell r="P87">
            <v>46.080313113387774</v>
          </cell>
          <cell r="Q87">
            <v>46.070287181897648</v>
          </cell>
          <cell r="R87">
            <v>46.088127631421699</v>
          </cell>
          <cell r="S87">
            <v>46.076332162774108</v>
          </cell>
          <cell r="T87">
            <v>46.076332162774108</v>
          </cell>
          <cell r="U87">
            <v>46.076332162774108</v>
          </cell>
          <cell r="V87">
            <v>46.076332162774108</v>
          </cell>
          <cell r="W87">
            <v>46.076332162774108</v>
          </cell>
          <cell r="X87">
            <v>46.076332162774108</v>
          </cell>
          <cell r="Y87">
            <v>46.076332162774108</v>
          </cell>
          <cell r="Z87">
            <v>46.076332162774108</v>
          </cell>
          <cell r="AA87">
            <v>46.076332162774108</v>
          </cell>
          <cell r="AB87">
            <v>46.076332162774108</v>
          </cell>
          <cell r="AC87">
            <v>46.076332162774108</v>
          </cell>
          <cell r="AD87">
            <v>46.076332162774108</v>
          </cell>
          <cell r="AE87">
            <v>46.076332162774108</v>
          </cell>
          <cell r="AF87">
            <v>46.076332162774108</v>
          </cell>
        </row>
        <row r="88">
          <cell r="A88" t="str">
            <v>North Carolina</v>
          </cell>
          <cell r="B88">
            <v>53.155620432323374</v>
          </cell>
          <cell r="C88">
            <v>53.141958122684883</v>
          </cell>
          <cell r="D88">
            <v>53.139534414719499</v>
          </cell>
          <cell r="E88">
            <v>53.154614914966537</v>
          </cell>
          <cell r="F88">
            <v>53.146730697026356</v>
          </cell>
          <cell r="G88">
            <v>53.157546538335438</v>
          </cell>
          <cell r="H88">
            <v>53.157444016621255</v>
          </cell>
          <cell r="I88">
            <v>53.161185998907577</v>
          </cell>
          <cell r="J88">
            <v>53.131303776400443</v>
          </cell>
          <cell r="K88">
            <v>53.156333714745706</v>
          </cell>
          <cell r="L88">
            <v>53.142133345648688</v>
          </cell>
          <cell r="M88">
            <v>53.149968170701868</v>
          </cell>
          <cell r="N88">
            <v>53.138471514773855</v>
          </cell>
          <cell r="O88">
            <v>53.162720462242881</v>
          </cell>
          <cell r="P88">
            <v>53.136191127131717</v>
          </cell>
          <cell r="Q88">
            <v>53.124617942060745</v>
          </cell>
          <cell r="R88">
            <v>53.14521806575523</v>
          </cell>
          <cell r="S88">
            <v>53.131596292260099</v>
          </cell>
          <cell r="T88">
            <v>53.131596292260099</v>
          </cell>
          <cell r="U88">
            <v>53.131596292260099</v>
          </cell>
          <cell r="V88">
            <v>53.131596292260099</v>
          </cell>
          <cell r="W88">
            <v>53.131596292260099</v>
          </cell>
          <cell r="X88">
            <v>53.131596292260099</v>
          </cell>
          <cell r="Y88">
            <v>53.131596292260099</v>
          </cell>
          <cell r="Z88">
            <v>53.131596292260099</v>
          </cell>
          <cell r="AA88">
            <v>53.131596292260099</v>
          </cell>
          <cell r="AB88">
            <v>53.131596292260099</v>
          </cell>
          <cell r="AC88">
            <v>53.131596292260099</v>
          </cell>
          <cell r="AD88">
            <v>53.131596292260099</v>
          </cell>
          <cell r="AE88">
            <v>53.131596292260099</v>
          </cell>
          <cell r="AF88">
            <v>53.131596292260099</v>
          </cell>
        </row>
        <row r="89">
          <cell r="A89" t="str">
            <v>North Dakota</v>
          </cell>
          <cell r="B89">
            <v>43.217831373890156</v>
          </cell>
          <cell r="C89">
            <v>43.206723321922517</v>
          </cell>
          <cell r="D89">
            <v>43.204752741929369</v>
          </cell>
          <cell r="E89">
            <v>43.217013844544859</v>
          </cell>
          <cell r="F89">
            <v>43.210603632441561</v>
          </cell>
          <cell r="G89">
            <v>43.219397381852438</v>
          </cell>
          <cell r="H89">
            <v>43.219314027239719</v>
          </cell>
          <cell r="I89">
            <v>43.222356421593105</v>
          </cell>
          <cell r="J89">
            <v>43.198060874990759</v>
          </cell>
          <cell r="K89">
            <v>43.218411303523183</v>
          </cell>
          <cell r="L89">
            <v>43.206865785813285</v>
          </cell>
          <cell r="M89">
            <v>43.213235839351142</v>
          </cell>
          <cell r="N89">
            <v>43.203888558043545</v>
          </cell>
          <cell r="O89">
            <v>43.223604007024989</v>
          </cell>
          <cell r="P89">
            <v>43.202034503706805</v>
          </cell>
          <cell r="Q89">
            <v>43.192625000877406</v>
          </cell>
          <cell r="R89">
            <v>43.209373797427403</v>
          </cell>
          <cell r="S89">
            <v>43.198298703107412</v>
          </cell>
          <cell r="T89">
            <v>43.198298703107412</v>
          </cell>
          <cell r="U89">
            <v>43.198298703107412</v>
          </cell>
          <cell r="V89">
            <v>43.198298703107412</v>
          </cell>
          <cell r="W89">
            <v>43.198298703107412</v>
          </cell>
          <cell r="X89">
            <v>43.198298703107412</v>
          </cell>
          <cell r="Y89">
            <v>43.198298703107412</v>
          </cell>
          <cell r="Z89">
            <v>43.198298703107412</v>
          </cell>
          <cell r="AA89">
            <v>43.198298703107412</v>
          </cell>
          <cell r="AB89">
            <v>43.198298703107412</v>
          </cell>
          <cell r="AC89">
            <v>43.198298703107412</v>
          </cell>
          <cell r="AD89">
            <v>43.198298703107412</v>
          </cell>
          <cell r="AE89">
            <v>43.198298703107412</v>
          </cell>
          <cell r="AF89">
            <v>43.198298703107412</v>
          </cell>
        </row>
        <row r="90">
          <cell r="A90" t="str">
            <v>Ohio</v>
          </cell>
          <cell r="B90">
            <v>43.217831373890156</v>
          </cell>
          <cell r="C90">
            <v>43.206723321922524</v>
          </cell>
          <cell r="D90">
            <v>43.204752741929376</v>
          </cell>
          <cell r="E90">
            <v>43.217013844544859</v>
          </cell>
          <cell r="F90">
            <v>43.210603632441554</v>
          </cell>
          <cell r="G90">
            <v>43.219397381852446</v>
          </cell>
          <cell r="H90">
            <v>43.219314027239719</v>
          </cell>
          <cell r="I90">
            <v>43.222356421593112</v>
          </cell>
          <cell r="J90">
            <v>43.198060874990759</v>
          </cell>
          <cell r="K90">
            <v>43.218411303523183</v>
          </cell>
          <cell r="L90">
            <v>43.206865785813271</v>
          </cell>
          <cell r="M90">
            <v>43.213235839351142</v>
          </cell>
          <cell r="N90">
            <v>43.203888558043545</v>
          </cell>
          <cell r="O90">
            <v>43.223604007024989</v>
          </cell>
          <cell r="P90">
            <v>43.202034503706813</v>
          </cell>
          <cell r="Q90">
            <v>43.192625000877406</v>
          </cell>
          <cell r="R90">
            <v>43.209373797427403</v>
          </cell>
          <cell r="S90">
            <v>43.198298703107405</v>
          </cell>
          <cell r="T90">
            <v>43.198298703107405</v>
          </cell>
          <cell r="U90">
            <v>43.198298703107405</v>
          </cell>
          <cell r="V90">
            <v>43.198298703107405</v>
          </cell>
          <cell r="W90">
            <v>43.198298703107405</v>
          </cell>
          <cell r="X90">
            <v>43.198298703107405</v>
          </cell>
          <cell r="Y90">
            <v>43.198298703107405</v>
          </cell>
          <cell r="Z90">
            <v>43.198298703107405</v>
          </cell>
          <cell r="AA90">
            <v>43.198298703107405</v>
          </cell>
          <cell r="AB90">
            <v>43.198298703107405</v>
          </cell>
          <cell r="AC90">
            <v>43.198298703107405</v>
          </cell>
          <cell r="AD90">
            <v>43.198298703107405</v>
          </cell>
          <cell r="AE90">
            <v>43.198298703107405</v>
          </cell>
          <cell r="AF90">
            <v>43.198298703107405</v>
          </cell>
        </row>
        <row r="91">
          <cell r="A91" t="str">
            <v>Oklahoma</v>
          </cell>
          <cell r="B91">
            <v>51.673336340729357</v>
          </cell>
          <cell r="C91">
            <v>51.660035183586309</v>
          </cell>
          <cell r="D91">
            <v>51.657679003354026</v>
          </cell>
          <cell r="E91">
            <v>51.67236353698852</v>
          </cell>
          <cell r="F91">
            <v>51.664689576074558</v>
          </cell>
          <cell r="G91">
            <v>51.675215294085369</v>
          </cell>
          <cell r="H91">
            <v>51.675109773602898</v>
          </cell>
          <cell r="I91">
            <v>51.678749184584746</v>
          </cell>
          <cell r="J91">
            <v>51.649659964975775</v>
          </cell>
          <cell r="K91">
            <v>51.674032716428677</v>
          </cell>
          <cell r="L91">
            <v>51.660204454082567</v>
          </cell>
          <cell r="M91">
            <v>51.667831517916468</v>
          </cell>
          <cell r="N91">
            <v>51.65663983331148</v>
          </cell>
          <cell r="O91">
            <v>51.68024839002679</v>
          </cell>
          <cell r="P91">
            <v>51.654416159042206</v>
          </cell>
          <cell r="Q91">
            <v>51.643152218080168</v>
          </cell>
          <cell r="R91">
            <v>51.663209085569001</v>
          </cell>
          <cell r="S91">
            <v>51.64994463371896</v>
          </cell>
          <cell r="T91">
            <v>51.64994463371896</v>
          </cell>
          <cell r="U91">
            <v>51.64994463371896</v>
          </cell>
          <cell r="V91">
            <v>51.64994463371896</v>
          </cell>
          <cell r="W91">
            <v>51.64994463371896</v>
          </cell>
          <cell r="X91">
            <v>51.64994463371896</v>
          </cell>
          <cell r="Y91">
            <v>51.64994463371896</v>
          </cell>
          <cell r="Z91">
            <v>51.64994463371896</v>
          </cell>
          <cell r="AA91">
            <v>51.64994463371896</v>
          </cell>
          <cell r="AB91">
            <v>51.64994463371896</v>
          </cell>
          <cell r="AC91">
            <v>51.64994463371896</v>
          </cell>
          <cell r="AD91">
            <v>51.64994463371896</v>
          </cell>
          <cell r="AE91">
            <v>51.64994463371896</v>
          </cell>
          <cell r="AF91">
            <v>51.64994463371896</v>
          </cell>
        </row>
        <row r="92">
          <cell r="A92" t="str">
            <v>Oregon</v>
          </cell>
          <cell r="B92">
            <v>45.683021181627566</v>
          </cell>
          <cell r="C92">
            <v>45.671279514885107</v>
          </cell>
          <cell r="D92">
            <v>45.669196530970694</v>
          </cell>
          <cell r="E92">
            <v>45.682157019562709</v>
          </cell>
          <cell r="F92">
            <v>45.675381162330069</v>
          </cell>
          <cell r="G92">
            <v>45.684676516303959</v>
          </cell>
          <cell r="H92">
            <v>45.684588407057888</v>
          </cell>
          <cell r="I92">
            <v>45.687804342732363</v>
          </cell>
          <cell r="J92">
            <v>45.662122953019576</v>
          </cell>
          <cell r="K92">
            <v>45.68363419104675</v>
          </cell>
          <cell r="L92">
            <v>45.671430105063557</v>
          </cell>
          <cell r="M92">
            <v>45.678163513044645</v>
          </cell>
          <cell r="N92">
            <v>45.668283053142076</v>
          </cell>
          <cell r="O92">
            <v>45.689123091727836</v>
          </cell>
          <cell r="P92">
            <v>45.666323241628064</v>
          </cell>
          <cell r="Q92">
            <v>45.656377011023736</v>
          </cell>
          <cell r="R92">
            <v>45.674081176254546</v>
          </cell>
          <cell r="S92">
            <v>45.662374347098016</v>
          </cell>
          <cell r="T92">
            <v>45.662374347098016</v>
          </cell>
          <cell r="U92">
            <v>45.662374347098016</v>
          </cell>
          <cell r="V92">
            <v>45.662374347098016</v>
          </cell>
          <cell r="W92">
            <v>45.662374347098016</v>
          </cell>
          <cell r="X92">
            <v>45.662374347098016</v>
          </cell>
          <cell r="Y92">
            <v>45.662374347098016</v>
          </cell>
          <cell r="Z92">
            <v>45.662374347098016</v>
          </cell>
          <cell r="AA92">
            <v>45.662374347098016</v>
          </cell>
          <cell r="AB92">
            <v>45.662374347098016</v>
          </cell>
          <cell r="AC92">
            <v>45.662374347098016</v>
          </cell>
          <cell r="AD92">
            <v>45.662374347098016</v>
          </cell>
          <cell r="AE92">
            <v>45.662374347098016</v>
          </cell>
          <cell r="AF92">
            <v>45.662374347098016</v>
          </cell>
        </row>
        <row r="93">
          <cell r="A93" t="str">
            <v>Pennsylvania</v>
          </cell>
          <cell r="B93">
            <v>46.097137065146697</v>
          </cell>
          <cell r="C93">
            <v>46.085304347766183</v>
          </cell>
          <cell r="D93">
            <v>46.083202527545687</v>
          </cell>
          <cell r="E93">
            <v>46.096261442810729</v>
          </cell>
          <cell r="F93">
            <v>46.089431611562432</v>
          </cell>
          <cell r="G93">
            <v>46.09880231674164</v>
          </cell>
          <cell r="H93">
            <v>46.098717953856116</v>
          </cell>
          <cell r="I93">
            <v>46.101961663394079</v>
          </cell>
          <cell r="J93">
            <v>46.076078730274268</v>
          </cell>
          <cell r="K93">
            <v>46.09775331638707</v>
          </cell>
          <cell r="L93">
            <v>46.08545713036132</v>
          </cell>
          <cell r="M93">
            <v>46.092243259730502</v>
          </cell>
          <cell r="N93">
            <v>46.082285354620311</v>
          </cell>
          <cell r="O93">
            <v>46.103286522795798</v>
          </cell>
          <cell r="P93">
            <v>46.080313113387788</v>
          </cell>
          <cell r="Q93">
            <v>46.070287181897655</v>
          </cell>
          <cell r="R93">
            <v>46.088127631421713</v>
          </cell>
          <cell r="S93">
            <v>46.076332162774108</v>
          </cell>
          <cell r="T93">
            <v>46.076332162774108</v>
          </cell>
          <cell r="U93">
            <v>46.076332162774108</v>
          </cell>
          <cell r="V93">
            <v>46.076332162774108</v>
          </cell>
          <cell r="W93">
            <v>46.076332162774108</v>
          </cell>
          <cell r="X93">
            <v>46.076332162774108</v>
          </cell>
          <cell r="Y93">
            <v>46.076332162774108</v>
          </cell>
          <cell r="Z93">
            <v>46.076332162774108</v>
          </cell>
          <cell r="AA93">
            <v>46.076332162774108</v>
          </cell>
          <cell r="AB93">
            <v>46.076332162774108</v>
          </cell>
          <cell r="AC93">
            <v>46.076332162774108</v>
          </cell>
          <cell r="AD93">
            <v>46.076332162774108</v>
          </cell>
          <cell r="AE93">
            <v>46.076332162774108</v>
          </cell>
          <cell r="AF93">
            <v>46.076332162774108</v>
          </cell>
        </row>
        <row r="94">
          <cell r="A94" t="str">
            <v>Rhode Island</v>
          </cell>
          <cell r="B94">
            <v>46.09713706514669</v>
          </cell>
          <cell r="C94">
            <v>46.085304347766183</v>
          </cell>
          <cell r="D94">
            <v>46.083202527545673</v>
          </cell>
          <cell r="E94">
            <v>46.096261442810736</v>
          </cell>
          <cell r="F94">
            <v>46.089431611562432</v>
          </cell>
          <cell r="G94">
            <v>46.098802316741647</v>
          </cell>
          <cell r="H94">
            <v>46.098717953856109</v>
          </cell>
          <cell r="I94">
            <v>46.101961663394071</v>
          </cell>
          <cell r="J94">
            <v>46.076078730274268</v>
          </cell>
          <cell r="K94">
            <v>46.097753316387063</v>
          </cell>
          <cell r="L94">
            <v>46.085457130361327</v>
          </cell>
          <cell r="M94">
            <v>46.092243259730509</v>
          </cell>
          <cell r="N94">
            <v>46.082285354620332</v>
          </cell>
          <cell r="O94">
            <v>46.103286522795798</v>
          </cell>
          <cell r="P94">
            <v>46.080313113387774</v>
          </cell>
          <cell r="Q94">
            <v>46.070287181897662</v>
          </cell>
          <cell r="R94">
            <v>46.088127631421713</v>
          </cell>
          <cell r="S94">
            <v>46.076332162774108</v>
          </cell>
          <cell r="T94">
            <v>46.076332162774108</v>
          </cell>
          <cell r="U94">
            <v>46.076332162774108</v>
          </cell>
          <cell r="V94">
            <v>46.076332162774108</v>
          </cell>
          <cell r="W94">
            <v>46.076332162774108</v>
          </cell>
          <cell r="X94">
            <v>46.076332162774108</v>
          </cell>
          <cell r="Y94">
            <v>46.076332162774108</v>
          </cell>
          <cell r="Z94">
            <v>46.076332162774108</v>
          </cell>
          <cell r="AA94">
            <v>46.076332162774108</v>
          </cell>
          <cell r="AB94">
            <v>46.076332162774108</v>
          </cell>
          <cell r="AC94">
            <v>46.076332162774108</v>
          </cell>
          <cell r="AD94">
            <v>46.076332162774108</v>
          </cell>
          <cell r="AE94">
            <v>46.076332162774108</v>
          </cell>
          <cell r="AF94">
            <v>46.076332162774108</v>
          </cell>
        </row>
        <row r="95">
          <cell r="A95" t="str">
            <v>South Carolina</v>
          </cell>
          <cell r="B95">
            <v>53.155620432323389</v>
          </cell>
          <cell r="C95">
            <v>53.141958122684883</v>
          </cell>
          <cell r="D95">
            <v>53.139534414719506</v>
          </cell>
          <cell r="E95">
            <v>53.154614914966558</v>
          </cell>
          <cell r="F95">
            <v>53.146730697026342</v>
          </cell>
          <cell r="G95">
            <v>53.157546538335424</v>
          </cell>
          <cell r="H95">
            <v>53.15744401662127</v>
          </cell>
          <cell r="I95">
            <v>53.161185998907555</v>
          </cell>
          <cell r="J95">
            <v>53.131303776400443</v>
          </cell>
          <cell r="K95">
            <v>53.156333714745706</v>
          </cell>
          <cell r="L95">
            <v>53.142133345648681</v>
          </cell>
          <cell r="M95">
            <v>53.149968170701868</v>
          </cell>
          <cell r="N95">
            <v>53.138471514773855</v>
          </cell>
          <cell r="O95">
            <v>53.162720462242874</v>
          </cell>
          <cell r="P95">
            <v>53.136191127131724</v>
          </cell>
          <cell r="Q95">
            <v>53.124617942060745</v>
          </cell>
          <cell r="R95">
            <v>53.145218065755216</v>
          </cell>
          <cell r="S95">
            <v>53.131596292260078</v>
          </cell>
          <cell r="T95">
            <v>53.131596292260078</v>
          </cell>
          <cell r="U95">
            <v>53.131596292260078</v>
          </cell>
          <cell r="V95">
            <v>53.131596292260078</v>
          </cell>
          <cell r="W95">
            <v>53.131596292260078</v>
          </cell>
          <cell r="X95">
            <v>53.131596292260078</v>
          </cell>
          <cell r="Y95">
            <v>53.131596292260078</v>
          </cell>
          <cell r="Z95">
            <v>53.131596292260078</v>
          </cell>
          <cell r="AA95">
            <v>53.131596292260078</v>
          </cell>
          <cell r="AB95">
            <v>53.131596292260078</v>
          </cell>
          <cell r="AC95">
            <v>53.131596292260078</v>
          </cell>
          <cell r="AD95">
            <v>53.131596292260078</v>
          </cell>
          <cell r="AE95">
            <v>53.131596292260078</v>
          </cell>
          <cell r="AF95">
            <v>53.131596292260078</v>
          </cell>
        </row>
        <row r="96">
          <cell r="A96" t="str">
            <v>South Dakota</v>
          </cell>
          <cell r="B96">
            <v>43.217831373890156</v>
          </cell>
          <cell r="C96">
            <v>43.206723321922524</v>
          </cell>
          <cell r="D96">
            <v>43.204752741929376</v>
          </cell>
          <cell r="E96">
            <v>43.217013844544844</v>
          </cell>
          <cell r="F96">
            <v>43.210603632441561</v>
          </cell>
          <cell r="G96">
            <v>43.219397381852446</v>
          </cell>
          <cell r="H96">
            <v>43.219314027239726</v>
          </cell>
          <cell r="I96">
            <v>43.222356421593098</v>
          </cell>
          <cell r="J96">
            <v>43.198060874990759</v>
          </cell>
          <cell r="K96">
            <v>43.218411303523176</v>
          </cell>
          <cell r="L96">
            <v>43.206865785813271</v>
          </cell>
          <cell r="M96">
            <v>43.213235839351142</v>
          </cell>
          <cell r="N96">
            <v>43.203888558043545</v>
          </cell>
          <cell r="O96">
            <v>43.223604007024989</v>
          </cell>
          <cell r="P96">
            <v>43.202034503706805</v>
          </cell>
          <cell r="Q96">
            <v>43.192625000877406</v>
          </cell>
          <cell r="R96">
            <v>43.209373797427403</v>
          </cell>
          <cell r="S96">
            <v>43.198298703107405</v>
          </cell>
          <cell r="T96">
            <v>43.198298703107405</v>
          </cell>
          <cell r="U96">
            <v>43.198298703107405</v>
          </cell>
          <cell r="V96">
            <v>43.198298703107405</v>
          </cell>
          <cell r="W96">
            <v>43.198298703107405</v>
          </cell>
          <cell r="X96">
            <v>43.198298703107405</v>
          </cell>
          <cell r="Y96">
            <v>43.198298703107405</v>
          </cell>
          <cell r="Z96">
            <v>43.198298703107405</v>
          </cell>
          <cell r="AA96">
            <v>43.198298703107405</v>
          </cell>
          <cell r="AB96">
            <v>43.198298703107405</v>
          </cell>
          <cell r="AC96">
            <v>43.198298703107405</v>
          </cell>
          <cell r="AD96">
            <v>43.198298703107405</v>
          </cell>
          <cell r="AE96">
            <v>43.198298703107405</v>
          </cell>
          <cell r="AF96">
            <v>43.198298703107405</v>
          </cell>
        </row>
        <row r="97">
          <cell r="A97" t="str">
            <v>Tennessee</v>
          </cell>
          <cell r="B97">
            <v>53.155620432323389</v>
          </cell>
          <cell r="C97">
            <v>53.141958122684876</v>
          </cell>
          <cell r="D97">
            <v>53.139534414719513</v>
          </cell>
          <cell r="E97">
            <v>53.154614914966551</v>
          </cell>
          <cell r="F97">
            <v>53.146730697026356</v>
          </cell>
          <cell r="G97">
            <v>53.157546538335446</v>
          </cell>
          <cell r="H97">
            <v>53.157444016621263</v>
          </cell>
          <cell r="I97">
            <v>53.161185998907577</v>
          </cell>
          <cell r="J97">
            <v>53.131303776400436</v>
          </cell>
          <cell r="K97">
            <v>53.156333714745706</v>
          </cell>
          <cell r="L97">
            <v>53.142133345648688</v>
          </cell>
          <cell r="M97">
            <v>53.149968170701882</v>
          </cell>
          <cell r="N97">
            <v>53.138471514773862</v>
          </cell>
          <cell r="O97">
            <v>53.162720462242874</v>
          </cell>
          <cell r="P97">
            <v>53.136191127131703</v>
          </cell>
          <cell r="Q97">
            <v>53.124617942060731</v>
          </cell>
          <cell r="R97">
            <v>53.145218065755238</v>
          </cell>
          <cell r="S97">
            <v>53.131596292260099</v>
          </cell>
          <cell r="T97">
            <v>53.131596292260099</v>
          </cell>
          <cell r="U97">
            <v>53.131596292260099</v>
          </cell>
          <cell r="V97">
            <v>53.131596292260099</v>
          </cell>
          <cell r="W97">
            <v>53.131596292260099</v>
          </cell>
          <cell r="X97">
            <v>53.131596292260099</v>
          </cell>
          <cell r="Y97">
            <v>53.131596292260099</v>
          </cell>
          <cell r="Z97">
            <v>53.131596292260099</v>
          </cell>
          <cell r="AA97">
            <v>53.131596292260099</v>
          </cell>
          <cell r="AB97">
            <v>53.131596292260099</v>
          </cell>
          <cell r="AC97">
            <v>53.131596292260099</v>
          </cell>
          <cell r="AD97">
            <v>53.131596292260099</v>
          </cell>
          <cell r="AE97">
            <v>53.131596292260099</v>
          </cell>
          <cell r="AF97">
            <v>53.131596292260099</v>
          </cell>
        </row>
        <row r="98">
          <cell r="A98" t="str">
            <v>Texas</v>
          </cell>
          <cell r="B98">
            <v>51.673336340729357</v>
          </cell>
          <cell r="C98">
            <v>51.660035183586317</v>
          </cell>
          <cell r="D98">
            <v>51.657679003354026</v>
          </cell>
          <cell r="E98">
            <v>51.672363536988534</v>
          </cell>
          <cell r="F98">
            <v>51.664689576074558</v>
          </cell>
          <cell r="G98">
            <v>51.675215294085376</v>
          </cell>
          <cell r="H98">
            <v>51.675109773602905</v>
          </cell>
          <cell r="I98">
            <v>51.678749184584738</v>
          </cell>
          <cell r="J98">
            <v>51.649659964975783</v>
          </cell>
          <cell r="K98">
            <v>51.674032716428655</v>
          </cell>
          <cell r="L98">
            <v>51.660204454082582</v>
          </cell>
          <cell r="M98">
            <v>51.667831517916483</v>
          </cell>
          <cell r="N98">
            <v>51.656639833311466</v>
          </cell>
          <cell r="O98">
            <v>51.68024839002679</v>
          </cell>
          <cell r="P98">
            <v>51.654416159042206</v>
          </cell>
          <cell r="Q98">
            <v>51.643152218080161</v>
          </cell>
          <cell r="R98">
            <v>51.663209085569001</v>
          </cell>
          <cell r="S98">
            <v>51.649944633718945</v>
          </cell>
          <cell r="T98">
            <v>51.649944633718945</v>
          </cell>
          <cell r="U98">
            <v>51.649944633718945</v>
          </cell>
          <cell r="V98">
            <v>51.649944633718945</v>
          </cell>
          <cell r="W98">
            <v>51.649944633718945</v>
          </cell>
          <cell r="X98">
            <v>51.649944633718945</v>
          </cell>
          <cell r="Y98">
            <v>51.649944633718945</v>
          </cell>
          <cell r="Z98">
            <v>51.649944633718945</v>
          </cell>
          <cell r="AA98">
            <v>51.649944633718945</v>
          </cell>
          <cell r="AB98">
            <v>51.649944633718945</v>
          </cell>
          <cell r="AC98">
            <v>51.649944633718945</v>
          </cell>
          <cell r="AD98">
            <v>51.649944633718945</v>
          </cell>
          <cell r="AE98">
            <v>51.649944633718945</v>
          </cell>
          <cell r="AF98">
            <v>51.649944633718945</v>
          </cell>
        </row>
        <row r="99">
          <cell r="A99" t="str">
            <v>Utah</v>
          </cell>
          <cell r="B99">
            <v>45.683021181627566</v>
          </cell>
          <cell r="C99">
            <v>45.6712795148851</v>
          </cell>
          <cell r="D99">
            <v>45.669196530970687</v>
          </cell>
          <cell r="E99">
            <v>45.682157019562709</v>
          </cell>
          <cell r="F99">
            <v>45.675381162330069</v>
          </cell>
          <cell r="G99">
            <v>45.684676516303966</v>
          </cell>
          <cell r="H99">
            <v>45.684588407057895</v>
          </cell>
          <cell r="I99">
            <v>45.687804342732363</v>
          </cell>
          <cell r="J99">
            <v>45.662122953019576</v>
          </cell>
          <cell r="K99">
            <v>45.683634191046743</v>
          </cell>
          <cell r="L99">
            <v>45.671430105063557</v>
          </cell>
          <cell r="M99">
            <v>45.678163513044638</v>
          </cell>
          <cell r="N99">
            <v>45.66828305314209</v>
          </cell>
          <cell r="O99">
            <v>45.689123091727836</v>
          </cell>
          <cell r="P99">
            <v>45.666323241628064</v>
          </cell>
          <cell r="Q99">
            <v>45.656377011023729</v>
          </cell>
          <cell r="R99">
            <v>45.674081176254532</v>
          </cell>
          <cell r="S99">
            <v>45.662374347098023</v>
          </cell>
          <cell r="T99">
            <v>45.662374347098023</v>
          </cell>
          <cell r="U99">
            <v>45.662374347098023</v>
          </cell>
          <cell r="V99">
            <v>45.662374347098023</v>
          </cell>
          <cell r="W99">
            <v>45.662374347098023</v>
          </cell>
          <cell r="X99">
            <v>45.662374347098023</v>
          </cell>
          <cell r="Y99">
            <v>45.662374347098023</v>
          </cell>
          <cell r="Z99">
            <v>45.662374347098023</v>
          </cell>
          <cell r="AA99">
            <v>45.662374347098023</v>
          </cell>
          <cell r="AB99">
            <v>45.662374347098023</v>
          </cell>
          <cell r="AC99">
            <v>45.662374347098023</v>
          </cell>
          <cell r="AD99">
            <v>45.662374347098023</v>
          </cell>
          <cell r="AE99">
            <v>45.662374347098023</v>
          </cell>
          <cell r="AF99">
            <v>45.662374347098023</v>
          </cell>
        </row>
        <row r="100">
          <cell r="A100" t="str">
            <v>Vermont</v>
          </cell>
          <cell r="B100">
            <v>46.097137065146676</v>
          </cell>
          <cell r="C100">
            <v>46.08530434776619</v>
          </cell>
          <cell r="D100">
            <v>46.08320252754568</v>
          </cell>
          <cell r="E100">
            <v>46.096261442810736</v>
          </cell>
          <cell r="F100">
            <v>46.089431611562418</v>
          </cell>
          <cell r="G100">
            <v>46.098802316741654</v>
          </cell>
          <cell r="H100">
            <v>46.098717953856116</v>
          </cell>
          <cell r="I100">
            <v>46.101961663394064</v>
          </cell>
          <cell r="J100">
            <v>46.076078730274268</v>
          </cell>
          <cell r="K100">
            <v>46.097753316387056</v>
          </cell>
          <cell r="L100">
            <v>46.085457130361313</v>
          </cell>
          <cell r="M100">
            <v>46.092243259730516</v>
          </cell>
          <cell r="N100">
            <v>46.082285354620318</v>
          </cell>
          <cell r="O100">
            <v>46.103286522795791</v>
          </cell>
          <cell r="P100">
            <v>46.080313113387774</v>
          </cell>
          <cell r="Q100">
            <v>46.070287181897655</v>
          </cell>
          <cell r="R100">
            <v>46.088127631421713</v>
          </cell>
          <cell r="S100">
            <v>46.076332162774101</v>
          </cell>
          <cell r="T100">
            <v>46.076332162774101</v>
          </cell>
          <cell r="U100">
            <v>46.076332162774101</v>
          </cell>
          <cell r="V100">
            <v>46.076332162774101</v>
          </cell>
          <cell r="W100">
            <v>46.076332162774101</v>
          </cell>
          <cell r="X100">
            <v>46.076332162774101</v>
          </cell>
          <cell r="Y100">
            <v>46.076332162774101</v>
          </cell>
          <cell r="Z100">
            <v>46.076332162774101</v>
          </cell>
          <cell r="AA100">
            <v>46.076332162774101</v>
          </cell>
          <cell r="AB100">
            <v>46.076332162774101</v>
          </cell>
          <cell r="AC100">
            <v>46.076332162774101</v>
          </cell>
          <cell r="AD100">
            <v>46.076332162774101</v>
          </cell>
          <cell r="AE100">
            <v>46.076332162774101</v>
          </cell>
          <cell r="AF100">
            <v>46.076332162774101</v>
          </cell>
        </row>
        <row r="101">
          <cell r="A101" t="str">
            <v>Virginia</v>
          </cell>
          <cell r="B101">
            <v>53.155620432323389</v>
          </cell>
          <cell r="C101">
            <v>53.141958122684876</v>
          </cell>
          <cell r="D101">
            <v>53.13953441471952</v>
          </cell>
          <cell r="E101">
            <v>53.154614914966544</v>
          </cell>
          <cell r="F101">
            <v>53.146730697026371</v>
          </cell>
          <cell r="G101">
            <v>53.157546538335446</v>
          </cell>
          <cell r="H101">
            <v>53.157444016621263</v>
          </cell>
          <cell r="I101">
            <v>53.161185998907577</v>
          </cell>
          <cell r="J101">
            <v>53.131303776400443</v>
          </cell>
          <cell r="K101">
            <v>53.15633371474572</v>
          </cell>
          <cell r="L101">
            <v>53.142133345648688</v>
          </cell>
          <cell r="M101">
            <v>53.149968170701861</v>
          </cell>
          <cell r="N101">
            <v>53.138471514773855</v>
          </cell>
          <cell r="O101">
            <v>53.162720462242881</v>
          </cell>
          <cell r="P101">
            <v>53.13619112713171</v>
          </cell>
          <cell r="Q101">
            <v>53.124617942060738</v>
          </cell>
          <cell r="R101">
            <v>53.145218065755238</v>
          </cell>
          <cell r="S101">
            <v>53.131596292260099</v>
          </cell>
          <cell r="T101">
            <v>53.131596292260099</v>
          </cell>
          <cell r="U101">
            <v>53.131596292260099</v>
          </cell>
          <cell r="V101">
            <v>53.131596292260099</v>
          </cell>
          <cell r="W101">
            <v>53.131596292260099</v>
          </cell>
          <cell r="X101">
            <v>53.131596292260099</v>
          </cell>
          <cell r="Y101">
            <v>53.131596292260099</v>
          </cell>
          <cell r="Z101">
            <v>53.131596292260099</v>
          </cell>
          <cell r="AA101">
            <v>53.131596292260099</v>
          </cell>
          <cell r="AB101">
            <v>53.131596292260099</v>
          </cell>
          <cell r="AC101">
            <v>53.131596292260099</v>
          </cell>
          <cell r="AD101">
            <v>53.131596292260099</v>
          </cell>
          <cell r="AE101">
            <v>53.131596292260099</v>
          </cell>
          <cell r="AF101">
            <v>53.131596292260099</v>
          </cell>
        </row>
        <row r="102">
          <cell r="A102" t="str">
            <v>Washington</v>
          </cell>
          <cell r="B102">
            <v>45.683021181627566</v>
          </cell>
          <cell r="C102">
            <v>45.671279514885093</v>
          </cell>
          <cell r="D102">
            <v>45.669196530970694</v>
          </cell>
          <cell r="E102">
            <v>45.682157019562709</v>
          </cell>
          <cell r="F102">
            <v>45.675381162330076</v>
          </cell>
          <cell r="G102">
            <v>45.684676516303966</v>
          </cell>
          <cell r="H102">
            <v>45.684588407057888</v>
          </cell>
          <cell r="I102">
            <v>45.687804342732363</v>
          </cell>
          <cell r="J102">
            <v>45.662122953019576</v>
          </cell>
          <cell r="K102">
            <v>45.683634191046743</v>
          </cell>
          <cell r="L102">
            <v>45.67143010506355</v>
          </cell>
          <cell r="M102">
            <v>45.678163513044652</v>
          </cell>
          <cell r="N102">
            <v>45.668283053142076</v>
          </cell>
          <cell r="O102">
            <v>45.689123091727836</v>
          </cell>
          <cell r="P102">
            <v>45.666323241628071</v>
          </cell>
          <cell r="Q102">
            <v>45.656377011023729</v>
          </cell>
          <cell r="R102">
            <v>45.674081176254539</v>
          </cell>
          <cell r="S102">
            <v>45.662374347098023</v>
          </cell>
          <cell r="T102">
            <v>45.662374347098023</v>
          </cell>
          <cell r="U102">
            <v>45.662374347098023</v>
          </cell>
          <cell r="V102">
            <v>45.662374347098023</v>
          </cell>
          <cell r="W102">
            <v>45.662374347098023</v>
          </cell>
          <cell r="X102">
            <v>45.662374347098023</v>
          </cell>
          <cell r="Y102">
            <v>45.662374347098023</v>
          </cell>
          <cell r="Z102">
            <v>45.662374347098023</v>
          </cell>
          <cell r="AA102">
            <v>45.662374347098023</v>
          </cell>
          <cell r="AB102">
            <v>45.662374347098023</v>
          </cell>
          <cell r="AC102">
            <v>45.662374347098023</v>
          </cell>
          <cell r="AD102">
            <v>45.662374347098023</v>
          </cell>
          <cell r="AE102">
            <v>45.662374347098023</v>
          </cell>
          <cell r="AF102">
            <v>45.662374347098023</v>
          </cell>
        </row>
        <row r="103">
          <cell r="A103" t="str">
            <v>West Virginia</v>
          </cell>
          <cell r="B103">
            <v>46.09713706514669</v>
          </cell>
          <cell r="C103">
            <v>46.085304347766183</v>
          </cell>
          <cell r="D103">
            <v>46.08320252754568</v>
          </cell>
          <cell r="E103">
            <v>46.096261442810729</v>
          </cell>
          <cell r="F103">
            <v>46.089431611562425</v>
          </cell>
          <cell r="G103">
            <v>46.098802316741647</v>
          </cell>
          <cell r="H103">
            <v>46.098717953856109</v>
          </cell>
          <cell r="I103">
            <v>46.101961663394071</v>
          </cell>
          <cell r="J103">
            <v>46.076078730274276</v>
          </cell>
          <cell r="K103">
            <v>46.097753316387056</v>
          </cell>
          <cell r="L103">
            <v>46.085457130361327</v>
          </cell>
          <cell r="M103">
            <v>46.092243259730502</v>
          </cell>
          <cell r="N103">
            <v>46.082285354620332</v>
          </cell>
          <cell r="O103">
            <v>46.103286522795791</v>
          </cell>
          <cell r="P103">
            <v>46.080313113387774</v>
          </cell>
          <cell r="Q103">
            <v>46.070287181897655</v>
          </cell>
          <cell r="R103">
            <v>46.08812763142172</v>
          </cell>
          <cell r="S103">
            <v>46.076332162774108</v>
          </cell>
          <cell r="T103">
            <v>46.076332162774108</v>
          </cell>
          <cell r="U103">
            <v>46.076332162774108</v>
          </cell>
          <cell r="V103">
            <v>46.076332162774108</v>
          </cell>
          <cell r="W103">
            <v>46.076332162774108</v>
          </cell>
          <cell r="X103">
            <v>46.076332162774108</v>
          </cell>
          <cell r="Y103">
            <v>46.076332162774108</v>
          </cell>
          <cell r="Z103">
            <v>46.076332162774108</v>
          </cell>
          <cell r="AA103">
            <v>46.076332162774108</v>
          </cell>
          <cell r="AB103">
            <v>46.076332162774108</v>
          </cell>
          <cell r="AC103">
            <v>46.076332162774108</v>
          </cell>
          <cell r="AD103">
            <v>46.076332162774108</v>
          </cell>
          <cell r="AE103">
            <v>46.076332162774108</v>
          </cell>
          <cell r="AF103">
            <v>46.076332162774108</v>
          </cell>
        </row>
        <row r="104">
          <cell r="A104" t="str">
            <v>Wisconsin</v>
          </cell>
          <cell r="B104">
            <v>43.217831373890164</v>
          </cell>
          <cell r="C104">
            <v>43.206723321922524</v>
          </cell>
          <cell r="D104">
            <v>43.204752741929376</v>
          </cell>
          <cell r="E104">
            <v>43.217013844544859</v>
          </cell>
          <cell r="F104">
            <v>43.210603632441547</v>
          </cell>
          <cell r="G104">
            <v>43.219397381852453</v>
          </cell>
          <cell r="H104">
            <v>43.219314027239719</v>
          </cell>
          <cell r="I104">
            <v>43.222356421593091</v>
          </cell>
          <cell r="J104">
            <v>43.198060874990759</v>
          </cell>
          <cell r="K104">
            <v>43.218411303523176</v>
          </cell>
          <cell r="L104">
            <v>43.206865785813264</v>
          </cell>
          <cell r="M104">
            <v>43.21323583935115</v>
          </cell>
          <cell r="N104">
            <v>43.203888558043552</v>
          </cell>
          <cell r="O104">
            <v>43.223604007024989</v>
          </cell>
          <cell r="P104">
            <v>43.202034503706798</v>
          </cell>
          <cell r="Q104">
            <v>43.192625000877413</v>
          </cell>
          <cell r="R104">
            <v>43.209373797427396</v>
          </cell>
          <cell r="S104">
            <v>43.198298703107405</v>
          </cell>
          <cell r="T104">
            <v>43.198298703107405</v>
          </cell>
          <cell r="U104">
            <v>43.198298703107405</v>
          </cell>
          <cell r="V104">
            <v>43.198298703107405</v>
          </cell>
          <cell r="W104">
            <v>43.198298703107405</v>
          </cell>
          <cell r="X104">
            <v>43.198298703107405</v>
          </cell>
          <cell r="Y104">
            <v>43.198298703107405</v>
          </cell>
          <cell r="Z104">
            <v>43.198298703107405</v>
          </cell>
          <cell r="AA104">
            <v>43.198298703107405</v>
          </cell>
          <cell r="AB104">
            <v>43.198298703107405</v>
          </cell>
          <cell r="AC104">
            <v>43.198298703107405</v>
          </cell>
          <cell r="AD104">
            <v>43.198298703107405</v>
          </cell>
          <cell r="AE104">
            <v>43.198298703107405</v>
          </cell>
          <cell r="AF104">
            <v>43.198298703107405</v>
          </cell>
        </row>
        <row r="105">
          <cell r="A105" t="str">
            <v>Wyoming</v>
          </cell>
          <cell r="B105">
            <v>43.217831373890164</v>
          </cell>
          <cell r="C105">
            <v>43.206723321922517</v>
          </cell>
          <cell r="D105">
            <v>43.204752741929376</v>
          </cell>
          <cell r="E105">
            <v>43.217013844544852</v>
          </cell>
          <cell r="F105">
            <v>43.210603632441554</v>
          </cell>
          <cell r="G105">
            <v>43.219397381852446</v>
          </cell>
          <cell r="H105">
            <v>43.219314027239719</v>
          </cell>
          <cell r="I105">
            <v>43.222356421593098</v>
          </cell>
          <cell r="J105">
            <v>43.198060874990759</v>
          </cell>
          <cell r="K105">
            <v>43.218411303523169</v>
          </cell>
          <cell r="L105">
            <v>43.206865785813278</v>
          </cell>
          <cell r="M105">
            <v>43.213235839351142</v>
          </cell>
          <cell r="N105">
            <v>43.203888558043545</v>
          </cell>
          <cell r="O105">
            <v>43.223604007025003</v>
          </cell>
          <cell r="P105">
            <v>43.202034503706805</v>
          </cell>
          <cell r="Q105">
            <v>43.192625000877399</v>
          </cell>
          <cell r="R105">
            <v>43.209373797427411</v>
          </cell>
          <cell r="S105">
            <v>43.198298703107405</v>
          </cell>
          <cell r="T105">
            <v>43.198298703107405</v>
          </cell>
          <cell r="U105">
            <v>43.198298703107405</v>
          </cell>
          <cell r="V105">
            <v>43.198298703107405</v>
          </cell>
          <cell r="W105">
            <v>43.198298703107405</v>
          </cell>
          <cell r="X105">
            <v>43.198298703107405</v>
          </cell>
          <cell r="Y105">
            <v>43.198298703107405</v>
          </cell>
          <cell r="Z105">
            <v>43.198298703107405</v>
          </cell>
          <cell r="AA105">
            <v>43.198298703107405</v>
          </cell>
          <cell r="AB105">
            <v>43.198298703107405</v>
          </cell>
          <cell r="AC105">
            <v>43.198298703107405</v>
          </cell>
          <cell r="AD105">
            <v>43.198298703107405</v>
          </cell>
          <cell r="AE105">
            <v>43.198298703107405</v>
          </cell>
          <cell r="AF105">
            <v>43.198298703107405</v>
          </cell>
        </row>
        <row r="107">
          <cell r="A107" t="str">
            <v>Dairy Replacements 12-24 months</v>
          </cell>
          <cell r="B107">
            <v>1990</v>
          </cell>
          <cell r="C107">
            <v>1991</v>
          </cell>
          <cell r="D107">
            <v>1992</v>
          </cell>
          <cell r="E107">
            <v>1993</v>
          </cell>
          <cell r="F107">
            <v>1994</v>
          </cell>
          <cell r="G107">
            <v>1995</v>
          </cell>
          <cell r="H107">
            <v>1996</v>
          </cell>
          <cell r="I107">
            <v>1997</v>
          </cell>
          <cell r="J107">
            <v>1998</v>
          </cell>
          <cell r="K107">
            <v>1999</v>
          </cell>
          <cell r="L107">
            <v>2000</v>
          </cell>
          <cell r="M107">
            <v>2001</v>
          </cell>
          <cell r="N107">
            <v>2002</v>
          </cell>
          <cell r="O107">
            <v>2003</v>
          </cell>
          <cell r="P107">
            <v>2004</v>
          </cell>
          <cell r="Q107">
            <v>2005</v>
          </cell>
          <cell r="R107">
            <v>2006</v>
          </cell>
          <cell r="S107">
            <v>2007</v>
          </cell>
          <cell r="T107">
            <v>2008</v>
          </cell>
          <cell r="U107">
            <v>2009</v>
          </cell>
          <cell r="V107">
            <v>2010</v>
          </cell>
          <cell r="W107">
            <v>2011</v>
          </cell>
          <cell r="X107">
            <v>2012</v>
          </cell>
          <cell r="Y107">
            <v>2013</v>
          </cell>
          <cell r="Z107">
            <v>2014</v>
          </cell>
          <cell r="AA107">
            <v>2015</v>
          </cell>
          <cell r="AB107">
            <v>2016</v>
          </cell>
          <cell r="AC107">
            <v>2017</v>
          </cell>
          <cell r="AD107">
            <v>2018</v>
          </cell>
          <cell r="AE107">
            <v>2019</v>
          </cell>
          <cell r="AF107">
            <v>2020</v>
          </cell>
        </row>
        <row r="108">
          <cell r="A108" t="str">
            <v>Alabama</v>
          </cell>
          <cell r="B108">
            <v>80.436432761131783</v>
          </cell>
          <cell r="C108">
            <v>80.377413030952027</v>
          </cell>
          <cell r="D108">
            <v>80.372320408006985</v>
          </cell>
          <cell r="E108">
            <v>80.394771171633778</v>
          </cell>
          <cell r="F108">
            <v>80.375500300465262</v>
          </cell>
          <cell r="G108">
            <v>80.364400880355817</v>
          </cell>
          <cell r="H108">
            <v>80.383200336963768</v>
          </cell>
          <cell r="I108">
            <v>80.422183860276846</v>
          </cell>
          <cell r="J108">
            <v>80.386682911988572</v>
          </cell>
          <cell r="K108">
            <v>80.419838551315195</v>
          </cell>
          <cell r="L108">
            <v>80.357640342473829</v>
          </cell>
          <cell r="M108">
            <v>80.241437612437011</v>
          </cell>
          <cell r="N108">
            <v>80.22762331497556</v>
          </cell>
          <cell r="O108">
            <v>80.275504592880395</v>
          </cell>
          <cell r="P108">
            <v>80.205328162368573</v>
          </cell>
          <cell r="Q108">
            <v>80.193808975256218</v>
          </cell>
          <cell r="R108">
            <v>80.219411945339331</v>
          </cell>
          <cell r="S108">
            <v>80.179965748154203</v>
          </cell>
          <cell r="T108">
            <v>80.179965748154203</v>
          </cell>
          <cell r="U108">
            <v>80.179965748154203</v>
          </cell>
          <cell r="V108">
            <v>80.179965748154203</v>
          </cell>
          <cell r="W108">
            <v>80.179965748154203</v>
          </cell>
          <cell r="X108">
            <v>80.179965748154203</v>
          </cell>
          <cell r="Y108">
            <v>80.179965748154203</v>
          </cell>
          <cell r="Z108">
            <v>80.179965748154203</v>
          </cell>
          <cell r="AA108">
            <v>80.179965748154203</v>
          </cell>
          <cell r="AB108">
            <v>80.179965748154203</v>
          </cell>
          <cell r="AC108">
            <v>80.179965748154203</v>
          </cell>
          <cell r="AD108">
            <v>80.179965748154203</v>
          </cell>
          <cell r="AE108">
            <v>80.179965748154203</v>
          </cell>
          <cell r="AF108">
            <v>80.179965748154203</v>
          </cell>
        </row>
        <row r="109">
          <cell r="A109" t="str">
            <v>Alaska</v>
          </cell>
          <cell r="B109">
            <v>69.12870608442509</v>
          </cell>
          <cell r="C109">
            <v>69.077983328072946</v>
          </cell>
          <cell r="D109">
            <v>69.07360662434948</v>
          </cell>
          <cell r="E109">
            <v>69.092901267173076</v>
          </cell>
          <cell r="F109">
            <v>69.076339488595053</v>
          </cell>
          <cell r="G109">
            <v>69.066800421233168</v>
          </cell>
          <cell r="H109">
            <v>69.082957056551137</v>
          </cell>
          <cell r="I109">
            <v>69.116460289262193</v>
          </cell>
          <cell r="J109">
            <v>69.085950052349688</v>
          </cell>
          <cell r="K109">
            <v>69.114444683045917</v>
          </cell>
          <cell r="L109">
            <v>69.060990277493929</v>
          </cell>
          <cell r="M109">
            <v>68.961123288181014</v>
          </cell>
          <cell r="N109">
            <v>68.949251000012666</v>
          </cell>
          <cell r="O109">
            <v>68.990401143966182</v>
          </cell>
          <cell r="P109">
            <v>68.930090092464027</v>
          </cell>
          <cell r="Q109">
            <v>68.920190268803452</v>
          </cell>
          <cell r="R109">
            <v>68.942193981959406</v>
          </cell>
          <cell r="S109">
            <v>68.908293117913672</v>
          </cell>
          <cell r="T109">
            <v>68.908293117913672</v>
          </cell>
          <cell r="U109">
            <v>68.908293117913672</v>
          </cell>
          <cell r="V109">
            <v>68.908293117913672</v>
          </cell>
          <cell r="W109">
            <v>68.908293117913672</v>
          </cell>
          <cell r="X109">
            <v>68.908293117913672</v>
          </cell>
          <cell r="Y109">
            <v>68.908293117913672</v>
          </cell>
          <cell r="Z109">
            <v>68.908293117913672</v>
          </cell>
          <cell r="AA109">
            <v>68.908293117913672</v>
          </cell>
          <cell r="AB109">
            <v>68.908293117913672</v>
          </cell>
          <cell r="AC109">
            <v>68.908293117913672</v>
          </cell>
          <cell r="AD109">
            <v>68.908293117913672</v>
          </cell>
          <cell r="AE109">
            <v>68.908293117913672</v>
          </cell>
          <cell r="AF109">
            <v>68.908293117913672</v>
          </cell>
        </row>
        <row r="110">
          <cell r="A110" t="str">
            <v>Arizona</v>
          </cell>
          <cell r="B110">
            <v>69.12870608442509</v>
          </cell>
          <cell r="C110">
            <v>69.077983328072975</v>
          </cell>
          <cell r="D110">
            <v>69.073606624349495</v>
          </cell>
          <cell r="E110">
            <v>69.092901267173062</v>
          </cell>
          <cell r="F110">
            <v>69.076339488595025</v>
          </cell>
          <cell r="G110">
            <v>69.066800421233168</v>
          </cell>
          <cell r="H110">
            <v>69.082957056551152</v>
          </cell>
          <cell r="I110">
            <v>69.116460289262164</v>
          </cell>
          <cell r="J110">
            <v>69.085950052349688</v>
          </cell>
          <cell r="K110">
            <v>69.114444683045932</v>
          </cell>
          <cell r="L110">
            <v>69.060990277493914</v>
          </cell>
          <cell r="M110">
            <v>68.961123288181014</v>
          </cell>
          <cell r="N110">
            <v>68.949251000012652</v>
          </cell>
          <cell r="O110">
            <v>68.99040114396621</v>
          </cell>
          <cell r="P110">
            <v>68.930090092464013</v>
          </cell>
          <cell r="Q110">
            <v>68.920190268803466</v>
          </cell>
          <cell r="R110">
            <v>68.942193981959406</v>
          </cell>
          <cell r="S110">
            <v>68.908293117913658</v>
          </cell>
          <cell r="T110">
            <v>68.908293117913658</v>
          </cell>
          <cell r="U110">
            <v>68.908293117913658</v>
          </cell>
          <cell r="V110">
            <v>68.908293117913658</v>
          </cell>
          <cell r="W110">
            <v>68.908293117913658</v>
          </cell>
          <cell r="X110">
            <v>68.908293117913658</v>
          </cell>
          <cell r="Y110">
            <v>68.908293117913658</v>
          </cell>
          <cell r="Z110">
            <v>68.908293117913658</v>
          </cell>
          <cell r="AA110">
            <v>68.908293117913658</v>
          </cell>
          <cell r="AB110">
            <v>68.908293117913658</v>
          </cell>
          <cell r="AC110">
            <v>68.908293117913658</v>
          </cell>
          <cell r="AD110">
            <v>68.908293117913658</v>
          </cell>
          <cell r="AE110">
            <v>68.908293117913658</v>
          </cell>
          <cell r="AF110">
            <v>68.908293117913658</v>
          </cell>
        </row>
        <row r="111">
          <cell r="A111" t="str">
            <v>Arkansas</v>
          </cell>
          <cell r="B111">
            <v>78.187146678824817</v>
          </cell>
          <cell r="C111">
            <v>78.129723002207001</v>
          </cell>
          <cell r="D111">
            <v>78.124768546032016</v>
          </cell>
          <cell r="E111">
            <v>78.146613661284675</v>
          </cell>
          <cell r="F111">
            <v>78.127863885236422</v>
          </cell>
          <cell r="G111">
            <v>78.117065319385304</v>
          </cell>
          <cell r="H111">
            <v>78.135354967657207</v>
          </cell>
          <cell r="I111">
            <v>78.173283105196106</v>
          </cell>
          <cell r="J111">
            <v>78.138740413227936</v>
          </cell>
          <cell r="K111">
            <v>78.171002022146581</v>
          </cell>
          <cell r="L111">
            <v>78.110485294106454</v>
          </cell>
          <cell r="M111">
            <v>77.998636902086616</v>
          </cell>
          <cell r="N111">
            <v>77.985195281094249</v>
          </cell>
          <cell r="O111">
            <v>78.031783872157789</v>
          </cell>
          <cell r="P111">
            <v>77.963502422498195</v>
          </cell>
          <cell r="Q111">
            <v>77.952294168329232</v>
          </cell>
          <cell r="R111">
            <v>77.97720694408838</v>
          </cell>
          <cell r="S111">
            <v>77.938825944107151</v>
          </cell>
          <cell r="T111">
            <v>77.938825944107151</v>
          </cell>
          <cell r="U111">
            <v>77.938825944107151</v>
          </cell>
          <cell r="V111">
            <v>77.938825944107151</v>
          </cell>
          <cell r="W111">
            <v>77.938825944107151</v>
          </cell>
          <cell r="X111">
            <v>77.938825944107151</v>
          </cell>
          <cell r="Y111">
            <v>77.938825944107151</v>
          </cell>
          <cell r="Z111">
            <v>77.938825944107151</v>
          </cell>
          <cell r="AA111">
            <v>77.938825944107151</v>
          </cell>
          <cell r="AB111">
            <v>77.938825944107151</v>
          </cell>
          <cell r="AC111">
            <v>77.938825944107151</v>
          </cell>
          <cell r="AD111">
            <v>77.938825944107151</v>
          </cell>
          <cell r="AE111">
            <v>77.938825944107151</v>
          </cell>
          <cell r="AF111">
            <v>77.938825944107151</v>
          </cell>
        </row>
        <row r="112">
          <cell r="A112" t="str">
            <v>California</v>
          </cell>
          <cell r="B112">
            <v>69.12870608442509</v>
          </cell>
          <cell r="C112">
            <v>69.077983328072946</v>
          </cell>
          <cell r="D112">
            <v>69.073606624349495</v>
          </cell>
          <cell r="E112">
            <v>69.09290126717309</v>
          </cell>
          <cell r="F112">
            <v>69.076339488595011</v>
          </cell>
          <cell r="G112">
            <v>69.066800421233182</v>
          </cell>
          <cell r="H112">
            <v>69.082957056551123</v>
          </cell>
          <cell r="I112">
            <v>69.116460289262179</v>
          </cell>
          <cell r="J112">
            <v>69.085950052349673</v>
          </cell>
          <cell r="K112">
            <v>69.114444683045932</v>
          </cell>
          <cell r="L112">
            <v>69.060990277493914</v>
          </cell>
          <cell r="M112">
            <v>68.961123288181</v>
          </cell>
          <cell r="N112">
            <v>68.949251000012637</v>
          </cell>
          <cell r="O112">
            <v>68.990401143966182</v>
          </cell>
          <cell r="P112">
            <v>68.930090092464027</v>
          </cell>
          <cell r="Q112">
            <v>68.920190268803452</v>
          </cell>
          <cell r="R112">
            <v>68.942193981959392</v>
          </cell>
          <cell r="S112">
            <v>68.908293117913686</v>
          </cell>
          <cell r="T112">
            <v>68.908293117913686</v>
          </cell>
          <cell r="U112">
            <v>68.908293117913686</v>
          </cell>
          <cell r="V112">
            <v>68.908293117913686</v>
          </cell>
          <cell r="W112">
            <v>68.908293117913686</v>
          </cell>
          <cell r="X112">
            <v>68.908293117913686</v>
          </cell>
          <cell r="Y112">
            <v>68.908293117913686</v>
          </cell>
          <cell r="Z112">
            <v>68.908293117913686</v>
          </cell>
          <cell r="AA112">
            <v>68.908293117913686</v>
          </cell>
          <cell r="AB112">
            <v>68.908293117913686</v>
          </cell>
          <cell r="AC112">
            <v>68.908293117913686</v>
          </cell>
          <cell r="AD112">
            <v>68.908293117913686</v>
          </cell>
          <cell r="AE112">
            <v>68.908293117913686</v>
          </cell>
          <cell r="AF112">
            <v>68.908293117913686</v>
          </cell>
        </row>
        <row r="113">
          <cell r="A113" t="str">
            <v>Colorado</v>
          </cell>
          <cell r="B113">
            <v>65.398318354947719</v>
          </cell>
          <cell r="C113">
            <v>65.350332747294246</v>
          </cell>
          <cell r="D113">
            <v>65.346192223340253</v>
          </cell>
          <cell r="E113">
            <v>65.364445670647356</v>
          </cell>
          <cell r="F113">
            <v>65.348777614215834</v>
          </cell>
          <cell r="G113">
            <v>65.339753302906175</v>
          </cell>
          <cell r="H113">
            <v>65.355038078796184</v>
          </cell>
          <cell r="I113">
            <v>65.386733378807762</v>
          </cell>
          <cell r="J113">
            <v>65.357869563763217</v>
          </cell>
          <cell r="K113">
            <v>65.384826540614569</v>
          </cell>
          <cell r="L113">
            <v>65.334256691563766</v>
          </cell>
          <cell r="M113">
            <v>65.239778817896394</v>
          </cell>
          <cell r="N113">
            <v>65.228547193218077</v>
          </cell>
          <cell r="O113">
            <v>65.267476754713698</v>
          </cell>
          <cell r="P113">
            <v>65.210420264438241</v>
          </cell>
          <cell r="Q113">
            <v>65.201054664297814</v>
          </cell>
          <cell r="R113">
            <v>65.221870992556674</v>
          </cell>
          <cell r="S113">
            <v>65.189799518563461</v>
          </cell>
          <cell r="T113">
            <v>65.189799518563461</v>
          </cell>
          <cell r="U113">
            <v>65.189799518563461</v>
          </cell>
          <cell r="V113">
            <v>65.189799518563461</v>
          </cell>
          <cell r="W113">
            <v>65.189799518563461</v>
          </cell>
          <cell r="X113">
            <v>65.189799518563461</v>
          </cell>
          <cell r="Y113">
            <v>65.189799518563461</v>
          </cell>
          <cell r="Z113">
            <v>65.189799518563461</v>
          </cell>
          <cell r="AA113">
            <v>65.189799518563461</v>
          </cell>
          <cell r="AB113">
            <v>65.189799518563461</v>
          </cell>
          <cell r="AC113">
            <v>65.189799518563461</v>
          </cell>
          <cell r="AD113">
            <v>65.189799518563461</v>
          </cell>
          <cell r="AE113">
            <v>65.189799518563461</v>
          </cell>
          <cell r="AF113">
            <v>65.189799518563461</v>
          </cell>
        </row>
        <row r="114">
          <cell r="A114" t="str">
            <v>Connecticut</v>
          </cell>
          <cell r="B114">
            <v>69.760211048019343</v>
          </cell>
          <cell r="C114">
            <v>69.709067096958165</v>
          </cell>
          <cell r="D114">
            <v>69.704653701747233</v>
          </cell>
          <cell r="E114">
            <v>69.724107415340228</v>
          </cell>
          <cell r="F114">
            <v>69.70740814225671</v>
          </cell>
          <cell r="G114">
            <v>69.697789323893787</v>
          </cell>
          <cell r="H114">
            <v>69.714081223503129</v>
          </cell>
          <cell r="I114">
            <v>69.747863566792972</v>
          </cell>
          <cell r="J114">
            <v>69.717101362598356</v>
          </cell>
          <cell r="K114">
            <v>69.745830600668171</v>
          </cell>
          <cell r="L114">
            <v>69.691932726425577</v>
          </cell>
          <cell r="M114">
            <v>69.590296118948075</v>
          </cell>
          <cell r="N114">
            <v>69.578325942965819</v>
          </cell>
          <cell r="O114">
            <v>69.619816121617504</v>
          </cell>
          <cell r="P114">
            <v>69.559006412702516</v>
          </cell>
          <cell r="Q114">
            <v>69.549024830078778</v>
          </cell>
          <cell r="R114">
            <v>69.571209567953119</v>
          </cell>
          <cell r="S114">
            <v>69.537028386842081</v>
          </cell>
          <cell r="T114">
            <v>69.537028386842081</v>
          </cell>
          <cell r="U114">
            <v>69.537028386842081</v>
          </cell>
          <cell r="V114">
            <v>69.537028386842081</v>
          </cell>
          <cell r="W114">
            <v>69.537028386842081</v>
          </cell>
          <cell r="X114">
            <v>69.537028386842081</v>
          </cell>
          <cell r="Y114">
            <v>69.537028386842081</v>
          </cell>
          <cell r="Z114">
            <v>69.537028386842081</v>
          </cell>
          <cell r="AA114">
            <v>69.537028386842081</v>
          </cell>
          <cell r="AB114">
            <v>69.537028386842081</v>
          </cell>
          <cell r="AC114">
            <v>69.537028386842081</v>
          </cell>
          <cell r="AD114">
            <v>69.537028386842081</v>
          </cell>
          <cell r="AE114">
            <v>69.537028386842081</v>
          </cell>
          <cell r="AF114">
            <v>69.537028386842081</v>
          </cell>
        </row>
        <row r="115">
          <cell r="A115" t="str">
            <v>Delaware</v>
          </cell>
          <cell r="B115">
            <v>69.760211048019315</v>
          </cell>
          <cell r="C115">
            <v>69.709067096958165</v>
          </cell>
          <cell r="D115">
            <v>69.704653701747247</v>
          </cell>
          <cell r="E115">
            <v>69.724107415340228</v>
          </cell>
          <cell r="F115">
            <v>69.707408142256725</v>
          </cell>
          <cell r="G115">
            <v>69.697789323893787</v>
          </cell>
          <cell r="H115">
            <v>69.714081223503101</v>
          </cell>
          <cell r="I115">
            <v>69.747863566792986</v>
          </cell>
          <cell r="J115">
            <v>69.717101362598356</v>
          </cell>
          <cell r="K115">
            <v>69.745830600668143</v>
          </cell>
          <cell r="L115">
            <v>69.691932726425563</v>
          </cell>
          <cell r="M115">
            <v>69.590296118948075</v>
          </cell>
          <cell r="N115">
            <v>69.578325942965819</v>
          </cell>
          <cell r="O115">
            <v>69.619816121617504</v>
          </cell>
          <cell r="P115">
            <v>69.559006412702516</v>
          </cell>
          <cell r="Q115">
            <v>69.54902483007875</v>
          </cell>
          <cell r="R115">
            <v>69.571209567953105</v>
          </cell>
          <cell r="S115">
            <v>69.537028386842096</v>
          </cell>
          <cell r="T115">
            <v>69.537028386842096</v>
          </cell>
          <cell r="U115">
            <v>69.537028386842096</v>
          </cell>
          <cell r="V115">
            <v>69.537028386842096</v>
          </cell>
          <cell r="W115">
            <v>69.537028386842096</v>
          </cell>
          <cell r="X115">
            <v>69.537028386842096</v>
          </cell>
          <cell r="Y115">
            <v>69.537028386842096</v>
          </cell>
          <cell r="Z115">
            <v>69.537028386842096</v>
          </cell>
          <cell r="AA115">
            <v>69.537028386842096</v>
          </cell>
          <cell r="AB115">
            <v>69.537028386842096</v>
          </cell>
          <cell r="AC115">
            <v>69.537028386842096</v>
          </cell>
          <cell r="AD115">
            <v>69.537028386842096</v>
          </cell>
          <cell r="AE115">
            <v>69.537028386842096</v>
          </cell>
          <cell r="AF115">
            <v>69.537028386842096</v>
          </cell>
        </row>
        <row r="116">
          <cell r="A116" t="str">
            <v>Florida</v>
          </cell>
          <cell r="B116">
            <v>80.436432761131783</v>
          </cell>
          <cell r="C116">
            <v>80.377413030952013</v>
          </cell>
          <cell r="D116">
            <v>80.372320408006971</v>
          </cell>
          <cell r="E116">
            <v>80.394771171633764</v>
          </cell>
          <cell r="F116">
            <v>80.375500300465305</v>
          </cell>
          <cell r="G116">
            <v>80.364400880355831</v>
          </cell>
          <cell r="H116">
            <v>80.383200336963782</v>
          </cell>
          <cell r="I116">
            <v>80.422183860276817</v>
          </cell>
          <cell r="J116">
            <v>80.386682911988558</v>
          </cell>
          <cell r="K116">
            <v>80.419838551315195</v>
          </cell>
          <cell r="L116">
            <v>80.357640342473829</v>
          </cell>
          <cell r="M116">
            <v>80.241437612437025</v>
          </cell>
          <cell r="N116">
            <v>80.227623314975574</v>
          </cell>
          <cell r="O116">
            <v>80.275504592880409</v>
          </cell>
          <cell r="P116">
            <v>80.205328162368559</v>
          </cell>
          <cell r="Q116">
            <v>80.193808975256218</v>
          </cell>
          <cell r="R116">
            <v>80.219411945339331</v>
          </cell>
          <cell r="S116">
            <v>80.179965748154217</v>
          </cell>
          <cell r="T116">
            <v>80.179965748154217</v>
          </cell>
          <cell r="U116">
            <v>80.179965748154217</v>
          </cell>
          <cell r="V116">
            <v>80.179965748154217</v>
          </cell>
          <cell r="W116">
            <v>80.179965748154217</v>
          </cell>
          <cell r="X116">
            <v>80.179965748154217</v>
          </cell>
          <cell r="Y116">
            <v>80.179965748154217</v>
          </cell>
          <cell r="Z116">
            <v>80.179965748154217</v>
          </cell>
          <cell r="AA116">
            <v>80.179965748154217</v>
          </cell>
          <cell r="AB116">
            <v>80.179965748154217</v>
          </cell>
          <cell r="AC116">
            <v>80.179965748154217</v>
          </cell>
          <cell r="AD116">
            <v>80.179965748154217</v>
          </cell>
          <cell r="AE116">
            <v>80.179965748154217</v>
          </cell>
          <cell r="AF116">
            <v>80.179965748154217</v>
          </cell>
        </row>
        <row r="117">
          <cell r="A117" t="str">
            <v>Georgia</v>
          </cell>
          <cell r="B117">
            <v>80.436432761131769</v>
          </cell>
          <cell r="C117">
            <v>80.377413030952042</v>
          </cell>
          <cell r="D117">
            <v>80.372320408006985</v>
          </cell>
          <cell r="E117">
            <v>80.394771171633778</v>
          </cell>
          <cell r="F117">
            <v>80.375500300465276</v>
          </cell>
          <cell r="G117">
            <v>80.364400880355817</v>
          </cell>
          <cell r="H117">
            <v>80.383200336963782</v>
          </cell>
          <cell r="I117">
            <v>80.422183860276832</v>
          </cell>
          <cell r="J117">
            <v>80.386682911988558</v>
          </cell>
          <cell r="K117">
            <v>80.419838551315209</v>
          </cell>
          <cell r="L117">
            <v>80.357640342473829</v>
          </cell>
          <cell r="M117">
            <v>80.241437612437025</v>
          </cell>
          <cell r="N117">
            <v>80.227623314975546</v>
          </cell>
          <cell r="O117">
            <v>80.275504592880409</v>
          </cell>
          <cell r="P117">
            <v>80.205328162368545</v>
          </cell>
          <cell r="Q117">
            <v>80.193808975256232</v>
          </cell>
          <cell r="R117">
            <v>80.219411945339331</v>
          </cell>
          <cell r="S117">
            <v>80.179965748154217</v>
          </cell>
          <cell r="T117">
            <v>80.179965748154217</v>
          </cell>
          <cell r="U117">
            <v>80.179965748154217</v>
          </cell>
          <cell r="V117">
            <v>80.179965748154217</v>
          </cell>
          <cell r="W117">
            <v>80.179965748154217</v>
          </cell>
          <cell r="X117">
            <v>80.179965748154217</v>
          </cell>
          <cell r="Y117">
            <v>80.179965748154217</v>
          </cell>
          <cell r="Z117">
            <v>80.179965748154217</v>
          </cell>
          <cell r="AA117">
            <v>80.179965748154217</v>
          </cell>
          <cell r="AB117">
            <v>80.179965748154217</v>
          </cell>
          <cell r="AC117">
            <v>80.179965748154217</v>
          </cell>
          <cell r="AD117">
            <v>80.179965748154217</v>
          </cell>
          <cell r="AE117">
            <v>80.179965748154217</v>
          </cell>
          <cell r="AF117">
            <v>80.179965748154217</v>
          </cell>
        </row>
        <row r="118">
          <cell r="A118" t="str">
            <v>Hawaii</v>
          </cell>
          <cell r="B118">
            <v>69.128706084425076</v>
          </cell>
          <cell r="C118">
            <v>69.077983328072946</v>
          </cell>
          <cell r="D118">
            <v>69.073606624349495</v>
          </cell>
          <cell r="E118">
            <v>69.092901267173062</v>
          </cell>
          <cell r="F118">
            <v>69.076339488595025</v>
          </cell>
          <cell r="G118">
            <v>69.066800421233168</v>
          </cell>
          <cell r="H118">
            <v>69.082957056551137</v>
          </cell>
          <cell r="I118">
            <v>69.116460289262164</v>
          </cell>
          <cell r="J118">
            <v>69.085950052349673</v>
          </cell>
          <cell r="K118">
            <v>69.114444683045932</v>
          </cell>
          <cell r="L118">
            <v>69.060990277493929</v>
          </cell>
          <cell r="M118">
            <v>68.961123288181014</v>
          </cell>
          <cell r="N118">
            <v>68.949251000012652</v>
          </cell>
          <cell r="O118">
            <v>68.990401143966196</v>
          </cell>
          <cell r="P118">
            <v>68.930090092464027</v>
          </cell>
          <cell r="Q118">
            <v>68.920190268803452</v>
          </cell>
          <cell r="R118">
            <v>68.942193981959406</v>
          </cell>
          <cell r="S118">
            <v>68.908293117913672</v>
          </cell>
          <cell r="T118">
            <v>68.908293117913672</v>
          </cell>
          <cell r="U118">
            <v>68.908293117913672</v>
          </cell>
          <cell r="V118">
            <v>68.908293117913672</v>
          </cell>
          <cell r="W118">
            <v>68.908293117913672</v>
          </cell>
          <cell r="X118">
            <v>68.908293117913672</v>
          </cell>
          <cell r="Y118">
            <v>68.908293117913672</v>
          </cell>
          <cell r="Z118">
            <v>68.908293117913672</v>
          </cell>
          <cell r="AA118">
            <v>68.908293117913672</v>
          </cell>
          <cell r="AB118">
            <v>68.908293117913672</v>
          </cell>
          <cell r="AC118">
            <v>68.908293117913672</v>
          </cell>
          <cell r="AD118">
            <v>68.908293117913672</v>
          </cell>
          <cell r="AE118">
            <v>68.908293117913672</v>
          </cell>
          <cell r="AF118">
            <v>68.908293117913672</v>
          </cell>
        </row>
        <row r="119">
          <cell r="A119" t="str">
            <v>Idaho</v>
          </cell>
          <cell r="B119">
            <v>69.128706084425104</v>
          </cell>
          <cell r="C119">
            <v>69.07798332807296</v>
          </cell>
          <cell r="D119">
            <v>69.073606624349495</v>
          </cell>
          <cell r="E119">
            <v>69.092901267173062</v>
          </cell>
          <cell r="F119">
            <v>69.076339488595025</v>
          </cell>
          <cell r="G119">
            <v>69.066800421233182</v>
          </cell>
          <cell r="H119">
            <v>69.082957056551123</v>
          </cell>
          <cell r="I119">
            <v>69.116460289262179</v>
          </cell>
          <cell r="J119">
            <v>69.085950052349673</v>
          </cell>
          <cell r="K119">
            <v>69.114444683045946</v>
          </cell>
          <cell r="L119">
            <v>69.0609902774939</v>
          </cell>
          <cell r="M119">
            <v>68.961123288181028</v>
          </cell>
          <cell r="N119">
            <v>68.949251000012652</v>
          </cell>
          <cell r="O119">
            <v>68.990401143966196</v>
          </cell>
          <cell r="P119">
            <v>68.930090092463999</v>
          </cell>
          <cell r="Q119">
            <v>68.920190268803438</v>
          </cell>
          <cell r="R119">
            <v>68.942193981959392</v>
          </cell>
          <cell r="S119">
            <v>68.908293117913672</v>
          </cell>
          <cell r="T119">
            <v>68.908293117913672</v>
          </cell>
          <cell r="U119">
            <v>68.908293117913672</v>
          </cell>
          <cell r="V119">
            <v>68.908293117913672</v>
          </cell>
          <cell r="W119">
            <v>68.908293117913672</v>
          </cell>
          <cell r="X119">
            <v>68.908293117913672</v>
          </cell>
          <cell r="Y119">
            <v>68.908293117913672</v>
          </cell>
          <cell r="Z119">
            <v>68.908293117913672</v>
          </cell>
          <cell r="AA119">
            <v>68.908293117913672</v>
          </cell>
          <cell r="AB119">
            <v>68.908293117913672</v>
          </cell>
          <cell r="AC119">
            <v>68.908293117913672</v>
          </cell>
          <cell r="AD119">
            <v>68.908293117913672</v>
          </cell>
          <cell r="AE119">
            <v>68.908293117913672</v>
          </cell>
          <cell r="AF119">
            <v>68.908293117913672</v>
          </cell>
        </row>
        <row r="120">
          <cell r="A120" t="str">
            <v>Illinois</v>
          </cell>
          <cell r="B120">
            <v>65.398318354947705</v>
          </cell>
          <cell r="C120">
            <v>65.350332747294274</v>
          </cell>
          <cell r="D120">
            <v>65.346192223340239</v>
          </cell>
          <cell r="E120">
            <v>65.364445670647356</v>
          </cell>
          <cell r="F120">
            <v>65.348777614215805</v>
          </cell>
          <cell r="G120">
            <v>65.339753302906161</v>
          </cell>
          <cell r="H120">
            <v>65.355038078796184</v>
          </cell>
          <cell r="I120">
            <v>65.386733378807762</v>
          </cell>
          <cell r="J120">
            <v>65.357869563763231</v>
          </cell>
          <cell r="K120">
            <v>65.384826540614583</v>
          </cell>
          <cell r="L120">
            <v>65.334256691563766</v>
          </cell>
          <cell r="M120">
            <v>65.239778817896379</v>
          </cell>
          <cell r="N120">
            <v>65.228547193218077</v>
          </cell>
          <cell r="O120">
            <v>65.267476754713698</v>
          </cell>
          <cell r="P120">
            <v>65.210420264438227</v>
          </cell>
          <cell r="Q120">
            <v>65.201054664297814</v>
          </cell>
          <cell r="R120">
            <v>65.22187099255666</v>
          </cell>
          <cell r="S120">
            <v>65.189799518563476</v>
          </cell>
          <cell r="T120">
            <v>65.189799518563476</v>
          </cell>
          <cell r="U120">
            <v>65.189799518563476</v>
          </cell>
          <cell r="V120">
            <v>65.189799518563476</v>
          </cell>
          <cell r="W120">
            <v>65.189799518563476</v>
          </cell>
          <cell r="X120">
            <v>65.189799518563476</v>
          </cell>
          <cell r="Y120">
            <v>65.189799518563476</v>
          </cell>
          <cell r="Z120">
            <v>65.189799518563476</v>
          </cell>
          <cell r="AA120">
            <v>65.189799518563476</v>
          </cell>
          <cell r="AB120">
            <v>65.189799518563476</v>
          </cell>
          <cell r="AC120">
            <v>65.189799518563476</v>
          </cell>
          <cell r="AD120">
            <v>65.189799518563476</v>
          </cell>
          <cell r="AE120">
            <v>65.189799518563476</v>
          </cell>
          <cell r="AF120">
            <v>65.189799518563476</v>
          </cell>
        </row>
        <row r="121">
          <cell r="A121" t="str">
            <v>Indiana</v>
          </cell>
          <cell r="B121">
            <v>65.398318354947705</v>
          </cell>
          <cell r="C121">
            <v>65.35033274729426</v>
          </cell>
          <cell r="D121">
            <v>65.346192223340253</v>
          </cell>
          <cell r="E121">
            <v>65.364445670647356</v>
          </cell>
          <cell r="F121">
            <v>65.34877761421582</v>
          </cell>
          <cell r="G121">
            <v>65.339753302906175</v>
          </cell>
          <cell r="H121">
            <v>65.355038078796198</v>
          </cell>
          <cell r="I121">
            <v>65.386733378807776</v>
          </cell>
          <cell r="J121">
            <v>65.357869563763217</v>
          </cell>
          <cell r="K121">
            <v>65.384826540614569</v>
          </cell>
          <cell r="L121">
            <v>65.334256691563766</v>
          </cell>
          <cell r="M121">
            <v>65.239778817896365</v>
          </cell>
          <cell r="N121">
            <v>65.228547193218077</v>
          </cell>
          <cell r="O121">
            <v>65.267476754713684</v>
          </cell>
          <cell r="P121">
            <v>65.210420264438241</v>
          </cell>
          <cell r="Q121">
            <v>65.201054664297814</v>
          </cell>
          <cell r="R121">
            <v>65.221870992556688</v>
          </cell>
          <cell r="S121">
            <v>65.189799518563476</v>
          </cell>
          <cell r="T121">
            <v>65.189799518563476</v>
          </cell>
          <cell r="U121">
            <v>65.189799518563476</v>
          </cell>
          <cell r="V121">
            <v>65.189799518563476</v>
          </cell>
          <cell r="W121">
            <v>65.189799518563476</v>
          </cell>
          <cell r="X121">
            <v>65.189799518563476</v>
          </cell>
          <cell r="Y121">
            <v>65.189799518563476</v>
          </cell>
          <cell r="Z121">
            <v>65.189799518563476</v>
          </cell>
          <cell r="AA121">
            <v>65.189799518563476</v>
          </cell>
          <cell r="AB121">
            <v>65.189799518563476</v>
          </cell>
          <cell r="AC121">
            <v>65.189799518563476</v>
          </cell>
          <cell r="AD121">
            <v>65.189799518563476</v>
          </cell>
          <cell r="AE121">
            <v>65.189799518563476</v>
          </cell>
          <cell r="AF121">
            <v>65.189799518563476</v>
          </cell>
        </row>
        <row r="122">
          <cell r="A122" t="str">
            <v>Iowa</v>
          </cell>
          <cell r="B122">
            <v>65.398318354947719</v>
          </cell>
          <cell r="C122">
            <v>65.35033274729426</v>
          </cell>
          <cell r="D122">
            <v>65.346192223340239</v>
          </cell>
          <cell r="E122">
            <v>65.36444567064737</v>
          </cell>
          <cell r="F122">
            <v>65.34877761421582</v>
          </cell>
          <cell r="G122">
            <v>65.339753302906175</v>
          </cell>
          <cell r="H122">
            <v>65.355038078796198</v>
          </cell>
          <cell r="I122">
            <v>65.386733378807762</v>
          </cell>
          <cell r="J122">
            <v>65.357869563763217</v>
          </cell>
          <cell r="K122">
            <v>65.384826540614583</v>
          </cell>
          <cell r="L122">
            <v>65.334256691563766</v>
          </cell>
          <cell r="M122">
            <v>65.239778817896379</v>
          </cell>
          <cell r="N122">
            <v>65.228547193218063</v>
          </cell>
          <cell r="O122">
            <v>65.267476754713698</v>
          </cell>
          <cell r="P122">
            <v>65.210420264438213</v>
          </cell>
          <cell r="Q122">
            <v>65.201054664297814</v>
          </cell>
          <cell r="R122">
            <v>65.221870992556688</v>
          </cell>
          <cell r="S122">
            <v>65.189799518563461</v>
          </cell>
          <cell r="T122">
            <v>65.189799518563461</v>
          </cell>
          <cell r="U122">
            <v>65.189799518563461</v>
          </cell>
          <cell r="V122">
            <v>65.189799518563461</v>
          </cell>
          <cell r="W122">
            <v>65.189799518563461</v>
          </cell>
          <cell r="X122">
            <v>65.189799518563461</v>
          </cell>
          <cell r="Y122">
            <v>65.189799518563461</v>
          </cell>
          <cell r="Z122">
            <v>65.189799518563461</v>
          </cell>
          <cell r="AA122">
            <v>65.189799518563461</v>
          </cell>
          <cell r="AB122">
            <v>65.189799518563461</v>
          </cell>
          <cell r="AC122">
            <v>65.189799518563461</v>
          </cell>
          <cell r="AD122">
            <v>65.189799518563461</v>
          </cell>
          <cell r="AE122">
            <v>65.189799518563461</v>
          </cell>
          <cell r="AF122">
            <v>65.189799518563461</v>
          </cell>
        </row>
        <row r="123">
          <cell r="A123" t="str">
            <v>Kansas</v>
          </cell>
          <cell r="B123">
            <v>65.398318354947705</v>
          </cell>
          <cell r="C123">
            <v>65.35033274729426</v>
          </cell>
          <cell r="D123">
            <v>65.346192223340253</v>
          </cell>
          <cell r="E123">
            <v>65.364445670647356</v>
          </cell>
          <cell r="F123">
            <v>65.348777614215834</v>
          </cell>
          <cell r="G123">
            <v>65.339753302906161</v>
          </cell>
          <cell r="H123">
            <v>65.355038078796198</v>
          </cell>
          <cell r="I123">
            <v>65.386733378807762</v>
          </cell>
          <cell r="J123">
            <v>65.357869563763217</v>
          </cell>
          <cell r="K123">
            <v>65.384826540614569</v>
          </cell>
          <cell r="L123">
            <v>65.334256691563766</v>
          </cell>
          <cell r="M123">
            <v>65.239778817896394</v>
          </cell>
          <cell r="N123">
            <v>65.228547193218077</v>
          </cell>
          <cell r="O123">
            <v>65.267476754713698</v>
          </cell>
          <cell r="P123">
            <v>65.210420264438241</v>
          </cell>
          <cell r="Q123">
            <v>65.201054664297814</v>
          </cell>
          <cell r="R123">
            <v>65.221870992556674</v>
          </cell>
          <cell r="S123">
            <v>65.189799518563461</v>
          </cell>
          <cell r="T123">
            <v>65.189799518563461</v>
          </cell>
          <cell r="U123">
            <v>65.189799518563461</v>
          </cell>
          <cell r="V123">
            <v>65.189799518563461</v>
          </cell>
          <cell r="W123">
            <v>65.189799518563461</v>
          </cell>
          <cell r="X123">
            <v>65.189799518563461</v>
          </cell>
          <cell r="Y123">
            <v>65.189799518563461</v>
          </cell>
          <cell r="Z123">
            <v>65.189799518563461</v>
          </cell>
          <cell r="AA123">
            <v>65.189799518563461</v>
          </cell>
          <cell r="AB123">
            <v>65.189799518563461</v>
          </cell>
          <cell r="AC123">
            <v>65.189799518563461</v>
          </cell>
          <cell r="AD123">
            <v>65.189799518563461</v>
          </cell>
          <cell r="AE123">
            <v>65.189799518563461</v>
          </cell>
          <cell r="AF123">
            <v>65.189799518563461</v>
          </cell>
        </row>
        <row r="124">
          <cell r="A124" t="str">
            <v>Kentucky</v>
          </cell>
          <cell r="B124">
            <v>80.436432761131798</v>
          </cell>
          <cell r="C124">
            <v>80.377413030952027</v>
          </cell>
          <cell r="D124">
            <v>80.372320408006971</v>
          </cell>
          <cell r="E124">
            <v>80.394771171633764</v>
          </cell>
          <cell r="F124">
            <v>80.375500300465305</v>
          </cell>
          <cell r="G124">
            <v>80.364400880355817</v>
          </cell>
          <cell r="H124">
            <v>80.383200336963782</v>
          </cell>
          <cell r="I124">
            <v>80.422183860276846</v>
          </cell>
          <cell r="J124">
            <v>80.386682911988558</v>
          </cell>
          <cell r="K124">
            <v>80.419838551315181</v>
          </cell>
          <cell r="L124">
            <v>80.3576403424738</v>
          </cell>
          <cell r="M124">
            <v>80.241437612437025</v>
          </cell>
          <cell r="N124">
            <v>80.227623314975574</v>
          </cell>
          <cell r="O124">
            <v>80.275504592880409</v>
          </cell>
          <cell r="P124">
            <v>80.205328162368559</v>
          </cell>
          <cell r="Q124">
            <v>80.193808975256204</v>
          </cell>
          <cell r="R124">
            <v>80.219411945339317</v>
          </cell>
          <cell r="S124">
            <v>80.179965748154203</v>
          </cell>
          <cell r="T124">
            <v>80.179965748154203</v>
          </cell>
          <cell r="U124">
            <v>80.179965748154203</v>
          </cell>
          <cell r="V124">
            <v>80.179965748154203</v>
          </cell>
          <cell r="W124">
            <v>80.179965748154203</v>
          </cell>
          <cell r="X124">
            <v>80.179965748154203</v>
          </cell>
          <cell r="Y124">
            <v>80.179965748154203</v>
          </cell>
          <cell r="Z124">
            <v>80.179965748154203</v>
          </cell>
          <cell r="AA124">
            <v>80.179965748154203</v>
          </cell>
          <cell r="AB124">
            <v>80.179965748154203</v>
          </cell>
          <cell r="AC124">
            <v>80.179965748154203</v>
          </cell>
          <cell r="AD124">
            <v>80.179965748154203</v>
          </cell>
          <cell r="AE124">
            <v>80.179965748154203</v>
          </cell>
          <cell r="AF124">
            <v>80.179965748154203</v>
          </cell>
        </row>
        <row r="125">
          <cell r="A125" t="str">
            <v>Louisiana</v>
          </cell>
          <cell r="B125">
            <v>78.187146678824803</v>
          </cell>
          <cell r="C125">
            <v>78.129723002206987</v>
          </cell>
          <cell r="D125">
            <v>78.12476854603203</v>
          </cell>
          <cell r="E125">
            <v>78.146613661284675</v>
          </cell>
          <cell r="F125">
            <v>78.127863885236422</v>
          </cell>
          <cell r="G125">
            <v>78.117065319385276</v>
          </cell>
          <cell r="H125">
            <v>78.135354967657221</v>
          </cell>
          <cell r="I125">
            <v>78.17328310519612</v>
          </cell>
          <cell r="J125">
            <v>78.13874041322795</v>
          </cell>
          <cell r="K125">
            <v>78.171002022146581</v>
          </cell>
          <cell r="L125">
            <v>78.110485294106454</v>
          </cell>
          <cell r="M125">
            <v>77.998636902086602</v>
          </cell>
          <cell r="N125">
            <v>77.985195281094263</v>
          </cell>
          <cell r="O125">
            <v>78.031783872157789</v>
          </cell>
          <cell r="P125">
            <v>77.963502422498195</v>
          </cell>
          <cell r="Q125">
            <v>77.952294168329232</v>
          </cell>
          <cell r="R125">
            <v>77.977206944088394</v>
          </cell>
          <cell r="S125">
            <v>77.938825944107165</v>
          </cell>
          <cell r="T125">
            <v>77.938825944107165</v>
          </cell>
          <cell r="U125">
            <v>77.938825944107165</v>
          </cell>
          <cell r="V125">
            <v>77.938825944107165</v>
          </cell>
          <cell r="W125">
            <v>77.938825944107165</v>
          </cell>
          <cell r="X125">
            <v>77.938825944107165</v>
          </cell>
          <cell r="Y125">
            <v>77.938825944107165</v>
          </cell>
          <cell r="Z125">
            <v>77.938825944107165</v>
          </cell>
          <cell r="AA125">
            <v>77.938825944107165</v>
          </cell>
          <cell r="AB125">
            <v>77.938825944107165</v>
          </cell>
          <cell r="AC125">
            <v>77.938825944107165</v>
          </cell>
          <cell r="AD125">
            <v>77.938825944107165</v>
          </cell>
          <cell r="AE125">
            <v>77.938825944107165</v>
          </cell>
          <cell r="AF125">
            <v>77.938825944107165</v>
          </cell>
        </row>
        <row r="126">
          <cell r="A126" t="str">
            <v>Maine</v>
          </cell>
          <cell r="B126">
            <v>69.760211048019357</v>
          </cell>
          <cell r="C126">
            <v>69.709067096958151</v>
          </cell>
          <cell r="D126">
            <v>69.704653701747247</v>
          </cell>
          <cell r="E126">
            <v>69.724107415340228</v>
          </cell>
          <cell r="F126">
            <v>69.707408142256725</v>
          </cell>
          <cell r="G126">
            <v>69.697789323893772</v>
          </cell>
          <cell r="H126">
            <v>69.714081223503115</v>
          </cell>
          <cell r="I126">
            <v>69.747863566792972</v>
          </cell>
          <cell r="J126">
            <v>69.717101362598356</v>
          </cell>
          <cell r="K126">
            <v>69.745830600668157</v>
          </cell>
          <cell r="L126">
            <v>69.691932726425563</v>
          </cell>
          <cell r="M126">
            <v>69.590296118948089</v>
          </cell>
          <cell r="N126">
            <v>69.578325942965833</v>
          </cell>
          <cell r="O126">
            <v>69.619816121617518</v>
          </cell>
          <cell r="P126">
            <v>69.559006412702502</v>
          </cell>
          <cell r="Q126">
            <v>69.549024830078778</v>
          </cell>
          <cell r="R126">
            <v>69.571209567953105</v>
          </cell>
          <cell r="S126">
            <v>69.537028386842081</v>
          </cell>
          <cell r="T126">
            <v>69.537028386842081</v>
          </cell>
          <cell r="U126">
            <v>69.537028386842081</v>
          </cell>
          <cell r="V126">
            <v>69.537028386842081</v>
          </cell>
          <cell r="W126">
            <v>69.537028386842081</v>
          </cell>
          <cell r="X126">
            <v>69.537028386842081</v>
          </cell>
          <cell r="Y126">
            <v>69.537028386842081</v>
          </cell>
          <cell r="Z126">
            <v>69.537028386842081</v>
          </cell>
          <cell r="AA126">
            <v>69.537028386842081</v>
          </cell>
          <cell r="AB126">
            <v>69.537028386842081</v>
          </cell>
          <cell r="AC126">
            <v>69.537028386842081</v>
          </cell>
          <cell r="AD126">
            <v>69.537028386842081</v>
          </cell>
          <cell r="AE126">
            <v>69.537028386842081</v>
          </cell>
          <cell r="AF126">
            <v>69.537028386842081</v>
          </cell>
        </row>
        <row r="127">
          <cell r="A127" t="str">
            <v>Maryland</v>
          </cell>
          <cell r="B127">
            <v>69.760211048019343</v>
          </cell>
          <cell r="C127">
            <v>69.709067096958151</v>
          </cell>
          <cell r="D127">
            <v>69.704653701747262</v>
          </cell>
          <cell r="E127">
            <v>69.724107415340214</v>
          </cell>
          <cell r="F127">
            <v>69.707408142256725</v>
          </cell>
          <cell r="G127">
            <v>69.697789323893772</v>
          </cell>
          <cell r="H127">
            <v>69.714081223503129</v>
          </cell>
          <cell r="I127">
            <v>69.747863566792972</v>
          </cell>
          <cell r="J127">
            <v>69.717101362598342</v>
          </cell>
          <cell r="K127">
            <v>69.745830600668143</v>
          </cell>
          <cell r="L127">
            <v>69.691932726425549</v>
          </cell>
          <cell r="M127">
            <v>69.590296118948061</v>
          </cell>
          <cell r="N127">
            <v>69.578325942965819</v>
          </cell>
          <cell r="O127">
            <v>69.61981612161749</v>
          </cell>
          <cell r="P127">
            <v>69.559006412702502</v>
          </cell>
          <cell r="Q127">
            <v>69.549024830078764</v>
          </cell>
          <cell r="R127">
            <v>69.571209567953133</v>
          </cell>
          <cell r="S127">
            <v>69.537028386842081</v>
          </cell>
          <cell r="T127">
            <v>69.537028386842081</v>
          </cell>
          <cell r="U127">
            <v>69.537028386842081</v>
          </cell>
          <cell r="V127">
            <v>69.537028386842081</v>
          </cell>
          <cell r="W127">
            <v>69.537028386842081</v>
          </cell>
          <cell r="X127">
            <v>69.537028386842081</v>
          </cell>
          <cell r="Y127">
            <v>69.537028386842081</v>
          </cell>
          <cell r="Z127">
            <v>69.537028386842081</v>
          </cell>
          <cell r="AA127">
            <v>69.537028386842081</v>
          </cell>
          <cell r="AB127">
            <v>69.537028386842081</v>
          </cell>
          <cell r="AC127">
            <v>69.537028386842081</v>
          </cell>
          <cell r="AD127">
            <v>69.537028386842081</v>
          </cell>
          <cell r="AE127">
            <v>69.537028386842081</v>
          </cell>
          <cell r="AF127">
            <v>69.537028386842081</v>
          </cell>
        </row>
        <row r="128">
          <cell r="A128" t="str">
            <v>Massachusetts</v>
          </cell>
          <cell r="B128">
            <v>69.760211048019343</v>
          </cell>
          <cell r="C128">
            <v>69.709067096958151</v>
          </cell>
          <cell r="D128">
            <v>69.704653701747247</v>
          </cell>
          <cell r="E128">
            <v>69.724107415340228</v>
          </cell>
          <cell r="F128">
            <v>69.707408142256696</v>
          </cell>
          <cell r="G128">
            <v>69.697789323893772</v>
          </cell>
          <cell r="H128">
            <v>69.714081223503115</v>
          </cell>
          <cell r="I128">
            <v>69.747863566792958</v>
          </cell>
          <cell r="J128">
            <v>69.717101362598356</v>
          </cell>
          <cell r="K128">
            <v>69.745830600668171</v>
          </cell>
          <cell r="L128">
            <v>69.691932726425563</v>
          </cell>
          <cell r="M128">
            <v>69.590296118948089</v>
          </cell>
          <cell r="N128">
            <v>69.578325942965833</v>
          </cell>
          <cell r="O128">
            <v>69.619816121617518</v>
          </cell>
          <cell r="P128">
            <v>69.559006412702516</v>
          </cell>
          <cell r="Q128">
            <v>69.549024830078764</v>
          </cell>
          <cell r="R128">
            <v>69.571209567953105</v>
          </cell>
          <cell r="S128">
            <v>69.537028386842081</v>
          </cell>
          <cell r="T128">
            <v>69.537028386842081</v>
          </cell>
          <cell r="U128">
            <v>69.537028386842081</v>
          </cell>
          <cell r="V128">
            <v>69.537028386842081</v>
          </cell>
          <cell r="W128">
            <v>69.537028386842081</v>
          </cell>
          <cell r="X128">
            <v>69.537028386842081</v>
          </cell>
          <cell r="Y128">
            <v>69.537028386842081</v>
          </cell>
          <cell r="Z128">
            <v>69.537028386842081</v>
          </cell>
          <cell r="AA128">
            <v>69.537028386842081</v>
          </cell>
          <cell r="AB128">
            <v>69.537028386842081</v>
          </cell>
          <cell r="AC128">
            <v>69.537028386842081</v>
          </cell>
          <cell r="AD128">
            <v>69.537028386842081</v>
          </cell>
          <cell r="AE128">
            <v>69.537028386842081</v>
          </cell>
          <cell r="AF128">
            <v>69.537028386842081</v>
          </cell>
        </row>
        <row r="129">
          <cell r="A129" t="str">
            <v>Michigan</v>
          </cell>
          <cell r="B129">
            <v>65.398318354947719</v>
          </cell>
          <cell r="C129">
            <v>65.35033274729426</v>
          </cell>
          <cell r="D129">
            <v>65.346192223340239</v>
          </cell>
          <cell r="E129">
            <v>65.364445670647356</v>
          </cell>
          <cell r="F129">
            <v>65.34877761421582</v>
          </cell>
          <cell r="G129">
            <v>65.339753302906161</v>
          </cell>
          <cell r="H129">
            <v>65.355038078796184</v>
          </cell>
          <cell r="I129">
            <v>65.386733378807762</v>
          </cell>
          <cell r="J129">
            <v>65.357869563763231</v>
          </cell>
          <cell r="K129">
            <v>65.384826540614554</v>
          </cell>
          <cell r="L129">
            <v>65.33425669156378</v>
          </cell>
          <cell r="M129">
            <v>65.239778817896394</v>
          </cell>
          <cell r="N129">
            <v>65.228547193218077</v>
          </cell>
          <cell r="O129">
            <v>65.267476754713698</v>
          </cell>
          <cell r="P129">
            <v>65.210420264438227</v>
          </cell>
          <cell r="Q129">
            <v>65.201054664297828</v>
          </cell>
          <cell r="R129">
            <v>65.221870992556674</v>
          </cell>
          <cell r="S129">
            <v>65.189799518563461</v>
          </cell>
          <cell r="T129">
            <v>65.189799518563461</v>
          </cell>
          <cell r="U129">
            <v>65.189799518563461</v>
          </cell>
          <cell r="V129">
            <v>65.189799518563461</v>
          </cell>
          <cell r="W129">
            <v>65.189799518563461</v>
          </cell>
          <cell r="X129">
            <v>65.189799518563461</v>
          </cell>
          <cell r="Y129">
            <v>65.189799518563461</v>
          </cell>
          <cell r="Z129">
            <v>65.189799518563461</v>
          </cell>
          <cell r="AA129">
            <v>65.189799518563461</v>
          </cell>
          <cell r="AB129">
            <v>65.189799518563461</v>
          </cell>
          <cell r="AC129">
            <v>65.189799518563461</v>
          </cell>
          <cell r="AD129">
            <v>65.189799518563461</v>
          </cell>
          <cell r="AE129">
            <v>65.189799518563461</v>
          </cell>
          <cell r="AF129">
            <v>65.189799518563461</v>
          </cell>
        </row>
        <row r="130">
          <cell r="A130" t="str">
            <v>Minnesota</v>
          </cell>
          <cell r="B130">
            <v>65.398318354947705</v>
          </cell>
          <cell r="C130">
            <v>65.35033274729426</v>
          </cell>
          <cell r="D130">
            <v>65.346192223340253</v>
          </cell>
          <cell r="E130">
            <v>65.36444567064737</v>
          </cell>
          <cell r="F130">
            <v>65.34877761421582</v>
          </cell>
          <cell r="G130">
            <v>65.339753302906161</v>
          </cell>
          <cell r="H130">
            <v>65.355038078796184</v>
          </cell>
          <cell r="I130">
            <v>65.386733378807747</v>
          </cell>
          <cell r="J130">
            <v>65.357869563763245</v>
          </cell>
          <cell r="K130">
            <v>65.384826540614554</v>
          </cell>
          <cell r="L130">
            <v>65.334256691563766</v>
          </cell>
          <cell r="M130">
            <v>65.239778817896394</v>
          </cell>
          <cell r="N130">
            <v>65.228547193218077</v>
          </cell>
          <cell r="O130">
            <v>65.267476754713698</v>
          </cell>
          <cell r="P130">
            <v>65.210420264438241</v>
          </cell>
          <cell r="Q130">
            <v>65.201054664297814</v>
          </cell>
          <cell r="R130">
            <v>65.221870992556674</v>
          </cell>
          <cell r="S130">
            <v>65.189799518563461</v>
          </cell>
          <cell r="T130">
            <v>65.189799518563461</v>
          </cell>
          <cell r="U130">
            <v>65.189799518563461</v>
          </cell>
          <cell r="V130">
            <v>65.189799518563461</v>
          </cell>
          <cell r="W130">
            <v>65.189799518563461</v>
          </cell>
          <cell r="X130">
            <v>65.189799518563461</v>
          </cell>
          <cell r="Y130">
            <v>65.189799518563461</v>
          </cell>
          <cell r="Z130">
            <v>65.189799518563461</v>
          </cell>
          <cell r="AA130">
            <v>65.189799518563461</v>
          </cell>
          <cell r="AB130">
            <v>65.189799518563461</v>
          </cell>
          <cell r="AC130">
            <v>65.189799518563461</v>
          </cell>
          <cell r="AD130">
            <v>65.189799518563461</v>
          </cell>
          <cell r="AE130">
            <v>65.189799518563461</v>
          </cell>
          <cell r="AF130">
            <v>65.189799518563461</v>
          </cell>
        </row>
        <row r="131">
          <cell r="A131" t="str">
            <v>Mississippi</v>
          </cell>
          <cell r="B131">
            <v>80.436432761131798</v>
          </cell>
          <cell r="C131">
            <v>80.377413030952027</v>
          </cell>
          <cell r="D131">
            <v>80.372320408006971</v>
          </cell>
          <cell r="E131">
            <v>80.394771171633764</v>
          </cell>
          <cell r="F131">
            <v>80.375500300465305</v>
          </cell>
          <cell r="G131">
            <v>80.364400880355802</v>
          </cell>
          <cell r="H131">
            <v>80.383200336963782</v>
          </cell>
          <cell r="I131">
            <v>80.422183860276817</v>
          </cell>
          <cell r="J131">
            <v>80.386682911988558</v>
          </cell>
          <cell r="K131">
            <v>80.419838551315195</v>
          </cell>
          <cell r="L131">
            <v>80.357640342473843</v>
          </cell>
          <cell r="M131">
            <v>80.241437612437039</v>
          </cell>
          <cell r="N131">
            <v>80.22762331497556</v>
          </cell>
          <cell r="O131">
            <v>80.275504592880424</v>
          </cell>
          <cell r="P131">
            <v>80.205328162368545</v>
          </cell>
          <cell r="Q131">
            <v>80.193808975256246</v>
          </cell>
          <cell r="R131">
            <v>80.219411945339317</v>
          </cell>
          <cell r="S131">
            <v>80.179965748154203</v>
          </cell>
          <cell r="T131">
            <v>80.179965748154203</v>
          </cell>
          <cell r="U131">
            <v>80.179965748154203</v>
          </cell>
          <cell r="V131">
            <v>80.179965748154203</v>
          </cell>
          <cell r="W131">
            <v>80.179965748154203</v>
          </cell>
          <cell r="X131">
            <v>80.179965748154203</v>
          </cell>
          <cell r="Y131">
            <v>80.179965748154203</v>
          </cell>
          <cell r="Z131">
            <v>80.179965748154203</v>
          </cell>
          <cell r="AA131">
            <v>80.179965748154203</v>
          </cell>
          <cell r="AB131">
            <v>80.179965748154203</v>
          </cell>
          <cell r="AC131">
            <v>80.179965748154203</v>
          </cell>
          <cell r="AD131">
            <v>80.179965748154203</v>
          </cell>
          <cell r="AE131">
            <v>80.179965748154203</v>
          </cell>
          <cell r="AF131">
            <v>80.179965748154203</v>
          </cell>
        </row>
        <row r="132">
          <cell r="A132" t="str">
            <v>Missouri</v>
          </cell>
          <cell r="B132">
            <v>65.398318354947705</v>
          </cell>
          <cell r="C132">
            <v>65.350332747294274</v>
          </cell>
          <cell r="D132">
            <v>65.346192223340239</v>
          </cell>
          <cell r="E132">
            <v>65.364445670647356</v>
          </cell>
          <cell r="F132">
            <v>65.34877761421582</v>
          </cell>
          <cell r="G132">
            <v>65.339753302906161</v>
          </cell>
          <cell r="H132">
            <v>65.355038078796198</v>
          </cell>
          <cell r="I132">
            <v>65.386733378807762</v>
          </cell>
          <cell r="J132">
            <v>65.357869563763245</v>
          </cell>
          <cell r="K132">
            <v>65.384826540614554</v>
          </cell>
          <cell r="L132">
            <v>65.334256691563766</v>
          </cell>
          <cell r="M132">
            <v>65.239778817896394</v>
          </cell>
          <cell r="N132">
            <v>65.228547193218063</v>
          </cell>
          <cell r="O132">
            <v>65.267476754713684</v>
          </cell>
          <cell r="P132">
            <v>65.210420264438227</v>
          </cell>
          <cell r="Q132">
            <v>65.201054664297814</v>
          </cell>
          <cell r="R132">
            <v>65.221870992556674</v>
          </cell>
          <cell r="S132">
            <v>65.189799518563476</v>
          </cell>
          <cell r="T132">
            <v>65.189799518563476</v>
          </cell>
          <cell r="U132">
            <v>65.189799518563476</v>
          </cell>
          <cell r="V132">
            <v>65.189799518563476</v>
          </cell>
          <cell r="W132">
            <v>65.189799518563476</v>
          </cell>
          <cell r="X132">
            <v>65.189799518563476</v>
          </cell>
          <cell r="Y132">
            <v>65.189799518563476</v>
          </cell>
          <cell r="Z132">
            <v>65.189799518563476</v>
          </cell>
          <cell r="AA132">
            <v>65.189799518563476</v>
          </cell>
          <cell r="AB132">
            <v>65.189799518563476</v>
          </cell>
          <cell r="AC132">
            <v>65.189799518563476</v>
          </cell>
          <cell r="AD132">
            <v>65.189799518563476</v>
          </cell>
          <cell r="AE132">
            <v>65.189799518563476</v>
          </cell>
          <cell r="AF132">
            <v>65.189799518563476</v>
          </cell>
        </row>
        <row r="133">
          <cell r="A133" t="str">
            <v>Montana</v>
          </cell>
          <cell r="B133">
            <v>65.398318354947691</v>
          </cell>
          <cell r="C133">
            <v>65.35033274729426</v>
          </cell>
          <cell r="D133">
            <v>65.346192223340239</v>
          </cell>
          <cell r="E133">
            <v>65.36444567064737</v>
          </cell>
          <cell r="F133">
            <v>65.348777614215834</v>
          </cell>
          <cell r="G133">
            <v>65.339753302906161</v>
          </cell>
          <cell r="H133">
            <v>65.355038078796198</v>
          </cell>
          <cell r="I133">
            <v>65.386733378807776</v>
          </cell>
          <cell r="J133">
            <v>65.357869563763231</v>
          </cell>
          <cell r="K133">
            <v>65.384826540614569</v>
          </cell>
          <cell r="L133">
            <v>65.334256691563766</v>
          </cell>
          <cell r="M133">
            <v>65.239778817896394</v>
          </cell>
          <cell r="N133">
            <v>65.228547193218077</v>
          </cell>
          <cell r="O133">
            <v>65.267476754713684</v>
          </cell>
          <cell r="P133">
            <v>65.210420264438241</v>
          </cell>
          <cell r="Q133">
            <v>65.201054664297814</v>
          </cell>
          <cell r="R133">
            <v>65.221870992556674</v>
          </cell>
          <cell r="S133">
            <v>65.189799518563476</v>
          </cell>
          <cell r="T133">
            <v>65.189799518563476</v>
          </cell>
          <cell r="U133">
            <v>65.189799518563476</v>
          </cell>
          <cell r="V133">
            <v>65.189799518563476</v>
          </cell>
          <cell r="W133">
            <v>65.189799518563476</v>
          </cell>
          <cell r="X133">
            <v>65.189799518563476</v>
          </cell>
          <cell r="Y133">
            <v>65.189799518563476</v>
          </cell>
          <cell r="Z133">
            <v>65.189799518563476</v>
          </cell>
          <cell r="AA133">
            <v>65.189799518563476</v>
          </cell>
          <cell r="AB133">
            <v>65.189799518563476</v>
          </cell>
          <cell r="AC133">
            <v>65.189799518563476</v>
          </cell>
          <cell r="AD133">
            <v>65.189799518563476</v>
          </cell>
          <cell r="AE133">
            <v>65.189799518563476</v>
          </cell>
          <cell r="AF133">
            <v>65.189799518563476</v>
          </cell>
        </row>
        <row r="134">
          <cell r="A134" t="str">
            <v>Nebraska</v>
          </cell>
          <cell r="B134">
            <v>65.398318354947705</v>
          </cell>
          <cell r="C134">
            <v>65.35033274729426</v>
          </cell>
          <cell r="D134">
            <v>65.346192223340253</v>
          </cell>
          <cell r="E134">
            <v>65.364445670647356</v>
          </cell>
          <cell r="F134">
            <v>65.348777614215805</v>
          </cell>
          <cell r="G134">
            <v>65.339753302906161</v>
          </cell>
          <cell r="H134">
            <v>65.355038078796198</v>
          </cell>
          <cell r="I134">
            <v>65.386733378807762</v>
          </cell>
          <cell r="J134">
            <v>65.357869563763217</v>
          </cell>
          <cell r="K134">
            <v>65.384826540614583</v>
          </cell>
          <cell r="L134">
            <v>65.334256691563766</v>
          </cell>
          <cell r="M134">
            <v>65.239778817896379</v>
          </cell>
          <cell r="N134">
            <v>65.228547193218077</v>
          </cell>
          <cell r="O134">
            <v>65.267476754713698</v>
          </cell>
          <cell r="P134">
            <v>65.210420264438241</v>
          </cell>
          <cell r="Q134">
            <v>65.201054664297814</v>
          </cell>
          <cell r="R134">
            <v>65.221870992556688</v>
          </cell>
          <cell r="S134">
            <v>65.189799518563476</v>
          </cell>
          <cell r="T134">
            <v>65.189799518563476</v>
          </cell>
          <cell r="U134">
            <v>65.189799518563476</v>
          </cell>
          <cell r="V134">
            <v>65.189799518563476</v>
          </cell>
          <cell r="W134">
            <v>65.189799518563476</v>
          </cell>
          <cell r="X134">
            <v>65.189799518563476</v>
          </cell>
          <cell r="Y134">
            <v>65.189799518563476</v>
          </cell>
          <cell r="Z134">
            <v>65.189799518563476</v>
          </cell>
          <cell r="AA134">
            <v>65.189799518563476</v>
          </cell>
          <cell r="AB134">
            <v>65.189799518563476</v>
          </cell>
          <cell r="AC134">
            <v>65.189799518563476</v>
          </cell>
          <cell r="AD134">
            <v>65.189799518563476</v>
          </cell>
          <cell r="AE134">
            <v>65.189799518563476</v>
          </cell>
          <cell r="AF134">
            <v>65.189799518563476</v>
          </cell>
        </row>
        <row r="135">
          <cell r="A135" t="str">
            <v>Nevada</v>
          </cell>
          <cell r="B135">
            <v>69.12870608442509</v>
          </cell>
          <cell r="C135">
            <v>69.07798332807296</v>
          </cell>
          <cell r="D135">
            <v>69.07360662434948</v>
          </cell>
          <cell r="E135">
            <v>69.092901267173062</v>
          </cell>
          <cell r="F135">
            <v>69.076339488595025</v>
          </cell>
          <cell r="G135">
            <v>69.066800421233168</v>
          </cell>
          <cell r="H135">
            <v>69.082957056551123</v>
          </cell>
          <cell r="I135">
            <v>69.116460289262164</v>
          </cell>
          <cell r="J135">
            <v>69.085950052349673</v>
          </cell>
          <cell r="K135">
            <v>69.114444683045932</v>
          </cell>
          <cell r="L135">
            <v>69.0609902774939</v>
          </cell>
          <cell r="M135">
            <v>68.961123288181014</v>
          </cell>
          <cell r="N135">
            <v>68.949251000012652</v>
          </cell>
          <cell r="O135">
            <v>68.990401143966196</v>
          </cell>
          <cell r="P135">
            <v>68.930090092464013</v>
          </cell>
          <cell r="Q135">
            <v>68.920190268803452</v>
          </cell>
          <cell r="R135">
            <v>68.942193981959392</v>
          </cell>
          <cell r="S135">
            <v>68.908293117913686</v>
          </cell>
          <cell r="T135">
            <v>68.908293117913686</v>
          </cell>
          <cell r="U135">
            <v>68.908293117913686</v>
          </cell>
          <cell r="V135">
            <v>68.908293117913686</v>
          </cell>
          <cell r="W135">
            <v>68.908293117913686</v>
          </cell>
          <cell r="X135">
            <v>68.908293117913686</v>
          </cell>
          <cell r="Y135">
            <v>68.908293117913686</v>
          </cell>
          <cell r="Z135">
            <v>68.908293117913686</v>
          </cell>
          <cell r="AA135">
            <v>68.908293117913686</v>
          </cell>
          <cell r="AB135">
            <v>68.908293117913686</v>
          </cell>
          <cell r="AC135">
            <v>68.908293117913686</v>
          </cell>
          <cell r="AD135">
            <v>68.908293117913686</v>
          </cell>
          <cell r="AE135">
            <v>68.908293117913686</v>
          </cell>
          <cell r="AF135">
            <v>68.908293117913686</v>
          </cell>
        </row>
        <row r="136">
          <cell r="A136" t="str">
            <v>New Hampshire</v>
          </cell>
          <cell r="B136">
            <v>69.760211048019315</v>
          </cell>
          <cell r="C136">
            <v>69.709067096958151</v>
          </cell>
          <cell r="D136">
            <v>69.704653701747247</v>
          </cell>
          <cell r="E136">
            <v>69.724107415340228</v>
          </cell>
          <cell r="F136">
            <v>69.707408142256725</v>
          </cell>
          <cell r="G136">
            <v>69.697789323893772</v>
          </cell>
          <cell r="H136">
            <v>69.714081223503129</v>
          </cell>
          <cell r="I136">
            <v>69.747863566793001</v>
          </cell>
          <cell r="J136">
            <v>69.717101362598356</v>
          </cell>
          <cell r="K136">
            <v>69.745830600668157</v>
          </cell>
          <cell r="L136">
            <v>69.691932726425563</v>
          </cell>
          <cell r="M136">
            <v>69.590296118948061</v>
          </cell>
          <cell r="N136">
            <v>69.578325942965833</v>
          </cell>
          <cell r="O136">
            <v>69.61981612161749</v>
          </cell>
          <cell r="P136">
            <v>69.559006412702502</v>
          </cell>
          <cell r="Q136">
            <v>69.549024830078764</v>
          </cell>
          <cell r="R136">
            <v>69.571209567953105</v>
          </cell>
          <cell r="S136">
            <v>69.537028386842081</v>
          </cell>
          <cell r="T136">
            <v>69.537028386842081</v>
          </cell>
          <cell r="U136">
            <v>69.537028386842081</v>
          </cell>
          <cell r="V136">
            <v>69.537028386842081</v>
          </cell>
          <cell r="W136">
            <v>69.537028386842081</v>
          </cell>
          <cell r="X136">
            <v>69.537028386842081</v>
          </cell>
          <cell r="Y136">
            <v>69.537028386842081</v>
          </cell>
          <cell r="Z136">
            <v>69.537028386842081</v>
          </cell>
          <cell r="AA136">
            <v>69.537028386842081</v>
          </cell>
          <cell r="AB136">
            <v>69.537028386842081</v>
          </cell>
          <cell r="AC136">
            <v>69.537028386842081</v>
          </cell>
          <cell r="AD136">
            <v>69.537028386842081</v>
          </cell>
          <cell r="AE136">
            <v>69.537028386842081</v>
          </cell>
          <cell r="AF136">
            <v>69.537028386842081</v>
          </cell>
        </row>
        <row r="137">
          <cell r="A137" t="str">
            <v>New Jersey</v>
          </cell>
          <cell r="B137">
            <v>69.760211048019343</v>
          </cell>
          <cell r="C137">
            <v>69.709067096958151</v>
          </cell>
          <cell r="D137">
            <v>69.704653701747247</v>
          </cell>
          <cell r="E137">
            <v>69.724107415340228</v>
          </cell>
          <cell r="F137">
            <v>69.707408142256725</v>
          </cell>
          <cell r="G137">
            <v>69.697789323893787</v>
          </cell>
          <cell r="H137">
            <v>69.714081223503129</v>
          </cell>
          <cell r="I137">
            <v>69.747863566792986</v>
          </cell>
          <cell r="J137">
            <v>69.717101362598356</v>
          </cell>
          <cell r="K137">
            <v>69.745830600668157</v>
          </cell>
          <cell r="L137">
            <v>69.691932726425563</v>
          </cell>
          <cell r="M137">
            <v>69.590296118948061</v>
          </cell>
          <cell r="N137">
            <v>69.578325942965819</v>
          </cell>
          <cell r="O137">
            <v>69.619816121617518</v>
          </cell>
          <cell r="P137">
            <v>69.559006412702502</v>
          </cell>
          <cell r="Q137">
            <v>69.549024830078778</v>
          </cell>
          <cell r="R137">
            <v>69.571209567953105</v>
          </cell>
          <cell r="S137">
            <v>69.537028386842081</v>
          </cell>
          <cell r="T137">
            <v>69.537028386842081</v>
          </cell>
          <cell r="U137">
            <v>69.537028386842081</v>
          </cell>
          <cell r="V137">
            <v>69.537028386842081</v>
          </cell>
          <cell r="W137">
            <v>69.537028386842081</v>
          </cell>
          <cell r="X137">
            <v>69.537028386842081</v>
          </cell>
          <cell r="Y137">
            <v>69.537028386842081</v>
          </cell>
          <cell r="Z137">
            <v>69.537028386842081</v>
          </cell>
          <cell r="AA137">
            <v>69.537028386842081</v>
          </cell>
          <cell r="AB137">
            <v>69.537028386842081</v>
          </cell>
          <cell r="AC137">
            <v>69.537028386842081</v>
          </cell>
          <cell r="AD137">
            <v>69.537028386842081</v>
          </cell>
          <cell r="AE137">
            <v>69.537028386842081</v>
          </cell>
          <cell r="AF137">
            <v>69.537028386842081</v>
          </cell>
        </row>
        <row r="138">
          <cell r="A138" t="str">
            <v>New Mexico</v>
          </cell>
          <cell r="B138">
            <v>69.128706084425104</v>
          </cell>
          <cell r="C138">
            <v>69.077983328072946</v>
          </cell>
          <cell r="D138">
            <v>69.073606624349495</v>
          </cell>
          <cell r="E138">
            <v>69.092901267173062</v>
          </cell>
          <cell r="F138">
            <v>69.076339488595039</v>
          </cell>
          <cell r="G138">
            <v>69.066800421233182</v>
          </cell>
          <cell r="H138">
            <v>69.082957056551123</v>
          </cell>
          <cell r="I138">
            <v>69.116460289262193</v>
          </cell>
          <cell r="J138">
            <v>69.085950052349673</v>
          </cell>
          <cell r="K138">
            <v>69.114444683045917</v>
          </cell>
          <cell r="L138">
            <v>69.0609902774939</v>
          </cell>
          <cell r="M138">
            <v>68.961123288181028</v>
          </cell>
          <cell r="N138">
            <v>68.949251000012652</v>
          </cell>
          <cell r="O138">
            <v>68.99040114396621</v>
          </cell>
          <cell r="P138">
            <v>68.930090092463999</v>
          </cell>
          <cell r="Q138">
            <v>68.920190268803466</v>
          </cell>
          <cell r="R138">
            <v>68.942193981959377</v>
          </cell>
          <cell r="S138">
            <v>68.908293117913672</v>
          </cell>
          <cell r="T138">
            <v>68.908293117913672</v>
          </cell>
          <cell r="U138">
            <v>68.908293117913672</v>
          </cell>
          <cell r="V138">
            <v>68.908293117913672</v>
          </cell>
          <cell r="W138">
            <v>68.908293117913672</v>
          </cell>
          <cell r="X138">
            <v>68.908293117913672</v>
          </cell>
          <cell r="Y138">
            <v>68.908293117913672</v>
          </cell>
          <cell r="Z138">
            <v>68.908293117913672</v>
          </cell>
          <cell r="AA138">
            <v>68.908293117913672</v>
          </cell>
          <cell r="AB138">
            <v>68.908293117913672</v>
          </cell>
          <cell r="AC138">
            <v>68.908293117913672</v>
          </cell>
          <cell r="AD138">
            <v>68.908293117913672</v>
          </cell>
          <cell r="AE138">
            <v>68.908293117913672</v>
          </cell>
          <cell r="AF138">
            <v>68.908293117913672</v>
          </cell>
        </row>
        <row r="139">
          <cell r="A139" t="str">
            <v>New York</v>
          </cell>
          <cell r="B139">
            <v>69.760211048019343</v>
          </cell>
          <cell r="C139">
            <v>69.709067096958151</v>
          </cell>
          <cell r="D139">
            <v>69.704653701747247</v>
          </cell>
          <cell r="E139">
            <v>69.724107415340242</v>
          </cell>
          <cell r="F139">
            <v>69.707408142256725</v>
          </cell>
          <cell r="G139">
            <v>69.697789323893787</v>
          </cell>
          <cell r="H139">
            <v>69.714081223503115</v>
          </cell>
          <cell r="I139">
            <v>69.747863566792972</v>
          </cell>
          <cell r="J139">
            <v>69.717101362598342</v>
          </cell>
          <cell r="K139">
            <v>69.745830600668157</v>
          </cell>
          <cell r="L139">
            <v>69.691932726425563</v>
          </cell>
          <cell r="M139">
            <v>69.590296118948061</v>
          </cell>
          <cell r="N139">
            <v>69.578325942965833</v>
          </cell>
          <cell r="O139">
            <v>69.619816121617504</v>
          </cell>
          <cell r="P139">
            <v>69.559006412702502</v>
          </cell>
          <cell r="Q139">
            <v>69.549024830078764</v>
          </cell>
          <cell r="R139">
            <v>69.571209567953119</v>
          </cell>
          <cell r="S139">
            <v>69.537028386842096</v>
          </cell>
          <cell r="T139">
            <v>69.537028386842096</v>
          </cell>
          <cell r="U139">
            <v>69.537028386842096</v>
          </cell>
          <cell r="V139">
            <v>69.537028386842096</v>
          </cell>
          <cell r="W139">
            <v>69.537028386842096</v>
          </cell>
          <cell r="X139">
            <v>69.537028386842096</v>
          </cell>
          <cell r="Y139">
            <v>69.537028386842096</v>
          </cell>
          <cell r="Z139">
            <v>69.537028386842096</v>
          </cell>
          <cell r="AA139">
            <v>69.537028386842096</v>
          </cell>
          <cell r="AB139">
            <v>69.537028386842096</v>
          </cell>
          <cell r="AC139">
            <v>69.537028386842096</v>
          </cell>
          <cell r="AD139">
            <v>69.537028386842096</v>
          </cell>
          <cell r="AE139">
            <v>69.537028386842096</v>
          </cell>
          <cell r="AF139">
            <v>69.537028386842096</v>
          </cell>
        </row>
        <row r="140">
          <cell r="A140" t="str">
            <v>North Carolina</v>
          </cell>
          <cell r="B140">
            <v>80.436432761131769</v>
          </cell>
          <cell r="C140">
            <v>80.377413030952013</v>
          </cell>
          <cell r="D140">
            <v>80.372320408006956</v>
          </cell>
          <cell r="E140">
            <v>80.394771171633778</v>
          </cell>
          <cell r="F140">
            <v>80.375500300465291</v>
          </cell>
          <cell r="G140">
            <v>80.364400880355831</v>
          </cell>
          <cell r="H140">
            <v>80.383200336963768</v>
          </cell>
          <cell r="I140">
            <v>80.422183860276832</v>
          </cell>
          <cell r="J140">
            <v>80.38668291198853</v>
          </cell>
          <cell r="K140">
            <v>80.419838551315181</v>
          </cell>
          <cell r="L140">
            <v>80.357640342473829</v>
          </cell>
          <cell r="M140">
            <v>80.241437612437039</v>
          </cell>
          <cell r="N140">
            <v>80.22762331497556</v>
          </cell>
          <cell r="O140">
            <v>80.275504592880395</v>
          </cell>
          <cell r="P140">
            <v>80.205328162368559</v>
          </cell>
          <cell r="Q140">
            <v>80.193808975256232</v>
          </cell>
          <cell r="R140">
            <v>80.219411945339317</v>
          </cell>
          <cell r="S140">
            <v>80.179965748154217</v>
          </cell>
          <cell r="T140">
            <v>80.179965748154217</v>
          </cell>
          <cell r="U140">
            <v>80.179965748154217</v>
          </cell>
          <cell r="V140">
            <v>80.179965748154217</v>
          </cell>
          <cell r="W140">
            <v>80.179965748154217</v>
          </cell>
          <cell r="X140">
            <v>80.179965748154217</v>
          </cell>
          <cell r="Y140">
            <v>80.179965748154217</v>
          </cell>
          <cell r="Z140">
            <v>80.179965748154217</v>
          </cell>
          <cell r="AA140">
            <v>80.179965748154217</v>
          </cell>
          <cell r="AB140">
            <v>80.179965748154217</v>
          </cell>
          <cell r="AC140">
            <v>80.179965748154217</v>
          </cell>
          <cell r="AD140">
            <v>80.179965748154217</v>
          </cell>
          <cell r="AE140">
            <v>80.179965748154217</v>
          </cell>
          <cell r="AF140">
            <v>80.179965748154217</v>
          </cell>
        </row>
        <row r="141">
          <cell r="A141" t="str">
            <v>North Dakota</v>
          </cell>
          <cell r="B141">
            <v>65.398318354947705</v>
          </cell>
          <cell r="C141">
            <v>65.350332747294246</v>
          </cell>
          <cell r="D141">
            <v>65.346192223340253</v>
          </cell>
          <cell r="E141">
            <v>65.364445670647356</v>
          </cell>
          <cell r="F141">
            <v>65.348777614215834</v>
          </cell>
          <cell r="G141">
            <v>65.339753302906161</v>
          </cell>
          <cell r="H141">
            <v>65.355038078796198</v>
          </cell>
          <cell r="I141">
            <v>65.386733378807747</v>
          </cell>
          <cell r="J141">
            <v>65.357869563763217</v>
          </cell>
          <cell r="K141">
            <v>65.384826540614583</v>
          </cell>
          <cell r="L141">
            <v>65.334256691563766</v>
          </cell>
          <cell r="M141">
            <v>65.239778817896394</v>
          </cell>
          <cell r="N141">
            <v>65.228547193218063</v>
          </cell>
          <cell r="O141">
            <v>65.267476754713684</v>
          </cell>
          <cell r="P141">
            <v>65.210420264438227</v>
          </cell>
          <cell r="Q141">
            <v>65.201054664297814</v>
          </cell>
          <cell r="R141">
            <v>65.221870992556688</v>
          </cell>
          <cell r="S141">
            <v>65.189799518563476</v>
          </cell>
          <cell r="T141">
            <v>65.189799518563476</v>
          </cell>
          <cell r="U141">
            <v>65.189799518563476</v>
          </cell>
          <cell r="V141">
            <v>65.189799518563476</v>
          </cell>
          <cell r="W141">
            <v>65.189799518563476</v>
          </cell>
          <cell r="X141">
            <v>65.189799518563476</v>
          </cell>
          <cell r="Y141">
            <v>65.189799518563476</v>
          </cell>
          <cell r="Z141">
            <v>65.189799518563476</v>
          </cell>
          <cell r="AA141">
            <v>65.189799518563476</v>
          </cell>
          <cell r="AB141">
            <v>65.189799518563476</v>
          </cell>
          <cell r="AC141">
            <v>65.189799518563476</v>
          </cell>
          <cell r="AD141">
            <v>65.189799518563476</v>
          </cell>
          <cell r="AE141">
            <v>65.189799518563476</v>
          </cell>
          <cell r="AF141">
            <v>65.189799518563476</v>
          </cell>
        </row>
        <row r="142">
          <cell r="A142" t="str">
            <v>Ohio</v>
          </cell>
          <cell r="B142">
            <v>65.398318354947676</v>
          </cell>
          <cell r="C142">
            <v>65.35033274729426</v>
          </cell>
          <cell r="D142">
            <v>65.346192223340253</v>
          </cell>
          <cell r="E142">
            <v>65.36444567064737</v>
          </cell>
          <cell r="F142">
            <v>65.34877761421582</v>
          </cell>
          <cell r="G142">
            <v>65.339753302906175</v>
          </cell>
          <cell r="H142">
            <v>65.355038078796198</v>
          </cell>
          <cell r="I142">
            <v>65.386733378807762</v>
          </cell>
          <cell r="J142">
            <v>65.357869563763231</v>
          </cell>
          <cell r="K142">
            <v>65.384826540614554</v>
          </cell>
          <cell r="L142">
            <v>65.334256691563766</v>
          </cell>
          <cell r="M142">
            <v>65.239778817896379</v>
          </cell>
          <cell r="N142">
            <v>65.228547193218091</v>
          </cell>
          <cell r="O142">
            <v>65.267476754713684</v>
          </cell>
          <cell r="P142">
            <v>65.210420264438241</v>
          </cell>
          <cell r="Q142">
            <v>65.201054664297814</v>
          </cell>
          <cell r="R142">
            <v>65.221870992556688</v>
          </cell>
          <cell r="S142">
            <v>65.189799518563461</v>
          </cell>
          <cell r="T142">
            <v>65.189799518563461</v>
          </cell>
          <cell r="U142">
            <v>65.189799518563461</v>
          </cell>
          <cell r="V142">
            <v>65.189799518563461</v>
          </cell>
          <cell r="W142">
            <v>65.189799518563461</v>
          </cell>
          <cell r="X142">
            <v>65.189799518563461</v>
          </cell>
          <cell r="Y142">
            <v>65.189799518563461</v>
          </cell>
          <cell r="Z142">
            <v>65.189799518563461</v>
          </cell>
          <cell r="AA142">
            <v>65.189799518563461</v>
          </cell>
          <cell r="AB142">
            <v>65.189799518563461</v>
          </cell>
          <cell r="AC142">
            <v>65.189799518563461</v>
          </cell>
          <cell r="AD142">
            <v>65.189799518563461</v>
          </cell>
          <cell r="AE142">
            <v>65.189799518563461</v>
          </cell>
          <cell r="AF142">
            <v>65.189799518563461</v>
          </cell>
        </row>
        <row r="143">
          <cell r="A143" t="str">
            <v>Oklahoma</v>
          </cell>
          <cell r="B143">
            <v>78.187146678824803</v>
          </cell>
          <cell r="C143">
            <v>78.129723002207001</v>
          </cell>
          <cell r="D143">
            <v>78.124768546032016</v>
          </cell>
          <cell r="E143">
            <v>78.14661366128469</v>
          </cell>
          <cell r="F143">
            <v>78.127863885236422</v>
          </cell>
          <cell r="G143">
            <v>78.117065319385304</v>
          </cell>
          <cell r="H143">
            <v>78.135354967657207</v>
          </cell>
          <cell r="I143">
            <v>78.173283105196134</v>
          </cell>
          <cell r="J143">
            <v>78.138740413227936</v>
          </cell>
          <cell r="K143">
            <v>78.171002022146581</v>
          </cell>
          <cell r="L143">
            <v>78.110485294106454</v>
          </cell>
          <cell r="M143">
            <v>77.998636902086616</v>
          </cell>
          <cell r="N143">
            <v>77.985195281094235</v>
          </cell>
          <cell r="O143">
            <v>78.031783872157789</v>
          </cell>
          <cell r="P143">
            <v>77.963502422498195</v>
          </cell>
          <cell r="Q143">
            <v>77.95229416832926</v>
          </cell>
          <cell r="R143">
            <v>77.97720694408838</v>
          </cell>
          <cell r="S143">
            <v>77.938825944107165</v>
          </cell>
          <cell r="T143">
            <v>77.938825944107165</v>
          </cell>
          <cell r="U143">
            <v>77.938825944107165</v>
          </cell>
          <cell r="V143">
            <v>77.938825944107165</v>
          </cell>
          <cell r="W143">
            <v>77.938825944107165</v>
          </cell>
          <cell r="X143">
            <v>77.938825944107165</v>
          </cell>
          <cell r="Y143">
            <v>77.938825944107165</v>
          </cell>
          <cell r="Z143">
            <v>77.938825944107165</v>
          </cell>
          <cell r="AA143">
            <v>77.938825944107165</v>
          </cell>
          <cell r="AB143">
            <v>77.938825944107165</v>
          </cell>
          <cell r="AC143">
            <v>77.938825944107165</v>
          </cell>
          <cell r="AD143">
            <v>77.938825944107165</v>
          </cell>
          <cell r="AE143">
            <v>77.938825944107165</v>
          </cell>
          <cell r="AF143">
            <v>77.938825944107165</v>
          </cell>
        </row>
        <row r="144">
          <cell r="A144" t="str">
            <v>Oregon</v>
          </cell>
          <cell r="B144">
            <v>69.12870608442509</v>
          </cell>
          <cell r="C144">
            <v>69.07798332807296</v>
          </cell>
          <cell r="D144">
            <v>69.07360662434948</v>
          </cell>
          <cell r="E144">
            <v>69.092901267173076</v>
          </cell>
          <cell r="F144">
            <v>69.076339488595025</v>
          </cell>
          <cell r="G144">
            <v>69.066800421233168</v>
          </cell>
          <cell r="H144">
            <v>69.082957056551137</v>
          </cell>
          <cell r="I144">
            <v>69.116460289262179</v>
          </cell>
          <cell r="J144">
            <v>69.085950052349673</v>
          </cell>
          <cell r="K144">
            <v>69.114444683045917</v>
          </cell>
          <cell r="L144">
            <v>69.0609902774939</v>
          </cell>
          <cell r="M144">
            <v>68.961123288181028</v>
          </cell>
          <cell r="N144">
            <v>68.949251000012652</v>
          </cell>
          <cell r="O144">
            <v>68.990401143966196</v>
          </cell>
          <cell r="P144">
            <v>68.930090092464027</v>
          </cell>
          <cell r="Q144">
            <v>68.920190268803452</v>
          </cell>
          <cell r="R144">
            <v>68.942193981959377</v>
          </cell>
          <cell r="S144">
            <v>68.908293117913672</v>
          </cell>
          <cell r="T144">
            <v>68.908293117913672</v>
          </cell>
          <cell r="U144">
            <v>68.908293117913672</v>
          </cell>
          <cell r="V144">
            <v>68.908293117913672</v>
          </cell>
          <cell r="W144">
            <v>68.908293117913672</v>
          </cell>
          <cell r="X144">
            <v>68.908293117913672</v>
          </cell>
          <cell r="Y144">
            <v>68.908293117913672</v>
          </cell>
          <cell r="Z144">
            <v>68.908293117913672</v>
          </cell>
          <cell r="AA144">
            <v>68.908293117913672</v>
          </cell>
          <cell r="AB144">
            <v>68.908293117913672</v>
          </cell>
          <cell r="AC144">
            <v>68.908293117913672</v>
          </cell>
          <cell r="AD144">
            <v>68.908293117913672</v>
          </cell>
          <cell r="AE144">
            <v>68.908293117913672</v>
          </cell>
          <cell r="AF144">
            <v>68.908293117913672</v>
          </cell>
        </row>
        <row r="145">
          <cell r="A145" t="str">
            <v>Pennsylvania</v>
          </cell>
          <cell r="B145">
            <v>69.760211048019357</v>
          </cell>
          <cell r="C145">
            <v>69.709067096958165</v>
          </cell>
          <cell r="D145">
            <v>69.704653701747262</v>
          </cell>
          <cell r="E145">
            <v>69.724107415340214</v>
          </cell>
          <cell r="F145">
            <v>69.707408142256725</v>
          </cell>
          <cell r="G145">
            <v>69.697789323893787</v>
          </cell>
          <cell r="H145">
            <v>69.714081223503115</v>
          </cell>
          <cell r="I145">
            <v>69.747863566792986</v>
          </cell>
          <cell r="J145">
            <v>69.717101362598342</v>
          </cell>
          <cell r="K145">
            <v>69.745830600668143</v>
          </cell>
          <cell r="L145">
            <v>69.691932726425549</v>
          </cell>
          <cell r="M145">
            <v>69.590296118948075</v>
          </cell>
          <cell r="N145">
            <v>69.578325942965819</v>
          </cell>
          <cell r="O145">
            <v>69.619816121617518</v>
          </cell>
          <cell r="P145">
            <v>69.559006412702516</v>
          </cell>
          <cell r="Q145">
            <v>69.549024830078764</v>
          </cell>
          <cell r="R145">
            <v>69.571209567953119</v>
          </cell>
          <cell r="S145">
            <v>69.537028386842067</v>
          </cell>
          <cell r="T145">
            <v>69.537028386842067</v>
          </cell>
          <cell r="U145">
            <v>69.537028386842067</v>
          </cell>
          <cell r="V145">
            <v>69.537028386842067</v>
          </cell>
          <cell r="W145">
            <v>69.537028386842067</v>
          </cell>
          <cell r="X145">
            <v>69.537028386842067</v>
          </cell>
          <cell r="Y145">
            <v>69.537028386842067</v>
          </cell>
          <cell r="Z145">
            <v>69.537028386842067</v>
          </cell>
          <cell r="AA145">
            <v>69.537028386842067</v>
          </cell>
          <cell r="AB145">
            <v>69.537028386842067</v>
          </cell>
          <cell r="AC145">
            <v>69.537028386842067</v>
          </cell>
          <cell r="AD145">
            <v>69.537028386842067</v>
          </cell>
          <cell r="AE145">
            <v>69.537028386842067</v>
          </cell>
          <cell r="AF145">
            <v>69.537028386842067</v>
          </cell>
        </row>
        <row r="146">
          <cell r="A146" t="str">
            <v>Rhode Island</v>
          </cell>
          <cell r="B146">
            <v>69.760211048019329</v>
          </cell>
          <cell r="C146">
            <v>69.709067096958151</v>
          </cell>
          <cell r="D146">
            <v>69.704653701747233</v>
          </cell>
          <cell r="E146">
            <v>69.724107415340228</v>
          </cell>
          <cell r="F146">
            <v>69.707408142256739</v>
          </cell>
          <cell r="G146">
            <v>69.697789323893801</v>
          </cell>
          <cell r="H146">
            <v>69.714081223503129</v>
          </cell>
          <cell r="I146">
            <v>69.747863566792972</v>
          </cell>
          <cell r="J146">
            <v>69.717101362598356</v>
          </cell>
          <cell r="K146">
            <v>69.745830600668157</v>
          </cell>
          <cell r="L146">
            <v>69.691932726425563</v>
          </cell>
          <cell r="M146">
            <v>69.590296118948075</v>
          </cell>
          <cell r="N146">
            <v>69.578325942965819</v>
          </cell>
          <cell r="O146">
            <v>69.619816121617518</v>
          </cell>
          <cell r="P146">
            <v>69.559006412702516</v>
          </cell>
          <cell r="Q146">
            <v>69.54902483007875</v>
          </cell>
          <cell r="R146">
            <v>69.571209567953119</v>
          </cell>
          <cell r="S146">
            <v>69.537028386842081</v>
          </cell>
          <cell r="T146">
            <v>69.537028386842081</v>
          </cell>
          <cell r="U146">
            <v>69.537028386842081</v>
          </cell>
          <cell r="V146">
            <v>69.537028386842081</v>
          </cell>
          <cell r="W146">
            <v>69.537028386842081</v>
          </cell>
          <cell r="X146">
            <v>69.537028386842081</v>
          </cell>
          <cell r="Y146">
            <v>69.537028386842081</v>
          </cell>
          <cell r="Z146">
            <v>69.537028386842081</v>
          </cell>
          <cell r="AA146">
            <v>69.537028386842081</v>
          </cell>
          <cell r="AB146">
            <v>69.537028386842081</v>
          </cell>
          <cell r="AC146">
            <v>69.537028386842081</v>
          </cell>
          <cell r="AD146">
            <v>69.537028386842081</v>
          </cell>
          <cell r="AE146">
            <v>69.537028386842081</v>
          </cell>
          <cell r="AF146">
            <v>69.537028386842081</v>
          </cell>
        </row>
        <row r="147">
          <cell r="A147" t="str">
            <v>South Carolina</v>
          </cell>
          <cell r="B147">
            <v>80.436432761131783</v>
          </cell>
          <cell r="C147">
            <v>80.377413030952042</v>
          </cell>
          <cell r="D147">
            <v>80.372320408006971</v>
          </cell>
          <cell r="E147">
            <v>80.394771171633764</v>
          </cell>
          <cell r="F147">
            <v>80.375500300465305</v>
          </cell>
          <cell r="G147">
            <v>80.364400880355831</v>
          </cell>
          <cell r="H147">
            <v>80.383200336963782</v>
          </cell>
          <cell r="I147">
            <v>80.422183860276817</v>
          </cell>
          <cell r="J147">
            <v>80.386682911988558</v>
          </cell>
          <cell r="K147">
            <v>80.419838551315195</v>
          </cell>
          <cell r="L147">
            <v>80.357640342473843</v>
          </cell>
          <cell r="M147">
            <v>80.241437612437025</v>
          </cell>
          <cell r="N147">
            <v>80.227623314975574</v>
          </cell>
          <cell r="O147">
            <v>80.275504592880395</v>
          </cell>
          <cell r="P147">
            <v>80.205328162368573</v>
          </cell>
          <cell r="Q147">
            <v>80.193808975256218</v>
          </cell>
          <cell r="R147">
            <v>80.219411945339331</v>
          </cell>
          <cell r="S147">
            <v>80.179965748154189</v>
          </cell>
          <cell r="T147">
            <v>80.179965748154189</v>
          </cell>
          <cell r="U147">
            <v>80.179965748154189</v>
          </cell>
          <cell r="V147">
            <v>80.179965748154189</v>
          </cell>
          <cell r="W147">
            <v>80.179965748154189</v>
          </cell>
          <cell r="X147">
            <v>80.179965748154189</v>
          </cell>
          <cell r="Y147">
            <v>80.179965748154189</v>
          </cell>
          <cell r="Z147">
            <v>80.179965748154189</v>
          </cell>
          <cell r="AA147">
            <v>80.179965748154189</v>
          </cell>
          <cell r="AB147">
            <v>80.179965748154189</v>
          </cell>
          <cell r="AC147">
            <v>80.179965748154189</v>
          </cell>
          <cell r="AD147">
            <v>80.179965748154189</v>
          </cell>
          <cell r="AE147">
            <v>80.179965748154189</v>
          </cell>
          <cell r="AF147">
            <v>80.179965748154189</v>
          </cell>
        </row>
        <row r="148">
          <cell r="A148" t="str">
            <v>South Dakota</v>
          </cell>
          <cell r="B148">
            <v>65.398318354947691</v>
          </cell>
          <cell r="C148">
            <v>65.35033274729426</v>
          </cell>
          <cell r="D148">
            <v>65.346192223340253</v>
          </cell>
          <cell r="E148">
            <v>65.364445670647356</v>
          </cell>
          <cell r="F148">
            <v>65.34877761421582</v>
          </cell>
          <cell r="G148">
            <v>65.339753302906175</v>
          </cell>
          <cell r="H148">
            <v>65.355038078796184</v>
          </cell>
          <cell r="I148">
            <v>65.386733378807776</v>
          </cell>
          <cell r="J148">
            <v>65.357869563763217</v>
          </cell>
          <cell r="K148">
            <v>65.384826540614554</v>
          </cell>
          <cell r="L148">
            <v>65.334256691563766</v>
          </cell>
          <cell r="M148">
            <v>65.239778817896379</v>
          </cell>
          <cell r="N148">
            <v>65.228547193218063</v>
          </cell>
          <cell r="O148">
            <v>65.267476754713684</v>
          </cell>
          <cell r="P148">
            <v>65.210420264438241</v>
          </cell>
          <cell r="Q148">
            <v>65.201054664297814</v>
          </cell>
          <cell r="R148">
            <v>65.221870992556674</v>
          </cell>
          <cell r="S148">
            <v>65.189799518563476</v>
          </cell>
          <cell r="T148">
            <v>65.189799518563476</v>
          </cell>
          <cell r="U148">
            <v>65.189799518563476</v>
          </cell>
          <cell r="V148">
            <v>65.189799518563476</v>
          </cell>
          <cell r="W148">
            <v>65.189799518563476</v>
          </cell>
          <cell r="X148">
            <v>65.189799518563476</v>
          </cell>
          <cell r="Y148">
            <v>65.189799518563476</v>
          </cell>
          <cell r="Z148">
            <v>65.189799518563476</v>
          </cell>
          <cell r="AA148">
            <v>65.189799518563476</v>
          </cell>
          <cell r="AB148">
            <v>65.189799518563476</v>
          </cell>
          <cell r="AC148">
            <v>65.189799518563476</v>
          </cell>
          <cell r="AD148">
            <v>65.189799518563476</v>
          </cell>
          <cell r="AE148">
            <v>65.189799518563476</v>
          </cell>
          <cell r="AF148">
            <v>65.189799518563476</v>
          </cell>
        </row>
        <row r="149">
          <cell r="A149" t="str">
            <v>Tennessee</v>
          </cell>
          <cell r="B149">
            <v>80.436432761131769</v>
          </cell>
          <cell r="C149">
            <v>80.377413030952013</v>
          </cell>
          <cell r="D149">
            <v>80.372320408006956</v>
          </cell>
          <cell r="E149">
            <v>80.394771171633778</v>
          </cell>
          <cell r="F149">
            <v>80.375500300465305</v>
          </cell>
          <cell r="G149">
            <v>80.364400880355817</v>
          </cell>
          <cell r="H149">
            <v>80.383200336963782</v>
          </cell>
          <cell r="I149">
            <v>80.422183860276832</v>
          </cell>
          <cell r="J149">
            <v>80.386682911988558</v>
          </cell>
          <cell r="K149">
            <v>80.419838551315195</v>
          </cell>
          <cell r="L149">
            <v>80.3576403424738</v>
          </cell>
          <cell r="M149">
            <v>80.241437612437039</v>
          </cell>
          <cell r="N149">
            <v>80.227623314975574</v>
          </cell>
          <cell r="O149">
            <v>80.275504592880409</v>
          </cell>
          <cell r="P149">
            <v>80.205328162368573</v>
          </cell>
          <cell r="Q149">
            <v>80.193808975256218</v>
          </cell>
          <cell r="R149">
            <v>80.219411945339331</v>
          </cell>
          <cell r="S149">
            <v>80.179965748154203</v>
          </cell>
          <cell r="T149">
            <v>80.179965748154203</v>
          </cell>
          <cell r="U149">
            <v>80.179965748154203</v>
          </cell>
          <cell r="V149">
            <v>80.179965748154203</v>
          </cell>
          <cell r="W149">
            <v>80.179965748154203</v>
          </cell>
          <cell r="X149">
            <v>80.179965748154203</v>
          </cell>
          <cell r="Y149">
            <v>80.179965748154203</v>
          </cell>
          <cell r="Z149">
            <v>80.179965748154203</v>
          </cell>
          <cell r="AA149">
            <v>80.179965748154203</v>
          </cell>
          <cell r="AB149">
            <v>80.179965748154203</v>
          </cell>
          <cell r="AC149">
            <v>80.179965748154203</v>
          </cell>
          <cell r="AD149">
            <v>80.179965748154203</v>
          </cell>
          <cell r="AE149">
            <v>80.179965748154203</v>
          </cell>
          <cell r="AF149">
            <v>80.179965748154203</v>
          </cell>
        </row>
        <row r="150">
          <cell r="A150" t="str">
            <v>Texas</v>
          </cell>
          <cell r="B150">
            <v>78.187146678824803</v>
          </cell>
          <cell r="C150">
            <v>78.129723002206987</v>
          </cell>
          <cell r="D150">
            <v>78.12476854603203</v>
          </cell>
          <cell r="E150">
            <v>78.146613661284661</v>
          </cell>
          <cell r="F150">
            <v>78.127863885236422</v>
          </cell>
          <cell r="G150">
            <v>78.11706531938529</v>
          </cell>
          <cell r="H150">
            <v>78.135354967657221</v>
          </cell>
          <cell r="I150">
            <v>78.17328310519612</v>
          </cell>
          <cell r="J150">
            <v>78.13874041322795</v>
          </cell>
          <cell r="K150">
            <v>78.171002022146567</v>
          </cell>
          <cell r="L150">
            <v>78.110485294106454</v>
          </cell>
          <cell r="M150">
            <v>77.998636902086602</v>
          </cell>
          <cell r="N150">
            <v>77.985195281094235</v>
          </cell>
          <cell r="O150">
            <v>78.031783872157789</v>
          </cell>
          <cell r="P150">
            <v>77.963502422498209</v>
          </cell>
          <cell r="Q150">
            <v>77.952294168329246</v>
          </cell>
          <cell r="R150">
            <v>77.977206944088394</v>
          </cell>
          <cell r="S150">
            <v>77.938825944107151</v>
          </cell>
          <cell r="T150">
            <v>77.938825944107151</v>
          </cell>
          <cell r="U150">
            <v>77.938825944107151</v>
          </cell>
          <cell r="V150">
            <v>77.938825944107151</v>
          </cell>
          <cell r="W150">
            <v>77.938825944107151</v>
          </cell>
          <cell r="X150">
            <v>77.938825944107151</v>
          </cell>
          <cell r="Y150">
            <v>77.938825944107151</v>
          </cell>
          <cell r="Z150">
            <v>77.938825944107151</v>
          </cell>
          <cell r="AA150">
            <v>77.938825944107151</v>
          </cell>
          <cell r="AB150">
            <v>77.938825944107151</v>
          </cell>
          <cell r="AC150">
            <v>77.938825944107151</v>
          </cell>
          <cell r="AD150">
            <v>77.938825944107151</v>
          </cell>
          <cell r="AE150">
            <v>77.938825944107151</v>
          </cell>
          <cell r="AF150">
            <v>77.938825944107151</v>
          </cell>
        </row>
        <row r="151">
          <cell r="A151" t="str">
            <v>Utah</v>
          </cell>
          <cell r="B151">
            <v>69.128706084425076</v>
          </cell>
          <cell r="C151">
            <v>69.07798332807296</v>
          </cell>
          <cell r="D151">
            <v>69.07360662434948</v>
          </cell>
          <cell r="E151">
            <v>69.092901267173062</v>
          </cell>
          <cell r="F151">
            <v>69.076339488595025</v>
          </cell>
          <cell r="G151">
            <v>69.066800421233182</v>
          </cell>
          <cell r="H151">
            <v>69.082957056551123</v>
          </cell>
          <cell r="I151">
            <v>69.116460289262207</v>
          </cell>
          <cell r="J151">
            <v>69.085950052349673</v>
          </cell>
          <cell r="K151">
            <v>69.114444683045932</v>
          </cell>
          <cell r="L151">
            <v>69.060990277493914</v>
          </cell>
          <cell r="M151">
            <v>68.961123288181014</v>
          </cell>
          <cell r="N151">
            <v>68.949251000012666</v>
          </cell>
          <cell r="O151">
            <v>68.990401143966196</v>
          </cell>
          <cell r="P151">
            <v>68.930090092464013</v>
          </cell>
          <cell r="Q151">
            <v>68.920190268803438</v>
          </cell>
          <cell r="R151">
            <v>68.942193981959406</v>
          </cell>
          <cell r="S151">
            <v>68.908293117913658</v>
          </cell>
          <cell r="T151">
            <v>68.908293117913658</v>
          </cell>
          <cell r="U151">
            <v>68.908293117913658</v>
          </cell>
          <cell r="V151">
            <v>68.908293117913658</v>
          </cell>
          <cell r="W151">
            <v>68.908293117913658</v>
          </cell>
          <cell r="X151">
            <v>68.908293117913658</v>
          </cell>
          <cell r="Y151">
            <v>68.908293117913658</v>
          </cell>
          <cell r="Z151">
            <v>68.908293117913658</v>
          </cell>
          <cell r="AA151">
            <v>68.908293117913658</v>
          </cell>
          <cell r="AB151">
            <v>68.908293117913658</v>
          </cell>
          <cell r="AC151">
            <v>68.908293117913658</v>
          </cell>
          <cell r="AD151">
            <v>68.908293117913658</v>
          </cell>
          <cell r="AE151">
            <v>68.908293117913658</v>
          </cell>
          <cell r="AF151">
            <v>68.908293117913658</v>
          </cell>
        </row>
        <row r="152">
          <cell r="A152" t="str">
            <v>Vermont</v>
          </cell>
          <cell r="B152">
            <v>69.760211048019329</v>
          </cell>
          <cell r="C152">
            <v>69.709067096958165</v>
          </cell>
          <cell r="D152">
            <v>69.704653701747247</v>
          </cell>
          <cell r="E152">
            <v>69.724107415340214</v>
          </cell>
          <cell r="F152">
            <v>69.707408142256725</v>
          </cell>
          <cell r="G152">
            <v>69.697789323893787</v>
          </cell>
          <cell r="H152">
            <v>69.714081223503143</v>
          </cell>
          <cell r="I152">
            <v>69.747863566792986</v>
          </cell>
          <cell r="J152">
            <v>69.717101362598342</v>
          </cell>
          <cell r="K152">
            <v>69.745830600668143</v>
          </cell>
          <cell r="L152">
            <v>69.691932726425563</v>
          </cell>
          <cell r="M152">
            <v>69.590296118948075</v>
          </cell>
          <cell r="N152">
            <v>69.578325942965819</v>
          </cell>
          <cell r="O152">
            <v>69.619816121617518</v>
          </cell>
          <cell r="P152">
            <v>69.559006412702516</v>
          </cell>
          <cell r="Q152">
            <v>69.549024830078778</v>
          </cell>
          <cell r="R152">
            <v>69.571209567953105</v>
          </cell>
          <cell r="S152">
            <v>69.537028386842081</v>
          </cell>
          <cell r="T152">
            <v>69.537028386842081</v>
          </cell>
          <cell r="U152">
            <v>69.537028386842081</v>
          </cell>
          <cell r="V152">
            <v>69.537028386842081</v>
          </cell>
          <cell r="W152">
            <v>69.537028386842081</v>
          </cell>
          <cell r="X152">
            <v>69.537028386842081</v>
          </cell>
          <cell r="Y152">
            <v>69.537028386842081</v>
          </cell>
          <cell r="Z152">
            <v>69.537028386842081</v>
          </cell>
          <cell r="AA152">
            <v>69.537028386842081</v>
          </cell>
          <cell r="AB152">
            <v>69.537028386842081</v>
          </cell>
          <cell r="AC152">
            <v>69.537028386842081</v>
          </cell>
          <cell r="AD152">
            <v>69.537028386842081</v>
          </cell>
          <cell r="AE152">
            <v>69.537028386842081</v>
          </cell>
          <cell r="AF152">
            <v>69.537028386842081</v>
          </cell>
        </row>
        <row r="153">
          <cell r="A153" t="str">
            <v>Virginia</v>
          </cell>
          <cell r="B153">
            <v>80.436432761131769</v>
          </cell>
          <cell r="C153">
            <v>80.377413030952027</v>
          </cell>
          <cell r="D153">
            <v>80.372320408006971</v>
          </cell>
          <cell r="E153">
            <v>80.394771171633778</v>
          </cell>
          <cell r="F153">
            <v>80.375500300465305</v>
          </cell>
          <cell r="G153">
            <v>80.364400880355817</v>
          </cell>
          <cell r="H153">
            <v>80.383200336963782</v>
          </cell>
          <cell r="I153">
            <v>80.422183860276832</v>
          </cell>
          <cell r="J153">
            <v>80.38668291198853</v>
          </cell>
          <cell r="K153">
            <v>80.419838551315209</v>
          </cell>
          <cell r="L153">
            <v>80.357640342473843</v>
          </cell>
          <cell r="M153">
            <v>80.241437612437025</v>
          </cell>
          <cell r="N153">
            <v>80.22762331497556</v>
          </cell>
          <cell r="O153">
            <v>80.275504592880409</v>
          </cell>
          <cell r="P153">
            <v>80.205328162368545</v>
          </cell>
          <cell r="Q153">
            <v>80.193808975256218</v>
          </cell>
          <cell r="R153">
            <v>80.219411945339331</v>
          </cell>
          <cell r="S153">
            <v>80.179965748154203</v>
          </cell>
          <cell r="T153">
            <v>80.179965748154203</v>
          </cell>
          <cell r="U153">
            <v>80.179965748154203</v>
          </cell>
          <cell r="V153">
            <v>80.179965748154203</v>
          </cell>
          <cell r="W153">
            <v>80.179965748154203</v>
          </cell>
          <cell r="X153">
            <v>80.179965748154203</v>
          </cell>
          <cell r="Y153">
            <v>80.179965748154203</v>
          </cell>
          <cell r="Z153">
            <v>80.179965748154203</v>
          </cell>
          <cell r="AA153">
            <v>80.179965748154203</v>
          </cell>
          <cell r="AB153">
            <v>80.179965748154203</v>
          </cell>
          <cell r="AC153">
            <v>80.179965748154203</v>
          </cell>
          <cell r="AD153">
            <v>80.179965748154203</v>
          </cell>
          <cell r="AE153">
            <v>80.179965748154203</v>
          </cell>
          <cell r="AF153">
            <v>80.179965748154203</v>
          </cell>
        </row>
        <row r="154">
          <cell r="A154" t="str">
            <v>Washington</v>
          </cell>
          <cell r="B154">
            <v>69.12870608442509</v>
          </cell>
          <cell r="C154">
            <v>69.077983328072946</v>
          </cell>
          <cell r="D154">
            <v>69.073606624349495</v>
          </cell>
          <cell r="E154">
            <v>69.092901267173076</v>
          </cell>
          <cell r="F154">
            <v>69.076339488595025</v>
          </cell>
          <cell r="G154">
            <v>69.066800421233168</v>
          </cell>
          <cell r="H154">
            <v>69.082957056551123</v>
          </cell>
          <cell r="I154">
            <v>69.116460289262207</v>
          </cell>
          <cell r="J154">
            <v>69.085950052349673</v>
          </cell>
          <cell r="K154">
            <v>69.114444683045903</v>
          </cell>
          <cell r="L154">
            <v>69.060990277493914</v>
          </cell>
          <cell r="M154">
            <v>68.961123288181014</v>
          </cell>
          <cell r="N154">
            <v>68.949251000012652</v>
          </cell>
          <cell r="O154">
            <v>68.990401143966196</v>
          </cell>
          <cell r="P154">
            <v>68.930090092464013</v>
          </cell>
          <cell r="Q154">
            <v>68.920190268803452</v>
          </cell>
          <cell r="R154">
            <v>68.942193981959392</v>
          </cell>
          <cell r="S154">
            <v>68.908293117913672</v>
          </cell>
          <cell r="T154">
            <v>68.908293117913672</v>
          </cell>
          <cell r="U154">
            <v>68.908293117913672</v>
          </cell>
          <cell r="V154">
            <v>68.908293117913672</v>
          </cell>
          <cell r="W154">
            <v>68.908293117913672</v>
          </cell>
          <cell r="X154">
            <v>68.908293117913672</v>
          </cell>
          <cell r="Y154">
            <v>68.908293117913672</v>
          </cell>
          <cell r="Z154">
            <v>68.908293117913672</v>
          </cell>
          <cell r="AA154">
            <v>68.908293117913672</v>
          </cell>
          <cell r="AB154">
            <v>68.908293117913672</v>
          </cell>
          <cell r="AC154">
            <v>68.908293117913672</v>
          </cell>
          <cell r="AD154">
            <v>68.908293117913672</v>
          </cell>
          <cell r="AE154">
            <v>68.908293117913672</v>
          </cell>
          <cell r="AF154">
            <v>68.908293117913672</v>
          </cell>
        </row>
        <row r="155">
          <cell r="A155" t="str">
            <v>West Virginia</v>
          </cell>
          <cell r="B155">
            <v>69.760211048019343</v>
          </cell>
          <cell r="C155">
            <v>69.709067096958151</v>
          </cell>
          <cell r="D155">
            <v>69.704653701747247</v>
          </cell>
          <cell r="E155">
            <v>69.724107415340228</v>
          </cell>
          <cell r="F155">
            <v>69.707408142256696</v>
          </cell>
          <cell r="G155">
            <v>69.697789323893801</v>
          </cell>
          <cell r="H155">
            <v>69.714081223503129</v>
          </cell>
          <cell r="I155">
            <v>69.747863566792986</v>
          </cell>
          <cell r="J155">
            <v>69.717101362598356</v>
          </cell>
          <cell r="K155">
            <v>69.745830600668157</v>
          </cell>
          <cell r="L155">
            <v>69.691932726425563</v>
          </cell>
          <cell r="M155">
            <v>69.590296118948075</v>
          </cell>
          <cell r="N155">
            <v>69.578325942965833</v>
          </cell>
          <cell r="O155">
            <v>69.619816121617504</v>
          </cell>
          <cell r="P155">
            <v>69.559006412702502</v>
          </cell>
          <cell r="Q155">
            <v>69.549024830078764</v>
          </cell>
          <cell r="R155">
            <v>69.571209567953119</v>
          </cell>
          <cell r="S155">
            <v>69.537028386842081</v>
          </cell>
          <cell r="T155">
            <v>69.537028386842081</v>
          </cell>
          <cell r="U155">
            <v>69.537028386842081</v>
          </cell>
          <cell r="V155">
            <v>69.537028386842081</v>
          </cell>
          <cell r="W155">
            <v>69.537028386842081</v>
          </cell>
          <cell r="X155">
            <v>69.537028386842081</v>
          </cell>
          <cell r="Y155">
            <v>69.537028386842081</v>
          </cell>
          <cell r="Z155">
            <v>69.537028386842081</v>
          </cell>
          <cell r="AA155">
            <v>69.537028386842081</v>
          </cell>
          <cell r="AB155">
            <v>69.537028386842081</v>
          </cell>
          <cell r="AC155">
            <v>69.537028386842081</v>
          </cell>
          <cell r="AD155">
            <v>69.537028386842081</v>
          </cell>
          <cell r="AE155">
            <v>69.537028386842081</v>
          </cell>
          <cell r="AF155">
            <v>69.537028386842081</v>
          </cell>
        </row>
        <row r="156">
          <cell r="A156" t="str">
            <v>Wisconsin</v>
          </cell>
          <cell r="B156">
            <v>65.398318354947719</v>
          </cell>
          <cell r="C156">
            <v>65.350332747294274</v>
          </cell>
          <cell r="D156">
            <v>65.346192223340239</v>
          </cell>
          <cell r="E156">
            <v>65.364445670647385</v>
          </cell>
          <cell r="F156">
            <v>65.34877761421582</v>
          </cell>
          <cell r="G156">
            <v>65.339753302906161</v>
          </cell>
          <cell r="H156">
            <v>65.355038078796198</v>
          </cell>
          <cell r="I156">
            <v>65.386733378807747</v>
          </cell>
          <cell r="J156">
            <v>65.357869563763217</v>
          </cell>
          <cell r="K156">
            <v>65.384826540614569</v>
          </cell>
          <cell r="L156">
            <v>65.334256691563766</v>
          </cell>
          <cell r="M156">
            <v>65.239778817896379</v>
          </cell>
          <cell r="N156">
            <v>65.228547193218091</v>
          </cell>
          <cell r="O156">
            <v>65.267476754713684</v>
          </cell>
          <cell r="P156">
            <v>65.210420264438241</v>
          </cell>
          <cell r="Q156">
            <v>65.201054664297828</v>
          </cell>
          <cell r="R156">
            <v>65.221870992556674</v>
          </cell>
          <cell r="S156">
            <v>65.189799518563476</v>
          </cell>
          <cell r="T156">
            <v>65.189799518563476</v>
          </cell>
          <cell r="U156">
            <v>65.189799518563476</v>
          </cell>
          <cell r="V156">
            <v>65.189799518563476</v>
          </cell>
          <cell r="W156">
            <v>65.189799518563476</v>
          </cell>
          <cell r="X156">
            <v>65.189799518563476</v>
          </cell>
          <cell r="Y156">
            <v>65.189799518563476</v>
          </cell>
          <cell r="Z156">
            <v>65.189799518563476</v>
          </cell>
          <cell r="AA156">
            <v>65.189799518563476</v>
          </cell>
          <cell r="AB156">
            <v>65.189799518563476</v>
          </cell>
          <cell r="AC156">
            <v>65.189799518563476</v>
          </cell>
          <cell r="AD156">
            <v>65.189799518563476</v>
          </cell>
          <cell r="AE156">
            <v>65.189799518563476</v>
          </cell>
          <cell r="AF156">
            <v>65.189799518563476</v>
          </cell>
        </row>
        <row r="157">
          <cell r="A157" t="str">
            <v>Wyoming</v>
          </cell>
          <cell r="B157">
            <v>65.398318354947705</v>
          </cell>
          <cell r="C157">
            <v>65.35033274729426</v>
          </cell>
          <cell r="D157">
            <v>65.346192223340239</v>
          </cell>
          <cell r="E157">
            <v>65.36444567064737</v>
          </cell>
          <cell r="F157">
            <v>65.348777614215834</v>
          </cell>
          <cell r="G157">
            <v>65.339753302906161</v>
          </cell>
          <cell r="H157">
            <v>65.355038078796184</v>
          </cell>
          <cell r="I157">
            <v>65.386733378807733</v>
          </cell>
          <cell r="J157">
            <v>65.357869563763231</v>
          </cell>
          <cell r="K157">
            <v>65.384826540614569</v>
          </cell>
          <cell r="L157">
            <v>65.33425669156378</v>
          </cell>
          <cell r="M157">
            <v>65.239778817896379</v>
          </cell>
          <cell r="N157">
            <v>65.228547193218091</v>
          </cell>
          <cell r="O157">
            <v>65.267476754713698</v>
          </cell>
          <cell r="P157">
            <v>65.210420264438241</v>
          </cell>
          <cell r="Q157">
            <v>65.201054664297814</v>
          </cell>
          <cell r="R157">
            <v>65.221870992556674</v>
          </cell>
          <cell r="S157">
            <v>65.189799518563476</v>
          </cell>
          <cell r="T157">
            <v>65.189799518563476</v>
          </cell>
          <cell r="U157">
            <v>65.189799518563476</v>
          </cell>
          <cell r="V157">
            <v>65.189799518563476</v>
          </cell>
          <cell r="W157">
            <v>65.189799518563476</v>
          </cell>
          <cell r="X157">
            <v>65.189799518563476</v>
          </cell>
          <cell r="Y157">
            <v>65.189799518563476</v>
          </cell>
          <cell r="Z157">
            <v>65.189799518563476</v>
          </cell>
          <cell r="AA157">
            <v>65.189799518563476</v>
          </cell>
          <cell r="AB157">
            <v>65.189799518563476</v>
          </cell>
          <cell r="AC157">
            <v>65.189799518563476</v>
          </cell>
          <cell r="AD157">
            <v>65.189799518563476</v>
          </cell>
          <cell r="AE157">
            <v>65.189799518563476</v>
          </cell>
          <cell r="AF157">
            <v>65.189799518563476</v>
          </cell>
        </row>
        <row r="159">
          <cell r="A159" t="str">
            <v>Dairy Replacements Total</v>
          </cell>
          <cell r="B159">
            <v>1990</v>
          </cell>
          <cell r="C159">
            <v>1991</v>
          </cell>
          <cell r="D159">
            <v>1992</v>
          </cell>
          <cell r="E159">
            <v>1993</v>
          </cell>
          <cell r="F159">
            <v>1994</v>
          </cell>
          <cell r="G159">
            <v>1995</v>
          </cell>
          <cell r="H159">
            <v>1996</v>
          </cell>
          <cell r="I159">
            <v>1997</v>
          </cell>
          <cell r="J159">
            <v>1998</v>
          </cell>
          <cell r="K159">
            <v>1999</v>
          </cell>
          <cell r="L159">
            <v>2000</v>
          </cell>
          <cell r="M159">
            <v>2001</v>
          </cell>
          <cell r="N159">
            <v>2002</v>
          </cell>
          <cell r="O159">
            <v>2003</v>
          </cell>
          <cell r="P159">
            <v>2004</v>
          </cell>
          <cell r="Q159">
            <v>2005</v>
          </cell>
          <cell r="R159">
            <v>2006</v>
          </cell>
          <cell r="S159">
            <v>2007</v>
          </cell>
          <cell r="T159">
            <v>2008</v>
          </cell>
          <cell r="U159">
            <v>2009</v>
          </cell>
          <cell r="V159">
            <v>2010</v>
          </cell>
          <cell r="W159">
            <v>2011</v>
          </cell>
          <cell r="X159">
            <v>2012</v>
          </cell>
          <cell r="Y159">
            <v>2013</v>
          </cell>
          <cell r="Z159">
            <v>2014</v>
          </cell>
          <cell r="AA159">
            <v>2015</v>
          </cell>
          <cell r="AB159">
            <v>2016</v>
          </cell>
          <cell r="AC159">
            <v>2017</v>
          </cell>
          <cell r="AD159">
            <v>2018</v>
          </cell>
          <cell r="AE159">
            <v>2019</v>
          </cell>
          <cell r="AF159">
            <v>2020</v>
          </cell>
        </row>
        <row r="160">
          <cell r="A160" t="str">
            <v>Alabama</v>
          </cell>
          <cell r="B160">
            <v>72.413326629084423</v>
          </cell>
          <cell r="C160">
            <v>72.267763861597601</v>
          </cell>
          <cell r="D160">
            <v>72.254413249327655</v>
          </cell>
          <cell r="E160">
            <v>72.350762297460506</v>
          </cell>
          <cell r="F160">
            <v>72.292391132043292</v>
          </cell>
          <cell r="G160">
            <v>72.311407341445246</v>
          </cell>
          <cell r="H160">
            <v>72.334024961840456</v>
          </cell>
          <cell r="I160">
            <v>72.405535848512699</v>
          </cell>
          <cell r="J160">
            <v>72.238095209812911</v>
          </cell>
          <cell r="K160">
            <v>72.392048414539616</v>
          </cell>
          <cell r="L160">
            <v>72.235780687428203</v>
          </cell>
          <cell r="M160">
            <v>72.209538020847447</v>
          </cell>
          <cell r="N160">
            <v>72.144954730330824</v>
          </cell>
          <cell r="O160">
            <v>72.313442032928933</v>
          </cell>
          <cell r="P160">
            <v>72.096971787375011</v>
          </cell>
          <cell r="Q160">
            <v>72.037790895741765</v>
          </cell>
          <cell r="R160">
            <v>72.159194941673235</v>
          </cell>
          <cell r="S160">
            <v>72.041558853077021</v>
          </cell>
          <cell r="T160">
            <v>72.041558853077021</v>
          </cell>
          <cell r="U160">
            <v>72.041558853077021</v>
          </cell>
          <cell r="V160">
            <v>72.041558853077021</v>
          </cell>
          <cell r="W160">
            <v>72.041558853077021</v>
          </cell>
          <cell r="X160">
            <v>72.041558853077021</v>
          </cell>
          <cell r="Y160">
            <v>72.041558853077021</v>
          </cell>
          <cell r="Z160">
            <v>72.041558853077021</v>
          </cell>
          <cell r="AA160">
            <v>72.041558853077021</v>
          </cell>
          <cell r="AB160">
            <v>72.041558853077021</v>
          </cell>
          <cell r="AC160">
            <v>72.041558853077021</v>
          </cell>
          <cell r="AD160">
            <v>72.041558853077021</v>
          </cell>
          <cell r="AE160">
            <v>72.041558853077021</v>
          </cell>
          <cell r="AF160">
            <v>72.041558853077021</v>
          </cell>
        </row>
        <row r="161">
          <cell r="A161" t="str">
            <v>Alaska</v>
          </cell>
          <cell r="B161">
            <v>62.233485515239742</v>
          </cell>
          <cell r="C161">
            <v>62.10838591267138</v>
          </cell>
          <cell r="D161">
            <v>62.096912124986183</v>
          </cell>
          <cell r="E161">
            <v>62.179716456322851</v>
          </cell>
          <cell r="F161">
            <v>62.129551089716983</v>
          </cell>
          <cell r="G161">
            <v>62.145894006793974</v>
          </cell>
          <cell r="H161">
            <v>62.165332049717577</v>
          </cell>
          <cell r="I161">
            <v>62.226789959981716</v>
          </cell>
          <cell r="J161">
            <v>62.082888069980704</v>
          </cell>
          <cell r="K161">
            <v>62.215198584942399</v>
          </cell>
          <cell r="L161">
            <v>62.080898922374772</v>
          </cell>
          <cell r="M161">
            <v>62.058345441039734</v>
          </cell>
          <cell r="N161">
            <v>62.002841247792567</v>
          </cell>
          <cell r="O161">
            <v>62.147642662032915</v>
          </cell>
          <cell r="P161">
            <v>61.96160373082671</v>
          </cell>
          <cell r="Q161">
            <v>61.910742469044031</v>
          </cell>
          <cell r="R161">
            <v>62.015079575011676</v>
          </cell>
          <cell r="S161">
            <v>61.913980728203803</v>
          </cell>
          <cell r="T161">
            <v>61.913980728203803</v>
          </cell>
          <cell r="U161">
            <v>61.913980728203803</v>
          </cell>
          <cell r="V161">
            <v>61.913980728203803</v>
          </cell>
          <cell r="W161">
            <v>61.913980728203803</v>
          </cell>
          <cell r="X161">
            <v>61.913980728203803</v>
          </cell>
          <cell r="Y161">
            <v>61.913980728203803</v>
          </cell>
          <cell r="Z161">
            <v>61.913980728203803</v>
          </cell>
          <cell r="AA161">
            <v>61.913980728203803</v>
          </cell>
          <cell r="AB161">
            <v>61.913980728203803</v>
          </cell>
          <cell r="AC161">
            <v>61.913980728203803</v>
          </cell>
          <cell r="AD161">
            <v>61.913980728203803</v>
          </cell>
          <cell r="AE161">
            <v>61.913980728203803</v>
          </cell>
          <cell r="AF161">
            <v>61.913980728203803</v>
          </cell>
        </row>
        <row r="162">
          <cell r="A162" t="str">
            <v>Arizona</v>
          </cell>
          <cell r="B162">
            <v>62.233485515239749</v>
          </cell>
          <cell r="C162">
            <v>62.108385912671409</v>
          </cell>
          <cell r="D162">
            <v>62.096912124986204</v>
          </cell>
          <cell r="E162">
            <v>62.179716456322843</v>
          </cell>
          <cell r="F162">
            <v>62.129551089716969</v>
          </cell>
          <cell r="G162">
            <v>62.145894006793988</v>
          </cell>
          <cell r="H162">
            <v>62.165332049717584</v>
          </cell>
          <cell r="I162">
            <v>62.226789959981694</v>
          </cell>
          <cell r="J162">
            <v>62.08288806998069</v>
          </cell>
          <cell r="K162">
            <v>62.215198584942407</v>
          </cell>
          <cell r="L162">
            <v>62.08089892237475</v>
          </cell>
          <cell r="M162">
            <v>62.058345441039741</v>
          </cell>
          <cell r="N162">
            <v>62.002841247792546</v>
          </cell>
          <cell r="O162">
            <v>62.147642662032929</v>
          </cell>
          <cell r="P162">
            <v>61.961603730826702</v>
          </cell>
          <cell r="Q162">
            <v>61.910742469044045</v>
          </cell>
          <cell r="R162">
            <v>62.015079575011669</v>
          </cell>
          <cell r="S162">
            <v>61.913980728203796</v>
          </cell>
          <cell r="T162">
            <v>61.913980728203796</v>
          </cell>
          <cell r="U162">
            <v>61.913980728203796</v>
          </cell>
          <cell r="V162">
            <v>61.913980728203796</v>
          </cell>
          <cell r="W162">
            <v>61.913980728203796</v>
          </cell>
          <cell r="X162">
            <v>61.913980728203796</v>
          </cell>
          <cell r="Y162">
            <v>61.913980728203796</v>
          </cell>
          <cell r="Z162">
            <v>61.913980728203796</v>
          </cell>
          <cell r="AA162">
            <v>61.913980728203796</v>
          </cell>
          <cell r="AB162">
            <v>61.913980728203796</v>
          </cell>
          <cell r="AC162">
            <v>61.913980728203796</v>
          </cell>
          <cell r="AD162">
            <v>61.913980728203796</v>
          </cell>
          <cell r="AE162">
            <v>61.913980728203796</v>
          </cell>
          <cell r="AF162">
            <v>61.913980728203796</v>
          </cell>
        </row>
        <row r="163">
          <cell r="A163" t="str">
            <v>Arkansas</v>
          </cell>
          <cell r="B163">
            <v>70.389610749776281</v>
          </cell>
          <cell r="C163">
            <v>70.248089207054562</v>
          </cell>
          <cell r="D163">
            <v>70.235110259844461</v>
          </cell>
          <cell r="E163">
            <v>70.328776607402219</v>
          </cell>
          <cell r="F163">
            <v>70.272028678605565</v>
          </cell>
          <cell r="G163">
            <v>70.290506440738753</v>
          </cell>
          <cell r="H163">
            <v>70.312499597554222</v>
          </cell>
          <cell r="I163">
            <v>70.382029323606972</v>
          </cell>
          <cell r="J163">
            <v>70.219254351090228</v>
          </cell>
          <cell r="K163">
            <v>70.36891971020664</v>
          </cell>
          <cell r="L163">
            <v>70.21699027877284</v>
          </cell>
          <cell r="M163">
            <v>70.192253956850735</v>
          </cell>
          <cell r="N163">
            <v>70.129468030332333</v>
          </cell>
          <cell r="O163">
            <v>70.293273026183158</v>
          </cell>
          <cell r="P163">
            <v>70.082813538812758</v>
          </cell>
          <cell r="Q163">
            <v>70.025280866025426</v>
          </cell>
          <cell r="R163">
            <v>70.143306739450821</v>
          </cell>
          <cell r="S163">
            <v>70.028936467434576</v>
          </cell>
          <cell r="T163">
            <v>70.028936467434576</v>
          </cell>
          <cell r="U163">
            <v>70.028936467434576</v>
          </cell>
          <cell r="V163">
            <v>70.028936467434576</v>
          </cell>
          <cell r="W163">
            <v>70.028936467434576</v>
          </cell>
          <cell r="X163">
            <v>70.028936467434576</v>
          </cell>
          <cell r="Y163">
            <v>70.028936467434576</v>
          </cell>
          <cell r="Z163">
            <v>70.028936467434576</v>
          </cell>
          <cell r="AA163">
            <v>70.028936467434576</v>
          </cell>
          <cell r="AB163">
            <v>70.028936467434576</v>
          </cell>
          <cell r="AC163">
            <v>70.028936467434576</v>
          </cell>
          <cell r="AD163">
            <v>70.028936467434576</v>
          </cell>
          <cell r="AE163">
            <v>70.028936467434576</v>
          </cell>
          <cell r="AF163">
            <v>70.028936467434576</v>
          </cell>
        </row>
        <row r="164">
          <cell r="A164" t="str">
            <v>California</v>
          </cell>
          <cell r="B164">
            <v>62.233485515239757</v>
          </cell>
          <cell r="C164">
            <v>62.108385912671388</v>
          </cell>
          <cell r="D164">
            <v>62.096912124986183</v>
          </cell>
          <cell r="E164">
            <v>62.179716456322865</v>
          </cell>
          <cell r="F164">
            <v>62.129551089716969</v>
          </cell>
          <cell r="G164">
            <v>62.145894006793988</v>
          </cell>
          <cell r="H164">
            <v>62.16533204971757</v>
          </cell>
          <cell r="I164">
            <v>62.226789959981701</v>
          </cell>
          <cell r="J164">
            <v>62.082888069980683</v>
          </cell>
          <cell r="K164">
            <v>62.215198584942399</v>
          </cell>
          <cell r="L164">
            <v>62.080898922374757</v>
          </cell>
          <cell r="M164">
            <v>62.058345441039734</v>
          </cell>
          <cell r="N164">
            <v>62.002841247792546</v>
          </cell>
          <cell r="O164">
            <v>62.147642662032915</v>
          </cell>
          <cell r="P164">
            <v>61.961603730826717</v>
          </cell>
          <cell r="Q164">
            <v>61.910742469044038</v>
          </cell>
          <cell r="R164">
            <v>62.015079575011669</v>
          </cell>
          <cell r="S164">
            <v>61.913980728203818</v>
          </cell>
          <cell r="T164">
            <v>61.913980728203818</v>
          </cell>
          <cell r="U164">
            <v>61.913980728203818</v>
          </cell>
          <cell r="V164">
            <v>61.913980728203818</v>
          </cell>
          <cell r="W164">
            <v>61.913980728203818</v>
          </cell>
          <cell r="X164">
            <v>61.913980728203818</v>
          </cell>
          <cell r="Y164">
            <v>61.913980728203818</v>
          </cell>
          <cell r="Z164">
            <v>61.913980728203818</v>
          </cell>
          <cell r="AA164">
            <v>61.913980728203818</v>
          </cell>
          <cell r="AB164">
            <v>61.913980728203818</v>
          </cell>
          <cell r="AC164">
            <v>61.913980728203818</v>
          </cell>
          <cell r="AD164">
            <v>61.913980728203818</v>
          </cell>
          <cell r="AE164">
            <v>61.913980728203818</v>
          </cell>
          <cell r="AF164">
            <v>61.913980728203818</v>
          </cell>
        </row>
        <row r="165">
          <cell r="A165" t="str">
            <v>Colorado</v>
          </cell>
          <cell r="B165">
            <v>58.875184110825593</v>
          </cell>
          <cell r="C165">
            <v>58.756835249719288</v>
          </cell>
          <cell r="D165">
            <v>58.745980621269318</v>
          </cell>
          <cell r="E165">
            <v>58.824316588028324</v>
          </cell>
          <cell r="F165">
            <v>58.776858291735678</v>
          </cell>
          <cell r="G165">
            <v>58.792319297074698</v>
          </cell>
          <cell r="H165">
            <v>58.810708406191829</v>
          </cell>
          <cell r="I165">
            <v>58.868849867366819</v>
          </cell>
          <cell r="J165">
            <v>58.732713345403376</v>
          </cell>
          <cell r="K165">
            <v>58.857883996921245</v>
          </cell>
          <cell r="L165">
            <v>58.730831538036284</v>
          </cell>
          <cell r="M165">
            <v>58.709495108701738</v>
          </cell>
          <cell r="N165">
            <v>58.656986084511672</v>
          </cell>
          <cell r="O165">
            <v>58.793973589748269</v>
          </cell>
          <cell r="P165">
            <v>58.617973864907754</v>
          </cell>
          <cell r="Q165">
            <v>58.569857225983057</v>
          </cell>
          <cell r="R165">
            <v>58.668563995699984</v>
          </cell>
          <cell r="S165">
            <v>58.572920739180979</v>
          </cell>
          <cell r="T165">
            <v>58.572920739180979</v>
          </cell>
          <cell r="U165">
            <v>58.572920739180979</v>
          </cell>
          <cell r="V165">
            <v>58.572920739180979</v>
          </cell>
          <cell r="W165">
            <v>58.572920739180979</v>
          </cell>
          <cell r="X165">
            <v>58.572920739180979</v>
          </cell>
          <cell r="Y165">
            <v>58.572920739180979</v>
          </cell>
          <cell r="Z165">
            <v>58.572920739180979</v>
          </cell>
          <cell r="AA165">
            <v>58.572920739180979</v>
          </cell>
          <cell r="AB165">
            <v>58.572920739180979</v>
          </cell>
          <cell r="AC165">
            <v>58.572920739180979</v>
          </cell>
          <cell r="AD165">
            <v>58.572920739180979</v>
          </cell>
          <cell r="AE165">
            <v>58.572920739180979</v>
          </cell>
          <cell r="AF165">
            <v>58.572920739180979</v>
          </cell>
        </row>
        <row r="166">
          <cell r="A166" t="str">
            <v>Connecticut</v>
          </cell>
          <cell r="B166">
            <v>62.801057790893147</v>
          </cell>
          <cell r="C166">
            <v>62.674838052454191</v>
          </cell>
          <cell r="D166">
            <v>62.663260741338753</v>
          </cell>
          <cell r="E166">
            <v>62.746812538989907</v>
          </cell>
          <cell r="F166">
            <v>62.69619590552314</v>
          </cell>
          <cell r="G166">
            <v>62.712693307118549</v>
          </cell>
          <cell r="H166">
            <v>62.732302709508026</v>
          </cell>
          <cell r="I166">
            <v>62.794307668207416</v>
          </cell>
          <cell r="J166">
            <v>62.649104057175606</v>
          </cell>
          <cell r="K166">
            <v>62.782609888053962</v>
          </cell>
          <cell r="L166">
            <v>62.647107812310992</v>
          </cell>
          <cell r="M166">
            <v>62.623748897543024</v>
          </cell>
          <cell r="N166">
            <v>62.567744344558456</v>
          </cell>
          <cell r="O166">
            <v>62.713845898987856</v>
          </cell>
          <cell r="P166">
            <v>62.526140450178445</v>
          </cell>
          <cell r="Q166">
            <v>62.474819749184036</v>
          </cell>
          <cell r="R166">
            <v>62.580097028641497</v>
          </cell>
          <cell r="S166">
            <v>62.478093014615439</v>
          </cell>
          <cell r="T166">
            <v>62.478093014615439</v>
          </cell>
          <cell r="U166">
            <v>62.478093014615439</v>
          </cell>
          <cell r="V166">
            <v>62.478093014615439</v>
          </cell>
          <cell r="W166">
            <v>62.478093014615439</v>
          </cell>
          <cell r="X166">
            <v>62.478093014615439</v>
          </cell>
          <cell r="Y166">
            <v>62.478093014615439</v>
          </cell>
          <cell r="Z166">
            <v>62.478093014615439</v>
          </cell>
          <cell r="AA166">
            <v>62.478093014615439</v>
          </cell>
          <cell r="AB166">
            <v>62.478093014615439</v>
          </cell>
          <cell r="AC166">
            <v>62.478093014615439</v>
          </cell>
          <cell r="AD166">
            <v>62.478093014615439</v>
          </cell>
          <cell r="AE166">
            <v>62.478093014615439</v>
          </cell>
          <cell r="AF166">
            <v>62.478093014615439</v>
          </cell>
        </row>
        <row r="167">
          <cell r="A167" t="str">
            <v>Delaware</v>
          </cell>
          <cell r="B167">
            <v>62.801057790893132</v>
          </cell>
          <cell r="C167">
            <v>62.674838052454191</v>
          </cell>
          <cell r="D167">
            <v>62.663260741338753</v>
          </cell>
          <cell r="E167">
            <v>62.7468125389899</v>
          </cell>
          <cell r="F167">
            <v>62.696195905523147</v>
          </cell>
          <cell r="G167">
            <v>62.712693307118535</v>
          </cell>
          <cell r="H167">
            <v>62.732302709507991</v>
          </cell>
          <cell r="I167">
            <v>62.794307668207431</v>
          </cell>
          <cell r="J167">
            <v>62.649104057175599</v>
          </cell>
          <cell r="K167">
            <v>62.78260988805394</v>
          </cell>
          <cell r="L167">
            <v>62.647107812310999</v>
          </cell>
          <cell r="M167">
            <v>62.623748897543031</v>
          </cell>
          <cell r="N167">
            <v>62.567744344558449</v>
          </cell>
          <cell r="O167">
            <v>62.713845898987856</v>
          </cell>
          <cell r="P167">
            <v>62.526140450178424</v>
          </cell>
          <cell r="Q167">
            <v>62.474819749184014</v>
          </cell>
          <cell r="R167">
            <v>62.580097028641482</v>
          </cell>
          <cell r="S167">
            <v>62.478093014615439</v>
          </cell>
          <cell r="T167">
            <v>62.478093014615439</v>
          </cell>
          <cell r="U167">
            <v>62.478093014615439</v>
          </cell>
          <cell r="V167">
            <v>62.478093014615439</v>
          </cell>
          <cell r="W167">
            <v>62.478093014615439</v>
          </cell>
          <cell r="X167">
            <v>62.478093014615439</v>
          </cell>
          <cell r="Y167">
            <v>62.478093014615439</v>
          </cell>
          <cell r="Z167">
            <v>62.478093014615439</v>
          </cell>
          <cell r="AA167">
            <v>62.478093014615439</v>
          </cell>
          <cell r="AB167">
            <v>62.478093014615439</v>
          </cell>
          <cell r="AC167">
            <v>62.478093014615439</v>
          </cell>
          <cell r="AD167">
            <v>62.478093014615439</v>
          </cell>
          <cell r="AE167">
            <v>62.478093014615439</v>
          </cell>
          <cell r="AF167">
            <v>62.478093014615439</v>
          </cell>
        </row>
        <row r="168">
          <cell r="A168" t="str">
            <v>Florida</v>
          </cell>
          <cell r="B168">
            <v>72.413326629084438</v>
          </cell>
          <cell r="C168">
            <v>72.267763861597572</v>
          </cell>
          <cell r="D168">
            <v>72.254413249327641</v>
          </cell>
          <cell r="E168">
            <v>72.350762297460491</v>
          </cell>
          <cell r="F168">
            <v>72.292391132043321</v>
          </cell>
          <cell r="G168">
            <v>72.311407341445246</v>
          </cell>
          <cell r="H168">
            <v>72.334024961840484</v>
          </cell>
          <cell r="I168">
            <v>72.405535848512685</v>
          </cell>
          <cell r="J168">
            <v>72.238095209812911</v>
          </cell>
          <cell r="K168">
            <v>72.392048414539616</v>
          </cell>
          <cell r="L168">
            <v>72.235780687428203</v>
          </cell>
          <cell r="M168">
            <v>72.209538020847432</v>
          </cell>
          <cell r="N168">
            <v>72.144954730330838</v>
          </cell>
          <cell r="O168">
            <v>72.313442032928947</v>
          </cell>
          <cell r="P168">
            <v>72.096971787375011</v>
          </cell>
          <cell r="Q168">
            <v>72.037790895741765</v>
          </cell>
          <cell r="R168">
            <v>72.159194941673235</v>
          </cell>
          <cell r="S168">
            <v>72.041558853077035</v>
          </cell>
          <cell r="T168">
            <v>72.041558853077035</v>
          </cell>
          <cell r="U168">
            <v>72.041558853077035</v>
          </cell>
          <cell r="V168">
            <v>72.041558853077035</v>
          </cell>
          <cell r="W168">
            <v>72.041558853077035</v>
          </cell>
          <cell r="X168">
            <v>72.041558853077035</v>
          </cell>
          <cell r="Y168">
            <v>72.041558853077035</v>
          </cell>
          <cell r="Z168">
            <v>72.041558853077035</v>
          </cell>
          <cell r="AA168">
            <v>72.041558853077035</v>
          </cell>
          <cell r="AB168">
            <v>72.041558853077035</v>
          </cell>
          <cell r="AC168">
            <v>72.041558853077035</v>
          </cell>
          <cell r="AD168">
            <v>72.041558853077035</v>
          </cell>
          <cell r="AE168">
            <v>72.041558853077035</v>
          </cell>
          <cell r="AF168">
            <v>72.041558853077035</v>
          </cell>
        </row>
        <row r="169">
          <cell r="A169" t="str">
            <v>Georgia</v>
          </cell>
          <cell r="B169">
            <v>72.413326629084423</v>
          </cell>
          <cell r="C169">
            <v>72.267763861597601</v>
          </cell>
          <cell r="D169">
            <v>72.254413249327641</v>
          </cell>
          <cell r="E169">
            <v>72.350762297460491</v>
          </cell>
          <cell r="F169">
            <v>72.292391132043306</v>
          </cell>
          <cell r="G169">
            <v>72.311407341445246</v>
          </cell>
          <cell r="H169">
            <v>72.33402496184047</v>
          </cell>
          <cell r="I169">
            <v>72.405535848512713</v>
          </cell>
          <cell r="J169">
            <v>72.238095209812897</v>
          </cell>
          <cell r="K169">
            <v>72.39204841453963</v>
          </cell>
          <cell r="L169">
            <v>72.235780687428203</v>
          </cell>
          <cell r="M169">
            <v>72.209538020847461</v>
          </cell>
          <cell r="N169">
            <v>72.144954730330809</v>
          </cell>
          <cell r="O169">
            <v>72.313442032928961</v>
          </cell>
          <cell r="P169">
            <v>72.096971787374997</v>
          </cell>
          <cell r="Q169">
            <v>72.037790895741779</v>
          </cell>
          <cell r="R169">
            <v>72.159194941673235</v>
          </cell>
          <cell r="S169">
            <v>72.041558853077035</v>
          </cell>
          <cell r="T169">
            <v>72.041558853077035</v>
          </cell>
          <cell r="U169">
            <v>72.041558853077035</v>
          </cell>
          <cell r="V169">
            <v>72.041558853077035</v>
          </cell>
          <cell r="W169">
            <v>72.041558853077035</v>
          </cell>
          <cell r="X169">
            <v>72.041558853077035</v>
          </cell>
          <cell r="Y169">
            <v>72.041558853077035</v>
          </cell>
          <cell r="Z169">
            <v>72.041558853077035</v>
          </cell>
          <cell r="AA169">
            <v>72.041558853077035</v>
          </cell>
          <cell r="AB169">
            <v>72.041558853077035</v>
          </cell>
          <cell r="AC169">
            <v>72.041558853077035</v>
          </cell>
          <cell r="AD169">
            <v>72.041558853077035</v>
          </cell>
          <cell r="AE169">
            <v>72.041558853077035</v>
          </cell>
          <cell r="AF169">
            <v>72.041558853077035</v>
          </cell>
        </row>
        <row r="170">
          <cell r="A170" t="str">
            <v>Hawaii</v>
          </cell>
          <cell r="B170">
            <v>62.233485515239749</v>
          </cell>
          <cell r="C170">
            <v>62.108385912671402</v>
          </cell>
          <cell r="D170">
            <v>62.096912124986204</v>
          </cell>
          <cell r="E170">
            <v>62.179716456322843</v>
          </cell>
          <cell r="F170">
            <v>62.129551089716969</v>
          </cell>
          <cell r="G170">
            <v>62.145894006793981</v>
          </cell>
          <cell r="H170">
            <v>62.165332049717577</v>
          </cell>
          <cell r="I170">
            <v>62.226789959981701</v>
          </cell>
          <cell r="J170">
            <v>62.08288806998069</v>
          </cell>
          <cell r="K170">
            <v>62.215198584942407</v>
          </cell>
          <cell r="L170">
            <v>62.080898922374772</v>
          </cell>
          <cell r="M170">
            <v>62.058345441039741</v>
          </cell>
          <cell r="N170">
            <v>62.002841247792546</v>
          </cell>
          <cell r="O170">
            <v>62.147642662032936</v>
          </cell>
          <cell r="P170">
            <v>61.96160373082671</v>
          </cell>
          <cell r="Q170">
            <v>61.910742469044031</v>
          </cell>
          <cell r="R170">
            <v>62.015079575011676</v>
          </cell>
          <cell r="S170">
            <v>61.913980728203803</v>
          </cell>
          <cell r="T170">
            <v>61.913980728203803</v>
          </cell>
          <cell r="U170">
            <v>61.913980728203803</v>
          </cell>
          <cell r="V170">
            <v>61.913980728203803</v>
          </cell>
          <cell r="W170">
            <v>61.913980728203803</v>
          </cell>
          <cell r="X170">
            <v>61.913980728203803</v>
          </cell>
          <cell r="Y170">
            <v>61.913980728203803</v>
          </cell>
          <cell r="Z170">
            <v>61.913980728203803</v>
          </cell>
          <cell r="AA170">
            <v>61.913980728203803</v>
          </cell>
          <cell r="AB170">
            <v>61.913980728203803</v>
          </cell>
          <cell r="AC170">
            <v>61.913980728203803</v>
          </cell>
          <cell r="AD170">
            <v>61.913980728203803</v>
          </cell>
          <cell r="AE170">
            <v>61.913980728203803</v>
          </cell>
          <cell r="AF170">
            <v>61.913980728203803</v>
          </cell>
        </row>
        <row r="171">
          <cell r="A171" t="str">
            <v>Idaho</v>
          </cell>
          <cell r="B171">
            <v>62.233485515239757</v>
          </cell>
          <cell r="C171">
            <v>62.108385912671402</v>
          </cell>
          <cell r="D171">
            <v>62.096912124986197</v>
          </cell>
          <cell r="E171">
            <v>62.179716456322843</v>
          </cell>
          <cell r="F171">
            <v>62.129551089716962</v>
          </cell>
          <cell r="G171">
            <v>62.145894006793995</v>
          </cell>
          <cell r="H171">
            <v>62.165332049717577</v>
          </cell>
          <cell r="I171">
            <v>62.226789959981701</v>
          </cell>
          <cell r="J171">
            <v>62.082888069980683</v>
          </cell>
          <cell r="K171">
            <v>62.215198584942414</v>
          </cell>
          <cell r="L171">
            <v>62.080898922374743</v>
          </cell>
          <cell r="M171">
            <v>62.058345441039748</v>
          </cell>
          <cell r="N171">
            <v>62.002841247792546</v>
          </cell>
          <cell r="O171">
            <v>62.147642662032922</v>
          </cell>
          <cell r="P171">
            <v>61.961603730826688</v>
          </cell>
          <cell r="Q171">
            <v>61.910742469044024</v>
          </cell>
          <cell r="R171">
            <v>62.015079575011669</v>
          </cell>
          <cell r="S171">
            <v>61.913980728203811</v>
          </cell>
          <cell r="T171">
            <v>61.913980728203811</v>
          </cell>
          <cell r="U171">
            <v>61.913980728203811</v>
          </cell>
          <cell r="V171">
            <v>61.913980728203811</v>
          </cell>
          <cell r="W171">
            <v>61.913980728203811</v>
          </cell>
          <cell r="X171">
            <v>61.913980728203811</v>
          </cell>
          <cell r="Y171">
            <v>61.913980728203811</v>
          </cell>
          <cell r="Z171">
            <v>61.913980728203811</v>
          </cell>
          <cell r="AA171">
            <v>61.913980728203811</v>
          </cell>
          <cell r="AB171">
            <v>61.913980728203811</v>
          </cell>
          <cell r="AC171">
            <v>61.913980728203811</v>
          </cell>
          <cell r="AD171">
            <v>61.913980728203811</v>
          </cell>
          <cell r="AE171">
            <v>61.913980728203811</v>
          </cell>
          <cell r="AF171">
            <v>61.913980728203811</v>
          </cell>
        </row>
        <row r="172">
          <cell r="A172" t="str">
            <v>Illinois</v>
          </cell>
          <cell r="B172">
            <v>58.875184110825579</v>
          </cell>
          <cell r="C172">
            <v>58.756835249719316</v>
          </cell>
          <cell r="D172">
            <v>58.745980621269318</v>
          </cell>
          <cell r="E172">
            <v>58.824316588028331</v>
          </cell>
          <cell r="F172">
            <v>58.776858291735657</v>
          </cell>
          <cell r="G172">
            <v>58.792319297074684</v>
          </cell>
          <cell r="H172">
            <v>58.810708406191829</v>
          </cell>
          <cell r="I172">
            <v>58.868849867366819</v>
          </cell>
          <cell r="J172">
            <v>58.732713345403397</v>
          </cell>
          <cell r="K172">
            <v>58.857883996921245</v>
          </cell>
          <cell r="L172">
            <v>58.730831538036284</v>
          </cell>
          <cell r="M172">
            <v>58.709495108701724</v>
          </cell>
          <cell r="N172">
            <v>58.656986084511672</v>
          </cell>
          <cell r="O172">
            <v>58.793973589748269</v>
          </cell>
          <cell r="P172">
            <v>58.617973864907746</v>
          </cell>
          <cell r="Q172">
            <v>58.569857225983043</v>
          </cell>
          <cell r="R172">
            <v>58.668563995699969</v>
          </cell>
          <cell r="S172">
            <v>58.572920739181001</v>
          </cell>
          <cell r="T172">
            <v>58.572920739181001</v>
          </cell>
          <cell r="U172">
            <v>58.572920739181001</v>
          </cell>
          <cell r="V172">
            <v>58.572920739181001</v>
          </cell>
          <cell r="W172">
            <v>58.572920739181001</v>
          </cell>
          <cell r="X172">
            <v>58.572920739181001</v>
          </cell>
          <cell r="Y172">
            <v>58.572920739181001</v>
          </cell>
          <cell r="Z172">
            <v>58.572920739181001</v>
          </cell>
          <cell r="AA172">
            <v>58.572920739181001</v>
          </cell>
          <cell r="AB172">
            <v>58.572920739181001</v>
          </cell>
          <cell r="AC172">
            <v>58.572920739181001</v>
          </cell>
          <cell r="AD172">
            <v>58.572920739181001</v>
          </cell>
          <cell r="AE172">
            <v>58.572920739181001</v>
          </cell>
          <cell r="AF172">
            <v>58.572920739181001</v>
          </cell>
        </row>
        <row r="173">
          <cell r="A173" t="str">
            <v>Indiana</v>
          </cell>
          <cell r="B173">
            <v>58.875184110825586</v>
          </cell>
          <cell r="C173">
            <v>58.756835249719302</v>
          </cell>
          <cell r="D173">
            <v>58.745980621269318</v>
          </cell>
          <cell r="E173">
            <v>58.824316588028331</v>
          </cell>
          <cell r="F173">
            <v>58.776858291735664</v>
          </cell>
          <cell r="G173">
            <v>58.792319297074691</v>
          </cell>
          <cell r="H173">
            <v>58.81070840619185</v>
          </cell>
          <cell r="I173">
            <v>58.868849867366819</v>
          </cell>
          <cell r="J173">
            <v>58.732713345403383</v>
          </cell>
          <cell r="K173">
            <v>58.857883996921245</v>
          </cell>
          <cell r="L173">
            <v>58.730831538036284</v>
          </cell>
          <cell r="M173">
            <v>58.709495108701724</v>
          </cell>
          <cell r="N173">
            <v>58.656986084511679</v>
          </cell>
          <cell r="O173">
            <v>58.793973589748262</v>
          </cell>
          <cell r="P173">
            <v>58.617973864907768</v>
          </cell>
          <cell r="Q173">
            <v>58.569857225983057</v>
          </cell>
          <cell r="R173">
            <v>58.668563995699998</v>
          </cell>
          <cell r="S173">
            <v>58.572920739180987</v>
          </cell>
          <cell r="T173">
            <v>58.572920739180987</v>
          </cell>
          <cell r="U173">
            <v>58.572920739180987</v>
          </cell>
          <cell r="V173">
            <v>58.572920739180987</v>
          </cell>
          <cell r="W173">
            <v>58.572920739180987</v>
          </cell>
          <cell r="X173">
            <v>58.572920739180987</v>
          </cell>
          <cell r="Y173">
            <v>58.572920739180987</v>
          </cell>
          <cell r="Z173">
            <v>58.572920739180987</v>
          </cell>
          <cell r="AA173">
            <v>58.572920739180987</v>
          </cell>
          <cell r="AB173">
            <v>58.572920739180987</v>
          </cell>
          <cell r="AC173">
            <v>58.572920739180987</v>
          </cell>
          <cell r="AD173">
            <v>58.572920739180987</v>
          </cell>
          <cell r="AE173">
            <v>58.572920739180987</v>
          </cell>
          <cell r="AF173">
            <v>58.572920739180987</v>
          </cell>
        </row>
        <row r="174">
          <cell r="A174" t="str">
            <v>Iowa</v>
          </cell>
          <cell r="B174">
            <v>58.875184110825593</v>
          </cell>
          <cell r="C174">
            <v>58.756835249719295</v>
          </cell>
          <cell r="D174">
            <v>58.745980621269311</v>
          </cell>
          <cell r="E174">
            <v>58.824316588028331</v>
          </cell>
          <cell r="F174">
            <v>58.776858291735657</v>
          </cell>
          <cell r="G174">
            <v>58.792319297074698</v>
          </cell>
          <cell r="H174">
            <v>58.810708406191843</v>
          </cell>
          <cell r="I174">
            <v>58.868849867366812</v>
          </cell>
          <cell r="J174">
            <v>58.732713345403383</v>
          </cell>
          <cell r="K174">
            <v>58.857883996921245</v>
          </cell>
          <cell r="L174">
            <v>58.730831538036284</v>
          </cell>
          <cell r="M174">
            <v>58.709495108701738</v>
          </cell>
          <cell r="N174">
            <v>58.656986084511672</v>
          </cell>
          <cell r="O174">
            <v>58.793973589748269</v>
          </cell>
          <cell r="P174">
            <v>58.617973864907761</v>
          </cell>
          <cell r="Q174">
            <v>58.569857225983057</v>
          </cell>
          <cell r="R174">
            <v>58.668563995699984</v>
          </cell>
          <cell r="S174">
            <v>58.572920739180979</v>
          </cell>
          <cell r="T174">
            <v>58.572920739180979</v>
          </cell>
          <cell r="U174">
            <v>58.572920739180979</v>
          </cell>
          <cell r="V174">
            <v>58.572920739180979</v>
          </cell>
          <cell r="W174">
            <v>58.572920739180979</v>
          </cell>
          <cell r="X174">
            <v>58.572920739180979</v>
          </cell>
          <cell r="Y174">
            <v>58.572920739180979</v>
          </cell>
          <cell r="Z174">
            <v>58.572920739180979</v>
          </cell>
          <cell r="AA174">
            <v>58.572920739180979</v>
          </cell>
          <cell r="AB174">
            <v>58.572920739180979</v>
          </cell>
          <cell r="AC174">
            <v>58.572920739180979</v>
          </cell>
          <cell r="AD174">
            <v>58.572920739180979</v>
          </cell>
          <cell r="AE174">
            <v>58.572920739180979</v>
          </cell>
          <cell r="AF174">
            <v>58.572920739180979</v>
          </cell>
        </row>
        <row r="175">
          <cell r="A175" t="str">
            <v>Kansas</v>
          </cell>
          <cell r="B175">
            <v>58.875184110825579</v>
          </cell>
          <cell r="C175">
            <v>58.756835249719302</v>
          </cell>
          <cell r="D175">
            <v>58.745980621269325</v>
          </cell>
          <cell r="E175">
            <v>58.824316588028324</v>
          </cell>
          <cell r="F175">
            <v>58.776858291735678</v>
          </cell>
          <cell r="G175">
            <v>58.792319297074691</v>
          </cell>
          <cell r="H175">
            <v>58.810708406191836</v>
          </cell>
          <cell r="I175">
            <v>58.868849867366819</v>
          </cell>
          <cell r="J175">
            <v>58.732713345403383</v>
          </cell>
          <cell r="K175">
            <v>58.857883996921245</v>
          </cell>
          <cell r="L175">
            <v>58.730831538036277</v>
          </cell>
          <cell r="M175">
            <v>58.709495108701738</v>
          </cell>
          <cell r="N175">
            <v>58.656986084511672</v>
          </cell>
          <cell r="O175">
            <v>58.793973589748269</v>
          </cell>
          <cell r="P175">
            <v>58.617973864907768</v>
          </cell>
          <cell r="Q175">
            <v>58.569857225983036</v>
          </cell>
          <cell r="R175">
            <v>58.668563995699984</v>
          </cell>
          <cell r="S175">
            <v>58.572920739180979</v>
          </cell>
          <cell r="T175">
            <v>58.572920739180979</v>
          </cell>
          <cell r="U175">
            <v>58.572920739180979</v>
          </cell>
          <cell r="V175">
            <v>58.572920739180979</v>
          </cell>
          <cell r="W175">
            <v>58.572920739180979</v>
          </cell>
          <cell r="X175">
            <v>58.572920739180979</v>
          </cell>
          <cell r="Y175">
            <v>58.572920739180979</v>
          </cell>
          <cell r="Z175">
            <v>58.572920739180979</v>
          </cell>
          <cell r="AA175">
            <v>58.572920739180979</v>
          </cell>
          <cell r="AB175">
            <v>58.572920739180979</v>
          </cell>
          <cell r="AC175">
            <v>58.572920739180979</v>
          </cell>
          <cell r="AD175">
            <v>58.572920739180979</v>
          </cell>
          <cell r="AE175">
            <v>58.572920739180979</v>
          </cell>
          <cell r="AF175">
            <v>58.572920739180979</v>
          </cell>
        </row>
        <row r="176">
          <cell r="A176" t="str">
            <v>Kentucky</v>
          </cell>
          <cell r="B176">
            <v>72.413326629084452</v>
          </cell>
          <cell r="C176">
            <v>72.267763861597587</v>
          </cell>
          <cell r="D176">
            <v>72.254413249327641</v>
          </cell>
          <cell r="E176">
            <v>72.350762297460491</v>
          </cell>
          <cell r="F176">
            <v>72.292391132043321</v>
          </cell>
          <cell r="G176">
            <v>72.311407341445246</v>
          </cell>
          <cell r="H176">
            <v>72.33402496184047</v>
          </cell>
          <cell r="I176">
            <v>72.405535848512699</v>
          </cell>
          <cell r="J176">
            <v>72.238095209812897</v>
          </cell>
          <cell r="K176">
            <v>72.392048414539616</v>
          </cell>
          <cell r="L176">
            <v>72.235780687428189</v>
          </cell>
          <cell r="M176">
            <v>72.209538020847432</v>
          </cell>
          <cell r="N176">
            <v>72.144954730330838</v>
          </cell>
          <cell r="O176">
            <v>72.313442032928947</v>
          </cell>
          <cell r="P176">
            <v>72.096971787375011</v>
          </cell>
          <cell r="Q176">
            <v>72.03779089574175</v>
          </cell>
          <cell r="R176">
            <v>72.159194941673221</v>
          </cell>
          <cell r="S176">
            <v>72.041558853077021</v>
          </cell>
          <cell r="T176">
            <v>72.041558853077021</v>
          </cell>
          <cell r="U176">
            <v>72.041558853077021</v>
          </cell>
          <cell r="V176">
            <v>72.041558853077021</v>
          </cell>
          <cell r="W176">
            <v>72.041558853077021</v>
          </cell>
          <cell r="X176">
            <v>72.041558853077021</v>
          </cell>
          <cell r="Y176">
            <v>72.041558853077021</v>
          </cell>
          <cell r="Z176">
            <v>72.041558853077021</v>
          </cell>
          <cell r="AA176">
            <v>72.041558853077021</v>
          </cell>
          <cell r="AB176">
            <v>72.041558853077021</v>
          </cell>
          <cell r="AC176">
            <v>72.041558853077021</v>
          </cell>
          <cell r="AD176">
            <v>72.041558853077021</v>
          </cell>
          <cell r="AE176">
            <v>72.041558853077021</v>
          </cell>
          <cell r="AF176">
            <v>72.041558853077021</v>
          </cell>
        </row>
        <row r="177">
          <cell r="A177" t="str">
            <v>Louisiana</v>
          </cell>
          <cell r="B177">
            <v>70.389610749776267</v>
          </cell>
          <cell r="C177">
            <v>70.248089207054562</v>
          </cell>
          <cell r="D177">
            <v>70.235110259844475</v>
          </cell>
          <cell r="E177">
            <v>70.328776607402219</v>
          </cell>
          <cell r="F177">
            <v>70.272028678605579</v>
          </cell>
          <cell r="G177">
            <v>70.290506440738739</v>
          </cell>
          <cell r="H177">
            <v>70.312499597554236</v>
          </cell>
          <cell r="I177">
            <v>70.382029323606986</v>
          </cell>
          <cell r="J177">
            <v>70.219254351090228</v>
          </cell>
          <cell r="K177">
            <v>70.36891971020664</v>
          </cell>
          <cell r="L177">
            <v>70.21699027877284</v>
          </cell>
          <cell r="M177">
            <v>70.192253956850706</v>
          </cell>
          <cell r="N177">
            <v>70.129468030332333</v>
          </cell>
          <cell r="O177">
            <v>70.293273026183158</v>
          </cell>
          <cell r="P177">
            <v>70.082813538812758</v>
          </cell>
          <cell r="Q177">
            <v>70.025280866025426</v>
          </cell>
          <cell r="R177">
            <v>70.143306739450821</v>
          </cell>
          <cell r="S177">
            <v>70.028936467434576</v>
          </cell>
          <cell r="T177">
            <v>70.028936467434576</v>
          </cell>
          <cell r="U177">
            <v>70.028936467434576</v>
          </cell>
          <cell r="V177">
            <v>70.028936467434576</v>
          </cell>
          <cell r="W177">
            <v>70.028936467434576</v>
          </cell>
          <cell r="X177">
            <v>70.028936467434576</v>
          </cell>
          <cell r="Y177">
            <v>70.028936467434576</v>
          </cell>
          <cell r="Z177">
            <v>70.028936467434576</v>
          </cell>
          <cell r="AA177">
            <v>70.028936467434576</v>
          </cell>
          <cell r="AB177">
            <v>70.028936467434576</v>
          </cell>
          <cell r="AC177">
            <v>70.028936467434576</v>
          </cell>
          <cell r="AD177">
            <v>70.028936467434576</v>
          </cell>
          <cell r="AE177">
            <v>70.028936467434576</v>
          </cell>
          <cell r="AF177">
            <v>70.028936467434576</v>
          </cell>
        </row>
        <row r="178">
          <cell r="A178" t="str">
            <v>Maine</v>
          </cell>
          <cell r="B178">
            <v>62.801057790893161</v>
          </cell>
          <cell r="C178">
            <v>62.674838052454177</v>
          </cell>
          <cell r="D178">
            <v>62.663260741338767</v>
          </cell>
          <cell r="E178">
            <v>62.7468125389899</v>
          </cell>
          <cell r="F178">
            <v>62.696195905523155</v>
          </cell>
          <cell r="G178">
            <v>62.712693307118535</v>
          </cell>
          <cell r="H178">
            <v>62.732302709507991</v>
          </cell>
          <cell r="I178">
            <v>62.794307668207409</v>
          </cell>
          <cell r="J178">
            <v>62.649104057175613</v>
          </cell>
          <cell r="K178">
            <v>62.782609888053948</v>
          </cell>
          <cell r="L178">
            <v>62.647107812310992</v>
          </cell>
          <cell r="M178">
            <v>62.623748897543038</v>
          </cell>
          <cell r="N178">
            <v>62.56774434455847</v>
          </cell>
          <cell r="O178">
            <v>62.713845898987863</v>
          </cell>
          <cell r="P178">
            <v>62.526140450178438</v>
          </cell>
          <cell r="Q178">
            <v>62.474819749184036</v>
          </cell>
          <cell r="R178">
            <v>62.580097028641482</v>
          </cell>
          <cell r="S178">
            <v>62.478093014615425</v>
          </cell>
          <cell r="T178">
            <v>62.478093014615425</v>
          </cell>
          <cell r="U178">
            <v>62.478093014615425</v>
          </cell>
          <cell r="V178">
            <v>62.478093014615425</v>
          </cell>
          <cell r="W178">
            <v>62.478093014615425</v>
          </cell>
          <cell r="X178">
            <v>62.478093014615425</v>
          </cell>
          <cell r="Y178">
            <v>62.478093014615425</v>
          </cell>
          <cell r="Z178">
            <v>62.478093014615425</v>
          </cell>
          <cell r="AA178">
            <v>62.478093014615425</v>
          </cell>
          <cell r="AB178">
            <v>62.478093014615425</v>
          </cell>
          <cell r="AC178">
            <v>62.478093014615425</v>
          </cell>
          <cell r="AD178">
            <v>62.478093014615425</v>
          </cell>
          <cell r="AE178">
            <v>62.478093014615425</v>
          </cell>
          <cell r="AF178">
            <v>62.478093014615425</v>
          </cell>
        </row>
        <row r="179">
          <cell r="A179" t="str">
            <v>Maryland</v>
          </cell>
          <cell r="B179">
            <v>62.801057790893132</v>
          </cell>
          <cell r="C179">
            <v>62.674838052454177</v>
          </cell>
          <cell r="D179">
            <v>62.663260741338775</v>
          </cell>
          <cell r="E179">
            <v>62.746812538989893</v>
          </cell>
          <cell r="F179">
            <v>62.69619590552314</v>
          </cell>
          <cell r="G179">
            <v>62.712693307118535</v>
          </cell>
          <cell r="H179">
            <v>62.732302709508019</v>
          </cell>
          <cell r="I179">
            <v>62.794307668207431</v>
          </cell>
          <cell r="J179">
            <v>62.649104057175599</v>
          </cell>
          <cell r="K179">
            <v>62.78260988805394</v>
          </cell>
          <cell r="L179">
            <v>62.647107812310971</v>
          </cell>
          <cell r="M179">
            <v>62.62374889754301</v>
          </cell>
          <cell r="N179">
            <v>62.567744344558456</v>
          </cell>
          <cell r="O179">
            <v>62.713845898987842</v>
          </cell>
          <cell r="P179">
            <v>62.526140450178424</v>
          </cell>
          <cell r="Q179">
            <v>62.474819749184029</v>
          </cell>
          <cell r="R179">
            <v>62.580097028641497</v>
          </cell>
          <cell r="S179">
            <v>62.478093014615425</v>
          </cell>
          <cell r="T179">
            <v>62.478093014615425</v>
          </cell>
          <cell r="U179">
            <v>62.478093014615425</v>
          </cell>
          <cell r="V179">
            <v>62.478093014615425</v>
          </cell>
          <cell r="W179">
            <v>62.478093014615425</v>
          </cell>
          <cell r="X179">
            <v>62.478093014615425</v>
          </cell>
          <cell r="Y179">
            <v>62.478093014615425</v>
          </cell>
          <cell r="Z179">
            <v>62.478093014615425</v>
          </cell>
          <cell r="AA179">
            <v>62.478093014615425</v>
          </cell>
          <cell r="AB179">
            <v>62.478093014615425</v>
          </cell>
          <cell r="AC179">
            <v>62.478093014615425</v>
          </cell>
          <cell r="AD179">
            <v>62.478093014615425</v>
          </cell>
          <cell r="AE179">
            <v>62.478093014615425</v>
          </cell>
          <cell r="AF179">
            <v>62.478093014615425</v>
          </cell>
        </row>
        <row r="180">
          <cell r="A180" t="str">
            <v>Massachusetts</v>
          </cell>
          <cell r="B180">
            <v>62.80105779089314</v>
          </cell>
          <cell r="C180">
            <v>62.674838052454177</v>
          </cell>
          <cell r="D180">
            <v>62.663260741338767</v>
          </cell>
          <cell r="E180">
            <v>62.746812538989907</v>
          </cell>
          <cell r="F180">
            <v>62.696195905523126</v>
          </cell>
          <cell r="G180">
            <v>62.712693307118535</v>
          </cell>
          <cell r="H180">
            <v>62.732302709507998</v>
          </cell>
          <cell r="I180">
            <v>62.794307668207409</v>
          </cell>
          <cell r="J180">
            <v>62.649104057175599</v>
          </cell>
          <cell r="K180">
            <v>62.782609888053962</v>
          </cell>
          <cell r="L180">
            <v>62.647107812310999</v>
          </cell>
          <cell r="M180">
            <v>62.623748897543031</v>
          </cell>
          <cell r="N180">
            <v>62.56774434455847</v>
          </cell>
          <cell r="O180">
            <v>62.71384589898787</v>
          </cell>
          <cell r="P180">
            <v>62.526140450178438</v>
          </cell>
          <cell r="Q180">
            <v>62.474819749184043</v>
          </cell>
          <cell r="R180">
            <v>62.580097028641482</v>
          </cell>
          <cell r="S180">
            <v>62.478093014615439</v>
          </cell>
          <cell r="T180">
            <v>62.478093014615439</v>
          </cell>
          <cell r="U180">
            <v>62.478093014615439</v>
          </cell>
          <cell r="V180">
            <v>62.478093014615439</v>
          </cell>
          <cell r="W180">
            <v>62.478093014615439</v>
          </cell>
          <cell r="X180">
            <v>62.478093014615439</v>
          </cell>
          <cell r="Y180">
            <v>62.478093014615439</v>
          </cell>
          <cell r="Z180">
            <v>62.478093014615439</v>
          </cell>
          <cell r="AA180">
            <v>62.478093014615439</v>
          </cell>
          <cell r="AB180">
            <v>62.478093014615439</v>
          </cell>
          <cell r="AC180">
            <v>62.478093014615439</v>
          </cell>
          <cell r="AD180">
            <v>62.478093014615439</v>
          </cell>
          <cell r="AE180">
            <v>62.478093014615439</v>
          </cell>
          <cell r="AF180">
            <v>62.478093014615439</v>
          </cell>
        </row>
        <row r="181">
          <cell r="A181" t="str">
            <v>Michigan</v>
          </cell>
          <cell r="B181">
            <v>58.875184110825586</v>
          </cell>
          <cell r="C181">
            <v>58.756835249719309</v>
          </cell>
          <cell r="D181">
            <v>58.745980621269311</v>
          </cell>
          <cell r="E181">
            <v>58.824316588028324</v>
          </cell>
          <cell r="F181">
            <v>58.776858291735657</v>
          </cell>
          <cell r="G181">
            <v>58.792319297074684</v>
          </cell>
          <cell r="H181">
            <v>58.810708406191836</v>
          </cell>
          <cell r="I181">
            <v>58.868849867366819</v>
          </cell>
          <cell r="J181">
            <v>58.732713345403397</v>
          </cell>
          <cell r="K181">
            <v>58.857883996921238</v>
          </cell>
          <cell r="L181">
            <v>58.730831538036284</v>
          </cell>
          <cell r="M181">
            <v>58.709495108701731</v>
          </cell>
          <cell r="N181">
            <v>58.656986084511665</v>
          </cell>
          <cell r="O181">
            <v>58.793973589748269</v>
          </cell>
          <cell r="P181">
            <v>58.617973864907754</v>
          </cell>
          <cell r="Q181">
            <v>58.569857225983057</v>
          </cell>
          <cell r="R181">
            <v>58.668563995699976</v>
          </cell>
          <cell r="S181">
            <v>58.572920739180979</v>
          </cell>
          <cell r="T181">
            <v>58.572920739180979</v>
          </cell>
          <cell r="U181">
            <v>58.572920739180979</v>
          </cell>
          <cell r="V181">
            <v>58.572920739180979</v>
          </cell>
          <cell r="W181">
            <v>58.572920739180979</v>
          </cell>
          <cell r="X181">
            <v>58.572920739180979</v>
          </cell>
          <cell r="Y181">
            <v>58.572920739180979</v>
          </cell>
          <cell r="Z181">
            <v>58.572920739180979</v>
          </cell>
          <cell r="AA181">
            <v>58.572920739180979</v>
          </cell>
          <cell r="AB181">
            <v>58.572920739180979</v>
          </cell>
          <cell r="AC181">
            <v>58.572920739180979</v>
          </cell>
          <cell r="AD181">
            <v>58.572920739180979</v>
          </cell>
          <cell r="AE181">
            <v>58.572920739180979</v>
          </cell>
          <cell r="AF181">
            <v>58.572920739180979</v>
          </cell>
        </row>
        <row r="182">
          <cell r="A182" t="str">
            <v>Minnesota</v>
          </cell>
          <cell r="B182">
            <v>58.8751841108256</v>
          </cell>
          <cell r="C182">
            <v>58.756835249719302</v>
          </cell>
          <cell r="D182">
            <v>58.745980621269332</v>
          </cell>
          <cell r="E182">
            <v>58.824316588028339</v>
          </cell>
          <cell r="F182">
            <v>58.776858291735664</v>
          </cell>
          <cell r="G182">
            <v>58.792319297074691</v>
          </cell>
          <cell r="H182">
            <v>58.810708406191836</v>
          </cell>
          <cell r="I182">
            <v>58.868849867366812</v>
          </cell>
          <cell r="J182">
            <v>58.732713345403397</v>
          </cell>
          <cell r="K182">
            <v>58.857883996921238</v>
          </cell>
          <cell r="L182">
            <v>58.730831538036284</v>
          </cell>
          <cell r="M182">
            <v>58.709495108701738</v>
          </cell>
          <cell r="N182">
            <v>58.656986084511679</v>
          </cell>
          <cell r="O182">
            <v>58.793973589748262</v>
          </cell>
          <cell r="P182">
            <v>58.617973864907768</v>
          </cell>
          <cell r="Q182">
            <v>58.569857225983043</v>
          </cell>
          <cell r="R182">
            <v>58.668563995699984</v>
          </cell>
          <cell r="S182">
            <v>58.572920739180979</v>
          </cell>
          <cell r="T182">
            <v>58.572920739180979</v>
          </cell>
          <cell r="U182">
            <v>58.572920739180979</v>
          </cell>
          <cell r="V182">
            <v>58.572920739180979</v>
          </cell>
          <cell r="W182">
            <v>58.572920739180979</v>
          </cell>
          <cell r="X182">
            <v>58.572920739180979</v>
          </cell>
          <cell r="Y182">
            <v>58.572920739180979</v>
          </cell>
          <cell r="Z182">
            <v>58.572920739180979</v>
          </cell>
          <cell r="AA182">
            <v>58.572920739180979</v>
          </cell>
          <cell r="AB182">
            <v>58.572920739180979</v>
          </cell>
          <cell r="AC182">
            <v>58.572920739180979</v>
          </cell>
          <cell r="AD182">
            <v>58.572920739180979</v>
          </cell>
          <cell r="AE182">
            <v>58.572920739180979</v>
          </cell>
          <cell r="AF182">
            <v>58.572920739180979</v>
          </cell>
        </row>
        <row r="183">
          <cell r="A183" t="str">
            <v>Mississippi</v>
          </cell>
          <cell r="B183">
            <v>72.413326629084452</v>
          </cell>
          <cell r="C183">
            <v>72.267763861597587</v>
          </cell>
          <cell r="D183">
            <v>72.254413249327627</v>
          </cell>
          <cell r="E183">
            <v>72.350762297460491</v>
          </cell>
          <cell r="F183">
            <v>72.292391132043306</v>
          </cell>
          <cell r="G183">
            <v>72.311407341445218</v>
          </cell>
          <cell r="H183">
            <v>72.33402496184047</v>
          </cell>
          <cell r="I183">
            <v>72.405535848512699</v>
          </cell>
          <cell r="J183">
            <v>72.238095209812897</v>
          </cell>
          <cell r="K183">
            <v>72.392048414539616</v>
          </cell>
          <cell r="L183">
            <v>72.235780687428218</v>
          </cell>
          <cell r="M183">
            <v>72.209538020847461</v>
          </cell>
          <cell r="N183">
            <v>72.144954730330838</v>
          </cell>
          <cell r="O183">
            <v>72.313442032928947</v>
          </cell>
          <cell r="P183">
            <v>72.096971787374997</v>
          </cell>
          <cell r="Q183">
            <v>72.037790895741793</v>
          </cell>
          <cell r="R183">
            <v>72.159194941673235</v>
          </cell>
          <cell r="S183">
            <v>72.041558853077021</v>
          </cell>
          <cell r="T183">
            <v>72.041558853077021</v>
          </cell>
          <cell r="U183">
            <v>72.041558853077021</v>
          </cell>
          <cell r="V183">
            <v>72.041558853077021</v>
          </cell>
          <cell r="W183">
            <v>72.041558853077021</v>
          </cell>
          <cell r="X183">
            <v>72.041558853077021</v>
          </cell>
          <cell r="Y183">
            <v>72.041558853077021</v>
          </cell>
          <cell r="Z183">
            <v>72.041558853077021</v>
          </cell>
          <cell r="AA183">
            <v>72.041558853077021</v>
          </cell>
          <cell r="AB183">
            <v>72.041558853077021</v>
          </cell>
          <cell r="AC183">
            <v>72.041558853077021</v>
          </cell>
          <cell r="AD183">
            <v>72.041558853077021</v>
          </cell>
          <cell r="AE183">
            <v>72.041558853077021</v>
          </cell>
          <cell r="AF183">
            <v>72.041558853077021</v>
          </cell>
        </row>
        <row r="184">
          <cell r="A184" t="str">
            <v>Missouri</v>
          </cell>
          <cell r="B184">
            <v>58.875184110825579</v>
          </cell>
          <cell r="C184">
            <v>58.756835249719316</v>
          </cell>
          <cell r="D184">
            <v>58.745980621269311</v>
          </cell>
          <cell r="E184">
            <v>58.824316588028324</v>
          </cell>
          <cell r="F184">
            <v>58.776858291735657</v>
          </cell>
          <cell r="G184">
            <v>58.792319297074691</v>
          </cell>
          <cell r="H184">
            <v>58.810708406191836</v>
          </cell>
          <cell r="I184">
            <v>58.868849867366819</v>
          </cell>
          <cell r="J184">
            <v>58.732713345403397</v>
          </cell>
          <cell r="K184">
            <v>58.857883996921224</v>
          </cell>
          <cell r="L184">
            <v>58.73083153803627</v>
          </cell>
          <cell r="M184">
            <v>58.709495108701731</v>
          </cell>
          <cell r="N184">
            <v>58.656986084511672</v>
          </cell>
          <cell r="O184">
            <v>58.793973589748262</v>
          </cell>
          <cell r="P184">
            <v>58.617973864907761</v>
          </cell>
          <cell r="Q184">
            <v>58.569857225983043</v>
          </cell>
          <cell r="R184">
            <v>58.668563995699991</v>
          </cell>
          <cell r="S184">
            <v>58.572920739181001</v>
          </cell>
          <cell r="T184">
            <v>58.572920739181001</v>
          </cell>
          <cell r="U184">
            <v>58.572920739181001</v>
          </cell>
          <cell r="V184">
            <v>58.572920739181001</v>
          </cell>
          <cell r="W184">
            <v>58.572920739181001</v>
          </cell>
          <cell r="X184">
            <v>58.572920739181001</v>
          </cell>
          <cell r="Y184">
            <v>58.572920739181001</v>
          </cell>
          <cell r="Z184">
            <v>58.572920739181001</v>
          </cell>
          <cell r="AA184">
            <v>58.572920739181001</v>
          </cell>
          <cell r="AB184">
            <v>58.572920739181001</v>
          </cell>
          <cell r="AC184">
            <v>58.572920739181001</v>
          </cell>
          <cell r="AD184">
            <v>58.572920739181001</v>
          </cell>
          <cell r="AE184">
            <v>58.572920739181001</v>
          </cell>
          <cell r="AF184">
            <v>58.572920739181001</v>
          </cell>
        </row>
        <row r="185">
          <cell r="A185" t="str">
            <v>Montana</v>
          </cell>
          <cell r="B185">
            <v>58.875184110825572</v>
          </cell>
          <cell r="C185">
            <v>58.756835249719302</v>
          </cell>
          <cell r="D185">
            <v>58.745980621269304</v>
          </cell>
          <cell r="E185">
            <v>58.824316588028331</v>
          </cell>
          <cell r="F185">
            <v>58.776858291735671</v>
          </cell>
          <cell r="G185">
            <v>58.792319297074698</v>
          </cell>
          <cell r="H185">
            <v>58.81070840619185</v>
          </cell>
          <cell r="I185">
            <v>58.868849867366819</v>
          </cell>
          <cell r="J185">
            <v>58.73271334540339</v>
          </cell>
          <cell r="K185">
            <v>58.857883996921245</v>
          </cell>
          <cell r="L185">
            <v>58.730831538036284</v>
          </cell>
          <cell r="M185">
            <v>58.709495108701738</v>
          </cell>
          <cell r="N185">
            <v>58.656986084511672</v>
          </cell>
          <cell r="O185">
            <v>58.793973589748255</v>
          </cell>
          <cell r="P185">
            <v>58.617973864907761</v>
          </cell>
          <cell r="Q185">
            <v>58.56985722598305</v>
          </cell>
          <cell r="R185">
            <v>58.668563995699984</v>
          </cell>
          <cell r="S185">
            <v>58.572920739180994</v>
          </cell>
          <cell r="T185">
            <v>58.572920739180994</v>
          </cell>
          <cell r="U185">
            <v>58.572920739180994</v>
          </cell>
          <cell r="V185">
            <v>58.572920739180994</v>
          </cell>
          <cell r="W185">
            <v>58.572920739180994</v>
          </cell>
          <cell r="X185">
            <v>58.572920739180994</v>
          </cell>
          <cell r="Y185">
            <v>58.572920739180994</v>
          </cell>
          <cell r="Z185">
            <v>58.572920739180994</v>
          </cell>
          <cell r="AA185">
            <v>58.572920739180994</v>
          </cell>
          <cell r="AB185">
            <v>58.572920739180994</v>
          </cell>
          <cell r="AC185">
            <v>58.572920739180994</v>
          </cell>
          <cell r="AD185">
            <v>58.572920739180994</v>
          </cell>
          <cell r="AE185">
            <v>58.572920739180994</v>
          </cell>
          <cell r="AF185">
            <v>58.572920739180994</v>
          </cell>
        </row>
        <row r="186">
          <cell r="A186" t="str">
            <v>Nebraska</v>
          </cell>
          <cell r="B186">
            <v>58.875184110825586</v>
          </cell>
          <cell r="C186">
            <v>58.756835249719302</v>
          </cell>
          <cell r="D186">
            <v>58.745980621269318</v>
          </cell>
          <cell r="E186">
            <v>58.824316588028331</v>
          </cell>
          <cell r="F186">
            <v>58.776858291735657</v>
          </cell>
          <cell r="G186">
            <v>58.792319297074691</v>
          </cell>
          <cell r="H186">
            <v>58.810708406191843</v>
          </cell>
          <cell r="I186">
            <v>58.868849867366812</v>
          </cell>
          <cell r="J186">
            <v>58.732713345403383</v>
          </cell>
          <cell r="K186">
            <v>58.857883996921245</v>
          </cell>
          <cell r="L186">
            <v>58.730831538036284</v>
          </cell>
          <cell r="M186">
            <v>58.709495108701724</v>
          </cell>
          <cell r="N186">
            <v>58.656986084511672</v>
          </cell>
          <cell r="O186">
            <v>58.793973589748269</v>
          </cell>
          <cell r="P186">
            <v>58.617973864907768</v>
          </cell>
          <cell r="Q186">
            <v>58.56985722598305</v>
          </cell>
          <cell r="R186">
            <v>58.668563995699984</v>
          </cell>
          <cell r="S186">
            <v>58.572920739180994</v>
          </cell>
          <cell r="T186">
            <v>58.572920739180994</v>
          </cell>
          <cell r="U186">
            <v>58.572920739180994</v>
          </cell>
          <cell r="V186">
            <v>58.572920739180994</v>
          </cell>
          <cell r="W186">
            <v>58.572920739180994</v>
          </cell>
          <cell r="X186">
            <v>58.572920739180994</v>
          </cell>
          <cell r="Y186">
            <v>58.572920739180994</v>
          </cell>
          <cell r="Z186">
            <v>58.572920739180994</v>
          </cell>
          <cell r="AA186">
            <v>58.572920739180994</v>
          </cell>
          <cell r="AB186">
            <v>58.572920739180994</v>
          </cell>
          <cell r="AC186">
            <v>58.572920739180994</v>
          </cell>
          <cell r="AD186">
            <v>58.572920739180994</v>
          </cell>
          <cell r="AE186">
            <v>58.572920739180994</v>
          </cell>
          <cell r="AF186">
            <v>58.572920739180994</v>
          </cell>
        </row>
        <row r="187">
          <cell r="A187" t="str">
            <v>Nevada</v>
          </cell>
          <cell r="B187">
            <v>62.233485515239749</v>
          </cell>
          <cell r="C187">
            <v>62.108385912671402</v>
          </cell>
          <cell r="D187">
            <v>62.096912124986176</v>
          </cell>
          <cell r="E187">
            <v>62.179716456322843</v>
          </cell>
          <cell r="F187">
            <v>62.129551089716969</v>
          </cell>
          <cell r="G187">
            <v>62.145894006793981</v>
          </cell>
          <cell r="H187">
            <v>62.16533204971757</v>
          </cell>
          <cell r="I187">
            <v>62.226789959981701</v>
          </cell>
          <cell r="J187">
            <v>62.08288806998069</v>
          </cell>
          <cell r="K187">
            <v>62.215198584942407</v>
          </cell>
          <cell r="L187">
            <v>62.08089892237475</v>
          </cell>
          <cell r="M187">
            <v>62.058345441039741</v>
          </cell>
          <cell r="N187">
            <v>62.00284124779256</v>
          </cell>
          <cell r="O187">
            <v>62.147642662032915</v>
          </cell>
          <cell r="P187">
            <v>61.961603730826688</v>
          </cell>
          <cell r="Q187">
            <v>61.910742469044031</v>
          </cell>
          <cell r="R187">
            <v>62.015079575011654</v>
          </cell>
          <cell r="S187">
            <v>61.913980728203811</v>
          </cell>
          <cell r="T187">
            <v>61.913980728203811</v>
          </cell>
          <cell r="U187">
            <v>61.913980728203811</v>
          </cell>
          <cell r="V187">
            <v>61.913980728203811</v>
          </cell>
          <cell r="W187">
            <v>61.913980728203811</v>
          </cell>
          <cell r="X187">
            <v>61.913980728203811</v>
          </cell>
          <cell r="Y187">
            <v>61.913980728203811</v>
          </cell>
          <cell r="Z187">
            <v>61.913980728203811</v>
          </cell>
          <cell r="AA187">
            <v>61.913980728203811</v>
          </cell>
          <cell r="AB187">
            <v>61.913980728203811</v>
          </cell>
          <cell r="AC187">
            <v>61.913980728203811</v>
          </cell>
          <cell r="AD187">
            <v>61.913980728203811</v>
          </cell>
          <cell r="AE187">
            <v>61.913980728203811</v>
          </cell>
          <cell r="AF187">
            <v>61.913980728203811</v>
          </cell>
        </row>
        <row r="188">
          <cell r="A188" t="str">
            <v>New Hampshire</v>
          </cell>
          <cell r="B188">
            <v>62.801057790893132</v>
          </cell>
          <cell r="C188">
            <v>62.674838052454177</v>
          </cell>
          <cell r="D188">
            <v>62.663260741338753</v>
          </cell>
          <cell r="E188">
            <v>62.746812538989893</v>
          </cell>
          <cell r="F188">
            <v>62.696195905523155</v>
          </cell>
          <cell r="G188">
            <v>62.712693307118535</v>
          </cell>
          <cell r="H188">
            <v>62.732302709508012</v>
          </cell>
          <cell r="I188">
            <v>62.794307668207431</v>
          </cell>
          <cell r="J188">
            <v>62.649104057175599</v>
          </cell>
          <cell r="K188">
            <v>62.782609888053948</v>
          </cell>
          <cell r="L188">
            <v>62.647107812310999</v>
          </cell>
          <cell r="M188">
            <v>62.623748897543017</v>
          </cell>
          <cell r="N188">
            <v>62.567744344558463</v>
          </cell>
          <cell r="O188">
            <v>62.713845898987842</v>
          </cell>
          <cell r="P188">
            <v>62.526140450178417</v>
          </cell>
          <cell r="Q188">
            <v>62.474819749184029</v>
          </cell>
          <cell r="R188">
            <v>62.580097028641482</v>
          </cell>
          <cell r="S188">
            <v>62.478093014615439</v>
          </cell>
          <cell r="T188">
            <v>62.478093014615439</v>
          </cell>
          <cell r="U188">
            <v>62.478093014615439</v>
          </cell>
          <cell r="V188">
            <v>62.478093014615439</v>
          </cell>
          <cell r="W188">
            <v>62.478093014615439</v>
          </cell>
          <cell r="X188">
            <v>62.478093014615439</v>
          </cell>
          <cell r="Y188">
            <v>62.478093014615439</v>
          </cell>
          <cell r="Z188">
            <v>62.478093014615439</v>
          </cell>
          <cell r="AA188">
            <v>62.478093014615439</v>
          </cell>
          <cell r="AB188">
            <v>62.478093014615439</v>
          </cell>
          <cell r="AC188">
            <v>62.478093014615439</v>
          </cell>
          <cell r="AD188">
            <v>62.478093014615439</v>
          </cell>
          <cell r="AE188">
            <v>62.478093014615439</v>
          </cell>
          <cell r="AF188">
            <v>62.478093014615439</v>
          </cell>
        </row>
        <row r="189">
          <cell r="A189" t="str">
            <v>New Jersey</v>
          </cell>
          <cell r="B189">
            <v>62.80105779089314</v>
          </cell>
          <cell r="C189">
            <v>62.674838052454184</v>
          </cell>
          <cell r="D189">
            <v>62.66326074133876</v>
          </cell>
          <cell r="E189">
            <v>62.746812538989893</v>
          </cell>
          <cell r="F189">
            <v>62.69619590552314</v>
          </cell>
          <cell r="G189">
            <v>62.712693307118549</v>
          </cell>
          <cell r="H189">
            <v>62.732302709508026</v>
          </cell>
          <cell r="I189">
            <v>62.794307668207423</v>
          </cell>
          <cell r="J189">
            <v>62.649104057175606</v>
          </cell>
          <cell r="K189">
            <v>62.782609888053948</v>
          </cell>
          <cell r="L189">
            <v>62.647107812310999</v>
          </cell>
          <cell r="M189">
            <v>62.623748897543024</v>
          </cell>
          <cell r="N189">
            <v>62.567744344558449</v>
          </cell>
          <cell r="O189">
            <v>62.713845898987863</v>
          </cell>
          <cell r="P189">
            <v>62.526140450178424</v>
          </cell>
          <cell r="Q189">
            <v>62.474819749184029</v>
          </cell>
          <cell r="R189">
            <v>62.580097028641482</v>
          </cell>
          <cell r="S189">
            <v>62.478093014615439</v>
          </cell>
          <cell r="T189">
            <v>62.478093014615439</v>
          </cell>
          <cell r="U189">
            <v>62.478093014615439</v>
          </cell>
          <cell r="V189">
            <v>62.478093014615439</v>
          </cell>
          <cell r="W189">
            <v>62.478093014615439</v>
          </cell>
          <cell r="X189">
            <v>62.478093014615439</v>
          </cell>
          <cell r="Y189">
            <v>62.478093014615439</v>
          </cell>
          <cell r="Z189">
            <v>62.478093014615439</v>
          </cell>
          <cell r="AA189">
            <v>62.478093014615439</v>
          </cell>
          <cell r="AB189">
            <v>62.478093014615439</v>
          </cell>
          <cell r="AC189">
            <v>62.478093014615439</v>
          </cell>
          <cell r="AD189">
            <v>62.478093014615439</v>
          </cell>
          <cell r="AE189">
            <v>62.478093014615439</v>
          </cell>
          <cell r="AF189">
            <v>62.478093014615439</v>
          </cell>
        </row>
        <row r="190">
          <cell r="A190" t="str">
            <v>New Mexico</v>
          </cell>
          <cell r="B190">
            <v>62.233485515239764</v>
          </cell>
          <cell r="C190">
            <v>62.108385912671402</v>
          </cell>
          <cell r="D190">
            <v>62.09691212498619</v>
          </cell>
          <cell r="E190">
            <v>62.179716456322836</v>
          </cell>
          <cell r="F190">
            <v>62.129551089716969</v>
          </cell>
          <cell r="G190">
            <v>62.145894006793988</v>
          </cell>
          <cell r="H190">
            <v>62.16533204971757</v>
          </cell>
          <cell r="I190">
            <v>62.22678995998173</v>
          </cell>
          <cell r="J190">
            <v>62.082888069980683</v>
          </cell>
          <cell r="K190">
            <v>62.215198584942392</v>
          </cell>
          <cell r="L190">
            <v>62.080898922374743</v>
          </cell>
          <cell r="M190">
            <v>62.058345441039748</v>
          </cell>
          <cell r="N190">
            <v>62.002841247792553</v>
          </cell>
          <cell r="O190">
            <v>62.147642662032929</v>
          </cell>
          <cell r="P190">
            <v>61.961603730826702</v>
          </cell>
          <cell r="Q190">
            <v>61.910742469044045</v>
          </cell>
          <cell r="R190">
            <v>62.015079575011647</v>
          </cell>
          <cell r="S190">
            <v>61.913980728203803</v>
          </cell>
          <cell r="T190">
            <v>61.913980728203803</v>
          </cell>
          <cell r="U190">
            <v>61.913980728203803</v>
          </cell>
          <cell r="V190">
            <v>61.913980728203803</v>
          </cell>
          <cell r="W190">
            <v>61.913980728203803</v>
          </cell>
          <cell r="X190">
            <v>61.913980728203803</v>
          </cell>
          <cell r="Y190">
            <v>61.913980728203803</v>
          </cell>
          <cell r="Z190">
            <v>61.913980728203803</v>
          </cell>
          <cell r="AA190">
            <v>61.913980728203803</v>
          </cell>
          <cell r="AB190">
            <v>61.913980728203803</v>
          </cell>
          <cell r="AC190">
            <v>61.913980728203803</v>
          </cell>
          <cell r="AD190">
            <v>61.913980728203803</v>
          </cell>
          <cell r="AE190">
            <v>61.913980728203803</v>
          </cell>
          <cell r="AF190">
            <v>61.913980728203803</v>
          </cell>
        </row>
        <row r="191">
          <cell r="A191" t="str">
            <v>New York</v>
          </cell>
          <cell r="B191">
            <v>62.801057790893147</v>
          </cell>
          <cell r="C191">
            <v>62.674838052454184</v>
          </cell>
          <cell r="D191">
            <v>62.663260741338753</v>
          </cell>
          <cell r="E191">
            <v>62.746812538989914</v>
          </cell>
          <cell r="F191">
            <v>62.696195905523155</v>
          </cell>
          <cell r="G191">
            <v>62.712693307118535</v>
          </cell>
          <cell r="H191">
            <v>62.732302709508012</v>
          </cell>
          <cell r="I191">
            <v>62.794307668207416</v>
          </cell>
          <cell r="J191">
            <v>62.649104057175585</v>
          </cell>
          <cell r="K191">
            <v>62.782609888053955</v>
          </cell>
          <cell r="L191">
            <v>62.647107812310992</v>
          </cell>
          <cell r="M191">
            <v>62.62374889754301</v>
          </cell>
          <cell r="N191">
            <v>62.567744344558456</v>
          </cell>
          <cell r="O191">
            <v>62.713845898987856</v>
          </cell>
          <cell r="P191">
            <v>62.526140450178431</v>
          </cell>
          <cell r="Q191">
            <v>62.474819749184029</v>
          </cell>
          <cell r="R191">
            <v>62.580097028641475</v>
          </cell>
          <cell r="S191">
            <v>62.478093014615432</v>
          </cell>
          <cell r="T191">
            <v>62.478093014615432</v>
          </cell>
          <cell r="U191">
            <v>62.478093014615432</v>
          </cell>
          <cell r="V191">
            <v>62.478093014615432</v>
          </cell>
          <cell r="W191">
            <v>62.478093014615432</v>
          </cell>
          <cell r="X191">
            <v>62.478093014615432</v>
          </cell>
          <cell r="Y191">
            <v>62.478093014615432</v>
          </cell>
          <cell r="Z191">
            <v>62.478093014615432</v>
          </cell>
          <cell r="AA191">
            <v>62.478093014615432</v>
          </cell>
          <cell r="AB191">
            <v>62.478093014615432</v>
          </cell>
          <cell r="AC191">
            <v>62.478093014615432</v>
          </cell>
          <cell r="AD191">
            <v>62.478093014615432</v>
          </cell>
          <cell r="AE191">
            <v>62.478093014615432</v>
          </cell>
          <cell r="AF191">
            <v>62.478093014615432</v>
          </cell>
        </row>
        <row r="192">
          <cell r="A192" t="str">
            <v>North Carolina</v>
          </cell>
          <cell r="B192">
            <v>72.413326629084423</v>
          </cell>
          <cell r="C192">
            <v>72.267763861597587</v>
          </cell>
          <cell r="D192">
            <v>72.254413249327641</v>
          </cell>
          <cell r="E192">
            <v>72.350762297460506</v>
          </cell>
          <cell r="F192">
            <v>72.292391132043306</v>
          </cell>
          <cell r="G192">
            <v>72.311407341445246</v>
          </cell>
          <cell r="H192">
            <v>72.33402496184047</v>
          </cell>
          <cell r="I192">
            <v>72.405535848512713</v>
          </cell>
          <cell r="J192">
            <v>72.238095209812883</v>
          </cell>
          <cell r="K192">
            <v>72.392048414539602</v>
          </cell>
          <cell r="L192">
            <v>72.235780687428203</v>
          </cell>
          <cell r="M192">
            <v>72.209538020847461</v>
          </cell>
          <cell r="N192">
            <v>72.144954730330838</v>
          </cell>
          <cell r="O192">
            <v>72.313442032928933</v>
          </cell>
          <cell r="P192">
            <v>72.096971787374997</v>
          </cell>
          <cell r="Q192">
            <v>72.037790895741793</v>
          </cell>
          <cell r="R192">
            <v>72.159194941673235</v>
          </cell>
          <cell r="S192">
            <v>72.041558853077035</v>
          </cell>
          <cell r="T192">
            <v>72.041558853077035</v>
          </cell>
          <cell r="U192">
            <v>72.041558853077035</v>
          </cell>
          <cell r="V192">
            <v>72.041558853077035</v>
          </cell>
          <cell r="W192">
            <v>72.041558853077035</v>
          </cell>
          <cell r="X192">
            <v>72.041558853077035</v>
          </cell>
          <cell r="Y192">
            <v>72.041558853077035</v>
          </cell>
          <cell r="Z192">
            <v>72.041558853077035</v>
          </cell>
          <cell r="AA192">
            <v>72.041558853077035</v>
          </cell>
          <cell r="AB192">
            <v>72.041558853077035</v>
          </cell>
          <cell r="AC192">
            <v>72.041558853077035</v>
          </cell>
          <cell r="AD192">
            <v>72.041558853077035</v>
          </cell>
          <cell r="AE192">
            <v>72.041558853077035</v>
          </cell>
          <cell r="AF192">
            <v>72.041558853077035</v>
          </cell>
        </row>
        <row r="193">
          <cell r="A193" t="str">
            <v>North Dakota</v>
          </cell>
          <cell r="B193">
            <v>58.875184110825579</v>
          </cell>
          <cell r="C193">
            <v>58.756835249719288</v>
          </cell>
          <cell r="D193">
            <v>58.745980621269318</v>
          </cell>
          <cell r="E193">
            <v>58.824316588028324</v>
          </cell>
          <cell r="F193">
            <v>58.776858291735678</v>
          </cell>
          <cell r="G193">
            <v>58.792319297074691</v>
          </cell>
          <cell r="H193">
            <v>58.810708406191836</v>
          </cell>
          <cell r="I193">
            <v>58.868849867366812</v>
          </cell>
          <cell r="J193">
            <v>58.732713345403383</v>
          </cell>
          <cell r="K193">
            <v>58.857883996921245</v>
          </cell>
          <cell r="L193">
            <v>58.730831538036284</v>
          </cell>
          <cell r="M193">
            <v>58.709495108701745</v>
          </cell>
          <cell r="N193">
            <v>58.656986084511672</v>
          </cell>
          <cell r="O193">
            <v>58.793973589748255</v>
          </cell>
          <cell r="P193">
            <v>58.617973864907761</v>
          </cell>
          <cell r="Q193">
            <v>58.56985722598305</v>
          </cell>
          <cell r="R193">
            <v>58.668563995699984</v>
          </cell>
          <cell r="S193">
            <v>58.572920739180994</v>
          </cell>
          <cell r="T193">
            <v>58.572920739180994</v>
          </cell>
          <cell r="U193">
            <v>58.572920739180994</v>
          </cell>
          <cell r="V193">
            <v>58.572920739180994</v>
          </cell>
          <cell r="W193">
            <v>58.572920739180994</v>
          </cell>
          <cell r="X193">
            <v>58.572920739180994</v>
          </cell>
          <cell r="Y193">
            <v>58.572920739180994</v>
          </cell>
          <cell r="Z193">
            <v>58.572920739180994</v>
          </cell>
          <cell r="AA193">
            <v>58.572920739180994</v>
          </cell>
          <cell r="AB193">
            <v>58.572920739180994</v>
          </cell>
          <cell r="AC193">
            <v>58.572920739180994</v>
          </cell>
          <cell r="AD193">
            <v>58.572920739180994</v>
          </cell>
          <cell r="AE193">
            <v>58.572920739180994</v>
          </cell>
          <cell r="AF193">
            <v>58.572920739180994</v>
          </cell>
        </row>
        <row r="194">
          <cell r="A194" t="str">
            <v>Ohio</v>
          </cell>
          <cell r="B194">
            <v>58.875184110825565</v>
          </cell>
          <cell r="C194">
            <v>58.756835249719309</v>
          </cell>
          <cell r="D194">
            <v>58.745980621269339</v>
          </cell>
          <cell r="E194">
            <v>58.824316588028324</v>
          </cell>
          <cell r="F194">
            <v>58.776858291735671</v>
          </cell>
          <cell r="G194">
            <v>58.792319297074691</v>
          </cell>
          <cell r="H194">
            <v>58.810708406191836</v>
          </cell>
          <cell r="I194">
            <v>58.868849867366819</v>
          </cell>
          <cell r="J194">
            <v>58.732713345403383</v>
          </cell>
          <cell r="K194">
            <v>58.857883996921238</v>
          </cell>
          <cell r="L194">
            <v>58.730831538036284</v>
          </cell>
          <cell r="M194">
            <v>58.709495108701738</v>
          </cell>
          <cell r="N194">
            <v>58.656986084511686</v>
          </cell>
          <cell r="O194">
            <v>58.793973589748262</v>
          </cell>
          <cell r="P194">
            <v>58.617973864907775</v>
          </cell>
          <cell r="Q194">
            <v>58.56985722598305</v>
          </cell>
          <cell r="R194">
            <v>58.668563995699984</v>
          </cell>
          <cell r="S194">
            <v>58.572920739180987</v>
          </cell>
          <cell r="T194">
            <v>58.572920739180987</v>
          </cell>
          <cell r="U194">
            <v>58.572920739180987</v>
          </cell>
          <cell r="V194">
            <v>58.572920739180987</v>
          </cell>
          <cell r="W194">
            <v>58.572920739180987</v>
          </cell>
          <cell r="X194">
            <v>58.572920739180987</v>
          </cell>
          <cell r="Y194">
            <v>58.572920739180987</v>
          </cell>
          <cell r="Z194">
            <v>58.572920739180987</v>
          </cell>
          <cell r="AA194">
            <v>58.572920739180987</v>
          </cell>
          <cell r="AB194">
            <v>58.572920739180987</v>
          </cell>
          <cell r="AC194">
            <v>58.572920739180987</v>
          </cell>
          <cell r="AD194">
            <v>58.572920739180987</v>
          </cell>
          <cell r="AE194">
            <v>58.572920739180987</v>
          </cell>
          <cell r="AF194">
            <v>58.572920739180987</v>
          </cell>
        </row>
        <row r="195">
          <cell r="A195" t="str">
            <v>Oklahoma</v>
          </cell>
          <cell r="B195">
            <v>70.389610749776281</v>
          </cell>
          <cell r="C195">
            <v>70.248089207054576</v>
          </cell>
          <cell r="D195">
            <v>70.235110259844461</v>
          </cell>
          <cell r="E195">
            <v>70.328776607402219</v>
          </cell>
          <cell r="F195">
            <v>70.272028678605565</v>
          </cell>
          <cell r="G195">
            <v>70.290506440738753</v>
          </cell>
          <cell r="H195">
            <v>70.312499597554222</v>
          </cell>
          <cell r="I195">
            <v>70.382029323606986</v>
          </cell>
          <cell r="J195">
            <v>70.219254351090228</v>
          </cell>
          <cell r="K195">
            <v>70.36891971020664</v>
          </cell>
          <cell r="L195">
            <v>70.21699027877284</v>
          </cell>
          <cell r="M195">
            <v>70.192253956850706</v>
          </cell>
          <cell r="N195">
            <v>70.129468030332333</v>
          </cell>
          <cell r="O195">
            <v>70.293273026183144</v>
          </cell>
          <cell r="P195">
            <v>70.082813538812758</v>
          </cell>
          <cell r="Q195">
            <v>70.02528086602544</v>
          </cell>
          <cell r="R195">
            <v>70.143306739450807</v>
          </cell>
          <cell r="S195">
            <v>70.028936467434576</v>
          </cell>
          <cell r="T195">
            <v>70.028936467434576</v>
          </cell>
          <cell r="U195">
            <v>70.028936467434576</v>
          </cell>
          <cell r="V195">
            <v>70.028936467434576</v>
          </cell>
          <cell r="W195">
            <v>70.028936467434576</v>
          </cell>
          <cell r="X195">
            <v>70.028936467434576</v>
          </cell>
          <cell r="Y195">
            <v>70.028936467434576</v>
          </cell>
          <cell r="Z195">
            <v>70.028936467434576</v>
          </cell>
          <cell r="AA195">
            <v>70.028936467434576</v>
          </cell>
          <cell r="AB195">
            <v>70.028936467434576</v>
          </cell>
          <cell r="AC195">
            <v>70.028936467434576</v>
          </cell>
          <cell r="AD195">
            <v>70.028936467434576</v>
          </cell>
          <cell r="AE195">
            <v>70.028936467434576</v>
          </cell>
          <cell r="AF195">
            <v>70.028936467434576</v>
          </cell>
        </row>
        <row r="196">
          <cell r="A196" t="str">
            <v>Oregon</v>
          </cell>
          <cell r="B196">
            <v>62.233485515239757</v>
          </cell>
          <cell r="C196">
            <v>62.108385912671409</v>
          </cell>
          <cell r="D196">
            <v>62.096912124986183</v>
          </cell>
          <cell r="E196">
            <v>62.179716456322843</v>
          </cell>
          <cell r="F196">
            <v>62.129551089716976</v>
          </cell>
          <cell r="G196">
            <v>62.145894006793988</v>
          </cell>
          <cell r="H196">
            <v>62.16533204971757</v>
          </cell>
          <cell r="I196">
            <v>62.226789959981708</v>
          </cell>
          <cell r="J196">
            <v>62.082888069980683</v>
          </cell>
          <cell r="K196">
            <v>62.215198584942392</v>
          </cell>
          <cell r="L196">
            <v>62.080898922374757</v>
          </cell>
          <cell r="M196">
            <v>62.058345441039748</v>
          </cell>
          <cell r="N196">
            <v>62.00284124779256</v>
          </cell>
          <cell r="O196">
            <v>62.147642662032922</v>
          </cell>
          <cell r="P196">
            <v>61.96160373082671</v>
          </cell>
          <cell r="Q196">
            <v>61.910742469044038</v>
          </cell>
          <cell r="R196">
            <v>62.015079575011661</v>
          </cell>
          <cell r="S196">
            <v>61.913980728203811</v>
          </cell>
          <cell r="T196">
            <v>61.913980728203811</v>
          </cell>
          <cell r="U196">
            <v>61.913980728203811</v>
          </cell>
          <cell r="V196">
            <v>61.913980728203811</v>
          </cell>
          <cell r="W196">
            <v>61.913980728203811</v>
          </cell>
          <cell r="X196">
            <v>61.913980728203811</v>
          </cell>
          <cell r="Y196">
            <v>61.913980728203811</v>
          </cell>
          <cell r="Z196">
            <v>61.913980728203811</v>
          </cell>
          <cell r="AA196">
            <v>61.913980728203811</v>
          </cell>
          <cell r="AB196">
            <v>61.913980728203811</v>
          </cell>
          <cell r="AC196">
            <v>61.913980728203811</v>
          </cell>
          <cell r="AD196">
            <v>61.913980728203811</v>
          </cell>
          <cell r="AE196">
            <v>61.913980728203811</v>
          </cell>
          <cell r="AF196">
            <v>61.913980728203811</v>
          </cell>
        </row>
        <row r="197">
          <cell r="A197" t="str">
            <v>Pennsylvania</v>
          </cell>
          <cell r="B197">
            <v>62.801057790893154</v>
          </cell>
          <cell r="C197">
            <v>62.674838052454177</v>
          </cell>
          <cell r="D197">
            <v>62.663260741338775</v>
          </cell>
          <cell r="E197">
            <v>62.746812538989886</v>
          </cell>
          <cell r="F197">
            <v>62.696195905523147</v>
          </cell>
          <cell r="G197">
            <v>62.712693307118528</v>
          </cell>
          <cell r="H197">
            <v>62.732302709508005</v>
          </cell>
          <cell r="I197">
            <v>62.794307668207438</v>
          </cell>
          <cell r="J197">
            <v>62.649104057175585</v>
          </cell>
          <cell r="K197">
            <v>62.78260988805394</v>
          </cell>
          <cell r="L197">
            <v>62.647107812310971</v>
          </cell>
          <cell r="M197">
            <v>62.623748897543024</v>
          </cell>
          <cell r="N197">
            <v>62.567744344558463</v>
          </cell>
          <cell r="O197">
            <v>62.713845898987849</v>
          </cell>
          <cell r="P197">
            <v>62.526140450178445</v>
          </cell>
          <cell r="Q197">
            <v>62.474819749184029</v>
          </cell>
          <cell r="R197">
            <v>62.580097028641489</v>
          </cell>
          <cell r="S197">
            <v>62.478093014615418</v>
          </cell>
          <cell r="T197">
            <v>62.478093014615418</v>
          </cell>
          <cell r="U197">
            <v>62.478093014615418</v>
          </cell>
          <cell r="V197">
            <v>62.478093014615418</v>
          </cell>
          <cell r="W197">
            <v>62.478093014615418</v>
          </cell>
          <cell r="X197">
            <v>62.478093014615418</v>
          </cell>
          <cell r="Y197">
            <v>62.478093014615418</v>
          </cell>
          <cell r="Z197">
            <v>62.478093014615418</v>
          </cell>
          <cell r="AA197">
            <v>62.478093014615418</v>
          </cell>
          <cell r="AB197">
            <v>62.478093014615418</v>
          </cell>
          <cell r="AC197">
            <v>62.478093014615418</v>
          </cell>
          <cell r="AD197">
            <v>62.478093014615418</v>
          </cell>
          <cell r="AE197">
            <v>62.478093014615418</v>
          </cell>
          <cell r="AF197">
            <v>62.478093014615418</v>
          </cell>
        </row>
        <row r="198">
          <cell r="A198" t="str">
            <v>Rhode Island</v>
          </cell>
          <cell r="B198">
            <v>62.801057790893132</v>
          </cell>
          <cell r="C198">
            <v>62.674838052454177</v>
          </cell>
          <cell r="D198">
            <v>62.663260741338739</v>
          </cell>
          <cell r="E198">
            <v>62.7468125389899</v>
          </cell>
          <cell r="F198">
            <v>62.696195905523147</v>
          </cell>
          <cell r="G198">
            <v>62.712693307118549</v>
          </cell>
          <cell r="H198">
            <v>62.732302709508012</v>
          </cell>
          <cell r="I198">
            <v>62.794307668207416</v>
          </cell>
          <cell r="J198">
            <v>62.649104057175606</v>
          </cell>
          <cell r="K198">
            <v>62.782609888053955</v>
          </cell>
          <cell r="L198">
            <v>62.647107812310992</v>
          </cell>
          <cell r="M198">
            <v>62.623748897543038</v>
          </cell>
          <cell r="N198">
            <v>62.567744344558456</v>
          </cell>
          <cell r="O198">
            <v>62.713845898987856</v>
          </cell>
          <cell r="P198">
            <v>62.526140450178424</v>
          </cell>
          <cell r="Q198">
            <v>62.474819749184022</v>
          </cell>
          <cell r="R198">
            <v>62.580097028641482</v>
          </cell>
          <cell r="S198">
            <v>62.478093014615425</v>
          </cell>
          <cell r="T198">
            <v>62.478093014615425</v>
          </cell>
          <cell r="U198">
            <v>62.478093014615425</v>
          </cell>
          <cell r="V198">
            <v>62.478093014615425</v>
          </cell>
          <cell r="W198">
            <v>62.478093014615425</v>
          </cell>
          <cell r="X198">
            <v>62.478093014615425</v>
          </cell>
          <cell r="Y198">
            <v>62.478093014615425</v>
          </cell>
          <cell r="Z198">
            <v>62.478093014615425</v>
          </cell>
          <cell r="AA198">
            <v>62.478093014615425</v>
          </cell>
          <cell r="AB198">
            <v>62.478093014615425</v>
          </cell>
          <cell r="AC198">
            <v>62.478093014615425</v>
          </cell>
          <cell r="AD198">
            <v>62.478093014615425</v>
          </cell>
          <cell r="AE198">
            <v>62.478093014615425</v>
          </cell>
          <cell r="AF198">
            <v>62.478093014615425</v>
          </cell>
        </row>
        <row r="199">
          <cell r="A199" t="str">
            <v>South Carolina</v>
          </cell>
          <cell r="B199">
            <v>72.413326629084452</v>
          </cell>
          <cell r="C199">
            <v>72.267763861597587</v>
          </cell>
          <cell r="D199">
            <v>72.254413249327641</v>
          </cell>
          <cell r="E199">
            <v>72.350762297460491</v>
          </cell>
          <cell r="F199">
            <v>72.292391132043306</v>
          </cell>
          <cell r="G199">
            <v>72.311407341445246</v>
          </cell>
          <cell r="H199">
            <v>72.334024961840484</v>
          </cell>
          <cell r="I199">
            <v>72.405535848512685</v>
          </cell>
          <cell r="J199">
            <v>72.238095209812911</v>
          </cell>
          <cell r="K199">
            <v>72.392048414539616</v>
          </cell>
          <cell r="L199">
            <v>72.235780687428203</v>
          </cell>
          <cell r="M199">
            <v>72.209538020847432</v>
          </cell>
          <cell r="N199">
            <v>72.144954730330809</v>
          </cell>
          <cell r="O199">
            <v>72.313442032928947</v>
          </cell>
          <cell r="P199">
            <v>72.096971787375011</v>
          </cell>
          <cell r="Q199">
            <v>72.037790895741765</v>
          </cell>
          <cell r="R199">
            <v>72.159194941673235</v>
          </cell>
          <cell r="S199">
            <v>72.041558853077021</v>
          </cell>
          <cell r="T199">
            <v>72.041558853077021</v>
          </cell>
          <cell r="U199">
            <v>72.041558853077021</v>
          </cell>
          <cell r="V199">
            <v>72.041558853077021</v>
          </cell>
          <cell r="W199">
            <v>72.041558853077021</v>
          </cell>
          <cell r="X199">
            <v>72.041558853077021</v>
          </cell>
          <cell r="Y199">
            <v>72.041558853077021</v>
          </cell>
          <cell r="Z199">
            <v>72.041558853077021</v>
          </cell>
          <cell r="AA199">
            <v>72.041558853077021</v>
          </cell>
          <cell r="AB199">
            <v>72.041558853077021</v>
          </cell>
          <cell r="AC199">
            <v>72.041558853077021</v>
          </cell>
          <cell r="AD199">
            <v>72.041558853077021</v>
          </cell>
          <cell r="AE199">
            <v>72.041558853077021</v>
          </cell>
          <cell r="AF199">
            <v>72.041558853077021</v>
          </cell>
        </row>
        <row r="200">
          <cell r="A200" t="str">
            <v>South Dakota</v>
          </cell>
          <cell r="B200">
            <v>58.875184110825565</v>
          </cell>
          <cell r="C200">
            <v>58.756835249719309</v>
          </cell>
          <cell r="D200">
            <v>58.745980621269318</v>
          </cell>
          <cell r="E200">
            <v>58.824316588028331</v>
          </cell>
          <cell r="F200">
            <v>58.776858291735664</v>
          </cell>
          <cell r="G200">
            <v>58.792319297074691</v>
          </cell>
          <cell r="H200">
            <v>58.810708406191829</v>
          </cell>
          <cell r="I200">
            <v>58.868849867366819</v>
          </cell>
          <cell r="J200">
            <v>58.732713345403383</v>
          </cell>
          <cell r="K200">
            <v>58.857883996921231</v>
          </cell>
          <cell r="L200">
            <v>58.730831538036284</v>
          </cell>
          <cell r="M200">
            <v>58.709495108701724</v>
          </cell>
          <cell r="N200">
            <v>58.656986084511672</v>
          </cell>
          <cell r="O200">
            <v>58.793973589748255</v>
          </cell>
          <cell r="P200">
            <v>58.617973864907768</v>
          </cell>
          <cell r="Q200">
            <v>58.56985722598305</v>
          </cell>
          <cell r="R200">
            <v>58.668563995699976</v>
          </cell>
          <cell r="S200">
            <v>58.572920739180994</v>
          </cell>
          <cell r="T200">
            <v>58.572920739180994</v>
          </cell>
          <cell r="U200">
            <v>58.572920739180994</v>
          </cell>
          <cell r="V200">
            <v>58.572920739180994</v>
          </cell>
          <cell r="W200">
            <v>58.572920739180994</v>
          </cell>
          <cell r="X200">
            <v>58.572920739180994</v>
          </cell>
          <cell r="Y200">
            <v>58.572920739180994</v>
          </cell>
          <cell r="Z200">
            <v>58.572920739180994</v>
          </cell>
          <cell r="AA200">
            <v>58.572920739180994</v>
          </cell>
          <cell r="AB200">
            <v>58.572920739180994</v>
          </cell>
          <cell r="AC200">
            <v>58.572920739180994</v>
          </cell>
          <cell r="AD200">
            <v>58.572920739180994</v>
          </cell>
          <cell r="AE200">
            <v>58.572920739180994</v>
          </cell>
          <cell r="AF200">
            <v>58.572920739180994</v>
          </cell>
        </row>
        <row r="201">
          <cell r="A201" t="str">
            <v>Tennessee</v>
          </cell>
          <cell r="B201">
            <v>72.413326629084423</v>
          </cell>
          <cell r="C201">
            <v>72.267763861597572</v>
          </cell>
          <cell r="D201">
            <v>72.254413249327627</v>
          </cell>
          <cell r="E201">
            <v>72.35076229746052</v>
          </cell>
          <cell r="F201">
            <v>72.292391132043306</v>
          </cell>
          <cell r="G201">
            <v>72.311407341445246</v>
          </cell>
          <cell r="H201">
            <v>72.33402496184047</v>
          </cell>
          <cell r="I201">
            <v>72.405535848512699</v>
          </cell>
          <cell r="J201">
            <v>72.238095209812897</v>
          </cell>
          <cell r="K201">
            <v>72.392048414539616</v>
          </cell>
          <cell r="L201">
            <v>72.235780687428189</v>
          </cell>
          <cell r="M201">
            <v>72.209538020847461</v>
          </cell>
          <cell r="N201">
            <v>72.144954730330838</v>
          </cell>
          <cell r="O201">
            <v>72.313442032928947</v>
          </cell>
          <cell r="P201">
            <v>72.096971787375011</v>
          </cell>
          <cell r="Q201">
            <v>72.037790895741765</v>
          </cell>
          <cell r="R201">
            <v>72.159194941673235</v>
          </cell>
          <cell r="S201">
            <v>72.041558853077021</v>
          </cell>
          <cell r="T201">
            <v>72.041558853077021</v>
          </cell>
          <cell r="U201">
            <v>72.041558853077021</v>
          </cell>
          <cell r="V201">
            <v>72.041558853077021</v>
          </cell>
          <cell r="W201">
            <v>72.041558853077021</v>
          </cell>
          <cell r="X201">
            <v>72.041558853077021</v>
          </cell>
          <cell r="Y201">
            <v>72.041558853077021</v>
          </cell>
          <cell r="Z201">
            <v>72.041558853077021</v>
          </cell>
          <cell r="AA201">
            <v>72.041558853077021</v>
          </cell>
          <cell r="AB201">
            <v>72.041558853077021</v>
          </cell>
          <cell r="AC201">
            <v>72.041558853077021</v>
          </cell>
          <cell r="AD201">
            <v>72.041558853077021</v>
          </cell>
          <cell r="AE201">
            <v>72.041558853077021</v>
          </cell>
          <cell r="AF201">
            <v>72.041558853077021</v>
          </cell>
        </row>
        <row r="202">
          <cell r="A202" t="str">
            <v>Texas</v>
          </cell>
          <cell r="B202">
            <v>70.389610749776281</v>
          </cell>
          <cell r="C202">
            <v>70.248089207054562</v>
          </cell>
          <cell r="D202">
            <v>70.235110259844475</v>
          </cell>
          <cell r="E202">
            <v>70.328776607402204</v>
          </cell>
          <cell r="F202">
            <v>70.272028678605565</v>
          </cell>
          <cell r="G202">
            <v>70.290506440738739</v>
          </cell>
          <cell r="H202">
            <v>70.312499597554236</v>
          </cell>
          <cell r="I202">
            <v>70.382029323606986</v>
          </cell>
          <cell r="J202">
            <v>70.219254351090228</v>
          </cell>
          <cell r="K202">
            <v>70.368919710206654</v>
          </cell>
          <cell r="L202">
            <v>70.21699027877284</v>
          </cell>
          <cell r="M202">
            <v>70.192253956850706</v>
          </cell>
          <cell r="N202">
            <v>70.129468030332305</v>
          </cell>
          <cell r="O202">
            <v>70.293273026183158</v>
          </cell>
          <cell r="P202">
            <v>70.082813538812758</v>
          </cell>
          <cell r="Q202">
            <v>70.02528086602544</v>
          </cell>
          <cell r="R202">
            <v>70.143306739450821</v>
          </cell>
          <cell r="S202">
            <v>70.028936467434562</v>
          </cell>
          <cell r="T202">
            <v>70.028936467434562</v>
          </cell>
          <cell r="U202">
            <v>70.028936467434562</v>
          </cell>
          <cell r="V202">
            <v>70.028936467434562</v>
          </cell>
          <cell r="W202">
            <v>70.028936467434562</v>
          </cell>
          <cell r="X202">
            <v>70.028936467434562</v>
          </cell>
          <cell r="Y202">
            <v>70.028936467434562</v>
          </cell>
          <cell r="Z202">
            <v>70.028936467434562</v>
          </cell>
          <cell r="AA202">
            <v>70.028936467434562</v>
          </cell>
          <cell r="AB202">
            <v>70.028936467434562</v>
          </cell>
          <cell r="AC202">
            <v>70.028936467434562</v>
          </cell>
          <cell r="AD202">
            <v>70.028936467434562</v>
          </cell>
          <cell r="AE202">
            <v>70.028936467434562</v>
          </cell>
          <cell r="AF202">
            <v>70.028936467434562</v>
          </cell>
        </row>
        <row r="203">
          <cell r="A203" t="str">
            <v>Utah</v>
          </cell>
          <cell r="B203">
            <v>62.233485515239749</v>
          </cell>
          <cell r="C203">
            <v>62.108385912671402</v>
          </cell>
          <cell r="D203">
            <v>62.096912124986176</v>
          </cell>
          <cell r="E203">
            <v>62.179716456322843</v>
          </cell>
          <cell r="F203">
            <v>62.129551089716976</v>
          </cell>
          <cell r="G203">
            <v>62.145894006793995</v>
          </cell>
          <cell r="H203">
            <v>62.165332049717577</v>
          </cell>
          <cell r="I203">
            <v>62.22678995998173</v>
          </cell>
          <cell r="J203">
            <v>62.082888069980683</v>
          </cell>
          <cell r="K203">
            <v>62.215198584942392</v>
          </cell>
          <cell r="L203">
            <v>62.080898922374764</v>
          </cell>
          <cell r="M203">
            <v>62.058345441039734</v>
          </cell>
          <cell r="N203">
            <v>62.00284124779256</v>
          </cell>
          <cell r="O203">
            <v>62.147642662032922</v>
          </cell>
          <cell r="P203">
            <v>61.961603730826688</v>
          </cell>
          <cell r="Q203">
            <v>61.910742469044024</v>
          </cell>
          <cell r="R203">
            <v>62.015079575011669</v>
          </cell>
          <cell r="S203">
            <v>61.913980728203796</v>
          </cell>
          <cell r="T203">
            <v>61.913980728203796</v>
          </cell>
          <cell r="U203">
            <v>61.913980728203796</v>
          </cell>
          <cell r="V203">
            <v>61.913980728203796</v>
          </cell>
          <cell r="W203">
            <v>61.913980728203796</v>
          </cell>
          <cell r="X203">
            <v>61.913980728203796</v>
          </cell>
          <cell r="Y203">
            <v>61.913980728203796</v>
          </cell>
          <cell r="Z203">
            <v>61.913980728203796</v>
          </cell>
          <cell r="AA203">
            <v>61.913980728203796</v>
          </cell>
          <cell r="AB203">
            <v>61.913980728203796</v>
          </cell>
          <cell r="AC203">
            <v>61.913980728203796</v>
          </cell>
          <cell r="AD203">
            <v>61.913980728203796</v>
          </cell>
          <cell r="AE203">
            <v>61.913980728203796</v>
          </cell>
          <cell r="AF203">
            <v>61.913980728203796</v>
          </cell>
        </row>
        <row r="204">
          <cell r="A204" t="str">
            <v>Vermont</v>
          </cell>
          <cell r="B204">
            <v>62.801057790893125</v>
          </cell>
          <cell r="C204">
            <v>62.674838052454191</v>
          </cell>
          <cell r="D204">
            <v>62.663260741338753</v>
          </cell>
          <cell r="E204">
            <v>62.746812538989893</v>
          </cell>
          <cell r="F204">
            <v>62.69619590552314</v>
          </cell>
          <cell r="G204">
            <v>62.712693307118549</v>
          </cell>
          <cell r="H204">
            <v>62.732302709508012</v>
          </cell>
          <cell r="I204">
            <v>62.794307668207423</v>
          </cell>
          <cell r="J204">
            <v>62.649104057175599</v>
          </cell>
          <cell r="K204">
            <v>62.782609888053926</v>
          </cell>
          <cell r="L204">
            <v>62.647107812310985</v>
          </cell>
          <cell r="M204">
            <v>62.623748897543031</v>
          </cell>
          <cell r="N204">
            <v>62.567744344558442</v>
          </cell>
          <cell r="O204">
            <v>62.713845898987856</v>
          </cell>
          <cell r="P204">
            <v>62.526140450178438</v>
          </cell>
          <cell r="Q204">
            <v>62.474819749184043</v>
          </cell>
          <cell r="R204">
            <v>62.580097028641482</v>
          </cell>
          <cell r="S204">
            <v>62.478093014615425</v>
          </cell>
          <cell r="T204">
            <v>62.478093014615425</v>
          </cell>
          <cell r="U204">
            <v>62.478093014615425</v>
          </cell>
          <cell r="V204">
            <v>62.478093014615425</v>
          </cell>
          <cell r="W204">
            <v>62.478093014615425</v>
          </cell>
          <cell r="X204">
            <v>62.478093014615425</v>
          </cell>
          <cell r="Y204">
            <v>62.478093014615425</v>
          </cell>
          <cell r="Z204">
            <v>62.478093014615425</v>
          </cell>
          <cell r="AA204">
            <v>62.478093014615425</v>
          </cell>
          <cell r="AB204">
            <v>62.478093014615425</v>
          </cell>
          <cell r="AC204">
            <v>62.478093014615425</v>
          </cell>
          <cell r="AD204">
            <v>62.478093014615425</v>
          </cell>
          <cell r="AE204">
            <v>62.478093014615425</v>
          </cell>
          <cell r="AF204">
            <v>62.478093014615425</v>
          </cell>
        </row>
        <row r="205">
          <cell r="A205" t="str">
            <v>Virginia</v>
          </cell>
          <cell r="B205">
            <v>72.413326629084438</v>
          </cell>
          <cell r="C205">
            <v>72.267763861597587</v>
          </cell>
          <cell r="D205">
            <v>72.254413249327627</v>
          </cell>
          <cell r="E205">
            <v>72.350762297460506</v>
          </cell>
          <cell r="F205">
            <v>72.292391132043321</v>
          </cell>
          <cell r="G205">
            <v>72.311407341445246</v>
          </cell>
          <cell r="H205">
            <v>72.33402496184047</v>
          </cell>
          <cell r="I205">
            <v>72.405535848512713</v>
          </cell>
          <cell r="J205">
            <v>72.238095209812883</v>
          </cell>
          <cell r="K205">
            <v>72.392048414539644</v>
          </cell>
          <cell r="L205">
            <v>72.235780687428218</v>
          </cell>
          <cell r="M205">
            <v>72.209538020847447</v>
          </cell>
          <cell r="N205">
            <v>72.144954730330838</v>
          </cell>
          <cell r="O205">
            <v>72.313442032928961</v>
          </cell>
          <cell r="P205">
            <v>72.096971787374983</v>
          </cell>
          <cell r="Q205">
            <v>72.037790895741779</v>
          </cell>
          <cell r="R205">
            <v>72.159194941673235</v>
          </cell>
          <cell r="S205">
            <v>72.041558853077021</v>
          </cell>
          <cell r="T205">
            <v>72.041558853077021</v>
          </cell>
          <cell r="U205">
            <v>72.041558853077021</v>
          </cell>
          <cell r="V205">
            <v>72.041558853077021</v>
          </cell>
          <cell r="W205">
            <v>72.041558853077021</v>
          </cell>
          <cell r="X205">
            <v>72.041558853077021</v>
          </cell>
          <cell r="Y205">
            <v>72.041558853077021</v>
          </cell>
          <cell r="Z205">
            <v>72.041558853077021</v>
          </cell>
          <cell r="AA205">
            <v>72.041558853077021</v>
          </cell>
          <cell r="AB205">
            <v>72.041558853077021</v>
          </cell>
          <cell r="AC205">
            <v>72.041558853077021</v>
          </cell>
          <cell r="AD205">
            <v>72.041558853077021</v>
          </cell>
          <cell r="AE205">
            <v>72.041558853077021</v>
          </cell>
          <cell r="AF205">
            <v>72.041558853077021</v>
          </cell>
        </row>
        <row r="206">
          <cell r="A206" t="str">
            <v>Washington</v>
          </cell>
          <cell r="B206">
            <v>62.233485515239757</v>
          </cell>
          <cell r="C206">
            <v>62.108385912671395</v>
          </cell>
          <cell r="D206">
            <v>62.09691212498619</v>
          </cell>
          <cell r="E206">
            <v>62.179716456322843</v>
          </cell>
          <cell r="F206">
            <v>62.129551089716969</v>
          </cell>
          <cell r="G206">
            <v>62.145894006793988</v>
          </cell>
          <cell r="H206">
            <v>62.16533204971757</v>
          </cell>
          <cell r="I206">
            <v>62.22678995998173</v>
          </cell>
          <cell r="J206">
            <v>62.082888069980683</v>
          </cell>
          <cell r="K206">
            <v>62.215198584942378</v>
          </cell>
          <cell r="L206">
            <v>62.08089892237475</v>
          </cell>
          <cell r="M206">
            <v>62.058345441039741</v>
          </cell>
          <cell r="N206">
            <v>62.002841247792553</v>
          </cell>
          <cell r="O206">
            <v>62.147642662032929</v>
          </cell>
          <cell r="P206">
            <v>61.961603730826702</v>
          </cell>
          <cell r="Q206">
            <v>61.910742469044031</v>
          </cell>
          <cell r="R206">
            <v>62.015079575011661</v>
          </cell>
          <cell r="S206">
            <v>61.913980728203796</v>
          </cell>
          <cell r="T206">
            <v>61.913980728203796</v>
          </cell>
          <cell r="U206">
            <v>61.913980728203796</v>
          </cell>
          <cell r="V206">
            <v>61.913980728203796</v>
          </cell>
          <cell r="W206">
            <v>61.913980728203796</v>
          </cell>
          <cell r="X206">
            <v>61.913980728203796</v>
          </cell>
          <cell r="Y206">
            <v>61.913980728203796</v>
          </cell>
          <cell r="Z206">
            <v>61.913980728203796</v>
          </cell>
          <cell r="AA206">
            <v>61.913980728203796</v>
          </cell>
          <cell r="AB206">
            <v>61.913980728203796</v>
          </cell>
          <cell r="AC206">
            <v>61.913980728203796</v>
          </cell>
          <cell r="AD206">
            <v>61.913980728203796</v>
          </cell>
          <cell r="AE206">
            <v>61.913980728203796</v>
          </cell>
          <cell r="AF206">
            <v>61.913980728203796</v>
          </cell>
        </row>
        <row r="207">
          <cell r="A207" t="str">
            <v>West Virginia</v>
          </cell>
          <cell r="B207">
            <v>62.801057790893132</v>
          </cell>
          <cell r="C207">
            <v>62.674838052454184</v>
          </cell>
          <cell r="D207">
            <v>62.663260741338767</v>
          </cell>
          <cell r="E207">
            <v>62.746812538989907</v>
          </cell>
          <cell r="F207">
            <v>62.696195905523126</v>
          </cell>
          <cell r="G207">
            <v>62.712693307118549</v>
          </cell>
          <cell r="H207">
            <v>62.732302709508012</v>
          </cell>
          <cell r="I207">
            <v>62.794307668207416</v>
          </cell>
          <cell r="J207">
            <v>62.649104057175599</v>
          </cell>
          <cell r="K207">
            <v>62.782609888053948</v>
          </cell>
          <cell r="L207">
            <v>62.647107812310999</v>
          </cell>
          <cell r="M207">
            <v>62.62374889754301</v>
          </cell>
          <cell r="N207">
            <v>62.56774434455847</v>
          </cell>
          <cell r="O207">
            <v>62.713845898987842</v>
          </cell>
          <cell r="P207">
            <v>62.526140450178417</v>
          </cell>
          <cell r="Q207">
            <v>62.474819749184029</v>
          </cell>
          <cell r="R207">
            <v>62.580097028641497</v>
          </cell>
          <cell r="S207">
            <v>62.478093014615425</v>
          </cell>
          <cell r="T207">
            <v>62.478093014615425</v>
          </cell>
          <cell r="U207">
            <v>62.478093014615425</v>
          </cell>
          <cell r="V207">
            <v>62.478093014615425</v>
          </cell>
          <cell r="W207">
            <v>62.478093014615425</v>
          </cell>
          <cell r="X207">
            <v>62.478093014615425</v>
          </cell>
          <cell r="Y207">
            <v>62.478093014615425</v>
          </cell>
          <cell r="Z207">
            <v>62.478093014615425</v>
          </cell>
          <cell r="AA207">
            <v>62.478093014615425</v>
          </cell>
          <cell r="AB207">
            <v>62.478093014615425</v>
          </cell>
          <cell r="AC207">
            <v>62.478093014615425</v>
          </cell>
          <cell r="AD207">
            <v>62.478093014615425</v>
          </cell>
          <cell r="AE207">
            <v>62.478093014615425</v>
          </cell>
          <cell r="AF207">
            <v>62.478093014615425</v>
          </cell>
        </row>
        <row r="208">
          <cell r="A208" t="str">
            <v>Wisconsin</v>
          </cell>
          <cell r="B208">
            <v>58.875184110825586</v>
          </cell>
          <cell r="C208">
            <v>58.756835249719309</v>
          </cell>
          <cell r="D208">
            <v>58.745980621269318</v>
          </cell>
          <cell r="E208">
            <v>58.824316588028339</v>
          </cell>
          <cell r="F208">
            <v>58.776858291735664</v>
          </cell>
          <cell r="G208">
            <v>58.792319297074705</v>
          </cell>
          <cell r="H208">
            <v>58.81070840619185</v>
          </cell>
          <cell r="I208">
            <v>58.868849867366812</v>
          </cell>
          <cell r="J208">
            <v>58.73271334540339</v>
          </cell>
          <cell r="K208">
            <v>58.857883996921245</v>
          </cell>
          <cell r="L208">
            <v>58.73083153803627</v>
          </cell>
          <cell r="M208">
            <v>58.709495108701731</v>
          </cell>
          <cell r="N208">
            <v>58.656986084511679</v>
          </cell>
          <cell r="O208">
            <v>58.793973589748255</v>
          </cell>
          <cell r="P208">
            <v>58.617973864907754</v>
          </cell>
          <cell r="Q208">
            <v>58.56985722598305</v>
          </cell>
          <cell r="R208">
            <v>58.668563995699976</v>
          </cell>
          <cell r="S208">
            <v>58.572920739180987</v>
          </cell>
          <cell r="T208">
            <v>58.572920739180987</v>
          </cell>
          <cell r="U208">
            <v>58.572920739180987</v>
          </cell>
          <cell r="V208">
            <v>58.572920739180987</v>
          </cell>
          <cell r="W208">
            <v>58.572920739180987</v>
          </cell>
          <cell r="X208">
            <v>58.572920739180987</v>
          </cell>
          <cell r="Y208">
            <v>58.572920739180987</v>
          </cell>
          <cell r="Z208">
            <v>58.572920739180987</v>
          </cell>
          <cell r="AA208">
            <v>58.572920739180987</v>
          </cell>
          <cell r="AB208">
            <v>58.572920739180987</v>
          </cell>
          <cell r="AC208">
            <v>58.572920739180987</v>
          </cell>
          <cell r="AD208">
            <v>58.572920739180987</v>
          </cell>
          <cell r="AE208">
            <v>58.572920739180987</v>
          </cell>
          <cell r="AF208">
            <v>58.572920739180987</v>
          </cell>
        </row>
        <row r="209">
          <cell r="A209" t="str">
            <v>Wyoming</v>
          </cell>
          <cell r="B209">
            <v>58.875184110825579</v>
          </cell>
          <cell r="C209">
            <v>58.756835249719302</v>
          </cell>
          <cell r="D209">
            <v>58.745980621269304</v>
          </cell>
          <cell r="E209">
            <v>58.824316588028331</v>
          </cell>
          <cell r="F209">
            <v>58.776858291735671</v>
          </cell>
          <cell r="G209">
            <v>58.792319297074684</v>
          </cell>
          <cell r="H209">
            <v>58.810708406191829</v>
          </cell>
          <cell r="I209">
            <v>58.868849867366791</v>
          </cell>
          <cell r="J209">
            <v>58.73271334540339</v>
          </cell>
          <cell r="K209">
            <v>58.857883996921238</v>
          </cell>
          <cell r="L209">
            <v>58.730831538036298</v>
          </cell>
          <cell r="M209">
            <v>58.709495108701731</v>
          </cell>
          <cell r="N209">
            <v>58.656986084511679</v>
          </cell>
          <cell r="O209">
            <v>58.793973589748269</v>
          </cell>
          <cell r="P209">
            <v>58.617973864907761</v>
          </cell>
          <cell r="Q209">
            <v>58.569857225983036</v>
          </cell>
          <cell r="R209">
            <v>58.668563995699969</v>
          </cell>
          <cell r="S209">
            <v>58.572920739180994</v>
          </cell>
          <cell r="T209">
            <v>58.572920739180994</v>
          </cell>
          <cell r="U209">
            <v>58.572920739180994</v>
          </cell>
          <cell r="V209">
            <v>58.572920739180994</v>
          </cell>
          <cell r="W209">
            <v>58.572920739180994</v>
          </cell>
          <cell r="X209">
            <v>58.572920739180994</v>
          </cell>
          <cell r="Y209">
            <v>58.572920739180994</v>
          </cell>
          <cell r="Z209">
            <v>58.572920739180994</v>
          </cell>
          <cell r="AA209">
            <v>58.572920739180994</v>
          </cell>
          <cell r="AB209">
            <v>58.572920739180994</v>
          </cell>
          <cell r="AC209">
            <v>58.572920739180994</v>
          </cell>
          <cell r="AD209">
            <v>58.572920739180994</v>
          </cell>
          <cell r="AE209">
            <v>58.572920739180994</v>
          </cell>
          <cell r="AF209">
            <v>58.572920739180994</v>
          </cell>
        </row>
        <row r="211">
          <cell r="A211" t="str">
            <v>Beef Cows</v>
          </cell>
          <cell r="B211">
            <v>1990</v>
          </cell>
          <cell r="C211">
            <v>1991</v>
          </cell>
          <cell r="D211">
            <v>1992</v>
          </cell>
          <cell r="E211">
            <v>1993</v>
          </cell>
          <cell r="F211">
            <v>1994</v>
          </cell>
          <cell r="G211">
            <v>1995</v>
          </cell>
          <cell r="H211">
            <v>1996</v>
          </cell>
          <cell r="I211">
            <v>1997</v>
          </cell>
          <cell r="J211">
            <v>1998</v>
          </cell>
          <cell r="K211">
            <v>1999</v>
          </cell>
          <cell r="L211">
            <v>2000</v>
          </cell>
          <cell r="M211">
            <v>2001</v>
          </cell>
          <cell r="N211">
            <v>2002</v>
          </cell>
          <cell r="O211">
            <v>2003</v>
          </cell>
          <cell r="P211">
            <v>2004</v>
          </cell>
          <cell r="Q211">
            <v>2005</v>
          </cell>
          <cell r="R211">
            <v>2006</v>
          </cell>
          <cell r="S211">
            <v>2007</v>
          </cell>
          <cell r="T211">
            <v>2008</v>
          </cell>
          <cell r="U211">
            <v>2009</v>
          </cell>
          <cell r="V211">
            <v>2010</v>
          </cell>
          <cell r="W211">
            <v>2011</v>
          </cell>
          <cell r="X211">
            <v>2012</v>
          </cell>
          <cell r="Y211">
            <v>2013</v>
          </cell>
          <cell r="Z211">
            <v>2014</v>
          </cell>
          <cell r="AA211">
            <v>2015</v>
          </cell>
          <cell r="AB211">
            <v>2016</v>
          </cell>
          <cell r="AC211">
            <v>2017</v>
          </cell>
          <cell r="AD211">
            <v>2018</v>
          </cell>
          <cell r="AE211">
            <v>2019</v>
          </cell>
          <cell r="AF211">
            <v>2020</v>
          </cell>
        </row>
        <row r="212">
          <cell r="A212" t="str">
            <v>Alabama</v>
          </cell>
          <cell r="B212">
            <v>88.857829555935496</v>
          </cell>
          <cell r="C212">
            <v>89.039633167365992</v>
          </cell>
          <cell r="D212">
            <v>90.760059951011144</v>
          </cell>
          <cell r="E212">
            <v>91.528928240711636</v>
          </cell>
          <cell r="F212">
            <v>91.524643679662972</v>
          </cell>
          <cell r="G212">
            <v>91.614498585922462</v>
          </cell>
          <cell r="H212">
            <v>91.74432741146731</v>
          </cell>
          <cell r="I212">
            <v>91.79410335265446</v>
          </cell>
          <cell r="J212">
            <v>92.242505668757801</v>
          </cell>
          <cell r="K212">
            <v>92.063248907820082</v>
          </cell>
          <cell r="L212">
            <v>91.164872302080298</v>
          </cell>
          <cell r="M212">
            <v>91.164872302080326</v>
          </cell>
          <cell r="N212">
            <v>91.344828479120451</v>
          </cell>
          <cell r="O212">
            <v>92.779448500403873</v>
          </cell>
          <cell r="P212">
            <v>93.44889881444729</v>
          </cell>
          <cell r="Q212">
            <v>93.627097764863251</v>
          </cell>
          <cell r="R212">
            <v>94.249740276839489</v>
          </cell>
          <cell r="S212">
            <v>94.560451585467874</v>
          </cell>
          <cell r="T212">
            <v>94.560451585467874</v>
          </cell>
          <cell r="U212">
            <v>94.560451585467874</v>
          </cell>
          <cell r="V212">
            <v>94.560451585467874</v>
          </cell>
          <cell r="W212">
            <v>94.560451585467874</v>
          </cell>
          <cell r="X212">
            <v>94.560451585467874</v>
          </cell>
          <cell r="Y212">
            <v>94.560451585467874</v>
          </cell>
          <cell r="Z212">
            <v>94.560451585467874</v>
          </cell>
          <cell r="AA212">
            <v>94.560451585467874</v>
          </cell>
          <cell r="AB212">
            <v>94.560451585467874</v>
          </cell>
          <cell r="AC212">
            <v>94.560451585467874</v>
          </cell>
          <cell r="AD212">
            <v>94.560451585467874</v>
          </cell>
          <cell r="AE212">
            <v>94.560451585467874</v>
          </cell>
          <cell r="AF212">
            <v>94.560451585467874</v>
          </cell>
        </row>
        <row r="213">
          <cell r="A213" t="str">
            <v>Alaska</v>
          </cell>
          <cell r="B213">
            <v>101.49401708739363</v>
          </cell>
          <cell r="C213">
            <v>101.70167440850187</v>
          </cell>
          <cell r="D213">
            <v>103.66675757843203</v>
          </cell>
          <cell r="E213">
            <v>104.54496416667295</v>
          </cell>
          <cell r="F213">
            <v>104.54007031191128</v>
          </cell>
          <cell r="G213">
            <v>104.64270319678894</v>
          </cell>
          <cell r="H213">
            <v>104.7909945640678</v>
          </cell>
          <cell r="I213">
            <v>104.84784898253194</v>
          </cell>
          <cell r="J213">
            <v>105.36001715679474</v>
          </cell>
          <cell r="K213">
            <v>105.15526886563613</v>
          </cell>
          <cell r="L213">
            <v>104.12913699825273</v>
          </cell>
          <cell r="M213">
            <v>104.12913699825275</v>
          </cell>
          <cell r="N213">
            <v>104.3346841672391</v>
          </cell>
          <cell r="O213">
            <v>105.97331690992164</v>
          </cell>
          <cell r="P213">
            <v>106.73796761039711</v>
          </cell>
          <cell r="Q213">
            <v>106.94150766318549</v>
          </cell>
          <cell r="R213">
            <v>107.65269417388089</v>
          </cell>
          <cell r="S213">
            <v>108.00759074320712</v>
          </cell>
          <cell r="T213">
            <v>108.00759074320712</v>
          </cell>
          <cell r="U213">
            <v>108.00759074320712</v>
          </cell>
          <cell r="V213">
            <v>108.00759074320712</v>
          </cell>
          <cell r="W213">
            <v>108.00759074320712</v>
          </cell>
          <cell r="X213">
            <v>108.00759074320712</v>
          </cell>
          <cell r="Y213">
            <v>108.00759074320712</v>
          </cell>
          <cell r="Z213">
            <v>108.00759074320712</v>
          </cell>
          <cell r="AA213">
            <v>108.00759074320712</v>
          </cell>
          <cell r="AB213">
            <v>108.00759074320712</v>
          </cell>
          <cell r="AC213">
            <v>108.00759074320712</v>
          </cell>
          <cell r="AD213">
            <v>108.00759074320712</v>
          </cell>
          <cell r="AE213">
            <v>108.00759074320712</v>
          </cell>
          <cell r="AF213">
            <v>108.00759074320712</v>
          </cell>
        </row>
        <row r="214">
          <cell r="A214" t="str">
            <v>Arizona</v>
          </cell>
          <cell r="B214">
            <v>101.49401708739363</v>
          </cell>
          <cell r="C214">
            <v>101.70167440850189</v>
          </cell>
          <cell r="D214">
            <v>103.666757578432</v>
          </cell>
          <cell r="E214">
            <v>104.54496416667298</v>
          </cell>
          <cell r="F214">
            <v>104.54007031191129</v>
          </cell>
          <cell r="G214">
            <v>104.64270319678891</v>
          </cell>
          <cell r="H214">
            <v>104.79099456406777</v>
          </cell>
          <cell r="I214">
            <v>104.84784898253194</v>
          </cell>
          <cell r="J214">
            <v>105.36001715679475</v>
          </cell>
          <cell r="K214">
            <v>105.15526886563612</v>
          </cell>
          <cell r="L214">
            <v>104.12913699825275</v>
          </cell>
          <cell r="M214">
            <v>104.12913699825272</v>
          </cell>
          <cell r="N214">
            <v>104.33468416723908</v>
          </cell>
          <cell r="O214">
            <v>105.97331690992161</v>
          </cell>
          <cell r="P214">
            <v>106.73796761039706</v>
          </cell>
          <cell r="Q214">
            <v>106.94150766318548</v>
          </cell>
          <cell r="R214">
            <v>107.6526941738809</v>
          </cell>
          <cell r="S214">
            <v>108.00759074320712</v>
          </cell>
          <cell r="T214">
            <v>108.00759074320712</v>
          </cell>
          <cell r="U214">
            <v>108.00759074320712</v>
          </cell>
          <cell r="V214">
            <v>108.00759074320712</v>
          </cell>
          <cell r="W214">
            <v>108.00759074320712</v>
          </cell>
          <cell r="X214">
            <v>108.00759074320712</v>
          </cell>
          <cell r="Y214">
            <v>108.00759074320712</v>
          </cell>
          <cell r="Z214">
            <v>108.00759074320712</v>
          </cell>
          <cell r="AA214">
            <v>108.00759074320712</v>
          </cell>
          <cell r="AB214">
            <v>108.00759074320712</v>
          </cell>
          <cell r="AC214">
            <v>108.00759074320712</v>
          </cell>
          <cell r="AD214">
            <v>108.00759074320712</v>
          </cell>
          <cell r="AE214">
            <v>108.00759074320712</v>
          </cell>
          <cell r="AF214">
            <v>108.00759074320712</v>
          </cell>
        </row>
        <row r="215">
          <cell r="A215" t="str">
            <v>Arkansas</v>
          </cell>
          <cell r="B215">
            <v>88.724782849633598</v>
          </cell>
          <cell r="C215">
            <v>88.906314246766115</v>
          </cell>
          <cell r="D215">
            <v>90.624165037748099</v>
          </cell>
          <cell r="E215">
            <v>91.391882102013113</v>
          </cell>
          <cell r="F215">
            <v>91.387603956231828</v>
          </cell>
          <cell r="G215">
            <v>91.47732432286351</v>
          </cell>
          <cell r="H215">
            <v>91.606958755885913</v>
          </cell>
          <cell r="I215">
            <v>91.656660167624622</v>
          </cell>
          <cell r="J215">
            <v>92.104391091555144</v>
          </cell>
          <cell r="K215">
            <v>91.925402731519725</v>
          </cell>
          <cell r="L215">
            <v>91.028371263839347</v>
          </cell>
          <cell r="M215">
            <v>91.028371263839333</v>
          </cell>
          <cell r="N215">
            <v>91.208057992742511</v>
          </cell>
          <cell r="O215">
            <v>92.640529959435966</v>
          </cell>
          <cell r="P215">
            <v>93.30897790644245</v>
          </cell>
          <cell r="Q215">
            <v>93.486910039814447</v>
          </cell>
          <cell r="R215">
            <v>94.108620270011627</v>
          </cell>
          <cell r="S215">
            <v>94.418866351023837</v>
          </cell>
          <cell r="T215">
            <v>94.418866351023837</v>
          </cell>
          <cell r="U215">
            <v>94.418866351023837</v>
          </cell>
          <cell r="V215">
            <v>94.418866351023837</v>
          </cell>
          <cell r="W215">
            <v>94.418866351023837</v>
          </cell>
          <cell r="X215">
            <v>94.418866351023837</v>
          </cell>
          <cell r="Y215">
            <v>94.418866351023837</v>
          </cell>
          <cell r="Z215">
            <v>94.418866351023837</v>
          </cell>
          <cell r="AA215">
            <v>94.418866351023837</v>
          </cell>
          <cell r="AB215">
            <v>94.418866351023837</v>
          </cell>
          <cell r="AC215">
            <v>94.418866351023837</v>
          </cell>
          <cell r="AD215">
            <v>94.418866351023837</v>
          </cell>
          <cell r="AE215">
            <v>94.418866351023837</v>
          </cell>
          <cell r="AF215">
            <v>94.418866351023837</v>
          </cell>
        </row>
        <row r="216">
          <cell r="A216" t="str">
            <v>California</v>
          </cell>
          <cell r="B216">
            <v>87.767908974417438</v>
          </cell>
          <cell r="C216">
            <v>87.947482602301406</v>
          </cell>
          <cell r="D216">
            <v>89.646806816033873</v>
          </cell>
          <cell r="E216">
            <v>90.406244249977362</v>
          </cell>
          <cell r="F216">
            <v>90.402012242893804</v>
          </cell>
          <cell r="G216">
            <v>90.490764998536207</v>
          </cell>
          <cell r="H216">
            <v>90.619001357668722</v>
          </cell>
          <cell r="I216">
            <v>90.668166752514225</v>
          </cell>
          <cell r="J216">
            <v>91.111069014029596</v>
          </cell>
          <cell r="K216">
            <v>90.934010997244172</v>
          </cell>
          <cell r="L216">
            <v>90.046653782338581</v>
          </cell>
          <cell r="M216">
            <v>90.046653782338609</v>
          </cell>
          <cell r="N216">
            <v>90.224402636263704</v>
          </cell>
          <cell r="O216">
            <v>91.641425762645824</v>
          </cell>
          <cell r="P216">
            <v>92.302664671130174</v>
          </cell>
          <cell r="Q216">
            <v>92.478677852383967</v>
          </cell>
          <cell r="R216">
            <v>93.09368309826759</v>
          </cell>
          <cell r="S216">
            <v>93.400583255398374</v>
          </cell>
          <cell r="T216">
            <v>93.400583255398374</v>
          </cell>
          <cell r="U216">
            <v>93.400583255398374</v>
          </cell>
          <cell r="V216">
            <v>93.400583255398374</v>
          </cell>
          <cell r="W216">
            <v>93.400583255398374</v>
          </cell>
          <cell r="X216">
            <v>93.400583255398374</v>
          </cell>
          <cell r="Y216">
            <v>93.400583255398374</v>
          </cell>
          <cell r="Z216">
            <v>93.400583255398374</v>
          </cell>
          <cell r="AA216">
            <v>93.400583255398374</v>
          </cell>
          <cell r="AB216">
            <v>93.400583255398374</v>
          </cell>
          <cell r="AC216">
            <v>93.400583255398374</v>
          </cell>
          <cell r="AD216">
            <v>93.400583255398374</v>
          </cell>
          <cell r="AE216">
            <v>93.400583255398374</v>
          </cell>
          <cell r="AF216">
            <v>93.400583255398374</v>
          </cell>
        </row>
        <row r="217">
          <cell r="A217" t="str">
            <v>Colorado</v>
          </cell>
          <cell r="B217">
            <v>85.364359107623969</v>
          </cell>
          <cell r="C217">
            <v>85.539015059167866</v>
          </cell>
          <cell r="D217">
            <v>87.191802782111395</v>
          </cell>
          <cell r="E217">
            <v>87.93044279972672</v>
          </cell>
          <cell r="F217">
            <v>87.926326687395303</v>
          </cell>
          <cell r="G217">
            <v>88.012648922856755</v>
          </cell>
          <cell r="H217">
            <v>88.137373491774525</v>
          </cell>
          <cell r="I217">
            <v>88.185192477897118</v>
          </cell>
          <cell r="J217">
            <v>88.615965731394567</v>
          </cell>
          <cell r="K217">
            <v>88.443756500203236</v>
          </cell>
          <cell r="L217">
            <v>87.580699822254786</v>
          </cell>
          <cell r="M217">
            <v>87.580699822254772</v>
          </cell>
          <cell r="N217">
            <v>87.753580971808631</v>
          </cell>
          <cell r="O217">
            <v>89.131798505275782</v>
          </cell>
          <cell r="P217">
            <v>89.77492919278302</v>
          </cell>
          <cell r="Q217">
            <v>89.94612220156948</v>
          </cell>
          <cell r="R217">
            <v>90.544285348853577</v>
          </cell>
          <cell r="S217">
            <v>90.842780955387099</v>
          </cell>
          <cell r="T217">
            <v>90.842780955387099</v>
          </cell>
          <cell r="U217">
            <v>90.842780955387099</v>
          </cell>
          <cell r="V217">
            <v>90.842780955387099</v>
          </cell>
          <cell r="W217">
            <v>90.842780955387099</v>
          </cell>
          <cell r="X217">
            <v>90.842780955387099</v>
          </cell>
          <cell r="Y217">
            <v>90.842780955387099</v>
          </cell>
          <cell r="Z217">
            <v>90.842780955387099</v>
          </cell>
          <cell r="AA217">
            <v>90.842780955387099</v>
          </cell>
          <cell r="AB217">
            <v>90.842780955387099</v>
          </cell>
          <cell r="AC217">
            <v>90.842780955387099</v>
          </cell>
          <cell r="AD217">
            <v>90.842780955387099</v>
          </cell>
          <cell r="AE217">
            <v>90.842780955387099</v>
          </cell>
          <cell r="AF217">
            <v>90.842780955387099</v>
          </cell>
        </row>
        <row r="218">
          <cell r="A218" t="str">
            <v>Connecticut</v>
          </cell>
          <cell r="B218">
            <v>88.125654006065119</v>
          </cell>
          <cell r="C218">
            <v>88.305959582265274</v>
          </cell>
          <cell r="D218">
            <v>90.012210300248867</v>
          </cell>
          <cell r="E218">
            <v>90.774743227431472</v>
          </cell>
          <cell r="F218">
            <v>90.770493970540642</v>
          </cell>
          <cell r="G218">
            <v>90.859608485483761</v>
          </cell>
          <cell r="H218">
            <v>90.988367540450056</v>
          </cell>
          <cell r="I218">
            <v>91.037733335144864</v>
          </cell>
          <cell r="J218">
            <v>91.482440881592055</v>
          </cell>
          <cell r="K218">
            <v>91.30466117020822</v>
          </cell>
          <cell r="L218">
            <v>90.413687056613341</v>
          </cell>
          <cell r="M218">
            <v>90.413687056613341</v>
          </cell>
          <cell r="N218">
            <v>90.59216042101292</v>
          </cell>
          <cell r="O218">
            <v>92.014959382653231</v>
          </cell>
          <cell r="P218">
            <v>92.678893523791615</v>
          </cell>
          <cell r="Q218">
            <v>92.855624140858012</v>
          </cell>
          <cell r="R218">
            <v>93.47313616938834</v>
          </cell>
          <cell r="S218">
            <v>93.781287262170935</v>
          </cell>
          <cell r="T218">
            <v>93.781287262170935</v>
          </cell>
          <cell r="U218">
            <v>93.781287262170935</v>
          </cell>
          <cell r="V218">
            <v>93.781287262170935</v>
          </cell>
          <cell r="W218">
            <v>93.781287262170935</v>
          </cell>
          <cell r="X218">
            <v>93.781287262170935</v>
          </cell>
          <cell r="Y218">
            <v>93.781287262170935</v>
          </cell>
          <cell r="Z218">
            <v>93.781287262170935</v>
          </cell>
          <cell r="AA218">
            <v>93.781287262170935</v>
          </cell>
          <cell r="AB218">
            <v>93.781287262170935</v>
          </cell>
          <cell r="AC218">
            <v>93.781287262170935</v>
          </cell>
          <cell r="AD218">
            <v>93.781287262170935</v>
          </cell>
          <cell r="AE218">
            <v>93.781287262170935</v>
          </cell>
          <cell r="AF218">
            <v>93.781287262170935</v>
          </cell>
        </row>
        <row r="219">
          <cell r="A219" t="str">
            <v>Delaware</v>
          </cell>
          <cell r="B219">
            <v>88.125654006065133</v>
          </cell>
          <cell r="C219">
            <v>88.305959582265288</v>
          </cell>
          <cell r="D219">
            <v>90.012210300248881</v>
          </cell>
          <cell r="E219">
            <v>90.774743227431458</v>
          </cell>
          <cell r="F219">
            <v>90.770493970540656</v>
          </cell>
          <cell r="G219">
            <v>90.859608485483761</v>
          </cell>
          <cell r="H219">
            <v>90.988367540450056</v>
          </cell>
          <cell r="I219">
            <v>91.037733335144864</v>
          </cell>
          <cell r="J219">
            <v>91.482440881592041</v>
          </cell>
          <cell r="K219">
            <v>91.304661170208234</v>
          </cell>
          <cell r="L219">
            <v>90.413687056613341</v>
          </cell>
          <cell r="M219">
            <v>90.413687056613341</v>
          </cell>
          <cell r="N219">
            <v>90.59216042101292</v>
          </cell>
          <cell r="O219">
            <v>92.014959382653259</v>
          </cell>
          <cell r="P219">
            <v>92.678893523791601</v>
          </cell>
          <cell r="Q219">
            <v>92.855624140858026</v>
          </cell>
          <cell r="R219">
            <v>93.473136169388326</v>
          </cell>
          <cell r="S219">
            <v>93.781287262170935</v>
          </cell>
          <cell r="T219">
            <v>93.781287262170935</v>
          </cell>
          <cell r="U219">
            <v>93.781287262170935</v>
          </cell>
          <cell r="V219">
            <v>93.781287262170935</v>
          </cell>
          <cell r="W219">
            <v>93.781287262170935</v>
          </cell>
          <cell r="X219">
            <v>93.781287262170935</v>
          </cell>
          <cell r="Y219">
            <v>93.781287262170935</v>
          </cell>
          <cell r="Z219">
            <v>93.781287262170935</v>
          </cell>
          <cell r="AA219">
            <v>93.781287262170935</v>
          </cell>
          <cell r="AB219">
            <v>93.781287262170935</v>
          </cell>
          <cell r="AC219">
            <v>93.781287262170935</v>
          </cell>
          <cell r="AD219">
            <v>93.781287262170935</v>
          </cell>
          <cell r="AE219">
            <v>93.781287262170935</v>
          </cell>
          <cell r="AF219">
            <v>93.781287262170935</v>
          </cell>
        </row>
        <row r="220">
          <cell r="A220" t="str">
            <v>Florida</v>
          </cell>
          <cell r="B220">
            <v>88.857829555935524</v>
          </cell>
          <cell r="C220">
            <v>89.039633167365992</v>
          </cell>
          <cell r="D220">
            <v>90.760059951011158</v>
          </cell>
          <cell r="E220">
            <v>91.528928240711622</v>
          </cell>
          <cell r="F220">
            <v>91.524643679662958</v>
          </cell>
          <cell r="G220">
            <v>91.614498585922476</v>
          </cell>
          <cell r="H220">
            <v>91.744327411467282</v>
          </cell>
          <cell r="I220">
            <v>91.794103352654474</v>
          </cell>
          <cell r="J220">
            <v>92.242505668757815</v>
          </cell>
          <cell r="K220">
            <v>92.063248907820096</v>
          </cell>
          <cell r="L220">
            <v>91.164872302080312</v>
          </cell>
          <cell r="M220">
            <v>91.164872302080312</v>
          </cell>
          <cell r="N220">
            <v>91.344828479120466</v>
          </cell>
          <cell r="O220">
            <v>92.779448500403873</v>
          </cell>
          <cell r="P220">
            <v>93.448898814447276</v>
          </cell>
          <cell r="Q220">
            <v>93.627097764863251</v>
          </cell>
          <cell r="R220">
            <v>94.249740276839475</v>
          </cell>
          <cell r="S220">
            <v>94.560451585467874</v>
          </cell>
          <cell r="T220">
            <v>94.560451585467874</v>
          </cell>
          <cell r="U220">
            <v>94.560451585467874</v>
          </cell>
          <cell r="V220">
            <v>94.560451585467874</v>
          </cell>
          <cell r="W220">
            <v>94.560451585467874</v>
          </cell>
          <cell r="X220">
            <v>94.560451585467874</v>
          </cell>
          <cell r="Y220">
            <v>94.560451585467874</v>
          </cell>
          <cell r="Z220">
            <v>94.560451585467874</v>
          </cell>
          <cell r="AA220">
            <v>94.560451585467874</v>
          </cell>
          <cell r="AB220">
            <v>94.560451585467874</v>
          </cell>
          <cell r="AC220">
            <v>94.560451585467874</v>
          </cell>
          <cell r="AD220">
            <v>94.560451585467874</v>
          </cell>
          <cell r="AE220">
            <v>94.560451585467874</v>
          </cell>
          <cell r="AF220">
            <v>94.560451585467874</v>
          </cell>
        </row>
        <row r="221">
          <cell r="A221" t="str">
            <v>Georgia</v>
          </cell>
          <cell r="B221">
            <v>88.857829555935524</v>
          </cell>
          <cell r="C221">
            <v>89.039633167365992</v>
          </cell>
          <cell r="D221">
            <v>90.760059951011144</v>
          </cell>
          <cell r="E221">
            <v>91.528928240711593</v>
          </cell>
          <cell r="F221">
            <v>91.524643679662972</v>
          </cell>
          <cell r="G221">
            <v>91.61449858592249</v>
          </cell>
          <cell r="H221">
            <v>91.74432741146731</v>
          </cell>
          <cell r="I221">
            <v>91.79410335265446</v>
          </cell>
          <cell r="J221">
            <v>92.242505668757815</v>
          </cell>
          <cell r="K221">
            <v>92.063248907820096</v>
          </cell>
          <cell r="L221">
            <v>91.164872302080326</v>
          </cell>
          <cell r="M221">
            <v>91.164872302080298</v>
          </cell>
          <cell r="N221">
            <v>91.344828479120437</v>
          </cell>
          <cell r="O221">
            <v>92.779448500403873</v>
          </cell>
          <cell r="P221">
            <v>93.44889881444729</v>
          </cell>
          <cell r="Q221">
            <v>93.627097764863237</v>
          </cell>
          <cell r="R221">
            <v>94.249740276839503</v>
          </cell>
          <cell r="S221">
            <v>94.56045158546786</v>
          </cell>
          <cell r="T221">
            <v>94.56045158546786</v>
          </cell>
          <cell r="U221">
            <v>94.56045158546786</v>
          </cell>
          <cell r="V221">
            <v>94.56045158546786</v>
          </cell>
          <cell r="W221">
            <v>94.56045158546786</v>
          </cell>
          <cell r="X221">
            <v>94.56045158546786</v>
          </cell>
          <cell r="Y221">
            <v>94.56045158546786</v>
          </cell>
          <cell r="Z221">
            <v>94.56045158546786</v>
          </cell>
          <cell r="AA221">
            <v>94.56045158546786</v>
          </cell>
          <cell r="AB221">
            <v>94.56045158546786</v>
          </cell>
          <cell r="AC221">
            <v>94.56045158546786</v>
          </cell>
          <cell r="AD221">
            <v>94.56045158546786</v>
          </cell>
          <cell r="AE221">
            <v>94.56045158546786</v>
          </cell>
          <cell r="AF221">
            <v>94.56045158546786</v>
          </cell>
        </row>
        <row r="222">
          <cell r="A222" t="str">
            <v>Hawaii</v>
          </cell>
          <cell r="B222">
            <v>101.49401708739363</v>
          </cell>
          <cell r="C222">
            <v>101.70167440850187</v>
          </cell>
          <cell r="D222">
            <v>103.666757578432</v>
          </cell>
          <cell r="E222">
            <v>104.54496416667298</v>
          </cell>
          <cell r="F222">
            <v>104.54007031191128</v>
          </cell>
          <cell r="G222">
            <v>104.64270319678894</v>
          </cell>
          <cell r="H222">
            <v>104.79099456406779</v>
          </cell>
          <cell r="I222">
            <v>104.84784898253194</v>
          </cell>
          <cell r="J222">
            <v>105.36001715679475</v>
          </cell>
          <cell r="K222">
            <v>105.15526886563613</v>
          </cell>
          <cell r="L222">
            <v>104.12913699825272</v>
          </cell>
          <cell r="M222">
            <v>104.12913699825273</v>
          </cell>
          <cell r="N222">
            <v>104.33468416723909</v>
          </cell>
          <cell r="O222">
            <v>105.97331690992159</v>
          </cell>
          <cell r="P222">
            <v>106.73796761039711</v>
          </cell>
          <cell r="Q222">
            <v>106.94150766318548</v>
          </cell>
          <cell r="R222">
            <v>107.65269417388092</v>
          </cell>
          <cell r="S222">
            <v>108.00759074320713</v>
          </cell>
          <cell r="T222">
            <v>108.00759074320713</v>
          </cell>
          <cell r="U222">
            <v>108.00759074320713</v>
          </cell>
          <cell r="V222">
            <v>108.00759074320713</v>
          </cell>
          <cell r="W222">
            <v>108.00759074320713</v>
          </cell>
          <cell r="X222">
            <v>108.00759074320713</v>
          </cell>
          <cell r="Y222">
            <v>108.00759074320713</v>
          </cell>
          <cell r="Z222">
            <v>108.00759074320713</v>
          </cell>
          <cell r="AA222">
            <v>108.00759074320713</v>
          </cell>
          <cell r="AB222">
            <v>108.00759074320713</v>
          </cell>
          <cell r="AC222">
            <v>108.00759074320713</v>
          </cell>
          <cell r="AD222">
            <v>108.00759074320713</v>
          </cell>
          <cell r="AE222">
            <v>108.00759074320713</v>
          </cell>
          <cell r="AF222">
            <v>108.00759074320713</v>
          </cell>
        </row>
        <row r="223">
          <cell r="A223" t="str">
            <v>Idaho</v>
          </cell>
          <cell r="B223">
            <v>101.49401708739363</v>
          </cell>
          <cell r="C223">
            <v>101.70167440850189</v>
          </cell>
          <cell r="D223">
            <v>103.666757578432</v>
          </cell>
          <cell r="E223">
            <v>104.54496416667297</v>
          </cell>
          <cell r="F223">
            <v>104.54007031191126</v>
          </cell>
          <cell r="G223">
            <v>104.64270319678896</v>
          </cell>
          <cell r="H223">
            <v>104.79099456406779</v>
          </cell>
          <cell r="I223">
            <v>104.84784898253196</v>
          </cell>
          <cell r="J223">
            <v>105.36001715679475</v>
          </cell>
          <cell r="K223">
            <v>105.15526886563612</v>
          </cell>
          <cell r="L223">
            <v>104.12913699825275</v>
          </cell>
          <cell r="M223">
            <v>104.12913699825275</v>
          </cell>
          <cell r="N223">
            <v>104.3346841672391</v>
          </cell>
          <cell r="O223">
            <v>105.97331690992159</v>
          </cell>
          <cell r="P223">
            <v>106.73796761039709</v>
          </cell>
          <cell r="Q223">
            <v>106.94150766318546</v>
          </cell>
          <cell r="R223">
            <v>107.65269417388089</v>
          </cell>
          <cell r="S223">
            <v>108.00759074320712</v>
          </cell>
          <cell r="T223">
            <v>108.00759074320712</v>
          </cell>
          <cell r="U223">
            <v>108.00759074320712</v>
          </cell>
          <cell r="V223">
            <v>108.00759074320712</v>
          </cell>
          <cell r="W223">
            <v>108.00759074320712</v>
          </cell>
          <cell r="X223">
            <v>108.00759074320712</v>
          </cell>
          <cell r="Y223">
            <v>108.00759074320712</v>
          </cell>
          <cell r="Z223">
            <v>108.00759074320712</v>
          </cell>
          <cell r="AA223">
            <v>108.00759074320712</v>
          </cell>
          <cell r="AB223">
            <v>108.00759074320712</v>
          </cell>
          <cell r="AC223">
            <v>108.00759074320712</v>
          </cell>
          <cell r="AD223">
            <v>108.00759074320712</v>
          </cell>
          <cell r="AE223">
            <v>108.00759074320712</v>
          </cell>
          <cell r="AF223">
            <v>108.00759074320712</v>
          </cell>
        </row>
        <row r="224">
          <cell r="A224" t="str">
            <v>Illinois</v>
          </cell>
          <cell r="B224">
            <v>88.139908545264788</v>
          </cell>
          <cell r="C224">
            <v>88.320243286331078</v>
          </cell>
          <cell r="D224">
            <v>90.026769994524528</v>
          </cell>
          <cell r="E224">
            <v>90.78942626326554</v>
          </cell>
          <cell r="F224">
            <v>90.785176319047082</v>
          </cell>
          <cell r="G224">
            <v>90.87430524848007</v>
          </cell>
          <cell r="H224">
            <v>91.00308513053713</v>
          </cell>
          <cell r="I224">
            <v>91.052458910269465</v>
          </cell>
          <cell r="J224">
            <v>91.497238389245553</v>
          </cell>
          <cell r="K224">
            <v>91.319429921560371</v>
          </cell>
          <cell r="L224">
            <v>90.428311690732329</v>
          </cell>
          <cell r="M224">
            <v>90.428311690732301</v>
          </cell>
          <cell r="N224">
            <v>90.606813923633311</v>
          </cell>
          <cell r="O224">
            <v>92.029843026471468</v>
          </cell>
          <cell r="P224">
            <v>92.693884560574418</v>
          </cell>
          <cell r="Q224">
            <v>92.870643764248612</v>
          </cell>
          <cell r="R224">
            <v>93.488255676853726</v>
          </cell>
          <cell r="S224">
            <v>93.79645661382628</v>
          </cell>
          <cell r="T224">
            <v>93.79645661382628</v>
          </cell>
          <cell r="U224">
            <v>93.79645661382628</v>
          </cell>
          <cell r="V224">
            <v>93.79645661382628</v>
          </cell>
          <cell r="W224">
            <v>93.79645661382628</v>
          </cell>
          <cell r="X224">
            <v>93.79645661382628</v>
          </cell>
          <cell r="Y224">
            <v>93.79645661382628</v>
          </cell>
          <cell r="Z224">
            <v>93.79645661382628</v>
          </cell>
          <cell r="AA224">
            <v>93.79645661382628</v>
          </cell>
          <cell r="AB224">
            <v>93.79645661382628</v>
          </cell>
          <cell r="AC224">
            <v>93.79645661382628</v>
          </cell>
          <cell r="AD224">
            <v>93.79645661382628</v>
          </cell>
          <cell r="AE224">
            <v>93.79645661382628</v>
          </cell>
          <cell r="AF224">
            <v>93.79645661382628</v>
          </cell>
        </row>
        <row r="225">
          <cell r="A225" t="str">
            <v>Indiana</v>
          </cell>
          <cell r="B225">
            <v>88.13990854526476</v>
          </cell>
          <cell r="C225">
            <v>88.320243286331078</v>
          </cell>
          <cell r="D225">
            <v>90.026769994524528</v>
          </cell>
          <cell r="E225">
            <v>90.789426263265526</v>
          </cell>
          <cell r="F225">
            <v>90.785176319047082</v>
          </cell>
          <cell r="G225">
            <v>90.874305248480056</v>
          </cell>
          <cell r="H225">
            <v>91.003085130537144</v>
          </cell>
          <cell r="I225">
            <v>91.052458910269493</v>
          </cell>
          <cell r="J225">
            <v>91.497238389245524</v>
          </cell>
          <cell r="K225">
            <v>91.319429921560356</v>
          </cell>
          <cell r="L225">
            <v>90.428311690732315</v>
          </cell>
          <cell r="M225">
            <v>90.428311690732315</v>
          </cell>
          <cell r="N225">
            <v>90.606813923633311</v>
          </cell>
          <cell r="O225">
            <v>92.029843026471468</v>
          </cell>
          <cell r="P225">
            <v>92.693884560574404</v>
          </cell>
          <cell r="Q225">
            <v>92.870643764248612</v>
          </cell>
          <cell r="R225">
            <v>93.488255676853726</v>
          </cell>
          <cell r="S225">
            <v>93.79645661382628</v>
          </cell>
          <cell r="T225">
            <v>93.79645661382628</v>
          </cell>
          <cell r="U225">
            <v>93.79645661382628</v>
          </cell>
          <cell r="V225">
            <v>93.79645661382628</v>
          </cell>
          <cell r="W225">
            <v>93.79645661382628</v>
          </cell>
          <cell r="X225">
            <v>93.79645661382628</v>
          </cell>
          <cell r="Y225">
            <v>93.79645661382628</v>
          </cell>
          <cell r="Z225">
            <v>93.79645661382628</v>
          </cell>
          <cell r="AA225">
            <v>93.79645661382628</v>
          </cell>
          <cell r="AB225">
            <v>93.79645661382628</v>
          </cell>
          <cell r="AC225">
            <v>93.79645661382628</v>
          </cell>
          <cell r="AD225">
            <v>93.79645661382628</v>
          </cell>
          <cell r="AE225">
            <v>93.79645661382628</v>
          </cell>
          <cell r="AF225">
            <v>93.79645661382628</v>
          </cell>
        </row>
        <row r="226">
          <cell r="A226" t="str">
            <v>Iowa</v>
          </cell>
          <cell r="B226">
            <v>88.13990854526476</v>
          </cell>
          <cell r="C226">
            <v>88.320243286331078</v>
          </cell>
          <cell r="D226">
            <v>90.026769994524528</v>
          </cell>
          <cell r="E226">
            <v>90.78942626326554</v>
          </cell>
          <cell r="F226">
            <v>90.785176319047096</v>
          </cell>
          <cell r="G226">
            <v>90.874305248480056</v>
          </cell>
          <cell r="H226">
            <v>91.00308513053713</v>
          </cell>
          <cell r="I226">
            <v>91.052458910269479</v>
          </cell>
          <cell r="J226">
            <v>91.497238389245553</v>
          </cell>
          <cell r="K226">
            <v>91.319429921560371</v>
          </cell>
          <cell r="L226">
            <v>90.428311690732315</v>
          </cell>
          <cell r="M226">
            <v>90.428311690732301</v>
          </cell>
          <cell r="N226">
            <v>90.606813923633325</v>
          </cell>
          <cell r="O226">
            <v>92.029843026471454</v>
          </cell>
          <cell r="P226">
            <v>92.693884560574446</v>
          </cell>
          <cell r="Q226">
            <v>92.870643764248626</v>
          </cell>
          <cell r="R226">
            <v>93.488255676853726</v>
          </cell>
          <cell r="S226">
            <v>93.79645661382628</v>
          </cell>
          <cell r="T226">
            <v>93.79645661382628</v>
          </cell>
          <cell r="U226">
            <v>93.79645661382628</v>
          </cell>
          <cell r="V226">
            <v>93.79645661382628</v>
          </cell>
          <cell r="W226">
            <v>93.79645661382628</v>
          </cell>
          <cell r="X226">
            <v>93.79645661382628</v>
          </cell>
          <cell r="Y226">
            <v>93.79645661382628</v>
          </cell>
          <cell r="Z226">
            <v>93.79645661382628</v>
          </cell>
          <cell r="AA226">
            <v>93.79645661382628</v>
          </cell>
          <cell r="AB226">
            <v>93.79645661382628</v>
          </cell>
          <cell r="AC226">
            <v>93.79645661382628</v>
          </cell>
          <cell r="AD226">
            <v>93.79645661382628</v>
          </cell>
          <cell r="AE226">
            <v>93.79645661382628</v>
          </cell>
          <cell r="AF226">
            <v>93.79645661382628</v>
          </cell>
        </row>
        <row r="227">
          <cell r="A227" t="str">
            <v>Kansas</v>
          </cell>
          <cell r="B227">
            <v>85.364359107623983</v>
          </cell>
          <cell r="C227">
            <v>85.539015059167852</v>
          </cell>
          <cell r="D227">
            <v>87.191802782111395</v>
          </cell>
          <cell r="E227">
            <v>87.93044279972672</v>
          </cell>
          <cell r="F227">
            <v>87.926326687395317</v>
          </cell>
          <cell r="G227">
            <v>88.012648922856755</v>
          </cell>
          <cell r="H227">
            <v>88.137373491774497</v>
          </cell>
          <cell r="I227">
            <v>88.185192477897118</v>
          </cell>
          <cell r="J227">
            <v>88.615965731394553</v>
          </cell>
          <cell r="K227">
            <v>88.44375650020325</v>
          </cell>
          <cell r="L227">
            <v>87.580699822254786</v>
          </cell>
          <cell r="M227">
            <v>87.580699822254758</v>
          </cell>
          <cell r="N227">
            <v>87.753580971808645</v>
          </cell>
          <cell r="O227">
            <v>89.131798505275782</v>
          </cell>
          <cell r="P227">
            <v>89.774929192783034</v>
          </cell>
          <cell r="Q227">
            <v>89.94612220156948</v>
          </cell>
          <cell r="R227">
            <v>90.544285348853577</v>
          </cell>
          <cell r="S227">
            <v>90.842780955387099</v>
          </cell>
          <cell r="T227">
            <v>90.842780955387099</v>
          </cell>
          <cell r="U227">
            <v>90.842780955387099</v>
          </cell>
          <cell r="V227">
            <v>90.842780955387099</v>
          </cell>
          <cell r="W227">
            <v>90.842780955387099</v>
          </cell>
          <cell r="X227">
            <v>90.842780955387099</v>
          </cell>
          <cell r="Y227">
            <v>90.842780955387099</v>
          </cell>
          <cell r="Z227">
            <v>90.842780955387099</v>
          </cell>
          <cell r="AA227">
            <v>90.842780955387099</v>
          </cell>
          <cell r="AB227">
            <v>90.842780955387099</v>
          </cell>
          <cell r="AC227">
            <v>90.842780955387099</v>
          </cell>
          <cell r="AD227">
            <v>90.842780955387099</v>
          </cell>
          <cell r="AE227">
            <v>90.842780955387099</v>
          </cell>
          <cell r="AF227">
            <v>90.842780955387099</v>
          </cell>
        </row>
        <row r="228">
          <cell r="A228" t="str">
            <v>Kentucky</v>
          </cell>
          <cell r="B228">
            <v>88.857829555935496</v>
          </cell>
          <cell r="C228">
            <v>89.039633167366006</v>
          </cell>
          <cell r="D228">
            <v>90.760059951011144</v>
          </cell>
          <cell r="E228">
            <v>91.528928240711622</v>
          </cell>
          <cell r="F228">
            <v>91.524643679662958</v>
          </cell>
          <cell r="G228">
            <v>91.61449858592249</v>
          </cell>
          <cell r="H228">
            <v>91.744327411467296</v>
          </cell>
          <cell r="I228">
            <v>91.794103352654489</v>
          </cell>
          <cell r="J228">
            <v>92.242505668757801</v>
          </cell>
          <cell r="K228">
            <v>92.063248907820096</v>
          </cell>
          <cell r="L228">
            <v>91.164872302080283</v>
          </cell>
          <cell r="M228">
            <v>91.164872302080326</v>
          </cell>
          <cell r="N228">
            <v>91.344828479120451</v>
          </cell>
          <cell r="O228">
            <v>92.779448500403873</v>
          </cell>
          <cell r="P228">
            <v>93.448898814447261</v>
          </cell>
          <cell r="Q228">
            <v>93.627097764863251</v>
          </cell>
          <cell r="R228">
            <v>94.249740276839489</v>
          </cell>
          <cell r="S228">
            <v>94.56045158546786</v>
          </cell>
          <cell r="T228">
            <v>94.56045158546786</v>
          </cell>
          <cell r="U228">
            <v>94.56045158546786</v>
          </cell>
          <cell r="V228">
            <v>94.56045158546786</v>
          </cell>
          <cell r="W228">
            <v>94.56045158546786</v>
          </cell>
          <cell r="X228">
            <v>94.56045158546786</v>
          </cell>
          <cell r="Y228">
            <v>94.56045158546786</v>
          </cell>
          <cell r="Z228">
            <v>94.56045158546786</v>
          </cell>
          <cell r="AA228">
            <v>94.56045158546786</v>
          </cell>
          <cell r="AB228">
            <v>94.56045158546786</v>
          </cell>
          <cell r="AC228">
            <v>94.56045158546786</v>
          </cell>
          <cell r="AD228">
            <v>94.56045158546786</v>
          </cell>
          <cell r="AE228">
            <v>94.56045158546786</v>
          </cell>
          <cell r="AF228">
            <v>94.56045158546786</v>
          </cell>
        </row>
        <row r="229">
          <cell r="A229" t="str">
            <v>Louisiana</v>
          </cell>
          <cell r="B229">
            <v>88.724782849633613</v>
          </cell>
          <cell r="C229">
            <v>88.906314246766129</v>
          </cell>
          <cell r="D229">
            <v>90.624165037748099</v>
          </cell>
          <cell r="E229">
            <v>91.391882102013142</v>
          </cell>
          <cell r="F229">
            <v>91.3876039562318</v>
          </cell>
          <cell r="G229">
            <v>91.477324322863495</v>
          </cell>
          <cell r="H229">
            <v>91.606958755885898</v>
          </cell>
          <cell r="I229">
            <v>91.656660167624622</v>
          </cell>
          <cell r="J229">
            <v>92.104391091555144</v>
          </cell>
          <cell r="K229">
            <v>91.925402731519696</v>
          </cell>
          <cell r="L229">
            <v>91.028371263839333</v>
          </cell>
          <cell r="M229">
            <v>91.028371263839347</v>
          </cell>
          <cell r="N229">
            <v>91.208057992742496</v>
          </cell>
          <cell r="O229">
            <v>92.64052995943598</v>
          </cell>
          <cell r="P229">
            <v>93.308977906442479</v>
          </cell>
          <cell r="Q229">
            <v>93.486910039814447</v>
          </cell>
          <cell r="R229">
            <v>94.108620270011642</v>
          </cell>
          <cell r="S229">
            <v>94.418866351023823</v>
          </cell>
          <cell r="T229">
            <v>94.418866351023823</v>
          </cell>
          <cell r="U229">
            <v>94.418866351023823</v>
          </cell>
          <cell r="V229">
            <v>94.418866351023823</v>
          </cell>
          <cell r="W229">
            <v>94.418866351023823</v>
          </cell>
          <cell r="X229">
            <v>94.418866351023823</v>
          </cell>
          <cell r="Y229">
            <v>94.418866351023823</v>
          </cell>
          <cell r="Z229">
            <v>94.418866351023823</v>
          </cell>
          <cell r="AA229">
            <v>94.418866351023823</v>
          </cell>
          <cell r="AB229">
            <v>94.418866351023823</v>
          </cell>
          <cell r="AC229">
            <v>94.418866351023823</v>
          </cell>
          <cell r="AD229">
            <v>94.418866351023823</v>
          </cell>
          <cell r="AE229">
            <v>94.418866351023823</v>
          </cell>
          <cell r="AF229">
            <v>94.418866351023823</v>
          </cell>
        </row>
        <row r="230">
          <cell r="A230" t="str">
            <v>Maine</v>
          </cell>
          <cell r="B230">
            <v>88.125654006065133</v>
          </cell>
          <cell r="C230">
            <v>88.305959582265274</v>
          </cell>
          <cell r="D230">
            <v>90.012210300248867</v>
          </cell>
          <cell r="E230">
            <v>90.774743227431458</v>
          </cell>
          <cell r="F230">
            <v>90.770493970540656</v>
          </cell>
          <cell r="G230">
            <v>90.859608485483776</v>
          </cell>
          <cell r="H230">
            <v>90.988367540450071</v>
          </cell>
          <cell r="I230">
            <v>91.037733335144864</v>
          </cell>
          <cell r="J230">
            <v>91.482440881592041</v>
          </cell>
          <cell r="K230">
            <v>91.304661170208234</v>
          </cell>
          <cell r="L230">
            <v>90.413687056613327</v>
          </cell>
          <cell r="M230">
            <v>90.413687056613355</v>
          </cell>
          <cell r="N230">
            <v>90.59216042101292</v>
          </cell>
          <cell r="O230">
            <v>92.014959382653245</v>
          </cell>
          <cell r="P230">
            <v>92.678893523791629</v>
          </cell>
          <cell r="Q230">
            <v>92.855624140858012</v>
          </cell>
          <cell r="R230">
            <v>93.473136169388326</v>
          </cell>
          <cell r="S230">
            <v>93.781287262170949</v>
          </cell>
          <cell r="T230">
            <v>93.781287262170949</v>
          </cell>
          <cell r="U230">
            <v>93.781287262170949</v>
          </cell>
          <cell r="V230">
            <v>93.781287262170949</v>
          </cell>
          <cell r="W230">
            <v>93.781287262170949</v>
          </cell>
          <cell r="X230">
            <v>93.781287262170949</v>
          </cell>
          <cell r="Y230">
            <v>93.781287262170949</v>
          </cell>
          <cell r="Z230">
            <v>93.781287262170949</v>
          </cell>
          <cell r="AA230">
            <v>93.781287262170949</v>
          </cell>
          <cell r="AB230">
            <v>93.781287262170949</v>
          </cell>
          <cell r="AC230">
            <v>93.781287262170949</v>
          </cell>
          <cell r="AD230">
            <v>93.781287262170949</v>
          </cell>
          <cell r="AE230">
            <v>93.781287262170949</v>
          </cell>
          <cell r="AF230">
            <v>93.781287262170949</v>
          </cell>
        </row>
        <row r="231">
          <cell r="A231" t="str">
            <v>Maryland</v>
          </cell>
          <cell r="B231">
            <v>88.125654006065119</v>
          </cell>
          <cell r="C231">
            <v>88.305959582265302</v>
          </cell>
          <cell r="D231">
            <v>90.012210300248881</v>
          </cell>
          <cell r="E231">
            <v>90.774743227431458</v>
          </cell>
          <cell r="F231">
            <v>90.770493970540656</v>
          </cell>
          <cell r="G231">
            <v>90.859608485483776</v>
          </cell>
          <cell r="H231">
            <v>90.988367540450071</v>
          </cell>
          <cell r="I231">
            <v>91.037733335144878</v>
          </cell>
          <cell r="J231">
            <v>91.482440881592041</v>
          </cell>
          <cell r="K231">
            <v>91.304661170208234</v>
          </cell>
          <cell r="L231">
            <v>90.413687056613355</v>
          </cell>
          <cell r="M231">
            <v>90.413687056613341</v>
          </cell>
          <cell r="N231">
            <v>90.59216042101292</v>
          </cell>
          <cell r="O231">
            <v>92.014959382653259</v>
          </cell>
          <cell r="P231">
            <v>92.678893523791615</v>
          </cell>
          <cell r="Q231">
            <v>92.855624140857998</v>
          </cell>
          <cell r="R231">
            <v>93.473136169388326</v>
          </cell>
          <cell r="S231">
            <v>93.781287262170935</v>
          </cell>
          <cell r="T231">
            <v>93.781287262170935</v>
          </cell>
          <cell r="U231">
            <v>93.781287262170935</v>
          </cell>
          <cell r="V231">
            <v>93.781287262170935</v>
          </cell>
          <cell r="W231">
            <v>93.781287262170935</v>
          </cell>
          <cell r="X231">
            <v>93.781287262170935</v>
          </cell>
          <cell r="Y231">
            <v>93.781287262170935</v>
          </cell>
          <cell r="Z231">
            <v>93.781287262170935</v>
          </cell>
          <cell r="AA231">
            <v>93.781287262170935</v>
          </cell>
          <cell r="AB231">
            <v>93.781287262170935</v>
          </cell>
          <cell r="AC231">
            <v>93.781287262170935</v>
          </cell>
          <cell r="AD231">
            <v>93.781287262170935</v>
          </cell>
          <cell r="AE231">
            <v>93.781287262170935</v>
          </cell>
          <cell r="AF231">
            <v>93.781287262170935</v>
          </cell>
        </row>
        <row r="232">
          <cell r="A232" t="str">
            <v>Massachusetts</v>
          </cell>
          <cell r="B232">
            <v>88.125654006065119</v>
          </cell>
          <cell r="C232">
            <v>88.305959582265288</v>
          </cell>
          <cell r="D232">
            <v>90.012210300248853</v>
          </cell>
          <cell r="E232">
            <v>90.774743227431458</v>
          </cell>
          <cell r="F232">
            <v>90.770493970540642</v>
          </cell>
          <cell r="G232">
            <v>90.859608485483761</v>
          </cell>
          <cell r="H232">
            <v>90.988367540450056</v>
          </cell>
          <cell r="I232">
            <v>91.037733335144864</v>
          </cell>
          <cell r="J232">
            <v>91.482440881592055</v>
          </cell>
          <cell r="K232">
            <v>91.30466117020822</v>
          </cell>
          <cell r="L232">
            <v>90.413687056613341</v>
          </cell>
          <cell r="M232">
            <v>90.413687056613327</v>
          </cell>
          <cell r="N232">
            <v>90.59216042101292</v>
          </cell>
          <cell r="O232">
            <v>92.014959382653245</v>
          </cell>
          <cell r="P232">
            <v>92.678893523791615</v>
          </cell>
          <cell r="Q232">
            <v>92.855624140858012</v>
          </cell>
          <cell r="R232">
            <v>93.473136169388326</v>
          </cell>
          <cell r="S232">
            <v>93.781287262170935</v>
          </cell>
          <cell r="T232">
            <v>93.781287262170935</v>
          </cell>
          <cell r="U232">
            <v>93.781287262170935</v>
          </cell>
          <cell r="V232">
            <v>93.781287262170935</v>
          </cell>
          <cell r="W232">
            <v>93.781287262170935</v>
          </cell>
          <cell r="X232">
            <v>93.781287262170935</v>
          </cell>
          <cell r="Y232">
            <v>93.781287262170935</v>
          </cell>
          <cell r="Z232">
            <v>93.781287262170935</v>
          </cell>
          <cell r="AA232">
            <v>93.781287262170935</v>
          </cell>
          <cell r="AB232">
            <v>93.781287262170935</v>
          </cell>
          <cell r="AC232">
            <v>93.781287262170935</v>
          </cell>
          <cell r="AD232">
            <v>93.781287262170935</v>
          </cell>
          <cell r="AE232">
            <v>93.781287262170935</v>
          </cell>
          <cell r="AF232">
            <v>93.781287262170935</v>
          </cell>
        </row>
        <row r="233">
          <cell r="A233" t="str">
            <v>Michigan</v>
          </cell>
          <cell r="B233">
            <v>88.139908545264774</v>
          </cell>
          <cell r="C233">
            <v>88.320243286331092</v>
          </cell>
          <cell r="D233">
            <v>90.026769994524543</v>
          </cell>
          <cell r="E233">
            <v>90.789426263265526</v>
          </cell>
          <cell r="F233">
            <v>90.785176319047096</v>
          </cell>
          <cell r="G233">
            <v>90.874305248480056</v>
          </cell>
          <cell r="H233">
            <v>91.00308513053713</v>
          </cell>
          <cell r="I233">
            <v>91.052458910269479</v>
          </cell>
          <cell r="J233">
            <v>91.497238389245567</v>
          </cell>
          <cell r="K233">
            <v>91.319429921560371</v>
          </cell>
          <cell r="L233">
            <v>90.428311690732301</v>
          </cell>
          <cell r="M233">
            <v>90.428311690732315</v>
          </cell>
          <cell r="N233">
            <v>90.606813923633325</v>
          </cell>
          <cell r="O233">
            <v>92.029843026471454</v>
          </cell>
          <cell r="P233">
            <v>92.693884560574418</v>
          </cell>
          <cell r="Q233">
            <v>92.870643764248612</v>
          </cell>
          <cell r="R233">
            <v>93.488255676853726</v>
          </cell>
          <cell r="S233">
            <v>93.79645661382628</v>
          </cell>
          <cell r="T233">
            <v>93.79645661382628</v>
          </cell>
          <cell r="U233">
            <v>93.79645661382628</v>
          </cell>
          <cell r="V233">
            <v>93.79645661382628</v>
          </cell>
          <cell r="W233">
            <v>93.79645661382628</v>
          </cell>
          <cell r="X233">
            <v>93.79645661382628</v>
          </cell>
          <cell r="Y233">
            <v>93.79645661382628</v>
          </cell>
          <cell r="Z233">
            <v>93.79645661382628</v>
          </cell>
          <cell r="AA233">
            <v>93.79645661382628</v>
          </cell>
          <cell r="AB233">
            <v>93.79645661382628</v>
          </cell>
          <cell r="AC233">
            <v>93.79645661382628</v>
          </cell>
          <cell r="AD233">
            <v>93.79645661382628</v>
          </cell>
          <cell r="AE233">
            <v>93.79645661382628</v>
          </cell>
          <cell r="AF233">
            <v>93.79645661382628</v>
          </cell>
        </row>
        <row r="234">
          <cell r="A234" t="str">
            <v>Minnesota</v>
          </cell>
          <cell r="B234">
            <v>88.139908545264774</v>
          </cell>
          <cell r="C234">
            <v>88.320243286331092</v>
          </cell>
          <cell r="D234">
            <v>90.026769994524528</v>
          </cell>
          <cell r="E234">
            <v>90.789426263265554</v>
          </cell>
          <cell r="F234">
            <v>90.785176319047068</v>
          </cell>
          <cell r="G234">
            <v>90.874305248480056</v>
          </cell>
          <cell r="H234">
            <v>91.00308513053713</v>
          </cell>
          <cell r="I234">
            <v>91.052458910269479</v>
          </cell>
          <cell r="J234">
            <v>91.497238389245538</v>
          </cell>
          <cell r="K234">
            <v>91.319429921560371</v>
          </cell>
          <cell r="L234">
            <v>90.428311690732315</v>
          </cell>
          <cell r="M234">
            <v>90.428311690732301</v>
          </cell>
          <cell r="N234">
            <v>90.606813923633325</v>
          </cell>
          <cell r="O234">
            <v>92.029843026471468</v>
          </cell>
          <cell r="P234">
            <v>92.693884560574418</v>
          </cell>
          <cell r="Q234">
            <v>92.870643764248598</v>
          </cell>
          <cell r="R234">
            <v>93.488255676853726</v>
          </cell>
          <cell r="S234">
            <v>93.79645661382628</v>
          </cell>
          <cell r="T234">
            <v>93.79645661382628</v>
          </cell>
          <cell r="U234">
            <v>93.79645661382628</v>
          </cell>
          <cell r="V234">
            <v>93.79645661382628</v>
          </cell>
          <cell r="W234">
            <v>93.79645661382628</v>
          </cell>
          <cell r="X234">
            <v>93.79645661382628</v>
          </cell>
          <cell r="Y234">
            <v>93.79645661382628</v>
          </cell>
          <cell r="Z234">
            <v>93.79645661382628</v>
          </cell>
          <cell r="AA234">
            <v>93.79645661382628</v>
          </cell>
          <cell r="AB234">
            <v>93.79645661382628</v>
          </cell>
          <cell r="AC234">
            <v>93.79645661382628</v>
          </cell>
          <cell r="AD234">
            <v>93.79645661382628</v>
          </cell>
          <cell r="AE234">
            <v>93.79645661382628</v>
          </cell>
          <cell r="AF234">
            <v>93.79645661382628</v>
          </cell>
        </row>
        <row r="235">
          <cell r="A235" t="str">
            <v>Mississippi</v>
          </cell>
          <cell r="B235">
            <v>88.85782955593551</v>
          </cell>
          <cell r="C235">
            <v>89.039633167365992</v>
          </cell>
          <cell r="D235">
            <v>90.760059951011158</v>
          </cell>
          <cell r="E235">
            <v>91.528928240711622</v>
          </cell>
          <cell r="F235">
            <v>91.524643679662958</v>
          </cell>
          <cell r="G235">
            <v>91.614498585922476</v>
          </cell>
          <cell r="H235">
            <v>91.744327411467282</v>
          </cell>
          <cell r="I235">
            <v>91.794103352654474</v>
          </cell>
          <cell r="J235">
            <v>92.242505668757815</v>
          </cell>
          <cell r="K235">
            <v>92.063248907820096</v>
          </cell>
          <cell r="L235">
            <v>91.164872302080326</v>
          </cell>
          <cell r="M235">
            <v>91.164872302080326</v>
          </cell>
          <cell r="N235">
            <v>91.344828479120451</v>
          </cell>
          <cell r="O235">
            <v>92.779448500403873</v>
          </cell>
          <cell r="P235">
            <v>93.448898814447276</v>
          </cell>
          <cell r="Q235">
            <v>93.627097764863237</v>
          </cell>
          <cell r="R235">
            <v>94.249740276839489</v>
          </cell>
          <cell r="S235">
            <v>94.56045158546786</v>
          </cell>
          <cell r="T235">
            <v>94.56045158546786</v>
          </cell>
          <cell r="U235">
            <v>94.56045158546786</v>
          </cell>
          <cell r="V235">
            <v>94.56045158546786</v>
          </cell>
          <cell r="W235">
            <v>94.56045158546786</v>
          </cell>
          <cell r="X235">
            <v>94.56045158546786</v>
          </cell>
          <cell r="Y235">
            <v>94.56045158546786</v>
          </cell>
          <cell r="Z235">
            <v>94.56045158546786</v>
          </cell>
          <cell r="AA235">
            <v>94.56045158546786</v>
          </cell>
          <cell r="AB235">
            <v>94.56045158546786</v>
          </cell>
          <cell r="AC235">
            <v>94.56045158546786</v>
          </cell>
          <cell r="AD235">
            <v>94.56045158546786</v>
          </cell>
          <cell r="AE235">
            <v>94.56045158546786</v>
          </cell>
          <cell r="AF235">
            <v>94.56045158546786</v>
          </cell>
        </row>
        <row r="236">
          <cell r="A236" t="str">
            <v>Missouri</v>
          </cell>
          <cell r="B236">
            <v>88.139908545264774</v>
          </cell>
          <cell r="C236">
            <v>88.320243286331092</v>
          </cell>
          <cell r="D236">
            <v>90.026769994524528</v>
          </cell>
          <cell r="E236">
            <v>90.78942626326554</v>
          </cell>
          <cell r="F236">
            <v>90.785176319047082</v>
          </cell>
          <cell r="G236">
            <v>90.87430524848007</v>
          </cell>
          <cell r="H236">
            <v>91.003085130537116</v>
          </cell>
          <cell r="I236">
            <v>91.052458910269479</v>
          </cell>
          <cell r="J236">
            <v>91.497238389245567</v>
          </cell>
          <cell r="K236">
            <v>91.319429921560371</v>
          </cell>
          <cell r="L236">
            <v>90.428311690732329</v>
          </cell>
          <cell r="M236">
            <v>90.428311690732315</v>
          </cell>
          <cell r="N236">
            <v>90.606813923633325</v>
          </cell>
          <cell r="O236">
            <v>92.029843026471468</v>
          </cell>
          <cell r="P236">
            <v>92.693884560574418</v>
          </cell>
          <cell r="Q236">
            <v>92.870643764248598</v>
          </cell>
          <cell r="R236">
            <v>93.488255676853726</v>
          </cell>
          <cell r="S236">
            <v>93.796456613826265</v>
          </cell>
          <cell r="T236">
            <v>93.796456613826265</v>
          </cell>
          <cell r="U236">
            <v>93.796456613826265</v>
          </cell>
          <cell r="V236">
            <v>93.796456613826265</v>
          </cell>
          <cell r="W236">
            <v>93.796456613826265</v>
          </cell>
          <cell r="X236">
            <v>93.796456613826265</v>
          </cell>
          <cell r="Y236">
            <v>93.796456613826265</v>
          </cell>
          <cell r="Z236">
            <v>93.796456613826265</v>
          </cell>
          <cell r="AA236">
            <v>93.796456613826265</v>
          </cell>
          <cell r="AB236">
            <v>93.796456613826265</v>
          </cell>
          <cell r="AC236">
            <v>93.796456613826265</v>
          </cell>
          <cell r="AD236">
            <v>93.796456613826265</v>
          </cell>
          <cell r="AE236">
            <v>93.796456613826265</v>
          </cell>
          <cell r="AF236">
            <v>93.796456613826265</v>
          </cell>
        </row>
        <row r="237">
          <cell r="A237" t="str">
            <v>Montana</v>
          </cell>
          <cell r="B237">
            <v>85.364359107623997</v>
          </cell>
          <cell r="C237">
            <v>85.539015059167852</v>
          </cell>
          <cell r="D237">
            <v>87.191802782111381</v>
          </cell>
          <cell r="E237">
            <v>87.93044279972672</v>
          </cell>
          <cell r="F237">
            <v>87.926326687395331</v>
          </cell>
          <cell r="G237">
            <v>88.012648922856741</v>
          </cell>
          <cell r="H237">
            <v>88.137373491774511</v>
          </cell>
          <cell r="I237">
            <v>88.185192477897132</v>
          </cell>
          <cell r="J237">
            <v>88.615965731394567</v>
          </cell>
          <cell r="K237">
            <v>88.443756500203236</v>
          </cell>
          <cell r="L237">
            <v>87.580699822254786</v>
          </cell>
          <cell r="M237">
            <v>87.580699822254772</v>
          </cell>
          <cell r="N237">
            <v>87.753580971808631</v>
          </cell>
          <cell r="O237">
            <v>89.131798505275782</v>
          </cell>
          <cell r="P237">
            <v>89.77492919278302</v>
          </cell>
          <cell r="Q237">
            <v>89.946122201569494</v>
          </cell>
          <cell r="R237">
            <v>90.544285348853563</v>
          </cell>
          <cell r="S237">
            <v>90.842780955387084</v>
          </cell>
          <cell r="T237">
            <v>90.842780955387084</v>
          </cell>
          <cell r="U237">
            <v>90.842780955387084</v>
          </cell>
          <cell r="V237">
            <v>90.842780955387084</v>
          </cell>
          <cell r="W237">
            <v>90.842780955387084</v>
          </cell>
          <cell r="X237">
            <v>90.842780955387084</v>
          </cell>
          <cell r="Y237">
            <v>90.842780955387084</v>
          </cell>
          <cell r="Z237">
            <v>90.842780955387084</v>
          </cell>
          <cell r="AA237">
            <v>90.842780955387084</v>
          </cell>
          <cell r="AB237">
            <v>90.842780955387084</v>
          </cell>
          <cell r="AC237">
            <v>90.842780955387084</v>
          </cell>
          <cell r="AD237">
            <v>90.842780955387084</v>
          </cell>
          <cell r="AE237">
            <v>90.842780955387084</v>
          </cell>
          <cell r="AF237">
            <v>90.842780955387084</v>
          </cell>
        </row>
        <row r="238">
          <cell r="A238" t="str">
            <v>Nebraska</v>
          </cell>
          <cell r="B238">
            <v>85.364359107623969</v>
          </cell>
          <cell r="C238">
            <v>85.539015059167852</v>
          </cell>
          <cell r="D238">
            <v>87.191802782111381</v>
          </cell>
          <cell r="E238">
            <v>87.93044279972672</v>
          </cell>
          <cell r="F238">
            <v>87.926326687395303</v>
          </cell>
          <cell r="G238">
            <v>88.012648922856741</v>
          </cell>
          <cell r="H238">
            <v>88.137373491774497</v>
          </cell>
          <cell r="I238">
            <v>88.185192477897118</v>
          </cell>
          <cell r="J238">
            <v>88.615965731394567</v>
          </cell>
          <cell r="K238">
            <v>88.443756500203264</v>
          </cell>
          <cell r="L238">
            <v>87.580699822254786</v>
          </cell>
          <cell r="M238">
            <v>87.580699822254786</v>
          </cell>
          <cell r="N238">
            <v>87.753580971808645</v>
          </cell>
          <cell r="O238">
            <v>89.131798505275782</v>
          </cell>
          <cell r="P238">
            <v>89.77492919278302</v>
          </cell>
          <cell r="Q238">
            <v>89.94612220156948</v>
          </cell>
          <cell r="R238">
            <v>90.544285348853577</v>
          </cell>
          <cell r="S238">
            <v>90.842780955387084</v>
          </cell>
          <cell r="T238">
            <v>90.842780955387084</v>
          </cell>
          <cell r="U238">
            <v>90.842780955387084</v>
          </cell>
          <cell r="V238">
            <v>90.842780955387084</v>
          </cell>
          <cell r="W238">
            <v>90.842780955387084</v>
          </cell>
          <cell r="X238">
            <v>90.842780955387084</v>
          </cell>
          <cell r="Y238">
            <v>90.842780955387084</v>
          </cell>
          <cell r="Z238">
            <v>90.842780955387084</v>
          </cell>
          <cell r="AA238">
            <v>90.842780955387084</v>
          </cell>
          <cell r="AB238">
            <v>90.842780955387084</v>
          </cell>
          <cell r="AC238">
            <v>90.842780955387084</v>
          </cell>
          <cell r="AD238">
            <v>90.842780955387084</v>
          </cell>
          <cell r="AE238">
            <v>90.842780955387084</v>
          </cell>
          <cell r="AF238">
            <v>90.842780955387084</v>
          </cell>
        </row>
        <row r="239">
          <cell r="A239" t="str">
            <v>Nevada</v>
          </cell>
          <cell r="B239">
            <v>101.49401708739363</v>
          </cell>
          <cell r="C239">
            <v>101.70167440850189</v>
          </cell>
          <cell r="D239">
            <v>103.666757578432</v>
          </cell>
          <cell r="E239">
            <v>104.54496416667295</v>
          </cell>
          <cell r="F239">
            <v>104.54007031191129</v>
          </cell>
          <cell r="G239">
            <v>104.64270319678891</v>
          </cell>
          <cell r="H239">
            <v>104.79099456406779</v>
          </cell>
          <cell r="I239">
            <v>104.84784898253197</v>
          </cell>
          <cell r="J239">
            <v>105.36001715679474</v>
          </cell>
          <cell r="K239">
            <v>105.15526886563613</v>
          </cell>
          <cell r="L239">
            <v>104.12913699825275</v>
          </cell>
          <cell r="M239">
            <v>104.12913699825272</v>
          </cell>
          <cell r="N239">
            <v>104.33468416723912</v>
          </cell>
          <cell r="O239">
            <v>105.97331690992159</v>
          </cell>
          <cell r="P239">
            <v>106.73796761039712</v>
          </cell>
          <cell r="Q239">
            <v>106.94150766318548</v>
          </cell>
          <cell r="R239">
            <v>107.65269417388089</v>
          </cell>
          <cell r="S239">
            <v>108.00759074320709</v>
          </cell>
          <cell r="T239">
            <v>108.00759074320709</v>
          </cell>
          <cell r="U239">
            <v>108.00759074320709</v>
          </cell>
          <cell r="V239">
            <v>108.00759074320709</v>
          </cell>
          <cell r="W239">
            <v>108.00759074320709</v>
          </cell>
          <cell r="X239">
            <v>108.00759074320709</v>
          </cell>
          <cell r="Y239">
            <v>108.00759074320709</v>
          </cell>
          <cell r="Z239">
            <v>108.00759074320709</v>
          </cell>
          <cell r="AA239">
            <v>108.00759074320709</v>
          </cell>
          <cell r="AB239">
            <v>108.00759074320709</v>
          </cell>
          <cell r="AC239">
            <v>108.00759074320709</v>
          </cell>
          <cell r="AD239">
            <v>108.00759074320709</v>
          </cell>
          <cell r="AE239">
            <v>108.00759074320709</v>
          </cell>
          <cell r="AF239">
            <v>108.00759074320709</v>
          </cell>
        </row>
        <row r="240">
          <cell r="A240" t="str">
            <v>New Hampshire</v>
          </cell>
          <cell r="B240">
            <v>88.125654006065119</v>
          </cell>
          <cell r="C240">
            <v>88.305959582265288</v>
          </cell>
          <cell r="D240">
            <v>90.012210300248881</v>
          </cell>
          <cell r="E240">
            <v>90.774743227431458</v>
          </cell>
          <cell r="F240">
            <v>90.770493970540656</v>
          </cell>
          <cell r="G240">
            <v>90.859608485483776</v>
          </cell>
          <cell r="H240">
            <v>90.988367540450071</v>
          </cell>
          <cell r="I240">
            <v>91.037733335144864</v>
          </cell>
          <cell r="J240">
            <v>91.482440881592055</v>
          </cell>
          <cell r="K240">
            <v>91.304661170208234</v>
          </cell>
          <cell r="L240">
            <v>90.413687056613327</v>
          </cell>
          <cell r="M240">
            <v>90.413687056613341</v>
          </cell>
          <cell r="N240">
            <v>90.59216042101292</v>
          </cell>
          <cell r="O240">
            <v>92.014959382653259</v>
          </cell>
          <cell r="P240">
            <v>92.678893523791629</v>
          </cell>
          <cell r="Q240">
            <v>92.855624140858026</v>
          </cell>
          <cell r="R240">
            <v>93.473136169388326</v>
          </cell>
          <cell r="S240">
            <v>93.781287262170935</v>
          </cell>
          <cell r="T240">
            <v>93.781287262170935</v>
          </cell>
          <cell r="U240">
            <v>93.781287262170935</v>
          </cell>
          <cell r="V240">
            <v>93.781287262170935</v>
          </cell>
          <cell r="W240">
            <v>93.781287262170935</v>
          </cell>
          <cell r="X240">
            <v>93.781287262170935</v>
          </cell>
          <cell r="Y240">
            <v>93.781287262170935</v>
          </cell>
          <cell r="Z240">
            <v>93.781287262170935</v>
          </cell>
          <cell r="AA240">
            <v>93.781287262170935</v>
          </cell>
          <cell r="AB240">
            <v>93.781287262170935</v>
          </cell>
          <cell r="AC240">
            <v>93.781287262170935</v>
          </cell>
          <cell r="AD240">
            <v>93.781287262170935</v>
          </cell>
          <cell r="AE240">
            <v>93.781287262170935</v>
          </cell>
          <cell r="AF240">
            <v>93.781287262170935</v>
          </cell>
        </row>
        <row r="241">
          <cell r="A241" t="str">
            <v>New Jersey</v>
          </cell>
          <cell r="B241">
            <v>88.125654006065119</v>
          </cell>
          <cell r="C241">
            <v>88.305959582265274</v>
          </cell>
          <cell r="D241">
            <v>90.012210300248867</v>
          </cell>
          <cell r="E241">
            <v>90.774743227431472</v>
          </cell>
          <cell r="F241">
            <v>90.770493970540656</v>
          </cell>
          <cell r="G241">
            <v>90.859608485483761</v>
          </cell>
          <cell r="H241">
            <v>90.988367540450056</v>
          </cell>
          <cell r="I241">
            <v>91.037733335144878</v>
          </cell>
          <cell r="J241">
            <v>91.482440881592069</v>
          </cell>
          <cell r="K241">
            <v>91.304661170208234</v>
          </cell>
          <cell r="L241">
            <v>90.413687056613327</v>
          </cell>
          <cell r="M241">
            <v>90.413687056613341</v>
          </cell>
          <cell r="N241">
            <v>90.59216042101292</v>
          </cell>
          <cell r="O241">
            <v>92.014959382653245</v>
          </cell>
          <cell r="P241">
            <v>92.678893523791629</v>
          </cell>
          <cell r="Q241">
            <v>92.855624140857998</v>
          </cell>
          <cell r="R241">
            <v>93.47313616938834</v>
          </cell>
          <cell r="S241">
            <v>93.781287262170949</v>
          </cell>
          <cell r="T241">
            <v>93.781287262170949</v>
          </cell>
          <cell r="U241">
            <v>93.781287262170949</v>
          </cell>
          <cell r="V241">
            <v>93.781287262170949</v>
          </cell>
          <cell r="W241">
            <v>93.781287262170949</v>
          </cell>
          <cell r="X241">
            <v>93.781287262170949</v>
          </cell>
          <cell r="Y241">
            <v>93.781287262170949</v>
          </cell>
          <cell r="Z241">
            <v>93.781287262170949</v>
          </cell>
          <cell r="AA241">
            <v>93.781287262170949</v>
          </cell>
          <cell r="AB241">
            <v>93.781287262170949</v>
          </cell>
          <cell r="AC241">
            <v>93.781287262170949</v>
          </cell>
          <cell r="AD241">
            <v>93.781287262170949</v>
          </cell>
          <cell r="AE241">
            <v>93.781287262170949</v>
          </cell>
          <cell r="AF241">
            <v>93.781287262170949</v>
          </cell>
        </row>
        <row r="242">
          <cell r="A242" t="str">
            <v>New Mexico</v>
          </cell>
          <cell r="B242">
            <v>101.49401708739364</v>
          </cell>
          <cell r="C242">
            <v>101.7016744085019</v>
          </cell>
          <cell r="D242">
            <v>103.66675757843198</v>
          </cell>
          <cell r="E242">
            <v>104.544964166673</v>
          </cell>
          <cell r="F242">
            <v>104.54007031191129</v>
          </cell>
          <cell r="G242">
            <v>104.64270319678893</v>
          </cell>
          <cell r="H242">
            <v>104.79099456406779</v>
          </cell>
          <cell r="I242">
            <v>104.84784898253193</v>
          </cell>
          <cell r="J242">
            <v>105.36001715679474</v>
          </cell>
          <cell r="K242">
            <v>105.15526886563613</v>
          </cell>
          <cell r="L242">
            <v>104.12913699825275</v>
          </cell>
          <cell r="M242">
            <v>104.12913699825276</v>
          </cell>
          <cell r="N242">
            <v>104.3346841672391</v>
          </cell>
          <cell r="O242">
            <v>105.97331690992159</v>
          </cell>
          <cell r="P242">
            <v>106.73796761039711</v>
          </cell>
          <cell r="Q242">
            <v>106.94150766318546</v>
          </cell>
          <cell r="R242">
            <v>107.65269417388089</v>
          </cell>
          <cell r="S242">
            <v>108.0075907432071</v>
          </cell>
          <cell r="T242">
            <v>108.0075907432071</v>
          </cell>
          <cell r="U242">
            <v>108.0075907432071</v>
          </cell>
          <cell r="V242">
            <v>108.0075907432071</v>
          </cell>
          <cell r="W242">
            <v>108.0075907432071</v>
          </cell>
          <cell r="X242">
            <v>108.0075907432071</v>
          </cell>
          <cell r="Y242">
            <v>108.0075907432071</v>
          </cell>
          <cell r="Z242">
            <v>108.0075907432071</v>
          </cell>
          <cell r="AA242">
            <v>108.0075907432071</v>
          </cell>
          <cell r="AB242">
            <v>108.0075907432071</v>
          </cell>
          <cell r="AC242">
            <v>108.0075907432071</v>
          </cell>
          <cell r="AD242">
            <v>108.0075907432071</v>
          </cell>
          <cell r="AE242">
            <v>108.0075907432071</v>
          </cell>
          <cell r="AF242">
            <v>108.0075907432071</v>
          </cell>
        </row>
        <row r="243">
          <cell r="A243" t="str">
            <v>New York</v>
          </cell>
          <cell r="B243">
            <v>88.125654006065119</v>
          </cell>
          <cell r="C243">
            <v>88.305959582265288</v>
          </cell>
          <cell r="D243">
            <v>90.012210300248881</v>
          </cell>
          <cell r="E243">
            <v>90.774743227431458</v>
          </cell>
          <cell r="F243">
            <v>90.770493970540656</v>
          </cell>
          <cell r="G243">
            <v>90.859608485483761</v>
          </cell>
          <cell r="H243">
            <v>90.988367540450042</v>
          </cell>
          <cell r="I243">
            <v>91.037733335144864</v>
          </cell>
          <cell r="J243">
            <v>91.482440881592055</v>
          </cell>
          <cell r="K243">
            <v>91.304661170208234</v>
          </cell>
          <cell r="L243">
            <v>90.413687056613327</v>
          </cell>
          <cell r="M243">
            <v>90.413687056613327</v>
          </cell>
          <cell r="N243">
            <v>90.592160421012906</v>
          </cell>
          <cell r="O243">
            <v>92.014959382653259</v>
          </cell>
          <cell r="P243">
            <v>92.678893523791601</v>
          </cell>
          <cell r="Q243">
            <v>92.855624140857998</v>
          </cell>
          <cell r="R243">
            <v>93.473136169388326</v>
          </cell>
          <cell r="S243">
            <v>93.781287262170935</v>
          </cell>
          <cell r="T243">
            <v>93.781287262170935</v>
          </cell>
          <cell r="U243">
            <v>93.781287262170935</v>
          </cell>
          <cell r="V243">
            <v>93.781287262170935</v>
          </cell>
          <cell r="W243">
            <v>93.781287262170935</v>
          </cell>
          <cell r="X243">
            <v>93.781287262170935</v>
          </cell>
          <cell r="Y243">
            <v>93.781287262170935</v>
          </cell>
          <cell r="Z243">
            <v>93.781287262170935</v>
          </cell>
          <cell r="AA243">
            <v>93.781287262170935</v>
          </cell>
          <cell r="AB243">
            <v>93.781287262170935</v>
          </cell>
          <cell r="AC243">
            <v>93.781287262170935</v>
          </cell>
          <cell r="AD243">
            <v>93.781287262170935</v>
          </cell>
          <cell r="AE243">
            <v>93.781287262170935</v>
          </cell>
          <cell r="AF243">
            <v>93.781287262170935</v>
          </cell>
        </row>
        <row r="244">
          <cell r="A244" t="str">
            <v>North Carolina</v>
          </cell>
          <cell r="B244">
            <v>88.85782955593551</v>
          </cell>
          <cell r="C244">
            <v>89.039633167365992</v>
          </cell>
          <cell r="D244">
            <v>90.760059951011144</v>
          </cell>
          <cell r="E244">
            <v>91.528928240711622</v>
          </cell>
          <cell r="F244">
            <v>91.524643679662944</v>
          </cell>
          <cell r="G244">
            <v>91.614498585922476</v>
          </cell>
          <cell r="H244">
            <v>91.744327411467282</v>
          </cell>
          <cell r="I244">
            <v>91.794103352654474</v>
          </cell>
          <cell r="J244">
            <v>92.242505668757829</v>
          </cell>
          <cell r="K244">
            <v>92.063248907820082</v>
          </cell>
          <cell r="L244">
            <v>91.164872302080312</v>
          </cell>
          <cell r="M244">
            <v>91.164872302080298</v>
          </cell>
          <cell r="N244">
            <v>91.344828479120437</v>
          </cell>
          <cell r="O244">
            <v>92.779448500403873</v>
          </cell>
          <cell r="P244">
            <v>93.448898814447276</v>
          </cell>
          <cell r="Q244">
            <v>93.627097764863251</v>
          </cell>
          <cell r="R244">
            <v>94.249740276839489</v>
          </cell>
          <cell r="S244">
            <v>94.560451585467874</v>
          </cell>
          <cell r="T244">
            <v>94.560451585467874</v>
          </cell>
          <cell r="U244">
            <v>94.560451585467874</v>
          </cell>
          <cell r="V244">
            <v>94.560451585467874</v>
          </cell>
          <cell r="W244">
            <v>94.560451585467874</v>
          </cell>
          <cell r="X244">
            <v>94.560451585467874</v>
          </cell>
          <cell r="Y244">
            <v>94.560451585467874</v>
          </cell>
          <cell r="Z244">
            <v>94.560451585467874</v>
          </cell>
          <cell r="AA244">
            <v>94.560451585467874</v>
          </cell>
          <cell r="AB244">
            <v>94.560451585467874</v>
          </cell>
          <cell r="AC244">
            <v>94.560451585467874</v>
          </cell>
          <cell r="AD244">
            <v>94.560451585467874</v>
          </cell>
          <cell r="AE244">
            <v>94.560451585467874</v>
          </cell>
          <cell r="AF244">
            <v>94.560451585467874</v>
          </cell>
        </row>
        <row r="245">
          <cell r="A245" t="str">
            <v>North Dakota</v>
          </cell>
          <cell r="B245">
            <v>85.364359107623983</v>
          </cell>
          <cell r="C245">
            <v>85.539015059167838</v>
          </cell>
          <cell r="D245">
            <v>87.191802782111409</v>
          </cell>
          <cell r="E245">
            <v>87.93044279972672</v>
          </cell>
          <cell r="F245">
            <v>87.926326687395317</v>
          </cell>
          <cell r="G245">
            <v>88.012648922856769</v>
          </cell>
          <cell r="H245">
            <v>88.137373491774511</v>
          </cell>
          <cell r="I245">
            <v>88.185192477897118</v>
          </cell>
          <cell r="J245">
            <v>88.615965731394567</v>
          </cell>
          <cell r="K245">
            <v>88.443756500203222</v>
          </cell>
          <cell r="L245">
            <v>87.580699822254786</v>
          </cell>
          <cell r="M245">
            <v>87.580699822254772</v>
          </cell>
          <cell r="N245">
            <v>87.753580971808645</v>
          </cell>
          <cell r="O245">
            <v>89.131798505275796</v>
          </cell>
          <cell r="P245">
            <v>89.774929192783034</v>
          </cell>
          <cell r="Q245">
            <v>89.946122201569466</v>
          </cell>
          <cell r="R245">
            <v>90.544285348853563</v>
          </cell>
          <cell r="S245">
            <v>90.842780955387084</v>
          </cell>
          <cell r="T245">
            <v>90.842780955387084</v>
          </cell>
          <cell r="U245">
            <v>90.842780955387084</v>
          </cell>
          <cell r="V245">
            <v>90.842780955387084</v>
          </cell>
          <cell r="W245">
            <v>90.842780955387084</v>
          </cell>
          <cell r="X245">
            <v>90.842780955387084</v>
          </cell>
          <cell r="Y245">
            <v>90.842780955387084</v>
          </cell>
          <cell r="Z245">
            <v>90.842780955387084</v>
          </cell>
          <cell r="AA245">
            <v>90.842780955387084</v>
          </cell>
          <cell r="AB245">
            <v>90.842780955387084</v>
          </cell>
          <cell r="AC245">
            <v>90.842780955387084</v>
          </cell>
          <cell r="AD245">
            <v>90.842780955387084</v>
          </cell>
          <cell r="AE245">
            <v>90.842780955387084</v>
          </cell>
          <cell r="AF245">
            <v>90.842780955387084</v>
          </cell>
        </row>
        <row r="246">
          <cell r="A246" t="str">
            <v>Ohio</v>
          </cell>
          <cell r="B246">
            <v>88.139908545264774</v>
          </cell>
          <cell r="C246">
            <v>88.320243286331092</v>
          </cell>
          <cell r="D246">
            <v>90.026769994524514</v>
          </cell>
          <cell r="E246">
            <v>90.789426263265526</v>
          </cell>
          <cell r="F246">
            <v>90.785176319047082</v>
          </cell>
          <cell r="G246">
            <v>90.874305248480056</v>
          </cell>
          <cell r="H246">
            <v>91.003085130537102</v>
          </cell>
          <cell r="I246">
            <v>91.052458910269479</v>
          </cell>
          <cell r="J246">
            <v>91.497238389245538</v>
          </cell>
          <cell r="K246">
            <v>91.319429921560356</v>
          </cell>
          <cell r="L246">
            <v>90.428311690732301</v>
          </cell>
          <cell r="M246">
            <v>90.428311690732315</v>
          </cell>
          <cell r="N246">
            <v>90.606813923633311</v>
          </cell>
          <cell r="O246">
            <v>92.029843026471468</v>
          </cell>
          <cell r="P246">
            <v>92.693884560574418</v>
          </cell>
          <cell r="Q246">
            <v>92.870643764248612</v>
          </cell>
          <cell r="R246">
            <v>93.488255676853726</v>
          </cell>
          <cell r="S246">
            <v>93.796456613826265</v>
          </cell>
          <cell r="T246">
            <v>93.796456613826265</v>
          </cell>
          <cell r="U246">
            <v>93.796456613826265</v>
          </cell>
          <cell r="V246">
            <v>93.796456613826265</v>
          </cell>
          <cell r="W246">
            <v>93.796456613826265</v>
          </cell>
          <cell r="X246">
            <v>93.796456613826265</v>
          </cell>
          <cell r="Y246">
            <v>93.796456613826265</v>
          </cell>
          <cell r="Z246">
            <v>93.796456613826265</v>
          </cell>
          <cell r="AA246">
            <v>93.796456613826265</v>
          </cell>
          <cell r="AB246">
            <v>93.796456613826265</v>
          </cell>
          <cell r="AC246">
            <v>93.796456613826265</v>
          </cell>
          <cell r="AD246">
            <v>93.796456613826265</v>
          </cell>
          <cell r="AE246">
            <v>93.796456613826265</v>
          </cell>
          <cell r="AF246">
            <v>93.796456613826265</v>
          </cell>
        </row>
        <row r="247">
          <cell r="A247" t="str">
            <v>Oklahoma</v>
          </cell>
          <cell r="B247">
            <v>88.724782849633584</v>
          </cell>
          <cell r="C247">
            <v>88.906314246766101</v>
          </cell>
          <cell r="D247">
            <v>90.624165037748099</v>
          </cell>
          <cell r="E247">
            <v>91.391882102013142</v>
          </cell>
          <cell r="F247">
            <v>91.387603956231814</v>
          </cell>
          <cell r="G247">
            <v>91.477324322863524</v>
          </cell>
          <cell r="H247">
            <v>91.606958755885913</v>
          </cell>
          <cell r="I247">
            <v>91.656660167624651</v>
          </cell>
          <cell r="J247">
            <v>92.104391091555129</v>
          </cell>
          <cell r="K247">
            <v>91.925402731519711</v>
          </cell>
          <cell r="L247">
            <v>91.028371263839347</v>
          </cell>
          <cell r="M247">
            <v>91.028371263839347</v>
          </cell>
          <cell r="N247">
            <v>91.208057992742482</v>
          </cell>
          <cell r="O247">
            <v>92.640529959435952</v>
          </cell>
          <cell r="P247">
            <v>93.30897790644245</v>
          </cell>
          <cell r="Q247">
            <v>93.486910039814447</v>
          </cell>
          <cell r="R247">
            <v>94.108620270011627</v>
          </cell>
          <cell r="S247">
            <v>94.418866351023823</v>
          </cell>
          <cell r="T247">
            <v>94.418866351023823</v>
          </cell>
          <cell r="U247">
            <v>94.418866351023823</v>
          </cell>
          <cell r="V247">
            <v>94.418866351023823</v>
          </cell>
          <cell r="W247">
            <v>94.418866351023823</v>
          </cell>
          <cell r="X247">
            <v>94.418866351023823</v>
          </cell>
          <cell r="Y247">
            <v>94.418866351023823</v>
          </cell>
          <cell r="Z247">
            <v>94.418866351023823</v>
          </cell>
          <cell r="AA247">
            <v>94.418866351023823</v>
          </cell>
          <cell r="AB247">
            <v>94.418866351023823</v>
          </cell>
          <cell r="AC247">
            <v>94.418866351023823</v>
          </cell>
          <cell r="AD247">
            <v>94.418866351023823</v>
          </cell>
          <cell r="AE247">
            <v>94.418866351023823</v>
          </cell>
          <cell r="AF247">
            <v>94.418866351023823</v>
          </cell>
        </row>
        <row r="248">
          <cell r="A248" t="str">
            <v>Oregon</v>
          </cell>
          <cell r="B248">
            <v>101.49401708739364</v>
          </cell>
          <cell r="C248">
            <v>101.70167440850189</v>
          </cell>
          <cell r="D248">
            <v>103.666757578432</v>
          </cell>
          <cell r="E248">
            <v>104.54496416667298</v>
          </cell>
          <cell r="F248">
            <v>104.54007031191128</v>
          </cell>
          <cell r="G248">
            <v>104.64270319678894</v>
          </cell>
          <cell r="H248">
            <v>104.7909945640678</v>
          </cell>
          <cell r="I248">
            <v>104.84784898253194</v>
          </cell>
          <cell r="J248">
            <v>105.36001715679473</v>
          </cell>
          <cell r="K248">
            <v>105.15526886563612</v>
          </cell>
          <cell r="L248">
            <v>104.12913699825275</v>
          </cell>
          <cell r="M248">
            <v>104.12913699825273</v>
          </cell>
          <cell r="N248">
            <v>104.33468416723909</v>
          </cell>
          <cell r="O248">
            <v>105.97331690992161</v>
          </cell>
          <cell r="P248">
            <v>106.73796761039709</v>
          </cell>
          <cell r="Q248">
            <v>106.94150766318548</v>
          </cell>
          <cell r="R248">
            <v>107.65269417388087</v>
          </cell>
          <cell r="S248">
            <v>108.00759074320712</v>
          </cell>
          <cell r="T248">
            <v>108.00759074320712</v>
          </cell>
          <cell r="U248">
            <v>108.00759074320712</v>
          </cell>
          <cell r="V248">
            <v>108.00759074320712</v>
          </cell>
          <cell r="W248">
            <v>108.00759074320712</v>
          </cell>
          <cell r="X248">
            <v>108.00759074320712</v>
          </cell>
          <cell r="Y248">
            <v>108.00759074320712</v>
          </cell>
          <cell r="Z248">
            <v>108.00759074320712</v>
          </cell>
          <cell r="AA248">
            <v>108.00759074320712</v>
          </cell>
          <cell r="AB248">
            <v>108.00759074320712</v>
          </cell>
          <cell r="AC248">
            <v>108.00759074320712</v>
          </cell>
          <cell r="AD248">
            <v>108.00759074320712</v>
          </cell>
          <cell r="AE248">
            <v>108.00759074320712</v>
          </cell>
          <cell r="AF248">
            <v>108.00759074320712</v>
          </cell>
        </row>
        <row r="249">
          <cell r="A249" t="str">
            <v>Pennsylvania</v>
          </cell>
          <cell r="B249">
            <v>88.125654006065147</v>
          </cell>
          <cell r="C249">
            <v>88.305959582265288</v>
          </cell>
          <cell r="D249">
            <v>90.012210300248853</v>
          </cell>
          <cell r="E249">
            <v>90.774743227431443</v>
          </cell>
          <cell r="F249">
            <v>90.770493970540656</v>
          </cell>
          <cell r="G249">
            <v>90.859608485483747</v>
          </cell>
          <cell r="H249">
            <v>90.988367540450056</v>
          </cell>
          <cell r="I249">
            <v>91.037733335144864</v>
          </cell>
          <cell r="J249">
            <v>91.482440881592055</v>
          </cell>
          <cell r="K249">
            <v>91.30466117020822</v>
          </cell>
          <cell r="L249">
            <v>90.413687056613327</v>
          </cell>
          <cell r="M249">
            <v>90.413687056613355</v>
          </cell>
          <cell r="N249">
            <v>90.592160421012949</v>
          </cell>
          <cell r="O249">
            <v>92.014959382653245</v>
          </cell>
          <cell r="P249">
            <v>92.678893523791615</v>
          </cell>
          <cell r="Q249">
            <v>92.855624140858041</v>
          </cell>
          <cell r="R249">
            <v>93.47313616938834</v>
          </cell>
          <cell r="S249">
            <v>93.781287262170949</v>
          </cell>
          <cell r="T249">
            <v>93.781287262170949</v>
          </cell>
          <cell r="U249">
            <v>93.781287262170949</v>
          </cell>
          <cell r="V249">
            <v>93.781287262170949</v>
          </cell>
          <cell r="W249">
            <v>93.781287262170949</v>
          </cell>
          <cell r="X249">
            <v>93.781287262170949</v>
          </cell>
          <cell r="Y249">
            <v>93.781287262170949</v>
          </cell>
          <cell r="Z249">
            <v>93.781287262170949</v>
          </cell>
          <cell r="AA249">
            <v>93.781287262170949</v>
          </cell>
          <cell r="AB249">
            <v>93.781287262170949</v>
          </cell>
          <cell r="AC249">
            <v>93.781287262170949</v>
          </cell>
          <cell r="AD249">
            <v>93.781287262170949</v>
          </cell>
          <cell r="AE249">
            <v>93.781287262170949</v>
          </cell>
          <cell r="AF249">
            <v>93.781287262170949</v>
          </cell>
        </row>
        <row r="250">
          <cell r="A250" t="str">
            <v>Rhode Island</v>
          </cell>
          <cell r="B250">
            <v>88.125654006065133</v>
          </cell>
          <cell r="C250">
            <v>88.305959582265288</v>
          </cell>
          <cell r="D250">
            <v>90.012210300248881</v>
          </cell>
          <cell r="E250">
            <v>90.774743227431472</v>
          </cell>
          <cell r="F250">
            <v>90.770493970540642</v>
          </cell>
          <cell r="G250">
            <v>90.859608485483776</v>
          </cell>
          <cell r="H250">
            <v>90.988367540450056</v>
          </cell>
          <cell r="I250">
            <v>91.037733335144864</v>
          </cell>
          <cell r="J250">
            <v>91.482440881592012</v>
          </cell>
          <cell r="K250">
            <v>91.304661170208234</v>
          </cell>
          <cell r="L250">
            <v>90.413687056613341</v>
          </cell>
          <cell r="M250">
            <v>90.413687056613341</v>
          </cell>
          <cell r="N250">
            <v>90.592160421012949</v>
          </cell>
          <cell r="O250">
            <v>92.014959382653245</v>
          </cell>
          <cell r="P250">
            <v>92.678893523791601</v>
          </cell>
          <cell r="Q250">
            <v>92.855624140858012</v>
          </cell>
          <cell r="R250">
            <v>93.473136169388326</v>
          </cell>
          <cell r="S250">
            <v>93.781287262170963</v>
          </cell>
          <cell r="T250">
            <v>93.781287262170963</v>
          </cell>
          <cell r="U250">
            <v>93.781287262170963</v>
          </cell>
          <cell r="V250">
            <v>93.781287262170963</v>
          </cell>
          <cell r="W250">
            <v>93.781287262170963</v>
          </cell>
          <cell r="X250">
            <v>93.781287262170963</v>
          </cell>
          <cell r="Y250">
            <v>93.781287262170963</v>
          </cell>
          <cell r="Z250">
            <v>93.781287262170963</v>
          </cell>
          <cell r="AA250">
            <v>93.781287262170963</v>
          </cell>
          <cell r="AB250">
            <v>93.781287262170963</v>
          </cell>
          <cell r="AC250">
            <v>93.781287262170963</v>
          </cell>
          <cell r="AD250">
            <v>93.781287262170963</v>
          </cell>
          <cell r="AE250">
            <v>93.781287262170963</v>
          </cell>
          <cell r="AF250">
            <v>93.781287262170963</v>
          </cell>
        </row>
        <row r="251">
          <cell r="A251" t="str">
            <v>South Carolina</v>
          </cell>
          <cell r="B251">
            <v>88.857829555935524</v>
          </cell>
          <cell r="C251">
            <v>89.039633167365977</v>
          </cell>
          <cell r="D251">
            <v>90.760059951011158</v>
          </cell>
          <cell r="E251">
            <v>91.528928240711622</v>
          </cell>
          <cell r="F251">
            <v>91.524643679662944</v>
          </cell>
          <cell r="G251">
            <v>91.614498585922462</v>
          </cell>
          <cell r="H251">
            <v>91.744327411467296</v>
          </cell>
          <cell r="I251">
            <v>91.794103352654489</v>
          </cell>
          <cell r="J251">
            <v>92.242505668757829</v>
          </cell>
          <cell r="K251">
            <v>92.063248907820096</v>
          </cell>
          <cell r="L251">
            <v>91.164872302080298</v>
          </cell>
          <cell r="M251">
            <v>91.164872302080298</v>
          </cell>
          <cell r="N251">
            <v>91.344828479120451</v>
          </cell>
          <cell r="O251">
            <v>92.779448500403873</v>
          </cell>
          <cell r="P251">
            <v>93.448898814447276</v>
          </cell>
          <cell r="Q251">
            <v>93.627097764863251</v>
          </cell>
          <cell r="R251">
            <v>94.249740276839489</v>
          </cell>
          <cell r="S251">
            <v>94.56045158546786</v>
          </cell>
          <cell r="T251">
            <v>94.56045158546786</v>
          </cell>
          <cell r="U251">
            <v>94.56045158546786</v>
          </cell>
          <cell r="V251">
            <v>94.56045158546786</v>
          </cell>
          <cell r="W251">
            <v>94.56045158546786</v>
          </cell>
          <cell r="X251">
            <v>94.56045158546786</v>
          </cell>
          <cell r="Y251">
            <v>94.56045158546786</v>
          </cell>
          <cell r="Z251">
            <v>94.56045158546786</v>
          </cell>
          <cell r="AA251">
            <v>94.56045158546786</v>
          </cell>
          <cell r="AB251">
            <v>94.56045158546786</v>
          </cell>
          <cell r="AC251">
            <v>94.56045158546786</v>
          </cell>
          <cell r="AD251">
            <v>94.56045158546786</v>
          </cell>
          <cell r="AE251">
            <v>94.56045158546786</v>
          </cell>
          <cell r="AF251">
            <v>94.56045158546786</v>
          </cell>
        </row>
        <row r="252">
          <cell r="A252" t="str">
            <v>South Dakota</v>
          </cell>
          <cell r="B252">
            <v>85.364359107623969</v>
          </cell>
          <cell r="C252">
            <v>85.539015059167852</v>
          </cell>
          <cell r="D252">
            <v>87.191802782111381</v>
          </cell>
          <cell r="E252">
            <v>87.93044279972672</v>
          </cell>
          <cell r="F252">
            <v>87.926326687395317</v>
          </cell>
          <cell r="G252">
            <v>88.012648922856741</v>
          </cell>
          <cell r="H252">
            <v>88.137373491774497</v>
          </cell>
          <cell r="I252">
            <v>88.185192477897118</v>
          </cell>
          <cell r="J252">
            <v>88.615965731394567</v>
          </cell>
          <cell r="K252">
            <v>88.44375650020325</v>
          </cell>
          <cell r="L252">
            <v>87.580699822254786</v>
          </cell>
          <cell r="M252">
            <v>87.580699822254772</v>
          </cell>
          <cell r="N252">
            <v>87.75358097180866</v>
          </cell>
          <cell r="O252">
            <v>89.131798505275782</v>
          </cell>
          <cell r="P252">
            <v>89.774929192783034</v>
          </cell>
          <cell r="Q252">
            <v>89.946122201569466</v>
          </cell>
          <cell r="R252">
            <v>90.544285348853563</v>
          </cell>
          <cell r="S252">
            <v>90.842780955387099</v>
          </cell>
          <cell r="T252">
            <v>90.842780955387099</v>
          </cell>
          <cell r="U252">
            <v>90.842780955387099</v>
          </cell>
          <cell r="V252">
            <v>90.842780955387099</v>
          </cell>
          <cell r="W252">
            <v>90.842780955387099</v>
          </cell>
          <cell r="X252">
            <v>90.842780955387099</v>
          </cell>
          <cell r="Y252">
            <v>90.842780955387099</v>
          </cell>
          <cell r="Z252">
            <v>90.842780955387099</v>
          </cell>
          <cell r="AA252">
            <v>90.842780955387099</v>
          </cell>
          <cell r="AB252">
            <v>90.842780955387099</v>
          </cell>
          <cell r="AC252">
            <v>90.842780955387099</v>
          </cell>
          <cell r="AD252">
            <v>90.842780955387099</v>
          </cell>
          <cell r="AE252">
            <v>90.842780955387099</v>
          </cell>
          <cell r="AF252">
            <v>90.842780955387099</v>
          </cell>
        </row>
        <row r="253">
          <cell r="A253" t="str">
            <v>Tennessee</v>
          </cell>
          <cell r="B253">
            <v>88.85782955593551</v>
          </cell>
          <cell r="C253">
            <v>89.039633167365977</v>
          </cell>
          <cell r="D253">
            <v>90.760059951011158</v>
          </cell>
          <cell r="E253">
            <v>91.528928240711608</v>
          </cell>
          <cell r="F253">
            <v>91.524643679662972</v>
          </cell>
          <cell r="G253">
            <v>91.614498585922476</v>
          </cell>
          <cell r="H253">
            <v>91.744327411467324</v>
          </cell>
          <cell r="I253">
            <v>91.79410335265446</v>
          </cell>
          <cell r="J253">
            <v>92.242505668757815</v>
          </cell>
          <cell r="K253">
            <v>92.06324890782011</v>
          </cell>
          <cell r="L253">
            <v>91.164872302080312</v>
          </cell>
          <cell r="M253">
            <v>91.164872302080298</v>
          </cell>
          <cell r="N253">
            <v>91.344828479120451</v>
          </cell>
          <cell r="O253">
            <v>92.779448500403873</v>
          </cell>
          <cell r="P253">
            <v>93.448898814447276</v>
          </cell>
          <cell r="Q253">
            <v>93.627097764863251</v>
          </cell>
          <cell r="R253">
            <v>94.249740276839475</v>
          </cell>
          <cell r="S253">
            <v>94.56045158546786</v>
          </cell>
          <cell r="T253">
            <v>94.56045158546786</v>
          </cell>
          <cell r="U253">
            <v>94.56045158546786</v>
          </cell>
          <cell r="V253">
            <v>94.56045158546786</v>
          </cell>
          <cell r="W253">
            <v>94.56045158546786</v>
          </cell>
          <cell r="X253">
            <v>94.56045158546786</v>
          </cell>
          <cell r="Y253">
            <v>94.56045158546786</v>
          </cell>
          <cell r="Z253">
            <v>94.56045158546786</v>
          </cell>
          <cell r="AA253">
            <v>94.56045158546786</v>
          </cell>
          <cell r="AB253">
            <v>94.56045158546786</v>
          </cell>
          <cell r="AC253">
            <v>94.56045158546786</v>
          </cell>
          <cell r="AD253">
            <v>94.56045158546786</v>
          </cell>
          <cell r="AE253">
            <v>94.56045158546786</v>
          </cell>
          <cell r="AF253">
            <v>94.56045158546786</v>
          </cell>
        </row>
        <row r="254">
          <cell r="A254" t="str">
            <v>Texas</v>
          </cell>
          <cell r="B254">
            <v>88.724782849633584</v>
          </cell>
          <cell r="C254">
            <v>88.906314246766115</v>
          </cell>
          <cell r="D254">
            <v>90.624165037748114</v>
          </cell>
          <cell r="E254">
            <v>91.391882102013142</v>
          </cell>
          <cell r="F254">
            <v>91.387603956231828</v>
          </cell>
          <cell r="G254">
            <v>91.47732432286351</v>
          </cell>
          <cell r="H254">
            <v>91.606958755885913</v>
          </cell>
          <cell r="I254">
            <v>91.656660167624622</v>
          </cell>
          <cell r="J254">
            <v>92.104391091555129</v>
          </cell>
          <cell r="K254">
            <v>91.925402731519696</v>
          </cell>
          <cell r="L254">
            <v>91.028371263839333</v>
          </cell>
          <cell r="M254">
            <v>91.028371263839333</v>
          </cell>
          <cell r="N254">
            <v>91.208057992742468</v>
          </cell>
          <cell r="O254">
            <v>92.640529959435966</v>
          </cell>
          <cell r="P254">
            <v>93.308977906442479</v>
          </cell>
          <cell r="Q254">
            <v>93.486910039814447</v>
          </cell>
          <cell r="R254">
            <v>94.108620270011656</v>
          </cell>
          <cell r="S254">
            <v>94.418866351023837</v>
          </cell>
          <cell r="T254">
            <v>94.418866351023837</v>
          </cell>
          <cell r="U254">
            <v>94.418866351023837</v>
          </cell>
          <cell r="V254">
            <v>94.418866351023837</v>
          </cell>
          <cell r="W254">
            <v>94.418866351023837</v>
          </cell>
          <cell r="X254">
            <v>94.418866351023837</v>
          </cell>
          <cell r="Y254">
            <v>94.418866351023837</v>
          </cell>
          <cell r="Z254">
            <v>94.418866351023837</v>
          </cell>
          <cell r="AA254">
            <v>94.418866351023837</v>
          </cell>
          <cell r="AB254">
            <v>94.418866351023837</v>
          </cell>
          <cell r="AC254">
            <v>94.418866351023837</v>
          </cell>
          <cell r="AD254">
            <v>94.418866351023837</v>
          </cell>
          <cell r="AE254">
            <v>94.418866351023837</v>
          </cell>
          <cell r="AF254">
            <v>94.418866351023837</v>
          </cell>
        </row>
        <row r="255">
          <cell r="A255" t="str">
            <v>Utah</v>
          </cell>
          <cell r="B255">
            <v>101.49401708739366</v>
          </cell>
          <cell r="C255">
            <v>101.70167440850187</v>
          </cell>
          <cell r="D255">
            <v>103.666757578432</v>
          </cell>
          <cell r="E255">
            <v>104.54496416667298</v>
          </cell>
          <cell r="F255">
            <v>104.54007031191128</v>
          </cell>
          <cell r="G255">
            <v>104.64270319678893</v>
          </cell>
          <cell r="H255">
            <v>104.79099456406776</v>
          </cell>
          <cell r="I255">
            <v>104.84784898253194</v>
          </cell>
          <cell r="J255">
            <v>105.36001715679474</v>
          </cell>
          <cell r="K255">
            <v>105.15526886563612</v>
          </cell>
          <cell r="L255">
            <v>104.12913699825273</v>
          </cell>
          <cell r="M255">
            <v>104.12913699825273</v>
          </cell>
          <cell r="N255">
            <v>104.33468416723909</v>
          </cell>
          <cell r="O255">
            <v>105.97331690992159</v>
          </cell>
          <cell r="P255">
            <v>106.73796761039711</v>
          </cell>
          <cell r="Q255">
            <v>106.94150766318548</v>
          </cell>
          <cell r="R255">
            <v>107.65269417388089</v>
          </cell>
          <cell r="S255">
            <v>108.00759074320713</v>
          </cell>
          <cell r="T255">
            <v>108.00759074320713</v>
          </cell>
          <cell r="U255">
            <v>108.00759074320713</v>
          </cell>
          <cell r="V255">
            <v>108.00759074320713</v>
          </cell>
          <cell r="W255">
            <v>108.00759074320713</v>
          </cell>
          <cell r="X255">
            <v>108.00759074320713</v>
          </cell>
          <cell r="Y255">
            <v>108.00759074320713</v>
          </cell>
          <cell r="Z255">
            <v>108.00759074320713</v>
          </cell>
          <cell r="AA255">
            <v>108.00759074320713</v>
          </cell>
          <cell r="AB255">
            <v>108.00759074320713</v>
          </cell>
          <cell r="AC255">
            <v>108.00759074320713</v>
          </cell>
          <cell r="AD255">
            <v>108.00759074320713</v>
          </cell>
          <cell r="AE255">
            <v>108.00759074320713</v>
          </cell>
          <cell r="AF255">
            <v>108.00759074320713</v>
          </cell>
        </row>
        <row r="256">
          <cell r="A256" t="str">
            <v>Vermont</v>
          </cell>
          <cell r="B256">
            <v>88.125654006065119</v>
          </cell>
          <cell r="C256">
            <v>88.305959582265274</v>
          </cell>
          <cell r="D256">
            <v>90.012210300248867</v>
          </cell>
          <cell r="E256">
            <v>90.774743227431486</v>
          </cell>
          <cell r="F256">
            <v>90.770493970540656</v>
          </cell>
          <cell r="G256">
            <v>90.859608485483776</v>
          </cell>
          <cell r="H256">
            <v>90.988367540450071</v>
          </cell>
          <cell r="I256">
            <v>91.037733335144864</v>
          </cell>
          <cell r="J256">
            <v>91.482440881592069</v>
          </cell>
          <cell r="K256">
            <v>91.304661170208234</v>
          </cell>
          <cell r="L256">
            <v>90.413687056613355</v>
          </cell>
          <cell r="M256">
            <v>90.413687056613341</v>
          </cell>
          <cell r="N256">
            <v>90.59216042101292</v>
          </cell>
          <cell r="O256">
            <v>92.014959382653245</v>
          </cell>
          <cell r="P256">
            <v>92.678893523791629</v>
          </cell>
          <cell r="Q256">
            <v>92.855624140857998</v>
          </cell>
          <cell r="R256">
            <v>93.47313616938834</v>
          </cell>
          <cell r="S256">
            <v>93.781287262170935</v>
          </cell>
          <cell r="T256">
            <v>93.781287262170935</v>
          </cell>
          <cell r="U256">
            <v>93.781287262170935</v>
          </cell>
          <cell r="V256">
            <v>93.781287262170935</v>
          </cell>
          <cell r="W256">
            <v>93.781287262170935</v>
          </cell>
          <cell r="X256">
            <v>93.781287262170935</v>
          </cell>
          <cell r="Y256">
            <v>93.781287262170935</v>
          </cell>
          <cell r="Z256">
            <v>93.781287262170935</v>
          </cell>
          <cell r="AA256">
            <v>93.781287262170935</v>
          </cell>
          <cell r="AB256">
            <v>93.781287262170935</v>
          </cell>
          <cell r="AC256">
            <v>93.781287262170935</v>
          </cell>
          <cell r="AD256">
            <v>93.781287262170935</v>
          </cell>
          <cell r="AE256">
            <v>93.781287262170935</v>
          </cell>
          <cell r="AF256">
            <v>93.781287262170935</v>
          </cell>
        </row>
        <row r="257">
          <cell r="A257" t="str">
            <v>Virginia</v>
          </cell>
          <cell r="B257">
            <v>88.857829555935496</v>
          </cell>
          <cell r="C257">
            <v>89.039633167365992</v>
          </cell>
          <cell r="D257">
            <v>90.760059951011158</v>
          </cell>
          <cell r="E257">
            <v>91.528928240711636</v>
          </cell>
          <cell r="F257">
            <v>91.524643679662944</v>
          </cell>
          <cell r="G257">
            <v>91.614498585922476</v>
          </cell>
          <cell r="H257">
            <v>91.744327411467282</v>
          </cell>
          <cell r="I257">
            <v>91.794103352654474</v>
          </cell>
          <cell r="J257">
            <v>92.242505668757829</v>
          </cell>
          <cell r="K257">
            <v>92.063248907820068</v>
          </cell>
          <cell r="L257">
            <v>91.164872302080312</v>
          </cell>
          <cell r="M257">
            <v>91.164872302080326</v>
          </cell>
          <cell r="N257">
            <v>91.344828479120451</v>
          </cell>
          <cell r="O257">
            <v>92.779448500403873</v>
          </cell>
          <cell r="P257">
            <v>93.44889881444729</v>
          </cell>
          <cell r="Q257">
            <v>93.627097764863251</v>
          </cell>
          <cell r="R257">
            <v>94.249740276839489</v>
          </cell>
          <cell r="S257">
            <v>94.560451585467874</v>
          </cell>
          <cell r="T257">
            <v>94.560451585467874</v>
          </cell>
          <cell r="U257">
            <v>94.560451585467874</v>
          </cell>
          <cell r="V257">
            <v>94.560451585467874</v>
          </cell>
          <cell r="W257">
            <v>94.560451585467874</v>
          </cell>
          <cell r="X257">
            <v>94.560451585467874</v>
          </cell>
          <cell r="Y257">
            <v>94.560451585467874</v>
          </cell>
          <cell r="Z257">
            <v>94.560451585467874</v>
          </cell>
          <cell r="AA257">
            <v>94.560451585467874</v>
          </cell>
          <cell r="AB257">
            <v>94.560451585467874</v>
          </cell>
          <cell r="AC257">
            <v>94.560451585467874</v>
          </cell>
          <cell r="AD257">
            <v>94.560451585467874</v>
          </cell>
          <cell r="AE257">
            <v>94.560451585467874</v>
          </cell>
          <cell r="AF257">
            <v>94.560451585467874</v>
          </cell>
        </row>
        <row r="258">
          <cell r="A258" t="str">
            <v>Washington</v>
          </cell>
          <cell r="B258">
            <v>101.49401708739363</v>
          </cell>
          <cell r="C258">
            <v>101.70167440850187</v>
          </cell>
          <cell r="D258">
            <v>103.666757578432</v>
          </cell>
          <cell r="E258">
            <v>104.54496416667298</v>
          </cell>
          <cell r="F258">
            <v>104.54007031191129</v>
          </cell>
          <cell r="G258">
            <v>104.64270319678893</v>
          </cell>
          <cell r="H258">
            <v>104.79099456406782</v>
          </cell>
          <cell r="I258">
            <v>104.84784898253196</v>
          </cell>
          <cell r="J258">
            <v>105.36001715679475</v>
          </cell>
          <cell r="K258">
            <v>105.15526886563612</v>
          </cell>
          <cell r="L258">
            <v>104.12913699825273</v>
          </cell>
          <cell r="M258">
            <v>104.12913699825275</v>
          </cell>
          <cell r="N258">
            <v>104.33468416723912</v>
          </cell>
          <cell r="O258">
            <v>105.97331690992161</v>
          </cell>
          <cell r="P258">
            <v>106.73796761039709</v>
          </cell>
          <cell r="Q258">
            <v>106.94150766318548</v>
          </cell>
          <cell r="R258">
            <v>107.65269417388089</v>
          </cell>
          <cell r="S258">
            <v>108.00759074320712</v>
          </cell>
          <cell r="T258">
            <v>108.00759074320712</v>
          </cell>
          <cell r="U258">
            <v>108.00759074320712</v>
          </cell>
          <cell r="V258">
            <v>108.00759074320712</v>
          </cell>
          <cell r="W258">
            <v>108.00759074320712</v>
          </cell>
          <cell r="X258">
            <v>108.00759074320712</v>
          </cell>
          <cell r="Y258">
            <v>108.00759074320712</v>
          </cell>
          <cell r="Z258">
            <v>108.00759074320712</v>
          </cell>
          <cell r="AA258">
            <v>108.00759074320712</v>
          </cell>
          <cell r="AB258">
            <v>108.00759074320712</v>
          </cell>
          <cell r="AC258">
            <v>108.00759074320712</v>
          </cell>
          <cell r="AD258">
            <v>108.00759074320712</v>
          </cell>
          <cell r="AE258">
            <v>108.00759074320712</v>
          </cell>
          <cell r="AF258">
            <v>108.00759074320712</v>
          </cell>
        </row>
        <row r="259">
          <cell r="A259" t="str">
            <v>West Virginia</v>
          </cell>
          <cell r="B259">
            <v>88.125654006065147</v>
          </cell>
          <cell r="C259">
            <v>88.305959582265288</v>
          </cell>
          <cell r="D259">
            <v>90.012210300248881</v>
          </cell>
          <cell r="E259">
            <v>90.774743227431458</v>
          </cell>
          <cell r="F259">
            <v>90.770493970540628</v>
          </cell>
          <cell r="G259">
            <v>90.859608485483761</v>
          </cell>
          <cell r="H259">
            <v>90.988367540450042</v>
          </cell>
          <cell r="I259">
            <v>91.037733335144864</v>
          </cell>
          <cell r="J259">
            <v>91.482440881592041</v>
          </cell>
          <cell r="K259">
            <v>91.30466117020822</v>
          </cell>
          <cell r="L259">
            <v>90.413687056613341</v>
          </cell>
          <cell r="M259">
            <v>90.413687056613341</v>
          </cell>
          <cell r="N259">
            <v>90.592160421012949</v>
          </cell>
          <cell r="O259">
            <v>92.014959382653245</v>
          </cell>
          <cell r="P259">
            <v>92.678893523791601</v>
          </cell>
          <cell r="Q259">
            <v>92.855624140858012</v>
          </cell>
          <cell r="R259">
            <v>93.473136169388326</v>
          </cell>
          <cell r="S259">
            <v>93.78128726217092</v>
          </cell>
          <cell r="T259">
            <v>93.78128726217092</v>
          </cell>
          <cell r="U259">
            <v>93.78128726217092</v>
          </cell>
          <cell r="V259">
            <v>93.78128726217092</v>
          </cell>
          <cell r="W259">
            <v>93.78128726217092</v>
          </cell>
          <cell r="X259">
            <v>93.78128726217092</v>
          </cell>
          <cell r="Y259">
            <v>93.78128726217092</v>
          </cell>
          <cell r="Z259">
            <v>93.78128726217092</v>
          </cell>
          <cell r="AA259">
            <v>93.78128726217092</v>
          </cell>
          <cell r="AB259">
            <v>93.78128726217092</v>
          </cell>
          <cell r="AC259">
            <v>93.78128726217092</v>
          </cell>
          <cell r="AD259">
            <v>93.78128726217092</v>
          </cell>
          <cell r="AE259">
            <v>93.78128726217092</v>
          </cell>
          <cell r="AF259">
            <v>93.78128726217092</v>
          </cell>
        </row>
        <row r="260">
          <cell r="A260" t="str">
            <v>Wisconsin</v>
          </cell>
          <cell r="B260">
            <v>88.13990854526476</v>
          </cell>
          <cell r="C260">
            <v>88.320243286331092</v>
          </cell>
          <cell r="D260">
            <v>90.026769994524528</v>
          </cell>
          <cell r="E260">
            <v>90.789426263265526</v>
          </cell>
          <cell r="F260">
            <v>90.785176319047082</v>
          </cell>
          <cell r="G260">
            <v>90.874305248480042</v>
          </cell>
          <cell r="H260">
            <v>91.003085130537102</v>
          </cell>
          <cell r="I260">
            <v>91.052458910269479</v>
          </cell>
          <cell r="J260">
            <v>91.497238389245553</v>
          </cell>
          <cell r="K260">
            <v>91.319429921560371</v>
          </cell>
          <cell r="L260">
            <v>90.428311690732315</v>
          </cell>
          <cell r="M260">
            <v>90.428311690732301</v>
          </cell>
          <cell r="N260">
            <v>90.606813923633311</v>
          </cell>
          <cell r="O260">
            <v>92.029843026471454</v>
          </cell>
          <cell r="P260">
            <v>92.693884560574418</v>
          </cell>
          <cell r="Q260">
            <v>92.870643764248612</v>
          </cell>
          <cell r="R260">
            <v>93.488255676853726</v>
          </cell>
          <cell r="S260">
            <v>93.796456613826251</v>
          </cell>
          <cell r="T260">
            <v>93.796456613826251</v>
          </cell>
          <cell r="U260">
            <v>93.796456613826251</v>
          </cell>
          <cell r="V260">
            <v>93.796456613826251</v>
          </cell>
          <cell r="W260">
            <v>93.796456613826251</v>
          </cell>
          <cell r="X260">
            <v>93.796456613826251</v>
          </cell>
          <cell r="Y260">
            <v>93.796456613826251</v>
          </cell>
          <cell r="Z260">
            <v>93.796456613826251</v>
          </cell>
          <cell r="AA260">
            <v>93.796456613826251</v>
          </cell>
          <cell r="AB260">
            <v>93.796456613826251</v>
          </cell>
          <cell r="AC260">
            <v>93.796456613826251</v>
          </cell>
          <cell r="AD260">
            <v>93.796456613826251</v>
          </cell>
          <cell r="AE260">
            <v>93.796456613826251</v>
          </cell>
          <cell r="AF260">
            <v>93.796456613826251</v>
          </cell>
        </row>
        <row r="261">
          <cell r="A261" t="str">
            <v>Wyoming</v>
          </cell>
          <cell r="B261">
            <v>85.364359107623983</v>
          </cell>
          <cell r="C261">
            <v>85.539015059167852</v>
          </cell>
          <cell r="D261">
            <v>87.191802782111409</v>
          </cell>
          <cell r="E261">
            <v>87.93044279972672</v>
          </cell>
          <cell r="F261">
            <v>87.926326687395317</v>
          </cell>
          <cell r="G261">
            <v>88.012648922856741</v>
          </cell>
          <cell r="H261">
            <v>88.137373491774511</v>
          </cell>
          <cell r="I261">
            <v>88.185192477897118</v>
          </cell>
          <cell r="J261">
            <v>88.615965731394553</v>
          </cell>
          <cell r="K261">
            <v>88.443756500203236</v>
          </cell>
          <cell r="L261">
            <v>87.5806998222548</v>
          </cell>
          <cell r="M261">
            <v>87.5806998222548</v>
          </cell>
          <cell r="N261">
            <v>87.753580971808645</v>
          </cell>
          <cell r="O261">
            <v>89.131798505275782</v>
          </cell>
          <cell r="P261">
            <v>89.77492919278302</v>
          </cell>
          <cell r="Q261">
            <v>89.94612220156948</v>
          </cell>
          <cell r="R261">
            <v>90.544285348853577</v>
          </cell>
          <cell r="S261">
            <v>90.842780955387099</v>
          </cell>
          <cell r="T261">
            <v>90.842780955387099</v>
          </cell>
          <cell r="U261">
            <v>90.842780955387099</v>
          </cell>
          <cell r="V261">
            <v>90.842780955387099</v>
          </cell>
          <cell r="W261">
            <v>90.842780955387099</v>
          </cell>
          <cell r="X261">
            <v>90.842780955387099</v>
          </cell>
          <cell r="Y261">
            <v>90.842780955387099</v>
          </cell>
          <cell r="Z261">
            <v>90.842780955387099</v>
          </cell>
          <cell r="AA261">
            <v>90.842780955387099</v>
          </cell>
          <cell r="AB261">
            <v>90.842780955387099</v>
          </cell>
          <cell r="AC261">
            <v>90.842780955387099</v>
          </cell>
          <cell r="AD261">
            <v>90.842780955387099</v>
          </cell>
          <cell r="AE261">
            <v>90.842780955387099</v>
          </cell>
          <cell r="AF261">
            <v>90.842780955387099</v>
          </cell>
        </row>
        <row r="263">
          <cell r="A263" t="str">
            <v>Beef Replacements 7-11 months</v>
          </cell>
          <cell r="B263">
            <v>1990</v>
          </cell>
          <cell r="C263">
            <v>1991</v>
          </cell>
          <cell r="D263">
            <v>1992</v>
          </cell>
          <cell r="E263">
            <v>1993</v>
          </cell>
          <cell r="F263">
            <v>1994</v>
          </cell>
          <cell r="G263">
            <v>1995</v>
          </cell>
          <cell r="H263">
            <v>1996</v>
          </cell>
          <cell r="I263">
            <v>1997</v>
          </cell>
          <cell r="J263">
            <v>1998</v>
          </cell>
          <cell r="K263">
            <v>1999</v>
          </cell>
          <cell r="L263">
            <v>2000</v>
          </cell>
          <cell r="M263">
            <v>2001</v>
          </cell>
          <cell r="N263">
            <v>2002</v>
          </cell>
          <cell r="O263">
            <v>2003</v>
          </cell>
          <cell r="P263">
            <v>2004</v>
          </cell>
          <cell r="Q263">
            <v>2005</v>
          </cell>
          <cell r="R263">
            <v>2006</v>
          </cell>
          <cell r="S263">
            <v>2007</v>
          </cell>
          <cell r="T263">
            <v>2008</v>
          </cell>
          <cell r="U263">
            <v>2009</v>
          </cell>
          <cell r="V263">
            <v>2010</v>
          </cell>
          <cell r="W263">
            <v>2011</v>
          </cell>
          <cell r="X263">
            <v>2012</v>
          </cell>
          <cell r="Y263">
            <v>2013</v>
          </cell>
          <cell r="Z263">
            <v>2014</v>
          </cell>
          <cell r="AA263">
            <v>2015</v>
          </cell>
          <cell r="AB263">
            <v>2016</v>
          </cell>
          <cell r="AC263">
            <v>2017</v>
          </cell>
          <cell r="AD263">
            <v>2018</v>
          </cell>
          <cell r="AE263">
            <v>2019</v>
          </cell>
          <cell r="AF263">
            <v>2020</v>
          </cell>
        </row>
        <row r="264">
          <cell r="A264" t="str">
            <v>Alabama</v>
          </cell>
          <cell r="B264">
            <v>54.052413519197323</v>
          </cell>
          <cell r="C264">
            <v>54.238345164012088</v>
          </cell>
          <cell r="D264">
            <v>55.990791422660649</v>
          </cell>
          <cell r="E264">
            <v>56.847596457639916</v>
          </cell>
          <cell r="F264">
            <v>56.876392734225796</v>
          </cell>
          <cell r="G264">
            <v>57.062536361547899</v>
          </cell>
          <cell r="H264">
            <v>57.167497874768102</v>
          </cell>
          <cell r="I264">
            <v>57.255931302978667</v>
          </cell>
          <cell r="J264">
            <v>57.697427826175968</v>
          </cell>
          <cell r="K264">
            <v>57.471132838635022</v>
          </cell>
          <cell r="L264">
            <v>56.503914765676534</v>
          </cell>
          <cell r="M264">
            <v>56.528812479166007</v>
          </cell>
          <cell r="N264">
            <v>56.693562009224785</v>
          </cell>
          <cell r="O264">
            <v>58.249126121384165</v>
          </cell>
          <cell r="P264">
            <v>58.873818023632637</v>
          </cell>
          <cell r="Q264">
            <v>59.039949600757716</v>
          </cell>
          <cell r="R264">
            <v>59.766667580792948</v>
          </cell>
          <cell r="S264">
            <v>60.141551331225131</v>
          </cell>
          <cell r="T264">
            <v>60.141551331225131</v>
          </cell>
          <cell r="U264">
            <v>60.141551331225131</v>
          </cell>
          <cell r="V264">
            <v>60.141551331225131</v>
          </cell>
          <cell r="W264">
            <v>60.141551331225131</v>
          </cell>
          <cell r="X264">
            <v>60.141551331225131</v>
          </cell>
          <cell r="Y264">
            <v>60.141551331225131</v>
          </cell>
          <cell r="Z264">
            <v>60.141551331225131</v>
          </cell>
          <cell r="AA264">
            <v>60.141551331225131</v>
          </cell>
          <cell r="AB264">
            <v>60.141551331225131</v>
          </cell>
          <cell r="AC264">
            <v>60.141551331225131</v>
          </cell>
          <cell r="AD264">
            <v>60.141551331225131</v>
          </cell>
          <cell r="AE264">
            <v>60.141551331225131</v>
          </cell>
          <cell r="AF264">
            <v>60.141551331225131</v>
          </cell>
        </row>
        <row r="265">
          <cell r="A265" t="str">
            <v>Alaska</v>
          </cell>
          <cell r="B265">
            <v>62.997442293063607</v>
          </cell>
          <cell r="C265">
            <v>63.221205623977944</v>
          </cell>
          <cell r="D265">
            <v>65.330223332803513</v>
          </cell>
          <cell r="E265">
            <v>66.359140585431746</v>
          </cell>
          <cell r="F265">
            <v>66.392431666763969</v>
          </cell>
          <cell r="G265">
            <v>66.613438075685565</v>
          </cell>
          <cell r="H265">
            <v>66.740159623334407</v>
          </cell>
          <cell r="I265">
            <v>66.84578441041586</v>
          </cell>
          <cell r="J265">
            <v>67.37750437583928</v>
          </cell>
          <cell r="K265">
            <v>67.106579138870273</v>
          </cell>
          <cell r="L265">
            <v>65.944396155713008</v>
          </cell>
          <cell r="M265">
            <v>65.973566223972483</v>
          </cell>
          <cell r="N265">
            <v>66.172399676457445</v>
          </cell>
          <cell r="O265">
            <v>68.041136391214224</v>
          </cell>
          <cell r="P265">
            <v>68.794415441173101</v>
          </cell>
          <cell r="Q265">
            <v>68.994752460364083</v>
          </cell>
          <cell r="R265">
            <v>69.866225235003924</v>
          </cell>
          <cell r="S265">
            <v>70.315470644735683</v>
          </cell>
          <cell r="T265">
            <v>70.315470644735683</v>
          </cell>
          <cell r="U265">
            <v>70.315470644735683</v>
          </cell>
          <cell r="V265">
            <v>70.315470644735683</v>
          </cell>
          <cell r="W265">
            <v>70.315470644735683</v>
          </cell>
          <cell r="X265">
            <v>70.315470644735683</v>
          </cell>
          <cell r="Y265">
            <v>70.315470644735683</v>
          </cell>
          <cell r="Z265">
            <v>70.315470644735683</v>
          </cell>
          <cell r="AA265">
            <v>70.315470644735683</v>
          </cell>
          <cell r="AB265">
            <v>70.315470644735683</v>
          </cell>
          <cell r="AC265">
            <v>70.315470644735683</v>
          </cell>
          <cell r="AD265">
            <v>70.315470644735683</v>
          </cell>
          <cell r="AE265">
            <v>70.315470644735683</v>
          </cell>
          <cell r="AF265">
            <v>70.315470644735683</v>
          </cell>
        </row>
        <row r="266">
          <cell r="A266" t="str">
            <v>Arizona</v>
          </cell>
          <cell r="B266">
            <v>62.997442293063607</v>
          </cell>
          <cell r="C266">
            <v>63.22120562397793</v>
          </cell>
          <cell r="D266">
            <v>65.330223332803499</v>
          </cell>
          <cell r="E266">
            <v>66.359140585431732</v>
          </cell>
          <cell r="F266">
            <v>66.392431666763954</v>
          </cell>
          <cell r="G266">
            <v>66.613438075685579</v>
          </cell>
          <cell r="H266">
            <v>66.740159623334392</v>
          </cell>
          <cell r="I266">
            <v>66.845784410415874</v>
          </cell>
          <cell r="J266">
            <v>67.37750437583928</v>
          </cell>
          <cell r="K266">
            <v>67.106579138870288</v>
          </cell>
          <cell r="L266">
            <v>65.944396155713008</v>
          </cell>
          <cell r="M266">
            <v>65.973566223972483</v>
          </cell>
          <cell r="N266">
            <v>66.172399676457431</v>
          </cell>
          <cell r="O266">
            <v>68.041136391214238</v>
          </cell>
          <cell r="P266">
            <v>68.794415441173101</v>
          </cell>
          <cell r="Q266">
            <v>68.994752460364083</v>
          </cell>
          <cell r="R266">
            <v>69.86622523500391</v>
          </cell>
          <cell r="S266">
            <v>70.315470644735683</v>
          </cell>
          <cell r="T266">
            <v>70.315470644735683</v>
          </cell>
          <cell r="U266">
            <v>70.315470644735683</v>
          </cell>
          <cell r="V266">
            <v>70.315470644735683</v>
          </cell>
          <cell r="W266">
            <v>70.315470644735683</v>
          </cell>
          <cell r="X266">
            <v>70.315470644735683</v>
          </cell>
          <cell r="Y266">
            <v>70.315470644735683</v>
          </cell>
          <cell r="Z266">
            <v>70.315470644735683</v>
          </cell>
          <cell r="AA266">
            <v>70.315470644735683</v>
          </cell>
          <cell r="AB266">
            <v>70.315470644735683</v>
          </cell>
          <cell r="AC266">
            <v>70.315470644735683</v>
          </cell>
          <cell r="AD266">
            <v>70.315470644735683</v>
          </cell>
          <cell r="AE266">
            <v>70.315470644735683</v>
          </cell>
          <cell r="AF266">
            <v>70.315470644735683</v>
          </cell>
        </row>
        <row r="267">
          <cell r="A267" t="str">
            <v>Arkansas</v>
          </cell>
          <cell r="B267">
            <v>53.961096804486907</v>
          </cell>
          <cell r="C267">
            <v>54.14665418112088</v>
          </cell>
          <cell r="D267">
            <v>55.895572884318376</v>
          </cell>
          <cell r="E267">
            <v>56.750672159242555</v>
          </cell>
          <cell r="F267">
            <v>56.779422092263196</v>
          </cell>
          <cell r="G267">
            <v>56.965216680083842</v>
          </cell>
          <cell r="H267">
            <v>57.069963476524201</v>
          </cell>
          <cell r="I267">
            <v>57.158225727518733</v>
          </cell>
          <cell r="J267">
            <v>57.598830210618374</v>
          </cell>
          <cell r="K267">
            <v>57.372978694362516</v>
          </cell>
          <cell r="L267">
            <v>56.407691930673828</v>
          </cell>
          <cell r="M267">
            <v>56.432546286340028</v>
          </cell>
          <cell r="N267">
            <v>56.596959397977749</v>
          </cell>
          <cell r="O267">
            <v>58.149420706290208</v>
          </cell>
          <cell r="P267">
            <v>58.772842534454156</v>
          </cell>
          <cell r="Q267">
            <v>58.938636271339639</v>
          </cell>
          <cell r="R267">
            <v>59.663917915815162</v>
          </cell>
          <cell r="S267">
            <v>60.03806337211816</v>
          </cell>
          <cell r="T267">
            <v>60.03806337211816</v>
          </cell>
          <cell r="U267">
            <v>60.03806337211816</v>
          </cell>
          <cell r="V267">
            <v>60.03806337211816</v>
          </cell>
          <cell r="W267">
            <v>60.03806337211816</v>
          </cell>
          <cell r="X267">
            <v>60.03806337211816</v>
          </cell>
          <cell r="Y267">
            <v>60.03806337211816</v>
          </cell>
          <cell r="Z267">
            <v>60.03806337211816</v>
          </cell>
          <cell r="AA267">
            <v>60.03806337211816</v>
          </cell>
          <cell r="AB267">
            <v>60.03806337211816</v>
          </cell>
          <cell r="AC267">
            <v>60.03806337211816</v>
          </cell>
          <cell r="AD267">
            <v>60.03806337211816</v>
          </cell>
          <cell r="AE267">
            <v>60.03806337211816</v>
          </cell>
          <cell r="AF267">
            <v>60.03806337211816</v>
          </cell>
        </row>
        <row r="268">
          <cell r="A268" t="str">
            <v>California</v>
          </cell>
          <cell r="B268">
            <v>53.30601369261008</v>
          </cell>
          <cell r="C268">
            <v>53.488893234736487</v>
          </cell>
          <cell r="D268">
            <v>55.212572790352581</v>
          </cell>
          <cell r="E268">
            <v>56.055465731850639</v>
          </cell>
          <cell r="F268">
            <v>56.083882936829156</v>
          </cell>
          <cell r="G268">
            <v>56.26717766654717</v>
          </cell>
          <cell r="H268">
            <v>56.370388534601723</v>
          </cell>
          <cell r="I268">
            <v>56.457425363280187</v>
          </cell>
          <cell r="J268">
            <v>56.891647758149986</v>
          </cell>
          <cell r="K268">
            <v>56.668970402979227</v>
          </cell>
          <cell r="L268">
            <v>55.717503419524924</v>
          </cell>
          <cell r="M268">
            <v>55.742046889360331</v>
          </cell>
          <cell r="N268">
            <v>55.904053448450703</v>
          </cell>
          <cell r="O268">
            <v>57.434311839317225</v>
          </cell>
          <cell r="P268">
            <v>58.048647715884591</v>
          </cell>
          <cell r="Q268">
            <v>58.212024593125967</v>
          </cell>
          <cell r="R268">
            <v>58.927026850700436</v>
          </cell>
          <cell r="S268">
            <v>59.295888309341372</v>
          </cell>
          <cell r="T268">
            <v>59.295888309341372</v>
          </cell>
          <cell r="U268">
            <v>59.295888309341372</v>
          </cell>
          <cell r="V268">
            <v>59.295888309341372</v>
          </cell>
          <cell r="W268">
            <v>59.295888309341372</v>
          </cell>
          <cell r="X268">
            <v>59.295888309341372</v>
          </cell>
          <cell r="Y268">
            <v>59.295888309341372</v>
          </cell>
          <cell r="Z268">
            <v>59.295888309341372</v>
          </cell>
          <cell r="AA268">
            <v>59.295888309341372</v>
          </cell>
          <cell r="AB268">
            <v>59.295888309341372</v>
          </cell>
          <cell r="AC268">
            <v>59.295888309341372</v>
          </cell>
          <cell r="AD268">
            <v>59.295888309341372</v>
          </cell>
          <cell r="AE268">
            <v>59.295888309341372</v>
          </cell>
          <cell r="AF268">
            <v>59.295888309341372</v>
          </cell>
        </row>
        <row r="269">
          <cell r="A269" t="str">
            <v>Colorado</v>
          </cell>
          <cell r="B269">
            <v>51.672797068572876</v>
          </cell>
          <cell r="C269">
            <v>51.849054481769564</v>
          </cell>
          <cell r="D269">
            <v>53.510319091142236</v>
          </cell>
          <cell r="E269">
            <v>54.323012152579814</v>
          </cell>
          <cell r="F269">
            <v>54.350597745451822</v>
          </cell>
          <cell r="G269">
            <v>54.52769105574361</v>
          </cell>
          <cell r="H269">
            <v>54.62710626271916</v>
          </cell>
          <cell r="I269">
            <v>54.711107521800308</v>
          </cell>
          <cell r="J269">
            <v>55.129549908936212</v>
          </cell>
          <cell r="K269">
            <v>54.914731185495803</v>
          </cell>
          <cell r="L269">
            <v>53.997451548532553</v>
          </cell>
          <cell r="M269">
            <v>54.02122110015754</v>
          </cell>
          <cell r="N269">
            <v>54.177280018678168</v>
          </cell>
          <cell r="O269">
            <v>55.652610360009483</v>
          </cell>
          <cell r="P269">
            <v>56.244486750342723</v>
          </cell>
          <cell r="Q269">
            <v>56.401889468812342</v>
          </cell>
          <cell r="R269">
            <v>57.091451345711967</v>
          </cell>
          <cell r="S269">
            <v>57.44723343305315</v>
          </cell>
          <cell r="T269">
            <v>57.44723343305315</v>
          </cell>
          <cell r="U269">
            <v>57.44723343305315</v>
          </cell>
          <cell r="V269">
            <v>57.44723343305315</v>
          </cell>
          <cell r="W269">
            <v>57.44723343305315</v>
          </cell>
          <cell r="X269">
            <v>57.44723343305315</v>
          </cell>
          <cell r="Y269">
            <v>57.44723343305315</v>
          </cell>
          <cell r="Z269">
            <v>57.44723343305315</v>
          </cell>
          <cell r="AA269">
            <v>57.44723343305315</v>
          </cell>
          <cell r="AB269">
            <v>57.44723343305315</v>
          </cell>
          <cell r="AC269">
            <v>57.44723343305315</v>
          </cell>
          <cell r="AD269">
            <v>57.44723343305315</v>
          </cell>
          <cell r="AE269">
            <v>57.44723343305315</v>
          </cell>
          <cell r="AF269">
            <v>57.44723343305315</v>
          </cell>
        </row>
        <row r="270">
          <cell r="A270" t="str">
            <v>Connecticut</v>
          </cell>
          <cell r="B270">
            <v>53.55059705694056</v>
          </cell>
          <cell r="C270">
            <v>53.734474947676283</v>
          </cell>
          <cell r="D270">
            <v>55.467564146800321</v>
          </cell>
          <cell r="E270">
            <v>56.315008231068774</v>
          </cell>
          <cell r="F270">
            <v>56.34354971988575</v>
          </cell>
          <cell r="G270">
            <v>56.527776966978607</v>
          </cell>
          <cell r="H270">
            <v>56.631560389016769</v>
          </cell>
          <cell r="I270">
            <v>56.719054217876781</v>
          </cell>
          <cell r="J270">
            <v>57.15565591107849</v>
          </cell>
          <cell r="K270">
            <v>56.931794922126791</v>
          </cell>
          <cell r="L270">
            <v>55.975175338677609</v>
          </cell>
          <cell r="M270">
            <v>55.999834850264662</v>
          </cell>
          <cell r="N270">
            <v>56.16273852139647</v>
          </cell>
          <cell r="O270">
            <v>57.701275168797437</v>
          </cell>
          <cell r="P270">
            <v>58.318998207745793</v>
          </cell>
          <cell r="Q270">
            <v>58.483276067378931</v>
          </cell>
          <cell r="R270">
            <v>59.202111218634663</v>
          </cell>
          <cell r="S270">
            <v>59.572942986011284</v>
          </cell>
          <cell r="T270">
            <v>59.572942986011284</v>
          </cell>
          <cell r="U270">
            <v>59.572942986011284</v>
          </cell>
          <cell r="V270">
            <v>59.572942986011284</v>
          </cell>
          <cell r="W270">
            <v>59.572942986011284</v>
          </cell>
          <cell r="X270">
            <v>59.572942986011284</v>
          </cell>
          <cell r="Y270">
            <v>59.572942986011284</v>
          </cell>
          <cell r="Z270">
            <v>59.572942986011284</v>
          </cell>
          <cell r="AA270">
            <v>59.572942986011284</v>
          </cell>
          <cell r="AB270">
            <v>59.572942986011284</v>
          </cell>
          <cell r="AC270">
            <v>59.572942986011284</v>
          </cell>
          <cell r="AD270">
            <v>59.572942986011284</v>
          </cell>
          <cell r="AE270">
            <v>59.572942986011284</v>
          </cell>
          <cell r="AF270">
            <v>59.572942986011284</v>
          </cell>
        </row>
        <row r="271">
          <cell r="A271" t="str">
            <v>Delaware</v>
          </cell>
          <cell r="B271">
            <v>53.55059705694056</v>
          </cell>
          <cell r="C271">
            <v>53.734474947676283</v>
          </cell>
          <cell r="D271">
            <v>55.467564146800321</v>
          </cell>
          <cell r="E271">
            <v>56.315008231068774</v>
          </cell>
          <cell r="F271">
            <v>56.34354971988575</v>
          </cell>
          <cell r="G271">
            <v>56.5277769669786</v>
          </cell>
          <cell r="H271">
            <v>56.631560389016769</v>
          </cell>
          <cell r="I271">
            <v>56.719054217876781</v>
          </cell>
          <cell r="J271">
            <v>57.15565591107849</v>
          </cell>
          <cell r="K271">
            <v>56.931794922126798</v>
          </cell>
          <cell r="L271">
            <v>55.975175338677573</v>
          </cell>
          <cell r="M271">
            <v>55.999834850264662</v>
          </cell>
          <cell r="N271">
            <v>56.162738521396463</v>
          </cell>
          <cell r="O271">
            <v>57.701275168797437</v>
          </cell>
          <cell r="P271">
            <v>58.318998207745786</v>
          </cell>
          <cell r="Q271">
            <v>58.483276067378938</v>
          </cell>
          <cell r="R271">
            <v>59.20211121863467</v>
          </cell>
          <cell r="S271">
            <v>59.572942986011299</v>
          </cell>
          <cell r="T271">
            <v>59.572942986011299</v>
          </cell>
          <cell r="U271">
            <v>59.572942986011299</v>
          </cell>
          <cell r="V271">
            <v>59.572942986011299</v>
          </cell>
          <cell r="W271">
            <v>59.572942986011299</v>
          </cell>
          <cell r="X271">
            <v>59.572942986011299</v>
          </cell>
          <cell r="Y271">
            <v>59.572942986011299</v>
          </cell>
          <cell r="Z271">
            <v>59.572942986011299</v>
          </cell>
          <cell r="AA271">
            <v>59.572942986011299</v>
          </cell>
          <cell r="AB271">
            <v>59.572942986011299</v>
          </cell>
          <cell r="AC271">
            <v>59.572942986011299</v>
          </cell>
          <cell r="AD271">
            <v>59.572942986011299</v>
          </cell>
          <cell r="AE271">
            <v>59.572942986011299</v>
          </cell>
          <cell r="AF271">
            <v>59.572942986011299</v>
          </cell>
        </row>
        <row r="272">
          <cell r="A272" t="str">
            <v>Florida</v>
          </cell>
          <cell r="B272">
            <v>54.052413519197337</v>
          </cell>
          <cell r="C272">
            <v>54.238345164012102</v>
          </cell>
          <cell r="D272">
            <v>55.990791422660671</v>
          </cell>
          <cell r="E272">
            <v>56.847596457639916</v>
          </cell>
          <cell r="F272">
            <v>56.876392734225782</v>
          </cell>
          <cell r="G272">
            <v>57.062536361547899</v>
          </cell>
          <cell r="H272">
            <v>57.167497874768102</v>
          </cell>
          <cell r="I272">
            <v>57.255931302978674</v>
          </cell>
          <cell r="J272">
            <v>57.697427826175961</v>
          </cell>
          <cell r="K272">
            <v>57.471132838635015</v>
          </cell>
          <cell r="L272">
            <v>56.503914765676534</v>
          </cell>
          <cell r="M272">
            <v>56.528812479166</v>
          </cell>
          <cell r="N272">
            <v>56.69356200922477</v>
          </cell>
          <cell r="O272">
            <v>58.249126121384151</v>
          </cell>
          <cell r="P272">
            <v>58.87381802363263</v>
          </cell>
          <cell r="Q272">
            <v>59.039949600757716</v>
          </cell>
          <cell r="R272">
            <v>59.766667580792955</v>
          </cell>
          <cell r="S272">
            <v>60.141551331225131</v>
          </cell>
          <cell r="T272">
            <v>60.141551331225131</v>
          </cell>
          <cell r="U272">
            <v>60.141551331225131</v>
          </cell>
          <cell r="V272">
            <v>60.141551331225131</v>
          </cell>
          <cell r="W272">
            <v>60.141551331225131</v>
          </cell>
          <cell r="X272">
            <v>60.141551331225131</v>
          </cell>
          <cell r="Y272">
            <v>60.141551331225131</v>
          </cell>
          <cell r="Z272">
            <v>60.141551331225131</v>
          </cell>
          <cell r="AA272">
            <v>60.141551331225131</v>
          </cell>
          <cell r="AB272">
            <v>60.141551331225131</v>
          </cell>
          <cell r="AC272">
            <v>60.141551331225131</v>
          </cell>
          <cell r="AD272">
            <v>60.141551331225131</v>
          </cell>
          <cell r="AE272">
            <v>60.141551331225131</v>
          </cell>
          <cell r="AF272">
            <v>60.141551331225131</v>
          </cell>
        </row>
        <row r="273">
          <cell r="A273" t="str">
            <v>Georgia</v>
          </cell>
          <cell r="B273">
            <v>54.052413519197344</v>
          </cell>
          <cell r="C273">
            <v>54.238345164012095</v>
          </cell>
          <cell r="D273">
            <v>55.990791422660649</v>
          </cell>
          <cell r="E273">
            <v>56.847596457639924</v>
          </cell>
          <cell r="F273">
            <v>56.876392734225796</v>
          </cell>
          <cell r="G273">
            <v>57.062536361547899</v>
          </cell>
          <cell r="H273">
            <v>57.167497874768081</v>
          </cell>
          <cell r="I273">
            <v>57.255931302978674</v>
          </cell>
          <cell r="J273">
            <v>57.697427826175975</v>
          </cell>
          <cell r="K273">
            <v>57.471132838635022</v>
          </cell>
          <cell r="L273">
            <v>56.503914765676534</v>
          </cell>
          <cell r="M273">
            <v>56.528812479166007</v>
          </cell>
          <cell r="N273">
            <v>56.693562009224777</v>
          </cell>
          <cell r="O273">
            <v>58.249126121384158</v>
          </cell>
          <cell r="P273">
            <v>58.873818023632637</v>
          </cell>
          <cell r="Q273">
            <v>59.039949600757723</v>
          </cell>
          <cell r="R273">
            <v>59.766667580792948</v>
          </cell>
          <cell r="S273">
            <v>60.141551331225109</v>
          </cell>
          <cell r="T273">
            <v>60.141551331225109</v>
          </cell>
          <cell r="U273">
            <v>60.141551331225109</v>
          </cell>
          <cell r="V273">
            <v>60.141551331225109</v>
          </cell>
          <cell r="W273">
            <v>60.141551331225109</v>
          </cell>
          <cell r="X273">
            <v>60.141551331225109</v>
          </cell>
          <cell r="Y273">
            <v>60.141551331225109</v>
          </cell>
          <cell r="Z273">
            <v>60.141551331225109</v>
          </cell>
          <cell r="AA273">
            <v>60.141551331225109</v>
          </cell>
          <cell r="AB273">
            <v>60.141551331225109</v>
          </cell>
          <cell r="AC273">
            <v>60.141551331225109</v>
          </cell>
          <cell r="AD273">
            <v>60.141551331225109</v>
          </cell>
          <cell r="AE273">
            <v>60.141551331225109</v>
          </cell>
          <cell r="AF273">
            <v>60.141551331225109</v>
          </cell>
        </row>
        <row r="274">
          <cell r="A274" t="str">
            <v>Hawaii</v>
          </cell>
          <cell r="B274">
            <v>62.9974422930636</v>
          </cell>
          <cell r="C274">
            <v>63.221205623977916</v>
          </cell>
          <cell r="D274">
            <v>65.330223332803513</v>
          </cell>
          <cell r="E274">
            <v>66.359140585431732</v>
          </cell>
          <cell r="F274">
            <v>66.392431666763954</v>
          </cell>
          <cell r="G274">
            <v>66.613438075685579</v>
          </cell>
          <cell r="H274">
            <v>66.740159623334378</v>
          </cell>
          <cell r="I274">
            <v>66.845784410415874</v>
          </cell>
          <cell r="J274">
            <v>67.37750437583928</v>
          </cell>
          <cell r="K274">
            <v>67.106579138870288</v>
          </cell>
          <cell r="L274">
            <v>65.944396155712994</v>
          </cell>
          <cell r="M274">
            <v>65.973566223972512</v>
          </cell>
          <cell r="N274">
            <v>66.172399676457445</v>
          </cell>
          <cell r="O274">
            <v>68.041136391214209</v>
          </cell>
          <cell r="P274">
            <v>68.794415441173129</v>
          </cell>
          <cell r="Q274">
            <v>68.994752460364097</v>
          </cell>
          <cell r="R274">
            <v>69.86622523500391</v>
          </cell>
          <cell r="S274">
            <v>70.315470644735697</v>
          </cell>
          <cell r="T274">
            <v>70.315470644735697</v>
          </cell>
          <cell r="U274">
            <v>70.315470644735697</v>
          </cell>
          <cell r="V274">
            <v>70.315470644735697</v>
          </cell>
          <cell r="W274">
            <v>70.315470644735697</v>
          </cell>
          <cell r="X274">
            <v>70.315470644735697</v>
          </cell>
          <cell r="Y274">
            <v>70.315470644735697</v>
          </cell>
          <cell r="Z274">
            <v>70.315470644735697</v>
          </cell>
          <cell r="AA274">
            <v>70.315470644735697</v>
          </cell>
          <cell r="AB274">
            <v>70.315470644735697</v>
          </cell>
          <cell r="AC274">
            <v>70.315470644735697</v>
          </cell>
          <cell r="AD274">
            <v>70.315470644735697</v>
          </cell>
          <cell r="AE274">
            <v>70.315470644735697</v>
          </cell>
          <cell r="AF274">
            <v>70.315470644735697</v>
          </cell>
        </row>
        <row r="275">
          <cell r="A275" t="str">
            <v>Idaho</v>
          </cell>
          <cell r="B275">
            <v>62.9974422930636</v>
          </cell>
          <cell r="C275">
            <v>63.22120562397793</v>
          </cell>
          <cell r="D275">
            <v>65.330223332803513</v>
          </cell>
          <cell r="E275">
            <v>66.359140585431732</v>
          </cell>
          <cell r="F275">
            <v>66.39243166676394</v>
          </cell>
          <cell r="G275">
            <v>66.613438075685579</v>
          </cell>
          <cell r="H275">
            <v>66.740159623334392</v>
          </cell>
          <cell r="I275">
            <v>66.845784410415874</v>
          </cell>
          <cell r="J275">
            <v>67.37750437583928</v>
          </cell>
          <cell r="K275">
            <v>67.106579138870273</v>
          </cell>
          <cell r="L275">
            <v>65.944396155713022</v>
          </cell>
          <cell r="M275">
            <v>65.973566223972497</v>
          </cell>
          <cell r="N275">
            <v>66.172399676457431</v>
          </cell>
          <cell r="O275">
            <v>68.041136391214209</v>
          </cell>
          <cell r="P275">
            <v>68.794415441173101</v>
          </cell>
          <cell r="Q275">
            <v>68.994752460364083</v>
          </cell>
          <cell r="R275">
            <v>69.866225235003924</v>
          </cell>
          <cell r="S275">
            <v>70.315470644735669</v>
          </cell>
          <cell r="T275">
            <v>70.315470644735669</v>
          </cell>
          <cell r="U275">
            <v>70.315470644735669</v>
          </cell>
          <cell r="V275">
            <v>70.315470644735669</v>
          </cell>
          <cell r="W275">
            <v>70.315470644735669</v>
          </cell>
          <cell r="X275">
            <v>70.315470644735669</v>
          </cell>
          <cell r="Y275">
            <v>70.315470644735669</v>
          </cell>
          <cell r="Z275">
            <v>70.315470644735669</v>
          </cell>
          <cell r="AA275">
            <v>70.315470644735669</v>
          </cell>
          <cell r="AB275">
            <v>70.315470644735669</v>
          </cell>
          <cell r="AC275">
            <v>70.315470644735669</v>
          </cell>
          <cell r="AD275">
            <v>70.315470644735669</v>
          </cell>
          <cell r="AE275">
            <v>70.315470644735669</v>
          </cell>
          <cell r="AF275">
            <v>70.315470644735669</v>
          </cell>
        </row>
        <row r="276">
          <cell r="A276" t="str">
            <v>Illinois</v>
          </cell>
          <cell r="B276">
            <v>53.56035796273413</v>
          </cell>
          <cell r="C276">
            <v>53.744275730784821</v>
          </cell>
          <cell r="D276">
            <v>55.477740781903137</v>
          </cell>
          <cell r="E276">
            <v>56.325366644465333</v>
          </cell>
          <cell r="F276">
            <v>56.353913091900523</v>
          </cell>
          <cell r="G276">
            <v>56.538177574241757</v>
          </cell>
          <cell r="H276">
            <v>56.641983867643255</v>
          </cell>
          <cell r="I276">
            <v>56.729495947244963</v>
          </cell>
          <cell r="J276">
            <v>57.166192679051129</v>
          </cell>
          <cell r="K276">
            <v>56.942284417780634</v>
          </cell>
          <cell r="L276">
            <v>55.985459030253253</v>
          </cell>
          <cell r="M276">
            <v>56.010123173621139</v>
          </cell>
          <cell r="N276">
            <v>56.173062680690272</v>
          </cell>
          <cell r="O276">
            <v>57.711929974868355</v>
          </cell>
          <cell r="P276">
            <v>58.3297883143509</v>
          </cell>
          <cell r="Q276">
            <v>58.494102163850386</v>
          </cell>
          <cell r="R276">
            <v>59.21309040047521</v>
          </cell>
          <cell r="S276">
            <v>59.584000860453934</v>
          </cell>
          <cell r="T276">
            <v>59.584000860453934</v>
          </cell>
          <cell r="U276">
            <v>59.584000860453934</v>
          </cell>
          <cell r="V276">
            <v>59.584000860453934</v>
          </cell>
          <cell r="W276">
            <v>59.584000860453934</v>
          </cell>
          <cell r="X276">
            <v>59.584000860453934</v>
          </cell>
          <cell r="Y276">
            <v>59.584000860453934</v>
          </cell>
          <cell r="Z276">
            <v>59.584000860453934</v>
          </cell>
          <cell r="AA276">
            <v>59.584000860453934</v>
          </cell>
          <cell r="AB276">
            <v>59.584000860453934</v>
          </cell>
          <cell r="AC276">
            <v>59.584000860453934</v>
          </cell>
          <cell r="AD276">
            <v>59.584000860453934</v>
          </cell>
          <cell r="AE276">
            <v>59.584000860453934</v>
          </cell>
          <cell r="AF276">
            <v>59.584000860453934</v>
          </cell>
        </row>
        <row r="277">
          <cell r="A277" t="str">
            <v>Indiana</v>
          </cell>
          <cell r="B277">
            <v>53.560357962734138</v>
          </cell>
          <cell r="C277">
            <v>53.7442757307848</v>
          </cell>
          <cell r="D277">
            <v>55.477740781903137</v>
          </cell>
          <cell r="E277">
            <v>56.325366644465326</v>
          </cell>
          <cell r="F277">
            <v>56.353913091900516</v>
          </cell>
          <cell r="G277">
            <v>56.538177574241757</v>
          </cell>
          <cell r="H277">
            <v>56.641983867643269</v>
          </cell>
          <cell r="I277">
            <v>56.72949594724497</v>
          </cell>
          <cell r="J277">
            <v>57.166192679051129</v>
          </cell>
          <cell r="K277">
            <v>56.942284417780641</v>
          </cell>
          <cell r="L277">
            <v>55.985459030253267</v>
          </cell>
          <cell r="M277">
            <v>56.010123173621139</v>
          </cell>
          <cell r="N277">
            <v>56.173062680690272</v>
          </cell>
          <cell r="O277">
            <v>57.711929974868333</v>
          </cell>
          <cell r="P277">
            <v>58.329788314350907</v>
          </cell>
          <cell r="Q277">
            <v>58.494102163850386</v>
          </cell>
          <cell r="R277">
            <v>59.21309040047521</v>
          </cell>
          <cell r="S277">
            <v>59.584000860453948</v>
          </cell>
          <cell r="T277">
            <v>59.584000860453948</v>
          </cell>
          <cell r="U277">
            <v>59.584000860453948</v>
          </cell>
          <cell r="V277">
            <v>59.584000860453948</v>
          </cell>
          <cell r="W277">
            <v>59.584000860453948</v>
          </cell>
          <cell r="X277">
            <v>59.584000860453948</v>
          </cell>
          <cell r="Y277">
            <v>59.584000860453948</v>
          </cell>
          <cell r="Z277">
            <v>59.584000860453948</v>
          </cell>
          <cell r="AA277">
            <v>59.584000860453948</v>
          </cell>
          <cell r="AB277">
            <v>59.584000860453948</v>
          </cell>
          <cell r="AC277">
            <v>59.584000860453948</v>
          </cell>
          <cell r="AD277">
            <v>59.584000860453948</v>
          </cell>
          <cell r="AE277">
            <v>59.584000860453948</v>
          </cell>
          <cell r="AF277">
            <v>59.584000860453948</v>
          </cell>
        </row>
        <row r="278">
          <cell r="A278" t="str">
            <v>Iowa</v>
          </cell>
          <cell r="B278">
            <v>53.560357962734145</v>
          </cell>
          <cell r="C278">
            <v>53.744275730784807</v>
          </cell>
          <cell r="D278">
            <v>55.477740781903151</v>
          </cell>
          <cell r="E278">
            <v>56.325366644465312</v>
          </cell>
          <cell r="F278">
            <v>56.353913091900537</v>
          </cell>
          <cell r="G278">
            <v>56.538177574241757</v>
          </cell>
          <cell r="H278">
            <v>56.641983867643269</v>
          </cell>
          <cell r="I278">
            <v>56.72949594724497</v>
          </cell>
          <cell r="J278">
            <v>57.166192679051129</v>
          </cell>
          <cell r="K278">
            <v>56.942284417780627</v>
          </cell>
          <cell r="L278">
            <v>55.985459030253253</v>
          </cell>
          <cell r="M278">
            <v>56.010123173621139</v>
          </cell>
          <cell r="N278">
            <v>56.173062680690251</v>
          </cell>
          <cell r="O278">
            <v>57.71192997486834</v>
          </cell>
          <cell r="P278">
            <v>58.329788314350893</v>
          </cell>
          <cell r="Q278">
            <v>58.494102163850393</v>
          </cell>
          <cell r="R278">
            <v>59.21309040047521</v>
          </cell>
          <cell r="S278">
            <v>59.584000860453941</v>
          </cell>
          <cell r="T278">
            <v>59.584000860453941</v>
          </cell>
          <cell r="U278">
            <v>59.584000860453941</v>
          </cell>
          <cell r="V278">
            <v>59.584000860453941</v>
          </cell>
          <cell r="W278">
            <v>59.584000860453941</v>
          </cell>
          <cell r="X278">
            <v>59.584000860453941</v>
          </cell>
          <cell r="Y278">
            <v>59.584000860453941</v>
          </cell>
          <cell r="Z278">
            <v>59.584000860453941</v>
          </cell>
          <cell r="AA278">
            <v>59.584000860453941</v>
          </cell>
          <cell r="AB278">
            <v>59.584000860453941</v>
          </cell>
          <cell r="AC278">
            <v>59.584000860453941</v>
          </cell>
          <cell r="AD278">
            <v>59.584000860453941</v>
          </cell>
          <cell r="AE278">
            <v>59.584000860453941</v>
          </cell>
          <cell r="AF278">
            <v>59.584000860453941</v>
          </cell>
        </row>
        <row r="279">
          <cell r="A279" t="str">
            <v>Kansas</v>
          </cell>
          <cell r="B279">
            <v>51.672797068572862</v>
          </cell>
          <cell r="C279">
            <v>51.849054481769564</v>
          </cell>
          <cell r="D279">
            <v>53.510319091142229</v>
          </cell>
          <cell r="E279">
            <v>54.3230121525798</v>
          </cell>
          <cell r="F279">
            <v>54.350597745451829</v>
          </cell>
          <cell r="G279">
            <v>54.527691055743603</v>
          </cell>
          <cell r="H279">
            <v>54.627106262719167</v>
          </cell>
          <cell r="I279">
            <v>54.711107521800322</v>
          </cell>
          <cell r="J279">
            <v>55.129549908936205</v>
          </cell>
          <cell r="K279">
            <v>54.914731185495803</v>
          </cell>
          <cell r="L279">
            <v>53.997451548532567</v>
          </cell>
          <cell r="M279">
            <v>54.021221100157547</v>
          </cell>
          <cell r="N279">
            <v>54.177280018678168</v>
          </cell>
          <cell r="O279">
            <v>55.652610360009476</v>
          </cell>
          <cell r="P279">
            <v>56.24448675034273</v>
          </cell>
          <cell r="Q279">
            <v>56.40188946881235</v>
          </cell>
          <cell r="R279">
            <v>57.091451345711974</v>
          </cell>
          <cell r="S279">
            <v>57.447233433053157</v>
          </cell>
          <cell r="T279">
            <v>57.447233433053157</v>
          </cell>
          <cell r="U279">
            <v>57.447233433053157</v>
          </cell>
          <cell r="V279">
            <v>57.447233433053157</v>
          </cell>
          <cell r="W279">
            <v>57.447233433053157</v>
          </cell>
          <cell r="X279">
            <v>57.447233433053157</v>
          </cell>
          <cell r="Y279">
            <v>57.447233433053157</v>
          </cell>
          <cell r="Z279">
            <v>57.447233433053157</v>
          </cell>
          <cell r="AA279">
            <v>57.447233433053157</v>
          </cell>
          <cell r="AB279">
            <v>57.447233433053157</v>
          </cell>
          <cell r="AC279">
            <v>57.447233433053157</v>
          </cell>
          <cell r="AD279">
            <v>57.447233433053157</v>
          </cell>
          <cell r="AE279">
            <v>57.447233433053157</v>
          </cell>
          <cell r="AF279">
            <v>57.447233433053157</v>
          </cell>
        </row>
        <row r="280">
          <cell r="A280" t="str">
            <v>Kentucky</v>
          </cell>
          <cell r="B280">
            <v>54.052413519197316</v>
          </cell>
          <cell r="C280">
            <v>54.238345164012095</v>
          </cell>
          <cell r="D280">
            <v>55.990791422660656</v>
          </cell>
          <cell r="E280">
            <v>56.847596457639916</v>
          </cell>
          <cell r="F280">
            <v>56.876392734225789</v>
          </cell>
          <cell r="G280">
            <v>57.062536361547913</v>
          </cell>
          <cell r="H280">
            <v>57.167497874768102</v>
          </cell>
          <cell r="I280">
            <v>57.255931302978667</v>
          </cell>
          <cell r="J280">
            <v>57.697427826175961</v>
          </cell>
          <cell r="K280">
            <v>57.471132838635036</v>
          </cell>
          <cell r="L280">
            <v>56.503914765676534</v>
          </cell>
          <cell r="M280">
            <v>56.528812479166007</v>
          </cell>
          <cell r="N280">
            <v>56.693562009224777</v>
          </cell>
          <cell r="O280">
            <v>58.249126121384144</v>
          </cell>
          <cell r="P280">
            <v>58.873818023632637</v>
          </cell>
          <cell r="Q280">
            <v>59.039949600757737</v>
          </cell>
          <cell r="R280">
            <v>59.766667580792948</v>
          </cell>
          <cell r="S280">
            <v>60.141551331225124</v>
          </cell>
          <cell r="T280">
            <v>60.141551331225124</v>
          </cell>
          <cell r="U280">
            <v>60.141551331225124</v>
          </cell>
          <cell r="V280">
            <v>60.141551331225124</v>
          </cell>
          <cell r="W280">
            <v>60.141551331225124</v>
          </cell>
          <cell r="X280">
            <v>60.141551331225124</v>
          </cell>
          <cell r="Y280">
            <v>60.141551331225124</v>
          </cell>
          <cell r="Z280">
            <v>60.141551331225124</v>
          </cell>
          <cell r="AA280">
            <v>60.141551331225124</v>
          </cell>
          <cell r="AB280">
            <v>60.141551331225124</v>
          </cell>
          <cell r="AC280">
            <v>60.141551331225124</v>
          </cell>
          <cell r="AD280">
            <v>60.141551331225124</v>
          </cell>
          <cell r="AE280">
            <v>60.141551331225124</v>
          </cell>
          <cell r="AF280">
            <v>60.141551331225124</v>
          </cell>
        </row>
        <row r="281">
          <cell r="A281" t="str">
            <v>Louisiana</v>
          </cell>
          <cell r="B281">
            <v>53.961096804486921</v>
          </cell>
          <cell r="C281">
            <v>54.146654181120887</v>
          </cell>
          <cell r="D281">
            <v>55.895572884318376</v>
          </cell>
          <cell r="E281">
            <v>56.750672159242541</v>
          </cell>
          <cell r="F281">
            <v>56.779422092263189</v>
          </cell>
          <cell r="G281">
            <v>56.965216680083834</v>
          </cell>
          <cell r="H281">
            <v>57.069963476524194</v>
          </cell>
          <cell r="I281">
            <v>57.15822572751874</v>
          </cell>
          <cell r="J281">
            <v>57.598830210618367</v>
          </cell>
          <cell r="K281">
            <v>57.372978694362516</v>
          </cell>
          <cell r="L281">
            <v>56.407691930673835</v>
          </cell>
          <cell r="M281">
            <v>56.43254628634002</v>
          </cell>
          <cell r="N281">
            <v>56.59695939797777</v>
          </cell>
          <cell r="O281">
            <v>58.149420706290215</v>
          </cell>
          <cell r="P281">
            <v>58.772842534454156</v>
          </cell>
          <cell r="Q281">
            <v>58.938636271339618</v>
          </cell>
          <cell r="R281">
            <v>59.663917915815155</v>
          </cell>
          <cell r="S281">
            <v>60.03806337211816</v>
          </cell>
          <cell r="T281">
            <v>60.03806337211816</v>
          </cell>
          <cell r="U281">
            <v>60.03806337211816</v>
          </cell>
          <cell r="V281">
            <v>60.03806337211816</v>
          </cell>
          <cell r="W281">
            <v>60.03806337211816</v>
          </cell>
          <cell r="X281">
            <v>60.03806337211816</v>
          </cell>
          <cell r="Y281">
            <v>60.03806337211816</v>
          </cell>
          <cell r="Z281">
            <v>60.03806337211816</v>
          </cell>
          <cell r="AA281">
            <v>60.03806337211816</v>
          </cell>
          <cell r="AB281">
            <v>60.03806337211816</v>
          </cell>
          <cell r="AC281">
            <v>60.03806337211816</v>
          </cell>
          <cell r="AD281">
            <v>60.03806337211816</v>
          </cell>
          <cell r="AE281">
            <v>60.03806337211816</v>
          </cell>
          <cell r="AF281">
            <v>60.03806337211816</v>
          </cell>
        </row>
        <row r="282">
          <cell r="A282" t="str">
            <v>Maine</v>
          </cell>
          <cell r="B282">
            <v>53.550597056940546</v>
          </cell>
          <cell r="C282">
            <v>53.734474947676283</v>
          </cell>
          <cell r="D282">
            <v>55.467564146800321</v>
          </cell>
          <cell r="E282">
            <v>56.315008231068767</v>
          </cell>
          <cell r="F282">
            <v>56.343549719885743</v>
          </cell>
          <cell r="G282">
            <v>56.527776966978578</v>
          </cell>
          <cell r="H282">
            <v>56.631560389016748</v>
          </cell>
          <cell r="I282">
            <v>56.719054217876781</v>
          </cell>
          <cell r="J282">
            <v>57.155655911078505</v>
          </cell>
          <cell r="K282">
            <v>56.931794922126784</v>
          </cell>
          <cell r="L282">
            <v>55.975175338677609</v>
          </cell>
          <cell r="M282">
            <v>55.999834850264669</v>
          </cell>
          <cell r="N282">
            <v>56.16273852139647</v>
          </cell>
          <cell r="O282">
            <v>57.701275168797437</v>
          </cell>
          <cell r="P282">
            <v>58.318998207745793</v>
          </cell>
          <cell r="Q282">
            <v>58.483276067378931</v>
          </cell>
          <cell r="R282">
            <v>59.202111218634663</v>
          </cell>
          <cell r="S282">
            <v>59.572942986011284</v>
          </cell>
          <cell r="T282">
            <v>59.572942986011284</v>
          </cell>
          <cell r="U282">
            <v>59.572942986011284</v>
          </cell>
          <cell r="V282">
            <v>59.572942986011284</v>
          </cell>
          <cell r="W282">
            <v>59.572942986011284</v>
          </cell>
          <cell r="X282">
            <v>59.572942986011284</v>
          </cell>
          <cell r="Y282">
            <v>59.572942986011284</v>
          </cell>
          <cell r="Z282">
            <v>59.572942986011284</v>
          </cell>
          <cell r="AA282">
            <v>59.572942986011284</v>
          </cell>
          <cell r="AB282">
            <v>59.572942986011284</v>
          </cell>
          <cell r="AC282">
            <v>59.572942986011284</v>
          </cell>
          <cell r="AD282">
            <v>59.572942986011284</v>
          </cell>
          <cell r="AE282">
            <v>59.572942986011284</v>
          </cell>
          <cell r="AF282">
            <v>59.572942986011284</v>
          </cell>
        </row>
        <row r="283">
          <cell r="A283" t="str">
            <v>Maryland</v>
          </cell>
          <cell r="B283">
            <v>53.550597056940546</v>
          </cell>
          <cell r="C283">
            <v>53.734474947676276</v>
          </cell>
          <cell r="D283">
            <v>55.467564146800321</v>
          </cell>
          <cell r="E283">
            <v>56.315008231068774</v>
          </cell>
          <cell r="F283">
            <v>56.34354971988575</v>
          </cell>
          <cell r="G283">
            <v>56.5277769669786</v>
          </cell>
          <cell r="H283">
            <v>56.631560389016755</v>
          </cell>
          <cell r="I283">
            <v>56.719054217876774</v>
          </cell>
          <cell r="J283">
            <v>57.155655911078512</v>
          </cell>
          <cell r="K283">
            <v>56.931794922126791</v>
          </cell>
          <cell r="L283">
            <v>55.975175338677587</v>
          </cell>
          <cell r="M283">
            <v>55.999834850264669</v>
          </cell>
          <cell r="N283">
            <v>56.162738521396477</v>
          </cell>
          <cell r="O283">
            <v>57.701275168797444</v>
          </cell>
          <cell r="P283">
            <v>58.3189982077458</v>
          </cell>
          <cell r="Q283">
            <v>58.483276067378931</v>
          </cell>
          <cell r="R283">
            <v>59.202111218634663</v>
          </cell>
          <cell r="S283">
            <v>59.572942986011284</v>
          </cell>
          <cell r="T283">
            <v>59.572942986011284</v>
          </cell>
          <cell r="U283">
            <v>59.572942986011284</v>
          </cell>
          <cell r="V283">
            <v>59.572942986011284</v>
          </cell>
          <cell r="W283">
            <v>59.572942986011284</v>
          </cell>
          <cell r="X283">
            <v>59.572942986011284</v>
          </cell>
          <cell r="Y283">
            <v>59.572942986011284</v>
          </cell>
          <cell r="Z283">
            <v>59.572942986011284</v>
          </cell>
          <cell r="AA283">
            <v>59.572942986011284</v>
          </cell>
          <cell r="AB283">
            <v>59.572942986011284</v>
          </cell>
          <cell r="AC283">
            <v>59.572942986011284</v>
          </cell>
          <cell r="AD283">
            <v>59.572942986011284</v>
          </cell>
          <cell r="AE283">
            <v>59.572942986011284</v>
          </cell>
          <cell r="AF283">
            <v>59.572942986011284</v>
          </cell>
        </row>
        <row r="284">
          <cell r="A284" t="str">
            <v>Massachusetts</v>
          </cell>
          <cell r="B284">
            <v>53.550597056940553</v>
          </cell>
          <cell r="C284">
            <v>53.734474947676276</v>
          </cell>
          <cell r="D284">
            <v>55.467564146800321</v>
          </cell>
          <cell r="E284">
            <v>56.315008231068767</v>
          </cell>
          <cell r="F284">
            <v>56.343549719885758</v>
          </cell>
          <cell r="G284">
            <v>56.527776966978607</v>
          </cell>
          <cell r="H284">
            <v>56.631560389016762</v>
          </cell>
          <cell r="I284">
            <v>56.719054217876781</v>
          </cell>
          <cell r="J284">
            <v>57.15565591107849</v>
          </cell>
          <cell r="K284">
            <v>56.931794922126784</v>
          </cell>
          <cell r="L284">
            <v>55.975175338677609</v>
          </cell>
          <cell r="M284">
            <v>55.999834850264662</v>
          </cell>
          <cell r="N284">
            <v>56.16273852139647</v>
          </cell>
          <cell r="O284">
            <v>57.701275168797437</v>
          </cell>
          <cell r="P284">
            <v>58.318998207745793</v>
          </cell>
          <cell r="Q284">
            <v>58.483276067378931</v>
          </cell>
          <cell r="R284">
            <v>59.202111218634663</v>
          </cell>
          <cell r="S284">
            <v>59.572942986011284</v>
          </cell>
          <cell r="T284">
            <v>59.572942986011284</v>
          </cell>
          <cell r="U284">
            <v>59.572942986011284</v>
          </cell>
          <cell r="V284">
            <v>59.572942986011284</v>
          </cell>
          <cell r="W284">
            <v>59.572942986011284</v>
          </cell>
          <cell r="X284">
            <v>59.572942986011284</v>
          </cell>
          <cell r="Y284">
            <v>59.572942986011284</v>
          </cell>
          <cell r="Z284">
            <v>59.572942986011284</v>
          </cell>
          <cell r="AA284">
            <v>59.572942986011284</v>
          </cell>
          <cell r="AB284">
            <v>59.572942986011284</v>
          </cell>
          <cell r="AC284">
            <v>59.572942986011284</v>
          </cell>
          <cell r="AD284">
            <v>59.572942986011284</v>
          </cell>
          <cell r="AE284">
            <v>59.572942986011284</v>
          </cell>
          <cell r="AF284">
            <v>59.572942986011284</v>
          </cell>
        </row>
        <row r="285">
          <cell r="A285" t="str">
            <v>Michigan</v>
          </cell>
          <cell r="B285">
            <v>53.560357962734145</v>
          </cell>
          <cell r="C285">
            <v>53.7442757307848</v>
          </cell>
          <cell r="D285">
            <v>55.477740781903144</v>
          </cell>
          <cell r="E285">
            <v>56.325366644465312</v>
          </cell>
          <cell r="F285">
            <v>56.353913091900516</v>
          </cell>
          <cell r="G285">
            <v>56.538177574241757</v>
          </cell>
          <cell r="H285">
            <v>56.641983867643255</v>
          </cell>
          <cell r="I285">
            <v>56.72949594724497</v>
          </cell>
          <cell r="J285">
            <v>57.166192679051129</v>
          </cell>
          <cell r="K285">
            <v>56.942284417780648</v>
          </cell>
          <cell r="L285">
            <v>55.985459030253267</v>
          </cell>
          <cell r="M285">
            <v>56.010123173621146</v>
          </cell>
          <cell r="N285">
            <v>56.173062680690272</v>
          </cell>
          <cell r="O285">
            <v>57.711929974868355</v>
          </cell>
          <cell r="P285">
            <v>58.329788314350886</v>
          </cell>
          <cell r="Q285">
            <v>58.4941021638504</v>
          </cell>
          <cell r="R285">
            <v>59.213090400475224</v>
          </cell>
          <cell r="S285">
            <v>59.584000860453941</v>
          </cell>
          <cell r="T285">
            <v>59.584000860453941</v>
          </cell>
          <cell r="U285">
            <v>59.584000860453941</v>
          </cell>
          <cell r="V285">
            <v>59.584000860453941</v>
          </cell>
          <cell r="W285">
            <v>59.584000860453941</v>
          </cell>
          <cell r="X285">
            <v>59.584000860453941</v>
          </cell>
          <cell r="Y285">
            <v>59.584000860453941</v>
          </cell>
          <cell r="Z285">
            <v>59.584000860453941</v>
          </cell>
          <cell r="AA285">
            <v>59.584000860453941</v>
          </cell>
          <cell r="AB285">
            <v>59.584000860453941</v>
          </cell>
          <cell r="AC285">
            <v>59.584000860453941</v>
          </cell>
          <cell r="AD285">
            <v>59.584000860453941</v>
          </cell>
          <cell r="AE285">
            <v>59.584000860453941</v>
          </cell>
          <cell r="AF285">
            <v>59.584000860453941</v>
          </cell>
        </row>
        <row r="286">
          <cell r="A286" t="str">
            <v>Minnesota</v>
          </cell>
          <cell r="B286">
            <v>53.560357962734145</v>
          </cell>
          <cell r="C286">
            <v>53.744275730784807</v>
          </cell>
          <cell r="D286">
            <v>55.477740781903137</v>
          </cell>
          <cell r="E286">
            <v>56.325366644465326</v>
          </cell>
          <cell r="F286">
            <v>56.35391309190053</v>
          </cell>
          <cell r="G286">
            <v>56.538177574241764</v>
          </cell>
          <cell r="H286">
            <v>56.641983867643269</v>
          </cell>
          <cell r="I286">
            <v>56.729495947244963</v>
          </cell>
          <cell r="J286">
            <v>57.166192679051129</v>
          </cell>
          <cell r="K286">
            <v>56.942284417780641</v>
          </cell>
          <cell r="L286">
            <v>55.98545903025326</v>
          </cell>
          <cell r="M286">
            <v>56.010123173621153</v>
          </cell>
          <cell r="N286">
            <v>56.173062680690265</v>
          </cell>
          <cell r="O286">
            <v>57.711929974868326</v>
          </cell>
          <cell r="P286">
            <v>58.329788314350893</v>
          </cell>
          <cell r="Q286">
            <v>58.4941021638504</v>
          </cell>
          <cell r="R286">
            <v>59.213090400475188</v>
          </cell>
          <cell r="S286">
            <v>59.584000860453941</v>
          </cell>
          <cell r="T286">
            <v>59.584000860453941</v>
          </cell>
          <cell r="U286">
            <v>59.584000860453941</v>
          </cell>
          <cell r="V286">
            <v>59.584000860453941</v>
          </cell>
          <cell r="W286">
            <v>59.584000860453941</v>
          </cell>
          <cell r="X286">
            <v>59.584000860453941</v>
          </cell>
          <cell r="Y286">
            <v>59.584000860453941</v>
          </cell>
          <cell r="Z286">
            <v>59.584000860453941</v>
          </cell>
          <cell r="AA286">
            <v>59.584000860453941</v>
          </cell>
          <cell r="AB286">
            <v>59.584000860453941</v>
          </cell>
          <cell r="AC286">
            <v>59.584000860453941</v>
          </cell>
          <cell r="AD286">
            <v>59.584000860453941</v>
          </cell>
          <cell r="AE286">
            <v>59.584000860453941</v>
          </cell>
          <cell r="AF286">
            <v>59.584000860453941</v>
          </cell>
        </row>
        <row r="287">
          <cell r="A287" t="str">
            <v>Mississippi</v>
          </cell>
          <cell r="B287">
            <v>54.052413519197323</v>
          </cell>
          <cell r="C287">
            <v>54.238345164012088</v>
          </cell>
          <cell r="D287">
            <v>55.990791422660664</v>
          </cell>
          <cell r="E287">
            <v>56.847596457639909</v>
          </cell>
          <cell r="F287">
            <v>56.876392734225796</v>
          </cell>
          <cell r="G287">
            <v>57.06253636154792</v>
          </cell>
          <cell r="H287">
            <v>57.167497874768102</v>
          </cell>
          <cell r="I287">
            <v>57.255931302978659</v>
          </cell>
          <cell r="J287">
            <v>57.697427826175961</v>
          </cell>
          <cell r="K287">
            <v>57.471132838635029</v>
          </cell>
          <cell r="L287">
            <v>56.503914765676541</v>
          </cell>
          <cell r="M287">
            <v>56.528812479166014</v>
          </cell>
          <cell r="N287">
            <v>56.693562009224799</v>
          </cell>
          <cell r="O287">
            <v>58.249126121384151</v>
          </cell>
          <cell r="P287">
            <v>58.873818023632637</v>
          </cell>
          <cell r="Q287">
            <v>59.03994960075773</v>
          </cell>
          <cell r="R287">
            <v>59.766667580792976</v>
          </cell>
          <cell r="S287">
            <v>60.141551331225145</v>
          </cell>
          <cell r="T287">
            <v>60.141551331225145</v>
          </cell>
          <cell r="U287">
            <v>60.141551331225145</v>
          </cell>
          <cell r="V287">
            <v>60.141551331225145</v>
          </cell>
          <cell r="W287">
            <v>60.141551331225145</v>
          </cell>
          <cell r="X287">
            <v>60.141551331225145</v>
          </cell>
          <cell r="Y287">
            <v>60.141551331225145</v>
          </cell>
          <cell r="Z287">
            <v>60.141551331225145</v>
          </cell>
          <cell r="AA287">
            <v>60.141551331225145</v>
          </cell>
          <cell r="AB287">
            <v>60.141551331225145</v>
          </cell>
          <cell r="AC287">
            <v>60.141551331225145</v>
          </cell>
          <cell r="AD287">
            <v>60.141551331225145</v>
          </cell>
          <cell r="AE287">
            <v>60.141551331225145</v>
          </cell>
          <cell r="AF287">
            <v>60.141551331225145</v>
          </cell>
        </row>
        <row r="288">
          <cell r="A288" t="str">
            <v>Missouri</v>
          </cell>
          <cell r="B288">
            <v>53.560357962734145</v>
          </cell>
          <cell r="C288">
            <v>53.744275730784807</v>
          </cell>
          <cell r="D288">
            <v>55.477740781903137</v>
          </cell>
          <cell r="E288">
            <v>56.325366644465326</v>
          </cell>
          <cell r="F288">
            <v>56.35391309190053</v>
          </cell>
          <cell r="G288">
            <v>56.538177574241729</v>
          </cell>
          <cell r="H288">
            <v>56.641983867643255</v>
          </cell>
          <cell r="I288">
            <v>56.72949594724497</v>
          </cell>
          <cell r="J288">
            <v>57.166192679051122</v>
          </cell>
          <cell r="K288">
            <v>56.942284417780634</v>
          </cell>
          <cell r="L288">
            <v>55.985459030253246</v>
          </cell>
          <cell r="M288">
            <v>56.010123173621146</v>
          </cell>
          <cell r="N288">
            <v>56.173062680690251</v>
          </cell>
          <cell r="O288">
            <v>57.711929974868326</v>
          </cell>
          <cell r="P288">
            <v>58.329788314350893</v>
          </cell>
          <cell r="Q288">
            <v>58.494102163850393</v>
          </cell>
          <cell r="R288">
            <v>59.213090400475224</v>
          </cell>
          <cell r="S288">
            <v>59.584000860453948</v>
          </cell>
          <cell r="T288">
            <v>59.584000860453948</v>
          </cell>
          <cell r="U288">
            <v>59.584000860453948</v>
          </cell>
          <cell r="V288">
            <v>59.584000860453948</v>
          </cell>
          <cell r="W288">
            <v>59.584000860453948</v>
          </cell>
          <cell r="X288">
            <v>59.584000860453948</v>
          </cell>
          <cell r="Y288">
            <v>59.584000860453948</v>
          </cell>
          <cell r="Z288">
            <v>59.584000860453948</v>
          </cell>
          <cell r="AA288">
            <v>59.584000860453948</v>
          </cell>
          <cell r="AB288">
            <v>59.584000860453948</v>
          </cell>
          <cell r="AC288">
            <v>59.584000860453948</v>
          </cell>
          <cell r="AD288">
            <v>59.584000860453948</v>
          </cell>
          <cell r="AE288">
            <v>59.584000860453948</v>
          </cell>
          <cell r="AF288">
            <v>59.584000860453948</v>
          </cell>
        </row>
        <row r="289">
          <cell r="A289" t="str">
            <v>Montana</v>
          </cell>
          <cell r="B289">
            <v>51.672797068572855</v>
          </cell>
          <cell r="C289">
            <v>51.849054481769556</v>
          </cell>
          <cell r="D289">
            <v>53.510319091142243</v>
          </cell>
          <cell r="E289">
            <v>54.323012152579807</v>
          </cell>
          <cell r="F289">
            <v>54.350597745451822</v>
          </cell>
          <cell r="G289">
            <v>54.527691055743624</v>
          </cell>
          <cell r="H289">
            <v>54.62710626271916</v>
          </cell>
          <cell r="I289">
            <v>54.711107521800322</v>
          </cell>
          <cell r="J289">
            <v>55.129549908936212</v>
          </cell>
          <cell r="K289">
            <v>54.91473118549581</v>
          </cell>
          <cell r="L289">
            <v>53.997451548532567</v>
          </cell>
          <cell r="M289">
            <v>54.02122110015754</v>
          </cell>
          <cell r="N289">
            <v>54.177280018678175</v>
          </cell>
          <cell r="O289">
            <v>55.652610360009483</v>
          </cell>
          <cell r="P289">
            <v>56.244486750342723</v>
          </cell>
          <cell r="Q289">
            <v>56.401889468812342</v>
          </cell>
          <cell r="R289">
            <v>57.091451345711974</v>
          </cell>
          <cell r="S289">
            <v>57.44723343305315</v>
          </cell>
          <cell r="T289">
            <v>57.44723343305315</v>
          </cell>
          <cell r="U289">
            <v>57.44723343305315</v>
          </cell>
          <cell r="V289">
            <v>57.44723343305315</v>
          </cell>
          <cell r="W289">
            <v>57.44723343305315</v>
          </cell>
          <cell r="X289">
            <v>57.44723343305315</v>
          </cell>
          <cell r="Y289">
            <v>57.44723343305315</v>
          </cell>
          <cell r="Z289">
            <v>57.44723343305315</v>
          </cell>
          <cell r="AA289">
            <v>57.44723343305315</v>
          </cell>
          <cell r="AB289">
            <v>57.44723343305315</v>
          </cell>
          <cell r="AC289">
            <v>57.44723343305315</v>
          </cell>
          <cell r="AD289">
            <v>57.44723343305315</v>
          </cell>
          <cell r="AE289">
            <v>57.44723343305315</v>
          </cell>
          <cell r="AF289">
            <v>57.44723343305315</v>
          </cell>
        </row>
        <row r="290">
          <cell r="A290" t="str">
            <v>Nebraska</v>
          </cell>
          <cell r="B290">
            <v>51.672797068572883</v>
          </cell>
          <cell r="C290">
            <v>51.849054481769542</v>
          </cell>
          <cell r="D290">
            <v>53.510319091142243</v>
          </cell>
          <cell r="E290">
            <v>54.3230121525798</v>
          </cell>
          <cell r="F290">
            <v>54.350597745451807</v>
          </cell>
          <cell r="G290">
            <v>54.52769105574361</v>
          </cell>
          <cell r="H290">
            <v>54.627106262719167</v>
          </cell>
          <cell r="I290">
            <v>54.711107521800315</v>
          </cell>
          <cell r="J290">
            <v>55.129549908936212</v>
          </cell>
          <cell r="K290">
            <v>54.91473118549581</v>
          </cell>
          <cell r="L290">
            <v>53.99745154853256</v>
          </cell>
          <cell r="M290">
            <v>54.02122110015754</v>
          </cell>
          <cell r="N290">
            <v>54.177280018678175</v>
          </cell>
          <cell r="O290">
            <v>55.652610360009483</v>
          </cell>
          <cell r="P290">
            <v>56.244486750342723</v>
          </cell>
          <cell r="Q290">
            <v>56.401889468812335</v>
          </cell>
          <cell r="R290">
            <v>57.09145134571196</v>
          </cell>
          <cell r="S290">
            <v>57.447233433053157</v>
          </cell>
          <cell r="T290">
            <v>57.447233433053157</v>
          </cell>
          <cell r="U290">
            <v>57.447233433053157</v>
          </cell>
          <cell r="V290">
            <v>57.447233433053157</v>
          </cell>
          <cell r="W290">
            <v>57.447233433053157</v>
          </cell>
          <cell r="X290">
            <v>57.447233433053157</v>
          </cell>
          <cell r="Y290">
            <v>57.447233433053157</v>
          </cell>
          <cell r="Z290">
            <v>57.447233433053157</v>
          </cell>
          <cell r="AA290">
            <v>57.447233433053157</v>
          </cell>
          <cell r="AB290">
            <v>57.447233433053157</v>
          </cell>
          <cell r="AC290">
            <v>57.447233433053157</v>
          </cell>
          <cell r="AD290">
            <v>57.447233433053157</v>
          </cell>
          <cell r="AE290">
            <v>57.447233433053157</v>
          </cell>
          <cell r="AF290">
            <v>57.447233433053157</v>
          </cell>
        </row>
        <row r="291">
          <cell r="A291" t="str">
            <v>Nevada</v>
          </cell>
          <cell r="B291">
            <v>62.997442293063607</v>
          </cell>
          <cell r="C291">
            <v>63.221205623977937</v>
          </cell>
          <cell r="D291">
            <v>65.330223332803499</v>
          </cell>
          <cell r="E291">
            <v>66.359140585431746</v>
          </cell>
          <cell r="F291">
            <v>66.392431666763954</v>
          </cell>
          <cell r="G291">
            <v>66.613438075685579</v>
          </cell>
          <cell r="H291">
            <v>66.740159623334378</v>
          </cell>
          <cell r="I291">
            <v>66.84578441041586</v>
          </cell>
          <cell r="J291">
            <v>67.37750437583928</v>
          </cell>
          <cell r="K291">
            <v>67.106579138870259</v>
          </cell>
          <cell r="L291">
            <v>65.944396155713008</v>
          </cell>
          <cell r="M291">
            <v>65.973566223972497</v>
          </cell>
          <cell r="N291">
            <v>66.172399676457445</v>
          </cell>
          <cell r="O291">
            <v>68.041136391214224</v>
          </cell>
          <cell r="P291">
            <v>68.794415441173129</v>
          </cell>
          <cell r="Q291">
            <v>68.994752460364097</v>
          </cell>
          <cell r="R291">
            <v>69.866225235003924</v>
          </cell>
          <cell r="S291">
            <v>70.315470644735669</v>
          </cell>
          <cell r="T291">
            <v>70.315470644735669</v>
          </cell>
          <cell r="U291">
            <v>70.315470644735669</v>
          </cell>
          <cell r="V291">
            <v>70.315470644735669</v>
          </cell>
          <cell r="W291">
            <v>70.315470644735669</v>
          </cell>
          <cell r="X291">
            <v>70.315470644735669</v>
          </cell>
          <cell r="Y291">
            <v>70.315470644735669</v>
          </cell>
          <cell r="Z291">
            <v>70.315470644735669</v>
          </cell>
          <cell r="AA291">
            <v>70.315470644735669</v>
          </cell>
          <cell r="AB291">
            <v>70.315470644735669</v>
          </cell>
          <cell r="AC291">
            <v>70.315470644735669</v>
          </cell>
          <cell r="AD291">
            <v>70.315470644735669</v>
          </cell>
          <cell r="AE291">
            <v>70.315470644735669</v>
          </cell>
          <cell r="AF291">
            <v>70.315470644735669</v>
          </cell>
        </row>
        <row r="292">
          <cell r="A292" t="str">
            <v>New Hampshire</v>
          </cell>
          <cell r="B292">
            <v>53.55059705694056</v>
          </cell>
          <cell r="C292">
            <v>53.734474947676283</v>
          </cell>
          <cell r="D292">
            <v>55.467564146800321</v>
          </cell>
          <cell r="E292">
            <v>56.315008231068774</v>
          </cell>
          <cell r="F292">
            <v>56.34354971988575</v>
          </cell>
          <cell r="G292">
            <v>56.5277769669786</v>
          </cell>
          <cell r="H292">
            <v>56.631560389016769</v>
          </cell>
          <cell r="I292">
            <v>56.719054217876781</v>
          </cell>
          <cell r="J292">
            <v>57.155655911078497</v>
          </cell>
          <cell r="K292">
            <v>56.931794922126784</v>
          </cell>
          <cell r="L292">
            <v>55.975175338677609</v>
          </cell>
          <cell r="M292">
            <v>55.999834850264669</v>
          </cell>
          <cell r="N292">
            <v>56.16273852139647</v>
          </cell>
          <cell r="O292">
            <v>57.701275168797444</v>
          </cell>
          <cell r="P292">
            <v>58.318998207745786</v>
          </cell>
          <cell r="Q292">
            <v>58.483276067378931</v>
          </cell>
          <cell r="R292">
            <v>59.202111218634663</v>
          </cell>
          <cell r="S292">
            <v>59.572942986011284</v>
          </cell>
          <cell r="T292">
            <v>59.572942986011284</v>
          </cell>
          <cell r="U292">
            <v>59.572942986011284</v>
          </cell>
          <cell r="V292">
            <v>59.572942986011284</v>
          </cell>
          <cell r="W292">
            <v>59.572942986011284</v>
          </cell>
          <cell r="X292">
            <v>59.572942986011284</v>
          </cell>
          <cell r="Y292">
            <v>59.572942986011284</v>
          </cell>
          <cell r="Z292">
            <v>59.572942986011284</v>
          </cell>
          <cell r="AA292">
            <v>59.572942986011284</v>
          </cell>
          <cell r="AB292">
            <v>59.572942986011284</v>
          </cell>
          <cell r="AC292">
            <v>59.572942986011284</v>
          </cell>
          <cell r="AD292">
            <v>59.572942986011284</v>
          </cell>
          <cell r="AE292">
            <v>59.572942986011284</v>
          </cell>
          <cell r="AF292">
            <v>59.572942986011284</v>
          </cell>
        </row>
        <row r="293">
          <cell r="A293" t="str">
            <v>New Jersey</v>
          </cell>
          <cell r="B293">
            <v>53.55059705694056</v>
          </cell>
          <cell r="C293">
            <v>53.734474947676283</v>
          </cell>
          <cell r="D293">
            <v>55.467564146800321</v>
          </cell>
          <cell r="E293">
            <v>56.315008231068788</v>
          </cell>
          <cell r="F293">
            <v>56.34354971988575</v>
          </cell>
          <cell r="G293">
            <v>56.5277769669786</v>
          </cell>
          <cell r="H293">
            <v>56.631560389016769</v>
          </cell>
          <cell r="I293">
            <v>56.719054217876788</v>
          </cell>
          <cell r="J293">
            <v>57.15565591107849</v>
          </cell>
          <cell r="K293">
            <v>56.931794922126784</v>
          </cell>
          <cell r="L293">
            <v>55.975175338677587</v>
          </cell>
          <cell r="M293">
            <v>55.999834850264669</v>
          </cell>
          <cell r="N293">
            <v>56.162738521396477</v>
          </cell>
          <cell r="O293">
            <v>57.701275168797444</v>
          </cell>
          <cell r="P293">
            <v>58.318998207745778</v>
          </cell>
          <cell r="Q293">
            <v>58.483276067378931</v>
          </cell>
          <cell r="R293">
            <v>59.202111218634663</v>
          </cell>
          <cell r="S293">
            <v>59.572942986011284</v>
          </cell>
          <cell r="T293">
            <v>59.572942986011284</v>
          </cell>
          <cell r="U293">
            <v>59.572942986011284</v>
          </cell>
          <cell r="V293">
            <v>59.572942986011284</v>
          </cell>
          <cell r="W293">
            <v>59.572942986011284</v>
          </cell>
          <cell r="X293">
            <v>59.572942986011284</v>
          </cell>
          <cell r="Y293">
            <v>59.572942986011284</v>
          </cell>
          <cell r="Z293">
            <v>59.572942986011284</v>
          </cell>
          <cell r="AA293">
            <v>59.572942986011284</v>
          </cell>
          <cell r="AB293">
            <v>59.572942986011284</v>
          </cell>
          <cell r="AC293">
            <v>59.572942986011284</v>
          </cell>
          <cell r="AD293">
            <v>59.572942986011284</v>
          </cell>
          <cell r="AE293">
            <v>59.572942986011284</v>
          </cell>
          <cell r="AF293">
            <v>59.572942986011284</v>
          </cell>
        </row>
        <row r="294">
          <cell r="A294" t="str">
            <v>New Mexico</v>
          </cell>
          <cell r="B294">
            <v>62.997442293063614</v>
          </cell>
          <cell r="C294">
            <v>63.221205623977916</v>
          </cell>
          <cell r="D294">
            <v>65.330223332803513</v>
          </cell>
          <cell r="E294">
            <v>66.359140585431746</v>
          </cell>
          <cell r="F294">
            <v>66.392431666763954</v>
          </cell>
          <cell r="G294">
            <v>66.613438075685579</v>
          </cell>
          <cell r="H294">
            <v>66.740159623334378</v>
          </cell>
          <cell r="I294">
            <v>66.845784410415874</v>
          </cell>
          <cell r="J294">
            <v>67.377504375839266</v>
          </cell>
          <cell r="K294">
            <v>67.106579138870273</v>
          </cell>
          <cell r="L294">
            <v>65.944396155713022</v>
          </cell>
          <cell r="M294">
            <v>65.973566223972512</v>
          </cell>
          <cell r="N294">
            <v>66.172399676457431</v>
          </cell>
          <cell r="O294">
            <v>68.041136391214209</v>
          </cell>
          <cell r="P294">
            <v>68.794415441173115</v>
          </cell>
          <cell r="Q294">
            <v>68.994752460364083</v>
          </cell>
          <cell r="R294">
            <v>69.866225235003924</v>
          </cell>
          <cell r="S294">
            <v>70.315470644735669</v>
          </cell>
          <cell r="T294">
            <v>70.315470644735669</v>
          </cell>
          <cell r="U294">
            <v>70.315470644735669</v>
          </cell>
          <cell r="V294">
            <v>70.315470644735669</v>
          </cell>
          <cell r="W294">
            <v>70.315470644735669</v>
          </cell>
          <cell r="X294">
            <v>70.315470644735669</v>
          </cell>
          <cell r="Y294">
            <v>70.315470644735669</v>
          </cell>
          <cell r="Z294">
            <v>70.315470644735669</v>
          </cell>
          <cell r="AA294">
            <v>70.315470644735669</v>
          </cell>
          <cell r="AB294">
            <v>70.315470644735669</v>
          </cell>
          <cell r="AC294">
            <v>70.315470644735669</v>
          </cell>
          <cell r="AD294">
            <v>70.315470644735669</v>
          </cell>
          <cell r="AE294">
            <v>70.315470644735669</v>
          </cell>
          <cell r="AF294">
            <v>70.315470644735669</v>
          </cell>
        </row>
        <row r="295">
          <cell r="A295" t="str">
            <v>New York</v>
          </cell>
          <cell r="B295">
            <v>53.550597056940553</v>
          </cell>
          <cell r="C295">
            <v>53.734474947676276</v>
          </cell>
          <cell r="D295">
            <v>55.467564146800306</v>
          </cell>
          <cell r="E295">
            <v>56.315008231068781</v>
          </cell>
          <cell r="F295">
            <v>56.34354971988575</v>
          </cell>
          <cell r="G295">
            <v>56.527776966978607</v>
          </cell>
          <cell r="H295">
            <v>56.631560389016748</v>
          </cell>
          <cell r="I295">
            <v>56.719054217876781</v>
          </cell>
          <cell r="J295">
            <v>57.155655911078497</v>
          </cell>
          <cell r="K295">
            <v>56.931794922126791</v>
          </cell>
          <cell r="L295">
            <v>55.975175338677595</v>
          </cell>
          <cell r="M295">
            <v>55.999834850264669</v>
          </cell>
          <cell r="N295">
            <v>56.16273852139647</v>
          </cell>
          <cell r="O295">
            <v>57.701275168797437</v>
          </cell>
          <cell r="P295">
            <v>58.318998207745778</v>
          </cell>
          <cell r="Q295">
            <v>58.483276067378938</v>
          </cell>
          <cell r="R295">
            <v>59.202111218634677</v>
          </cell>
          <cell r="S295">
            <v>59.572942986011277</v>
          </cell>
          <cell r="T295">
            <v>59.572942986011277</v>
          </cell>
          <cell r="U295">
            <v>59.572942986011277</v>
          </cell>
          <cell r="V295">
            <v>59.572942986011277</v>
          </cell>
          <cell r="W295">
            <v>59.572942986011277</v>
          </cell>
          <cell r="X295">
            <v>59.572942986011277</v>
          </cell>
          <cell r="Y295">
            <v>59.572942986011277</v>
          </cell>
          <cell r="Z295">
            <v>59.572942986011277</v>
          </cell>
          <cell r="AA295">
            <v>59.572942986011277</v>
          </cell>
          <cell r="AB295">
            <v>59.572942986011277</v>
          </cell>
          <cell r="AC295">
            <v>59.572942986011277</v>
          </cell>
          <cell r="AD295">
            <v>59.572942986011277</v>
          </cell>
          <cell r="AE295">
            <v>59.572942986011277</v>
          </cell>
          <cell r="AF295">
            <v>59.572942986011277</v>
          </cell>
        </row>
        <row r="296">
          <cell r="A296" t="str">
            <v>North Carolina</v>
          </cell>
          <cell r="B296">
            <v>54.052413519197323</v>
          </cell>
          <cell r="C296">
            <v>54.238345164012095</v>
          </cell>
          <cell r="D296">
            <v>55.990791422660656</v>
          </cell>
          <cell r="E296">
            <v>56.847596457639916</v>
          </cell>
          <cell r="F296">
            <v>56.876392734225796</v>
          </cell>
          <cell r="G296">
            <v>57.062536361547906</v>
          </cell>
          <cell r="H296">
            <v>57.16749787476811</v>
          </cell>
          <cell r="I296">
            <v>57.255931302978659</v>
          </cell>
          <cell r="J296">
            <v>57.697427826175947</v>
          </cell>
          <cell r="K296">
            <v>57.471132838635022</v>
          </cell>
          <cell r="L296">
            <v>56.503914765676534</v>
          </cell>
          <cell r="M296">
            <v>56.528812479166007</v>
          </cell>
          <cell r="N296">
            <v>56.693562009224777</v>
          </cell>
          <cell r="O296">
            <v>58.249126121384151</v>
          </cell>
          <cell r="P296">
            <v>58.87381802363263</v>
          </cell>
          <cell r="Q296">
            <v>59.039949600757723</v>
          </cell>
          <cell r="R296">
            <v>59.766667580792962</v>
          </cell>
          <cell r="S296">
            <v>60.141551331225116</v>
          </cell>
          <cell r="T296">
            <v>60.141551331225116</v>
          </cell>
          <cell r="U296">
            <v>60.141551331225116</v>
          </cell>
          <cell r="V296">
            <v>60.141551331225116</v>
          </cell>
          <cell r="W296">
            <v>60.141551331225116</v>
          </cell>
          <cell r="X296">
            <v>60.141551331225116</v>
          </cell>
          <cell r="Y296">
            <v>60.141551331225116</v>
          </cell>
          <cell r="Z296">
            <v>60.141551331225116</v>
          </cell>
          <cell r="AA296">
            <v>60.141551331225116</v>
          </cell>
          <cell r="AB296">
            <v>60.141551331225116</v>
          </cell>
          <cell r="AC296">
            <v>60.141551331225116</v>
          </cell>
          <cell r="AD296">
            <v>60.141551331225116</v>
          </cell>
          <cell r="AE296">
            <v>60.141551331225116</v>
          </cell>
          <cell r="AF296">
            <v>60.141551331225116</v>
          </cell>
        </row>
        <row r="297">
          <cell r="A297" t="str">
            <v>North Dakota</v>
          </cell>
          <cell r="B297">
            <v>51.672797068572876</v>
          </cell>
          <cell r="C297">
            <v>51.849054481769542</v>
          </cell>
          <cell r="D297">
            <v>53.510319091142222</v>
          </cell>
          <cell r="E297">
            <v>54.3230121525798</v>
          </cell>
          <cell r="F297">
            <v>54.350597745451815</v>
          </cell>
          <cell r="G297">
            <v>54.527691055743624</v>
          </cell>
          <cell r="H297">
            <v>54.62710626271916</v>
          </cell>
          <cell r="I297">
            <v>54.711107521800315</v>
          </cell>
          <cell r="J297">
            <v>55.129549908936191</v>
          </cell>
          <cell r="K297">
            <v>54.91473118549581</v>
          </cell>
          <cell r="L297">
            <v>53.997451548532567</v>
          </cell>
          <cell r="M297">
            <v>54.02122110015754</v>
          </cell>
          <cell r="N297">
            <v>54.177280018678168</v>
          </cell>
          <cell r="O297">
            <v>55.652610360009476</v>
          </cell>
          <cell r="P297">
            <v>56.244486750342723</v>
          </cell>
          <cell r="Q297">
            <v>56.401889468812335</v>
          </cell>
          <cell r="R297">
            <v>57.09145134571196</v>
          </cell>
          <cell r="S297">
            <v>57.447233433053157</v>
          </cell>
          <cell r="T297">
            <v>57.447233433053157</v>
          </cell>
          <cell r="U297">
            <v>57.447233433053157</v>
          </cell>
          <cell r="V297">
            <v>57.447233433053157</v>
          </cell>
          <cell r="W297">
            <v>57.447233433053157</v>
          </cell>
          <cell r="X297">
            <v>57.447233433053157</v>
          </cell>
          <cell r="Y297">
            <v>57.447233433053157</v>
          </cell>
          <cell r="Z297">
            <v>57.447233433053157</v>
          </cell>
          <cell r="AA297">
            <v>57.447233433053157</v>
          </cell>
          <cell r="AB297">
            <v>57.447233433053157</v>
          </cell>
          <cell r="AC297">
            <v>57.447233433053157</v>
          </cell>
          <cell r="AD297">
            <v>57.447233433053157</v>
          </cell>
          <cell r="AE297">
            <v>57.447233433053157</v>
          </cell>
          <cell r="AF297">
            <v>57.447233433053157</v>
          </cell>
        </row>
        <row r="298">
          <cell r="A298" t="str">
            <v>Ohio</v>
          </cell>
          <cell r="B298">
            <v>53.560357962734145</v>
          </cell>
          <cell r="C298">
            <v>53.744275730784807</v>
          </cell>
          <cell r="D298">
            <v>55.477740781903137</v>
          </cell>
          <cell r="E298">
            <v>56.325366644465333</v>
          </cell>
          <cell r="F298">
            <v>56.353913091900523</v>
          </cell>
          <cell r="G298">
            <v>56.538177574241757</v>
          </cell>
          <cell r="H298">
            <v>56.641983867643255</v>
          </cell>
          <cell r="I298">
            <v>56.72949594724497</v>
          </cell>
          <cell r="J298">
            <v>57.166192679051122</v>
          </cell>
          <cell r="K298">
            <v>56.942284417780634</v>
          </cell>
          <cell r="L298">
            <v>55.985459030253267</v>
          </cell>
          <cell r="M298">
            <v>56.010123173621139</v>
          </cell>
          <cell r="N298">
            <v>56.173062680690251</v>
          </cell>
          <cell r="O298">
            <v>57.711929974868355</v>
          </cell>
          <cell r="P298">
            <v>58.329788314350893</v>
          </cell>
          <cell r="Q298">
            <v>58.494102163850393</v>
          </cell>
          <cell r="R298">
            <v>59.21309040047521</v>
          </cell>
          <cell r="S298">
            <v>59.584000860453934</v>
          </cell>
          <cell r="T298">
            <v>59.584000860453934</v>
          </cell>
          <cell r="U298">
            <v>59.584000860453934</v>
          </cell>
          <cell r="V298">
            <v>59.584000860453934</v>
          </cell>
          <cell r="W298">
            <v>59.584000860453934</v>
          </cell>
          <cell r="X298">
            <v>59.584000860453934</v>
          </cell>
          <cell r="Y298">
            <v>59.584000860453934</v>
          </cell>
          <cell r="Z298">
            <v>59.584000860453934</v>
          </cell>
          <cell r="AA298">
            <v>59.584000860453934</v>
          </cell>
          <cell r="AB298">
            <v>59.584000860453934</v>
          </cell>
          <cell r="AC298">
            <v>59.584000860453934</v>
          </cell>
          <cell r="AD298">
            <v>59.584000860453934</v>
          </cell>
          <cell r="AE298">
            <v>59.584000860453934</v>
          </cell>
          <cell r="AF298">
            <v>59.584000860453934</v>
          </cell>
        </row>
        <row r="299">
          <cell r="A299" t="str">
            <v>Oklahoma</v>
          </cell>
          <cell r="B299">
            <v>53.9610968044869</v>
          </cell>
          <cell r="C299">
            <v>54.146654181120873</v>
          </cell>
          <cell r="D299">
            <v>55.895572884318369</v>
          </cell>
          <cell r="E299">
            <v>56.750672159242555</v>
          </cell>
          <cell r="F299">
            <v>56.779422092263196</v>
          </cell>
          <cell r="G299">
            <v>56.965216680083842</v>
          </cell>
          <cell r="H299">
            <v>57.069963476524201</v>
          </cell>
          <cell r="I299">
            <v>57.15822572751874</v>
          </cell>
          <cell r="J299">
            <v>57.598830210618374</v>
          </cell>
          <cell r="K299">
            <v>57.372978694362523</v>
          </cell>
          <cell r="L299">
            <v>56.407691930673835</v>
          </cell>
          <cell r="M299">
            <v>56.432546286340028</v>
          </cell>
          <cell r="N299">
            <v>56.596959397977749</v>
          </cell>
          <cell r="O299">
            <v>58.149420706290201</v>
          </cell>
          <cell r="P299">
            <v>58.772842534454171</v>
          </cell>
          <cell r="Q299">
            <v>58.938636271339618</v>
          </cell>
          <cell r="R299">
            <v>59.663917915815176</v>
          </cell>
          <cell r="S299">
            <v>60.03806337211816</v>
          </cell>
          <cell r="T299">
            <v>60.03806337211816</v>
          </cell>
          <cell r="U299">
            <v>60.03806337211816</v>
          </cell>
          <cell r="V299">
            <v>60.03806337211816</v>
          </cell>
          <cell r="W299">
            <v>60.03806337211816</v>
          </cell>
          <cell r="X299">
            <v>60.03806337211816</v>
          </cell>
          <cell r="Y299">
            <v>60.03806337211816</v>
          </cell>
          <cell r="Z299">
            <v>60.03806337211816</v>
          </cell>
          <cell r="AA299">
            <v>60.03806337211816</v>
          </cell>
          <cell r="AB299">
            <v>60.03806337211816</v>
          </cell>
          <cell r="AC299">
            <v>60.03806337211816</v>
          </cell>
          <cell r="AD299">
            <v>60.03806337211816</v>
          </cell>
          <cell r="AE299">
            <v>60.03806337211816</v>
          </cell>
          <cell r="AF299">
            <v>60.03806337211816</v>
          </cell>
        </row>
        <row r="300">
          <cell r="A300" t="str">
            <v>Oregon</v>
          </cell>
          <cell r="B300">
            <v>62.9974422930636</v>
          </cell>
          <cell r="C300">
            <v>63.22120562397793</v>
          </cell>
          <cell r="D300">
            <v>65.330223332803513</v>
          </cell>
          <cell r="E300">
            <v>66.359140585431746</v>
          </cell>
          <cell r="F300">
            <v>66.39243166676394</v>
          </cell>
          <cell r="G300">
            <v>66.613438075685579</v>
          </cell>
          <cell r="H300">
            <v>66.740159623334392</v>
          </cell>
          <cell r="I300">
            <v>66.845784410415874</v>
          </cell>
          <cell r="J300">
            <v>67.377504375839266</v>
          </cell>
          <cell r="K300">
            <v>67.106579138870288</v>
          </cell>
          <cell r="L300">
            <v>65.944396155713008</v>
          </cell>
          <cell r="M300">
            <v>65.973566223972497</v>
          </cell>
          <cell r="N300">
            <v>66.172399676457431</v>
          </cell>
          <cell r="O300">
            <v>68.041136391214224</v>
          </cell>
          <cell r="P300">
            <v>68.794415441173115</v>
          </cell>
          <cell r="Q300">
            <v>68.994752460364097</v>
          </cell>
          <cell r="R300">
            <v>69.866225235003924</v>
          </cell>
          <cell r="S300">
            <v>70.315470644735655</v>
          </cell>
          <cell r="T300">
            <v>70.315470644735655</v>
          </cell>
          <cell r="U300">
            <v>70.315470644735655</v>
          </cell>
          <cell r="V300">
            <v>70.315470644735655</v>
          </cell>
          <cell r="W300">
            <v>70.315470644735655</v>
          </cell>
          <cell r="X300">
            <v>70.315470644735655</v>
          </cell>
          <cell r="Y300">
            <v>70.315470644735655</v>
          </cell>
          <cell r="Z300">
            <v>70.315470644735655</v>
          </cell>
          <cell r="AA300">
            <v>70.315470644735655</v>
          </cell>
          <cell r="AB300">
            <v>70.315470644735655</v>
          </cell>
          <cell r="AC300">
            <v>70.315470644735655</v>
          </cell>
          <cell r="AD300">
            <v>70.315470644735655</v>
          </cell>
          <cell r="AE300">
            <v>70.315470644735655</v>
          </cell>
          <cell r="AF300">
            <v>70.315470644735655</v>
          </cell>
        </row>
        <row r="301">
          <cell r="A301" t="str">
            <v>Pennsylvania</v>
          </cell>
          <cell r="B301">
            <v>53.550597056940546</v>
          </cell>
          <cell r="C301">
            <v>53.734474947676276</v>
          </cell>
          <cell r="D301">
            <v>55.467564146800321</v>
          </cell>
          <cell r="E301">
            <v>56.315008231068774</v>
          </cell>
          <cell r="F301">
            <v>56.343549719885736</v>
          </cell>
          <cell r="G301">
            <v>56.5277769669786</v>
          </cell>
          <cell r="H301">
            <v>56.631560389016755</v>
          </cell>
          <cell r="I301">
            <v>56.719054217876796</v>
          </cell>
          <cell r="J301">
            <v>57.155655911078497</v>
          </cell>
          <cell r="K301">
            <v>56.931794922126791</v>
          </cell>
          <cell r="L301">
            <v>55.975175338677587</v>
          </cell>
          <cell r="M301">
            <v>55.999834850264662</v>
          </cell>
          <cell r="N301">
            <v>56.16273852139647</v>
          </cell>
          <cell r="O301">
            <v>57.701275168797444</v>
          </cell>
          <cell r="P301">
            <v>58.3189982077458</v>
          </cell>
          <cell r="Q301">
            <v>58.483276067378931</v>
          </cell>
          <cell r="R301">
            <v>59.202111218634656</v>
          </cell>
          <cell r="S301">
            <v>59.572942986011292</v>
          </cell>
          <cell r="T301">
            <v>59.572942986011292</v>
          </cell>
          <cell r="U301">
            <v>59.572942986011292</v>
          </cell>
          <cell r="V301">
            <v>59.572942986011292</v>
          </cell>
          <cell r="W301">
            <v>59.572942986011292</v>
          </cell>
          <cell r="X301">
            <v>59.572942986011292</v>
          </cell>
          <cell r="Y301">
            <v>59.572942986011292</v>
          </cell>
          <cell r="Z301">
            <v>59.572942986011292</v>
          </cell>
          <cell r="AA301">
            <v>59.572942986011292</v>
          </cell>
          <cell r="AB301">
            <v>59.572942986011292</v>
          </cell>
          <cell r="AC301">
            <v>59.572942986011292</v>
          </cell>
          <cell r="AD301">
            <v>59.572942986011292</v>
          </cell>
          <cell r="AE301">
            <v>59.572942986011292</v>
          </cell>
          <cell r="AF301">
            <v>59.572942986011292</v>
          </cell>
        </row>
        <row r="302">
          <cell r="A302" t="str">
            <v>Rhode Island</v>
          </cell>
          <cell r="B302">
            <v>53.550597056940553</v>
          </cell>
          <cell r="C302">
            <v>53.734474947676276</v>
          </cell>
          <cell r="D302">
            <v>55.467564146800328</v>
          </cell>
          <cell r="E302">
            <v>56.315008231068774</v>
          </cell>
          <cell r="F302">
            <v>56.34354971988575</v>
          </cell>
          <cell r="G302">
            <v>56.527776966978607</v>
          </cell>
          <cell r="H302">
            <v>56.631560389016769</v>
          </cell>
          <cell r="I302">
            <v>56.719054217876781</v>
          </cell>
          <cell r="J302">
            <v>57.155655911078497</v>
          </cell>
          <cell r="K302">
            <v>56.931794922126784</v>
          </cell>
          <cell r="L302">
            <v>55.975175338677587</v>
          </cell>
          <cell r="M302">
            <v>55.999834850264669</v>
          </cell>
          <cell r="N302">
            <v>56.16273852139647</v>
          </cell>
          <cell r="O302">
            <v>57.701275168797437</v>
          </cell>
          <cell r="P302">
            <v>58.318998207745786</v>
          </cell>
          <cell r="Q302">
            <v>58.48327606737891</v>
          </cell>
          <cell r="R302">
            <v>59.202111218634649</v>
          </cell>
          <cell r="S302">
            <v>59.572942986011299</v>
          </cell>
          <cell r="T302">
            <v>59.572942986011299</v>
          </cell>
          <cell r="U302">
            <v>59.572942986011299</v>
          </cell>
          <cell r="V302">
            <v>59.572942986011299</v>
          </cell>
          <cell r="W302">
            <v>59.572942986011299</v>
          </cell>
          <cell r="X302">
            <v>59.572942986011299</v>
          </cell>
          <cell r="Y302">
            <v>59.572942986011299</v>
          </cell>
          <cell r="Z302">
            <v>59.572942986011299</v>
          </cell>
          <cell r="AA302">
            <v>59.572942986011299</v>
          </cell>
          <cell r="AB302">
            <v>59.572942986011299</v>
          </cell>
          <cell r="AC302">
            <v>59.572942986011299</v>
          </cell>
          <cell r="AD302">
            <v>59.572942986011299</v>
          </cell>
          <cell r="AE302">
            <v>59.572942986011299</v>
          </cell>
          <cell r="AF302">
            <v>59.572942986011299</v>
          </cell>
        </row>
        <row r="303">
          <cell r="A303" t="str">
            <v>South Carolina</v>
          </cell>
          <cell r="B303">
            <v>54.05241351919733</v>
          </cell>
          <cell r="C303">
            <v>54.238345164012109</v>
          </cell>
          <cell r="D303">
            <v>55.990791422660649</v>
          </cell>
          <cell r="E303">
            <v>56.847596457639916</v>
          </cell>
          <cell r="F303">
            <v>56.876392734225789</v>
          </cell>
          <cell r="G303">
            <v>57.062536361547892</v>
          </cell>
          <cell r="H303">
            <v>57.167497874768102</v>
          </cell>
          <cell r="I303">
            <v>57.255931302978667</v>
          </cell>
          <cell r="J303">
            <v>57.697427826175968</v>
          </cell>
          <cell r="K303">
            <v>57.471132838635036</v>
          </cell>
          <cell r="L303">
            <v>56.503914765676541</v>
          </cell>
          <cell r="M303">
            <v>56.528812479166014</v>
          </cell>
          <cell r="N303">
            <v>56.693562009224792</v>
          </cell>
          <cell r="O303">
            <v>58.249126121384144</v>
          </cell>
          <cell r="P303">
            <v>58.873818023632644</v>
          </cell>
          <cell r="Q303">
            <v>59.039949600757723</v>
          </cell>
          <cell r="R303">
            <v>59.766667580792955</v>
          </cell>
          <cell r="S303">
            <v>60.141551331225131</v>
          </cell>
          <cell r="T303">
            <v>60.141551331225131</v>
          </cell>
          <cell r="U303">
            <v>60.141551331225131</v>
          </cell>
          <cell r="V303">
            <v>60.141551331225131</v>
          </cell>
          <cell r="W303">
            <v>60.141551331225131</v>
          </cell>
          <cell r="X303">
            <v>60.141551331225131</v>
          </cell>
          <cell r="Y303">
            <v>60.141551331225131</v>
          </cell>
          <cell r="Z303">
            <v>60.141551331225131</v>
          </cell>
          <cell r="AA303">
            <v>60.141551331225131</v>
          </cell>
          <cell r="AB303">
            <v>60.141551331225131</v>
          </cell>
          <cell r="AC303">
            <v>60.141551331225131</v>
          </cell>
          <cell r="AD303">
            <v>60.141551331225131</v>
          </cell>
          <cell r="AE303">
            <v>60.141551331225131</v>
          </cell>
          <cell r="AF303">
            <v>60.141551331225131</v>
          </cell>
        </row>
        <row r="304">
          <cell r="A304" t="str">
            <v>South Dakota</v>
          </cell>
          <cell r="B304">
            <v>51.672797068572862</v>
          </cell>
          <cell r="C304">
            <v>51.849054481769564</v>
          </cell>
          <cell r="D304">
            <v>53.510319091142236</v>
          </cell>
          <cell r="E304">
            <v>54.323012152579807</v>
          </cell>
          <cell r="F304">
            <v>54.350597745451829</v>
          </cell>
          <cell r="G304">
            <v>54.52769105574361</v>
          </cell>
          <cell r="H304">
            <v>54.62710626271916</v>
          </cell>
          <cell r="I304">
            <v>54.711107521800315</v>
          </cell>
          <cell r="J304">
            <v>55.129549908936198</v>
          </cell>
          <cell r="K304">
            <v>54.914731185495803</v>
          </cell>
          <cell r="L304">
            <v>53.99745154853256</v>
          </cell>
          <cell r="M304">
            <v>54.021221100157547</v>
          </cell>
          <cell r="N304">
            <v>54.177280018678182</v>
          </cell>
          <cell r="O304">
            <v>55.652610360009483</v>
          </cell>
          <cell r="P304">
            <v>56.244486750342723</v>
          </cell>
          <cell r="Q304">
            <v>56.401889468812335</v>
          </cell>
          <cell r="R304">
            <v>57.09145134571196</v>
          </cell>
          <cell r="S304">
            <v>57.447233433053157</v>
          </cell>
          <cell r="T304">
            <v>57.447233433053157</v>
          </cell>
          <cell r="U304">
            <v>57.447233433053157</v>
          </cell>
          <cell r="V304">
            <v>57.447233433053157</v>
          </cell>
          <cell r="W304">
            <v>57.447233433053157</v>
          </cell>
          <cell r="X304">
            <v>57.447233433053157</v>
          </cell>
          <cell r="Y304">
            <v>57.447233433053157</v>
          </cell>
          <cell r="Z304">
            <v>57.447233433053157</v>
          </cell>
          <cell r="AA304">
            <v>57.447233433053157</v>
          </cell>
          <cell r="AB304">
            <v>57.447233433053157</v>
          </cell>
          <cell r="AC304">
            <v>57.447233433053157</v>
          </cell>
          <cell r="AD304">
            <v>57.447233433053157</v>
          </cell>
          <cell r="AE304">
            <v>57.447233433053157</v>
          </cell>
          <cell r="AF304">
            <v>57.447233433053157</v>
          </cell>
        </row>
        <row r="305">
          <cell r="A305" t="str">
            <v>Tennessee</v>
          </cell>
          <cell r="B305">
            <v>54.05241351919733</v>
          </cell>
          <cell r="C305">
            <v>54.238345164012095</v>
          </cell>
          <cell r="D305">
            <v>55.990791422660649</v>
          </cell>
          <cell r="E305">
            <v>56.847596457639909</v>
          </cell>
          <cell r="F305">
            <v>56.876392734225796</v>
          </cell>
          <cell r="G305">
            <v>57.062536361547913</v>
          </cell>
          <cell r="H305">
            <v>57.167497874768095</v>
          </cell>
          <cell r="I305">
            <v>57.255931302978667</v>
          </cell>
          <cell r="J305">
            <v>57.697427826175975</v>
          </cell>
          <cell r="K305">
            <v>57.471132838635029</v>
          </cell>
          <cell r="L305">
            <v>56.503914765676534</v>
          </cell>
          <cell r="M305">
            <v>56.528812479166007</v>
          </cell>
          <cell r="N305">
            <v>56.693562009224792</v>
          </cell>
          <cell r="O305">
            <v>58.249126121384144</v>
          </cell>
          <cell r="P305">
            <v>58.873818023632637</v>
          </cell>
          <cell r="Q305">
            <v>59.039949600757716</v>
          </cell>
          <cell r="R305">
            <v>59.766667580792955</v>
          </cell>
          <cell r="S305">
            <v>60.141551331225124</v>
          </cell>
          <cell r="T305">
            <v>60.141551331225124</v>
          </cell>
          <cell r="U305">
            <v>60.141551331225124</v>
          </cell>
          <cell r="V305">
            <v>60.141551331225124</v>
          </cell>
          <cell r="W305">
            <v>60.141551331225124</v>
          </cell>
          <cell r="X305">
            <v>60.141551331225124</v>
          </cell>
          <cell r="Y305">
            <v>60.141551331225124</v>
          </cell>
          <cell r="Z305">
            <v>60.141551331225124</v>
          </cell>
          <cell r="AA305">
            <v>60.141551331225124</v>
          </cell>
          <cell r="AB305">
            <v>60.141551331225124</v>
          </cell>
          <cell r="AC305">
            <v>60.141551331225124</v>
          </cell>
          <cell r="AD305">
            <v>60.141551331225124</v>
          </cell>
          <cell r="AE305">
            <v>60.141551331225124</v>
          </cell>
          <cell r="AF305">
            <v>60.141551331225124</v>
          </cell>
        </row>
        <row r="306">
          <cell r="A306" t="str">
            <v>Texas</v>
          </cell>
          <cell r="B306">
            <v>53.961096804486907</v>
          </cell>
          <cell r="C306">
            <v>54.14665418112088</v>
          </cell>
          <cell r="D306">
            <v>55.895572884318369</v>
          </cell>
          <cell r="E306">
            <v>56.750672159242548</v>
          </cell>
          <cell r="F306">
            <v>56.779422092263204</v>
          </cell>
          <cell r="G306">
            <v>56.965216680083834</v>
          </cell>
          <cell r="H306">
            <v>57.069963476524201</v>
          </cell>
          <cell r="I306">
            <v>57.158225727518754</v>
          </cell>
          <cell r="J306">
            <v>57.598830210618367</v>
          </cell>
          <cell r="K306">
            <v>57.372978694362523</v>
          </cell>
          <cell r="L306">
            <v>56.407691930673828</v>
          </cell>
          <cell r="M306">
            <v>56.432546286340028</v>
          </cell>
          <cell r="N306">
            <v>56.596959397977756</v>
          </cell>
          <cell r="O306">
            <v>58.149420706290201</v>
          </cell>
          <cell r="P306">
            <v>58.772842534454171</v>
          </cell>
          <cell r="Q306">
            <v>58.938636271339625</v>
          </cell>
          <cell r="R306">
            <v>59.663917915815148</v>
          </cell>
          <cell r="S306">
            <v>60.038063372118167</v>
          </cell>
          <cell r="T306">
            <v>60.038063372118167</v>
          </cell>
          <cell r="U306">
            <v>60.038063372118167</v>
          </cell>
          <cell r="V306">
            <v>60.038063372118167</v>
          </cell>
          <cell r="W306">
            <v>60.038063372118167</v>
          </cell>
          <cell r="X306">
            <v>60.038063372118167</v>
          </cell>
          <cell r="Y306">
            <v>60.038063372118167</v>
          </cell>
          <cell r="Z306">
            <v>60.038063372118167</v>
          </cell>
          <cell r="AA306">
            <v>60.038063372118167</v>
          </cell>
          <cell r="AB306">
            <v>60.038063372118167</v>
          </cell>
          <cell r="AC306">
            <v>60.038063372118167</v>
          </cell>
          <cell r="AD306">
            <v>60.038063372118167</v>
          </cell>
          <cell r="AE306">
            <v>60.038063372118167</v>
          </cell>
          <cell r="AF306">
            <v>60.038063372118167</v>
          </cell>
        </row>
        <row r="307">
          <cell r="A307" t="str">
            <v>Utah</v>
          </cell>
          <cell r="B307">
            <v>62.997442293063585</v>
          </cell>
          <cell r="C307">
            <v>63.22120562397793</v>
          </cell>
          <cell r="D307">
            <v>65.330223332803499</v>
          </cell>
          <cell r="E307">
            <v>66.359140585431732</v>
          </cell>
          <cell r="F307">
            <v>66.39243166676394</v>
          </cell>
          <cell r="G307">
            <v>66.613438075685593</v>
          </cell>
          <cell r="H307">
            <v>66.740159623334392</v>
          </cell>
          <cell r="I307">
            <v>66.84578441041586</v>
          </cell>
          <cell r="J307">
            <v>67.37750437583928</v>
          </cell>
          <cell r="K307">
            <v>67.106579138870288</v>
          </cell>
          <cell r="L307">
            <v>65.944396155713008</v>
          </cell>
          <cell r="M307">
            <v>65.973566223972497</v>
          </cell>
          <cell r="N307">
            <v>66.172399676457431</v>
          </cell>
          <cell r="O307">
            <v>68.041136391214224</v>
          </cell>
          <cell r="P307">
            <v>68.794415441173101</v>
          </cell>
          <cell r="Q307">
            <v>68.994752460364083</v>
          </cell>
          <cell r="R307">
            <v>69.86622523500391</v>
          </cell>
          <cell r="S307">
            <v>70.315470644735683</v>
          </cell>
          <cell r="T307">
            <v>70.315470644735683</v>
          </cell>
          <cell r="U307">
            <v>70.315470644735683</v>
          </cell>
          <cell r="V307">
            <v>70.315470644735683</v>
          </cell>
          <cell r="W307">
            <v>70.315470644735683</v>
          </cell>
          <cell r="X307">
            <v>70.315470644735683</v>
          </cell>
          <cell r="Y307">
            <v>70.315470644735683</v>
          </cell>
          <cell r="Z307">
            <v>70.315470644735683</v>
          </cell>
          <cell r="AA307">
            <v>70.315470644735683</v>
          </cell>
          <cell r="AB307">
            <v>70.315470644735683</v>
          </cell>
          <cell r="AC307">
            <v>70.315470644735683</v>
          </cell>
          <cell r="AD307">
            <v>70.315470644735683</v>
          </cell>
          <cell r="AE307">
            <v>70.315470644735683</v>
          </cell>
          <cell r="AF307">
            <v>70.315470644735683</v>
          </cell>
        </row>
        <row r="308">
          <cell r="A308" t="str">
            <v>Vermont</v>
          </cell>
          <cell r="B308">
            <v>53.550597056940553</v>
          </cell>
          <cell r="C308">
            <v>53.734474947676276</v>
          </cell>
          <cell r="D308">
            <v>55.467564146800321</v>
          </cell>
          <cell r="E308">
            <v>56.315008231068767</v>
          </cell>
          <cell r="F308">
            <v>56.34354971988575</v>
          </cell>
          <cell r="G308">
            <v>56.527776966978607</v>
          </cell>
          <cell r="H308">
            <v>56.631560389016769</v>
          </cell>
          <cell r="I308">
            <v>56.719054217876781</v>
          </cell>
          <cell r="J308">
            <v>57.155655911078505</v>
          </cell>
          <cell r="K308">
            <v>56.931794922126791</v>
          </cell>
          <cell r="L308">
            <v>55.975175338677609</v>
          </cell>
          <cell r="M308">
            <v>55.999834850264669</v>
          </cell>
          <cell r="N308">
            <v>56.16273852139647</v>
          </cell>
          <cell r="O308">
            <v>57.701275168797437</v>
          </cell>
          <cell r="P308">
            <v>58.318998207745793</v>
          </cell>
          <cell r="Q308">
            <v>58.483276067378931</v>
          </cell>
          <cell r="R308">
            <v>59.202111218634663</v>
          </cell>
          <cell r="S308">
            <v>59.572942986011284</v>
          </cell>
          <cell r="T308">
            <v>59.572942986011284</v>
          </cell>
          <cell r="U308">
            <v>59.572942986011284</v>
          </cell>
          <cell r="V308">
            <v>59.572942986011284</v>
          </cell>
          <cell r="W308">
            <v>59.572942986011284</v>
          </cell>
          <cell r="X308">
            <v>59.572942986011284</v>
          </cell>
          <cell r="Y308">
            <v>59.572942986011284</v>
          </cell>
          <cell r="Z308">
            <v>59.572942986011284</v>
          </cell>
          <cell r="AA308">
            <v>59.572942986011284</v>
          </cell>
          <cell r="AB308">
            <v>59.572942986011284</v>
          </cell>
          <cell r="AC308">
            <v>59.572942986011284</v>
          </cell>
          <cell r="AD308">
            <v>59.572942986011284</v>
          </cell>
          <cell r="AE308">
            <v>59.572942986011284</v>
          </cell>
          <cell r="AF308">
            <v>59.572942986011284</v>
          </cell>
        </row>
        <row r="309">
          <cell r="A309" t="str">
            <v>Virginia</v>
          </cell>
          <cell r="B309">
            <v>54.05241351919733</v>
          </cell>
          <cell r="C309">
            <v>54.238345164012102</v>
          </cell>
          <cell r="D309">
            <v>55.990791422660656</v>
          </cell>
          <cell r="E309">
            <v>56.847596457639902</v>
          </cell>
          <cell r="F309">
            <v>56.876392734225796</v>
          </cell>
          <cell r="G309">
            <v>57.062536361547899</v>
          </cell>
          <cell r="H309">
            <v>57.167497874768117</v>
          </cell>
          <cell r="I309">
            <v>57.255931302978674</v>
          </cell>
          <cell r="J309">
            <v>57.697427826175968</v>
          </cell>
          <cell r="K309">
            <v>57.471132838635015</v>
          </cell>
          <cell r="L309">
            <v>56.503914765676519</v>
          </cell>
          <cell r="M309">
            <v>56.528812479166007</v>
          </cell>
          <cell r="N309">
            <v>56.693562009224785</v>
          </cell>
          <cell r="O309">
            <v>58.249126121384165</v>
          </cell>
          <cell r="P309">
            <v>58.873818023632644</v>
          </cell>
          <cell r="Q309">
            <v>59.039949600757716</v>
          </cell>
          <cell r="R309">
            <v>59.766667580792962</v>
          </cell>
          <cell r="S309">
            <v>60.141551331225131</v>
          </cell>
          <cell r="T309">
            <v>60.141551331225131</v>
          </cell>
          <cell r="U309">
            <v>60.141551331225131</v>
          </cell>
          <cell r="V309">
            <v>60.141551331225131</v>
          </cell>
          <cell r="W309">
            <v>60.141551331225131</v>
          </cell>
          <cell r="X309">
            <v>60.141551331225131</v>
          </cell>
          <cell r="Y309">
            <v>60.141551331225131</v>
          </cell>
          <cell r="Z309">
            <v>60.141551331225131</v>
          </cell>
          <cell r="AA309">
            <v>60.141551331225131</v>
          </cell>
          <cell r="AB309">
            <v>60.141551331225131</v>
          </cell>
          <cell r="AC309">
            <v>60.141551331225131</v>
          </cell>
          <cell r="AD309">
            <v>60.141551331225131</v>
          </cell>
          <cell r="AE309">
            <v>60.141551331225131</v>
          </cell>
          <cell r="AF309">
            <v>60.141551331225131</v>
          </cell>
        </row>
        <row r="310">
          <cell r="A310" t="str">
            <v>Washington</v>
          </cell>
          <cell r="B310">
            <v>62.9974422930636</v>
          </cell>
          <cell r="C310">
            <v>63.22120562397793</v>
          </cell>
          <cell r="D310">
            <v>65.330223332803513</v>
          </cell>
          <cell r="E310">
            <v>66.359140585431746</v>
          </cell>
          <cell r="F310">
            <v>66.392431666763954</v>
          </cell>
          <cell r="G310">
            <v>66.613438075685579</v>
          </cell>
          <cell r="H310">
            <v>66.740159623334392</v>
          </cell>
          <cell r="I310">
            <v>66.845784410415874</v>
          </cell>
          <cell r="J310">
            <v>67.377504375839266</v>
          </cell>
          <cell r="K310">
            <v>67.106579138870288</v>
          </cell>
          <cell r="L310">
            <v>65.944396155713008</v>
          </cell>
          <cell r="M310">
            <v>65.973566223972483</v>
          </cell>
          <cell r="N310">
            <v>66.172399676457445</v>
          </cell>
          <cell r="O310">
            <v>68.041136391214209</v>
          </cell>
          <cell r="P310">
            <v>68.794415441173115</v>
          </cell>
          <cell r="Q310">
            <v>68.994752460364083</v>
          </cell>
          <cell r="R310">
            <v>69.86622523500391</v>
          </cell>
          <cell r="S310">
            <v>70.315470644735669</v>
          </cell>
          <cell r="T310">
            <v>70.315470644735669</v>
          </cell>
          <cell r="U310">
            <v>70.315470644735669</v>
          </cell>
          <cell r="V310">
            <v>70.315470644735669</v>
          </cell>
          <cell r="W310">
            <v>70.315470644735669</v>
          </cell>
          <cell r="X310">
            <v>70.315470644735669</v>
          </cell>
          <cell r="Y310">
            <v>70.315470644735669</v>
          </cell>
          <cell r="Z310">
            <v>70.315470644735669</v>
          </cell>
          <cell r="AA310">
            <v>70.315470644735669</v>
          </cell>
          <cell r="AB310">
            <v>70.315470644735669</v>
          </cell>
          <cell r="AC310">
            <v>70.315470644735669</v>
          </cell>
          <cell r="AD310">
            <v>70.315470644735669</v>
          </cell>
          <cell r="AE310">
            <v>70.315470644735669</v>
          </cell>
          <cell r="AF310">
            <v>70.315470644735669</v>
          </cell>
        </row>
        <row r="311">
          <cell r="A311" t="str">
            <v>West Virginia</v>
          </cell>
          <cell r="B311">
            <v>53.550597056940568</v>
          </cell>
          <cell r="C311">
            <v>53.734474947676283</v>
          </cell>
          <cell r="D311">
            <v>55.467564146800321</v>
          </cell>
          <cell r="E311">
            <v>56.315008231068781</v>
          </cell>
          <cell r="F311">
            <v>56.343549719885743</v>
          </cell>
          <cell r="G311">
            <v>56.527776966978614</v>
          </cell>
          <cell r="H311">
            <v>56.631560389016755</v>
          </cell>
          <cell r="I311">
            <v>56.719054217876788</v>
          </cell>
          <cell r="J311">
            <v>57.155655911078505</v>
          </cell>
          <cell r="K311">
            <v>56.931794922126784</v>
          </cell>
          <cell r="L311">
            <v>55.975175338677595</v>
          </cell>
          <cell r="M311">
            <v>55.999834850264669</v>
          </cell>
          <cell r="N311">
            <v>56.16273852139647</v>
          </cell>
          <cell r="O311">
            <v>57.701275168797459</v>
          </cell>
          <cell r="P311">
            <v>58.3189982077458</v>
          </cell>
          <cell r="Q311">
            <v>58.483276067378924</v>
          </cell>
          <cell r="R311">
            <v>59.20211121863467</v>
          </cell>
          <cell r="S311">
            <v>59.572942986011277</v>
          </cell>
          <cell r="T311">
            <v>59.572942986011277</v>
          </cell>
          <cell r="U311">
            <v>59.572942986011277</v>
          </cell>
          <cell r="V311">
            <v>59.572942986011277</v>
          </cell>
          <cell r="W311">
            <v>59.572942986011277</v>
          </cell>
          <cell r="X311">
            <v>59.572942986011277</v>
          </cell>
          <cell r="Y311">
            <v>59.572942986011277</v>
          </cell>
          <cell r="Z311">
            <v>59.572942986011277</v>
          </cell>
          <cell r="AA311">
            <v>59.572942986011277</v>
          </cell>
          <cell r="AB311">
            <v>59.572942986011277</v>
          </cell>
          <cell r="AC311">
            <v>59.572942986011277</v>
          </cell>
          <cell r="AD311">
            <v>59.572942986011277</v>
          </cell>
          <cell r="AE311">
            <v>59.572942986011277</v>
          </cell>
          <cell r="AF311">
            <v>59.572942986011277</v>
          </cell>
        </row>
        <row r="312">
          <cell r="A312" t="str">
            <v>Wisconsin</v>
          </cell>
          <cell r="B312">
            <v>53.560357962734145</v>
          </cell>
          <cell r="C312">
            <v>53.744275730784814</v>
          </cell>
          <cell r="D312">
            <v>55.477740781903137</v>
          </cell>
          <cell r="E312">
            <v>56.325366644465319</v>
          </cell>
          <cell r="F312">
            <v>56.353913091900516</v>
          </cell>
          <cell r="G312">
            <v>56.538177574241757</v>
          </cell>
          <cell r="H312">
            <v>56.641983867643241</v>
          </cell>
          <cell r="I312">
            <v>56.729495947244963</v>
          </cell>
          <cell r="J312">
            <v>57.166192679051129</v>
          </cell>
          <cell r="K312">
            <v>56.942284417780648</v>
          </cell>
          <cell r="L312">
            <v>55.98545903025326</v>
          </cell>
          <cell r="M312">
            <v>56.010123173621146</v>
          </cell>
          <cell r="N312">
            <v>56.173062680690272</v>
          </cell>
          <cell r="O312">
            <v>57.711929974868355</v>
          </cell>
          <cell r="P312">
            <v>58.329788314350886</v>
          </cell>
          <cell r="Q312">
            <v>58.4941021638504</v>
          </cell>
          <cell r="R312">
            <v>59.21309040047521</v>
          </cell>
          <cell r="S312">
            <v>59.584000860453948</v>
          </cell>
          <cell r="T312">
            <v>59.584000860453948</v>
          </cell>
          <cell r="U312">
            <v>59.584000860453948</v>
          </cell>
          <cell r="V312">
            <v>59.584000860453948</v>
          </cell>
          <cell r="W312">
            <v>59.584000860453948</v>
          </cell>
          <cell r="X312">
            <v>59.584000860453948</v>
          </cell>
          <cell r="Y312">
            <v>59.584000860453948</v>
          </cell>
          <cell r="Z312">
            <v>59.584000860453948</v>
          </cell>
          <cell r="AA312">
            <v>59.584000860453948</v>
          </cell>
          <cell r="AB312">
            <v>59.584000860453948</v>
          </cell>
          <cell r="AC312">
            <v>59.584000860453948</v>
          </cell>
          <cell r="AD312">
            <v>59.584000860453948</v>
          </cell>
          <cell r="AE312">
            <v>59.584000860453948</v>
          </cell>
          <cell r="AF312">
            <v>59.584000860453948</v>
          </cell>
        </row>
        <row r="313">
          <cell r="A313" t="str">
            <v>Wyoming</v>
          </cell>
          <cell r="B313">
            <v>51.672797068572869</v>
          </cell>
          <cell r="C313">
            <v>51.849054481769549</v>
          </cell>
          <cell r="D313">
            <v>53.510319091142243</v>
          </cell>
          <cell r="E313">
            <v>54.323012152579807</v>
          </cell>
          <cell r="F313">
            <v>54.350597745451815</v>
          </cell>
          <cell r="G313">
            <v>54.527691055743603</v>
          </cell>
          <cell r="H313">
            <v>54.627106262719174</v>
          </cell>
          <cell r="I313">
            <v>54.711107521800322</v>
          </cell>
          <cell r="J313">
            <v>55.129549908936191</v>
          </cell>
          <cell r="K313">
            <v>54.914731185495825</v>
          </cell>
          <cell r="L313">
            <v>53.99745154853256</v>
          </cell>
          <cell r="M313">
            <v>54.021221100157547</v>
          </cell>
          <cell r="N313">
            <v>54.177280018678182</v>
          </cell>
          <cell r="O313">
            <v>55.652610360009476</v>
          </cell>
          <cell r="P313">
            <v>56.24448675034273</v>
          </cell>
          <cell r="Q313">
            <v>56.401889468812342</v>
          </cell>
          <cell r="R313">
            <v>57.091451345711974</v>
          </cell>
          <cell r="S313">
            <v>57.44723343305315</v>
          </cell>
          <cell r="T313">
            <v>57.44723343305315</v>
          </cell>
          <cell r="U313">
            <v>57.44723343305315</v>
          </cell>
          <cell r="V313">
            <v>57.44723343305315</v>
          </cell>
          <cell r="W313">
            <v>57.44723343305315</v>
          </cell>
          <cell r="X313">
            <v>57.44723343305315</v>
          </cell>
          <cell r="Y313">
            <v>57.44723343305315</v>
          </cell>
          <cell r="Z313">
            <v>57.44723343305315</v>
          </cell>
          <cell r="AA313">
            <v>57.44723343305315</v>
          </cell>
          <cell r="AB313">
            <v>57.44723343305315</v>
          </cell>
          <cell r="AC313">
            <v>57.44723343305315</v>
          </cell>
          <cell r="AD313">
            <v>57.44723343305315</v>
          </cell>
          <cell r="AE313">
            <v>57.44723343305315</v>
          </cell>
          <cell r="AF313">
            <v>57.44723343305315</v>
          </cell>
        </row>
        <row r="315">
          <cell r="A315" t="str">
            <v>Beef Replacements 12-24 months</v>
          </cell>
          <cell r="B315">
            <v>1990</v>
          </cell>
          <cell r="C315">
            <v>1991</v>
          </cell>
          <cell r="D315">
            <v>1992</v>
          </cell>
          <cell r="E315">
            <v>1993</v>
          </cell>
          <cell r="F315">
            <v>1994</v>
          </cell>
          <cell r="G315">
            <v>1995</v>
          </cell>
          <cell r="H315">
            <v>1996</v>
          </cell>
          <cell r="I315">
            <v>1997</v>
          </cell>
          <cell r="J315">
            <v>1998</v>
          </cell>
          <cell r="K315">
            <v>1999</v>
          </cell>
          <cell r="L315">
            <v>2000</v>
          </cell>
          <cell r="M315">
            <v>2001</v>
          </cell>
          <cell r="N315">
            <v>2002</v>
          </cell>
          <cell r="O315">
            <v>2003</v>
          </cell>
          <cell r="P315">
            <v>2004</v>
          </cell>
          <cell r="Q315">
            <v>2005</v>
          </cell>
          <cell r="R315">
            <v>2006</v>
          </cell>
          <cell r="S315">
            <v>2007</v>
          </cell>
          <cell r="T315">
            <v>2008</v>
          </cell>
          <cell r="U315">
            <v>2009</v>
          </cell>
          <cell r="V315">
            <v>2010</v>
          </cell>
          <cell r="W315">
            <v>2011</v>
          </cell>
          <cell r="X315">
            <v>2012</v>
          </cell>
          <cell r="Y315">
            <v>2013</v>
          </cell>
          <cell r="Z315">
            <v>2014</v>
          </cell>
          <cell r="AA315">
            <v>2015</v>
          </cell>
          <cell r="AB315">
            <v>2016</v>
          </cell>
          <cell r="AC315">
            <v>2017</v>
          </cell>
          <cell r="AD315">
            <v>2018</v>
          </cell>
          <cell r="AE315">
            <v>2019</v>
          </cell>
          <cell r="AF315">
            <v>2020</v>
          </cell>
        </row>
        <row r="316">
          <cell r="A316" t="str">
            <v>Alabama</v>
          </cell>
          <cell r="B316">
            <v>63.197269762837465</v>
          </cell>
          <cell r="C316">
            <v>63.397557183067498</v>
          </cell>
          <cell r="D316">
            <v>65.31049003178758</v>
          </cell>
          <cell r="E316">
            <v>66.216221568608063</v>
          </cell>
          <cell r="F316">
            <v>66.158959110799984</v>
          </cell>
          <cell r="G316">
            <v>66.252332471469856</v>
          </cell>
          <cell r="H316">
            <v>66.357717679213323</v>
          </cell>
          <cell r="I316">
            <v>66.458143614065307</v>
          </cell>
          <cell r="J316">
            <v>66.960603649985615</v>
          </cell>
          <cell r="K316">
            <v>66.762086059268711</v>
          </cell>
          <cell r="L316">
            <v>65.760407407916418</v>
          </cell>
          <cell r="M316">
            <v>65.759078976299492</v>
          </cell>
          <cell r="N316">
            <v>65.961803555832049</v>
          </cell>
          <cell r="O316">
            <v>67.56266026186961</v>
          </cell>
          <cell r="P316">
            <v>68.322469943021986</v>
          </cell>
          <cell r="Q316">
            <v>68.522962400365998</v>
          </cell>
          <cell r="R316">
            <v>69.215847503029266</v>
          </cell>
          <cell r="S316">
            <v>69.560739004948687</v>
          </cell>
          <cell r="T316">
            <v>69.560739004948687</v>
          </cell>
          <cell r="U316">
            <v>69.560739004948687</v>
          </cell>
          <cell r="V316">
            <v>69.560739004948687</v>
          </cell>
          <cell r="W316">
            <v>69.560739004948687</v>
          </cell>
          <cell r="X316">
            <v>69.560739004948687</v>
          </cell>
          <cell r="Y316">
            <v>69.560739004948687</v>
          </cell>
          <cell r="Z316">
            <v>69.560739004948687</v>
          </cell>
          <cell r="AA316">
            <v>69.560739004948687</v>
          </cell>
          <cell r="AB316">
            <v>69.560739004948687</v>
          </cell>
          <cell r="AC316">
            <v>69.560739004948687</v>
          </cell>
          <cell r="AD316">
            <v>69.560739004948687</v>
          </cell>
          <cell r="AE316">
            <v>69.560739004948687</v>
          </cell>
          <cell r="AF316">
            <v>69.560739004948687</v>
          </cell>
        </row>
        <row r="317">
          <cell r="A317" t="str">
            <v>Alaska</v>
          </cell>
          <cell r="B317">
            <v>72.942083064329125</v>
          </cell>
          <cell r="C317">
            <v>73.176901027629597</v>
          </cell>
          <cell r="D317">
            <v>75.416845986483096</v>
          </cell>
          <cell r="E317">
            <v>76.474507156326808</v>
          </cell>
          <cell r="F317">
            <v>76.408998582610906</v>
          </cell>
          <cell r="G317">
            <v>76.517648819091562</v>
          </cell>
          <cell r="H317">
            <v>76.642592027507263</v>
          </cell>
          <cell r="I317">
            <v>76.757069821609889</v>
          </cell>
          <cell r="J317">
            <v>77.344550680465701</v>
          </cell>
          <cell r="K317">
            <v>77.113939793180023</v>
          </cell>
          <cell r="L317">
            <v>75.942138811257024</v>
          </cell>
          <cell r="M317">
            <v>75.940016790413026</v>
          </cell>
          <cell r="N317">
            <v>76.177275179659418</v>
          </cell>
          <cell r="O317">
            <v>78.051001764719587</v>
          </cell>
          <cell r="P317">
            <v>78.941383918795424</v>
          </cell>
          <cell r="Q317">
            <v>79.175995470229964</v>
          </cell>
          <cell r="R317">
            <v>79.987003717027079</v>
          </cell>
          <cell r="S317">
            <v>80.389860026063758</v>
          </cell>
          <cell r="T317">
            <v>80.389860026063758</v>
          </cell>
          <cell r="U317">
            <v>80.389860026063758</v>
          </cell>
          <cell r="V317">
            <v>80.389860026063758</v>
          </cell>
          <cell r="W317">
            <v>80.389860026063758</v>
          </cell>
          <cell r="X317">
            <v>80.389860026063758</v>
          </cell>
          <cell r="Y317">
            <v>80.389860026063758</v>
          </cell>
          <cell r="Z317">
            <v>80.389860026063758</v>
          </cell>
          <cell r="AA317">
            <v>80.389860026063758</v>
          </cell>
          <cell r="AB317">
            <v>80.389860026063758</v>
          </cell>
          <cell r="AC317">
            <v>80.389860026063758</v>
          </cell>
          <cell r="AD317">
            <v>80.389860026063758</v>
          </cell>
          <cell r="AE317">
            <v>80.389860026063758</v>
          </cell>
          <cell r="AF317">
            <v>80.389860026063758</v>
          </cell>
        </row>
        <row r="318">
          <cell r="A318" t="str">
            <v>Arizona</v>
          </cell>
          <cell r="B318">
            <v>72.94208306432914</v>
          </cell>
          <cell r="C318">
            <v>73.176901027629569</v>
          </cell>
          <cell r="D318">
            <v>75.416845986483082</v>
          </cell>
          <cell r="E318">
            <v>76.474507156326823</v>
          </cell>
          <cell r="F318">
            <v>76.408998582610892</v>
          </cell>
          <cell r="G318">
            <v>76.51764881909159</v>
          </cell>
          <cell r="H318">
            <v>76.642592027507234</v>
          </cell>
          <cell r="I318">
            <v>76.757069821609903</v>
          </cell>
          <cell r="J318">
            <v>77.344550680465701</v>
          </cell>
          <cell r="K318">
            <v>77.113939793180009</v>
          </cell>
          <cell r="L318">
            <v>75.942138811257038</v>
          </cell>
          <cell r="M318">
            <v>75.94001679041304</v>
          </cell>
          <cell r="N318">
            <v>76.177275179659432</v>
          </cell>
          <cell r="O318">
            <v>78.051001764719587</v>
          </cell>
          <cell r="P318">
            <v>78.941383918795424</v>
          </cell>
          <cell r="Q318">
            <v>79.175995470229978</v>
          </cell>
          <cell r="R318">
            <v>79.987003717027093</v>
          </cell>
          <cell r="S318">
            <v>80.389860026063729</v>
          </cell>
          <cell r="T318">
            <v>80.389860026063729</v>
          </cell>
          <cell r="U318">
            <v>80.389860026063729</v>
          </cell>
          <cell r="V318">
            <v>80.389860026063729</v>
          </cell>
          <cell r="W318">
            <v>80.389860026063729</v>
          </cell>
          <cell r="X318">
            <v>80.389860026063729</v>
          </cell>
          <cell r="Y318">
            <v>80.389860026063729</v>
          </cell>
          <cell r="Z318">
            <v>80.389860026063729</v>
          </cell>
          <cell r="AA318">
            <v>80.389860026063729</v>
          </cell>
          <cell r="AB318">
            <v>80.389860026063729</v>
          </cell>
          <cell r="AC318">
            <v>80.389860026063729</v>
          </cell>
          <cell r="AD318">
            <v>80.389860026063729</v>
          </cell>
          <cell r="AE318">
            <v>80.389860026063729</v>
          </cell>
          <cell r="AF318">
            <v>80.389860026063729</v>
          </cell>
        </row>
        <row r="319">
          <cell r="A319" t="str">
            <v>Arkansas</v>
          </cell>
          <cell r="B319">
            <v>63.096581635161314</v>
          </cell>
          <cell r="C319">
            <v>63.296518887687029</v>
          </cell>
          <cell r="D319">
            <v>65.206131044658335</v>
          </cell>
          <cell r="E319">
            <v>66.110315037131869</v>
          </cell>
          <cell r="F319">
            <v>66.05313884128212</v>
          </cell>
          <cell r="G319">
            <v>66.146355949155577</v>
          </cell>
          <cell r="H319">
            <v>66.251545077637786</v>
          </cell>
          <cell r="I319">
            <v>66.351823220284444</v>
          </cell>
          <cell r="J319">
            <v>66.853418469645604</v>
          </cell>
          <cell r="K319">
            <v>66.655229791812488</v>
          </cell>
          <cell r="L319">
            <v>65.655280493721449</v>
          </cell>
          <cell r="M319">
            <v>65.653959193352719</v>
          </cell>
          <cell r="N319">
            <v>65.856332895327526</v>
          </cell>
          <cell r="O319">
            <v>67.454417405868767</v>
          </cell>
          <cell r="P319">
            <v>68.212902290513384</v>
          </cell>
          <cell r="Q319">
            <v>68.413048027340494</v>
          </cell>
          <cell r="R319">
            <v>69.104733100732844</v>
          </cell>
          <cell r="S319">
            <v>69.449034363899415</v>
          </cell>
          <cell r="T319">
            <v>69.449034363899415</v>
          </cell>
          <cell r="U319">
            <v>69.449034363899415</v>
          </cell>
          <cell r="V319">
            <v>69.449034363899415</v>
          </cell>
          <cell r="W319">
            <v>69.449034363899415</v>
          </cell>
          <cell r="X319">
            <v>69.449034363899415</v>
          </cell>
          <cell r="Y319">
            <v>69.449034363899415</v>
          </cell>
          <cell r="Z319">
            <v>69.449034363899415</v>
          </cell>
          <cell r="AA319">
            <v>69.449034363899415</v>
          </cell>
          <cell r="AB319">
            <v>69.449034363899415</v>
          </cell>
          <cell r="AC319">
            <v>69.449034363899415</v>
          </cell>
          <cell r="AD319">
            <v>69.449034363899415</v>
          </cell>
          <cell r="AE319">
            <v>69.449034363899415</v>
          </cell>
          <cell r="AF319">
            <v>69.449034363899415</v>
          </cell>
        </row>
        <row r="320">
          <cell r="A320" t="str">
            <v>California</v>
          </cell>
          <cell r="B320">
            <v>62.373555884066704</v>
          </cell>
          <cell r="C320">
            <v>62.570982508797037</v>
          </cell>
          <cell r="D320">
            <v>64.456783317318497</v>
          </cell>
          <cell r="E320">
            <v>65.349867660885195</v>
          </cell>
          <cell r="F320">
            <v>65.293311518292001</v>
          </cell>
          <cell r="G320">
            <v>65.385407532436346</v>
          </cell>
          <cell r="H320">
            <v>65.489192158371665</v>
          </cell>
          <cell r="I320">
            <v>65.588407506278699</v>
          </cell>
          <cell r="J320">
            <v>66.08380086672851</v>
          </cell>
          <cell r="K320">
            <v>65.887972487036038</v>
          </cell>
          <cell r="L320">
            <v>64.90042477168646</v>
          </cell>
          <cell r="M320">
            <v>64.899154054620482</v>
          </cell>
          <cell r="N320">
            <v>65.099011635929827</v>
          </cell>
          <cell r="O320">
            <v>66.677217071472214</v>
          </cell>
          <cell r="P320">
            <v>67.426203038802058</v>
          </cell>
          <cell r="Q320">
            <v>67.623862431144445</v>
          </cell>
          <cell r="R320">
            <v>68.306942260105245</v>
          </cell>
          <cell r="S320">
            <v>68.647010189628176</v>
          </cell>
          <cell r="T320">
            <v>68.647010189628176</v>
          </cell>
          <cell r="U320">
            <v>68.647010189628176</v>
          </cell>
          <cell r="V320">
            <v>68.647010189628176</v>
          </cell>
          <cell r="W320">
            <v>68.647010189628176</v>
          </cell>
          <cell r="X320">
            <v>68.647010189628176</v>
          </cell>
          <cell r="Y320">
            <v>68.647010189628176</v>
          </cell>
          <cell r="Z320">
            <v>68.647010189628176</v>
          </cell>
          <cell r="AA320">
            <v>68.647010189628176</v>
          </cell>
          <cell r="AB320">
            <v>68.647010189628176</v>
          </cell>
          <cell r="AC320">
            <v>68.647010189628176</v>
          </cell>
          <cell r="AD320">
            <v>68.647010189628176</v>
          </cell>
          <cell r="AE320">
            <v>68.647010189628176</v>
          </cell>
          <cell r="AF320">
            <v>68.647010189628176</v>
          </cell>
        </row>
        <row r="321">
          <cell r="A321" t="str">
            <v>Colorado</v>
          </cell>
          <cell r="B321">
            <v>60.565482253963445</v>
          </cell>
          <cell r="C321">
            <v>60.75666013399352</v>
          </cell>
          <cell r="D321">
            <v>62.583175826799085</v>
          </cell>
          <cell r="E321">
            <v>63.448602787063642</v>
          </cell>
          <cell r="F321">
            <v>63.393601949792654</v>
          </cell>
          <cell r="G321">
            <v>63.482901572826719</v>
          </cell>
          <cell r="H321">
            <v>63.583200795966711</v>
          </cell>
          <cell r="I321">
            <v>63.679746776167157</v>
          </cell>
          <cell r="J321">
            <v>64.159692255914408</v>
          </cell>
          <cell r="K321">
            <v>63.969754253800716</v>
          </cell>
          <cell r="L321">
            <v>63.01309210004343</v>
          </cell>
          <cell r="M321">
            <v>63.011943099366832</v>
          </cell>
          <cell r="N321">
            <v>63.205535176937758</v>
          </cell>
          <cell r="O321">
            <v>64.734240090866152</v>
          </cell>
          <cell r="P321">
            <v>65.459580910549747</v>
          </cell>
          <cell r="Q321">
            <v>65.651048688254576</v>
          </cell>
          <cell r="R321">
            <v>66.312700898831167</v>
          </cell>
          <cell r="S321">
            <v>66.642221330285807</v>
          </cell>
          <cell r="T321">
            <v>66.642221330285807</v>
          </cell>
          <cell r="U321">
            <v>66.642221330285807</v>
          </cell>
          <cell r="V321">
            <v>66.642221330285807</v>
          </cell>
          <cell r="W321">
            <v>66.642221330285807</v>
          </cell>
          <cell r="X321">
            <v>66.642221330285807</v>
          </cell>
          <cell r="Y321">
            <v>66.642221330285807</v>
          </cell>
          <cell r="Z321">
            <v>66.642221330285807</v>
          </cell>
          <cell r="AA321">
            <v>66.642221330285807</v>
          </cell>
          <cell r="AB321">
            <v>66.642221330285807</v>
          </cell>
          <cell r="AC321">
            <v>66.642221330285807</v>
          </cell>
          <cell r="AD321">
            <v>66.642221330285807</v>
          </cell>
          <cell r="AE321">
            <v>66.642221330285807</v>
          </cell>
          <cell r="AF321">
            <v>66.642221330285807</v>
          </cell>
        </row>
        <row r="322">
          <cell r="A322" t="str">
            <v>Connecticut</v>
          </cell>
          <cell r="B322">
            <v>62.643653381256662</v>
          </cell>
          <cell r="C322">
            <v>62.8420170946426</v>
          </cell>
          <cell r="D322">
            <v>64.736706013666236</v>
          </cell>
          <cell r="E322">
            <v>65.633934127757698</v>
          </cell>
          <cell r="F322">
            <v>65.577146227371529</v>
          </cell>
          <cell r="G322">
            <v>65.669660851785594</v>
          </cell>
          <cell r="H322">
            <v>65.773969430030093</v>
          </cell>
          <cell r="I322">
            <v>65.873582114045917</v>
          </cell>
          <cell r="J322">
            <v>66.371290641332735</v>
          </cell>
          <cell r="K322">
            <v>66.174580858940956</v>
          </cell>
          <cell r="L322">
            <v>65.18240375652519</v>
          </cell>
          <cell r="M322">
            <v>65.181114271680968</v>
          </cell>
          <cell r="N322">
            <v>65.381911074838911</v>
          </cell>
          <cell r="O322">
            <v>66.967536972211107</v>
          </cell>
          <cell r="P322">
            <v>67.720068482533151</v>
          </cell>
          <cell r="Q322">
            <v>67.918655988751212</v>
          </cell>
          <cell r="R322">
            <v>68.604947979802617</v>
          </cell>
          <cell r="S322">
            <v>68.946596293581848</v>
          </cell>
          <cell r="T322">
            <v>68.946596293581848</v>
          </cell>
          <cell r="U322">
            <v>68.946596293581848</v>
          </cell>
          <cell r="V322">
            <v>68.946596293581848</v>
          </cell>
          <cell r="W322">
            <v>68.946596293581848</v>
          </cell>
          <cell r="X322">
            <v>68.946596293581848</v>
          </cell>
          <cell r="Y322">
            <v>68.946596293581848</v>
          </cell>
          <cell r="Z322">
            <v>68.946596293581848</v>
          </cell>
          <cell r="AA322">
            <v>68.946596293581848</v>
          </cell>
          <cell r="AB322">
            <v>68.946596293581848</v>
          </cell>
          <cell r="AC322">
            <v>68.946596293581848</v>
          </cell>
          <cell r="AD322">
            <v>68.946596293581848</v>
          </cell>
          <cell r="AE322">
            <v>68.946596293581848</v>
          </cell>
          <cell r="AF322">
            <v>68.946596293581848</v>
          </cell>
        </row>
        <row r="323">
          <cell r="A323" t="str">
            <v>Delaware</v>
          </cell>
          <cell r="B323">
            <v>62.643653381256662</v>
          </cell>
          <cell r="C323">
            <v>62.8420170946426</v>
          </cell>
          <cell r="D323">
            <v>64.736706013666236</v>
          </cell>
          <cell r="E323">
            <v>65.633934127757698</v>
          </cell>
          <cell r="F323">
            <v>65.577146227371529</v>
          </cell>
          <cell r="G323">
            <v>65.669660851785594</v>
          </cell>
          <cell r="H323">
            <v>65.773969430030093</v>
          </cell>
          <cell r="I323">
            <v>65.873582114045917</v>
          </cell>
          <cell r="J323">
            <v>66.371290641332735</v>
          </cell>
          <cell r="K323">
            <v>66.174580858940942</v>
          </cell>
          <cell r="L323">
            <v>65.18240375652519</v>
          </cell>
          <cell r="M323">
            <v>65.181114271680968</v>
          </cell>
          <cell r="N323">
            <v>65.381911074838897</v>
          </cell>
          <cell r="O323">
            <v>66.967536972211121</v>
          </cell>
          <cell r="P323">
            <v>67.720068482533165</v>
          </cell>
          <cell r="Q323">
            <v>67.918655988751198</v>
          </cell>
          <cell r="R323">
            <v>68.604947979802617</v>
          </cell>
          <cell r="S323">
            <v>68.946596293581862</v>
          </cell>
          <cell r="T323">
            <v>68.946596293581862</v>
          </cell>
          <cell r="U323">
            <v>68.946596293581862</v>
          </cell>
          <cell r="V323">
            <v>68.946596293581862</v>
          </cell>
          <cell r="W323">
            <v>68.946596293581862</v>
          </cell>
          <cell r="X323">
            <v>68.946596293581862</v>
          </cell>
          <cell r="Y323">
            <v>68.946596293581862</v>
          </cell>
          <cell r="Z323">
            <v>68.946596293581862</v>
          </cell>
          <cell r="AA323">
            <v>68.946596293581862</v>
          </cell>
          <cell r="AB323">
            <v>68.946596293581862</v>
          </cell>
          <cell r="AC323">
            <v>68.946596293581862</v>
          </cell>
          <cell r="AD323">
            <v>68.946596293581862</v>
          </cell>
          <cell r="AE323">
            <v>68.946596293581862</v>
          </cell>
          <cell r="AF323">
            <v>68.946596293581862</v>
          </cell>
        </row>
        <row r="324">
          <cell r="A324" t="str">
            <v>Florida</v>
          </cell>
          <cell r="B324">
            <v>63.197269762837479</v>
          </cell>
          <cell r="C324">
            <v>63.397557183067519</v>
          </cell>
          <cell r="D324">
            <v>65.310490031787566</v>
          </cell>
          <cell r="E324">
            <v>66.216221568608063</v>
          </cell>
          <cell r="F324">
            <v>66.158959110799984</v>
          </cell>
          <cell r="G324">
            <v>66.25233247146987</v>
          </cell>
          <cell r="H324">
            <v>66.357717679213323</v>
          </cell>
          <cell r="I324">
            <v>66.458143614065307</v>
          </cell>
          <cell r="J324">
            <v>66.960603649985615</v>
          </cell>
          <cell r="K324">
            <v>66.762086059268711</v>
          </cell>
          <cell r="L324">
            <v>65.760407407916418</v>
          </cell>
          <cell r="M324">
            <v>65.759078976299492</v>
          </cell>
          <cell r="N324">
            <v>65.961803555832049</v>
          </cell>
          <cell r="O324">
            <v>67.562660261869581</v>
          </cell>
          <cell r="P324">
            <v>68.322469943021957</v>
          </cell>
          <cell r="Q324">
            <v>68.522962400365984</v>
          </cell>
          <cell r="R324">
            <v>69.215847503029281</v>
          </cell>
          <cell r="S324">
            <v>69.560739004948658</v>
          </cell>
          <cell r="T324">
            <v>69.560739004948658</v>
          </cell>
          <cell r="U324">
            <v>69.560739004948658</v>
          </cell>
          <cell r="V324">
            <v>69.560739004948658</v>
          </cell>
          <cell r="W324">
            <v>69.560739004948658</v>
          </cell>
          <cell r="X324">
            <v>69.560739004948658</v>
          </cell>
          <cell r="Y324">
            <v>69.560739004948658</v>
          </cell>
          <cell r="Z324">
            <v>69.560739004948658</v>
          </cell>
          <cell r="AA324">
            <v>69.560739004948658</v>
          </cell>
          <cell r="AB324">
            <v>69.560739004948658</v>
          </cell>
          <cell r="AC324">
            <v>69.560739004948658</v>
          </cell>
          <cell r="AD324">
            <v>69.560739004948658</v>
          </cell>
          <cell r="AE324">
            <v>69.560739004948658</v>
          </cell>
          <cell r="AF324">
            <v>69.560739004948658</v>
          </cell>
        </row>
        <row r="325">
          <cell r="A325" t="str">
            <v>Georgia</v>
          </cell>
          <cell r="B325">
            <v>63.197269762837479</v>
          </cell>
          <cell r="C325">
            <v>63.397557183067519</v>
          </cell>
          <cell r="D325">
            <v>65.310490031787566</v>
          </cell>
          <cell r="E325">
            <v>66.216221568608077</v>
          </cell>
          <cell r="F325">
            <v>66.158959110799984</v>
          </cell>
          <cell r="G325">
            <v>66.252332471469856</v>
          </cell>
          <cell r="H325">
            <v>66.357717679213323</v>
          </cell>
          <cell r="I325">
            <v>66.458143614065321</v>
          </cell>
          <cell r="J325">
            <v>66.960603649985615</v>
          </cell>
          <cell r="K325">
            <v>66.762086059268711</v>
          </cell>
          <cell r="L325">
            <v>65.760407407916432</v>
          </cell>
          <cell r="M325">
            <v>65.759078976299492</v>
          </cell>
          <cell r="N325">
            <v>65.961803555832063</v>
          </cell>
          <cell r="O325">
            <v>67.562660261869596</v>
          </cell>
          <cell r="P325">
            <v>68.322469943021972</v>
          </cell>
          <cell r="Q325">
            <v>68.522962400365984</v>
          </cell>
          <cell r="R325">
            <v>69.215847503029252</v>
          </cell>
          <cell r="S325">
            <v>69.560739004948672</v>
          </cell>
          <cell r="T325">
            <v>69.560739004948672</v>
          </cell>
          <cell r="U325">
            <v>69.560739004948672</v>
          </cell>
          <cell r="V325">
            <v>69.560739004948672</v>
          </cell>
          <cell r="W325">
            <v>69.560739004948672</v>
          </cell>
          <cell r="X325">
            <v>69.560739004948672</v>
          </cell>
          <cell r="Y325">
            <v>69.560739004948672</v>
          </cell>
          <cell r="Z325">
            <v>69.560739004948672</v>
          </cell>
          <cell r="AA325">
            <v>69.560739004948672</v>
          </cell>
          <cell r="AB325">
            <v>69.560739004948672</v>
          </cell>
          <cell r="AC325">
            <v>69.560739004948672</v>
          </cell>
          <cell r="AD325">
            <v>69.560739004948672</v>
          </cell>
          <cell r="AE325">
            <v>69.560739004948672</v>
          </cell>
          <cell r="AF325">
            <v>69.560739004948672</v>
          </cell>
        </row>
        <row r="326">
          <cell r="A326" t="str">
            <v>Hawaii</v>
          </cell>
          <cell r="B326">
            <v>72.942083064329125</v>
          </cell>
          <cell r="C326">
            <v>73.176901027629569</v>
          </cell>
          <cell r="D326">
            <v>75.416845986483111</v>
          </cell>
          <cell r="E326">
            <v>76.474507156326808</v>
          </cell>
          <cell r="F326">
            <v>76.40899858261092</v>
          </cell>
          <cell r="G326">
            <v>76.51764881909159</v>
          </cell>
          <cell r="H326">
            <v>76.642592027507249</v>
          </cell>
          <cell r="I326">
            <v>76.757069821609917</v>
          </cell>
          <cell r="J326">
            <v>77.344550680465701</v>
          </cell>
          <cell r="K326">
            <v>77.113939793180023</v>
          </cell>
          <cell r="L326">
            <v>75.94213881125701</v>
          </cell>
          <cell r="M326">
            <v>75.940016790413026</v>
          </cell>
          <cell r="N326">
            <v>76.177275179659418</v>
          </cell>
          <cell r="O326">
            <v>78.051001764719587</v>
          </cell>
          <cell r="P326">
            <v>78.941383918795424</v>
          </cell>
          <cell r="Q326">
            <v>79.17599547022995</v>
          </cell>
          <cell r="R326">
            <v>79.987003717027093</v>
          </cell>
          <cell r="S326">
            <v>80.389860026063758</v>
          </cell>
          <cell r="T326">
            <v>80.389860026063758</v>
          </cell>
          <cell r="U326">
            <v>80.389860026063758</v>
          </cell>
          <cell r="V326">
            <v>80.389860026063758</v>
          </cell>
          <cell r="W326">
            <v>80.389860026063758</v>
          </cell>
          <cell r="X326">
            <v>80.389860026063758</v>
          </cell>
          <cell r="Y326">
            <v>80.389860026063758</v>
          </cell>
          <cell r="Z326">
            <v>80.389860026063758</v>
          </cell>
          <cell r="AA326">
            <v>80.389860026063758</v>
          </cell>
          <cell r="AB326">
            <v>80.389860026063758</v>
          </cell>
          <cell r="AC326">
            <v>80.389860026063758</v>
          </cell>
          <cell r="AD326">
            <v>80.389860026063758</v>
          </cell>
          <cell r="AE326">
            <v>80.389860026063758</v>
          </cell>
          <cell r="AF326">
            <v>80.389860026063758</v>
          </cell>
        </row>
        <row r="327">
          <cell r="A327" t="str">
            <v>Idaho</v>
          </cell>
          <cell r="B327">
            <v>72.942083064329125</v>
          </cell>
          <cell r="C327">
            <v>73.176901027629569</v>
          </cell>
          <cell r="D327">
            <v>75.416845986483096</v>
          </cell>
          <cell r="E327">
            <v>76.474507156326823</v>
          </cell>
          <cell r="F327">
            <v>76.408998582610892</v>
          </cell>
          <cell r="G327">
            <v>76.517648819091562</v>
          </cell>
          <cell r="H327">
            <v>76.642592027507234</v>
          </cell>
          <cell r="I327">
            <v>76.757069821609889</v>
          </cell>
          <cell r="J327">
            <v>77.344550680465701</v>
          </cell>
          <cell r="K327">
            <v>77.113939793180023</v>
          </cell>
          <cell r="L327">
            <v>75.942138811257024</v>
          </cell>
          <cell r="M327">
            <v>75.940016790413011</v>
          </cell>
          <cell r="N327">
            <v>76.177275179659418</v>
          </cell>
          <cell r="O327">
            <v>78.051001764719587</v>
          </cell>
          <cell r="P327">
            <v>78.941383918795438</v>
          </cell>
          <cell r="Q327">
            <v>79.175995470229964</v>
          </cell>
          <cell r="R327">
            <v>79.987003717027079</v>
          </cell>
          <cell r="S327">
            <v>80.389860026063744</v>
          </cell>
          <cell r="T327">
            <v>80.389860026063744</v>
          </cell>
          <cell r="U327">
            <v>80.389860026063744</v>
          </cell>
          <cell r="V327">
            <v>80.389860026063744</v>
          </cell>
          <cell r="W327">
            <v>80.389860026063744</v>
          </cell>
          <cell r="X327">
            <v>80.389860026063744</v>
          </cell>
          <cell r="Y327">
            <v>80.389860026063744</v>
          </cell>
          <cell r="Z327">
            <v>80.389860026063744</v>
          </cell>
          <cell r="AA327">
            <v>80.389860026063744</v>
          </cell>
          <cell r="AB327">
            <v>80.389860026063744</v>
          </cell>
          <cell r="AC327">
            <v>80.389860026063744</v>
          </cell>
          <cell r="AD327">
            <v>80.389860026063744</v>
          </cell>
          <cell r="AE327">
            <v>80.389860026063744</v>
          </cell>
          <cell r="AF327">
            <v>80.389860026063744</v>
          </cell>
        </row>
        <row r="328">
          <cell r="A328" t="str">
            <v>Illinois</v>
          </cell>
          <cell r="B328">
            <v>62.654428984173279</v>
          </cell>
          <cell r="C328">
            <v>62.852830102022928</v>
          </cell>
          <cell r="D328">
            <v>64.747873782055379</v>
          </cell>
          <cell r="E328">
            <v>65.645267277072506</v>
          </cell>
          <cell r="F328">
            <v>65.588470133710047</v>
          </cell>
          <cell r="G328">
            <v>65.681001463280666</v>
          </cell>
          <cell r="H328">
            <v>65.785330962043119</v>
          </cell>
          <cell r="I328">
            <v>65.884959490371415</v>
          </cell>
          <cell r="J328">
            <v>66.382760421271527</v>
          </cell>
          <cell r="K328">
            <v>66.186015467351197</v>
          </cell>
          <cell r="L328">
            <v>65.193653592434927</v>
          </cell>
          <cell r="M328">
            <v>65.192363355763575</v>
          </cell>
          <cell r="N328">
            <v>65.393197646539122</v>
          </cell>
          <cell r="O328">
            <v>66.979119721210694</v>
          </cell>
          <cell r="P328">
            <v>67.731792752017412</v>
          </cell>
          <cell r="Q328">
            <v>67.930417302328649</v>
          </cell>
          <cell r="R328">
            <v>68.616837502405716</v>
          </cell>
          <cell r="S328">
            <v>68.958548891028627</v>
          </cell>
          <cell r="T328">
            <v>68.958548891028627</v>
          </cell>
          <cell r="U328">
            <v>68.958548891028627</v>
          </cell>
          <cell r="V328">
            <v>68.958548891028627</v>
          </cell>
          <cell r="W328">
            <v>68.958548891028627</v>
          </cell>
          <cell r="X328">
            <v>68.958548891028627</v>
          </cell>
          <cell r="Y328">
            <v>68.958548891028627</v>
          </cell>
          <cell r="Z328">
            <v>68.958548891028627</v>
          </cell>
          <cell r="AA328">
            <v>68.958548891028627</v>
          </cell>
          <cell r="AB328">
            <v>68.958548891028627</v>
          </cell>
          <cell r="AC328">
            <v>68.958548891028627</v>
          </cell>
          <cell r="AD328">
            <v>68.958548891028627</v>
          </cell>
          <cell r="AE328">
            <v>68.958548891028627</v>
          </cell>
          <cell r="AF328">
            <v>68.958548891028627</v>
          </cell>
        </row>
        <row r="329">
          <cell r="A329" t="str">
            <v>Indiana</v>
          </cell>
          <cell r="B329">
            <v>62.654428984173286</v>
          </cell>
          <cell r="C329">
            <v>62.852830102022921</v>
          </cell>
          <cell r="D329">
            <v>64.747873782055393</v>
          </cell>
          <cell r="E329">
            <v>65.645267277072492</v>
          </cell>
          <cell r="F329">
            <v>65.588470133710032</v>
          </cell>
          <cell r="G329">
            <v>65.68100146328068</v>
          </cell>
          <cell r="H329">
            <v>65.785330962043119</v>
          </cell>
          <cell r="I329">
            <v>65.884959490371401</v>
          </cell>
          <cell r="J329">
            <v>66.382760421271541</v>
          </cell>
          <cell r="K329">
            <v>66.186015467351211</v>
          </cell>
          <cell r="L329">
            <v>65.193653592434927</v>
          </cell>
          <cell r="M329">
            <v>65.192363355763575</v>
          </cell>
          <cell r="N329">
            <v>65.393197646539093</v>
          </cell>
          <cell r="O329">
            <v>66.979119721210679</v>
          </cell>
          <cell r="P329">
            <v>67.731792752017412</v>
          </cell>
          <cell r="Q329">
            <v>67.930417302328649</v>
          </cell>
          <cell r="R329">
            <v>68.616837502405701</v>
          </cell>
          <cell r="S329">
            <v>68.958548891028613</v>
          </cell>
          <cell r="T329">
            <v>68.958548891028613</v>
          </cell>
          <cell r="U329">
            <v>68.958548891028613</v>
          </cell>
          <cell r="V329">
            <v>68.958548891028613</v>
          </cell>
          <cell r="W329">
            <v>68.958548891028613</v>
          </cell>
          <cell r="X329">
            <v>68.958548891028613</v>
          </cell>
          <cell r="Y329">
            <v>68.958548891028613</v>
          </cell>
          <cell r="Z329">
            <v>68.958548891028613</v>
          </cell>
          <cell r="AA329">
            <v>68.958548891028613</v>
          </cell>
          <cell r="AB329">
            <v>68.958548891028613</v>
          </cell>
          <cell r="AC329">
            <v>68.958548891028613</v>
          </cell>
          <cell r="AD329">
            <v>68.958548891028613</v>
          </cell>
          <cell r="AE329">
            <v>68.958548891028613</v>
          </cell>
          <cell r="AF329">
            <v>68.958548891028613</v>
          </cell>
        </row>
        <row r="330">
          <cell r="A330" t="str">
            <v>Iowa</v>
          </cell>
          <cell r="B330">
            <v>62.654428984173272</v>
          </cell>
          <cell r="C330">
            <v>62.852830102022935</v>
          </cell>
          <cell r="D330">
            <v>64.747873782055407</v>
          </cell>
          <cell r="E330">
            <v>65.645267277072506</v>
          </cell>
          <cell r="F330">
            <v>65.588470133710047</v>
          </cell>
          <cell r="G330">
            <v>65.68100146328068</v>
          </cell>
          <cell r="H330">
            <v>65.785330962043119</v>
          </cell>
          <cell r="I330">
            <v>65.884959490371415</v>
          </cell>
          <cell r="J330">
            <v>66.382760421271527</v>
          </cell>
          <cell r="K330">
            <v>66.186015467351197</v>
          </cell>
          <cell r="L330">
            <v>65.193653592434941</v>
          </cell>
          <cell r="M330">
            <v>65.192363355763575</v>
          </cell>
          <cell r="N330">
            <v>65.393197646539122</v>
          </cell>
          <cell r="O330">
            <v>66.979119721210665</v>
          </cell>
          <cell r="P330">
            <v>67.731792752017412</v>
          </cell>
          <cell r="Q330">
            <v>67.930417302328635</v>
          </cell>
          <cell r="R330">
            <v>68.616837502405716</v>
          </cell>
          <cell r="S330">
            <v>68.958548891028641</v>
          </cell>
          <cell r="T330">
            <v>68.958548891028641</v>
          </cell>
          <cell r="U330">
            <v>68.958548891028641</v>
          </cell>
          <cell r="V330">
            <v>68.958548891028641</v>
          </cell>
          <cell r="W330">
            <v>68.958548891028641</v>
          </cell>
          <cell r="X330">
            <v>68.958548891028641</v>
          </cell>
          <cell r="Y330">
            <v>68.958548891028641</v>
          </cell>
          <cell r="Z330">
            <v>68.958548891028641</v>
          </cell>
          <cell r="AA330">
            <v>68.958548891028641</v>
          </cell>
          <cell r="AB330">
            <v>68.958548891028641</v>
          </cell>
          <cell r="AC330">
            <v>68.958548891028641</v>
          </cell>
          <cell r="AD330">
            <v>68.958548891028641</v>
          </cell>
          <cell r="AE330">
            <v>68.958548891028641</v>
          </cell>
          <cell r="AF330">
            <v>68.958548891028641</v>
          </cell>
        </row>
        <row r="331">
          <cell r="A331" t="str">
            <v>Kansas</v>
          </cell>
          <cell r="B331">
            <v>60.565482253963424</v>
          </cell>
          <cell r="C331">
            <v>60.756660133993513</v>
          </cell>
          <cell r="D331">
            <v>62.583175826799064</v>
          </cell>
          <cell r="E331">
            <v>63.448602787063656</v>
          </cell>
          <cell r="F331">
            <v>63.393601949792647</v>
          </cell>
          <cell r="G331">
            <v>63.482901572826712</v>
          </cell>
          <cell r="H331">
            <v>63.583200795966718</v>
          </cell>
          <cell r="I331">
            <v>63.679746776167171</v>
          </cell>
          <cell r="J331">
            <v>64.159692255914436</v>
          </cell>
          <cell r="K331">
            <v>63.969754253800694</v>
          </cell>
          <cell r="L331">
            <v>63.013092100043437</v>
          </cell>
          <cell r="M331">
            <v>63.011943099366846</v>
          </cell>
          <cell r="N331">
            <v>63.205535176937765</v>
          </cell>
          <cell r="O331">
            <v>64.734240090866152</v>
          </cell>
          <cell r="P331">
            <v>65.459580910549732</v>
          </cell>
          <cell r="Q331">
            <v>65.651048688254576</v>
          </cell>
          <cell r="R331">
            <v>66.312700898831153</v>
          </cell>
          <cell r="S331">
            <v>66.642221330285807</v>
          </cell>
          <cell r="T331">
            <v>66.642221330285807</v>
          </cell>
          <cell r="U331">
            <v>66.642221330285807</v>
          </cell>
          <cell r="V331">
            <v>66.642221330285807</v>
          </cell>
          <cell r="W331">
            <v>66.642221330285807</v>
          </cell>
          <cell r="X331">
            <v>66.642221330285807</v>
          </cell>
          <cell r="Y331">
            <v>66.642221330285807</v>
          </cell>
          <cell r="Z331">
            <v>66.642221330285807</v>
          </cell>
          <cell r="AA331">
            <v>66.642221330285807</v>
          </cell>
          <cell r="AB331">
            <v>66.642221330285807</v>
          </cell>
          <cell r="AC331">
            <v>66.642221330285807</v>
          </cell>
          <cell r="AD331">
            <v>66.642221330285807</v>
          </cell>
          <cell r="AE331">
            <v>66.642221330285807</v>
          </cell>
          <cell r="AF331">
            <v>66.642221330285807</v>
          </cell>
        </row>
        <row r="332">
          <cell r="A332" t="str">
            <v>Kentucky</v>
          </cell>
          <cell r="B332">
            <v>63.197269762837472</v>
          </cell>
          <cell r="C332">
            <v>63.397557183067498</v>
          </cell>
          <cell r="D332">
            <v>65.310490031787566</v>
          </cell>
          <cell r="E332">
            <v>66.216221568608077</v>
          </cell>
          <cell r="F332">
            <v>66.158959110799969</v>
          </cell>
          <cell r="G332">
            <v>66.25233247146987</v>
          </cell>
          <cell r="H332">
            <v>66.357717679213309</v>
          </cell>
          <cell r="I332">
            <v>66.458143614065307</v>
          </cell>
          <cell r="J332">
            <v>66.960603649985615</v>
          </cell>
          <cell r="K332">
            <v>66.762086059268711</v>
          </cell>
          <cell r="L332">
            <v>65.760407407916418</v>
          </cell>
          <cell r="M332">
            <v>65.759078976299492</v>
          </cell>
          <cell r="N332">
            <v>65.961803555832063</v>
          </cell>
          <cell r="O332">
            <v>67.562660261869581</v>
          </cell>
          <cell r="P332">
            <v>68.322469943021972</v>
          </cell>
          <cell r="Q332">
            <v>68.522962400365998</v>
          </cell>
          <cell r="R332">
            <v>69.215847503029266</v>
          </cell>
          <cell r="S332">
            <v>69.560739004948672</v>
          </cell>
          <cell r="T332">
            <v>69.560739004948672</v>
          </cell>
          <cell r="U332">
            <v>69.560739004948672</v>
          </cell>
          <cell r="V332">
            <v>69.560739004948672</v>
          </cell>
          <cell r="W332">
            <v>69.560739004948672</v>
          </cell>
          <cell r="X332">
            <v>69.560739004948672</v>
          </cell>
          <cell r="Y332">
            <v>69.560739004948672</v>
          </cell>
          <cell r="Z332">
            <v>69.560739004948672</v>
          </cell>
          <cell r="AA332">
            <v>69.560739004948672</v>
          </cell>
          <cell r="AB332">
            <v>69.560739004948672</v>
          </cell>
          <cell r="AC332">
            <v>69.560739004948672</v>
          </cell>
          <cell r="AD332">
            <v>69.560739004948672</v>
          </cell>
          <cell r="AE332">
            <v>69.560739004948672</v>
          </cell>
          <cell r="AF332">
            <v>69.560739004948672</v>
          </cell>
        </row>
        <row r="333">
          <cell r="A333" t="str">
            <v>Louisiana</v>
          </cell>
          <cell r="B333">
            <v>63.096581635161328</v>
          </cell>
          <cell r="C333">
            <v>63.296518887687036</v>
          </cell>
          <cell r="D333">
            <v>65.206131044658335</v>
          </cell>
          <cell r="E333">
            <v>66.110315037131855</v>
          </cell>
          <cell r="F333">
            <v>66.053138841282134</v>
          </cell>
          <cell r="G333">
            <v>66.146355949155549</v>
          </cell>
          <cell r="H333">
            <v>66.2515450776378</v>
          </cell>
          <cell r="I333">
            <v>66.351823220284459</v>
          </cell>
          <cell r="J333">
            <v>66.85341846964559</v>
          </cell>
          <cell r="K333">
            <v>66.655229791812488</v>
          </cell>
          <cell r="L333">
            <v>65.655280493721463</v>
          </cell>
          <cell r="M333">
            <v>65.653959193352719</v>
          </cell>
          <cell r="N333">
            <v>65.856332895327526</v>
          </cell>
          <cell r="O333">
            <v>67.454417405868782</v>
          </cell>
          <cell r="P333">
            <v>68.21290229051337</v>
          </cell>
          <cell r="Q333">
            <v>68.413048027340508</v>
          </cell>
          <cell r="R333">
            <v>69.10473310073283</v>
          </cell>
          <cell r="S333">
            <v>69.449034363899429</v>
          </cell>
          <cell r="T333">
            <v>69.449034363899429</v>
          </cell>
          <cell r="U333">
            <v>69.449034363899429</v>
          </cell>
          <cell r="V333">
            <v>69.449034363899429</v>
          </cell>
          <cell r="W333">
            <v>69.449034363899429</v>
          </cell>
          <cell r="X333">
            <v>69.449034363899429</v>
          </cell>
          <cell r="Y333">
            <v>69.449034363899429</v>
          </cell>
          <cell r="Z333">
            <v>69.449034363899429</v>
          </cell>
          <cell r="AA333">
            <v>69.449034363899429</v>
          </cell>
          <cell r="AB333">
            <v>69.449034363899429</v>
          </cell>
          <cell r="AC333">
            <v>69.449034363899429</v>
          </cell>
          <cell r="AD333">
            <v>69.449034363899429</v>
          </cell>
          <cell r="AE333">
            <v>69.449034363899429</v>
          </cell>
          <cell r="AF333">
            <v>69.449034363899429</v>
          </cell>
        </row>
        <row r="334">
          <cell r="A334" t="str">
            <v>Maine</v>
          </cell>
          <cell r="B334">
            <v>62.643653381256634</v>
          </cell>
          <cell r="C334">
            <v>62.842017094642607</v>
          </cell>
          <cell r="D334">
            <v>64.736706013666236</v>
          </cell>
          <cell r="E334">
            <v>65.633934127757698</v>
          </cell>
          <cell r="F334">
            <v>65.577146227371529</v>
          </cell>
          <cell r="G334">
            <v>65.669660851785579</v>
          </cell>
          <cell r="H334">
            <v>65.77396943003005</v>
          </cell>
          <cell r="I334">
            <v>65.873582114045902</v>
          </cell>
          <cell r="J334">
            <v>66.371290641332749</v>
          </cell>
          <cell r="K334">
            <v>66.174580858940956</v>
          </cell>
          <cell r="L334">
            <v>65.18240375652519</v>
          </cell>
          <cell r="M334">
            <v>65.181114271680968</v>
          </cell>
          <cell r="N334">
            <v>65.381911074838911</v>
          </cell>
          <cell r="O334">
            <v>66.967536972211136</v>
          </cell>
          <cell r="P334">
            <v>67.720068482533151</v>
          </cell>
          <cell r="Q334">
            <v>67.918655988751198</v>
          </cell>
          <cell r="R334">
            <v>68.604947979802603</v>
          </cell>
          <cell r="S334">
            <v>68.946596293581848</v>
          </cell>
          <cell r="T334">
            <v>68.946596293581848</v>
          </cell>
          <cell r="U334">
            <v>68.946596293581848</v>
          </cell>
          <cell r="V334">
            <v>68.946596293581848</v>
          </cell>
          <cell r="W334">
            <v>68.946596293581848</v>
          </cell>
          <cell r="X334">
            <v>68.946596293581848</v>
          </cell>
          <cell r="Y334">
            <v>68.946596293581848</v>
          </cell>
          <cell r="Z334">
            <v>68.946596293581848</v>
          </cell>
          <cell r="AA334">
            <v>68.946596293581848</v>
          </cell>
          <cell r="AB334">
            <v>68.946596293581848</v>
          </cell>
          <cell r="AC334">
            <v>68.946596293581848</v>
          </cell>
          <cell r="AD334">
            <v>68.946596293581848</v>
          </cell>
          <cell r="AE334">
            <v>68.946596293581848</v>
          </cell>
          <cell r="AF334">
            <v>68.946596293581848</v>
          </cell>
        </row>
        <row r="335">
          <cell r="A335" t="str">
            <v>Maryland</v>
          </cell>
          <cell r="B335">
            <v>62.643653381256648</v>
          </cell>
          <cell r="C335">
            <v>62.842017094642614</v>
          </cell>
          <cell r="D335">
            <v>64.736706013666236</v>
          </cell>
          <cell r="E335">
            <v>65.633934127757698</v>
          </cell>
          <cell r="F335">
            <v>65.577146227371529</v>
          </cell>
          <cell r="G335">
            <v>65.669660851785594</v>
          </cell>
          <cell r="H335">
            <v>65.77396943003005</v>
          </cell>
          <cell r="I335">
            <v>65.873582114045917</v>
          </cell>
          <cell r="J335">
            <v>66.371290641332749</v>
          </cell>
          <cell r="K335">
            <v>66.174580858940942</v>
          </cell>
          <cell r="L335">
            <v>65.182403756525176</v>
          </cell>
          <cell r="M335">
            <v>65.181114271680968</v>
          </cell>
          <cell r="N335">
            <v>65.381911074838911</v>
          </cell>
          <cell r="O335">
            <v>66.967536972211136</v>
          </cell>
          <cell r="P335">
            <v>67.720068482533165</v>
          </cell>
          <cell r="Q335">
            <v>67.918655988751198</v>
          </cell>
          <cell r="R335">
            <v>68.604947979802589</v>
          </cell>
          <cell r="S335">
            <v>68.946596293581862</v>
          </cell>
          <cell r="T335">
            <v>68.946596293581862</v>
          </cell>
          <cell r="U335">
            <v>68.946596293581862</v>
          </cell>
          <cell r="V335">
            <v>68.946596293581862</v>
          </cell>
          <cell r="W335">
            <v>68.946596293581862</v>
          </cell>
          <cell r="X335">
            <v>68.946596293581862</v>
          </cell>
          <cell r="Y335">
            <v>68.946596293581862</v>
          </cell>
          <cell r="Z335">
            <v>68.946596293581862</v>
          </cell>
          <cell r="AA335">
            <v>68.946596293581862</v>
          </cell>
          <cell r="AB335">
            <v>68.946596293581862</v>
          </cell>
          <cell r="AC335">
            <v>68.946596293581862</v>
          </cell>
          <cell r="AD335">
            <v>68.946596293581862</v>
          </cell>
          <cell r="AE335">
            <v>68.946596293581862</v>
          </cell>
          <cell r="AF335">
            <v>68.946596293581862</v>
          </cell>
        </row>
        <row r="336">
          <cell r="A336" t="str">
            <v>Massachusetts</v>
          </cell>
          <cell r="B336">
            <v>62.643653381256655</v>
          </cell>
          <cell r="C336">
            <v>62.842017094642614</v>
          </cell>
          <cell r="D336">
            <v>64.736706013666236</v>
          </cell>
          <cell r="E336">
            <v>65.633934127757698</v>
          </cell>
          <cell r="F336">
            <v>65.577146227371543</v>
          </cell>
          <cell r="G336">
            <v>65.669660851785594</v>
          </cell>
          <cell r="H336">
            <v>65.773969430030064</v>
          </cell>
          <cell r="I336">
            <v>65.873582114045917</v>
          </cell>
          <cell r="J336">
            <v>66.371290641332735</v>
          </cell>
          <cell r="K336">
            <v>66.174580858940928</v>
          </cell>
          <cell r="L336">
            <v>65.18240375652519</v>
          </cell>
          <cell r="M336">
            <v>65.181114271680968</v>
          </cell>
          <cell r="N336">
            <v>65.381911074838911</v>
          </cell>
          <cell r="O336">
            <v>66.967536972211107</v>
          </cell>
          <cell r="P336">
            <v>67.720068482533151</v>
          </cell>
          <cell r="Q336">
            <v>67.918655988751212</v>
          </cell>
          <cell r="R336">
            <v>68.604947979802603</v>
          </cell>
          <cell r="S336">
            <v>68.946596293581848</v>
          </cell>
          <cell r="T336">
            <v>68.946596293581848</v>
          </cell>
          <cell r="U336">
            <v>68.946596293581848</v>
          </cell>
          <cell r="V336">
            <v>68.946596293581848</v>
          </cell>
          <cell r="W336">
            <v>68.946596293581848</v>
          </cell>
          <cell r="X336">
            <v>68.946596293581848</v>
          </cell>
          <cell r="Y336">
            <v>68.946596293581848</v>
          </cell>
          <cell r="Z336">
            <v>68.946596293581848</v>
          </cell>
          <cell r="AA336">
            <v>68.946596293581848</v>
          </cell>
          <cell r="AB336">
            <v>68.946596293581848</v>
          </cell>
          <cell r="AC336">
            <v>68.946596293581848</v>
          </cell>
          <cell r="AD336">
            <v>68.946596293581848</v>
          </cell>
          <cell r="AE336">
            <v>68.946596293581848</v>
          </cell>
          <cell r="AF336">
            <v>68.946596293581848</v>
          </cell>
        </row>
        <row r="337">
          <cell r="A337" t="str">
            <v>Michigan</v>
          </cell>
          <cell r="B337">
            <v>62.654428984173258</v>
          </cell>
          <cell r="C337">
            <v>62.852830102022914</v>
          </cell>
          <cell r="D337">
            <v>64.747873782055379</v>
          </cell>
          <cell r="E337">
            <v>65.645267277072506</v>
          </cell>
          <cell r="F337">
            <v>65.588470133710047</v>
          </cell>
          <cell r="G337">
            <v>65.681001463280666</v>
          </cell>
          <cell r="H337">
            <v>65.785330962043105</v>
          </cell>
          <cell r="I337">
            <v>65.884959490371429</v>
          </cell>
          <cell r="J337">
            <v>66.382760421271527</v>
          </cell>
          <cell r="K337">
            <v>66.186015467351197</v>
          </cell>
          <cell r="L337">
            <v>65.193653592434941</v>
          </cell>
          <cell r="M337">
            <v>65.192363355763561</v>
          </cell>
          <cell r="N337">
            <v>65.393197646539122</v>
          </cell>
          <cell r="O337">
            <v>66.979119721210694</v>
          </cell>
          <cell r="P337">
            <v>67.731792752017427</v>
          </cell>
          <cell r="Q337">
            <v>67.930417302328649</v>
          </cell>
          <cell r="R337">
            <v>68.616837502405701</v>
          </cell>
          <cell r="S337">
            <v>68.958548891028627</v>
          </cell>
          <cell r="T337">
            <v>68.958548891028627</v>
          </cell>
          <cell r="U337">
            <v>68.958548891028627</v>
          </cell>
          <cell r="V337">
            <v>68.958548891028627</v>
          </cell>
          <cell r="W337">
            <v>68.958548891028627</v>
          </cell>
          <cell r="X337">
            <v>68.958548891028627</v>
          </cell>
          <cell r="Y337">
            <v>68.958548891028627</v>
          </cell>
          <cell r="Z337">
            <v>68.958548891028627</v>
          </cell>
          <cell r="AA337">
            <v>68.958548891028627</v>
          </cell>
          <cell r="AB337">
            <v>68.958548891028627</v>
          </cell>
          <cell r="AC337">
            <v>68.958548891028627</v>
          </cell>
          <cell r="AD337">
            <v>68.958548891028627</v>
          </cell>
          <cell r="AE337">
            <v>68.958548891028627</v>
          </cell>
          <cell r="AF337">
            <v>68.958548891028627</v>
          </cell>
        </row>
        <row r="338">
          <cell r="A338" t="str">
            <v>Minnesota</v>
          </cell>
          <cell r="B338">
            <v>62.654428984173258</v>
          </cell>
          <cell r="C338">
            <v>62.852830102022921</v>
          </cell>
          <cell r="D338">
            <v>64.747873782055393</v>
          </cell>
          <cell r="E338">
            <v>65.645267277072506</v>
          </cell>
          <cell r="F338">
            <v>65.588470133710032</v>
          </cell>
          <cell r="G338">
            <v>65.681001463280666</v>
          </cell>
          <cell r="H338">
            <v>65.785330962043119</v>
          </cell>
          <cell r="I338">
            <v>65.884959490371415</v>
          </cell>
          <cell r="J338">
            <v>66.382760421271556</v>
          </cell>
          <cell r="K338">
            <v>66.186015467351211</v>
          </cell>
          <cell r="L338">
            <v>65.193653592434941</v>
          </cell>
          <cell r="M338">
            <v>65.192363355763561</v>
          </cell>
          <cell r="N338">
            <v>65.393197646539093</v>
          </cell>
          <cell r="O338">
            <v>66.979119721210694</v>
          </cell>
          <cell r="P338">
            <v>67.731792752017412</v>
          </cell>
          <cell r="Q338">
            <v>67.930417302328649</v>
          </cell>
          <cell r="R338">
            <v>68.616837502405701</v>
          </cell>
          <cell r="S338">
            <v>68.958548891028641</v>
          </cell>
          <cell r="T338">
            <v>68.958548891028641</v>
          </cell>
          <cell r="U338">
            <v>68.958548891028641</v>
          </cell>
          <cell r="V338">
            <v>68.958548891028641</v>
          </cell>
          <cell r="W338">
            <v>68.958548891028641</v>
          </cell>
          <cell r="X338">
            <v>68.958548891028641</v>
          </cell>
          <cell r="Y338">
            <v>68.958548891028641</v>
          </cell>
          <cell r="Z338">
            <v>68.958548891028641</v>
          </cell>
          <cell r="AA338">
            <v>68.958548891028641</v>
          </cell>
          <cell r="AB338">
            <v>68.958548891028641</v>
          </cell>
          <cell r="AC338">
            <v>68.958548891028641</v>
          </cell>
          <cell r="AD338">
            <v>68.958548891028641</v>
          </cell>
          <cell r="AE338">
            <v>68.958548891028641</v>
          </cell>
          <cell r="AF338">
            <v>68.958548891028641</v>
          </cell>
        </row>
        <row r="339">
          <cell r="A339" t="str">
            <v>Mississippi</v>
          </cell>
          <cell r="B339">
            <v>63.197269762837465</v>
          </cell>
          <cell r="C339">
            <v>63.397557183067519</v>
          </cell>
          <cell r="D339">
            <v>65.310490031787552</v>
          </cell>
          <cell r="E339">
            <v>66.216221568608063</v>
          </cell>
          <cell r="F339">
            <v>66.158959110799969</v>
          </cell>
          <cell r="G339">
            <v>66.25233247146987</v>
          </cell>
          <cell r="H339">
            <v>66.357717679213337</v>
          </cell>
          <cell r="I339">
            <v>66.458143614065293</v>
          </cell>
          <cell r="J339">
            <v>66.9606036499856</v>
          </cell>
          <cell r="K339">
            <v>66.762086059268711</v>
          </cell>
          <cell r="L339">
            <v>65.760407407916432</v>
          </cell>
          <cell r="M339">
            <v>65.759078976299477</v>
          </cell>
          <cell r="N339">
            <v>65.961803555832063</v>
          </cell>
          <cell r="O339">
            <v>67.562660261869596</v>
          </cell>
          <cell r="P339">
            <v>68.322469943021972</v>
          </cell>
          <cell r="Q339">
            <v>68.522962400365998</v>
          </cell>
          <cell r="R339">
            <v>69.215847503029281</v>
          </cell>
          <cell r="S339">
            <v>69.560739004948701</v>
          </cell>
          <cell r="T339">
            <v>69.560739004948701</v>
          </cell>
          <cell r="U339">
            <v>69.560739004948701</v>
          </cell>
          <cell r="V339">
            <v>69.560739004948701</v>
          </cell>
          <cell r="W339">
            <v>69.560739004948701</v>
          </cell>
          <cell r="X339">
            <v>69.560739004948701</v>
          </cell>
          <cell r="Y339">
            <v>69.560739004948701</v>
          </cell>
          <cell r="Z339">
            <v>69.560739004948701</v>
          </cell>
          <cell r="AA339">
            <v>69.560739004948701</v>
          </cell>
          <cell r="AB339">
            <v>69.560739004948701</v>
          </cell>
          <cell r="AC339">
            <v>69.560739004948701</v>
          </cell>
          <cell r="AD339">
            <v>69.560739004948701</v>
          </cell>
          <cell r="AE339">
            <v>69.560739004948701</v>
          </cell>
          <cell r="AF339">
            <v>69.560739004948701</v>
          </cell>
        </row>
        <row r="340">
          <cell r="A340" t="str">
            <v>Missouri</v>
          </cell>
          <cell r="B340">
            <v>62.654428984173272</v>
          </cell>
          <cell r="C340">
            <v>62.852830102022914</v>
          </cell>
          <cell r="D340">
            <v>64.747873782055407</v>
          </cell>
          <cell r="E340">
            <v>65.645267277072506</v>
          </cell>
          <cell r="F340">
            <v>65.588470133710032</v>
          </cell>
          <cell r="G340">
            <v>65.68100146328068</v>
          </cell>
          <cell r="H340">
            <v>65.785330962043119</v>
          </cell>
          <cell r="I340">
            <v>65.884959490371429</v>
          </cell>
          <cell r="J340">
            <v>66.382760421271527</v>
          </cell>
          <cell r="K340">
            <v>66.186015467351183</v>
          </cell>
          <cell r="L340">
            <v>65.193653592434941</v>
          </cell>
          <cell r="M340">
            <v>65.192363355763575</v>
          </cell>
          <cell r="N340">
            <v>65.393197646539122</v>
          </cell>
          <cell r="O340">
            <v>66.979119721210665</v>
          </cell>
          <cell r="P340">
            <v>67.731792752017412</v>
          </cell>
          <cell r="Q340">
            <v>67.930417302328649</v>
          </cell>
          <cell r="R340">
            <v>68.616837502405687</v>
          </cell>
          <cell r="S340">
            <v>68.958548891028627</v>
          </cell>
          <cell r="T340">
            <v>68.958548891028627</v>
          </cell>
          <cell r="U340">
            <v>68.958548891028627</v>
          </cell>
          <cell r="V340">
            <v>68.958548891028627</v>
          </cell>
          <cell r="W340">
            <v>68.958548891028627</v>
          </cell>
          <cell r="X340">
            <v>68.958548891028627</v>
          </cell>
          <cell r="Y340">
            <v>68.958548891028627</v>
          </cell>
          <cell r="Z340">
            <v>68.958548891028627</v>
          </cell>
          <cell r="AA340">
            <v>68.958548891028627</v>
          </cell>
          <cell r="AB340">
            <v>68.958548891028627</v>
          </cell>
          <cell r="AC340">
            <v>68.958548891028627</v>
          </cell>
          <cell r="AD340">
            <v>68.958548891028627</v>
          </cell>
          <cell r="AE340">
            <v>68.958548891028627</v>
          </cell>
          <cell r="AF340">
            <v>68.958548891028627</v>
          </cell>
        </row>
        <row r="341">
          <cell r="A341" t="str">
            <v>Montana</v>
          </cell>
          <cell r="B341">
            <v>60.565482253963417</v>
          </cell>
          <cell r="C341">
            <v>60.756660133993499</v>
          </cell>
          <cell r="D341">
            <v>62.583175826799085</v>
          </cell>
          <cell r="E341">
            <v>63.448602787063642</v>
          </cell>
          <cell r="F341">
            <v>63.393601949792661</v>
          </cell>
          <cell r="G341">
            <v>63.482901572826705</v>
          </cell>
          <cell r="H341">
            <v>63.583200795966718</v>
          </cell>
          <cell r="I341">
            <v>63.679746776167178</v>
          </cell>
          <cell r="J341">
            <v>64.159692255914436</v>
          </cell>
          <cell r="K341">
            <v>63.96975425380073</v>
          </cell>
          <cell r="L341">
            <v>63.013092100043437</v>
          </cell>
          <cell r="M341">
            <v>63.011943099366839</v>
          </cell>
          <cell r="N341">
            <v>63.205535176937751</v>
          </cell>
          <cell r="O341">
            <v>64.734240090866138</v>
          </cell>
          <cell r="P341">
            <v>65.459580910549732</v>
          </cell>
          <cell r="Q341">
            <v>65.651048688254591</v>
          </cell>
          <cell r="R341">
            <v>66.312700898831153</v>
          </cell>
          <cell r="S341">
            <v>66.642221330285793</v>
          </cell>
          <cell r="T341">
            <v>66.642221330285793</v>
          </cell>
          <cell r="U341">
            <v>66.642221330285793</v>
          </cell>
          <cell r="V341">
            <v>66.642221330285793</v>
          </cell>
          <cell r="W341">
            <v>66.642221330285793</v>
          </cell>
          <cell r="X341">
            <v>66.642221330285793</v>
          </cell>
          <cell r="Y341">
            <v>66.642221330285793</v>
          </cell>
          <cell r="Z341">
            <v>66.642221330285793</v>
          </cell>
          <cell r="AA341">
            <v>66.642221330285793</v>
          </cell>
          <cell r="AB341">
            <v>66.642221330285793</v>
          </cell>
          <cell r="AC341">
            <v>66.642221330285793</v>
          </cell>
          <cell r="AD341">
            <v>66.642221330285793</v>
          </cell>
          <cell r="AE341">
            <v>66.642221330285793</v>
          </cell>
          <cell r="AF341">
            <v>66.642221330285793</v>
          </cell>
        </row>
        <row r="342">
          <cell r="A342" t="str">
            <v>Nebraska</v>
          </cell>
          <cell r="B342">
            <v>60.565482253963445</v>
          </cell>
          <cell r="C342">
            <v>60.75666013399352</v>
          </cell>
          <cell r="D342">
            <v>62.583175826799085</v>
          </cell>
          <cell r="E342">
            <v>63.448602787063642</v>
          </cell>
          <cell r="F342">
            <v>63.393601949792647</v>
          </cell>
          <cell r="G342">
            <v>63.482901572826705</v>
          </cell>
          <cell r="H342">
            <v>63.583200795966725</v>
          </cell>
          <cell r="I342">
            <v>63.679746776167157</v>
          </cell>
          <cell r="J342">
            <v>64.159692255914408</v>
          </cell>
          <cell r="K342">
            <v>63.969754253800723</v>
          </cell>
          <cell r="L342">
            <v>63.013092100043423</v>
          </cell>
          <cell r="M342">
            <v>63.011943099366853</v>
          </cell>
          <cell r="N342">
            <v>63.205535176937751</v>
          </cell>
          <cell r="O342">
            <v>64.734240090866166</v>
          </cell>
          <cell r="P342">
            <v>65.459580910549747</v>
          </cell>
          <cell r="Q342">
            <v>65.651048688254591</v>
          </cell>
          <cell r="R342">
            <v>66.312700898831167</v>
          </cell>
          <cell r="S342">
            <v>66.642221330285778</v>
          </cell>
          <cell r="T342">
            <v>66.642221330285778</v>
          </cell>
          <cell r="U342">
            <v>66.642221330285778</v>
          </cell>
          <cell r="V342">
            <v>66.642221330285778</v>
          </cell>
          <cell r="W342">
            <v>66.642221330285778</v>
          </cell>
          <cell r="X342">
            <v>66.642221330285778</v>
          </cell>
          <cell r="Y342">
            <v>66.642221330285778</v>
          </cell>
          <cell r="Z342">
            <v>66.642221330285778</v>
          </cell>
          <cell r="AA342">
            <v>66.642221330285778</v>
          </cell>
          <cell r="AB342">
            <v>66.642221330285778</v>
          </cell>
          <cell r="AC342">
            <v>66.642221330285778</v>
          </cell>
          <cell r="AD342">
            <v>66.642221330285778</v>
          </cell>
          <cell r="AE342">
            <v>66.642221330285778</v>
          </cell>
          <cell r="AF342">
            <v>66.642221330285778</v>
          </cell>
        </row>
        <row r="343">
          <cell r="A343" t="str">
            <v>Nevada</v>
          </cell>
          <cell r="B343">
            <v>72.94208306432914</v>
          </cell>
          <cell r="C343">
            <v>73.176901027629583</v>
          </cell>
          <cell r="D343">
            <v>75.416845986483111</v>
          </cell>
          <cell r="E343">
            <v>76.474507156326837</v>
          </cell>
          <cell r="F343">
            <v>76.408998582610892</v>
          </cell>
          <cell r="G343">
            <v>76.517648819091576</v>
          </cell>
          <cell r="H343">
            <v>76.642592027507234</v>
          </cell>
          <cell r="I343">
            <v>76.757069821609889</v>
          </cell>
          <cell r="J343">
            <v>77.344550680465716</v>
          </cell>
          <cell r="K343">
            <v>77.113939793180037</v>
          </cell>
          <cell r="L343">
            <v>75.942138811257024</v>
          </cell>
          <cell r="M343">
            <v>75.940016790413026</v>
          </cell>
          <cell r="N343">
            <v>76.177275179659432</v>
          </cell>
          <cell r="O343">
            <v>78.051001764719601</v>
          </cell>
          <cell r="P343">
            <v>78.941383918795438</v>
          </cell>
          <cell r="Q343">
            <v>79.17599547022995</v>
          </cell>
          <cell r="R343">
            <v>79.987003717027079</v>
          </cell>
          <cell r="S343">
            <v>80.389860026063758</v>
          </cell>
          <cell r="T343">
            <v>80.389860026063758</v>
          </cell>
          <cell r="U343">
            <v>80.389860026063758</v>
          </cell>
          <cell r="V343">
            <v>80.389860026063758</v>
          </cell>
          <cell r="W343">
            <v>80.389860026063758</v>
          </cell>
          <cell r="X343">
            <v>80.389860026063758</v>
          </cell>
          <cell r="Y343">
            <v>80.389860026063758</v>
          </cell>
          <cell r="Z343">
            <v>80.389860026063758</v>
          </cell>
          <cell r="AA343">
            <v>80.389860026063758</v>
          </cell>
          <cell r="AB343">
            <v>80.389860026063758</v>
          </cell>
          <cell r="AC343">
            <v>80.389860026063758</v>
          </cell>
          <cell r="AD343">
            <v>80.389860026063758</v>
          </cell>
          <cell r="AE343">
            <v>80.389860026063758</v>
          </cell>
          <cell r="AF343">
            <v>80.389860026063758</v>
          </cell>
        </row>
        <row r="344">
          <cell r="A344" t="str">
            <v>New Hampshire</v>
          </cell>
          <cell r="B344">
            <v>62.643653381256662</v>
          </cell>
          <cell r="C344">
            <v>62.8420170946426</v>
          </cell>
          <cell r="D344">
            <v>64.736706013666236</v>
          </cell>
          <cell r="E344">
            <v>65.633934127757698</v>
          </cell>
          <cell r="F344">
            <v>65.577146227371529</v>
          </cell>
          <cell r="G344">
            <v>65.669660851785594</v>
          </cell>
          <cell r="H344">
            <v>65.773969430030093</v>
          </cell>
          <cell r="I344">
            <v>65.873582114045917</v>
          </cell>
          <cell r="J344">
            <v>66.371290641332763</v>
          </cell>
          <cell r="K344">
            <v>66.174580858940956</v>
          </cell>
          <cell r="L344">
            <v>65.18240375652519</v>
          </cell>
          <cell r="M344">
            <v>65.181114271680983</v>
          </cell>
          <cell r="N344">
            <v>65.381911074838911</v>
          </cell>
          <cell r="O344">
            <v>66.967536972211107</v>
          </cell>
          <cell r="P344">
            <v>67.720068482533151</v>
          </cell>
          <cell r="Q344">
            <v>67.918655988751198</v>
          </cell>
          <cell r="R344">
            <v>68.604947979802617</v>
          </cell>
          <cell r="S344">
            <v>68.946596293581848</v>
          </cell>
          <cell r="T344">
            <v>68.946596293581848</v>
          </cell>
          <cell r="U344">
            <v>68.946596293581848</v>
          </cell>
          <cell r="V344">
            <v>68.946596293581848</v>
          </cell>
          <cell r="W344">
            <v>68.946596293581848</v>
          </cell>
          <cell r="X344">
            <v>68.946596293581848</v>
          </cell>
          <cell r="Y344">
            <v>68.946596293581848</v>
          </cell>
          <cell r="Z344">
            <v>68.946596293581848</v>
          </cell>
          <cell r="AA344">
            <v>68.946596293581848</v>
          </cell>
          <cell r="AB344">
            <v>68.946596293581848</v>
          </cell>
          <cell r="AC344">
            <v>68.946596293581848</v>
          </cell>
          <cell r="AD344">
            <v>68.946596293581848</v>
          </cell>
          <cell r="AE344">
            <v>68.946596293581848</v>
          </cell>
          <cell r="AF344">
            <v>68.946596293581848</v>
          </cell>
        </row>
        <row r="345">
          <cell r="A345" t="str">
            <v>New Jersey</v>
          </cell>
          <cell r="B345">
            <v>62.643653381256662</v>
          </cell>
          <cell r="C345">
            <v>62.8420170946426</v>
          </cell>
          <cell r="D345">
            <v>64.736706013666236</v>
          </cell>
          <cell r="E345">
            <v>65.633934127757698</v>
          </cell>
          <cell r="F345">
            <v>65.577146227371529</v>
          </cell>
          <cell r="G345">
            <v>65.669660851785594</v>
          </cell>
          <cell r="H345">
            <v>65.773969430030093</v>
          </cell>
          <cell r="I345">
            <v>65.873582114045917</v>
          </cell>
          <cell r="J345">
            <v>66.371290641332735</v>
          </cell>
          <cell r="K345">
            <v>66.174580858940956</v>
          </cell>
          <cell r="L345">
            <v>65.182403756525176</v>
          </cell>
          <cell r="M345">
            <v>65.181114271680983</v>
          </cell>
          <cell r="N345">
            <v>65.381911074838897</v>
          </cell>
          <cell r="O345">
            <v>66.967536972211107</v>
          </cell>
          <cell r="P345">
            <v>67.720068482533136</v>
          </cell>
          <cell r="Q345">
            <v>67.918655988751198</v>
          </cell>
          <cell r="R345">
            <v>68.604947979802603</v>
          </cell>
          <cell r="S345">
            <v>68.946596293581848</v>
          </cell>
          <cell r="T345">
            <v>68.946596293581848</v>
          </cell>
          <cell r="U345">
            <v>68.946596293581848</v>
          </cell>
          <cell r="V345">
            <v>68.946596293581848</v>
          </cell>
          <cell r="W345">
            <v>68.946596293581848</v>
          </cell>
          <cell r="X345">
            <v>68.946596293581848</v>
          </cell>
          <cell r="Y345">
            <v>68.946596293581848</v>
          </cell>
          <cell r="Z345">
            <v>68.946596293581848</v>
          </cell>
          <cell r="AA345">
            <v>68.946596293581848</v>
          </cell>
          <cell r="AB345">
            <v>68.946596293581848</v>
          </cell>
          <cell r="AC345">
            <v>68.946596293581848</v>
          </cell>
          <cell r="AD345">
            <v>68.946596293581848</v>
          </cell>
          <cell r="AE345">
            <v>68.946596293581848</v>
          </cell>
          <cell r="AF345">
            <v>68.946596293581848</v>
          </cell>
        </row>
        <row r="346">
          <cell r="A346" t="str">
            <v>New Mexico</v>
          </cell>
          <cell r="B346">
            <v>72.942083064329154</v>
          </cell>
          <cell r="C346">
            <v>73.176901027629569</v>
          </cell>
          <cell r="D346">
            <v>75.416845986483096</v>
          </cell>
          <cell r="E346">
            <v>76.474507156326823</v>
          </cell>
          <cell r="F346">
            <v>76.408998582610906</v>
          </cell>
          <cell r="G346">
            <v>76.51764881909159</v>
          </cell>
          <cell r="H346">
            <v>76.642592027507249</v>
          </cell>
          <cell r="I346">
            <v>76.757069821609903</v>
          </cell>
          <cell r="J346">
            <v>77.344550680465701</v>
          </cell>
          <cell r="K346">
            <v>77.113939793180052</v>
          </cell>
          <cell r="L346">
            <v>75.942138811257024</v>
          </cell>
          <cell r="M346">
            <v>75.94001679041304</v>
          </cell>
          <cell r="N346">
            <v>76.177275179659418</v>
          </cell>
          <cell r="O346">
            <v>78.051001764719587</v>
          </cell>
          <cell r="P346">
            <v>78.941383918795438</v>
          </cell>
          <cell r="Q346">
            <v>79.175995470229964</v>
          </cell>
          <cell r="R346">
            <v>79.987003717027079</v>
          </cell>
          <cell r="S346">
            <v>80.389860026063758</v>
          </cell>
          <cell r="T346">
            <v>80.389860026063758</v>
          </cell>
          <cell r="U346">
            <v>80.389860026063758</v>
          </cell>
          <cell r="V346">
            <v>80.389860026063758</v>
          </cell>
          <cell r="W346">
            <v>80.389860026063758</v>
          </cell>
          <cell r="X346">
            <v>80.389860026063758</v>
          </cell>
          <cell r="Y346">
            <v>80.389860026063758</v>
          </cell>
          <cell r="Z346">
            <v>80.389860026063758</v>
          </cell>
          <cell r="AA346">
            <v>80.389860026063758</v>
          </cell>
          <cell r="AB346">
            <v>80.389860026063758</v>
          </cell>
          <cell r="AC346">
            <v>80.389860026063758</v>
          </cell>
          <cell r="AD346">
            <v>80.389860026063758</v>
          </cell>
          <cell r="AE346">
            <v>80.389860026063758</v>
          </cell>
          <cell r="AF346">
            <v>80.389860026063758</v>
          </cell>
        </row>
        <row r="347">
          <cell r="A347" t="str">
            <v>New York</v>
          </cell>
          <cell r="B347">
            <v>62.643653381256655</v>
          </cell>
          <cell r="C347">
            <v>62.842017094642607</v>
          </cell>
          <cell r="D347">
            <v>64.73670601366625</v>
          </cell>
          <cell r="E347">
            <v>65.633934127757698</v>
          </cell>
          <cell r="F347">
            <v>65.577146227371543</v>
          </cell>
          <cell r="G347">
            <v>65.669660851785608</v>
          </cell>
          <cell r="H347">
            <v>65.773969430030064</v>
          </cell>
          <cell r="I347">
            <v>65.873582114045917</v>
          </cell>
          <cell r="J347">
            <v>66.37129064133272</v>
          </cell>
          <cell r="K347">
            <v>66.174580858940942</v>
          </cell>
          <cell r="L347">
            <v>65.18240375652519</v>
          </cell>
          <cell r="M347">
            <v>65.181114271680968</v>
          </cell>
          <cell r="N347">
            <v>65.381911074838911</v>
          </cell>
          <cell r="O347">
            <v>66.967536972211136</v>
          </cell>
          <cell r="P347">
            <v>67.720068482533136</v>
          </cell>
          <cell r="Q347">
            <v>67.918655988751212</v>
          </cell>
          <cell r="R347">
            <v>68.604947979802617</v>
          </cell>
          <cell r="S347">
            <v>68.946596293581834</v>
          </cell>
          <cell r="T347">
            <v>68.946596293581834</v>
          </cell>
          <cell r="U347">
            <v>68.946596293581834</v>
          </cell>
          <cell r="V347">
            <v>68.946596293581834</v>
          </cell>
          <cell r="W347">
            <v>68.946596293581834</v>
          </cell>
          <cell r="X347">
            <v>68.946596293581834</v>
          </cell>
          <cell r="Y347">
            <v>68.946596293581834</v>
          </cell>
          <cell r="Z347">
            <v>68.946596293581834</v>
          </cell>
          <cell r="AA347">
            <v>68.946596293581834</v>
          </cell>
          <cell r="AB347">
            <v>68.946596293581834</v>
          </cell>
          <cell r="AC347">
            <v>68.946596293581834</v>
          </cell>
          <cell r="AD347">
            <v>68.946596293581834</v>
          </cell>
          <cell r="AE347">
            <v>68.946596293581834</v>
          </cell>
          <cell r="AF347">
            <v>68.946596293581834</v>
          </cell>
        </row>
        <row r="348">
          <cell r="A348" t="str">
            <v>North Carolina</v>
          </cell>
          <cell r="B348">
            <v>63.197269762837458</v>
          </cell>
          <cell r="C348">
            <v>63.397557183067505</v>
          </cell>
          <cell r="D348">
            <v>65.31049003178758</v>
          </cell>
          <cell r="E348">
            <v>66.216221568608049</v>
          </cell>
          <cell r="F348">
            <v>66.158959110799969</v>
          </cell>
          <cell r="G348">
            <v>66.252332471469856</v>
          </cell>
          <cell r="H348">
            <v>66.357717679213323</v>
          </cell>
          <cell r="I348">
            <v>66.458143614065321</v>
          </cell>
          <cell r="J348">
            <v>66.960603649985615</v>
          </cell>
          <cell r="K348">
            <v>66.762086059268725</v>
          </cell>
          <cell r="L348">
            <v>65.760407407916418</v>
          </cell>
          <cell r="M348">
            <v>65.759078976299492</v>
          </cell>
          <cell r="N348">
            <v>65.961803555832063</v>
          </cell>
          <cell r="O348">
            <v>67.562660261869596</v>
          </cell>
          <cell r="P348">
            <v>68.322469943021972</v>
          </cell>
          <cell r="Q348">
            <v>68.522962400365998</v>
          </cell>
          <cell r="R348">
            <v>69.215847503029266</v>
          </cell>
          <cell r="S348">
            <v>69.560739004948672</v>
          </cell>
          <cell r="T348">
            <v>69.560739004948672</v>
          </cell>
          <cell r="U348">
            <v>69.560739004948672</v>
          </cell>
          <cell r="V348">
            <v>69.560739004948672</v>
          </cell>
          <cell r="W348">
            <v>69.560739004948672</v>
          </cell>
          <cell r="X348">
            <v>69.560739004948672</v>
          </cell>
          <cell r="Y348">
            <v>69.560739004948672</v>
          </cell>
          <cell r="Z348">
            <v>69.560739004948672</v>
          </cell>
          <cell r="AA348">
            <v>69.560739004948672</v>
          </cell>
          <cell r="AB348">
            <v>69.560739004948672</v>
          </cell>
          <cell r="AC348">
            <v>69.560739004948672</v>
          </cell>
          <cell r="AD348">
            <v>69.560739004948672</v>
          </cell>
          <cell r="AE348">
            <v>69.560739004948672</v>
          </cell>
          <cell r="AF348">
            <v>69.560739004948672</v>
          </cell>
        </row>
        <row r="349">
          <cell r="A349" t="str">
            <v>North Dakota</v>
          </cell>
          <cell r="B349">
            <v>60.565482253963424</v>
          </cell>
          <cell r="C349">
            <v>60.756660133993513</v>
          </cell>
          <cell r="D349">
            <v>62.583175826799078</v>
          </cell>
          <cell r="E349">
            <v>63.448602787063642</v>
          </cell>
          <cell r="F349">
            <v>63.393601949792654</v>
          </cell>
          <cell r="G349">
            <v>63.482901572826705</v>
          </cell>
          <cell r="H349">
            <v>63.583200795966725</v>
          </cell>
          <cell r="I349">
            <v>63.679746776167185</v>
          </cell>
          <cell r="J349">
            <v>64.159692255914436</v>
          </cell>
          <cell r="K349">
            <v>63.969754253800716</v>
          </cell>
          <cell r="L349">
            <v>63.013092100043416</v>
          </cell>
          <cell r="M349">
            <v>63.011943099366846</v>
          </cell>
          <cell r="N349">
            <v>63.205535176937758</v>
          </cell>
          <cell r="O349">
            <v>64.734240090866166</v>
          </cell>
          <cell r="P349">
            <v>65.459580910549732</v>
          </cell>
          <cell r="Q349">
            <v>65.651048688254591</v>
          </cell>
          <cell r="R349">
            <v>66.312700898831167</v>
          </cell>
          <cell r="S349">
            <v>66.642221330285807</v>
          </cell>
          <cell r="T349">
            <v>66.642221330285807</v>
          </cell>
          <cell r="U349">
            <v>66.642221330285807</v>
          </cell>
          <cell r="V349">
            <v>66.642221330285807</v>
          </cell>
          <cell r="W349">
            <v>66.642221330285807</v>
          </cell>
          <cell r="X349">
            <v>66.642221330285807</v>
          </cell>
          <cell r="Y349">
            <v>66.642221330285807</v>
          </cell>
          <cell r="Z349">
            <v>66.642221330285807</v>
          </cell>
          <cell r="AA349">
            <v>66.642221330285807</v>
          </cell>
          <cell r="AB349">
            <v>66.642221330285807</v>
          </cell>
          <cell r="AC349">
            <v>66.642221330285807</v>
          </cell>
          <cell r="AD349">
            <v>66.642221330285807</v>
          </cell>
          <cell r="AE349">
            <v>66.642221330285807</v>
          </cell>
          <cell r="AF349">
            <v>66.642221330285807</v>
          </cell>
        </row>
        <row r="350">
          <cell r="A350" t="str">
            <v>Ohio</v>
          </cell>
          <cell r="B350">
            <v>62.654428984173258</v>
          </cell>
          <cell r="C350">
            <v>62.852830102022921</v>
          </cell>
          <cell r="D350">
            <v>64.747873782055393</v>
          </cell>
          <cell r="E350">
            <v>65.645267277072506</v>
          </cell>
          <cell r="F350">
            <v>65.588470133710047</v>
          </cell>
          <cell r="G350">
            <v>65.681001463280666</v>
          </cell>
          <cell r="H350">
            <v>65.785330962043119</v>
          </cell>
          <cell r="I350">
            <v>65.884959490371401</v>
          </cell>
          <cell r="J350">
            <v>66.382760421271541</v>
          </cell>
          <cell r="K350">
            <v>66.186015467351197</v>
          </cell>
          <cell r="L350">
            <v>65.193653592434941</v>
          </cell>
          <cell r="M350">
            <v>65.192363355763575</v>
          </cell>
          <cell r="N350">
            <v>65.393197646539122</v>
          </cell>
          <cell r="O350">
            <v>66.979119721210694</v>
          </cell>
          <cell r="P350">
            <v>67.731792752017412</v>
          </cell>
          <cell r="Q350">
            <v>67.930417302328649</v>
          </cell>
          <cell r="R350">
            <v>68.616837502405716</v>
          </cell>
          <cell r="S350">
            <v>68.958548891028627</v>
          </cell>
          <cell r="T350">
            <v>68.958548891028627</v>
          </cell>
          <cell r="U350">
            <v>68.958548891028627</v>
          </cell>
          <cell r="V350">
            <v>68.958548891028627</v>
          </cell>
          <cell r="W350">
            <v>68.958548891028627</v>
          </cell>
          <cell r="X350">
            <v>68.958548891028627</v>
          </cell>
          <cell r="Y350">
            <v>68.958548891028627</v>
          </cell>
          <cell r="Z350">
            <v>68.958548891028627</v>
          </cell>
          <cell r="AA350">
            <v>68.958548891028627</v>
          </cell>
          <cell r="AB350">
            <v>68.958548891028627</v>
          </cell>
          <cell r="AC350">
            <v>68.958548891028627</v>
          </cell>
          <cell r="AD350">
            <v>68.958548891028627</v>
          </cell>
          <cell r="AE350">
            <v>68.958548891028627</v>
          </cell>
          <cell r="AF350">
            <v>68.958548891028627</v>
          </cell>
        </row>
        <row r="351">
          <cell r="A351" t="str">
            <v>Oklahoma</v>
          </cell>
          <cell r="B351">
            <v>63.096581635161336</v>
          </cell>
          <cell r="C351">
            <v>63.296518887687043</v>
          </cell>
          <cell r="D351">
            <v>65.206131044658321</v>
          </cell>
          <cell r="E351">
            <v>66.110315037131869</v>
          </cell>
          <cell r="F351">
            <v>66.053138841282134</v>
          </cell>
          <cell r="G351">
            <v>66.146355949155577</v>
          </cell>
          <cell r="H351">
            <v>66.251545077637786</v>
          </cell>
          <cell r="I351">
            <v>66.351823220284444</v>
          </cell>
          <cell r="J351">
            <v>66.85341846964559</v>
          </cell>
          <cell r="K351">
            <v>66.655229791812474</v>
          </cell>
          <cell r="L351">
            <v>65.655280493721449</v>
          </cell>
          <cell r="M351">
            <v>65.653959193352705</v>
          </cell>
          <cell r="N351">
            <v>65.856332895327526</v>
          </cell>
          <cell r="O351">
            <v>67.454417405868767</v>
          </cell>
          <cell r="P351">
            <v>68.212902290513398</v>
          </cell>
          <cell r="Q351">
            <v>68.413048027340508</v>
          </cell>
          <cell r="R351">
            <v>69.104733100732844</v>
          </cell>
          <cell r="S351">
            <v>69.449034363899429</v>
          </cell>
          <cell r="T351">
            <v>69.449034363899429</v>
          </cell>
          <cell r="U351">
            <v>69.449034363899429</v>
          </cell>
          <cell r="V351">
            <v>69.449034363899429</v>
          </cell>
          <cell r="W351">
            <v>69.449034363899429</v>
          </cell>
          <cell r="X351">
            <v>69.449034363899429</v>
          </cell>
          <cell r="Y351">
            <v>69.449034363899429</v>
          </cell>
          <cell r="Z351">
            <v>69.449034363899429</v>
          </cell>
          <cell r="AA351">
            <v>69.449034363899429</v>
          </cell>
          <cell r="AB351">
            <v>69.449034363899429</v>
          </cell>
          <cell r="AC351">
            <v>69.449034363899429</v>
          </cell>
          <cell r="AD351">
            <v>69.449034363899429</v>
          </cell>
          <cell r="AE351">
            <v>69.449034363899429</v>
          </cell>
          <cell r="AF351">
            <v>69.449034363899429</v>
          </cell>
        </row>
        <row r="352">
          <cell r="A352" t="str">
            <v>Oregon</v>
          </cell>
          <cell r="B352">
            <v>72.94208306432914</v>
          </cell>
          <cell r="C352">
            <v>73.176901027629569</v>
          </cell>
          <cell r="D352">
            <v>75.416845986483096</v>
          </cell>
          <cell r="E352">
            <v>76.474507156326823</v>
          </cell>
          <cell r="F352">
            <v>76.408998582610906</v>
          </cell>
          <cell r="G352">
            <v>76.517648819091605</v>
          </cell>
          <cell r="H352">
            <v>76.642592027507234</v>
          </cell>
          <cell r="I352">
            <v>76.757069821609903</v>
          </cell>
          <cell r="J352">
            <v>77.344550680465701</v>
          </cell>
          <cell r="K352">
            <v>77.113939793180023</v>
          </cell>
          <cell r="L352">
            <v>75.942138811257024</v>
          </cell>
          <cell r="M352">
            <v>75.94001679041304</v>
          </cell>
          <cell r="N352">
            <v>76.177275179659418</v>
          </cell>
          <cell r="O352">
            <v>78.051001764719615</v>
          </cell>
          <cell r="P352">
            <v>78.941383918795438</v>
          </cell>
          <cell r="Q352">
            <v>79.17599547022995</v>
          </cell>
          <cell r="R352">
            <v>79.987003717027051</v>
          </cell>
          <cell r="S352">
            <v>80.389860026063744</v>
          </cell>
          <cell r="T352">
            <v>80.389860026063744</v>
          </cell>
          <cell r="U352">
            <v>80.389860026063744</v>
          </cell>
          <cell r="V352">
            <v>80.389860026063744</v>
          </cell>
          <cell r="W352">
            <v>80.389860026063744</v>
          </cell>
          <cell r="X352">
            <v>80.389860026063744</v>
          </cell>
          <cell r="Y352">
            <v>80.389860026063744</v>
          </cell>
          <cell r="Z352">
            <v>80.389860026063744</v>
          </cell>
          <cell r="AA352">
            <v>80.389860026063744</v>
          </cell>
          <cell r="AB352">
            <v>80.389860026063744</v>
          </cell>
          <cell r="AC352">
            <v>80.389860026063744</v>
          </cell>
          <cell r="AD352">
            <v>80.389860026063744</v>
          </cell>
          <cell r="AE352">
            <v>80.389860026063744</v>
          </cell>
          <cell r="AF352">
            <v>80.389860026063744</v>
          </cell>
        </row>
        <row r="353">
          <cell r="A353" t="str">
            <v>Pennsylvania</v>
          </cell>
          <cell r="B353">
            <v>62.643653381256648</v>
          </cell>
          <cell r="C353">
            <v>62.842017094642614</v>
          </cell>
          <cell r="D353">
            <v>64.73670601366625</v>
          </cell>
          <cell r="E353">
            <v>65.633934127757698</v>
          </cell>
          <cell r="F353">
            <v>65.577146227371543</v>
          </cell>
          <cell r="G353">
            <v>65.669660851785608</v>
          </cell>
          <cell r="H353">
            <v>65.773969430030064</v>
          </cell>
          <cell r="I353">
            <v>65.873582114045902</v>
          </cell>
          <cell r="J353">
            <v>66.371290641332749</v>
          </cell>
          <cell r="K353">
            <v>66.174580858940956</v>
          </cell>
          <cell r="L353">
            <v>65.18240375652519</v>
          </cell>
          <cell r="M353">
            <v>65.181114271680968</v>
          </cell>
          <cell r="N353">
            <v>65.381911074838911</v>
          </cell>
          <cell r="O353">
            <v>66.967536972211121</v>
          </cell>
          <cell r="P353">
            <v>67.720068482533165</v>
          </cell>
          <cell r="Q353">
            <v>67.918655988751198</v>
          </cell>
          <cell r="R353">
            <v>68.604947979802603</v>
          </cell>
          <cell r="S353">
            <v>68.946596293581848</v>
          </cell>
          <cell r="T353">
            <v>68.946596293581848</v>
          </cell>
          <cell r="U353">
            <v>68.946596293581848</v>
          </cell>
          <cell r="V353">
            <v>68.946596293581848</v>
          </cell>
          <cell r="W353">
            <v>68.946596293581848</v>
          </cell>
          <cell r="X353">
            <v>68.946596293581848</v>
          </cell>
          <cell r="Y353">
            <v>68.946596293581848</v>
          </cell>
          <cell r="Z353">
            <v>68.946596293581848</v>
          </cell>
          <cell r="AA353">
            <v>68.946596293581848</v>
          </cell>
          <cell r="AB353">
            <v>68.946596293581848</v>
          </cell>
          <cell r="AC353">
            <v>68.946596293581848</v>
          </cell>
          <cell r="AD353">
            <v>68.946596293581848</v>
          </cell>
          <cell r="AE353">
            <v>68.946596293581848</v>
          </cell>
          <cell r="AF353">
            <v>68.946596293581848</v>
          </cell>
        </row>
        <row r="354">
          <cell r="A354" t="str">
            <v>Rhode Island</v>
          </cell>
          <cell r="B354">
            <v>62.643653381256627</v>
          </cell>
          <cell r="C354">
            <v>62.8420170946426</v>
          </cell>
          <cell r="D354">
            <v>64.73670601366625</v>
          </cell>
          <cell r="E354">
            <v>65.633934127757698</v>
          </cell>
          <cell r="F354">
            <v>65.577146227371529</v>
          </cell>
          <cell r="G354">
            <v>65.669660851785608</v>
          </cell>
          <cell r="H354">
            <v>65.773969430030093</v>
          </cell>
          <cell r="I354">
            <v>65.873582114045917</v>
          </cell>
          <cell r="J354">
            <v>66.371290641332749</v>
          </cell>
          <cell r="K354">
            <v>66.174580858940928</v>
          </cell>
          <cell r="L354">
            <v>65.182403756525176</v>
          </cell>
          <cell r="M354">
            <v>65.181114271680968</v>
          </cell>
          <cell r="N354">
            <v>65.381911074838897</v>
          </cell>
          <cell r="O354">
            <v>66.967536972211121</v>
          </cell>
          <cell r="P354">
            <v>67.720068482533165</v>
          </cell>
          <cell r="Q354">
            <v>67.918655988751226</v>
          </cell>
          <cell r="R354">
            <v>68.604947979802603</v>
          </cell>
          <cell r="S354">
            <v>68.946596293581862</v>
          </cell>
          <cell r="T354">
            <v>68.946596293581862</v>
          </cell>
          <cell r="U354">
            <v>68.946596293581862</v>
          </cell>
          <cell r="V354">
            <v>68.946596293581862</v>
          </cell>
          <cell r="W354">
            <v>68.946596293581862</v>
          </cell>
          <cell r="X354">
            <v>68.946596293581862</v>
          </cell>
          <cell r="Y354">
            <v>68.946596293581862</v>
          </cell>
          <cell r="Z354">
            <v>68.946596293581862</v>
          </cell>
          <cell r="AA354">
            <v>68.946596293581862</v>
          </cell>
          <cell r="AB354">
            <v>68.946596293581862</v>
          </cell>
          <cell r="AC354">
            <v>68.946596293581862</v>
          </cell>
          <cell r="AD354">
            <v>68.946596293581862</v>
          </cell>
          <cell r="AE354">
            <v>68.946596293581862</v>
          </cell>
          <cell r="AF354">
            <v>68.946596293581862</v>
          </cell>
        </row>
        <row r="355">
          <cell r="A355" t="str">
            <v>South Carolina</v>
          </cell>
          <cell r="B355">
            <v>63.197269762837472</v>
          </cell>
          <cell r="C355">
            <v>63.397557183067498</v>
          </cell>
          <cell r="D355">
            <v>65.310490031787552</v>
          </cell>
          <cell r="E355">
            <v>66.216221568608063</v>
          </cell>
          <cell r="F355">
            <v>66.158959110799969</v>
          </cell>
          <cell r="G355">
            <v>66.252332471469856</v>
          </cell>
          <cell r="H355">
            <v>66.357717679213323</v>
          </cell>
          <cell r="I355">
            <v>66.458143614065307</v>
          </cell>
          <cell r="J355">
            <v>66.9606036499856</v>
          </cell>
          <cell r="K355">
            <v>66.762086059268711</v>
          </cell>
          <cell r="L355">
            <v>65.760407407916432</v>
          </cell>
          <cell r="M355">
            <v>65.759078976299492</v>
          </cell>
          <cell r="N355">
            <v>65.961803555832077</v>
          </cell>
          <cell r="O355">
            <v>67.562660261869596</v>
          </cell>
          <cell r="P355">
            <v>68.322469943021972</v>
          </cell>
          <cell r="Q355">
            <v>68.522962400365984</v>
          </cell>
          <cell r="R355">
            <v>69.215847503029281</v>
          </cell>
          <cell r="S355">
            <v>69.560739004948687</v>
          </cell>
          <cell r="T355">
            <v>69.560739004948687</v>
          </cell>
          <cell r="U355">
            <v>69.560739004948687</v>
          </cell>
          <cell r="V355">
            <v>69.560739004948687</v>
          </cell>
          <cell r="W355">
            <v>69.560739004948687</v>
          </cell>
          <cell r="X355">
            <v>69.560739004948687</v>
          </cell>
          <cell r="Y355">
            <v>69.560739004948687</v>
          </cell>
          <cell r="Z355">
            <v>69.560739004948687</v>
          </cell>
          <cell r="AA355">
            <v>69.560739004948687</v>
          </cell>
          <cell r="AB355">
            <v>69.560739004948687</v>
          </cell>
          <cell r="AC355">
            <v>69.560739004948687</v>
          </cell>
          <cell r="AD355">
            <v>69.560739004948687</v>
          </cell>
          <cell r="AE355">
            <v>69.560739004948687</v>
          </cell>
          <cell r="AF355">
            <v>69.560739004948687</v>
          </cell>
        </row>
        <row r="356">
          <cell r="A356" t="str">
            <v>South Dakota</v>
          </cell>
          <cell r="B356">
            <v>60.565482253963431</v>
          </cell>
          <cell r="C356">
            <v>60.756660133993506</v>
          </cell>
          <cell r="D356">
            <v>62.583175826799057</v>
          </cell>
          <cell r="E356">
            <v>63.448602787063649</v>
          </cell>
          <cell r="F356">
            <v>63.393601949792647</v>
          </cell>
          <cell r="G356">
            <v>63.482901572826698</v>
          </cell>
          <cell r="H356">
            <v>63.583200795966725</v>
          </cell>
          <cell r="I356">
            <v>63.679746776167171</v>
          </cell>
          <cell r="J356">
            <v>64.159692255914422</v>
          </cell>
          <cell r="K356">
            <v>63.969754253800708</v>
          </cell>
          <cell r="L356">
            <v>63.01309210004343</v>
          </cell>
          <cell r="M356">
            <v>63.011943099366846</v>
          </cell>
          <cell r="N356">
            <v>63.205535176937758</v>
          </cell>
          <cell r="O356">
            <v>64.734240090866152</v>
          </cell>
          <cell r="P356">
            <v>65.459580910549747</v>
          </cell>
          <cell r="Q356">
            <v>65.651048688254591</v>
          </cell>
          <cell r="R356">
            <v>66.312700898831167</v>
          </cell>
          <cell r="S356">
            <v>66.642221330285807</v>
          </cell>
          <cell r="T356">
            <v>66.642221330285807</v>
          </cell>
          <cell r="U356">
            <v>66.642221330285807</v>
          </cell>
          <cell r="V356">
            <v>66.642221330285807</v>
          </cell>
          <cell r="W356">
            <v>66.642221330285807</v>
          </cell>
          <cell r="X356">
            <v>66.642221330285807</v>
          </cell>
          <cell r="Y356">
            <v>66.642221330285807</v>
          </cell>
          <cell r="Z356">
            <v>66.642221330285807</v>
          </cell>
          <cell r="AA356">
            <v>66.642221330285807</v>
          </cell>
          <cell r="AB356">
            <v>66.642221330285807</v>
          </cell>
          <cell r="AC356">
            <v>66.642221330285807</v>
          </cell>
          <cell r="AD356">
            <v>66.642221330285807</v>
          </cell>
          <cell r="AE356">
            <v>66.642221330285807</v>
          </cell>
          <cell r="AF356">
            <v>66.642221330285807</v>
          </cell>
        </row>
        <row r="357">
          <cell r="A357" t="str">
            <v>Tennessee</v>
          </cell>
          <cell r="B357">
            <v>63.197269762837458</v>
          </cell>
          <cell r="C357">
            <v>63.397557183067512</v>
          </cell>
          <cell r="D357">
            <v>65.310490031787552</v>
          </cell>
          <cell r="E357">
            <v>66.216221568608063</v>
          </cell>
          <cell r="F357">
            <v>66.158959110799984</v>
          </cell>
          <cell r="G357">
            <v>66.252332471469856</v>
          </cell>
          <cell r="H357">
            <v>66.357717679213309</v>
          </cell>
          <cell r="I357">
            <v>66.458143614065307</v>
          </cell>
          <cell r="J357">
            <v>66.960603649985615</v>
          </cell>
          <cell r="K357">
            <v>66.762086059268725</v>
          </cell>
          <cell r="L357">
            <v>65.760407407916418</v>
          </cell>
          <cell r="M357">
            <v>65.759078976299492</v>
          </cell>
          <cell r="N357">
            <v>65.961803555832049</v>
          </cell>
          <cell r="O357">
            <v>67.562660261869596</v>
          </cell>
          <cell r="P357">
            <v>68.322469943022</v>
          </cell>
          <cell r="Q357">
            <v>68.522962400365984</v>
          </cell>
          <cell r="R357">
            <v>69.215847503029281</v>
          </cell>
          <cell r="S357">
            <v>69.560739004948687</v>
          </cell>
          <cell r="T357">
            <v>69.560739004948687</v>
          </cell>
          <cell r="U357">
            <v>69.560739004948687</v>
          </cell>
          <cell r="V357">
            <v>69.560739004948687</v>
          </cell>
          <cell r="W357">
            <v>69.560739004948687</v>
          </cell>
          <cell r="X357">
            <v>69.560739004948687</v>
          </cell>
          <cell r="Y357">
            <v>69.560739004948687</v>
          </cell>
          <cell r="Z357">
            <v>69.560739004948687</v>
          </cell>
          <cell r="AA357">
            <v>69.560739004948687</v>
          </cell>
          <cell r="AB357">
            <v>69.560739004948687</v>
          </cell>
          <cell r="AC357">
            <v>69.560739004948687</v>
          </cell>
          <cell r="AD357">
            <v>69.560739004948687</v>
          </cell>
          <cell r="AE357">
            <v>69.560739004948687</v>
          </cell>
          <cell r="AF357">
            <v>69.560739004948687</v>
          </cell>
        </row>
        <row r="358">
          <cell r="A358" t="str">
            <v>Texas</v>
          </cell>
          <cell r="B358">
            <v>63.096581635161336</v>
          </cell>
          <cell r="C358">
            <v>63.29651888768705</v>
          </cell>
          <cell r="D358">
            <v>65.206131044658321</v>
          </cell>
          <cell r="E358">
            <v>66.110315037131855</v>
          </cell>
          <cell r="F358">
            <v>66.053138841282134</v>
          </cell>
          <cell r="G358">
            <v>66.146355949155563</v>
          </cell>
          <cell r="H358">
            <v>66.2515450776378</v>
          </cell>
          <cell r="I358">
            <v>66.351823220284444</v>
          </cell>
          <cell r="J358">
            <v>66.853418469645604</v>
          </cell>
          <cell r="K358">
            <v>66.655229791812502</v>
          </cell>
          <cell r="L358">
            <v>65.655280493721449</v>
          </cell>
          <cell r="M358">
            <v>65.653959193352705</v>
          </cell>
          <cell r="N358">
            <v>65.856332895327512</v>
          </cell>
          <cell r="O358">
            <v>67.454417405868767</v>
          </cell>
          <cell r="P358">
            <v>68.212902290513398</v>
          </cell>
          <cell r="Q358">
            <v>68.413048027340508</v>
          </cell>
          <cell r="R358">
            <v>69.104733100732844</v>
          </cell>
          <cell r="S358">
            <v>69.449034363899429</v>
          </cell>
          <cell r="T358">
            <v>69.449034363899429</v>
          </cell>
          <cell r="U358">
            <v>69.449034363899429</v>
          </cell>
          <cell r="V358">
            <v>69.449034363899429</v>
          </cell>
          <cell r="W358">
            <v>69.449034363899429</v>
          </cell>
          <cell r="X358">
            <v>69.449034363899429</v>
          </cell>
          <cell r="Y358">
            <v>69.449034363899429</v>
          </cell>
          <cell r="Z358">
            <v>69.449034363899429</v>
          </cell>
          <cell r="AA358">
            <v>69.449034363899429</v>
          </cell>
          <cell r="AB358">
            <v>69.449034363899429</v>
          </cell>
          <cell r="AC358">
            <v>69.449034363899429</v>
          </cell>
          <cell r="AD358">
            <v>69.449034363899429</v>
          </cell>
          <cell r="AE358">
            <v>69.449034363899429</v>
          </cell>
          <cell r="AF358">
            <v>69.449034363899429</v>
          </cell>
        </row>
        <row r="359">
          <cell r="A359" t="str">
            <v>Utah</v>
          </cell>
          <cell r="B359">
            <v>72.942083064329111</v>
          </cell>
          <cell r="C359">
            <v>73.176901027629583</v>
          </cell>
          <cell r="D359">
            <v>75.416845986483096</v>
          </cell>
          <cell r="E359">
            <v>76.474507156326808</v>
          </cell>
          <cell r="F359">
            <v>76.408998582610906</v>
          </cell>
          <cell r="G359">
            <v>76.51764881909159</v>
          </cell>
          <cell r="H359">
            <v>76.642592027507234</v>
          </cell>
          <cell r="I359">
            <v>76.757069821609889</v>
          </cell>
          <cell r="J359">
            <v>77.344550680465701</v>
          </cell>
          <cell r="K359">
            <v>77.113939793180023</v>
          </cell>
          <cell r="L359">
            <v>75.942138811257024</v>
          </cell>
          <cell r="M359">
            <v>75.94001679041304</v>
          </cell>
          <cell r="N359">
            <v>76.177275179659404</v>
          </cell>
          <cell r="O359">
            <v>78.051001764719587</v>
          </cell>
          <cell r="P359">
            <v>78.941383918795438</v>
          </cell>
          <cell r="Q359">
            <v>79.17599547022995</v>
          </cell>
          <cell r="R359">
            <v>79.987003717027093</v>
          </cell>
          <cell r="S359">
            <v>80.389860026063744</v>
          </cell>
          <cell r="T359">
            <v>80.389860026063744</v>
          </cell>
          <cell r="U359">
            <v>80.389860026063744</v>
          </cell>
          <cell r="V359">
            <v>80.389860026063744</v>
          </cell>
          <cell r="W359">
            <v>80.389860026063744</v>
          </cell>
          <cell r="X359">
            <v>80.389860026063744</v>
          </cell>
          <cell r="Y359">
            <v>80.389860026063744</v>
          </cell>
          <cell r="Z359">
            <v>80.389860026063744</v>
          </cell>
          <cell r="AA359">
            <v>80.389860026063744</v>
          </cell>
          <cell r="AB359">
            <v>80.389860026063744</v>
          </cell>
          <cell r="AC359">
            <v>80.389860026063744</v>
          </cell>
          <cell r="AD359">
            <v>80.389860026063744</v>
          </cell>
          <cell r="AE359">
            <v>80.389860026063744</v>
          </cell>
          <cell r="AF359">
            <v>80.389860026063744</v>
          </cell>
        </row>
        <row r="360">
          <cell r="A360" t="str">
            <v>Vermont</v>
          </cell>
          <cell r="B360">
            <v>62.643653381256655</v>
          </cell>
          <cell r="C360">
            <v>62.842017094642614</v>
          </cell>
          <cell r="D360">
            <v>64.736706013666236</v>
          </cell>
          <cell r="E360">
            <v>65.633934127757698</v>
          </cell>
          <cell r="F360">
            <v>65.577146227371529</v>
          </cell>
          <cell r="G360">
            <v>65.669660851785608</v>
          </cell>
          <cell r="H360">
            <v>65.773969430030093</v>
          </cell>
          <cell r="I360">
            <v>65.873582114045902</v>
          </cell>
          <cell r="J360">
            <v>66.371290641332749</v>
          </cell>
          <cell r="K360">
            <v>66.174580858940956</v>
          </cell>
          <cell r="L360">
            <v>65.18240375652519</v>
          </cell>
          <cell r="M360">
            <v>65.181114271680968</v>
          </cell>
          <cell r="N360">
            <v>65.381911074838911</v>
          </cell>
          <cell r="O360">
            <v>66.967536972211121</v>
          </cell>
          <cell r="P360">
            <v>67.720068482533151</v>
          </cell>
          <cell r="Q360">
            <v>67.918655988751212</v>
          </cell>
          <cell r="R360">
            <v>68.604947979802603</v>
          </cell>
          <cell r="S360">
            <v>68.946596293581848</v>
          </cell>
          <cell r="T360">
            <v>68.946596293581848</v>
          </cell>
          <cell r="U360">
            <v>68.946596293581848</v>
          </cell>
          <cell r="V360">
            <v>68.946596293581848</v>
          </cell>
          <cell r="W360">
            <v>68.946596293581848</v>
          </cell>
          <cell r="X360">
            <v>68.946596293581848</v>
          </cell>
          <cell r="Y360">
            <v>68.946596293581848</v>
          </cell>
          <cell r="Z360">
            <v>68.946596293581848</v>
          </cell>
          <cell r="AA360">
            <v>68.946596293581848</v>
          </cell>
          <cell r="AB360">
            <v>68.946596293581848</v>
          </cell>
          <cell r="AC360">
            <v>68.946596293581848</v>
          </cell>
          <cell r="AD360">
            <v>68.946596293581848</v>
          </cell>
          <cell r="AE360">
            <v>68.946596293581848</v>
          </cell>
          <cell r="AF360">
            <v>68.946596293581848</v>
          </cell>
        </row>
        <row r="361">
          <cell r="A361" t="str">
            <v>Virginia</v>
          </cell>
          <cell r="B361">
            <v>63.197269762837472</v>
          </cell>
          <cell r="C361">
            <v>63.397557183067498</v>
          </cell>
          <cell r="D361">
            <v>65.310490031787552</v>
          </cell>
          <cell r="E361">
            <v>66.216221568608077</v>
          </cell>
          <cell r="F361">
            <v>66.158959110799984</v>
          </cell>
          <cell r="G361">
            <v>66.25233247146987</v>
          </cell>
          <cell r="H361">
            <v>66.357717679213323</v>
          </cell>
          <cell r="I361">
            <v>66.458143614065307</v>
          </cell>
          <cell r="J361">
            <v>66.960603649985629</v>
          </cell>
          <cell r="K361">
            <v>66.762086059268725</v>
          </cell>
          <cell r="L361">
            <v>65.760407407916432</v>
          </cell>
          <cell r="M361">
            <v>65.759078976299492</v>
          </cell>
          <cell r="N361">
            <v>65.961803555832049</v>
          </cell>
          <cell r="O361">
            <v>67.56266026186961</v>
          </cell>
          <cell r="P361">
            <v>68.322469943021986</v>
          </cell>
          <cell r="Q361">
            <v>68.522962400365998</v>
          </cell>
          <cell r="R361">
            <v>69.215847503029252</v>
          </cell>
          <cell r="S361">
            <v>69.560739004948701</v>
          </cell>
          <cell r="T361">
            <v>69.560739004948701</v>
          </cell>
          <cell r="U361">
            <v>69.560739004948701</v>
          </cell>
          <cell r="V361">
            <v>69.560739004948701</v>
          </cell>
          <cell r="W361">
            <v>69.560739004948701</v>
          </cell>
          <cell r="X361">
            <v>69.560739004948701</v>
          </cell>
          <cell r="Y361">
            <v>69.560739004948701</v>
          </cell>
          <cell r="Z361">
            <v>69.560739004948701</v>
          </cell>
          <cell r="AA361">
            <v>69.560739004948701</v>
          </cell>
          <cell r="AB361">
            <v>69.560739004948701</v>
          </cell>
          <cell r="AC361">
            <v>69.560739004948701</v>
          </cell>
          <cell r="AD361">
            <v>69.560739004948701</v>
          </cell>
          <cell r="AE361">
            <v>69.560739004948701</v>
          </cell>
          <cell r="AF361">
            <v>69.560739004948701</v>
          </cell>
        </row>
        <row r="362">
          <cell r="A362" t="str">
            <v>Washington</v>
          </cell>
          <cell r="B362">
            <v>72.94208306432914</v>
          </cell>
          <cell r="C362">
            <v>73.176901027629569</v>
          </cell>
          <cell r="D362">
            <v>75.416845986483096</v>
          </cell>
          <cell r="E362">
            <v>76.474507156326823</v>
          </cell>
          <cell r="F362">
            <v>76.40899858261092</v>
          </cell>
          <cell r="G362">
            <v>76.51764881909159</v>
          </cell>
          <cell r="H362">
            <v>76.642592027507263</v>
          </cell>
          <cell r="I362">
            <v>76.757069821609917</v>
          </cell>
          <cell r="J362">
            <v>77.344550680465716</v>
          </cell>
          <cell r="K362">
            <v>77.113939793180023</v>
          </cell>
          <cell r="L362">
            <v>75.942138811257038</v>
          </cell>
          <cell r="M362">
            <v>75.94001679041304</v>
          </cell>
          <cell r="N362">
            <v>76.177275179659418</v>
          </cell>
          <cell r="O362">
            <v>78.051001764719587</v>
          </cell>
          <cell r="P362">
            <v>78.941383918795438</v>
          </cell>
          <cell r="Q362">
            <v>79.175995470229964</v>
          </cell>
          <cell r="R362">
            <v>79.987003717027093</v>
          </cell>
          <cell r="S362">
            <v>80.389860026063744</v>
          </cell>
          <cell r="T362">
            <v>80.389860026063744</v>
          </cell>
          <cell r="U362">
            <v>80.389860026063744</v>
          </cell>
          <cell r="V362">
            <v>80.389860026063744</v>
          </cell>
          <cell r="W362">
            <v>80.389860026063744</v>
          </cell>
          <cell r="X362">
            <v>80.389860026063744</v>
          </cell>
          <cell r="Y362">
            <v>80.389860026063744</v>
          </cell>
          <cell r="Z362">
            <v>80.389860026063744</v>
          </cell>
          <cell r="AA362">
            <v>80.389860026063744</v>
          </cell>
          <cell r="AB362">
            <v>80.389860026063744</v>
          </cell>
          <cell r="AC362">
            <v>80.389860026063744</v>
          </cell>
          <cell r="AD362">
            <v>80.389860026063744</v>
          </cell>
          <cell r="AE362">
            <v>80.389860026063744</v>
          </cell>
          <cell r="AF362">
            <v>80.389860026063744</v>
          </cell>
        </row>
        <row r="363">
          <cell r="A363" t="str">
            <v>West Virginia</v>
          </cell>
          <cell r="B363">
            <v>62.643653381256648</v>
          </cell>
          <cell r="C363">
            <v>62.842017094642607</v>
          </cell>
          <cell r="D363">
            <v>64.73670601366625</v>
          </cell>
          <cell r="E363">
            <v>65.633934127757698</v>
          </cell>
          <cell r="F363">
            <v>65.577146227371529</v>
          </cell>
          <cell r="G363">
            <v>65.669660851785608</v>
          </cell>
          <cell r="H363">
            <v>65.773969430030064</v>
          </cell>
          <cell r="I363">
            <v>65.873582114045917</v>
          </cell>
          <cell r="J363">
            <v>66.371290641332763</v>
          </cell>
          <cell r="K363">
            <v>66.174580858940942</v>
          </cell>
          <cell r="L363">
            <v>65.18240375652519</v>
          </cell>
          <cell r="M363">
            <v>65.181114271680968</v>
          </cell>
          <cell r="N363">
            <v>65.381911074838911</v>
          </cell>
          <cell r="O363">
            <v>66.967536972211136</v>
          </cell>
          <cell r="P363">
            <v>67.720068482533165</v>
          </cell>
          <cell r="Q363">
            <v>67.918655988751212</v>
          </cell>
          <cell r="R363">
            <v>68.604947979802603</v>
          </cell>
          <cell r="S363">
            <v>68.946596293581848</v>
          </cell>
          <cell r="T363">
            <v>68.946596293581848</v>
          </cell>
          <cell r="U363">
            <v>68.946596293581848</v>
          </cell>
          <cell r="V363">
            <v>68.946596293581848</v>
          </cell>
          <cell r="W363">
            <v>68.946596293581848</v>
          </cell>
          <cell r="X363">
            <v>68.946596293581848</v>
          </cell>
          <cell r="Y363">
            <v>68.946596293581848</v>
          </cell>
          <cell r="Z363">
            <v>68.946596293581848</v>
          </cell>
          <cell r="AA363">
            <v>68.946596293581848</v>
          </cell>
          <cell r="AB363">
            <v>68.946596293581848</v>
          </cell>
          <cell r="AC363">
            <v>68.946596293581848</v>
          </cell>
          <cell r="AD363">
            <v>68.946596293581848</v>
          </cell>
          <cell r="AE363">
            <v>68.946596293581848</v>
          </cell>
          <cell r="AF363">
            <v>68.946596293581848</v>
          </cell>
        </row>
        <row r="364">
          <cell r="A364" t="str">
            <v>Wisconsin</v>
          </cell>
          <cell r="B364">
            <v>62.654428984173258</v>
          </cell>
          <cell r="C364">
            <v>62.852830102022914</v>
          </cell>
          <cell r="D364">
            <v>64.747873782055393</v>
          </cell>
          <cell r="E364">
            <v>65.645267277072506</v>
          </cell>
          <cell r="F364">
            <v>65.588470133710032</v>
          </cell>
          <cell r="G364">
            <v>65.68100146328068</v>
          </cell>
          <cell r="H364">
            <v>65.785330962043119</v>
          </cell>
          <cell r="I364">
            <v>65.884959490371415</v>
          </cell>
          <cell r="J364">
            <v>66.382760421271541</v>
          </cell>
          <cell r="K364">
            <v>66.186015467351183</v>
          </cell>
          <cell r="L364">
            <v>65.193653592434927</v>
          </cell>
          <cell r="M364">
            <v>65.192363355763575</v>
          </cell>
          <cell r="N364">
            <v>65.393197646539122</v>
          </cell>
          <cell r="O364">
            <v>66.979119721210694</v>
          </cell>
          <cell r="P364">
            <v>67.731792752017398</v>
          </cell>
          <cell r="Q364">
            <v>67.930417302328649</v>
          </cell>
          <cell r="R364">
            <v>68.616837502405716</v>
          </cell>
          <cell r="S364">
            <v>68.958548891028641</v>
          </cell>
          <cell r="T364">
            <v>68.958548891028641</v>
          </cell>
          <cell r="U364">
            <v>68.958548891028641</v>
          </cell>
          <cell r="V364">
            <v>68.958548891028641</v>
          </cell>
          <cell r="W364">
            <v>68.958548891028641</v>
          </cell>
          <cell r="X364">
            <v>68.958548891028641</v>
          </cell>
          <cell r="Y364">
            <v>68.958548891028641</v>
          </cell>
          <cell r="Z364">
            <v>68.958548891028641</v>
          </cell>
          <cell r="AA364">
            <v>68.958548891028641</v>
          </cell>
          <cell r="AB364">
            <v>68.958548891028641</v>
          </cell>
          <cell r="AC364">
            <v>68.958548891028641</v>
          </cell>
          <cell r="AD364">
            <v>68.958548891028641</v>
          </cell>
          <cell r="AE364">
            <v>68.958548891028641</v>
          </cell>
          <cell r="AF364">
            <v>68.958548891028641</v>
          </cell>
        </row>
        <row r="365">
          <cell r="A365" t="str">
            <v>Wyoming</v>
          </cell>
          <cell r="B365">
            <v>60.565482253963438</v>
          </cell>
          <cell r="C365">
            <v>60.756660133993506</v>
          </cell>
          <cell r="D365">
            <v>62.583175826799071</v>
          </cell>
          <cell r="E365">
            <v>63.448602787063642</v>
          </cell>
          <cell r="F365">
            <v>63.393601949792654</v>
          </cell>
          <cell r="G365">
            <v>63.482901572826698</v>
          </cell>
          <cell r="H365">
            <v>63.583200795966711</v>
          </cell>
          <cell r="I365">
            <v>63.679746776167178</v>
          </cell>
          <cell r="J365">
            <v>64.159692255914422</v>
          </cell>
          <cell r="K365">
            <v>63.969754253800701</v>
          </cell>
          <cell r="L365">
            <v>63.013092100043423</v>
          </cell>
          <cell r="M365">
            <v>63.011943099366825</v>
          </cell>
          <cell r="N365">
            <v>63.205535176937751</v>
          </cell>
          <cell r="O365">
            <v>64.734240090866166</v>
          </cell>
          <cell r="P365">
            <v>65.459580910549747</v>
          </cell>
          <cell r="Q365">
            <v>65.651048688254576</v>
          </cell>
          <cell r="R365">
            <v>66.312700898831153</v>
          </cell>
          <cell r="S365">
            <v>66.642221330285807</v>
          </cell>
          <cell r="T365">
            <v>66.642221330285807</v>
          </cell>
          <cell r="U365">
            <v>66.642221330285807</v>
          </cell>
          <cell r="V365">
            <v>66.642221330285807</v>
          </cell>
          <cell r="W365">
            <v>66.642221330285807</v>
          </cell>
          <cell r="X365">
            <v>66.642221330285807</v>
          </cell>
          <cell r="Y365">
            <v>66.642221330285807</v>
          </cell>
          <cell r="Z365">
            <v>66.642221330285807</v>
          </cell>
          <cell r="AA365">
            <v>66.642221330285807</v>
          </cell>
          <cell r="AB365">
            <v>66.642221330285807</v>
          </cell>
          <cell r="AC365">
            <v>66.642221330285807</v>
          </cell>
          <cell r="AD365">
            <v>66.642221330285807</v>
          </cell>
          <cell r="AE365">
            <v>66.642221330285807</v>
          </cell>
          <cell r="AF365">
            <v>66.642221330285807</v>
          </cell>
        </row>
        <row r="367">
          <cell r="A367" t="str">
            <v>Beef Replacements Total</v>
          </cell>
          <cell r="B367">
            <v>1990</v>
          </cell>
          <cell r="C367">
            <v>1991</v>
          </cell>
          <cell r="D367">
            <v>1992</v>
          </cell>
          <cell r="E367">
            <v>1993</v>
          </cell>
          <cell r="F367">
            <v>1994</v>
          </cell>
          <cell r="G367">
            <v>1995</v>
          </cell>
          <cell r="H367">
            <v>1996</v>
          </cell>
          <cell r="I367">
            <v>1997</v>
          </cell>
          <cell r="J367">
            <v>1998</v>
          </cell>
          <cell r="K367">
            <v>1999</v>
          </cell>
          <cell r="L367">
            <v>2000</v>
          </cell>
          <cell r="M367">
            <v>2001</v>
          </cell>
          <cell r="N367">
            <v>2002</v>
          </cell>
          <cell r="O367">
            <v>2003</v>
          </cell>
          <cell r="P367">
            <v>2004</v>
          </cell>
          <cell r="Q367">
            <v>2005</v>
          </cell>
          <cell r="R367">
            <v>2006</v>
          </cell>
          <cell r="S367">
            <v>2007</v>
          </cell>
          <cell r="T367">
            <v>2008</v>
          </cell>
          <cell r="U367">
            <v>2009</v>
          </cell>
          <cell r="V367">
            <v>2010</v>
          </cell>
          <cell r="W367">
            <v>2011</v>
          </cell>
          <cell r="X367">
            <v>2012</v>
          </cell>
          <cell r="Y367">
            <v>2013</v>
          </cell>
          <cell r="Z367">
            <v>2014</v>
          </cell>
          <cell r="AA367">
            <v>2015</v>
          </cell>
          <cell r="AB367">
            <v>2016</v>
          </cell>
          <cell r="AC367">
            <v>2017</v>
          </cell>
          <cell r="AD367">
            <v>2018</v>
          </cell>
          <cell r="AE367">
            <v>2019</v>
          </cell>
          <cell r="AF367">
            <v>2020</v>
          </cell>
        </row>
        <row r="368">
          <cell r="A368" t="str">
            <v>Alabama</v>
          </cell>
          <cell r="B368">
            <v>60.458256672914594</v>
          </cell>
          <cell r="C368">
            <v>60.645978195136891</v>
          </cell>
          <cell r="D368">
            <v>62.460633864057364</v>
          </cell>
          <cell r="E368">
            <v>63.391469529433095</v>
          </cell>
          <cell r="F368">
            <v>63.390368021691337</v>
          </cell>
          <cell r="G368">
            <v>63.57843624687267</v>
          </cell>
          <cell r="H368">
            <v>63.668337723045482</v>
          </cell>
          <cell r="I368">
            <v>63.794039112312781</v>
          </cell>
          <cell r="J368">
            <v>64.264794051448035</v>
          </cell>
          <cell r="K368">
            <v>64.019027268722041</v>
          </cell>
          <cell r="L368">
            <v>63.005005918068242</v>
          </cell>
          <cell r="M368">
            <v>63.03363421861733</v>
          </cell>
          <cell r="N368">
            <v>63.208460621972577</v>
          </cell>
          <cell r="O368">
            <v>64.830626475028737</v>
          </cell>
          <cell r="P368">
            <v>65.493572706637337</v>
          </cell>
          <cell r="Q368">
            <v>65.672059126988202</v>
          </cell>
          <cell r="R368">
            <v>66.425166494700591</v>
          </cell>
          <cell r="S368">
            <v>66.815653565387137</v>
          </cell>
          <cell r="T368">
            <v>66.815653565387137</v>
          </cell>
          <cell r="U368">
            <v>66.815653565387137</v>
          </cell>
          <cell r="V368">
            <v>66.815653565387137</v>
          </cell>
          <cell r="W368">
            <v>66.815653565387137</v>
          </cell>
          <cell r="X368">
            <v>66.815653565387137</v>
          </cell>
          <cell r="Y368">
            <v>66.815653565387137</v>
          </cell>
          <cell r="Z368">
            <v>66.815653565387137</v>
          </cell>
          <cell r="AA368">
            <v>66.815653565387137</v>
          </cell>
          <cell r="AB368">
            <v>66.815653565387137</v>
          </cell>
          <cell r="AC368">
            <v>66.815653565387137</v>
          </cell>
          <cell r="AD368">
            <v>66.815653565387137</v>
          </cell>
          <cell r="AE368">
            <v>66.815653565387137</v>
          </cell>
          <cell r="AF368">
            <v>66.815653565387137</v>
          </cell>
        </row>
        <row r="369">
          <cell r="A369" t="str">
            <v>Alaska</v>
          </cell>
          <cell r="B369">
            <v>69.96352325744094</v>
          </cell>
          <cell r="C369">
            <v>70.186045239387852</v>
          </cell>
          <cell r="D369">
            <v>72.332473305911094</v>
          </cell>
          <cell r="E369">
            <v>73.424603674258094</v>
          </cell>
          <cell r="F369">
            <v>73.421486640152935</v>
          </cell>
          <cell r="G369">
            <v>73.635883935775439</v>
          </cell>
          <cell r="H369">
            <v>73.744793738481789</v>
          </cell>
          <cell r="I369">
            <v>73.887683722975282</v>
          </cell>
          <cell r="J369">
            <v>74.443897642226176</v>
          </cell>
          <cell r="K369">
            <v>74.159369044506846</v>
          </cell>
          <cell r="L369">
            <v>72.966087722262841</v>
          </cell>
          <cell r="M369">
            <v>72.997197050870355</v>
          </cell>
          <cell r="N369">
            <v>73.205098296659585</v>
          </cell>
          <cell r="O369">
            <v>75.114706048223752</v>
          </cell>
          <cell r="P369">
            <v>75.903412859122483</v>
          </cell>
          <cell r="Q369">
            <v>76.115181398031268</v>
          </cell>
          <cell r="R369">
            <v>76.997975618110416</v>
          </cell>
          <cell r="S369">
            <v>77.453825565225301</v>
          </cell>
          <cell r="T369">
            <v>77.453825565225301</v>
          </cell>
          <cell r="U369">
            <v>77.453825565225301</v>
          </cell>
          <cell r="V369">
            <v>77.453825565225301</v>
          </cell>
          <cell r="W369">
            <v>77.453825565225301</v>
          </cell>
          <cell r="X369">
            <v>77.453825565225301</v>
          </cell>
          <cell r="Y369">
            <v>77.453825565225301</v>
          </cell>
          <cell r="Z369">
            <v>77.453825565225301</v>
          </cell>
          <cell r="AA369">
            <v>77.453825565225301</v>
          </cell>
          <cell r="AB369">
            <v>77.453825565225301</v>
          </cell>
          <cell r="AC369">
            <v>77.453825565225301</v>
          </cell>
          <cell r="AD369">
            <v>77.453825565225301</v>
          </cell>
          <cell r="AE369">
            <v>77.453825565225301</v>
          </cell>
          <cell r="AF369">
            <v>77.453825565225301</v>
          </cell>
        </row>
        <row r="370">
          <cell r="A370" t="str">
            <v>Arizona</v>
          </cell>
          <cell r="B370">
            <v>69.963523257440954</v>
          </cell>
          <cell r="C370">
            <v>70.186045239387838</v>
          </cell>
          <cell r="D370">
            <v>72.332473305911066</v>
          </cell>
          <cell r="E370">
            <v>73.424603674258108</v>
          </cell>
          <cell r="F370">
            <v>73.421486640152921</v>
          </cell>
          <cell r="G370">
            <v>73.635883935775468</v>
          </cell>
          <cell r="H370">
            <v>73.744793738481761</v>
          </cell>
          <cell r="I370">
            <v>73.887683722975311</v>
          </cell>
          <cell r="J370">
            <v>74.443897642226176</v>
          </cell>
          <cell r="K370">
            <v>74.159369044506832</v>
          </cell>
          <cell r="L370">
            <v>72.966087722262841</v>
          </cell>
          <cell r="M370">
            <v>72.997197050870369</v>
          </cell>
          <cell r="N370">
            <v>73.205098296659585</v>
          </cell>
          <cell r="O370">
            <v>75.114706048223766</v>
          </cell>
          <cell r="P370">
            <v>75.903412859122483</v>
          </cell>
          <cell r="Q370">
            <v>76.115181398031282</v>
          </cell>
          <cell r="R370">
            <v>76.997975618110416</v>
          </cell>
          <cell r="S370">
            <v>77.453825565225287</v>
          </cell>
          <cell r="T370">
            <v>77.453825565225287</v>
          </cell>
          <cell r="U370">
            <v>77.453825565225287</v>
          </cell>
          <cell r="V370">
            <v>77.453825565225287</v>
          </cell>
          <cell r="W370">
            <v>77.453825565225287</v>
          </cell>
          <cell r="X370">
            <v>77.453825565225287</v>
          </cell>
          <cell r="Y370">
            <v>77.453825565225287</v>
          </cell>
          <cell r="Z370">
            <v>77.453825565225287</v>
          </cell>
          <cell r="AA370">
            <v>77.453825565225287</v>
          </cell>
          <cell r="AB370">
            <v>77.453825565225287</v>
          </cell>
          <cell r="AC370">
            <v>77.453825565225287</v>
          </cell>
          <cell r="AD370">
            <v>77.453825565225287</v>
          </cell>
          <cell r="AE370">
            <v>77.453825565225287</v>
          </cell>
          <cell r="AF370">
            <v>77.453825565225287</v>
          </cell>
        </row>
        <row r="371">
          <cell r="A371" t="str">
            <v>Arkansas</v>
          </cell>
          <cell r="B371">
            <v>60.360375415253721</v>
          </cell>
          <cell r="C371">
            <v>60.547747987240989</v>
          </cell>
          <cell r="D371">
            <v>62.359069920571038</v>
          </cell>
          <cell r="E371">
            <v>63.288271248196956</v>
          </cell>
          <cell r="F371">
            <v>63.287187216196408</v>
          </cell>
          <cell r="G371">
            <v>63.474978550198202</v>
          </cell>
          <cell r="H371">
            <v>63.564692962086568</v>
          </cell>
          <cell r="I371">
            <v>63.690212768385884</v>
          </cell>
          <cell r="J371">
            <v>64.160108061451467</v>
          </cell>
          <cell r="K371">
            <v>63.914740214018124</v>
          </cell>
          <cell r="L371">
            <v>62.902529501639577</v>
          </cell>
          <cell r="M371">
            <v>62.931128658216437</v>
          </cell>
          <cell r="N371">
            <v>63.105624418137907</v>
          </cell>
          <cell r="O371">
            <v>64.724887993485439</v>
          </cell>
          <cell r="P371">
            <v>65.386577521323673</v>
          </cell>
          <cell r="Q371">
            <v>65.564730508500119</v>
          </cell>
          <cell r="R371">
            <v>66.316522498700465</v>
          </cell>
          <cell r="S371">
            <v>66.706343556947672</v>
          </cell>
          <cell r="T371">
            <v>66.706343556947672</v>
          </cell>
          <cell r="U371">
            <v>66.706343556947672</v>
          </cell>
          <cell r="V371">
            <v>66.706343556947672</v>
          </cell>
          <cell r="W371">
            <v>66.706343556947672</v>
          </cell>
          <cell r="X371">
            <v>66.706343556947672</v>
          </cell>
          <cell r="Y371">
            <v>66.706343556947672</v>
          </cell>
          <cell r="Z371">
            <v>66.706343556947672</v>
          </cell>
          <cell r="AA371">
            <v>66.706343556947672</v>
          </cell>
          <cell r="AB371">
            <v>66.706343556947672</v>
          </cell>
          <cell r="AC371">
            <v>66.706343556947672</v>
          </cell>
          <cell r="AD371">
            <v>66.706343556947672</v>
          </cell>
          <cell r="AE371">
            <v>66.706343556947672</v>
          </cell>
          <cell r="AF371">
            <v>66.706343556947672</v>
          </cell>
        </row>
        <row r="372">
          <cell r="A372" t="str">
            <v>California</v>
          </cell>
          <cell r="B372">
            <v>59.657699440385592</v>
          </cell>
          <cell r="C372">
            <v>59.842572470791168</v>
          </cell>
          <cell r="D372">
            <v>61.630010533027964</v>
          </cell>
          <cell r="E372">
            <v>62.547494794965381</v>
          </cell>
          <cell r="F372">
            <v>62.546534293971163</v>
          </cell>
          <cell r="G372">
            <v>62.732334480349074</v>
          </cell>
          <cell r="H372">
            <v>62.820711076109021</v>
          </cell>
          <cell r="I372">
            <v>62.944924633874535</v>
          </cell>
          <cell r="J372">
            <v>63.408660606771576</v>
          </cell>
          <cell r="K372">
            <v>63.166156532718361</v>
          </cell>
          <cell r="L372">
            <v>62.166923417248839</v>
          </cell>
          <cell r="M372">
            <v>62.195311242840049</v>
          </cell>
          <cell r="N372">
            <v>62.367439198448807</v>
          </cell>
          <cell r="O372">
            <v>63.965901581356931</v>
          </cell>
          <cell r="P372">
            <v>64.618591904074194</v>
          </cell>
          <cell r="Q372">
            <v>64.794356675123936</v>
          </cell>
          <cell r="R372">
            <v>65.536717541327704</v>
          </cell>
          <cell r="S372">
            <v>65.921761536949703</v>
          </cell>
          <cell r="T372">
            <v>65.921761536949703</v>
          </cell>
          <cell r="U372">
            <v>65.921761536949703</v>
          </cell>
          <cell r="V372">
            <v>65.921761536949703</v>
          </cell>
          <cell r="W372">
            <v>65.921761536949703</v>
          </cell>
          <cell r="X372">
            <v>65.921761536949703</v>
          </cell>
          <cell r="Y372">
            <v>65.921761536949703</v>
          </cell>
          <cell r="Z372">
            <v>65.921761536949703</v>
          </cell>
          <cell r="AA372">
            <v>65.921761536949703</v>
          </cell>
          <cell r="AB372">
            <v>65.921761536949703</v>
          </cell>
          <cell r="AC372">
            <v>65.921761536949703</v>
          </cell>
          <cell r="AD372">
            <v>65.921761536949703</v>
          </cell>
          <cell r="AE372">
            <v>65.921761536949703</v>
          </cell>
          <cell r="AF372">
            <v>65.921761536949703</v>
          </cell>
        </row>
        <row r="373">
          <cell r="A373" t="str">
            <v>Colorado</v>
          </cell>
          <cell r="B373">
            <v>57.901997943394072</v>
          </cell>
          <cell r="C373">
            <v>58.080667865833419</v>
          </cell>
          <cell r="D373">
            <v>59.80880105230554</v>
          </cell>
          <cell r="E373">
            <v>60.697128536775232</v>
          </cell>
          <cell r="F373">
            <v>60.696461973277898</v>
          </cell>
          <cell r="G373">
            <v>60.877261218494105</v>
          </cell>
          <cell r="H373">
            <v>60.9623340881204</v>
          </cell>
          <cell r="I373">
            <v>61.083263299757157</v>
          </cell>
          <cell r="J373">
            <v>61.531701070367347</v>
          </cell>
          <cell r="K373">
            <v>61.296351424588913</v>
          </cell>
          <cell r="L373">
            <v>60.329385606915658</v>
          </cell>
          <cell r="M373">
            <v>60.357229267633755</v>
          </cell>
          <cell r="N373">
            <v>60.523485683506749</v>
          </cell>
          <cell r="O373">
            <v>62.07023318542889</v>
          </cell>
          <cell r="P373">
            <v>62.700610146758635</v>
          </cell>
          <cell r="Q373">
            <v>62.870449436528432</v>
          </cell>
          <cell r="R373">
            <v>63.589335885917038</v>
          </cell>
          <cell r="S373">
            <v>63.962475659217773</v>
          </cell>
          <cell r="T373">
            <v>63.962475659217773</v>
          </cell>
          <cell r="U373">
            <v>63.962475659217773</v>
          </cell>
          <cell r="V373">
            <v>63.962475659217773</v>
          </cell>
          <cell r="W373">
            <v>63.962475659217773</v>
          </cell>
          <cell r="X373">
            <v>63.962475659217773</v>
          </cell>
          <cell r="Y373">
            <v>63.962475659217773</v>
          </cell>
          <cell r="Z373">
            <v>63.962475659217773</v>
          </cell>
          <cell r="AA373">
            <v>63.962475659217773</v>
          </cell>
          <cell r="AB373">
            <v>63.962475659217773</v>
          </cell>
          <cell r="AC373">
            <v>63.962475659217773</v>
          </cell>
          <cell r="AD373">
            <v>63.962475659217773</v>
          </cell>
          <cell r="AE373">
            <v>63.962475659217773</v>
          </cell>
          <cell r="AF373">
            <v>63.962475659217773</v>
          </cell>
        </row>
        <row r="374">
          <cell r="A374" t="str">
            <v>Connecticut</v>
          </cell>
          <cell r="B374">
            <v>59.920155095864942</v>
          </cell>
          <cell r="C374">
            <v>60.105960592058302</v>
          </cell>
          <cell r="D374">
            <v>61.902309513656576</v>
          </cell>
          <cell r="E374">
            <v>62.824166993541326</v>
          </cell>
          <cell r="F374">
            <v>62.82316074814414</v>
          </cell>
          <cell r="G374">
            <v>63.00970534103174</v>
          </cell>
          <cell r="H374">
            <v>63.098580576534303</v>
          </cell>
          <cell r="I374">
            <v>63.22328258224524</v>
          </cell>
          <cell r="J374">
            <v>63.689316658006327</v>
          </cell>
          <cell r="K374">
            <v>63.445742965665033</v>
          </cell>
          <cell r="L374">
            <v>62.441666861846393</v>
          </cell>
          <cell r="M374">
            <v>62.470134055055013</v>
          </cell>
          <cell r="N374">
            <v>62.643145206642068</v>
          </cell>
          <cell r="O374">
            <v>64.249370061264486</v>
          </cell>
          <cell r="P374">
            <v>64.905417043757041</v>
          </cell>
          <cell r="Q374">
            <v>65.082072713811996</v>
          </cell>
          <cell r="R374">
            <v>65.82795376551573</v>
          </cell>
          <cell r="S374">
            <v>66.214781183676749</v>
          </cell>
          <cell r="T374">
            <v>66.214781183676749</v>
          </cell>
          <cell r="U374">
            <v>66.214781183676749</v>
          </cell>
          <cell r="V374">
            <v>66.214781183676749</v>
          </cell>
          <cell r="W374">
            <v>66.214781183676749</v>
          </cell>
          <cell r="X374">
            <v>66.214781183676749</v>
          </cell>
          <cell r="Y374">
            <v>66.214781183676749</v>
          </cell>
          <cell r="Z374">
            <v>66.214781183676749</v>
          </cell>
          <cell r="AA374">
            <v>66.214781183676749</v>
          </cell>
          <cell r="AB374">
            <v>66.214781183676749</v>
          </cell>
          <cell r="AC374">
            <v>66.214781183676749</v>
          </cell>
          <cell r="AD374">
            <v>66.214781183676749</v>
          </cell>
          <cell r="AE374">
            <v>66.214781183676749</v>
          </cell>
          <cell r="AF374">
            <v>66.214781183676749</v>
          </cell>
        </row>
        <row r="375">
          <cell r="A375" t="str">
            <v>Delaware</v>
          </cell>
          <cell r="B375">
            <v>59.920155095864942</v>
          </cell>
          <cell r="C375">
            <v>60.105960592058302</v>
          </cell>
          <cell r="D375">
            <v>61.902309513656576</v>
          </cell>
          <cell r="E375">
            <v>62.824166993541326</v>
          </cell>
          <cell r="F375">
            <v>62.82316074814414</v>
          </cell>
          <cell r="G375">
            <v>63.009705341031733</v>
          </cell>
          <cell r="H375">
            <v>63.098580576534303</v>
          </cell>
          <cell r="I375">
            <v>63.22328258224524</v>
          </cell>
          <cell r="J375">
            <v>63.689316658006327</v>
          </cell>
          <cell r="K375">
            <v>63.445742965665019</v>
          </cell>
          <cell r="L375">
            <v>62.441666861846379</v>
          </cell>
          <cell r="M375">
            <v>62.470134055055013</v>
          </cell>
          <cell r="N375">
            <v>62.64314520664206</v>
          </cell>
          <cell r="O375">
            <v>64.2493700612645</v>
          </cell>
          <cell r="P375">
            <v>64.905417043757041</v>
          </cell>
          <cell r="Q375">
            <v>65.082072713811996</v>
          </cell>
          <cell r="R375">
            <v>65.82795376551573</v>
          </cell>
          <cell r="S375">
            <v>66.214781183676749</v>
          </cell>
          <cell r="T375">
            <v>66.214781183676749</v>
          </cell>
          <cell r="U375">
            <v>66.214781183676749</v>
          </cell>
          <cell r="V375">
            <v>66.214781183676749</v>
          </cell>
          <cell r="W375">
            <v>66.214781183676749</v>
          </cell>
          <cell r="X375">
            <v>66.214781183676749</v>
          </cell>
          <cell r="Y375">
            <v>66.214781183676749</v>
          </cell>
          <cell r="Z375">
            <v>66.214781183676749</v>
          </cell>
          <cell r="AA375">
            <v>66.214781183676749</v>
          </cell>
          <cell r="AB375">
            <v>66.214781183676749</v>
          </cell>
          <cell r="AC375">
            <v>66.214781183676749</v>
          </cell>
          <cell r="AD375">
            <v>66.214781183676749</v>
          </cell>
          <cell r="AE375">
            <v>66.214781183676749</v>
          </cell>
          <cell r="AF375">
            <v>66.214781183676749</v>
          </cell>
        </row>
        <row r="376">
          <cell r="A376" t="str">
            <v>Florida</v>
          </cell>
          <cell r="B376">
            <v>60.458256672914608</v>
          </cell>
          <cell r="C376">
            <v>60.645978195136919</v>
          </cell>
          <cell r="D376">
            <v>62.460633864057371</v>
          </cell>
          <cell r="E376">
            <v>63.391469529433088</v>
          </cell>
          <cell r="F376">
            <v>63.390368021691337</v>
          </cell>
          <cell r="G376">
            <v>63.57843624687267</v>
          </cell>
          <cell r="H376">
            <v>63.668337723045482</v>
          </cell>
          <cell r="I376">
            <v>63.794039112312781</v>
          </cell>
          <cell r="J376">
            <v>64.26479405144805</v>
          </cell>
          <cell r="K376">
            <v>64.019027268722041</v>
          </cell>
          <cell r="L376">
            <v>63.005005918068242</v>
          </cell>
          <cell r="M376">
            <v>63.033634218617323</v>
          </cell>
          <cell r="N376">
            <v>63.208460621972584</v>
          </cell>
          <cell r="O376">
            <v>64.830626475028708</v>
          </cell>
          <cell r="P376">
            <v>65.493572706637295</v>
          </cell>
          <cell r="Q376">
            <v>65.672059126988202</v>
          </cell>
          <cell r="R376">
            <v>66.425166494700605</v>
          </cell>
          <cell r="S376">
            <v>66.815653565387123</v>
          </cell>
          <cell r="T376">
            <v>66.815653565387123</v>
          </cell>
          <cell r="U376">
            <v>66.815653565387123</v>
          </cell>
          <cell r="V376">
            <v>66.815653565387123</v>
          </cell>
          <cell r="W376">
            <v>66.815653565387123</v>
          </cell>
          <cell r="X376">
            <v>66.815653565387123</v>
          </cell>
          <cell r="Y376">
            <v>66.815653565387123</v>
          </cell>
          <cell r="Z376">
            <v>66.815653565387123</v>
          </cell>
          <cell r="AA376">
            <v>66.815653565387123</v>
          </cell>
          <cell r="AB376">
            <v>66.815653565387123</v>
          </cell>
          <cell r="AC376">
            <v>66.815653565387123</v>
          </cell>
          <cell r="AD376">
            <v>66.815653565387123</v>
          </cell>
          <cell r="AE376">
            <v>66.815653565387123</v>
          </cell>
          <cell r="AF376">
            <v>66.815653565387123</v>
          </cell>
        </row>
        <row r="377">
          <cell r="A377" t="str">
            <v>Georgia</v>
          </cell>
          <cell r="B377">
            <v>60.458256672914615</v>
          </cell>
          <cell r="C377">
            <v>60.645978195136919</v>
          </cell>
          <cell r="D377">
            <v>62.460633864057357</v>
          </cell>
          <cell r="E377">
            <v>63.391469529433088</v>
          </cell>
          <cell r="F377">
            <v>63.390368021691351</v>
          </cell>
          <cell r="G377">
            <v>63.578436246872663</v>
          </cell>
          <cell r="H377">
            <v>63.668337723045475</v>
          </cell>
          <cell r="I377">
            <v>63.794039112312788</v>
          </cell>
          <cell r="J377">
            <v>64.264794051448035</v>
          </cell>
          <cell r="K377">
            <v>64.019027268722041</v>
          </cell>
          <cell r="L377">
            <v>63.005005918068257</v>
          </cell>
          <cell r="M377">
            <v>63.033634218617316</v>
          </cell>
          <cell r="N377">
            <v>63.208460621972577</v>
          </cell>
          <cell r="O377">
            <v>64.830626475028723</v>
          </cell>
          <cell r="P377">
            <v>65.493572706637323</v>
          </cell>
          <cell r="Q377">
            <v>65.672059126988202</v>
          </cell>
          <cell r="R377">
            <v>66.425166494700591</v>
          </cell>
          <cell r="S377">
            <v>66.815653565387137</v>
          </cell>
          <cell r="T377">
            <v>66.815653565387137</v>
          </cell>
          <cell r="U377">
            <v>66.815653565387137</v>
          </cell>
          <cell r="V377">
            <v>66.815653565387137</v>
          </cell>
          <cell r="W377">
            <v>66.815653565387137</v>
          </cell>
          <cell r="X377">
            <v>66.815653565387137</v>
          </cell>
          <cell r="Y377">
            <v>66.815653565387137</v>
          </cell>
          <cell r="Z377">
            <v>66.815653565387137</v>
          </cell>
          <cell r="AA377">
            <v>66.815653565387137</v>
          </cell>
          <cell r="AB377">
            <v>66.815653565387137</v>
          </cell>
          <cell r="AC377">
            <v>66.815653565387137</v>
          </cell>
          <cell r="AD377">
            <v>66.815653565387137</v>
          </cell>
          <cell r="AE377">
            <v>66.815653565387137</v>
          </cell>
          <cell r="AF377">
            <v>66.815653565387137</v>
          </cell>
        </row>
        <row r="378">
          <cell r="A378" t="str">
            <v>Hawaii</v>
          </cell>
          <cell r="B378">
            <v>69.963523257440954</v>
          </cell>
          <cell r="C378">
            <v>70.186045239387838</v>
          </cell>
          <cell r="D378">
            <v>72.332473305911094</v>
          </cell>
          <cell r="E378">
            <v>73.42460367425808</v>
          </cell>
          <cell r="F378">
            <v>73.421486640152935</v>
          </cell>
          <cell r="G378">
            <v>73.635883935775468</v>
          </cell>
          <cell r="H378">
            <v>73.744793738481761</v>
          </cell>
          <cell r="I378">
            <v>73.887683722975311</v>
          </cell>
          <cell r="J378">
            <v>74.443897642226176</v>
          </cell>
          <cell r="K378">
            <v>74.159369044506846</v>
          </cell>
          <cell r="L378">
            <v>72.966087722262827</v>
          </cell>
          <cell r="M378">
            <v>72.997197050870369</v>
          </cell>
          <cell r="N378">
            <v>73.205098296659571</v>
          </cell>
          <cell r="O378">
            <v>75.114706048223752</v>
          </cell>
          <cell r="P378">
            <v>75.903412859122483</v>
          </cell>
          <cell r="Q378">
            <v>76.115181398031268</v>
          </cell>
          <cell r="R378">
            <v>76.997975618110416</v>
          </cell>
          <cell r="S378">
            <v>77.453825565225301</v>
          </cell>
          <cell r="T378">
            <v>77.453825565225301</v>
          </cell>
          <cell r="U378">
            <v>77.453825565225301</v>
          </cell>
          <cell r="V378">
            <v>77.453825565225301</v>
          </cell>
          <cell r="W378">
            <v>77.453825565225301</v>
          </cell>
          <cell r="X378">
            <v>77.453825565225301</v>
          </cell>
          <cell r="Y378">
            <v>77.453825565225301</v>
          </cell>
          <cell r="Z378">
            <v>77.453825565225301</v>
          </cell>
          <cell r="AA378">
            <v>77.453825565225301</v>
          </cell>
          <cell r="AB378">
            <v>77.453825565225301</v>
          </cell>
          <cell r="AC378">
            <v>77.453825565225301</v>
          </cell>
          <cell r="AD378">
            <v>77.453825565225301</v>
          </cell>
          <cell r="AE378">
            <v>77.453825565225301</v>
          </cell>
          <cell r="AF378">
            <v>77.453825565225301</v>
          </cell>
        </row>
        <row r="379">
          <cell r="A379" t="str">
            <v>Idaho</v>
          </cell>
          <cell r="B379">
            <v>69.96352325744094</v>
          </cell>
          <cell r="C379">
            <v>70.186045239387852</v>
          </cell>
          <cell r="D379">
            <v>72.33247330591108</v>
          </cell>
          <cell r="E379">
            <v>73.424603674258094</v>
          </cell>
          <cell r="F379">
            <v>73.421486640152906</v>
          </cell>
          <cell r="G379">
            <v>73.635883935775439</v>
          </cell>
          <cell r="H379">
            <v>73.744793738481761</v>
          </cell>
          <cell r="I379">
            <v>73.887683722975282</v>
          </cell>
          <cell r="J379">
            <v>74.443897642226176</v>
          </cell>
          <cell r="K379">
            <v>74.159369044506832</v>
          </cell>
          <cell r="L379">
            <v>72.966087722262841</v>
          </cell>
          <cell r="M379">
            <v>72.997197050870341</v>
          </cell>
          <cell r="N379">
            <v>73.205098296659557</v>
          </cell>
          <cell r="O379">
            <v>75.114706048223752</v>
          </cell>
          <cell r="P379">
            <v>75.903412859122497</v>
          </cell>
          <cell r="Q379">
            <v>76.115181398031268</v>
          </cell>
          <cell r="R379">
            <v>76.997975618110402</v>
          </cell>
          <cell r="S379">
            <v>77.453825565225287</v>
          </cell>
          <cell r="T379">
            <v>77.453825565225287</v>
          </cell>
          <cell r="U379">
            <v>77.453825565225287</v>
          </cell>
          <cell r="V379">
            <v>77.453825565225287</v>
          </cell>
          <cell r="W379">
            <v>77.453825565225287</v>
          </cell>
          <cell r="X379">
            <v>77.453825565225287</v>
          </cell>
          <cell r="Y379">
            <v>77.453825565225287</v>
          </cell>
          <cell r="Z379">
            <v>77.453825565225287</v>
          </cell>
          <cell r="AA379">
            <v>77.453825565225287</v>
          </cell>
          <cell r="AB379">
            <v>77.453825565225287</v>
          </cell>
          <cell r="AC379">
            <v>77.453825565225287</v>
          </cell>
          <cell r="AD379">
            <v>77.453825565225287</v>
          </cell>
          <cell r="AE379">
            <v>77.453825565225287</v>
          </cell>
          <cell r="AF379">
            <v>77.453825565225287</v>
          </cell>
        </row>
        <row r="380">
          <cell r="A380" t="str">
            <v>Illinois</v>
          </cell>
          <cell r="B380">
            <v>59.930626782718988</v>
          </cell>
          <cell r="C380">
            <v>60.11646951050264</v>
          </cell>
          <cell r="D380">
            <v>61.913174204936965</v>
          </cell>
          <cell r="E380">
            <v>62.835206248368927</v>
          </cell>
          <cell r="F380">
            <v>62.834198168325521</v>
          </cell>
          <cell r="G380">
            <v>63.020772445504804</v>
          </cell>
          <cell r="H380">
            <v>63.109667601296231</v>
          </cell>
          <cell r="I380">
            <v>63.234389082265494</v>
          </cell>
          <cell r="J380">
            <v>63.700514908756666</v>
          </cell>
          <cell r="K380">
            <v>63.456898539212759</v>
          </cell>
          <cell r="L380">
            <v>62.452629103346403</v>
          </cell>
          <cell r="M380">
            <v>62.481099452823116</v>
          </cell>
          <cell r="N380">
            <v>62.654145871745499</v>
          </cell>
          <cell r="O380">
            <v>64.260680607317795</v>
          </cell>
          <cell r="P380">
            <v>64.9168616277571</v>
          </cell>
          <cell r="Q380">
            <v>65.093552870592006</v>
          </cell>
          <cell r="R380">
            <v>65.839574431911402</v>
          </cell>
          <cell r="S380">
            <v>66.226473027099274</v>
          </cell>
          <cell r="T380">
            <v>66.226473027099274</v>
          </cell>
          <cell r="U380">
            <v>66.226473027099274</v>
          </cell>
          <cell r="V380">
            <v>66.226473027099274</v>
          </cell>
          <cell r="W380">
            <v>66.226473027099274</v>
          </cell>
          <cell r="X380">
            <v>66.226473027099274</v>
          </cell>
          <cell r="Y380">
            <v>66.226473027099274</v>
          </cell>
          <cell r="Z380">
            <v>66.226473027099274</v>
          </cell>
          <cell r="AA380">
            <v>66.226473027099274</v>
          </cell>
          <cell r="AB380">
            <v>66.226473027099274</v>
          </cell>
          <cell r="AC380">
            <v>66.226473027099274</v>
          </cell>
          <cell r="AD380">
            <v>66.226473027099274</v>
          </cell>
          <cell r="AE380">
            <v>66.226473027099274</v>
          </cell>
          <cell r="AF380">
            <v>66.226473027099274</v>
          </cell>
        </row>
        <row r="381">
          <cell r="A381" t="str">
            <v>Indiana</v>
          </cell>
          <cell r="B381">
            <v>59.930626782718988</v>
          </cell>
          <cell r="C381">
            <v>60.11646951050264</v>
          </cell>
          <cell r="D381">
            <v>61.913174204936958</v>
          </cell>
          <cell r="E381">
            <v>62.835206248368934</v>
          </cell>
          <cell r="F381">
            <v>62.8341981683255</v>
          </cell>
          <cell r="G381">
            <v>63.020772445504825</v>
          </cell>
          <cell r="H381">
            <v>63.109667601296238</v>
          </cell>
          <cell r="I381">
            <v>63.23438908226548</v>
          </cell>
          <cell r="J381">
            <v>63.700514908756674</v>
          </cell>
          <cell r="K381">
            <v>63.456898539212766</v>
          </cell>
          <cell r="L381">
            <v>62.452629103346403</v>
          </cell>
          <cell r="M381">
            <v>62.48109945282313</v>
          </cell>
          <cell r="N381">
            <v>62.654145871745499</v>
          </cell>
          <cell r="O381">
            <v>64.260680607317781</v>
          </cell>
          <cell r="P381">
            <v>64.9168616277571</v>
          </cell>
          <cell r="Q381">
            <v>65.093552870592006</v>
          </cell>
          <cell r="R381">
            <v>65.839574431911373</v>
          </cell>
          <cell r="S381">
            <v>66.226473027099274</v>
          </cell>
          <cell r="T381">
            <v>66.226473027099274</v>
          </cell>
          <cell r="U381">
            <v>66.226473027099274</v>
          </cell>
          <cell r="V381">
            <v>66.226473027099274</v>
          </cell>
          <cell r="W381">
            <v>66.226473027099274</v>
          </cell>
          <cell r="X381">
            <v>66.226473027099274</v>
          </cell>
          <cell r="Y381">
            <v>66.226473027099274</v>
          </cell>
          <cell r="Z381">
            <v>66.226473027099274</v>
          </cell>
          <cell r="AA381">
            <v>66.226473027099274</v>
          </cell>
          <cell r="AB381">
            <v>66.226473027099274</v>
          </cell>
          <cell r="AC381">
            <v>66.226473027099274</v>
          </cell>
          <cell r="AD381">
            <v>66.226473027099274</v>
          </cell>
          <cell r="AE381">
            <v>66.226473027099274</v>
          </cell>
          <cell r="AF381">
            <v>66.226473027099274</v>
          </cell>
        </row>
        <row r="382">
          <cell r="A382" t="str">
            <v>Iowa</v>
          </cell>
          <cell r="B382">
            <v>59.930626782718988</v>
          </cell>
          <cell r="C382">
            <v>60.11646951050264</v>
          </cell>
          <cell r="D382">
            <v>61.913174204936972</v>
          </cell>
          <cell r="E382">
            <v>62.835206248368934</v>
          </cell>
          <cell r="F382">
            <v>62.834198168325528</v>
          </cell>
          <cell r="G382">
            <v>63.020772445504811</v>
          </cell>
          <cell r="H382">
            <v>63.109667601296231</v>
          </cell>
          <cell r="I382">
            <v>63.23438908226548</v>
          </cell>
          <cell r="J382">
            <v>63.700514908756681</v>
          </cell>
          <cell r="K382">
            <v>63.456898539212752</v>
          </cell>
          <cell r="L382">
            <v>62.452629103346425</v>
          </cell>
          <cell r="M382">
            <v>62.481099452823123</v>
          </cell>
          <cell r="N382">
            <v>62.654145871745499</v>
          </cell>
          <cell r="O382">
            <v>64.260680607317767</v>
          </cell>
          <cell r="P382">
            <v>64.916861627757086</v>
          </cell>
          <cell r="Q382">
            <v>65.093552870591992</v>
          </cell>
          <cell r="R382">
            <v>65.839574431911402</v>
          </cell>
          <cell r="S382">
            <v>66.226473027099289</v>
          </cell>
          <cell r="T382">
            <v>66.226473027099289</v>
          </cell>
          <cell r="U382">
            <v>66.226473027099289</v>
          </cell>
          <cell r="V382">
            <v>66.226473027099289</v>
          </cell>
          <cell r="W382">
            <v>66.226473027099289</v>
          </cell>
          <cell r="X382">
            <v>66.226473027099289</v>
          </cell>
          <cell r="Y382">
            <v>66.226473027099289</v>
          </cell>
          <cell r="Z382">
            <v>66.226473027099289</v>
          </cell>
          <cell r="AA382">
            <v>66.226473027099289</v>
          </cell>
          <cell r="AB382">
            <v>66.226473027099289</v>
          </cell>
          <cell r="AC382">
            <v>66.226473027099289</v>
          </cell>
          <cell r="AD382">
            <v>66.226473027099289</v>
          </cell>
          <cell r="AE382">
            <v>66.226473027099289</v>
          </cell>
          <cell r="AF382">
            <v>66.226473027099289</v>
          </cell>
        </row>
        <row r="383">
          <cell r="A383" t="str">
            <v>Kansas</v>
          </cell>
          <cell r="B383">
            <v>57.901997943394051</v>
          </cell>
          <cell r="C383">
            <v>58.080667865833426</v>
          </cell>
          <cell r="D383">
            <v>59.808801052305526</v>
          </cell>
          <cell r="E383">
            <v>60.697128536775239</v>
          </cell>
          <cell r="F383">
            <v>60.696461973277891</v>
          </cell>
          <cell r="G383">
            <v>60.877261218494098</v>
          </cell>
          <cell r="H383">
            <v>60.9623340881204</v>
          </cell>
          <cell r="I383">
            <v>61.083263299757164</v>
          </cell>
          <cell r="J383">
            <v>61.531701070367347</v>
          </cell>
          <cell r="K383">
            <v>61.296351424588899</v>
          </cell>
          <cell r="L383">
            <v>60.32938560691565</v>
          </cell>
          <cell r="M383">
            <v>60.357229267633755</v>
          </cell>
          <cell r="N383">
            <v>60.523485683506742</v>
          </cell>
          <cell r="O383">
            <v>62.070233185428869</v>
          </cell>
          <cell r="P383">
            <v>62.700610146758628</v>
          </cell>
          <cell r="Q383">
            <v>62.870449436528432</v>
          </cell>
          <cell r="R383">
            <v>63.589335885917031</v>
          </cell>
          <cell r="S383">
            <v>63.96247565921778</v>
          </cell>
          <cell r="T383">
            <v>63.96247565921778</v>
          </cell>
          <cell r="U383">
            <v>63.96247565921778</v>
          </cell>
          <cell r="V383">
            <v>63.96247565921778</v>
          </cell>
          <cell r="W383">
            <v>63.96247565921778</v>
          </cell>
          <cell r="X383">
            <v>63.96247565921778</v>
          </cell>
          <cell r="Y383">
            <v>63.96247565921778</v>
          </cell>
          <cell r="Z383">
            <v>63.96247565921778</v>
          </cell>
          <cell r="AA383">
            <v>63.96247565921778</v>
          </cell>
          <cell r="AB383">
            <v>63.96247565921778</v>
          </cell>
          <cell r="AC383">
            <v>63.96247565921778</v>
          </cell>
          <cell r="AD383">
            <v>63.96247565921778</v>
          </cell>
          <cell r="AE383">
            <v>63.96247565921778</v>
          </cell>
          <cell r="AF383">
            <v>63.96247565921778</v>
          </cell>
        </row>
        <row r="384">
          <cell r="A384" t="str">
            <v>Kentucky</v>
          </cell>
          <cell r="B384">
            <v>60.458256672914601</v>
          </cell>
          <cell r="C384">
            <v>60.645978195136905</v>
          </cell>
          <cell r="D384">
            <v>62.460633864057357</v>
          </cell>
          <cell r="E384">
            <v>63.391469529433103</v>
          </cell>
          <cell r="F384">
            <v>63.390368021691323</v>
          </cell>
          <cell r="G384">
            <v>63.578436246872684</v>
          </cell>
          <cell r="H384">
            <v>63.668337723045475</v>
          </cell>
          <cell r="I384">
            <v>63.794039112312781</v>
          </cell>
          <cell r="J384">
            <v>64.264794051448035</v>
          </cell>
          <cell r="K384">
            <v>64.019027268722041</v>
          </cell>
          <cell r="L384">
            <v>63.005005918068242</v>
          </cell>
          <cell r="M384">
            <v>63.033634218617323</v>
          </cell>
          <cell r="N384">
            <v>63.208460621972591</v>
          </cell>
          <cell r="O384">
            <v>64.830626475028723</v>
          </cell>
          <cell r="P384">
            <v>65.493572706637323</v>
          </cell>
          <cell r="Q384">
            <v>65.672059126988216</v>
          </cell>
          <cell r="R384">
            <v>66.425166494700591</v>
          </cell>
          <cell r="S384">
            <v>66.815653565387123</v>
          </cell>
          <cell r="T384">
            <v>66.815653565387123</v>
          </cell>
          <cell r="U384">
            <v>66.815653565387123</v>
          </cell>
          <cell r="V384">
            <v>66.815653565387123</v>
          </cell>
          <cell r="W384">
            <v>66.815653565387123</v>
          </cell>
          <cell r="X384">
            <v>66.815653565387123</v>
          </cell>
          <cell r="Y384">
            <v>66.815653565387123</v>
          </cell>
          <cell r="Z384">
            <v>66.815653565387123</v>
          </cell>
          <cell r="AA384">
            <v>66.815653565387123</v>
          </cell>
          <cell r="AB384">
            <v>66.815653565387123</v>
          </cell>
          <cell r="AC384">
            <v>66.815653565387123</v>
          </cell>
          <cell r="AD384">
            <v>66.815653565387123</v>
          </cell>
          <cell r="AE384">
            <v>66.815653565387123</v>
          </cell>
          <cell r="AF384">
            <v>66.815653565387123</v>
          </cell>
        </row>
        <row r="385">
          <cell r="A385" t="str">
            <v>Louisiana</v>
          </cell>
          <cell r="B385">
            <v>60.360375415253728</v>
          </cell>
          <cell r="C385">
            <v>60.547747987240996</v>
          </cell>
          <cell r="D385">
            <v>62.359069920571045</v>
          </cell>
          <cell r="E385">
            <v>63.288271248196949</v>
          </cell>
          <cell r="F385">
            <v>63.287187216196415</v>
          </cell>
          <cell r="G385">
            <v>63.47497855019818</v>
          </cell>
          <cell r="H385">
            <v>63.564692962086568</v>
          </cell>
          <cell r="I385">
            <v>63.690212768385877</v>
          </cell>
          <cell r="J385">
            <v>64.160108061451453</v>
          </cell>
          <cell r="K385">
            <v>63.914740214018124</v>
          </cell>
          <cell r="L385">
            <v>62.902529501639592</v>
          </cell>
          <cell r="M385">
            <v>62.931128658216437</v>
          </cell>
          <cell r="N385">
            <v>63.1056244181379</v>
          </cell>
          <cell r="O385">
            <v>64.724887993485453</v>
          </cell>
          <cell r="P385">
            <v>65.386577521323673</v>
          </cell>
          <cell r="Q385">
            <v>65.564730508500105</v>
          </cell>
          <cell r="R385">
            <v>66.316522498700465</v>
          </cell>
          <cell r="S385">
            <v>66.706343556947658</v>
          </cell>
          <cell r="T385">
            <v>66.706343556947658</v>
          </cell>
          <cell r="U385">
            <v>66.706343556947658</v>
          </cell>
          <cell r="V385">
            <v>66.706343556947658</v>
          </cell>
          <cell r="W385">
            <v>66.706343556947658</v>
          </cell>
          <cell r="X385">
            <v>66.706343556947658</v>
          </cell>
          <cell r="Y385">
            <v>66.706343556947658</v>
          </cell>
          <cell r="Z385">
            <v>66.706343556947658</v>
          </cell>
          <cell r="AA385">
            <v>66.706343556947658</v>
          </cell>
          <cell r="AB385">
            <v>66.706343556947658</v>
          </cell>
          <cell r="AC385">
            <v>66.706343556947658</v>
          </cell>
          <cell r="AD385">
            <v>66.706343556947658</v>
          </cell>
          <cell r="AE385">
            <v>66.706343556947658</v>
          </cell>
          <cell r="AF385">
            <v>66.706343556947658</v>
          </cell>
        </row>
        <row r="386">
          <cell r="A386" t="str">
            <v>Maine</v>
          </cell>
          <cell r="B386">
            <v>59.920155095864907</v>
          </cell>
          <cell r="C386">
            <v>60.105960592058302</v>
          </cell>
          <cell r="D386">
            <v>61.902309513656576</v>
          </cell>
          <cell r="E386">
            <v>62.824166993541319</v>
          </cell>
          <cell r="F386">
            <v>62.823160748144133</v>
          </cell>
          <cell r="G386">
            <v>63.009705341031719</v>
          </cell>
          <cell r="H386">
            <v>63.098580576534275</v>
          </cell>
          <cell r="I386">
            <v>63.223282582245233</v>
          </cell>
          <cell r="J386">
            <v>63.689316658006334</v>
          </cell>
          <cell r="K386">
            <v>63.445742965665033</v>
          </cell>
          <cell r="L386">
            <v>62.441666861846393</v>
          </cell>
          <cell r="M386">
            <v>62.47013405505502</v>
          </cell>
          <cell r="N386">
            <v>62.643145206642068</v>
          </cell>
          <cell r="O386">
            <v>64.249370061264514</v>
          </cell>
          <cell r="P386">
            <v>64.905417043757041</v>
          </cell>
          <cell r="Q386">
            <v>65.082072713811996</v>
          </cell>
          <cell r="R386">
            <v>65.827953765515716</v>
          </cell>
          <cell r="S386">
            <v>66.214781183676749</v>
          </cell>
          <cell r="T386">
            <v>66.214781183676749</v>
          </cell>
          <cell r="U386">
            <v>66.214781183676749</v>
          </cell>
          <cell r="V386">
            <v>66.214781183676749</v>
          </cell>
          <cell r="W386">
            <v>66.214781183676749</v>
          </cell>
          <cell r="X386">
            <v>66.214781183676749</v>
          </cell>
          <cell r="Y386">
            <v>66.214781183676749</v>
          </cell>
          <cell r="Z386">
            <v>66.214781183676749</v>
          </cell>
          <cell r="AA386">
            <v>66.214781183676749</v>
          </cell>
          <cell r="AB386">
            <v>66.214781183676749</v>
          </cell>
          <cell r="AC386">
            <v>66.214781183676749</v>
          </cell>
          <cell r="AD386">
            <v>66.214781183676749</v>
          </cell>
          <cell r="AE386">
            <v>66.214781183676749</v>
          </cell>
          <cell r="AF386">
            <v>66.214781183676749</v>
          </cell>
        </row>
        <row r="387">
          <cell r="A387" t="str">
            <v>Maryland</v>
          </cell>
          <cell r="B387">
            <v>59.920155095864928</v>
          </cell>
          <cell r="C387">
            <v>60.105960592058302</v>
          </cell>
          <cell r="D387">
            <v>61.90230951365659</v>
          </cell>
          <cell r="E387">
            <v>62.824166993541326</v>
          </cell>
          <cell r="F387">
            <v>62.82316074814414</v>
          </cell>
          <cell r="G387">
            <v>63.009705341031733</v>
          </cell>
          <cell r="H387">
            <v>63.098580576534282</v>
          </cell>
          <cell r="I387">
            <v>63.22328258224524</v>
          </cell>
          <cell r="J387">
            <v>63.689316658006341</v>
          </cell>
          <cell r="K387">
            <v>63.445742965665026</v>
          </cell>
          <cell r="L387">
            <v>62.441666861846372</v>
          </cell>
          <cell r="M387">
            <v>62.47013405505502</v>
          </cell>
          <cell r="N387">
            <v>62.64314520664206</v>
          </cell>
          <cell r="O387">
            <v>64.249370061264514</v>
          </cell>
          <cell r="P387">
            <v>64.905417043757041</v>
          </cell>
          <cell r="Q387">
            <v>65.082072713811996</v>
          </cell>
          <cell r="R387">
            <v>65.827953765515716</v>
          </cell>
          <cell r="S387">
            <v>66.214781183676763</v>
          </cell>
          <cell r="T387">
            <v>66.214781183676763</v>
          </cell>
          <cell r="U387">
            <v>66.214781183676763</v>
          </cell>
          <cell r="V387">
            <v>66.214781183676763</v>
          </cell>
          <cell r="W387">
            <v>66.214781183676763</v>
          </cell>
          <cell r="X387">
            <v>66.214781183676763</v>
          </cell>
          <cell r="Y387">
            <v>66.214781183676763</v>
          </cell>
          <cell r="Z387">
            <v>66.214781183676763</v>
          </cell>
          <cell r="AA387">
            <v>66.214781183676763</v>
          </cell>
          <cell r="AB387">
            <v>66.214781183676763</v>
          </cell>
          <cell r="AC387">
            <v>66.214781183676763</v>
          </cell>
          <cell r="AD387">
            <v>66.214781183676763</v>
          </cell>
          <cell r="AE387">
            <v>66.214781183676763</v>
          </cell>
          <cell r="AF387">
            <v>66.214781183676763</v>
          </cell>
        </row>
        <row r="388">
          <cell r="A388" t="str">
            <v>Massachusetts</v>
          </cell>
          <cell r="B388">
            <v>59.920155095864928</v>
          </cell>
          <cell r="C388">
            <v>60.105960592058302</v>
          </cell>
          <cell r="D388">
            <v>61.90230951365659</v>
          </cell>
          <cell r="E388">
            <v>62.824166993541319</v>
          </cell>
          <cell r="F388">
            <v>62.82316074814414</v>
          </cell>
          <cell r="G388">
            <v>63.00970534103174</v>
          </cell>
          <cell r="H388">
            <v>63.098580576534296</v>
          </cell>
          <cell r="I388">
            <v>63.22328258224524</v>
          </cell>
          <cell r="J388">
            <v>63.689316658006327</v>
          </cell>
          <cell r="K388">
            <v>63.445742965665005</v>
          </cell>
          <cell r="L388">
            <v>62.441666861846393</v>
          </cell>
          <cell r="M388">
            <v>62.470134055055013</v>
          </cell>
          <cell r="N388">
            <v>62.643145206642068</v>
          </cell>
          <cell r="O388">
            <v>64.249370061264486</v>
          </cell>
          <cell r="P388">
            <v>64.905417043757041</v>
          </cell>
          <cell r="Q388">
            <v>65.082072713811996</v>
          </cell>
          <cell r="R388">
            <v>65.827953765515716</v>
          </cell>
          <cell r="S388">
            <v>66.214781183676749</v>
          </cell>
          <cell r="T388">
            <v>66.214781183676749</v>
          </cell>
          <cell r="U388">
            <v>66.214781183676749</v>
          </cell>
          <cell r="V388">
            <v>66.214781183676749</v>
          </cell>
          <cell r="W388">
            <v>66.214781183676749</v>
          </cell>
          <cell r="X388">
            <v>66.214781183676749</v>
          </cell>
          <cell r="Y388">
            <v>66.214781183676749</v>
          </cell>
          <cell r="Z388">
            <v>66.214781183676749</v>
          </cell>
          <cell r="AA388">
            <v>66.214781183676749</v>
          </cell>
          <cell r="AB388">
            <v>66.214781183676749</v>
          </cell>
          <cell r="AC388">
            <v>66.214781183676749</v>
          </cell>
          <cell r="AD388">
            <v>66.214781183676749</v>
          </cell>
          <cell r="AE388">
            <v>66.214781183676749</v>
          </cell>
          <cell r="AF388">
            <v>66.214781183676749</v>
          </cell>
        </row>
        <row r="389">
          <cell r="A389" t="str">
            <v>Michigan</v>
          </cell>
          <cell r="B389">
            <v>59.930626782718981</v>
          </cell>
          <cell r="C389">
            <v>60.116469510502625</v>
          </cell>
          <cell r="D389">
            <v>61.913174204936965</v>
          </cell>
          <cell r="E389">
            <v>62.835206248368927</v>
          </cell>
          <cell r="F389">
            <v>62.834198168325514</v>
          </cell>
          <cell r="G389">
            <v>63.020772445504804</v>
          </cell>
          <cell r="H389">
            <v>63.109667601296223</v>
          </cell>
          <cell r="I389">
            <v>63.234389082265494</v>
          </cell>
          <cell r="J389">
            <v>63.700514908756666</v>
          </cell>
          <cell r="K389">
            <v>63.456898539212766</v>
          </cell>
          <cell r="L389">
            <v>62.452629103346418</v>
          </cell>
          <cell r="M389">
            <v>62.481099452823116</v>
          </cell>
          <cell r="N389">
            <v>62.654145871745506</v>
          </cell>
          <cell r="O389">
            <v>64.260680607317795</v>
          </cell>
          <cell r="P389">
            <v>64.9168616277571</v>
          </cell>
          <cell r="Q389">
            <v>65.093552870592006</v>
          </cell>
          <cell r="R389">
            <v>65.839574431911387</v>
          </cell>
          <cell r="S389">
            <v>66.226473027099274</v>
          </cell>
          <cell r="T389">
            <v>66.226473027099274</v>
          </cell>
          <cell r="U389">
            <v>66.226473027099274</v>
          </cell>
          <cell r="V389">
            <v>66.226473027099274</v>
          </cell>
          <cell r="W389">
            <v>66.226473027099274</v>
          </cell>
          <cell r="X389">
            <v>66.226473027099274</v>
          </cell>
          <cell r="Y389">
            <v>66.226473027099274</v>
          </cell>
          <cell r="Z389">
            <v>66.226473027099274</v>
          </cell>
          <cell r="AA389">
            <v>66.226473027099274</v>
          </cell>
          <cell r="AB389">
            <v>66.226473027099274</v>
          </cell>
          <cell r="AC389">
            <v>66.226473027099274</v>
          </cell>
          <cell r="AD389">
            <v>66.226473027099274</v>
          </cell>
          <cell r="AE389">
            <v>66.226473027099274</v>
          </cell>
          <cell r="AF389">
            <v>66.226473027099274</v>
          </cell>
        </row>
        <row r="390">
          <cell r="A390" t="str">
            <v>Minnesota</v>
          </cell>
          <cell r="B390">
            <v>59.930626782718981</v>
          </cell>
          <cell r="C390">
            <v>60.11646951050264</v>
          </cell>
          <cell r="D390">
            <v>61.913174204936972</v>
          </cell>
          <cell r="E390">
            <v>62.835206248368927</v>
          </cell>
          <cell r="F390">
            <v>62.834198168325521</v>
          </cell>
          <cell r="G390">
            <v>63.020772445504818</v>
          </cell>
          <cell r="H390">
            <v>63.109667601296223</v>
          </cell>
          <cell r="I390">
            <v>63.234389082265487</v>
          </cell>
          <cell r="J390">
            <v>63.700514908756702</v>
          </cell>
          <cell r="K390">
            <v>63.456898539212766</v>
          </cell>
          <cell r="L390">
            <v>62.452629103346418</v>
          </cell>
          <cell r="M390">
            <v>62.481099452823116</v>
          </cell>
          <cell r="N390">
            <v>62.654145871745484</v>
          </cell>
          <cell r="O390">
            <v>64.260680607317781</v>
          </cell>
          <cell r="P390">
            <v>64.916861627757086</v>
          </cell>
          <cell r="Q390">
            <v>65.093552870592006</v>
          </cell>
          <cell r="R390">
            <v>65.839574431911387</v>
          </cell>
          <cell r="S390">
            <v>66.226473027099289</v>
          </cell>
          <cell r="T390">
            <v>66.226473027099289</v>
          </cell>
          <cell r="U390">
            <v>66.226473027099289</v>
          </cell>
          <cell r="V390">
            <v>66.226473027099289</v>
          </cell>
          <cell r="W390">
            <v>66.226473027099289</v>
          </cell>
          <cell r="X390">
            <v>66.226473027099289</v>
          </cell>
          <cell r="Y390">
            <v>66.226473027099289</v>
          </cell>
          <cell r="Z390">
            <v>66.226473027099289</v>
          </cell>
          <cell r="AA390">
            <v>66.226473027099289</v>
          </cell>
          <cell r="AB390">
            <v>66.226473027099289</v>
          </cell>
          <cell r="AC390">
            <v>66.226473027099289</v>
          </cell>
          <cell r="AD390">
            <v>66.226473027099289</v>
          </cell>
          <cell r="AE390">
            <v>66.226473027099289</v>
          </cell>
          <cell r="AF390">
            <v>66.226473027099289</v>
          </cell>
        </row>
        <row r="391">
          <cell r="A391" t="str">
            <v>Mississippi</v>
          </cell>
          <cell r="B391">
            <v>60.458256672914601</v>
          </cell>
          <cell r="C391">
            <v>60.645978195136919</v>
          </cell>
          <cell r="D391">
            <v>62.46063386405735</v>
          </cell>
          <cell r="E391">
            <v>63.391469529433088</v>
          </cell>
          <cell r="F391">
            <v>63.39036802169133</v>
          </cell>
          <cell r="G391">
            <v>63.578436246872684</v>
          </cell>
          <cell r="H391">
            <v>63.668337723045482</v>
          </cell>
          <cell r="I391">
            <v>63.794039112312774</v>
          </cell>
          <cell r="J391">
            <v>64.264794051448021</v>
          </cell>
          <cell r="K391">
            <v>64.019027268722041</v>
          </cell>
          <cell r="L391">
            <v>63.00500591806825</v>
          </cell>
          <cell r="M391">
            <v>63.033634218617316</v>
          </cell>
          <cell r="N391">
            <v>63.208460621972591</v>
          </cell>
          <cell r="O391">
            <v>64.830626475028723</v>
          </cell>
          <cell r="P391">
            <v>65.493572706637309</v>
          </cell>
          <cell r="Q391">
            <v>65.672059126988231</v>
          </cell>
          <cell r="R391">
            <v>66.425166494700605</v>
          </cell>
          <cell r="S391">
            <v>66.815653565387152</v>
          </cell>
          <cell r="T391">
            <v>66.815653565387152</v>
          </cell>
          <cell r="U391">
            <v>66.815653565387152</v>
          </cell>
          <cell r="V391">
            <v>66.815653565387152</v>
          </cell>
          <cell r="W391">
            <v>66.815653565387152</v>
          </cell>
          <cell r="X391">
            <v>66.815653565387152</v>
          </cell>
          <cell r="Y391">
            <v>66.815653565387152</v>
          </cell>
          <cell r="Z391">
            <v>66.815653565387152</v>
          </cell>
          <cell r="AA391">
            <v>66.815653565387152</v>
          </cell>
          <cell r="AB391">
            <v>66.815653565387152</v>
          </cell>
          <cell r="AC391">
            <v>66.815653565387152</v>
          </cell>
          <cell r="AD391">
            <v>66.815653565387152</v>
          </cell>
          <cell r="AE391">
            <v>66.815653565387152</v>
          </cell>
          <cell r="AF391">
            <v>66.815653565387152</v>
          </cell>
        </row>
        <row r="392">
          <cell r="A392" t="str">
            <v>Missouri</v>
          </cell>
          <cell r="B392">
            <v>59.930626782718988</v>
          </cell>
          <cell r="C392">
            <v>60.116469510502618</v>
          </cell>
          <cell r="D392">
            <v>61.913174204936972</v>
          </cell>
          <cell r="E392">
            <v>62.835206248368941</v>
          </cell>
          <cell r="F392">
            <v>62.834198168325514</v>
          </cell>
          <cell r="G392">
            <v>63.020772445504797</v>
          </cell>
          <cell r="H392">
            <v>63.109667601296245</v>
          </cell>
          <cell r="I392">
            <v>63.234389082265494</v>
          </cell>
          <cell r="J392">
            <v>63.700514908756674</v>
          </cell>
          <cell r="K392">
            <v>63.456898539212752</v>
          </cell>
          <cell r="L392">
            <v>62.452629103346403</v>
          </cell>
          <cell r="M392">
            <v>62.481099452823116</v>
          </cell>
          <cell r="N392">
            <v>62.654145871745499</v>
          </cell>
          <cell r="O392">
            <v>64.260680607317767</v>
          </cell>
          <cell r="P392">
            <v>64.916861627757086</v>
          </cell>
          <cell r="Q392">
            <v>65.093552870592006</v>
          </cell>
          <cell r="R392">
            <v>65.839574431911402</v>
          </cell>
          <cell r="S392">
            <v>66.226473027099289</v>
          </cell>
          <cell r="T392">
            <v>66.226473027099289</v>
          </cell>
          <cell r="U392">
            <v>66.226473027099289</v>
          </cell>
          <cell r="V392">
            <v>66.226473027099289</v>
          </cell>
          <cell r="W392">
            <v>66.226473027099289</v>
          </cell>
          <cell r="X392">
            <v>66.226473027099289</v>
          </cell>
          <cell r="Y392">
            <v>66.226473027099289</v>
          </cell>
          <cell r="Z392">
            <v>66.226473027099289</v>
          </cell>
          <cell r="AA392">
            <v>66.226473027099289</v>
          </cell>
          <cell r="AB392">
            <v>66.226473027099289</v>
          </cell>
          <cell r="AC392">
            <v>66.226473027099289</v>
          </cell>
          <cell r="AD392">
            <v>66.226473027099289</v>
          </cell>
          <cell r="AE392">
            <v>66.226473027099289</v>
          </cell>
          <cell r="AF392">
            <v>66.226473027099289</v>
          </cell>
        </row>
        <row r="393">
          <cell r="A393" t="str">
            <v>Montana</v>
          </cell>
          <cell r="B393">
            <v>57.901997943394043</v>
          </cell>
          <cell r="C393">
            <v>58.080667865833412</v>
          </cell>
          <cell r="D393">
            <v>59.80880105230554</v>
          </cell>
          <cell r="E393">
            <v>60.697128536775232</v>
          </cell>
          <cell r="F393">
            <v>60.696461973277898</v>
          </cell>
          <cell r="G393">
            <v>60.877261218494105</v>
          </cell>
          <cell r="H393">
            <v>60.9623340881204</v>
          </cell>
          <cell r="I393">
            <v>61.083263299757171</v>
          </cell>
          <cell r="J393">
            <v>61.531701070367355</v>
          </cell>
          <cell r="K393">
            <v>61.296351424588913</v>
          </cell>
          <cell r="L393">
            <v>60.329385606915658</v>
          </cell>
          <cell r="M393">
            <v>60.357229267633748</v>
          </cell>
          <cell r="N393">
            <v>60.523485683506742</v>
          </cell>
          <cell r="O393">
            <v>62.070233185428876</v>
          </cell>
          <cell r="P393">
            <v>62.700610146758621</v>
          </cell>
          <cell r="Q393">
            <v>62.870449436528439</v>
          </cell>
          <cell r="R393">
            <v>63.589335885917045</v>
          </cell>
          <cell r="S393">
            <v>63.962475659217773</v>
          </cell>
          <cell r="T393">
            <v>63.962475659217773</v>
          </cell>
          <cell r="U393">
            <v>63.962475659217773</v>
          </cell>
          <cell r="V393">
            <v>63.962475659217773</v>
          </cell>
          <cell r="W393">
            <v>63.962475659217773</v>
          </cell>
          <cell r="X393">
            <v>63.962475659217773</v>
          </cell>
          <cell r="Y393">
            <v>63.962475659217773</v>
          </cell>
          <cell r="Z393">
            <v>63.962475659217773</v>
          </cell>
          <cell r="AA393">
            <v>63.962475659217773</v>
          </cell>
          <cell r="AB393">
            <v>63.962475659217773</v>
          </cell>
          <cell r="AC393">
            <v>63.962475659217773</v>
          </cell>
          <cell r="AD393">
            <v>63.962475659217773</v>
          </cell>
          <cell r="AE393">
            <v>63.962475659217773</v>
          </cell>
          <cell r="AF393">
            <v>63.962475659217773</v>
          </cell>
        </row>
        <row r="394">
          <cell r="A394" t="str">
            <v>Nebraska</v>
          </cell>
          <cell r="B394">
            <v>57.901997943394065</v>
          </cell>
          <cell r="C394">
            <v>58.080667865833419</v>
          </cell>
          <cell r="D394">
            <v>59.808801052305547</v>
          </cell>
          <cell r="E394">
            <v>60.697128536775232</v>
          </cell>
          <cell r="F394">
            <v>60.696461973277891</v>
          </cell>
          <cell r="G394">
            <v>60.877261218494091</v>
          </cell>
          <cell r="H394">
            <v>60.962334088120407</v>
          </cell>
          <cell r="I394">
            <v>61.083263299757164</v>
          </cell>
          <cell r="J394">
            <v>61.531701070367347</v>
          </cell>
          <cell r="K394">
            <v>61.296351424588906</v>
          </cell>
          <cell r="L394">
            <v>60.329385606915643</v>
          </cell>
          <cell r="M394">
            <v>60.357229267633763</v>
          </cell>
          <cell r="N394">
            <v>60.523485683506735</v>
          </cell>
          <cell r="O394">
            <v>62.070233185428883</v>
          </cell>
          <cell r="P394">
            <v>62.700610146758621</v>
          </cell>
          <cell r="Q394">
            <v>62.870449436528425</v>
          </cell>
          <cell r="R394">
            <v>63.589335885917038</v>
          </cell>
          <cell r="S394">
            <v>63.962475659217773</v>
          </cell>
          <cell r="T394">
            <v>63.962475659217773</v>
          </cell>
          <cell r="U394">
            <v>63.962475659217773</v>
          </cell>
          <cell r="V394">
            <v>63.962475659217773</v>
          </cell>
          <cell r="W394">
            <v>63.962475659217773</v>
          </cell>
          <cell r="X394">
            <v>63.962475659217773</v>
          </cell>
          <cell r="Y394">
            <v>63.962475659217773</v>
          </cell>
          <cell r="Z394">
            <v>63.962475659217773</v>
          </cell>
          <cell r="AA394">
            <v>63.962475659217773</v>
          </cell>
          <cell r="AB394">
            <v>63.962475659217773</v>
          </cell>
          <cell r="AC394">
            <v>63.962475659217773</v>
          </cell>
          <cell r="AD394">
            <v>63.962475659217773</v>
          </cell>
          <cell r="AE394">
            <v>63.962475659217773</v>
          </cell>
          <cell r="AF394">
            <v>63.962475659217773</v>
          </cell>
        </row>
        <row r="395">
          <cell r="A395" t="str">
            <v>Nevada</v>
          </cell>
          <cell r="B395">
            <v>69.963523257440954</v>
          </cell>
          <cell r="C395">
            <v>70.186045239387852</v>
          </cell>
          <cell r="D395">
            <v>72.33247330591108</v>
          </cell>
          <cell r="E395">
            <v>73.424603674258108</v>
          </cell>
          <cell r="F395">
            <v>73.421486640152921</v>
          </cell>
          <cell r="G395">
            <v>73.635883935775468</v>
          </cell>
          <cell r="H395">
            <v>73.744793738481775</v>
          </cell>
          <cell r="I395">
            <v>73.887683722975297</v>
          </cell>
          <cell r="J395">
            <v>74.443897642226176</v>
          </cell>
          <cell r="K395">
            <v>74.159369044506832</v>
          </cell>
          <cell r="L395">
            <v>72.966087722262841</v>
          </cell>
          <cell r="M395">
            <v>72.997197050870355</v>
          </cell>
          <cell r="N395">
            <v>73.2050982966596</v>
          </cell>
          <cell r="O395">
            <v>75.114706048223752</v>
          </cell>
          <cell r="P395">
            <v>75.903412859122497</v>
          </cell>
          <cell r="Q395">
            <v>76.115181398031254</v>
          </cell>
          <cell r="R395">
            <v>76.997975618110431</v>
          </cell>
          <cell r="S395">
            <v>77.453825565225287</v>
          </cell>
          <cell r="T395">
            <v>77.453825565225287</v>
          </cell>
          <cell r="U395">
            <v>77.453825565225287</v>
          </cell>
          <cell r="V395">
            <v>77.453825565225287</v>
          </cell>
          <cell r="W395">
            <v>77.453825565225287</v>
          </cell>
          <cell r="X395">
            <v>77.453825565225287</v>
          </cell>
          <cell r="Y395">
            <v>77.453825565225287</v>
          </cell>
          <cell r="Z395">
            <v>77.453825565225287</v>
          </cell>
          <cell r="AA395">
            <v>77.453825565225287</v>
          </cell>
          <cell r="AB395">
            <v>77.453825565225287</v>
          </cell>
          <cell r="AC395">
            <v>77.453825565225287</v>
          </cell>
          <cell r="AD395">
            <v>77.453825565225287</v>
          </cell>
          <cell r="AE395">
            <v>77.453825565225287</v>
          </cell>
          <cell r="AF395">
            <v>77.453825565225287</v>
          </cell>
        </row>
        <row r="396">
          <cell r="A396" t="str">
            <v>New Hampshire</v>
          </cell>
          <cell r="B396">
            <v>59.920155095864942</v>
          </cell>
          <cell r="C396">
            <v>60.105960592058302</v>
          </cell>
          <cell r="D396">
            <v>61.902309513656576</v>
          </cell>
          <cell r="E396">
            <v>62.824166993541326</v>
          </cell>
          <cell r="F396">
            <v>62.82316074814414</v>
          </cell>
          <cell r="G396">
            <v>63.009705341031733</v>
          </cell>
          <cell r="H396">
            <v>63.098580576534303</v>
          </cell>
          <cell r="I396">
            <v>63.22328258224524</v>
          </cell>
          <cell r="J396">
            <v>63.689316658006362</v>
          </cell>
          <cell r="K396">
            <v>63.445742965665033</v>
          </cell>
          <cell r="L396">
            <v>62.441666861846393</v>
          </cell>
          <cell r="M396">
            <v>62.47013405505502</v>
          </cell>
          <cell r="N396">
            <v>62.643145206642068</v>
          </cell>
          <cell r="O396">
            <v>64.249370061264486</v>
          </cell>
          <cell r="P396">
            <v>64.905417043757026</v>
          </cell>
          <cell r="Q396">
            <v>65.082072713811996</v>
          </cell>
          <cell r="R396">
            <v>65.82795376551573</v>
          </cell>
          <cell r="S396">
            <v>66.214781183676749</v>
          </cell>
          <cell r="T396">
            <v>66.214781183676749</v>
          </cell>
          <cell r="U396">
            <v>66.214781183676749</v>
          </cell>
          <cell r="V396">
            <v>66.214781183676749</v>
          </cell>
          <cell r="W396">
            <v>66.214781183676749</v>
          </cell>
          <cell r="X396">
            <v>66.214781183676749</v>
          </cell>
          <cell r="Y396">
            <v>66.214781183676749</v>
          </cell>
          <cell r="Z396">
            <v>66.214781183676749</v>
          </cell>
          <cell r="AA396">
            <v>66.214781183676749</v>
          </cell>
          <cell r="AB396">
            <v>66.214781183676749</v>
          </cell>
          <cell r="AC396">
            <v>66.214781183676749</v>
          </cell>
          <cell r="AD396">
            <v>66.214781183676749</v>
          </cell>
          <cell r="AE396">
            <v>66.214781183676749</v>
          </cell>
          <cell r="AF396">
            <v>66.214781183676749</v>
          </cell>
        </row>
        <row r="397">
          <cell r="A397" t="str">
            <v>New Jersey</v>
          </cell>
          <cell r="B397">
            <v>59.920155095864942</v>
          </cell>
          <cell r="C397">
            <v>60.105960592058302</v>
          </cell>
          <cell r="D397">
            <v>61.902309513656576</v>
          </cell>
          <cell r="E397">
            <v>62.824166993541326</v>
          </cell>
          <cell r="F397">
            <v>62.82316074814414</v>
          </cell>
          <cell r="G397">
            <v>63.009705341031733</v>
          </cell>
          <cell r="H397">
            <v>63.098580576534303</v>
          </cell>
          <cell r="I397">
            <v>63.223282582245247</v>
          </cell>
          <cell r="J397">
            <v>63.689316658006327</v>
          </cell>
          <cell r="K397">
            <v>63.445742965665033</v>
          </cell>
          <cell r="L397">
            <v>62.441666861846386</v>
          </cell>
          <cell r="M397">
            <v>62.47013405505502</v>
          </cell>
          <cell r="N397">
            <v>62.64314520664206</v>
          </cell>
          <cell r="O397">
            <v>64.249370061264486</v>
          </cell>
          <cell r="P397">
            <v>64.905417043757026</v>
          </cell>
          <cell r="Q397">
            <v>65.082072713811996</v>
          </cell>
          <cell r="R397">
            <v>65.827953765515716</v>
          </cell>
          <cell r="S397">
            <v>66.214781183676749</v>
          </cell>
          <cell r="T397">
            <v>66.214781183676749</v>
          </cell>
          <cell r="U397">
            <v>66.214781183676749</v>
          </cell>
          <cell r="V397">
            <v>66.214781183676749</v>
          </cell>
          <cell r="W397">
            <v>66.214781183676749</v>
          </cell>
          <cell r="X397">
            <v>66.214781183676749</v>
          </cell>
          <cell r="Y397">
            <v>66.214781183676749</v>
          </cell>
          <cell r="Z397">
            <v>66.214781183676749</v>
          </cell>
          <cell r="AA397">
            <v>66.214781183676749</v>
          </cell>
          <cell r="AB397">
            <v>66.214781183676749</v>
          </cell>
          <cell r="AC397">
            <v>66.214781183676749</v>
          </cell>
          <cell r="AD397">
            <v>66.214781183676749</v>
          </cell>
          <cell r="AE397">
            <v>66.214781183676749</v>
          </cell>
          <cell r="AF397">
            <v>66.214781183676749</v>
          </cell>
        </row>
        <row r="398">
          <cell r="A398" t="str">
            <v>New Mexico</v>
          </cell>
          <cell r="B398">
            <v>69.963523257440983</v>
          </cell>
          <cell r="C398">
            <v>70.186045239387838</v>
          </cell>
          <cell r="D398">
            <v>72.33247330591108</v>
          </cell>
          <cell r="E398">
            <v>73.424603674258094</v>
          </cell>
          <cell r="F398">
            <v>73.421486640152921</v>
          </cell>
          <cell r="G398">
            <v>73.635883935775468</v>
          </cell>
          <cell r="H398">
            <v>73.744793738481761</v>
          </cell>
          <cell r="I398">
            <v>73.887683722975311</v>
          </cell>
          <cell r="J398">
            <v>74.443897642226162</v>
          </cell>
          <cell r="K398">
            <v>74.15936904450686</v>
          </cell>
          <cell r="L398">
            <v>72.966087722262841</v>
          </cell>
          <cell r="M398">
            <v>72.997197050870369</v>
          </cell>
          <cell r="N398">
            <v>73.205098296659571</v>
          </cell>
          <cell r="O398">
            <v>75.114706048223752</v>
          </cell>
          <cell r="P398">
            <v>75.903412859122497</v>
          </cell>
          <cell r="Q398">
            <v>76.115181398031282</v>
          </cell>
          <cell r="R398">
            <v>76.997975618110402</v>
          </cell>
          <cell r="S398">
            <v>77.453825565225287</v>
          </cell>
          <cell r="T398">
            <v>77.453825565225287</v>
          </cell>
          <cell r="U398">
            <v>77.453825565225287</v>
          </cell>
          <cell r="V398">
            <v>77.453825565225287</v>
          </cell>
          <cell r="W398">
            <v>77.453825565225287</v>
          </cell>
          <cell r="X398">
            <v>77.453825565225287</v>
          </cell>
          <cell r="Y398">
            <v>77.453825565225287</v>
          </cell>
          <cell r="Z398">
            <v>77.453825565225287</v>
          </cell>
          <cell r="AA398">
            <v>77.453825565225287</v>
          </cell>
          <cell r="AB398">
            <v>77.453825565225287</v>
          </cell>
          <cell r="AC398">
            <v>77.453825565225287</v>
          </cell>
          <cell r="AD398">
            <v>77.453825565225287</v>
          </cell>
          <cell r="AE398">
            <v>77.453825565225287</v>
          </cell>
          <cell r="AF398">
            <v>77.453825565225287</v>
          </cell>
        </row>
        <row r="399">
          <cell r="A399" t="str">
            <v>New York</v>
          </cell>
          <cell r="B399">
            <v>59.920155095864928</v>
          </cell>
          <cell r="C399">
            <v>60.105960592058302</v>
          </cell>
          <cell r="D399">
            <v>61.902309513656597</v>
          </cell>
          <cell r="E399">
            <v>62.824166993541333</v>
          </cell>
          <cell r="F399">
            <v>62.823160748144147</v>
          </cell>
          <cell r="G399">
            <v>63.00970534103174</v>
          </cell>
          <cell r="H399">
            <v>63.098580576534289</v>
          </cell>
          <cell r="I399">
            <v>63.223282582245247</v>
          </cell>
          <cell r="J399">
            <v>63.689316658006327</v>
          </cell>
          <cell r="K399">
            <v>63.445742965665019</v>
          </cell>
          <cell r="L399">
            <v>62.441666861846393</v>
          </cell>
          <cell r="M399">
            <v>62.470134055055013</v>
          </cell>
          <cell r="N399">
            <v>62.643145206642068</v>
          </cell>
          <cell r="O399">
            <v>64.2493700612645</v>
          </cell>
          <cell r="P399">
            <v>64.905417043757026</v>
          </cell>
          <cell r="Q399">
            <v>65.082072713812011</v>
          </cell>
          <cell r="R399">
            <v>65.82795376551573</v>
          </cell>
          <cell r="S399">
            <v>66.214781183676735</v>
          </cell>
          <cell r="T399">
            <v>66.214781183676735</v>
          </cell>
          <cell r="U399">
            <v>66.214781183676735</v>
          </cell>
          <cell r="V399">
            <v>66.214781183676735</v>
          </cell>
          <cell r="W399">
            <v>66.214781183676735</v>
          </cell>
          <cell r="X399">
            <v>66.214781183676735</v>
          </cell>
          <cell r="Y399">
            <v>66.214781183676735</v>
          </cell>
          <cell r="Z399">
            <v>66.214781183676735</v>
          </cell>
          <cell r="AA399">
            <v>66.214781183676735</v>
          </cell>
          <cell r="AB399">
            <v>66.214781183676735</v>
          </cell>
          <cell r="AC399">
            <v>66.214781183676735</v>
          </cell>
          <cell r="AD399">
            <v>66.214781183676735</v>
          </cell>
          <cell r="AE399">
            <v>66.214781183676735</v>
          </cell>
          <cell r="AF399">
            <v>66.214781183676735</v>
          </cell>
        </row>
        <row r="400">
          <cell r="A400" t="str">
            <v>North Carolina</v>
          </cell>
          <cell r="B400">
            <v>60.458256672914594</v>
          </cell>
          <cell r="C400">
            <v>60.645978195136905</v>
          </cell>
          <cell r="D400">
            <v>62.460633864057371</v>
          </cell>
          <cell r="E400">
            <v>63.391469529433088</v>
          </cell>
          <cell r="F400">
            <v>63.39036802169133</v>
          </cell>
          <cell r="G400">
            <v>63.578436246872677</v>
          </cell>
          <cell r="H400">
            <v>63.668337723045482</v>
          </cell>
          <cell r="I400">
            <v>63.794039112312788</v>
          </cell>
          <cell r="J400">
            <v>64.264794051448021</v>
          </cell>
          <cell r="K400">
            <v>64.019027268722041</v>
          </cell>
          <cell r="L400">
            <v>63.00500591806825</v>
          </cell>
          <cell r="M400">
            <v>63.033634218617316</v>
          </cell>
          <cell r="N400">
            <v>63.208460621972591</v>
          </cell>
          <cell r="O400">
            <v>64.830626475028737</v>
          </cell>
          <cell r="P400">
            <v>65.493572706637309</v>
          </cell>
          <cell r="Q400">
            <v>65.672059126988202</v>
          </cell>
          <cell r="R400">
            <v>66.425166494700605</v>
          </cell>
          <cell r="S400">
            <v>66.815653565387123</v>
          </cell>
          <cell r="T400">
            <v>66.815653565387123</v>
          </cell>
          <cell r="U400">
            <v>66.815653565387123</v>
          </cell>
          <cell r="V400">
            <v>66.815653565387123</v>
          </cell>
          <cell r="W400">
            <v>66.815653565387123</v>
          </cell>
          <cell r="X400">
            <v>66.815653565387123</v>
          </cell>
          <cell r="Y400">
            <v>66.815653565387123</v>
          </cell>
          <cell r="Z400">
            <v>66.815653565387123</v>
          </cell>
          <cell r="AA400">
            <v>66.815653565387123</v>
          </cell>
          <cell r="AB400">
            <v>66.815653565387123</v>
          </cell>
          <cell r="AC400">
            <v>66.815653565387123</v>
          </cell>
          <cell r="AD400">
            <v>66.815653565387123</v>
          </cell>
          <cell r="AE400">
            <v>66.815653565387123</v>
          </cell>
          <cell r="AF400">
            <v>66.815653565387123</v>
          </cell>
        </row>
        <row r="401">
          <cell r="A401" t="str">
            <v>North Dakota</v>
          </cell>
          <cell r="B401">
            <v>57.901997943394051</v>
          </cell>
          <cell r="C401">
            <v>58.080667865833426</v>
          </cell>
          <cell r="D401">
            <v>59.80880105230554</v>
          </cell>
          <cell r="E401">
            <v>60.697128536775232</v>
          </cell>
          <cell r="F401">
            <v>60.696461973277884</v>
          </cell>
          <cell r="G401">
            <v>60.877261218494098</v>
          </cell>
          <cell r="H401">
            <v>60.962334088120393</v>
          </cell>
          <cell r="I401">
            <v>61.083263299757171</v>
          </cell>
          <cell r="J401">
            <v>61.531701070367355</v>
          </cell>
          <cell r="K401">
            <v>61.296351424588899</v>
          </cell>
          <cell r="L401">
            <v>60.329385606915629</v>
          </cell>
          <cell r="M401">
            <v>60.357229267633763</v>
          </cell>
          <cell r="N401">
            <v>60.523485683506735</v>
          </cell>
          <cell r="O401">
            <v>62.07023318542889</v>
          </cell>
          <cell r="P401">
            <v>62.700610146758628</v>
          </cell>
          <cell r="Q401">
            <v>62.870449436528432</v>
          </cell>
          <cell r="R401">
            <v>63.589335885917045</v>
          </cell>
          <cell r="S401">
            <v>63.962475659217787</v>
          </cell>
          <cell r="T401">
            <v>63.962475659217787</v>
          </cell>
          <cell r="U401">
            <v>63.962475659217787</v>
          </cell>
          <cell r="V401">
            <v>63.962475659217787</v>
          </cell>
          <cell r="W401">
            <v>63.962475659217787</v>
          </cell>
          <cell r="X401">
            <v>63.962475659217787</v>
          </cell>
          <cell r="Y401">
            <v>63.962475659217787</v>
          </cell>
          <cell r="Z401">
            <v>63.962475659217787</v>
          </cell>
          <cell r="AA401">
            <v>63.962475659217787</v>
          </cell>
          <cell r="AB401">
            <v>63.962475659217787</v>
          </cell>
          <cell r="AC401">
            <v>63.962475659217787</v>
          </cell>
          <cell r="AD401">
            <v>63.962475659217787</v>
          </cell>
          <cell r="AE401">
            <v>63.962475659217787</v>
          </cell>
          <cell r="AF401">
            <v>63.962475659217787</v>
          </cell>
        </row>
        <row r="402">
          <cell r="A402" t="str">
            <v>Ohio</v>
          </cell>
          <cell r="B402">
            <v>59.930626782718981</v>
          </cell>
          <cell r="C402">
            <v>60.11646951050264</v>
          </cell>
          <cell r="D402">
            <v>61.913174204936958</v>
          </cell>
          <cell r="E402">
            <v>62.835206248368927</v>
          </cell>
          <cell r="F402">
            <v>62.834198168325521</v>
          </cell>
          <cell r="G402">
            <v>63.020772445504804</v>
          </cell>
          <cell r="H402">
            <v>63.109667601296231</v>
          </cell>
          <cell r="I402">
            <v>63.234389082265473</v>
          </cell>
          <cell r="J402">
            <v>63.700514908756681</v>
          </cell>
          <cell r="K402">
            <v>63.456898539212759</v>
          </cell>
          <cell r="L402">
            <v>62.452629103346418</v>
          </cell>
          <cell r="M402">
            <v>62.481099452823116</v>
          </cell>
          <cell r="N402">
            <v>62.654145871745499</v>
          </cell>
          <cell r="O402">
            <v>64.260680607317795</v>
          </cell>
          <cell r="P402">
            <v>64.916861627757086</v>
          </cell>
          <cell r="Q402">
            <v>65.093552870592006</v>
          </cell>
          <cell r="R402">
            <v>65.839574431911402</v>
          </cell>
          <cell r="S402">
            <v>66.226473027099274</v>
          </cell>
          <cell r="T402">
            <v>66.226473027099274</v>
          </cell>
          <cell r="U402">
            <v>66.226473027099274</v>
          </cell>
          <cell r="V402">
            <v>66.226473027099274</v>
          </cell>
          <cell r="W402">
            <v>66.226473027099274</v>
          </cell>
          <cell r="X402">
            <v>66.226473027099274</v>
          </cell>
          <cell r="Y402">
            <v>66.226473027099274</v>
          </cell>
          <cell r="Z402">
            <v>66.226473027099274</v>
          </cell>
          <cell r="AA402">
            <v>66.226473027099274</v>
          </cell>
          <cell r="AB402">
            <v>66.226473027099274</v>
          </cell>
          <cell r="AC402">
            <v>66.226473027099274</v>
          </cell>
          <cell r="AD402">
            <v>66.226473027099274</v>
          </cell>
          <cell r="AE402">
            <v>66.226473027099274</v>
          </cell>
          <cell r="AF402">
            <v>66.226473027099274</v>
          </cell>
        </row>
        <row r="403">
          <cell r="A403" t="str">
            <v>Oklahoma</v>
          </cell>
          <cell r="B403">
            <v>60.360375415253735</v>
          </cell>
          <cell r="C403">
            <v>60.547747987240989</v>
          </cell>
          <cell r="D403">
            <v>62.359069920571031</v>
          </cell>
          <cell r="E403">
            <v>63.288271248196949</v>
          </cell>
          <cell r="F403">
            <v>63.287187216196415</v>
          </cell>
          <cell r="G403">
            <v>63.474978550198202</v>
          </cell>
          <cell r="H403">
            <v>63.564692962086568</v>
          </cell>
          <cell r="I403">
            <v>63.690212768385877</v>
          </cell>
          <cell r="J403">
            <v>64.160108061451453</v>
          </cell>
          <cell r="K403">
            <v>63.914740214018117</v>
          </cell>
          <cell r="L403">
            <v>62.902529501639584</v>
          </cell>
          <cell r="M403">
            <v>62.93112865821643</v>
          </cell>
          <cell r="N403">
            <v>63.105624418137907</v>
          </cell>
          <cell r="O403">
            <v>64.724887993485424</v>
          </cell>
          <cell r="P403">
            <v>65.386577521323687</v>
          </cell>
          <cell r="Q403">
            <v>65.564730508500105</v>
          </cell>
          <cell r="R403">
            <v>66.316522498700479</v>
          </cell>
          <cell r="S403">
            <v>66.706343556947658</v>
          </cell>
          <cell r="T403">
            <v>66.706343556947658</v>
          </cell>
          <cell r="U403">
            <v>66.706343556947658</v>
          </cell>
          <cell r="V403">
            <v>66.706343556947658</v>
          </cell>
          <cell r="W403">
            <v>66.706343556947658</v>
          </cell>
          <cell r="X403">
            <v>66.706343556947658</v>
          </cell>
          <cell r="Y403">
            <v>66.706343556947658</v>
          </cell>
          <cell r="Z403">
            <v>66.706343556947658</v>
          </cell>
          <cell r="AA403">
            <v>66.706343556947658</v>
          </cell>
          <cell r="AB403">
            <v>66.706343556947658</v>
          </cell>
          <cell r="AC403">
            <v>66.706343556947658</v>
          </cell>
          <cell r="AD403">
            <v>66.706343556947658</v>
          </cell>
          <cell r="AE403">
            <v>66.706343556947658</v>
          </cell>
          <cell r="AF403">
            <v>66.706343556947658</v>
          </cell>
        </row>
        <row r="404">
          <cell r="A404" t="str">
            <v>Oregon</v>
          </cell>
          <cell r="B404">
            <v>69.963523257440954</v>
          </cell>
          <cell r="C404">
            <v>70.186045239387838</v>
          </cell>
          <cell r="D404">
            <v>72.332473305911094</v>
          </cell>
          <cell r="E404">
            <v>73.424603674258094</v>
          </cell>
          <cell r="F404">
            <v>73.421486640152921</v>
          </cell>
          <cell r="G404">
            <v>73.635883935775468</v>
          </cell>
          <cell r="H404">
            <v>73.744793738481761</v>
          </cell>
          <cell r="I404">
            <v>73.887683722975297</v>
          </cell>
          <cell r="J404">
            <v>74.443897642226162</v>
          </cell>
          <cell r="K404">
            <v>74.159369044506846</v>
          </cell>
          <cell r="L404">
            <v>72.966087722262841</v>
          </cell>
          <cell r="M404">
            <v>72.997197050870355</v>
          </cell>
          <cell r="N404">
            <v>73.205098296659571</v>
          </cell>
          <cell r="O404">
            <v>75.11470604822378</v>
          </cell>
          <cell r="P404">
            <v>75.903412859122497</v>
          </cell>
          <cell r="Q404">
            <v>76.115181398031268</v>
          </cell>
          <cell r="R404">
            <v>76.997975618110388</v>
          </cell>
          <cell r="S404">
            <v>77.453825565225287</v>
          </cell>
          <cell r="T404">
            <v>77.453825565225287</v>
          </cell>
          <cell r="U404">
            <v>77.453825565225287</v>
          </cell>
          <cell r="V404">
            <v>77.453825565225287</v>
          </cell>
          <cell r="W404">
            <v>77.453825565225287</v>
          </cell>
          <cell r="X404">
            <v>77.453825565225287</v>
          </cell>
          <cell r="Y404">
            <v>77.453825565225287</v>
          </cell>
          <cell r="Z404">
            <v>77.453825565225287</v>
          </cell>
          <cell r="AA404">
            <v>77.453825565225287</v>
          </cell>
          <cell r="AB404">
            <v>77.453825565225287</v>
          </cell>
          <cell r="AC404">
            <v>77.453825565225287</v>
          </cell>
          <cell r="AD404">
            <v>77.453825565225287</v>
          </cell>
          <cell r="AE404">
            <v>77.453825565225287</v>
          </cell>
          <cell r="AF404">
            <v>77.453825565225287</v>
          </cell>
        </row>
        <row r="405">
          <cell r="A405" t="str">
            <v>Pennsylvania</v>
          </cell>
          <cell r="B405">
            <v>59.920155095864928</v>
          </cell>
          <cell r="C405">
            <v>60.105960592058302</v>
          </cell>
          <cell r="D405">
            <v>61.902309513656597</v>
          </cell>
          <cell r="E405">
            <v>62.824166993541333</v>
          </cell>
          <cell r="F405">
            <v>62.82316074814414</v>
          </cell>
          <cell r="G405">
            <v>63.009705341031747</v>
          </cell>
          <cell r="H405">
            <v>63.098580576534296</v>
          </cell>
          <cell r="I405">
            <v>63.223282582245247</v>
          </cell>
          <cell r="J405">
            <v>63.689316658006334</v>
          </cell>
          <cell r="K405">
            <v>63.445742965665026</v>
          </cell>
          <cell r="L405">
            <v>62.441666861846393</v>
          </cell>
          <cell r="M405">
            <v>62.470134055055006</v>
          </cell>
          <cell r="N405">
            <v>62.643145206642068</v>
          </cell>
          <cell r="O405">
            <v>64.2493700612645</v>
          </cell>
          <cell r="P405">
            <v>64.905417043757041</v>
          </cell>
          <cell r="Q405">
            <v>65.082072713811982</v>
          </cell>
          <cell r="R405">
            <v>65.827953765515716</v>
          </cell>
          <cell r="S405">
            <v>66.214781183676763</v>
          </cell>
          <cell r="T405">
            <v>66.214781183676763</v>
          </cell>
          <cell r="U405">
            <v>66.214781183676763</v>
          </cell>
          <cell r="V405">
            <v>66.214781183676763</v>
          </cell>
          <cell r="W405">
            <v>66.214781183676763</v>
          </cell>
          <cell r="X405">
            <v>66.214781183676763</v>
          </cell>
          <cell r="Y405">
            <v>66.214781183676763</v>
          </cell>
          <cell r="Z405">
            <v>66.214781183676763</v>
          </cell>
          <cell r="AA405">
            <v>66.214781183676763</v>
          </cell>
          <cell r="AB405">
            <v>66.214781183676763</v>
          </cell>
          <cell r="AC405">
            <v>66.214781183676763</v>
          </cell>
          <cell r="AD405">
            <v>66.214781183676763</v>
          </cell>
          <cell r="AE405">
            <v>66.214781183676763</v>
          </cell>
          <cell r="AF405">
            <v>66.214781183676763</v>
          </cell>
        </row>
        <row r="406">
          <cell r="A406" t="str">
            <v>Rhode Island</v>
          </cell>
          <cell r="B406">
            <v>59.920155095864907</v>
          </cell>
          <cell r="C406">
            <v>60.105960592058302</v>
          </cell>
          <cell r="D406">
            <v>61.902309513656604</v>
          </cell>
          <cell r="E406">
            <v>62.824166993541319</v>
          </cell>
          <cell r="F406">
            <v>62.82316074814414</v>
          </cell>
          <cell r="G406">
            <v>63.00970534103174</v>
          </cell>
          <cell r="H406">
            <v>63.098580576534303</v>
          </cell>
          <cell r="I406">
            <v>63.22328258224524</v>
          </cell>
          <cell r="J406">
            <v>63.689316658006348</v>
          </cell>
          <cell r="K406">
            <v>63.445742965665005</v>
          </cell>
          <cell r="L406">
            <v>62.441666861846379</v>
          </cell>
          <cell r="M406">
            <v>62.47013405505502</v>
          </cell>
          <cell r="N406">
            <v>62.643145206642053</v>
          </cell>
          <cell r="O406">
            <v>64.2493700612645</v>
          </cell>
          <cell r="P406">
            <v>64.905417043757041</v>
          </cell>
          <cell r="Q406">
            <v>65.082072713811996</v>
          </cell>
          <cell r="R406">
            <v>65.827953765515701</v>
          </cell>
          <cell r="S406">
            <v>66.214781183676749</v>
          </cell>
          <cell r="T406">
            <v>66.214781183676749</v>
          </cell>
          <cell r="U406">
            <v>66.214781183676749</v>
          </cell>
          <cell r="V406">
            <v>66.214781183676749</v>
          </cell>
          <cell r="W406">
            <v>66.214781183676749</v>
          </cell>
          <cell r="X406">
            <v>66.214781183676749</v>
          </cell>
          <cell r="Y406">
            <v>66.214781183676749</v>
          </cell>
          <cell r="Z406">
            <v>66.214781183676749</v>
          </cell>
          <cell r="AA406">
            <v>66.214781183676749</v>
          </cell>
          <cell r="AB406">
            <v>66.214781183676749</v>
          </cell>
          <cell r="AC406">
            <v>66.214781183676749</v>
          </cell>
          <cell r="AD406">
            <v>66.214781183676749</v>
          </cell>
          <cell r="AE406">
            <v>66.214781183676749</v>
          </cell>
          <cell r="AF406">
            <v>66.214781183676749</v>
          </cell>
        </row>
        <row r="407">
          <cell r="A407" t="str">
            <v>South Carolina</v>
          </cell>
          <cell r="B407">
            <v>60.458256672914601</v>
          </cell>
          <cell r="C407">
            <v>60.645978195136919</v>
          </cell>
          <cell r="D407">
            <v>62.460633864057336</v>
          </cell>
          <cell r="E407">
            <v>63.391469529433088</v>
          </cell>
          <cell r="F407">
            <v>63.390368021691323</v>
          </cell>
          <cell r="G407">
            <v>63.57843624687267</v>
          </cell>
          <cell r="H407">
            <v>63.668337723045482</v>
          </cell>
          <cell r="I407">
            <v>63.794039112312788</v>
          </cell>
          <cell r="J407">
            <v>64.264794051448021</v>
          </cell>
          <cell r="K407">
            <v>64.019027268722041</v>
          </cell>
          <cell r="L407">
            <v>63.00500591806825</v>
          </cell>
          <cell r="M407">
            <v>63.033634218617323</v>
          </cell>
          <cell r="N407">
            <v>63.208460621972591</v>
          </cell>
          <cell r="O407">
            <v>64.830626475028723</v>
          </cell>
          <cell r="P407">
            <v>65.493572706637323</v>
          </cell>
          <cell r="Q407">
            <v>65.672059126988188</v>
          </cell>
          <cell r="R407">
            <v>66.425166494700605</v>
          </cell>
          <cell r="S407">
            <v>66.815653565387137</v>
          </cell>
          <cell r="T407">
            <v>66.815653565387137</v>
          </cell>
          <cell r="U407">
            <v>66.815653565387137</v>
          </cell>
          <cell r="V407">
            <v>66.815653565387137</v>
          </cell>
          <cell r="W407">
            <v>66.815653565387137</v>
          </cell>
          <cell r="X407">
            <v>66.815653565387137</v>
          </cell>
          <cell r="Y407">
            <v>66.815653565387137</v>
          </cell>
          <cell r="Z407">
            <v>66.815653565387137</v>
          </cell>
          <cell r="AA407">
            <v>66.815653565387137</v>
          </cell>
          <cell r="AB407">
            <v>66.815653565387137</v>
          </cell>
          <cell r="AC407">
            <v>66.815653565387137</v>
          </cell>
          <cell r="AD407">
            <v>66.815653565387137</v>
          </cell>
          <cell r="AE407">
            <v>66.815653565387137</v>
          </cell>
          <cell r="AF407">
            <v>66.815653565387137</v>
          </cell>
        </row>
        <row r="408">
          <cell r="A408" t="str">
            <v>South Dakota</v>
          </cell>
          <cell r="B408">
            <v>57.901997943394058</v>
          </cell>
          <cell r="C408">
            <v>58.080667865833426</v>
          </cell>
          <cell r="D408">
            <v>59.808801052305519</v>
          </cell>
          <cell r="E408">
            <v>60.697128536775239</v>
          </cell>
          <cell r="F408">
            <v>60.696461973277891</v>
          </cell>
          <cell r="G408">
            <v>60.877261218494077</v>
          </cell>
          <cell r="H408">
            <v>60.9623340881204</v>
          </cell>
          <cell r="I408">
            <v>61.083263299757171</v>
          </cell>
          <cell r="J408">
            <v>61.53170107036734</v>
          </cell>
          <cell r="K408">
            <v>61.296351424588899</v>
          </cell>
          <cell r="L408">
            <v>60.32938560691565</v>
          </cell>
          <cell r="M408">
            <v>60.357229267633763</v>
          </cell>
          <cell r="N408">
            <v>60.523485683506742</v>
          </cell>
          <cell r="O408">
            <v>62.07023318542889</v>
          </cell>
          <cell r="P408">
            <v>62.700610146758621</v>
          </cell>
          <cell r="Q408">
            <v>62.870449436528446</v>
          </cell>
          <cell r="R408">
            <v>63.589335885917038</v>
          </cell>
          <cell r="S408">
            <v>63.962475659217787</v>
          </cell>
          <cell r="T408">
            <v>63.962475659217787</v>
          </cell>
          <cell r="U408">
            <v>63.962475659217787</v>
          </cell>
          <cell r="V408">
            <v>63.962475659217787</v>
          </cell>
          <cell r="W408">
            <v>63.962475659217787</v>
          </cell>
          <cell r="X408">
            <v>63.962475659217787</v>
          </cell>
          <cell r="Y408">
            <v>63.962475659217787</v>
          </cell>
          <cell r="Z408">
            <v>63.962475659217787</v>
          </cell>
          <cell r="AA408">
            <v>63.962475659217787</v>
          </cell>
          <cell r="AB408">
            <v>63.962475659217787</v>
          </cell>
          <cell r="AC408">
            <v>63.962475659217787</v>
          </cell>
          <cell r="AD408">
            <v>63.962475659217787</v>
          </cell>
          <cell r="AE408">
            <v>63.962475659217787</v>
          </cell>
          <cell r="AF408">
            <v>63.962475659217787</v>
          </cell>
        </row>
        <row r="409">
          <cell r="A409" t="str">
            <v>Tennessee</v>
          </cell>
          <cell r="B409">
            <v>60.458256672914594</v>
          </cell>
          <cell r="C409">
            <v>60.645978195136927</v>
          </cell>
          <cell r="D409">
            <v>62.460633864057336</v>
          </cell>
          <cell r="E409">
            <v>63.391469529433088</v>
          </cell>
          <cell r="F409">
            <v>63.390368021691337</v>
          </cell>
          <cell r="G409">
            <v>63.57843624687267</v>
          </cell>
          <cell r="H409">
            <v>63.668337723045468</v>
          </cell>
          <cell r="I409">
            <v>63.794039112312781</v>
          </cell>
          <cell r="J409">
            <v>64.264794051448035</v>
          </cell>
          <cell r="K409">
            <v>64.019027268722041</v>
          </cell>
          <cell r="L409">
            <v>63.005005918068242</v>
          </cell>
          <cell r="M409">
            <v>63.033634218617316</v>
          </cell>
          <cell r="N409">
            <v>63.208460621972577</v>
          </cell>
          <cell r="O409">
            <v>64.830626475028723</v>
          </cell>
          <cell r="P409">
            <v>65.493572706637337</v>
          </cell>
          <cell r="Q409">
            <v>65.672059126988202</v>
          </cell>
          <cell r="R409">
            <v>66.425166494700591</v>
          </cell>
          <cell r="S409">
            <v>66.815653565387137</v>
          </cell>
          <cell r="T409">
            <v>66.815653565387137</v>
          </cell>
          <cell r="U409">
            <v>66.815653565387137</v>
          </cell>
          <cell r="V409">
            <v>66.815653565387137</v>
          </cell>
          <cell r="W409">
            <v>66.815653565387137</v>
          </cell>
          <cell r="X409">
            <v>66.815653565387137</v>
          </cell>
          <cell r="Y409">
            <v>66.815653565387137</v>
          </cell>
          <cell r="Z409">
            <v>66.815653565387137</v>
          </cell>
          <cell r="AA409">
            <v>66.815653565387137</v>
          </cell>
          <cell r="AB409">
            <v>66.815653565387137</v>
          </cell>
          <cell r="AC409">
            <v>66.815653565387137</v>
          </cell>
          <cell r="AD409">
            <v>66.815653565387137</v>
          </cell>
          <cell r="AE409">
            <v>66.815653565387137</v>
          </cell>
          <cell r="AF409">
            <v>66.815653565387137</v>
          </cell>
        </row>
        <row r="410">
          <cell r="A410" t="str">
            <v>Texas</v>
          </cell>
          <cell r="B410">
            <v>60.360375415253735</v>
          </cell>
          <cell r="C410">
            <v>60.547747987241003</v>
          </cell>
          <cell r="D410">
            <v>62.359069920571038</v>
          </cell>
          <cell r="E410">
            <v>63.288271248196949</v>
          </cell>
          <cell r="F410">
            <v>63.287187216196415</v>
          </cell>
          <cell r="G410">
            <v>63.474978550198195</v>
          </cell>
          <cell r="H410">
            <v>63.564692962086575</v>
          </cell>
          <cell r="I410">
            <v>63.690212768385884</v>
          </cell>
          <cell r="J410">
            <v>64.160108061451481</v>
          </cell>
          <cell r="K410">
            <v>63.914740214018131</v>
          </cell>
          <cell r="L410">
            <v>62.902529501639577</v>
          </cell>
          <cell r="M410">
            <v>62.931128658216423</v>
          </cell>
          <cell r="N410">
            <v>63.1056244181379</v>
          </cell>
          <cell r="O410">
            <v>64.724887993485424</v>
          </cell>
          <cell r="P410">
            <v>65.386577521323687</v>
          </cell>
          <cell r="Q410">
            <v>65.564730508500119</v>
          </cell>
          <cell r="R410">
            <v>66.316522498700465</v>
          </cell>
          <cell r="S410">
            <v>66.706343556947672</v>
          </cell>
          <cell r="T410">
            <v>66.706343556947672</v>
          </cell>
          <cell r="U410">
            <v>66.706343556947672</v>
          </cell>
          <cell r="V410">
            <v>66.706343556947672</v>
          </cell>
          <cell r="W410">
            <v>66.706343556947672</v>
          </cell>
          <cell r="X410">
            <v>66.706343556947672</v>
          </cell>
          <cell r="Y410">
            <v>66.706343556947672</v>
          </cell>
          <cell r="Z410">
            <v>66.706343556947672</v>
          </cell>
          <cell r="AA410">
            <v>66.706343556947672</v>
          </cell>
          <cell r="AB410">
            <v>66.706343556947672</v>
          </cell>
          <cell r="AC410">
            <v>66.706343556947672</v>
          </cell>
          <cell r="AD410">
            <v>66.706343556947672</v>
          </cell>
          <cell r="AE410">
            <v>66.706343556947672</v>
          </cell>
          <cell r="AF410">
            <v>66.706343556947672</v>
          </cell>
        </row>
        <row r="411">
          <cell r="A411" t="str">
            <v>Utah</v>
          </cell>
          <cell r="B411">
            <v>69.96352325744094</v>
          </cell>
          <cell r="C411">
            <v>70.186045239387866</v>
          </cell>
          <cell r="D411">
            <v>72.332473305911094</v>
          </cell>
          <cell r="E411">
            <v>73.424603674258094</v>
          </cell>
          <cell r="F411">
            <v>73.421486640152921</v>
          </cell>
          <cell r="G411">
            <v>73.635883935775468</v>
          </cell>
          <cell r="H411">
            <v>73.744793738481746</v>
          </cell>
          <cell r="I411">
            <v>73.887683722975282</v>
          </cell>
          <cell r="J411">
            <v>74.443897642226162</v>
          </cell>
          <cell r="K411">
            <v>74.159369044506832</v>
          </cell>
          <cell r="L411">
            <v>72.966087722262841</v>
          </cell>
          <cell r="M411">
            <v>72.997197050870355</v>
          </cell>
          <cell r="N411">
            <v>73.205098296659557</v>
          </cell>
          <cell r="O411">
            <v>75.114706048223738</v>
          </cell>
          <cell r="P411">
            <v>75.903412859122497</v>
          </cell>
          <cell r="Q411">
            <v>76.115181398031254</v>
          </cell>
          <cell r="R411">
            <v>76.997975618110416</v>
          </cell>
          <cell r="S411">
            <v>77.453825565225287</v>
          </cell>
          <cell r="T411">
            <v>77.453825565225287</v>
          </cell>
          <cell r="U411">
            <v>77.453825565225287</v>
          </cell>
          <cell r="V411">
            <v>77.453825565225287</v>
          </cell>
          <cell r="W411">
            <v>77.453825565225287</v>
          </cell>
          <cell r="X411">
            <v>77.453825565225287</v>
          </cell>
          <cell r="Y411">
            <v>77.453825565225287</v>
          </cell>
          <cell r="Z411">
            <v>77.453825565225287</v>
          </cell>
          <cell r="AA411">
            <v>77.453825565225287</v>
          </cell>
          <cell r="AB411">
            <v>77.453825565225287</v>
          </cell>
          <cell r="AC411">
            <v>77.453825565225287</v>
          </cell>
          <cell r="AD411">
            <v>77.453825565225287</v>
          </cell>
          <cell r="AE411">
            <v>77.453825565225287</v>
          </cell>
          <cell r="AF411">
            <v>77.453825565225287</v>
          </cell>
        </row>
        <row r="412">
          <cell r="A412" t="str">
            <v>Vermont</v>
          </cell>
          <cell r="B412">
            <v>59.920155095864928</v>
          </cell>
          <cell r="C412">
            <v>60.105960592058302</v>
          </cell>
          <cell r="D412">
            <v>61.90230951365659</v>
          </cell>
          <cell r="E412">
            <v>62.824166993541319</v>
          </cell>
          <cell r="F412">
            <v>62.82316074814414</v>
          </cell>
          <cell r="G412">
            <v>63.009705341031747</v>
          </cell>
          <cell r="H412">
            <v>63.098580576534303</v>
          </cell>
          <cell r="I412">
            <v>63.223282582245233</v>
          </cell>
          <cell r="J412">
            <v>63.689316658006334</v>
          </cell>
          <cell r="K412">
            <v>63.445742965665033</v>
          </cell>
          <cell r="L412">
            <v>62.441666861846393</v>
          </cell>
          <cell r="M412">
            <v>62.470134055055013</v>
          </cell>
          <cell r="N412">
            <v>62.643145206642068</v>
          </cell>
          <cell r="O412">
            <v>64.2493700612645</v>
          </cell>
          <cell r="P412">
            <v>64.905417043757041</v>
          </cell>
          <cell r="Q412">
            <v>65.082072713811996</v>
          </cell>
          <cell r="R412">
            <v>65.827953765515716</v>
          </cell>
          <cell r="S412">
            <v>66.214781183676749</v>
          </cell>
          <cell r="T412">
            <v>66.214781183676749</v>
          </cell>
          <cell r="U412">
            <v>66.214781183676749</v>
          </cell>
          <cell r="V412">
            <v>66.214781183676749</v>
          </cell>
          <cell r="W412">
            <v>66.214781183676749</v>
          </cell>
          <cell r="X412">
            <v>66.214781183676749</v>
          </cell>
          <cell r="Y412">
            <v>66.214781183676749</v>
          </cell>
          <cell r="Z412">
            <v>66.214781183676749</v>
          </cell>
          <cell r="AA412">
            <v>66.214781183676749</v>
          </cell>
          <cell r="AB412">
            <v>66.214781183676749</v>
          </cell>
          <cell r="AC412">
            <v>66.214781183676749</v>
          </cell>
          <cell r="AD412">
            <v>66.214781183676749</v>
          </cell>
          <cell r="AE412">
            <v>66.214781183676749</v>
          </cell>
          <cell r="AF412">
            <v>66.214781183676749</v>
          </cell>
        </row>
        <row r="413">
          <cell r="A413" t="str">
            <v>Virginia</v>
          </cell>
          <cell r="B413">
            <v>60.458256672914608</v>
          </cell>
          <cell r="C413">
            <v>60.645978195136905</v>
          </cell>
          <cell r="D413">
            <v>62.46063386405735</v>
          </cell>
          <cell r="E413">
            <v>63.391469529433088</v>
          </cell>
          <cell r="F413">
            <v>63.390368021691351</v>
          </cell>
          <cell r="G413">
            <v>63.578436246872677</v>
          </cell>
          <cell r="H413">
            <v>63.668337723045482</v>
          </cell>
          <cell r="I413">
            <v>63.794039112312788</v>
          </cell>
          <cell r="J413">
            <v>64.26479405144805</v>
          </cell>
          <cell r="K413">
            <v>64.019027268722041</v>
          </cell>
          <cell r="L413">
            <v>63.005005918068242</v>
          </cell>
          <cell r="M413">
            <v>63.033634218617323</v>
          </cell>
          <cell r="N413">
            <v>63.208460621972584</v>
          </cell>
          <cell r="O413">
            <v>64.830626475028737</v>
          </cell>
          <cell r="P413">
            <v>65.493572706637323</v>
          </cell>
          <cell r="Q413">
            <v>65.672059126988216</v>
          </cell>
          <cell r="R413">
            <v>66.425166494700591</v>
          </cell>
          <cell r="S413">
            <v>66.815653565387152</v>
          </cell>
          <cell r="T413">
            <v>66.815653565387152</v>
          </cell>
          <cell r="U413">
            <v>66.815653565387152</v>
          </cell>
          <cell r="V413">
            <v>66.815653565387152</v>
          </cell>
          <cell r="W413">
            <v>66.815653565387152</v>
          </cell>
          <cell r="X413">
            <v>66.815653565387152</v>
          </cell>
          <cell r="Y413">
            <v>66.815653565387152</v>
          </cell>
          <cell r="Z413">
            <v>66.815653565387152</v>
          </cell>
          <cell r="AA413">
            <v>66.815653565387152</v>
          </cell>
          <cell r="AB413">
            <v>66.815653565387152</v>
          </cell>
          <cell r="AC413">
            <v>66.815653565387152</v>
          </cell>
          <cell r="AD413">
            <v>66.815653565387152</v>
          </cell>
          <cell r="AE413">
            <v>66.815653565387152</v>
          </cell>
          <cell r="AF413">
            <v>66.815653565387152</v>
          </cell>
        </row>
        <row r="414">
          <cell r="A414" t="str">
            <v>Washington</v>
          </cell>
          <cell r="B414">
            <v>69.963523257440954</v>
          </cell>
          <cell r="C414">
            <v>70.186045239387852</v>
          </cell>
          <cell r="D414">
            <v>72.332473305911094</v>
          </cell>
          <cell r="E414">
            <v>73.424603674258094</v>
          </cell>
          <cell r="F414">
            <v>73.421486640152935</v>
          </cell>
          <cell r="G414">
            <v>73.635883935775453</v>
          </cell>
          <cell r="H414">
            <v>73.744793738481775</v>
          </cell>
          <cell r="I414">
            <v>73.887683722975311</v>
          </cell>
          <cell r="J414">
            <v>74.443897642226162</v>
          </cell>
          <cell r="K414">
            <v>74.159369044506846</v>
          </cell>
          <cell r="L414">
            <v>72.966087722262856</v>
          </cell>
          <cell r="M414">
            <v>72.997197050870369</v>
          </cell>
          <cell r="N414">
            <v>73.205098296659571</v>
          </cell>
          <cell r="O414">
            <v>75.114706048223738</v>
          </cell>
          <cell r="P414">
            <v>75.903412859122497</v>
          </cell>
          <cell r="Q414">
            <v>76.115181398031268</v>
          </cell>
          <cell r="R414">
            <v>76.997975618110416</v>
          </cell>
          <cell r="S414">
            <v>77.453825565225287</v>
          </cell>
          <cell r="T414">
            <v>77.453825565225287</v>
          </cell>
          <cell r="U414">
            <v>77.453825565225287</v>
          </cell>
          <cell r="V414">
            <v>77.453825565225287</v>
          </cell>
          <cell r="W414">
            <v>77.453825565225287</v>
          </cell>
          <cell r="X414">
            <v>77.453825565225287</v>
          </cell>
          <cell r="Y414">
            <v>77.453825565225287</v>
          </cell>
          <cell r="Z414">
            <v>77.453825565225287</v>
          </cell>
          <cell r="AA414">
            <v>77.453825565225287</v>
          </cell>
          <cell r="AB414">
            <v>77.453825565225287</v>
          </cell>
          <cell r="AC414">
            <v>77.453825565225287</v>
          </cell>
          <cell r="AD414">
            <v>77.453825565225287</v>
          </cell>
          <cell r="AE414">
            <v>77.453825565225287</v>
          </cell>
          <cell r="AF414">
            <v>77.453825565225287</v>
          </cell>
        </row>
        <row r="415">
          <cell r="A415" t="str">
            <v>West Virginia</v>
          </cell>
          <cell r="B415">
            <v>59.920155095864935</v>
          </cell>
          <cell r="C415">
            <v>60.10596059205831</v>
          </cell>
          <cell r="D415">
            <v>61.90230951365659</v>
          </cell>
          <cell r="E415">
            <v>62.824166993541333</v>
          </cell>
          <cell r="F415">
            <v>62.823160748144126</v>
          </cell>
          <cell r="G415">
            <v>63.009705341031747</v>
          </cell>
          <cell r="H415">
            <v>63.098580576534296</v>
          </cell>
          <cell r="I415">
            <v>63.223282582245247</v>
          </cell>
          <cell r="J415">
            <v>63.689316658006348</v>
          </cell>
          <cell r="K415">
            <v>63.445742965665012</v>
          </cell>
          <cell r="L415">
            <v>62.441666861846386</v>
          </cell>
          <cell r="M415">
            <v>62.47013405505502</v>
          </cell>
          <cell r="N415">
            <v>62.643145206642068</v>
          </cell>
          <cell r="O415">
            <v>64.249370061264514</v>
          </cell>
          <cell r="P415">
            <v>64.905417043757041</v>
          </cell>
          <cell r="Q415">
            <v>65.082072713812011</v>
          </cell>
          <cell r="R415">
            <v>65.827953765515716</v>
          </cell>
          <cell r="S415">
            <v>66.214781183676735</v>
          </cell>
          <cell r="T415">
            <v>66.214781183676735</v>
          </cell>
          <cell r="U415">
            <v>66.214781183676735</v>
          </cell>
          <cell r="V415">
            <v>66.214781183676735</v>
          </cell>
          <cell r="W415">
            <v>66.214781183676735</v>
          </cell>
          <cell r="X415">
            <v>66.214781183676735</v>
          </cell>
          <cell r="Y415">
            <v>66.214781183676735</v>
          </cell>
          <cell r="Z415">
            <v>66.214781183676735</v>
          </cell>
          <cell r="AA415">
            <v>66.214781183676735</v>
          </cell>
          <cell r="AB415">
            <v>66.214781183676735</v>
          </cell>
          <cell r="AC415">
            <v>66.214781183676735</v>
          </cell>
          <cell r="AD415">
            <v>66.214781183676735</v>
          </cell>
          <cell r="AE415">
            <v>66.214781183676735</v>
          </cell>
          <cell r="AF415">
            <v>66.214781183676735</v>
          </cell>
        </row>
        <row r="416">
          <cell r="A416" t="str">
            <v>Wisconsin</v>
          </cell>
          <cell r="B416">
            <v>59.930626782718981</v>
          </cell>
          <cell r="C416">
            <v>60.116469510502625</v>
          </cell>
          <cell r="D416">
            <v>61.913174204936972</v>
          </cell>
          <cell r="E416">
            <v>62.835206248368927</v>
          </cell>
          <cell r="F416">
            <v>62.8341981683255</v>
          </cell>
          <cell r="G416">
            <v>63.020772445504825</v>
          </cell>
          <cell r="H416">
            <v>63.109667601296223</v>
          </cell>
          <cell r="I416">
            <v>63.23438908226548</v>
          </cell>
          <cell r="J416">
            <v>63.700514908756674</v>
          </cell>
          <cell r="K416">
            <v>63.456898539212752</v>
          </cell>
          <cell r="L416">
            <v>62.452629103346389</v>
          </cell>
          <cell r="M416">
            <v>62.481099452823116</v>
          </cell>
          <cell r="N416">
            <v>62.654145871745506</v>
          </cell>
          <cell r="O416">
            <v>64.260680607317795</v>
          </cell>
          <cell r="P416">
            <v>64.916861627757086</v>
          </cell>
          <cell r="Q416">
            <v>65.093552870592006</v>
          </cell>
          <cell r="R416">
            <v>65.839574431911402</v>
          </cell>
          <cell r="S416">
            <v>66.226473027099289</v>
          </cell>
          <cell r="T416">
            <v>66.226473027099289</v>
          </cell>
          <cell r="U416">
            <v>66.226473027099289</v>
          </cell>
          <cell r="V416">
            <v>66.226473027099289</v>
          </cell>
          <cell r="W416">
            <v>66.226473027099289</v>
          </cell>
          <cell r="X416">
            <v>66.226473027099289</v>
          </cell>
          <cell r="Y416">
            <v>66.226473027099289</v>
          </cell>
          <cell r="Z416">
            <v>66.226473027099289</v>
          </cell>
          <cell r="AA416">
            <v>66.226473027099289</v>
          </cell>
          <cell r="AB416">
            <v>66.226473027099289</v>
          </cell>
          <cell r="AC416">
            <v>66.226473027099289</v>
          </cell>
          <cell r="AD416">
            <v>66.226473027099289</v>
          </cell>
          <cell r="AE416">
            <v>66.226473027099289</v>
          </cell>
          <cell r="AF416">
            <v>66.226473027099289</v>
          </cell>
        </row>
        <row r="417">
          <cell r="A417" t="str">
            <v>Wyoming</v>
          </cell>
          <cell r="B417">
            <v>57.901997943394058</v>
          </cell>
          <cell r="C417">
            <v>58.080667865833419</v>
          </cell>
          <cell r="D417">
            <v>59.808801052305533</v>
          </cell>
          <cell r="E417">
            <v>60.697128536775224</v>
          </cell>
          <cell r="F417">
            <v>60.696461973277884</v>
          </cell>
          <cell r="G417">
            <v>60.877261218494084</v>
          </cell>
          <cell r="H417">
            <v>60.962334088120393</v>
          </cell>
          <cell r="I417">
            <v>61.083263299757171</v>
          </cell>
          <cell r="J417">
            <v>61.531701070367355</v>
          </cell>
          <cell r="K417">
            <v>61.296351424588899</v>
          </cell>
          <cell r="L417">
            <v>60.329385606915643</v>
          </cell>
          <cell r="M417">
            <v>60.357229267633755</v>
          </cell>
          <cell r="N417">
            <v>60.523485683506735</v>
          </cell>
          <cell r="O417">
            <v>62.07023318542889</v>
          </cell>
          <cell r="P417">
            <v>62.700610146758635</v>
          </cell>
          <cell r="Q417">
            <v>62.870449436528439</v>
          </cell>
          <cell r="R417">
            <v>63.589335885917031</v>
          </cell>
          <cell r="S417">
            <v>63.96247565921778</v>
          </cell>
          <cell r="T417">
            <v>63.96247565921778</v>
          </cell>
          <cell r="U417">
            <v>63.96247565921778</v>
          </cell>
          <cell r="V417">
            <v>63.96247565921778</v>
          </cell>
          <cell r="W417">
            <v>63.96247565921778</v>
          </cell>
          <cell r="X417">
            <v>63.96247565921778</v>
          </cell>
          <cell r="Y417">
            <v>63.96247565921778</v>
          </cell>
          <cell r="Z417">
            <v>63.96247565921778</v>
          </cell>
          <cell r="AA417">
            <v>63.96247565921778</v>
          </cell>
          <cell r="AB417">
            <v>63.96247565921778</v>
          </cell>
          <cell r="AC417">
            <v>63.96247565921778</v>
          </cell>
          <cell r="AD417">
            <v>63.96247565921778</v>
          </cell>
          <cell r="AE417">
            <v>63.96247565921778</v>
          </cell>
          <cell r="AF417">
            <v>63.96247565921778</v>
          </cell>
        </row>
        <row r="419">
          <cell r="A419" t="str">
            <v>Steer Stockers</v>
          </cell>
          <cell r="B419">
            <v>1990</v>
          </cell>
          <cell r="C419">
            <v>1991</v>
          </cell>
          <cell r="D419">
            <v>1992</v>
          </cell>
          <cell r="E419">
            <v>1993</v>
          </cell>
          <cell r="F419">
            <v>1994</v>
          </cell>
          <cell r="G419">
            <v>1995</v>
          </cell>
          <cell r="H419">
            <v>1996</v>
          </cell>
          <cell r="I419">
            <v>1997</v>
          </cell>
          <cell r="J419">
            <v>1998</v>
          </cell>
          <cell r="K419">
            <v>1999</v>
          </cell>
          <cell r="L419">
            <v>2000</v>
          </cell>
          <cell r="M419">
            <v>2001</v>
          </cell>
          <cell r="N419">
            <v>2002</v>
          </cell>
          <cell r="O419">
            <v>2003</v>
          </cell>
          <cell r="P419">
            <v>2004</v>
          </cell>
          <cell r="Q419">
            <v>2005</v>
          </cell>
          <cell r="R419">
            <v>2006</v>
          </cell>
          <cell r="S419">
            <v>2007</v>
          </cell>
          <cell r="T419">
            <v>2008</v>
          </cell>
          <cell r="U419">
            <v>2009</v>
          </cell>
          <cell r="V419">
            <v>2010</v>
          </cell>
          <cell r="W419">
            <v>2011</v>
          </cell>
          <cell r="X419">
            <v>2012</v>
          </cell>
          <cell r="Y419">
            <v>2013</v>
          </cell>
          <cell r="Z419">
            <v>2014</v>
          </cell>
          <cell r="AA419">
            <v>2015</v>
          </cell>
          <cell r="AB419">
            <v>2016</v>
          </cell>
          <cell r="AC419">
            <v>2017</v>
          </cell>
          <cell r="AD419">
            <v>2018</v>
          </cell>
          <cell r="AE419">
            <v>2019</v>
          </cell>
          <cell r="AF419">
            <v>2020</v>
          </cell>
        </row>
        <row r="420">
          <cell r="A420" t="str">
            <v>Alabama</v>
          </cell>
          <cell r="B420">
            <v>54.814882026281254</v>
          </cell>
          <cell r="C420">
            <v>55.252015635355207</v>
          </cell>
          <cell r="D420">
            <v>55.65256616033691</v>
          </cell>
          <cell r="E420">
            <v>55.958444708474168</v>
          </cell>
          <cell r="F420">
            <v>56.174258975316235</v>
          </cell>
          <cell r="G420">
            <v>56.723272686129953</v>
          </cell>
          <cell r="H420">
            <v>56.783572742321802</v>
          </cell>
          <cell r="I420">
            <v>57.291987582370048</v>
          </cell>
          <cell r="J420">
            <v>57.541642257572967</v>
          </cell>
          <cell r="K420">
            <v>57.987425878275928</v>
          </cell>
          <cell r="L420">
            <v>58.59626125386589</v>
          </cell>
          <cell r="M420">
            <v>58.359905401690227</v>
          </cell>
          <cell r="N420">
            <v>58.508356325523607</v>
          </cell>
          <cell r="O420">
            <v>58.316725669054655</v>
          </cell>
          <cell r="P420">
            <v>57.831478483596811</v>
          </cell>
          <cell r="Q420">
            <v>58.005532461288325</v>
          </cell>
          <cell r="R420">
            <v>57.844191326477841</v>
          </cell>
          <cell r="S420">
            <v>57.846745539579736</v>
          </cell>
          <cell r="T420">
            <v>57.846745539579736</v>
          </cell>
          <cell r="U420">
            <v>57.846745539579736</v>
          </cell>
          <cell r="V420">
            <v>57.846745539579736</v>
          </cell>
          <cell r="W420">
            <v>57.846745539579736</v>
          </cell>
          <cell r="X420">
            <v>57.846745539579736</v>
          </cell>
          <cell r="Y420">
            <v>57.846745539579736</v>
          </cell>
          <cell r="Z420">
            <v>57.846745539579736</v>
          </cell>
          <cell r="AA420">
            <v>57.846745539579736</v>
          </cell>
          <cell r="AB420">
            <v>57.846745539579736</v>
          </cell>
          <cell r="AC420">
            <v>57.846745539579736</v>
          </cell>
          <cell r="AD420">
            <v>57.846745539579736</v>
          </cell>
          <cell r="AE420">
            <v>57.846745539579736</v>
          </cell>
          <cell r="AF420">
            <v>57.846745539579736</v>
          </cell>
        </row>
        <row r="421">
          <cell r="A421" t="str">
            <v>Alaska</v>
          </cell>
          <cell r="B421">
            <v>63.672137248327545</v>
          </cell>
          <cell r="C421">
            <v>64.1955166107048</v>
          </cell>
          <cell r="D421">
            <v>64.619217628523444</v>
          </cell>
          <cell r="E421">
            <v>64.967613032761591</v>
          </cell>
          <cell r="F421">
            <v>65.231560922994461</v>
          </cell>
          <cell r="G421">
            <v>65.852566208522163</v>
          </cell>
          <cell r="H421">
            <v>65.913160319727098</v>
          </cell>
          <cell r="I421">
            <v>66.541564870289477</v>
          </cell>
          <cell r="J421">
            <v>66.84568038362616</v>
          </cell>
          <cell r="K421">
            <v>67.40835661394226</v>
          </cell>
          <cell r="L421">
            <v>68.186111118062882</v>
          </cell>
          <cell r="M421">
            <v>67.878296444958522</v>
          </cell>
          <cell r="N421">
            <v>68.06014622316242</v>
          </cell>
          <cell r="O421">
            <v>67.848630788923714</v>
          </cell>
          <cell r="P421">
            <v>67.245971883300498</v>
          </cell>
          <cell r="Q421">
            <v>67.459052415629245</v>
          </cell>
          <cell r="R421">
            <v>67.239675652591657</v>
          </cell>
          <cell r="S421">
            <v>67.241173228743605</v>
          </cell>
          <cell r="T421">
            <v>67.241173228743605</v>
          </cell>
          <cell r="U421">
            <v>67.241173228743605</v>
          </cell>
          <cell r="V421">
            <v>67.241173228743605</v>
          </cell>
          <cell r="W421">
            <v>67.241173228743605</v>
          </cell>
          <cell r="X421">
            <v>67.241173228743605</v>
          </cell>
          <cell r="Y421">
            <v>67.241173228743605</v>
          </cell>
          <cell r="Z421">
            <v>67.241173228743605</v>
          </cell>
          <cell r="AA421">
            <v>67.241173228743605</v>
          </cell>
          <cell r="AB421">
            <v>67.241173228743605</v>
          </cell>
          <cell r="AC421">
            <v>67.241173228743605</v>
          </cell>
          <cell r="AD421">
            <v>67.241173228743605</v>
          </cell>
          <cell r="AE421">
            <v>67.241173228743605</v>
          </cell>
          <cell r="AF421">
            <v>67.241173228743605</v>
          </cell>
        </row>
        <row r="422">
          <cell r="A422" t="str">
            <v>Arizona</v>
          </cell>
          <cell r="B422">
            <v>63.672137248327545</v>
          </cell>
          <cell r="C422">
            <v>64.1955166107048</v>
          </cell>
          <cell r="D422">
            <v>64.619217628523444</v>
          </cell>
          <cell r="E422">
            <v>64.967613032761577</v>
          </cell>
          <cell r="F422">
            <v>65.231560922994461</v>
          </cell>
          <cell r="G422">
            <v>65.852566208522148</v>
          </cell>
          <cell r="H422">
            <v>65.913160319727069</v>
          </cell>
          <cell r="I422">
            <v>66.541564870289477</v>
          </cell>
          <cell r="J422">
            <v>66.845680383626146</v>
          </cell>
          <cell r="K422">
            <v>67.408356613942246</v>
          </cell>
          <cell r="L422">
            <v>68.186111118062882</v>
          </cell>
          <cell r="M422">
            <v>67.878296444958522</v>
          </cell>
          <cell r="N422">
            <v>68.060146223162405</v>
          </cell>
          <cell r="O422">
            <v>67.848630788923714</v>
          </cell>
          <cell r="P422">
            <v>67.245971883300513</v>
          </cell>
          <cell r="Q422">
            <v>67.45905241562923</v>
          </cell>
          <cell r="R422">
            <v>67.239675652591643</v>
          </cell>
          <cell r="S422">
            <v>67.241173228743619</v>
          </cell>
          <cell r="T422">
            <v>67.241173228743619</v>
          </cell>
          <cell r="U422">
            <v>67.241173228743619</v>
          </cell>
          <cell r="V422">
            <v>67.241173228743619</v>
          </cell>
          <cell r="W422">
            <v>67.241173228743619</v>
          </cell>
          <cell r="X422">
            <v>67.241173228743619</v>
          </cell>
          <cell r="Y422">
            <v>67.241173228743619</v>
          </cell>
          <cell r="Z422">
            <v>67.241173228743619</v>
          </cell>
          <cell r="AA422">
            <v>67.241173228743619</v>
          </cell>
          <cell r="AB422">
            <v>67.241173228743619</v>
          </cell>
          <cell r="AC422">
            <v>67.241173228743619</v>
          </cell>
          <cell r="AD422">
            <v>67.241173228743619</v>
          </cell>
          <cell r="AE422">
            <v>67.241173228743619</v>
          </cell>
          <cell r="AF422">
            <v>67.241173228743619</v>
          </cell>
        </row>
        <row r="423">
          <cell r="A423" t="str">
            <v>Arkansas</v>
          </cell>
          <cell r="B423">
            <v>54.724099559575237</v>
          </cell>
          <cell r="C423">
            <v>55.160376229940461</v>
          </cell>
          <cell r="D423">
            <v>55.560617475328279</v>
          </cell>
          <cell r="E423">
            <v>55.866048282117774</v>
          </cell>
          <cell r="F423">
            <v>56.081392170253181</v>
          </cell>
          <cell r="G423">
            <v>56.629639044837397</v>
          </cell>
          <cell r="H423">
            <v>56.689919721647776</v>
          </cell>
          <cell r="I423">
            <v>57.197170256995136</v>
          </cell>
          <cell r="J423">
            <v>57.446291190572893</v>
          </cell>
          <cell r="K423">
            <v>57.890954413604319</v>
          </cell>
          <cell r="L423">
            <v>58.498180619989867</v>
          </cell>
          <cell r="M423">
            <v>58.262499570182818</v>
          </cell>
          <cell r="N423">
            <v>58.410624471845431</v>
          </cell>
          <cell r="O423">
            <v>58.219216813449059</v>
          </cell>
          <cell r="P423">
            <v>57.735105490972103</v>
          </cell>
          <cell r="Q423">
            <v>57.908778346964276</v>
          </cell>
          <cell r="R423">
            <v>57.747976688288944</v>
          </cell>
          <cell r="S423">
            <v>57.750539186636964</v>
          </cell>
          <cell r="T423">
            <v>57.750539186636964</v>
          </cell>
          <cell r="U423">
            <v>57.750539186636964</v>
          </cell>
          <cell r="V423">
            <v>57.750539186636964</v>
          </cell>
          <cell r="W423">
            <v>57.750539186636964</v>
          </cell>
          <cell r="X423">
            <v>57.750539186636964</v>
          </cell>
          <cell r="Y423">
            <v>57.750539186636964</v>
          </cell>
          <cell r="Z423">
            <v>57.750539186636964</v>
          </cell>
          <cell r="AA423">
            <v>57.750539186636964</v>
          </cell>
          <cell r="AB423">
            <v>57.750539186636964</v>
          </cell>
          <cell r="AC423">
            <v>57.750539186636964</v>
          </cell>
          <cell r="AD423">
            <v>57.750539186636964</v>
          </cell>
          <cell r="AE423">
            <v>57.750539186636964</v>
          </cell>
          <cell r="AF423">
            <v>57.750539186636964</v>
          </cell>
        </row>
        <row r="424">
          <cell r="A424" t="str">
            <v>California</v>
          </cell>
          <cell r="B424">
            <v>54.072634784599174</v>
          </cell>
          <cell r="C424">
            <v>54.502777915459504</v>
          </cell>
          <cell r="D424">
            <v>54.900757276517737</v>
          </cell>
          <cell r="E424">
            <v>55.202967987005778</v>
          </cell>
          <cell r="F424">
            <v>55.414949931426868</v>
          </cell>
          <cell r="G424">
            <v>55.957676828532442</v>
          </cell>
          <cell r="H424">
            <v>56.01780878540162</v>
          </cell>
          <cell r="I424">
            <v>56.516742790569211</v>
          </cell>
          <cell r="J424">
            <v>56.762047958765585</v>
          </cell>
          <cell r="K424">
            <v>57.198716906401629</v>
          </cell>
          <cell r="L424">
            <v>57.794467588611148</v>
          </cell>
          <cell r="M424">
            <v>57.563595015356924</v>
          </cell>
          <cell r="N424">
            <v>57.709389959255908</v>
          </cell>
          <cell r="O424">
            <v>57.519593875641029</v>
          </cell>
          <cell r="P424">
            <v>57.043593792038834</v>
          </cell>
          <cell r="Q424">
            <v>57.214542812587673</v>
          </cell>
          <cell r="R424">
            <v>57.057579844580417</v>
          </cell>
          <cell r="S424">
            <v>57.060200297996403</v>
          </cell>
          <cell r="T424">
            <v>57.060200297996403</v>
          </cell>
          <cell r="U424">
            <v>57.060200297996403</v>
          </cell>
          <cell r="V424">
            <v>57.060200297996403</v>
          </cell>
          <cell r="W424">
            <v>57.060200297996403</v>
          </cell>
          <cell r="X424">
            <v>57.060200297996403</v>
          </cell>
          <cell r="Y424">
            <v>57.060200297996403</v>
          </cell>
          <cell r="Z424">
            <v>57.060200297996403</v>
          </cell>
          <cell r="AA424">
            <v>57.060200297996403</v>
          </cell>
          <cell r="AB424">
            <v>57.060200297996403</v>
          </cell>
          <cell r="AC424">
            <v>57.060200297996403</v>
          </cell>
          <cell r="AD424">
            <v>57.060200297996403</v>
          </cell>
          <cell r="AE424">
            <v>57.060200297996403</v>
          </cell>
          <cell r="AF424">
            <v>57.060200297996403</v>
          </cell>
        </row>
        <row r="425">
          <cell r="A425" t="str">
            <v>Colorado</v>
          </cell>
          <cell r="B425">
            <v>52.446800259021352</v>
          </cell>
          <cell r="C425">
            <v>52.861758110576844</v>
          </cell>
          <cell r="D425">
            <v>53.253767835950434</v>
          </cell>
          <cell r="E425">
            <v>53.547888315731555</v>
          </cell>
          <cell r="F425">
            <v>53.751583582268836</v>
          </cell>
          <cell r="G425">
            <v>54.280403879356335</v>
          </cell>
          <cell r="H425">
            <v>54.340090867176471</v>
          </cell>
          <cell r="I425">
            <v>54.818565208364767</v>
          </cell>
          <cell r="J425">
            <v>55.054457825100449</v>
          </cell>
          <cell r="K425">
            <v>55.471526208279137</v>
          </cell>
          <cell r="L425">
            <v>56.039188910163659</v>
          </cell>
          <cell r="M425">
            <v>55.820056792636819</v>
          </cell>
          <cell r="N425">
            <v>55.960110471459544</v>
          </cell>
          <cell r="O425">
            <v>55.774422880233189</v>
          </cell>
          <cell r="P425">
            <v>55.318361018655096</v>
          </cell>
          <cell r="Q425">
            <v>55.482597433435856</v>
          </cell>
          <cell r="R425">
            <v>55.334964835538628</v>
          </cell>
          <cell r="S425">
            <v>55.337718447239929</v>
          </cell>
          <cell r="T425">
            <v>55.337718447239929</v>
          </cell>
          <cell r="U425">
            <v>55.337718447239929</v>
          </cell>
          <cell r="V425">
            <v>55.337718447239929</v>
          </cell>
          <cell r="W425">
            <v>55.337718447239929</v>
          </cell>
          <cell r="X425">
            <v>55.337718447239929</v>
          </cell>
          <cell r="Y425">
            <v>55.337718447239929</v>
          </cell>
          <cell r="Z425">
            <v>55.337718447239929</v>
          </cell>
          <cell r="AA425">
            <v>55.337718447239929</v>
          </cell>
          <cell r="AB425">
            <v>55.337718447239929</v>
          </cell>
          <cell r="AC425">
            <v>55.337718447239929</v>
          </cell>
          <cell r="AD425">
            <v>55.337718447239929</v>
          </cell>
          <cell r="AE425">
            <v>55.337718447239929</v>
          </cell>
          <cell r="AF425">
            <v>55.337718447239929</v>
          </cell>
        </row>
        <row r="426">
          <cell r="A426" t="str">
            <v>Connecticut</v>
          </cell>
          <cell r="B426">
            <v>54.315911246285829</v>
          </cell>
          <cell r="C426">
            <v>54.748341547015059</v>
          </cell>
          <cell r="D426">
            <v>55.147174291197388</v>
          </cell>
          <cell r="E426">
            <v>55.450588932478702</v>
          </cell>
          <cell r="F426">
            <v>55.663823543296324</v>
          </cell>
          <cell r="G426">
            <v>56.208615275713925</v>
          </cell>
          <cell r="H426">
            <v>56.268804752907663</v>
          </cell>
          <cell r="I426">
            <v>56.770836455903627</v>
          </cell>
          <cell r="J426">
            <v>57.01756358073726</v>
          </cell>
          <cell r="K426">
            <v>57.457208412162331</v>
          </cell>
          <cell r="L426">
            <v>58.057229589484585</v>
          </cell>
          <cell r="M426">
            <v>57.824568371221552</v>
          </cell>
          <cell r="N426">
            <v>57.971231415296515</v>
          </cell>
          <cell r="O426">
            <v>57.780831195269599</v>
          </cell>
          <cell r="P426">
            <v>57.301810320459197</v>
          </cell>
          <cell r="Q426">
            <v>57.473774213962777</v>
          </cell>
          <cell r="R426">
            <v>57.315384474713269</v>
          </cell>
          <cell r="S426">
            <v>57.317983594449814</v>
          </cell>
          <cell r="T426">
            <v>57.317983594449814</v>
          </cell>
          <cell r="U426">
            <v>57.317983594449814</v>
          </cell>
          <cell r="V426">
            <v>57.317983594449814</v>
          </cell>
          <cell r="W426">
            <v>57.317983594449814</v>
          </cell>
          <cell r="X426">
            <v>57.317983594449814</v>
          </cell>
          <cell r="Y426">
            <v>57.317983594449814</v>
          </cell>
          <cell r="Z426">
            <v>57.317983594449814</v>
          </cell>
          <cell r="AA426">
            <v>57.317983594449814</v>
          </cell>
          <cell r="AB426">
            <v>57.317983594449814</v>
          </cell>
          <cell r="AC426">
            <v>57.317983594449814</v>
          </cell>
          <cell r="AD426">
            <v>57.317983594449814</v>
          </cell>
          <cell r="AE426">
            <v>57.317983594449814</v>
          </cell>
          <cell r="AF426">
            <v>57.317983594449814</v>
          </cell>
        </row>
        <row r="427">
          <cell r="A427" t="str">
            <v>Delaware</v>
          </cell>
          <cell r="B427">
            <v>54.31591124628585</v>
          </cell>
          <cell r="C427">
            <v>54.74834154701508</v>
          </cell>
          <cell r="D427">
            <v>55.147174291197381</v>
          </cell>
          <cell r="E427">
            <v>55.450588932478716</v>
          </cell>
          <cell r="F427">
            <v>55.663823543296338</v>
          </cell>
          <cell r="G427">
            <v>56.208615275713925</v>
          </cell>
          <cell r="H427">
            <v>56.268804752907663</v>
          </cell>
          <cell r="I427">
            <v>56.770836455903613</v>
          </cell>
          <cell r="J427">
            <v>57.017563580737253</v>
          </cell>
          <cell r="K427">
            <v>57.457208412162359</v>
          </cell>
          <cell r="L427">
            <v>58.057229589484578</v>
          </cell>
          <cell r="M427">
            <v>57.824568371221552</v>
          </cell>
          <cell r="N427">
            <v>57.971231415296515</v>
          </cell>
          <cell r="O427">
            <v>57.780831195269599</v>
          </cell>
          <cell r="P427">
            <v>57.301810320459204</v>
          </cell>
          <cell r="Q427">
            <v>57.47377421396277</v>
          </cell>
          <cell r="R427">
            <v>57.315384474713248</v>
          </cell>
          <cell r="S427">
            <v>57.317983594449807</v>
          </cell>
          <cell r="T427">
            <v>57.317983594449807</v>
          </cell>
          <cell r="U427">
            <v>57.317983594449807</v>
          </cell>
          <cell r="V427">
            <v>57.317983594449807</v>
          </cell>
          <cell r="W427">
            <v>57.317983594449807</v>
          </cell>
          <cell r="X427">
            <v>57.317983594449807</v>
          </cell>
          <cell r="Y427">
            <v>57.317983594449807</v>
          </cell>
          <cell r="Z427">
            <v>57.317983594449807</v>
          </cell>
          <cell r="AA427">
            <v>57.317983594449807</v>
          </cell>
          <cell r="AB427">
            <v>57.317983594449807</v>
          </cell>
          <cell r="AC427">
            <v>57.317983594449807</v>
          </cell>
          <cell r="AD427">
            <v>57.317983594449807</v>
          </cell>
          <cell r="AE427">
            <v>57.317983594449807</v>
          </cell>
          <cell r="AF427">
            <v>57.317983594449807</v>
          </cell>
        </row>
        <row r="428">
          <cell r="A428" t="str">
            <v>Florida</v>
          </cell>
          <cell r="B428">
            <v>54.814882026281246</v>
          </cell>
          <cell r="C428">
            <v>55.252015635355221</v>
          </cell>
          <cell r="D428">
            <v>55.652566160336924</v>
          </cell>
          <cell r="E428">
            <v>55.958444708474154</v>
          </cell>
          <cell r="F428">
            <v>56.174258975316228</v>
          </cell>
          <cell r="G428">
            <v>56.72327268612996</v>
          </cell>
          <cell r="H428">
            <v>56.783572742321816</v>
          </cell>
          <cell r="I428">
            <v>57.291987582370048</v>
          </cell>
          <cell r="J428">
            <v>57.541642257572981</v>
          </cell>
          <cell r="K428">
            <v>57.987425878275928</v>
          </cell>
          <cell r="L428">
            <v>58.596261253865883</v>
          </cell>
          <cell r="M428">
            <v>58.359905401690234</v>
          </cell>
          <cell r="N428">
            <v>58.5083563255236</v>
          </cell>
          <cell r="O428">
            <v>58.316725669054662</v>
          </cell>
          <cell r="P428">
            <v>57.831478483596811</v>
          </cell>
          <cell r="Q428">
            <v>58.005532461288333</v>
          </cell>
          <cell r="R428">
            <v>57.844191326477841</v>
          </cell>
          <cell r="S428">
            <v>57.846745539579771</v>
          </cell>
          <cell r="T428">
            <v>57.846745539579771</v>
          </cell>
          <cell r="U428">
            <v>57.846745539579771</v>
          </cell>
          <cell r="V428">
            <v>57.846745539579771</v>
          </cell>
          <cell r="W428">
            <v>57.846745539579771</v>
          </cell>
          <cell r="X428">
            <v>57.846745539579771</v>
          </cell>
          <cell r="Y428">
            <v>57.846745539579771</v>
          </cell>
          <cell r="Z428">
            <v>57.846745539579771</v>
          </cell>
          <cell r="AA428">
            <v>57.846745539579771</v>
          </cell>
          <cell r="AB428">
            <v>57.846745539579771</v>
          </cell>
          <cell r="AC428">
            <v>57.846745539579771</v>
          </cell>
          <cell r="AD428">
            <v>57.846745539579771</v>
          </cell>
          <cell r="AE428">
            <v>57.846745539579771</v>
          </cell>
          <cell r="AF428">
            <v>57.846745539579771</v>
          </cell>
        </row>
        <row r="429">
          <cell r="A429" t="str">
            <v>Georgia</v>
          </cell>
          <cell r="B429">
            <v>54.814882026281254</v>
          </cell>
          <cell r="C429">
            <v>55.252015635355221</v>
          </cell>
          <cell r="D429">
            <v>55.652566160336903</v>
          </cell>
          <cell r="E429">
            <v>55.958444708474154</v>
          </cell>
          <cell r="F429">
            <v>56.174258975316221</v>
          </cell>
          <cell r="G429">
            <v>56.72327268612996</v>
          </cell>
          <cell r="H429">
            <v>56.783572742321809</v>
          </cell>
          <cell r="I429">
            <v>57.291987582370041</v>
          </cell>
          <cell r="J429">
            <v>57.541642257572981</v>
          </cell>
          <cell r="K429">
            <v>57.987425878275936</v>
          </cell>
          <cell r="L429">
            <v>58.596261253865883</v>
          </cell>
          <cell r="M429">
            <v>58.359905401690234</v>
          </cell>
          <cell r="N429">
            <v>58.508356325523629</v>
          </cell>
          <cell r="O429">
            <v>58.316725669054662</v>
          </cell>
          <cell r="P429">
            <v>57.831478483596811</v>
          </cell>
          <cell r="Q429">
            <v>58.005532461288318</v>
          </cell>
          <cell r="R429">
            <v>57.844191326477834</v>
          </cell>
          <cell r="S429">
            <v>57.846745539579757</v>
          </cell>
          <cell r="T429">
            <v>57.846745539579757</v>
          </cell>
          <cell r="U429">
            <v>57.846745539579757</v>
          </cell>
          <cell r="V429">
            <v>57.846745539579757</v>
          </cell>
          <cell r="W429">
            <v>57.846745539579757</v>
          </cell>
          <cell r="X429">
            <v>57.846745539579757</v>
          </cell>
          <cell r="Y429">
            <v>57.846745539579757</v>
          </cell>
          <cell r="Z429">
            <v>57.846745539579757</v>
          </cell>
          <cell r="AA429">
            <v>57.846745539579757</v>
          </cell>
          <cell r="AB429">
            <v>57.846745539579757</v>
          </cell>
          <cell r="AC429">
            <v>57.846745539579757</v>
          </cell>
          <cell r="AD429">
            <v>57.846745539579757</v>
          </cell>
          <cell r="AE429">
            <v>57.846745539579757</v>
          </cell>
          <cell r="AF429">
            <v>57.846745539579757</v>
          </cell>
        </row>
        <row r="430">
          <cell r="A430" t="str">
            <v>Hawaii</v>
          </cell>
          <cell r="B430">
            <v>63.672137248327559</v>
          </cell>
          <cell r="C430">
            <v>64.1955166107048</v>
          </cell>
          <cell r="D430">
            <v>64.619217628523458</v>
          </cell>
          <cell r="E430">
            <v>64.967613032761591</v>
          </cell>
          <cell r="F430">
            <v>65.231560922994461</v>
          </cell>
          <cell r="G430">
            <v>65.852566208522163</v>
          </cell>
          <cell r="H430">
            <v>65.913160319727098</v>
          </cell>
          <cell r="I430">
            <v>66.541564870289477</v>
          </cell>
          <cell r="J430">
            <v>66.84568038362616</v>
          </cell>
          <cell r="K430">
            <v>67.408356613942246</v>
          </cell>
          <cell r="L430">
            <v>68.186111118062882</v>
          </cell>
          <cell r="M430">
            <v>67.878296444958536</v>
          </cell>
          <cell r="N430">
            <v>68.060146223162405</v>
          </cell>
          <cell r="O430">
            <v>67.8486307889237</v>
          </cell>
          <cell r="P430">
            <v>67.245971883300513</v>
          </cell>
          <cell r="Q430">
            <v>67.459052415629245</v>
          </cell>
          <cell r="R430">
            <v>67.239675652591657</v>
          </cell>
          <cell r="S430">
            <v>67.241173228743634</v>
          </cell>
          <cell r="T430">
            <v>67.241173228743634</v>
          </cell>
          <cell r="U430">
            <v>67.241173228743634</v>
          </cell>
          <cell r="V430">
            <v>67.241173228743634</v>
          </cell>
          <cell r="W430">
            <v>67.241173228743634</v>
          </cell>
          <cell r="X430">
            <v>67.241173228743634</v>
          </cell>
          <cell r="Y430">
            <v>67.241173228743634</v>
          </cell>
          <cell r="Z430">
            <v>67.241173228743634</v>
          </cell>
          <cell r="AA430">
            <v>67.241173228743634</v>
          </cell>
          <cell r="AB430">
            <v>67.241173228743634</v>
          </cell>
          <cell r="AC430">
            <v>67.241173228743634</v>
          </cell>
          <cell r="AD430">
            <v>67.241173228743634</v>
          </cell>
          <cell r="AE430">
            <v>67.241173228743634</v>
          </cell>
          <cell r="AF430">
            <v>67.241173228743634</v>
          </cell>
        </row>
        <row r="431">
          <cell r="A431" t="str">
            <v>Idaho</v>
          </cell>
          <cell r="B431">
            <v>63.672137248327523</v>
          </cell>
          <cell r="C431">
            <v>64.195516610704786</v>
          </cell>
          <cell r="D431">
            <v>64.619217628523458</v>
          </cell>
          <cell r="E431">
            <v>64.967613032761591</v>
          </cell>
          <cell r="F431">
            <v>65.231560922994461</v>
          </cell>
          <cell r="G431">
            <v>65.852566208522163</v>
          </cell>
          <cell r="H431">
            <v>65.913160319727083</v>
          </cell>
          <cell r="I431">
            <v>66.541564870289477</v>
          </cell>
          <cell r="J431">
            <v>66.845680383626146</v>
          </cell>
          <cell r="K431">
            <v>67.408356613942246</v>
          </cell>
          <cell r="L431">
            <v>68.186111118062882</v>
          </cell>
          <cell r="M431">
            <v>67.878296444958522</v>
          </cell>
          <cell r="N431">
            <v>68.060146223162405</v>
          </cell>
          <cell r="O431">
            <v>67.848630788923714</v>
          </cell>
          <cell r="P431">
            <v>67.245971883300484</v>
          </cell>
          <cell r="Q431">
            <v>67.459052415629245</v>
          </cell>
          <cell r="R431">
            <v>67.239675652591657</v>
          </cell>
          <cell r="S431">
            <v>67.241173228743634</v>
          </cell>
          <cell r="T431">
            <v>67.241173228743634</v>
          </cell>
          <cell r="U431">
            <v>67.241173228743634</v>
          </cell>
          <cell r="V431">
            <v>67.241173228743634</v>
          </cell>
          <cell r="W431">
            <v>67.241173228743634</v>
          </cell>
          <cell r="X431">
            <v>67.241173228743634</v>
          </cell>
          <cell r="Y431">
            <v>67.241173228743634</v>
          </cell>
          <cell r="Z431">
            <v>67.241173228743634</v>
          </cell>
          <cell r="AA431">
            <v>67.241173228743634</v>
          </cell>
          <cell r="AB431">
            <v>67.241173228743634</v>
          </cell>
          <cell r="AC431">
            <v>67.241173228743634</v>
          </cell>
          <cell r="AD431">
            <v>67.241173228743634</v>
          </cell>
          <cell r="AE431">
            <v>67.241173228743634</v>
          </cell>
          <cell r="AF431">
            <v>67.241173228743634</v>
          </cell>
        </row>
        <row r="432">
          <cell r="A432" t="str">
            <v>Illinois</v>
          </cell>
          <cell r="B432">
            <v>54.325618937869145</v>
          </cell>
          <cell r="C432">
            <v>54.758140584414058</v>
          </cell>
          <cell r="D432">
            <v>55.157007172367265</v>
          </cell>
          <cell r="E432">
            <v>55.460469820412953</v>
          </cell>
          <cell r="F432">
            <v>55.67375448442337</v>
          </cell>
          <cell r="G432">
            <v>56.218628527627423</v>
          </cell>
          <cell r="H432">
            <v>56.278820252469799</v>
          </cell>
          <cell r="I432">
            <v>56.780975756599631</v>
          </cell>
          <cell r="J432">
            <v>57.027759694306447</v>
          </cell>
          <cell r="K432">
            <v>57.467523501411179</v>
          </cell>
          <cell r="L432">
            <v>58.067715443981655</v>
          </cell>
          <cell r="M432">
            <v>57.834982684002938</v>
          </cell>
          <cell r="N432">
            <v>57.981680416150724</v>
          </cell>
          <cell r="O432">
            <v>57.791256144553707</v>
          </cell>
          <cell r="P432">
            <v>57.312114531611222</v>
          </cell>
          <cell r="Q432">
            <v>57.484118977516097</v>
          </cell>
          <cell r="R432">
            <v>57.325672143307074</v>
          </cell>
          <cell r="S432">
            <v>57.328270404337822</v>
          </cell>
          <cell r="T432">
            <v>57.328270404337822</v>
          </cell>
          <cell r="U432">
            <v>57.328270404337822</v>
          </cell>
          <cell r="V432">
            <v>57.328270404337822</v>
          </cell>
          <cell r="W432">
            <v>57.328270404337822</v>
          </cell>
          <cell r="X432">
            <v>57.328270404337822</v>
          </cell>
          <cell r="Y432">
            <v>57.328270404337822</v>
          </cell>
          <cell r="Z432">
            <v>57.328270404337822</v>
          </cell>
          <cell r="AA432">
            <v>57.328270404337822</v>
          </cell>
          <cell r="AB432">
            <v>57.328270404337822</v>
          </cell>
          <cell r="AC432">
            <v>57.328270404337822</v>
          </cell>
          <cell r="AD432">
            <v>57.328270404337822</v>
          </cell>
          <cell r="AE432">
            <v>57.328270404337822</v>
          </cell>
          <cell r="AF432">
            <v>57.328270404337822</v>
          </cell>
        </row>
        <row r="433">
          <cell r="A433" t="str">
            <v>Indiana</v>
          </cell>
          <cell r="B433">
            <v>54.325618937869145</v>
          </cell>
          <cell r="C433">
            <v>54.758140584414051</v>
          </cell>
          <cell r="D433">
            <v>55.157007172367265</v>
          </cell>
          <cell r="E433">
            <v>55.460469820412953</v>
          </cell>
          <cell r="F433">
            <v>55.673754484423348</v>
          </cell>
          <cell r="G433">
            <v>56.218628527627423</v>
          </cell>
          <cell r="H433">
            <v>56.278820252469806</v>
          </cell>
          <cell r="I433">
            <v>56.780975756599645</v>
          </cell>
          <cell r="J433">
            <v>57.027759694306447</v>
          </cell>
          <cell r="K433">
            <v>57.467523501411179</v>
          </cell>
          <cell r="L433">
            <v>58.067715443981655</v>
          </cell>
          <cell r="M433">
            <v>57.834982684002938</v>
          </cell>
          <cell r="N433">
            <v>57.981680416150724</v>
          </cell>
          <cell r="O433">
            <v>57.791256144553714</v>
          </cell>
          <cell r="P433">
            <v>57.312114531611222</v>
          </cell>
          <cell r="Q433">
            <v>57.484118977516118</v>
          </cell>
          <cell r="R433">
            <v>57.325672143307074</v>
          </cell>
          <cell r="S433">
            <v>57.328270404337822</v>
          </cell>
          <cell r="T433">
            <v>57.328270404337822</v>
          </cell>
          <cell r="U433">
            <v>57.328270404337822</v>
          </cell>
          <cell r="V433">
            <v>57.328270404337822</v>
          </cell>
          <cell r="W433">
            <v>57.328270404337822</v>
          </cell>
          <cell r="X433">
            <v>57.328270404337822</v>
          </cell>
          <cell r="Y433">
            <v>57.328270404337822</v>
          </cell>
          <cell r="Z433">
            <v>57.328270404337822</v>
          </cell>
          <cell r="AA433">
            <v>57.328270404337822</v>
          </cell>
          <cell r="AB433">
            <v>57.328270404337822</v>
          </cell>
          <cell r="AC433">
            <v>57.328270404337822</v>
          </cell>
          <cell r="AD433">
            <v>57.328270404337822</v>
          </cell>
          <cell r="AE433">
            <v>57.328270404337822</v>
          </cell>
          <cell r="AF433">
            <v>57.328270404337822</v>
          </cell>
        </row>
        <row r="434">
          <cell r="A434" t="str">
            <v>Iowa</v>
          </cell>
          <cell r="B434">
            <v>54.325618937869145</v>
          </cell>
          <cell r="C434">
            <v>54.758140584414051</v>
          </cell>
          <cell r="D434">
            <v>55.157007172367251</v>
          </cell>
          <cell r="E434">
            <v>55.46046982041296</v>
          </cell>
          <cell r="F434">
            <v>55.673754484423348</v>
          </cell>
          <cell r="G434">
            <v>56.21862852762743</v>
          </cell>
          <cell r="H434">
            <v>56.278820252469806</v>
          </cell>
          <cell r="I434">
            <v>56.780975756599638</v>
          </cell>
          <cell r="J434">
            <v>57.027759694306447</v>
          </cell>
          <cell r="K434">
            <v>57.467523501411179</v>
          </cell>
          <cell r="L434">
            <v>58.067715443981655</v>
          </cell>
          <cell r="M434">
            <v>57.834982684002931</v>
          </cell>
          <cell r="N434">
            <v>57.981680416150724</v>
          </cell>
          <cell r="O434">
            <v>57.791256144553714</v>
          </cell>
          <cell r="P434">
            <v>57.312114531611222</v>
          </cell>
          <cell r="Q434">
            <v>57.484118977516104</v>
          </cell>
          <cell r="R434">
            <v>57.325672143307067</v>
          </cell>
          <cell r="S434">
            <v>57.3282704043378</v>
          </cell>
          <cell r="T434">
            <v>57.3282704043378</v>
          </cell>
          <cell r="U434">
            <v>57.3282704043378</v>
          </cell>
          <cell r="V434">
            <v>57.3282704043378</v>
          </cell>
          <cell r="W434">
            <v>57.3282704043378</v>
          </cell>
          <cell r="X434">
            <v>57.3282704043378</v>
          </cell>
          <cell r="Y434">
            <v>57.3282704043378</v>
          </cell>
          <cell r="Z434">
            <v>57.3282704043378</v>
          </cell>
          <cell r="AA434">
            <v>57.3282704043378</v>
          </cell>
          <cell r="AB434">
            <v>57.3282704043378</v>
          </cell>
          <cell r="AC434">
            <v>57.3282704043378</v>
          </cell>
          <cell r="AD434">
            <v>57.3282704043378</v>
          </cell>
          <cell r="AE434">
            <v>57.3282704043378</v>
          </cell>
          <cell r="AF434">
            <v>57.3282704043378</v>
          </cell>
        </row>
        <row r="435">
          <cell r="A435" t="str">
            <v>Kansas</v>
          </cell>
          <cell r="B435">
            <v>52.44680025902133</v>
          </cell>
          <cell r="C435">
            <v>52.861758110576844</v>
          </cell>
          <cell r="D435">
            <v>53.253767835950434</v>
          </cell>
          <cell r="E435">
            <v>53.547888315731555</v>
          </cell>
          <cell r="F435">
            <v>53.75158358226885</v>
          </cell>
          <cell r="G435">
            <v>54.280403879356328</v>
          </cell>
          <cell r="H435">
            <v>54.340090867176478</v>
          </cell>
          <cell r="I435">
            <v>54.818565208364788</v>
          </cell>
          <cell r="J435">
            <v>55.054457825100457</v>
          </cell>
          <cell r="K435">
            <v>55.471526208279144</v>
          </cell>
          <cell r="L435">
            <v>56.039188910163652</v>
          </cell>
          <cell r="M435">
            <v>55.820056792636819</v>
          </cell>
          <cell r="N435">
            <v>55.960110471459544</v>
          </cell>
          <cell r="O435">
            <v>55.774422880233175</v>
          </cell>
          <cell r="P435">
            <v>55.318361018655104</v>
          </cell>
          <cell r="Q435">
            <v>55.48259743343587</v>
          </cell>
          <cell r="R435">
            <v>55.334964835538628</v>
          </cell>
          <cell r="S435">
            <v>55.337718447239929</v>
          </cell>
          <cell r="T435">
            <v>55.337718447239929</v>
          </cell>
          <cell r="U435">
            <v>55.337718447239929</v>
          </cell>
          <cell r="V435">
            <v>55.337718447239929</v>
          </cell>
          <cell r="W435">
            <v>55.337718447239929</v>
          </cell>
          <cell r="X435">
            <v>55.337718447239929</v>
          </cell>
          <cell r="Y435">
            <v>55.337718447239929</v>
          </cell>
          <cell r="Z435">
            <v>55.337718447239929</v>
          </cell>
          <cell r="AA435">
            <v>55.337718447239929</v>
          </cell>
          <cell r="AB435">
            <v>55.337718447239929</v>
          </cell>
          <cell r="AC435">
            <v>55.337718447239929</v>
          </cell>
          <cell r="AD435">
            <v>55.337718447239929</v>
          </cell>
          <cell r="AE435">
            <v>55.337718447239929</v>
          </cell>
          <cell r="AF435">
            <v>55.337718447239929</v>
          </cell>
        </row>
        <row r="436">
          <cell r="A436" t="str">
            <v>Kentucky</v>
          </cell>
          <cell r="B436">
            <v>54.814882026281254</v>
          </cell>
          <cell r="C436">
            <v>55.252015635355228</v>
          </cell>
          <cell r="D436">
            <v>55.65256616033691</v>
          </cell>
          <cell r="E436">
            <v>55.958444708474154</v>
          </cell>
          <cell r="F436">
            <v>56.174258975316228</v>
          </cell>
          <cell r="G436">
            <v>56.723272686129953</v>
          </cell>
          <cell r="H436">
            <v>56.783572742321795</v>
          </cell>
          <cell r="I436">
            <v>57.291987582370048</v>
          </cell>
          <cell r="J436">
            <v>57.54164225757296</v>
          </cell>
          <cell r="K436">
            <v>57.987425878275928</v>
          </cell>
          <cell r="L436">
            <v>58.596261253865883</v>
          </cell>
          <cell r="M436">
            <v>58.35990540169022</v>
          </cell>
          <cell r="N436">
            <v>58.508356325523614</v>
          </cell>
          <cell r="O436">
            <v>58.316725669054662</v>
          </cell>
          <cell r="P436">
            <v>57.831478483596811</v>
          </cell>
          <cell r="Q436">
            <v>58.005532461288318</v>
          </cell>
          <cell r="R436">
            <v>57.844191326477841</v>
          </cell>
          <cell r="S436">
            <v>57.846745539579736</v>
          </cell>
          <cell r="T436">
            <v>57.846745539579736</v>
          </cell>
          <cell r="U436">
            <v>57.846745539579736</v>
          </cell>
          <cell r="V436">
            <v>57.846745539579736</v>
          </cell>
          <cell r="W436">
            <v>57.846745539579736</v>
          </cell>
          <cell r="X436">
            <v>57.846745539579736</v>
          </cell>
          <cell r="Y436">
            <v>57.846745539579736</v>
          </cell>
          <cell r="Z436">
            <v>57.846745539579736</v>
          </cell>
          <cell r="AA436">
            <v>57.846745539579736</v>
          </cell>
          <cell r="AB436">
            <v>57.846745539579736</v>
          </cell>
          <cell r="AC436">
            <v>57.846745539579736</v>
          </cell>
          <cell r="AD436">
            <v>57.846745539579736</v>
          </cell>
          <cell r="AE436">
            <v>57.846745539579736</v>
          </cell>
          <cell r="AF436">
            <v>57.846745539579736</v>
          </cell>
        </row>
        <row r="437">
          <cell r="A437" t="str">
            <v>Louisiana</v>
          </cell>
          <cell r="B437">
            <v>54.724099559575208</v>
          </cell>
          <cell r="C437">
            <v>55.160376229940468</v>
          </cell>
          <cell r="D437">
            <v>55.560617475328286</v>
          </cell>
          <cell r="E437">
            <v>55.866048282117781</v>
          </cell>
          <cell r="F437">
            <v>56.081392170253181</v>
          </cell>
          <cell r="G437">
            <v>56.62963904483739</v>
          </cell>
          <cell r="H437">
            <v>56.689919721647776</v>
          </cell>
          <cell r="I437">
            <v>57.197170256995115</v>
          </cell>
          <cell r="J437">
            <v>57.446291190572886</v>
          </cell>
          <cell r="K437">
            <v>57.890954413604312</v>
          </cell>
          <cell r="L437">
            <v>58.49818061998986</v>
          </cell>
          <cell r="M437">
            <v>58.262499570182804</v>
          </cell>
          <cell r="N437">
            <v>58.410624471845431</v>
          </cell>
          <cell r="O437">
            <v>58.219216813449052</v>
          </cell>
          <cell r="P437">
            <v>57.735105490972103</v>
          </cell>
          <cell r="Q437">
            <v>57.908778346964283</v>
          </cell>
          <cell r="R437">
            <v>57.747976688288965</v>
          </cell>
          <cell r="S437">
            <v>57.750539186636964</v>
          </cell>
          <cell r="T437">
            <v>57.750539186636964</v>
          </cell>
          <cell r="U437">
            <v>57.750539186636964</v>
          </cell>
          <cell r="V437">
            <v>57.750539186636964</v>
          </cell>
          <cell r="W437">
            <v>57.750539186636964</v>
          </cell>
          <cell r="X437">
            <v>57.750539186636964</v>
          </cell>
          <cell r="Y437">
            <v>57.750539186636964</v>
          </cell>
          <cell r="Z437">
            <v>57.750539186636964</v>
          </cell>
          <cell r="AA437">
            <v>57.750539186636964</v>
          </cell>
          <cell r="AB437">
            <v>57.750539186636964</v>
          </cell>
          <cell r="AC437">
            <v>57.750539186636964</v>
          </cell>
          <cell r="AD437">
            <v>57.750539186636964</v>
          </cell>
          <cell r="AE437">
            <v>57.750539186636964</v>
          </cell>
          <cell r="AF437">
            <v>57.750539186636964</v>
          </cell>
        </row>
        <row r="438">
          <cell r="A438" t="str">
            <v>Maine</v>
          </cell>
          <cell r="B438">
            <v>54.315911246285843</v>
          </cell>
          <cell r="C438">
            <v>54.748341547015059</v>
          </cell>
          <cell r="D438">
            <v>55.147174291197388</v>
          </cell>
          <cell r="E438">
            <v>55.450588932478716</v>
          </cell>
          <cell r="F438">
            <v>55.663823543296324</v>
          </cell>
          <cell r="G438">
            <v>56.208615275713925</v>
          </cell>
          <cell r="H438">
            <v>56.268804752907663</v>
          </cell>
          <cell r="I438">
            <v>56.770836455903627</v>
          </cell>
          <cell r="J438">
            <v>57.01756358073726</v>
          </cell>
          <cell r="K438">
            <v>57.457208412162359</v>
          </cell>
          <cell r="L438">
            <v>58.057229589484571</v>
          </cell>
          <cell r="M438">
            <v>57.824568371221545</v>
          </cell>
          <cell r="N438">
            <v>57.971231415296515</v>
          </cell>
          <cell r="O438">
            <v>57.780831195269585</v>
          </cell>
          <cell r="P438">
            <v>57.301810320459211</v>
          </cell>
          <cell r="Q438">
            <v>57.47377421396277</v>
          </cell>
          <cell r="R438">
            <v>57.315384474713269</v>
          </cell>
          <cell r="S438">
            <v>57.317983594449807</v>
          </cell>
          <cell r="T438">
            <v>57.317983594449807</v>
          </cell>
          <cell r="U438">
            <v>57.317983594449807</v>
          </cell>
          <cell r="V438">
            <v>57.317983594449807</v>
          </cell>
          <cell r="W438">
            <v>57.317983594449807</v>
          </cell>
          <cell r="X438">
            <v>57.317983594449807</v>
          </cell>
          <cell r="Y438">
            <v>57.317983594449807</v>
          </cell>
          <cell r="Z438">
            <v>57.317983594449807</v>
          </cell>
          <cell r="AA438">
            <v>57.317983594449807</v>
          </cell>
          <cell r="AB438">
            <v>57.317983594449807</v>
          </cell>
          <cell r="AC438">
            <v>57.317983594449807</v>
          </cell>
          <cell r="AD438">
            <v>57.317983594449807</v>
          </cell>
          <cell r="AE438">
            <v>57.317983594449807</v>
          </cell>
          <cell r="AF438">
            <v>57.317983594449807</v>
          </cell>
        </row>
        <row r="439">
          <cell r="A439" t="str">
            <v>Maryland</v>
          </cell>
          <cell r="B439">
            <v>54.315911246285843</v>
          </cell>
          <cell r="C439">
            <v>54.748341547015052</v>
          </cell>
          <cell r="D439">
            <v>55.147174291197388</v>
          </cell>
          <cell r="E439">
            <v>55.450588932478716</v>
          </cell>
          <cell r="F439">
            <v>55.663823543296331</v>
          </cell>
          <cell r="G439">
            <v>56.208615275713925</v>
          </cell>
          <cell r="H439">
            <v>56.268804752907641</v>
          </cell>
          <cell r="I439">
            <v>56.770836455903627</v>
          </cell>
          <cell r="J439">
            <v>57.017563580737246</v>
          </cell>
          <cell r="K439">
            <v>57.457208412162345</v>
          </cell>
          <cell r="L439">
            <v>58.057229589484585</v>
          </cell>
          <cell r="M439">
            <v>57.824568371221538</v>
          </cell>
          <cell r="N439">
            <v>57.971231415296501</v>
          </cell>
          <cell r="O439">
            <v>57.780831195269592</v>
          </cell>
          <cell r="P439">
            <v>57.301810320459211</v>
          </cell>
          <cell r="Q439">
            <v>57.473774213962784</v>
          </cell>
          <cell r="R439">
            <v>57.315384474713255</v>
          </cell>
          <cell r="S439">
            <v>57.317983594449785</v>
          </cell>
          <cell r="T439">
            <v>57.317983594449785</v>
          </cell>
          <cell r="U439">
            <v>57.317983594449785</v>
          </cell>
          <cell r="V439">
            <v>57.317983594449785</v>
          </cell>
          <cell r="W439">
            <v>57.317983594449785</v>
          </cell>
          <cell r="X439">
            <v>57.317983594449785</v>
          </cell>
          <cell r="Y439">
            <v>57.317983594449785</v>
          </cell>
          <cell r="Z439">
            <v>57.317983594449785</v>
          </cell>
          <cell r="AA439">
            <v>57.317983594449785</v>
          </cell>
          <cell r="AB439">
            <v>57.317983594449785</v>
          </cell>
          <cell r="AC439">
            <v>57.317983594449785</v>
          </cell>
          <cell r="AD439">
            <v>57.317983594449785</v>
          </cell>
          <cell r="AE439">
            <v>57.317983594449785</v>
          </cell>
          <cell r="AF439">
            <v>57.317983594449785</v>
          </cell>
        </row>
        <row r="440">
          <cell r="A440" t="str">
            <v>Massachusetts</v>
          </cell>
          <cell r="B440">
            <v>54.315911246285843</v>
          </cell>
          <cell r="C440">
            <v>54.748341547015038</v>
          </cell>
          <cell r="D440">
            <v>55.147174291197388</v>
          </cell>
          <cell r="E440">
            <v>55.450588932478702</v>
          </cell>
          <cell r="F440">
            <v>55.663823543296338</v>
          </cell>
          <cell r="G440">
            <v>56.208615275713925</v>
          </cell>
          <cell r="H440">
            <v>56.268804752907663</v>
          </cell>
          <cell r="I440">
            <v>56.77083645590362</v>
          </cell>
          <cell r="J440">
            <v>57.01756358073726</v>
          </cell>
          <cell r="K440">
            <v>57.457208412162345</v>
          </cell>
          <cell r="L440">
            <v>58.057229589484585</v>
          </cell>
          <cell r="M440">
            <v>57.824568371221552</v>
          </cell>
          <cell r="N440">
            <v>57.971231415296515</v>
          </cell>
          <cell r="O440">
            <v>57.780831195269599</v>
          </cell>
          <cell r="P440">
            <v>57.301810320459204</v>
          </cell>
          <cell r="Q440">
            <v>57.473774213962763</v>
          </cell>
          <cell r="R440">
            <v>57.315384474713269</v>
          </cell>
          <cell r="S440">
            <v>57.317983594449807</v>
          </cell>
          <cell r="T440">
            <v>57.317983594449807</v>
          </cell>
          <cell r="U440">
            <v>57.317983594449807</v>
          </cell>
          <cell r="V440">
            <v>57.317983594449807</v>
          </cell>
          <cell r="W440">
            <v>57.317983594449807</v>
          </cell>
          <cell r="X440">
            <v>57.317983594449807</v>
          </cell>
          <cell r="Y440">
            <v>57.317983594449807</v>
          </cell>
          <cell r="Z440">
            <v>57.317983594449807</v>
          </cell>
          <cell r="AA440">
            <v>57.317983594449807</v>
          </cell>
          <cell r="AB440">
            <v>57.317983594449807</v>
          </cell>
          <cell r="AC440">
            <v>57.317983594449807</v>
          </cell>
          <cell r="AD440">
            <v>57.317983594449807</v>
          </cell>
          <cell r="AE440">
            <v>57.317983594449807</v>
          </cell>
          <cell r="AF440">
            <v>57.317983594449807</v>
          </cell>
        </row>
        <row r="441">
          <cell r="A441" t="str">
            <v>Michigan</v>
          </cell>
          <cell r="B441">
            <v>54.325618937869159</v>
          </cell>
          <cell r="C441">
            <v>54.758140584414058</v>
          </cell>
          <cell r="D441">
            <v>55.157007172367258</v>
          </cell>
          <cell r="E441">
            <v>55.46046982041296</v>
          </cell>
          <cell r="F441">
            <v>55.673754484423341</v>
          </cell>
          <cell r="G441">
            <v>56.218628527627423</v>
          </cell>
          <cell r="H441">
            <v>56.278820252469814</v>
          </cell>
          <cell r="I441">
            <v>56.780975756599631</v>
          </cell>
          <cell r="J441">
            <v>57.027759694306447</v>
          </cell>
          <cell r="K441">
            <v>57.467523501411193</v>
          </cell>
          <cell r="L441">
            <v>58.067715443981655</v>
          </cell>
          <cell r="M441">
            <v>57.834982684002924</v>
          </cell>
          <cell r="N441">
            <v>57.981680416150716</v>
          </cell>
          <cell r="O441">
            <v>57.791256144553714</v>
          </cell>
          <cell r="P441">
            <v>57.312114531611229</v>
          </cell>
          <cell r="Q441">
            <v>57.484118977516118</v>
          </cell>
          <cell r="R441">
            <v>57.325672143307067</v>
          </cell>
          <cell r="S441">
            <v>57.328270404337815</v>
          </cell>
          <cell r="T441">
            <v>57.328270404337815</v>
          </cell>
          <cell r="U441">
            <v>57.328270404337815</v>
          </cell>
          <cell r="V441">
            <v>57.328270404337815</v>
          </cell>
          <cell r="W441">
            <v>57.328270404337815</v>
          </cell>
          <cell r="X441">
            <v>57.328270404337815</v>
          </cell>
          <cell r="Y441">
            <v>57.328270404337815</v>
          </cell>
          <cell r="Z441">
            <v>57.328270404337815</v>
          </cell>
          <cell r="AA441">
            <v>57.328270404337815</v>
          </cell>
          <cell r="AB441">
            <v>57.328270404337815</v>
          </cell>
          <cell r="AC441">
            <v>57.328270404337815</v>
          </cell>
          <cell r="AD441">
            <v>57.328270404337815</v>
          </cell>
          <cell r="AE441">
            <v>57.328270404337815</v>
          </cell>
          <cell r="AF441">
            <v>57.328270404337815</v>
          </cell>
        </row>
        <row r="442">
          <cell r="A442" t="str">
            <v>Minnesota</v>
          </cell>
          <cell r="B442">
            <v>54.325618937869152</v>
          </cell>
          <cell r="C442">
            <v>54.758140584414058</v>
          </cell>
          <cell r="D442">
            <v>55.157007172367265</v>
          </cell>
          <cell r="E442">
            <v>55.460469820412968</v>
          </cell>
          <cell r="F442">
            <v>55.673754484423348</v>
          </cell>
          <cell r="G442">
            <v>56.21862852762743</v>
          </cell>
          <cell r="H442">
            <v>56.278820252469814</v>
          </cell>
          <cell r="I442">
            <v>56.780975756599652</v>
          </cell>
          <cell r="J442">
            <v>57.027759694306432</v>
          </cell>
          <cell r="K442">
            <v>57.467523501411186</v>
          </cell>
          <cell r="L442">
            <v>58.067715443981669</v>
          </cell>
          <cell r="M442">
            <v>57.834982684002945</v>
          </cell>
          <cell r="N442">
            <v>57.981680416150731</v>
          </cell>
          <cell r="O442">
            <v>57.791256144553707</v>
          </cell>
          <cell r="P442">
            <v>57.312114531611215</v>
          </cell>
          <cell r="Q442">
            <v>57.484118977516125</v>
          </cell>
          <cell r="R442">
            <v>57.325672143307067</v>
          </cell>
          <cell r="S442">
            <v>57.328270404337822</v>
          </cell>
          <cell r="T442">
            <v>57.328270404337822</v>
          </cell>
          <cell r="U442">
            <v>57.328270404337822</v>
          </cell>
          <cell r="V442">
            <v>57.328270404337822</v>
          </cell>
          <cell r="W442">
            <v>57.328270404337822</v>
          </cell>
          <cell r="X442">
            <v>57.328270404337822</v>
          </cell>
          <cell r="Y442">
            <v>57.328270404337822</v>
          </cell>
          <cell r="Z442">
            <v>57.328270404337822</v>
          </cell>
          <cell r="AA442">
            <v>57.328270404337822</v>
          </cell>
          <cell r="AB442">
            <v>57.328270404337822</v>
          </cell>
          <cell r="AC442">
            <v>57.328270404337822</v>
          </cell>
          <cell r="AD442">
            <v>57.328270404337822</v>
          </cell>
          <cell r="AE442">
            <v>57.328270404337822</v>
          </cell>
          <cell r="AF442">
            <v>57.328270404337822</v>
          </cell>
        </row>
        <row r="443">
          <cell r="A443" t="str">
            <v>Mississippi</v>
          </cell>
          <cell r="B443">
            <v>54.814882026281261</v>
          </cell>
          <cell r="C443">
            <v>55.252015635355207</v>
          </cell>
          <cell r="D443">
            <v>55.65256616033691</v>
          </cell>
          <cell r="E443">
            <v>55.958444708474154</v>
          </cell>
          <cell r="F443">
            <v>56.174258975316228</v>
          </cell>
          <cell r="G443">
            <v>56.72327268612996</v>
          </cell>
          <cell r="H443">
            <v>56.783572742321816</v>
          </cell>
          <cell r="I443">
            <v>57.291987582370048</v>
          </cell>
          <cell r="J443">
            <v>57.541642257572974</v>
          </cell>
          <cell r="K443">
            <v>57.987425878275936</v>
          </cell>
          <cell r="L443">
            <v>58.596261253865897</v>
          </cell>
          <cell r="M443">
            <v>58.359905401690234</v>
          </cell>
          <cell r="N443">
            <v>58.508356325523621</v>
          </cell>
          <cell r="O443">
            <v>58.316725669054655</v>
          </cell>
          <cell r="P443">
            <v>57.831478483596825</v>
          </cell>
          <cell r="Q443">
            <v>58.005532461288325</v>
          </cell>
          <cell r="R443">
            <v>57.844191326477826</v>
          </cell>
          <cell r="S443">
            <v>57.84674553957975</v>
          </cell>
          <cell r="T443">
            <v>57.84674553957975</v>
          </cell>
          <cell r="U443">
            <v>57.84674553957975</v>
          </cell>
          <cell r="V443">
            <v>57.84674553957975</v>
          </cell>
          <cell r="W443">
            <v>57.84674553957975</v>
          </cell>
          <cell r="X443">
            <v>57.84674553957975</v>
          </cell>
          <cell r="Y443">
            <v>57.84674553957975</v>
          </cell>
          <cell r="Z443">
            <v>57.84674553957975</v>
          </cell>
          <cell r="AA443">
            <v>57.84674553957975</v>
          </cell>
          <cell r="AB443">
            <v>57.84674553957975</v>
          </cell>
          <cell r="AC443">
            <v>57.84674553957975</v>
          </cell>
          <cell r="AD443">
            <v>57.84674553957975</v>
          </cell>
          <cell r="AE443">
            <v>57.84674553957975</v>
          </cell>
          <cell r="AF443">
            <v>57.84674553957975</v>
          </cell>
        </row>
        <row r="444">
          <cell r="A444" t="str">
            <v>Missouri</v>
          </cell>
          <cell r="B444">
            <v>54.325618937869145</v>
          </cell>
          <cell r="C444">
            <v>54.758140584414058</v>
          </cell>
          <cell r="D444">
            <v>55.157007172367273</v>
          </cell>
          <cell r="E444">
            <v>55.46046982041296</v>
          </cell>
          <cell r="F444">
            <v>55.673754484423362</v>
          </cell>
          <cell r="G444">
            <v>56.218628527627438</v>
          </cell>
          <cell r="H444">
            <v>56.278820252469792</v>
          </cell>
          <cell r="I444">
            <v>56.780975756599638</v>
          </cell>
          <cell r="J444">
            <v>57.027759694306454</v>
          </cell>
          <cell r="K444">
            <v>57.4675235014112</v>
          </cell>
          <cell r="L444">
            <v>58.067715443981662</v>
          </cell>
          <cell r="M444">
            <v>57.834982684002917</v>
          </cell>
          <cell r="N444">
            <v>57.981680416150724</v>
          </cell>
          <cell r="O444">
            <v>57.791256144553707</v>
          </cell>
          <cell r="P444">
            <v>57.312114531611215</v>
          </cell>
          <cell r="Q444">
            <v>57.484118977516118</v>
          </cell>
          <cell r="R444">
            <v>57.325672143307067</v>
          </cell>
          <cell r="S444">
            <v>57.328270404337822</v>
          </cell>
          <cell r="T444">
            <v>57.328270404337822</v>
          </cell>
          <cell r="U444">
            <v>57.328270404337822</v>
          </cell>
          <cell r="V444">
            <v>57.328270404337822</v>
          </cell>
          <cell r="W444">
            <v>57.328270404337822</v>
          </cell>
          <cell r="X444">
            <v>57.328270404337822</v>
          </cell>
          <cell r="Y444">
            <v>57.328270404337822</v>
          </cell>
          <cell r="Z444">
            <v>57.328270404337822</v>
          </cell>
          <cell r="AA444">
            <v>57.328270404337822</v>
          </cell>
          <cell r="AB444">
            <v>57.328270404337822</v>
          </cell>
          <cell r="AC444">
            <v>57.328270404337822</v>
          </cell>
          <cell r="AD444">
            <v>57.328270404337822</v>
          </cell>
          <cell r="AE444">
            <v>57.328270404337822</v>
          </cell>
          <cell r="AF444">
            <v>57.328270404337822</v>
          </cell>
        </row>
        <row r="445">
          <cell r="A445" t="str">
            <v>Montana</v>
          </cell>
          <cell r="B445">
            <v>52.446800259021359</v>
          </cell>
          <cell r="C445">
            <v>52.861758110576844</v>
          </cell>
          <cell r="D445">
            <v>53.253767835950455</v>
          </cell>
          <cell r="E445">
            <v>53.547888315731548</v>
          </cell>
          <cell r="F445">
            <v>53.751583582268836</v>
          </cell>
          <cell r="G445">
            <v>54.280403879356335</v>
          </cell>
          <cell r="H445">
            <v>54.340090867176464</v>
          </cell>
          <cell r="I445">
            <v>54.818565208364788</v>
          </cell>
          <cell r="J445">
            <v>55.054457825100449</v>
          </cell>
          <cell r="K445">
            <v>55.471526208279151</v>
          </cell>
          <cell r="L445">
            <v>56.039188910163645</v>
          </cell>
          <cell r="M445">
            <v>55.820056792636805</v>
          </cell>
          <cell r="N445">
            <v>55.960110471459529</v>
          </cell>
          <cell r="O445">
            <v>55.774422880233168</v>
          </cell>
          <cell r="P445">
            <v>55.318361018655104</v>
          </cell>
          <cell r="Q445">
            <v>55.482597433435856</v>
          </cell>
          <cell r="R445">
            <v>55.334964835538621</v>
          </cell>
          <cell r="S445">
            <v>55.337718447239922</v>
          </cell>
          <cell r="T445">
            <v>55.337718447239922</v>
          </cell>
          <cell r="U445">
            <v>55.337718447239922</v>
          </cell>
          <cell r="V445">
            <v>55.337718447239922</v>
          </cell>
          <cell r="W445">
            <v>55.337718447239922</v>
          </cell>
          <cell r="X445">
            <v>55.337718447239922</v>
          </cell>
          <cell r="Y445">
            <v>55.337718447239922</v>
          </cell>
          <cell r="Z445">
            <v>55.337718447239922</v>
          </cell>
          <cell r="AA445">
            <v>55.337718447239922</v>
          </cell>
          <cell r="AB445">
            <v>55.337718447239922</v>
          </cell>
          <cell r="AC445">
            <v>55.337718447239922</v>
          </cell>
          <cell r="AD445">
            <v>55.337718447239922</v>
          </cell>
          <cell r="AE445">
            <v>55.337718447239922</v>
          </cell>
          <cell r="AF445">
            <v>55.337718447239922</v>
          </cell>
        </row>
        <row r="446">
          <cell r="A446" t="str">
            <v>Nebraska</v>
          </cell>
          <cell r="B446">
            <v>52.446800259021366</v>
          </cell>
          <cell r="C446">
            <v>52.861758110576844</v>
          </cell>
          <cell r="D446">
            <v>53.253767835950434</v>
          </cell>
          <cell r="E446">
            <v>53.547888315731562</v>
          </cell>
          <cell r="F446">
            <v>53.751583582268843</v>
          </cell>
          <cell r="G446">
            <v>54.280403879356342</v>
          </cell>
          <cell r="H446">
            <v>54.340090867176478</v>
          </cell>
          <cell r="I446">
            <v>54.818565208364781</v>
          </cell>
          <cell r="J446">
            <v>55.054457825100464</v>
          </cell>
          <cell r="K446">
            <v>55.471526208279144</v>
          </cell>
          <cell r="L446">
            <v>56.039188910163652</v>
          </cell>
          <cell r="M446">
            <v>55.820056792636812</v>
          </cell>
          <cell r="N446">
            <v>55.960110471459551</v>
          </cell>
          <cell r="O446">
            <v>55.774422880233175</v>
          </cell>
          <cell r="P446">
            <v>55.318361018655096</v>
          </cell>
          <cell r="Q446">
            <v>55.48259743343587</v>
          </cell>
          <cell r="R446">
            <v>55.334964835538628</v>
          </cell>
          <cell r="S446">
            <v>55.337718447239922</v>
          </cell>
          <cell r="T446">
            <v>55.337718447239922</v>
          </cell>
          <cell r="U446">
            <v>55.337718447239922</v>
          </cell>
          <cell r="V446">
            <v>55.337718447239922</v>
          </cell>
          <cell r="W446">
            <v>55.337718447239922</v>
          </cell>
          <cell r="X446">
            <v>55.337718447239922</v>
          </cell>
          <cell r="Y446">
            <v>55.337718447239922</v>
          </cell>
          <cell r="Z446">
            <v>55.337718447239922</v>
          </cell>
          <cell r="AA446">
            <v>55.337718447239922</v>
          </cell>
          <cell r="AB446">
            <v>55.337718447239922</v>
          </cell>
          <cell r="AC446">
            <v>55.337718447239922</v>
          </cell>
          <cell r="AD446">
            <v>55.337718447239922</v>
          </cell>
          <cell r="AE446">
            <v>55.337718447239922</v>
          </cell>
          <cell r="AF446">
            <v>55.337718447239922</v>
          </cell>
        </row>
        <row r="447">
          <cell r="A447" t="str">
            <v>Nevada</v>
          </cell>
          <cell r="B447">
            <v>63.672137248327537</v>
          </cell>
          <cell r="C447">
            <v>64.1955166107048</v>
          </cell>
          <cell r="D447">
            <v>64.619217628523458</v>
          </cell>
          <cell r="E447">
            <v>64.967613032761591</v>
          </cell>
          <cell r="F447">
            <v>65.231560922994447</v>
          </cell>
          <cell r="G447">
            <v>65.852566208522148</v>
          </cell>
          <cell r="H447">
            <v>65.913160319727083</v>
          </cell>
          <cell r="I447">
            <v>66.541564870289463</v>
          </cell>
          <cell r="J447">
            <v>66.84568038362616</v>
          </cell>
          <cell r="K447">
            <v>67.40835661394226</v>
          </cell>
          <cell r="L447">
            <v>68.186111118062882</v>
          </cell>
          <cell r="M447">
            <v>67.878296444958508</v>
          </cell>
          <cell r="N447">
            <v>68.06014622316242</v>
          </cell>
          <cell r="O447">
            <v>67.8486307889237</v>
          </cell>
          <cell r="P447">
            <v>67.245971883300498</v>
          </cell>
          <cell r="Q447">
            <v>67.45905241562923</v>
          </cell>
          <cell r="R447">
            <v>67.239675652591643</v>
          </cell>
          <cell r="S447">
            <v>67.241173228743605</v>
          </cell>
          <cell r="T447">
            <v>67.241173228743605</v>
          </cell>
          <cell r="U447">
            <v>67.241173228743605</v>
          </cell>
          <cell r="V447">
            <v>67.241173228743605</v>
          </cell>
          <cell r="W447">
            <v>67.241173228743605</v>
          </cell>
          <cell r="X447">
            <v>67.241173228743605</v>
          </cell>
          <cell r="Y447">
            <v>67.241173228743605</v>
          </cell>
          <cell r="Z447">
            <v>67.241173228743605</v>
          </cell>
          <cell r="AA447">
            <v>67.241173228743605</v>
          </cell>
          <cell r="AB447">
            <v>67.241173228743605</v>
          </cell>
          <cell r="AC447">
            <v>67.241173228743605</v>
          </cell>
          <cell r="AD447">
            <v>67.241173228743605</v>
          </cell>
          <cell r="AE447">
            <v>67.241173228743605</v>
          </cell>
          <cell r="AF447">
            <v>67.241173228743605</v>
          </cell>
        </row>
        <row r="448">
          <cell r="A448" t="str">
            <v>New Hampshire</v>
          </cell>
          <cell r="B448">
            <v>54.315911246285829</v>
          </cell>
          <cell r="C448">
            <v>54.748341547015059</v>
          </cell>
          <cell r="D448">
            <v>55.147174291197388</v>
          </cell>
          <cell r="E448">
            <v>55.450588932478702</v>
          </cell>
          <cell r="F448">
            <v>55.663823543296324</v>
          </cell>
          <cell r="G448">
            <v>56.208615275713925</v>
          </cell>
          <cell r="H448">
            <v>56.268804752907663</v>
          </cell>
          <cell r="I448">
            <v>56.770836455903627</v>
          </cell>
          <cell r="J448">
            <v>57.01756358073726</v>
          </cell>
          <cell r="K448">
            <v>57.457208412162345</v>
          </cell>
          <cell r="L448">
            <v>58.057229589484571</v>
          </cell>
          <cell r="M448">
            <v>57.824568371221538</v>
          </cell>
          <cell r="N448">
            <v>57.971231415296522</v>
          </cell>
          <cell r="O448">
            <v>57.780831195269599</v>
          </cell>
          <cell r="P448">
            <v>57.301810320459197</v>
          </cell>
          <cell r="Q448">
            <v>57.47377421396277</v>
          </cell>
          <cell r="R448">
            <v>57.315384474713248</v>
          </cell>
          <cell r="S448">
            <v>57.317983594449814</v>
          </cell>
          <cell r="T448">
            <v>57.317983594449814</v>
          </cell>
          <cell r="U448">
            <v>57.317983594449814</v>
          </cell>
          <cell r="V448">
            <v>57.317983594449814</v>
          </cell>
          <cell r="W448">
            <v>57.317983594449814</v>
          </cell>
          <cell r="X448">
            <v>57.317983594449814</v>
          </cell>
          <cell r="Y448">
            <v>57.317983594449814</v>
          </cell>
          <cell r="Z448">
            <v>57.317983594449814</v>
          </cell>
          <cell r="AA448">
            <v>57.317983594449814</v>
          </cell>
          <cell r="AB448">
            <v>57.317983594449814</v>
          </cell>
          <cell r="AC448">
            <v>57.317983594449814</v>
          </cell>
          <cell r="AD448">
            <v>57.317983594449814</v>
          </cell>
          <cell r="AE448">
            <v>57.317983594449814</v>
          </cell>
          <cell r="AF448">
            <v>57.317983594449814</v>
          </cell>
        </row>
        <row r="449">
          <cell r="A449" t="str">
            <v>New Jersey</v>
          </cell>
          <cell r="B449">
            <v>54.315911246285829</v>
          </cell>
          <cell r="C449">
            <v>54.748341547015059</v>
          </cell>
          <cell r="D449">
            <v>55.147174291197388</v>
          </cell>
          <cell r="E449">
            <v>55.450588932478716</v>
          </cell>
          <cell r="F449">
            <v>55.663823543296324</v>
          </cell>
          <cell r="G449">
            <v>56.208615275713925</v>
          </cell>
          <cell r="H449">
            <v>56.268804752907663</v>
          </cell>
          <cell r="I449">
            <v>56.770836455903627</v>
          </cell>
          <cell r="J449">
            <v>57.01756358073726</v>
          </cell>
          <cell r="K449">
            <v>57.457208412162345</v>
          </cell>
          <cell r="L449">
            <v>58.057229589484571</v>
          </cell>
          <cell r="M449">
            <v>57.824568371221538</v>
          </cell>
          <cell r="N449">
            <v>57.971231415296522</v>
          </cell>
          <cell r="O449">
            <v>57.780831195269606</v>
          </cell>
          <cell r="P449">
            <v>57.301810320459204</v>
          </cell>
          <cell r="Q449">
            <v>57.47377421396277</v>
          </cell>
          <cell r="R449">
            <v>57.315384474713248</v>
          </cell>
          <cell r="S449">
            <v>57.317983594449807</v>
          </cell>
          <cell r="T449">
            <v>57.317983594449807</v>
          </cell>
          <cell r="U449">
            <v>57.317983594449807</v>
          </cell>
          <cell r="V449">
            <v>57.317983594449807</v>
          </cell>
          <cell r="W449">
            <v>57.317983594449807</v>
          </cell>
          <cell r="X449">
            <v>57.317983594449807</v>
          </cell>
          <cell r="Y449">
            <v>57.317983594449807</v>
          </cell>
          <cell r="Z449">
            <v>57.317983594449807</v>
          </cell>
          <cell r="AA449">
            <v>57.317983594449807</v>
          </cell>
          <cell r="AB449">
            <v>57.317983594449807</v>
          </cell>
          <cell r="AC449">
            <v>57.317983594449807</v>
          </cell>
          <cell r="AD449">
            <v>57.317983594449807</v>
          </cell>
          <cell r="AE449">
            <v>57.317983594449807</v>
          </cell>
          <cell r="AF449">
            <v>57.317983594449807</v>
          </cell>
        </row>
        <row r="450">
          <cell r="A450" t="str">
            <v>New Mexico</v>
          </cell>
          <cell r="B450">
            <v>63.672137248327566</v>
          </cell>
          <cell r="C450">
            <v>64.195516610704814</v>
          </cell>
          <cell r="D450">
            <v>64.619217628523444</v>
          </cell>
          <cell r="E450">
            <v>64.967613032761591</v>
          </cell>
          <cell r="F450">
            <v>65.231560922994461</v>
          </cell>
          <cell r="G450">
            <v>65.852566208522148</v>
          </cell>
          <cell r="H450">
            <v>65.913160319727083</v>
          </cell>
          <cell r="I450">
            <v>66.541564870289477</v>
          </cell>
          <cell r="J450">
            <v>66.845680383626146</v>
          </cell>
          <cell r="K450">
            <v>67.408356613942246</v>
          </cell>
          <cell r="L450">
            <v>68.186111118062897</v>
          </cell>
          <cell r="M450">
            <v>67.878296444958536</v>
          </cell>
          <cell r="N450">
            <v>68.06014622316242</v>
          </cell>
          <cell r="O450">
            <v>67.848630788923728</v>
          </cell>
          <cell r="P450">
            <v>67.245971883300513</v>
          </cell>
          <cell r="Q450">
            <v>67.459052415629259</v>
          </cell>
          <cell r="R450">
            <v>67.239675652591643</v>
          </cell>
          <cell r="S450">
            <v>67.241173228743605</v>
          </cell>
          <cell r="T450">
            <v>67.241173228743605</v>
          </cell>
          <cell r="U450">
            <v>67.241173228743605</v>
          </cell>
          <cell r="V450">
            <v>67.241173228743605</v>
          </cell>
          <cell r="W450">
            <v>67.241173228743605</v>
          </cell>
          <cell r="X450">
            <v>67.241173228743605</v>
          </cell>
          <cell r="Y450">
            <v>67.241173228743605</v>
          </cell>
          <cell r="Z450">
            <v>67.241173228743605</v>
          </cell>
          <cell r="AA450">
            <v>67.241173228743605</v>
          </cell>
          <cell r="AB450">
            <v>67.241173228743605</v>
          </cell>
          <cell r="AC450">
            <v>67.241173228743605</v>
          </cell>
          <cell r="AD450">
            <v>67.241173228743605</v>
          </cell>
          <cell r="AE450">
            <v>67.241173228743605</v>
          </cell>
          <cell r="AF450">
            <v>67.241173228743605</v>
          </cell>
        </row>
        <row r="451">
          <cell r="A451" t="str">
            <v>New York</v>
          </cell>
          <cell r="B451">
            <v>54.315911246285843</v>
          </cell>
          <cell r="C451">
            <v>54.748341547015059</v>
          </cell>
          <cell r="D451">
            <v>55.147174291197373</v>
          </cell>
          <cell r="E451">
            <v>55.450588932478716</v>
          </cell>
          <cell r="F451">
            <v>55.663823543296331</v>
          </cell>
          <cell r="G451">
            <v>56.208615275713917</v>
          </cell>
          <cell r="H451">
            <v>56.268804752907663</v>
          </cell>
          <cell r="I451">
            <v>56.770836455903634</v>
          </cell>
          <cell r="J451">
            <v>57.017563580737253</v>
          </cell>
          <cell r="K451">
            <v>57.457208412162345</v>
          </cell>
          <cell r="L451">
            <v>58.057229589484585</v>
          </cell>
          <cell r="M451">
            <v>57.824568371221545</v>
          </cell>
          <cell r="N451">
            <v>57.971231415296508</v>
          </cell>
          <cell r="O451">
            <v>57.780831195269613</v>
          </cell>
          <cell r="P451">
            <v>57.301810320459204</v>
          </cell>
          <cell r="Q451">
            <v>57.47377421396277</v>
          </cell>
          <cell r="R451">
            <v>57.315384474713262</v>
          </cell>
          <cell r="S451">
            <v>57.317983594449785</v>
          </cell>
          <cell r="T451">
            <v>57.317983594449785</v>
          </cell>
          <cell r="U451">
            <v>57.317983594449785</v>
          </cell>
          <cell r="V451">
            <v>57.317983594449785</v>
          </cell>
          <cell r="W451">
            <v>57.317983594449785</v>
          </cell>
          <cell r="X451">
            <v>57.317983594449785</v>
          </cell>
          <cell r="Y451">
            <v>57.317983594449785</v>
          </cell>
          <cell r="Z451">
            <v>57.317983594449785</v>
          </cell>
          <cell r="AA451">
            <v>57.317983594449785</v>
          </cell>
          <cell r="AB451">
            <v>57.317983594449785</v>
          </cell>
          <cell r="AC451">
            <v>57.317983594449785</v>
          </cell>
          <cell r="AD451">
            <v>57.317983594449785</v>
          </cell>
          <cell r="AE451">
            <v>57.317983594449785</v>
          </cell>
          <cell r="AF451">
            <v>57.317983594449785</v>
          </cell>
        </row>
        <row r="452">
          <cell r="A452" t="str">
            <v>North Carolina</v>
          </cell>
          <cell r="B452">
            <v>54.814882026281254</v>
          </cell>
          <cell r="C452">
            <v>55.252015635355221</v>
          </cell>
          <cell r="D452">
            <v>55.652566160336903</v>
          </cell>
          <cell r="E452">
            <v>55.958444708474161</v>
          </cell>
          <cell r="F452">
            <v>56.174258975316228</v>
          </cell>
          <cell r="G452">
            <v>56.72327268612996</v>
          </cell>
          <cell r="H452">
            <v>56.783572742321802</v>
          </cell>
          <cell r="I452">
            <v>57.291987582370062</v>
          </cell>
          <cell r="J452">
            <v>57.54164225757296</v>
          </cell>
          <cell r="K452">
            <v>57.987425878275921</v>
          </cell>
          <cell r="L452">
            <v>58.59626125386589</v>
          </cell>
          <cell r="M452">
            <v>58.359905401690234</v>
          </cell>
          <cell r="N452">
            <v>58.508356325523621</v>
          </cell>
          <cell r="O452">
            <v>58.316725669054655</v>
          </cell>
          <cell r="P452">
            <v>57.831478483596811</v>
          </cell>
          <cell r="Q452">
            <v>58.005532461288325</v>
          </cell>
          <cell r="R452">
            <v>57.844191326477826</v>
          </cell>
          <cell r="S452">
            <v>57.84674553957975</v>
          </cell>
          <cell r="T452">
            <v>57.84674553957975</v>
          </cell>
          <cell r="U452">
            <v>57.84674553957975</v>
          </cell>
          <cell r="V452">
            <v>57.84674553957975</v>
          </cell>
          <cell r="W452">
            <v>57.84674553957975</v>
          </cell>
          <cell r="X452">
            <v>57.84674553957975</v>
          </cell>
          <cell r="Y452">
            <v>57.84674553957975</v>
          </cell>
          <cell r="Z452">
            <v>57.84674553957975</v>
          </cell>
          <cell r="AA452">
            <v>57.84674553957975</v>
          </cell>
          <cell r="AB452">
            <v>57.84674553957975</v>
          </cell>
          <cell r="AC452">
            <v>57.84674553957975</v>
          </cell>
          <cell r="AD452">
            <v>57.84674553957975</v>
          </cell>
          <cell r="AE452">
            <v>57.84674553957975</v>
          </cell>
          <cell r="AF452">
            <v>57.84674553957975</v>
          </cell>
        </row>
        <row r="453">
          <cell r="A453" t="str">
            <v>North Dakota</v>
          </cell>
          <cell r="B453">
            <v>52.446800259021366</v>
          </cell>
          <cell r="C453">
            <v>52.861758110576844</v>
          </cell>
          <cell r="D453">
            <v>53.253767835950427</v>
          </cell>
          <cell r="E453">
            <v>53.547888315731555</v>
          </cell>
          <cell r="F453">
            <v>53.751583582268843</v>
          </cell>
          <cell r="G453">
            <v>54.280403879356335</v>
          </cell>
          <cell r="H453">
            <v>54.340090867176471</v>
          </cell>
          <cell r="I453">
            <v>54.818565208364781</v>
          </cell>
          <cell r="J453">
            <v>55.054457825100449</v>
          </cell>
          <cell r="K453">
            <v>55.471526208279144</v>
          </cell>
          <cell r="L453">
            <v>56.039188910163652</v>
          </cell>
          <cell r="M453">
            <v>55.820056792636812</v>
          </cell>
          <cell r="N453">
            <v>55.960110471459544</v>
          </cell>
          <cell r="O453">
            <v>55.774422880233189</v>
          </cell>
          <cell r="P453">
            <v>55.318361018655089</v>
          </cell>
          <cell r="Q453">
            <v>55.48259743343587</v>
          </cell>
          <cell r="R453">
            <v>55.334964835538621</v>
          </cell>
          <cell r="S453">
            <v>55.337718447239922</v>
          </cell>
          <cell r="T453">
            <v>55.337718447239922</v>
          </cell>
          <cell r="U453">
            <v>55.337718447239922</v>
          </cell>
          <cell r="V453">
            <v>55.337718447239922</v>
          </cell>
          <cell r="W453">
            <v>55.337718447239922</v>
          </cell>
          <cell r="X453">
            <v>55.337718447239922</v>
          </cell>
          <cell r="Y453">
            <v>55.337718447239922</v>
          </cell>
          <cell r="Z453">
            <v>55.337718447239922</v>
          </cell>
          <cell r="AA453">
            <v>55.337718447239922</v>
          </cell>
          <cell r="AB453">
            <v>55.337718447239922</v>
          </cell>
          <cell r="AC453">
            <v>55.337718447239922</v>
          </cell>
          <cell r="AD453">
            <v>55.337718447239922</v>
          </cell>
          <cell r="AE453">
            <v>55.337718447239922</v>
          </cell>
          <cell r="AF453">
            <v>55.337718447239922</v>
          </cell>
        </row>
        <row r="454">
          <cell r="A454" t="str">
            <v>Ohio</v>
          </cell>
          <cell r="B454">
            <v>54.325618937869137</v>
          </cell>
          <cell r="C454">
            <v>54.758140584414051</v>
          </cell>
          <cell r="D454">
            <v>55.157007172367251</v>
          </cell>
          <cell r="E454">
            <v>55.460469820412953</v>
          </cell>
          <cell r="F454">
            <v>55.673754484423348</v>
          </cell>
          <cell r="G454">
            <v>56.218628527627423</v>
          </cell>
          <cell r="H454">
            <v>56.278820252469821</v>
          </cell>
          <cell r="I454">
            <v>56.780975756599631</v>
          </cell>
          <cell r="J454">
            <v>57.027759694306447</v>
          </cell>
          <cell r="K454">
            <v>57.467523501411172</v>
          </cell>
          <cell r="L454">
            <v>58.067715443981641</v>
          </cell>
          <cell r="M454">
            <v>57.834982684002938</v>
          </cell>
          <cell r="N454">
            <v>57.981680416150738</v>
          </cell>
          <cell r="O454">
            <v>57.791256144553714</v>
          </cell>
          <cell r="P454">
            <v>57.312114531611222</v>
          </cell>
          <cell r="Q454">
            <v>57.484118977516111</v>
          </cell>
          <cell r="R454">
            <v>57.325672143307067</v>
          </cell>
          <cell r="S454">
            <v>57.328270404337822</v>
          </cell>
          <cell r="T454">
            <v>57.328270404337822</v>
          </cell>
          <cell r="U454">
            <v>57.328270404337822</v>
          </cell>
          <cell r="V454">
            <v>57.328270404337822</v>
          </cell>
          <cell r="W454">
            <v>57.328270404337822</v>
          </cell>
          <cell r="X454">
            <v>57.328270404337822</v>
          </cell>
          <cell r="Y454">
            <v>57.328270404337822</v>
          </cell>
          <cell r="Z454">
            <v>57.328270404337822</v>
          </cell>
          <cell r="AA454">
            <v>57.328270404337822</v>
          </cell>
          <cell r="AB454">
            <v>57.328270404337822</v>
          </cell>
          <cell r="AC454">
            <v>57.328270404337822</v>
          </cell>
          <cell r="AD454">
            <v>57.328270404337822</v>
          </cell>
          <cell r="AE454">
            <v>57.328270404337822</v>
          </cell>
          <cell r="AF454">
            <v>57.328270404337822</v>
          </cell>
        </row>
        <row r="455">
          <cell r="A455" t="str">
            <v>Oklahoma</v>
          </cell>
          <cell r="B455">
            <v>54.72409955957523</v>
          </cell>
          <cell r="C455">
            <v>55.160376229940454</v>
          </cell>
          <cell r="D455">
            <v>55.560617475328279</v>
          </cell>
          <cell r="E455">
            <v>55.86604828211776</v>
          </cell>
          <cell r="F455">
            <v>56.081392170253181</v>
          </cell>
          <cell r="G455">
            <v>56.629639044837383</v>
          </cell>
          <cell r="H455">
            <v>56.689919721647755</v>
          </cell>
          <cell r="I455">
            <v>57.197170256995115</v>
          </cell>
          <cell r="J455">
            <v>57.446291190572886</v>
          </cell>
          <cell r="K455">
            <v>57.890954413604319</v>
          </cell>
          <cell r="L455">
            <v>58.49818061998986</v>
          </cell>
          <cell r="M455">
            <v>58.262499570182825</v>
          </cell>
          <cell r="N455">
            <v>58.410624471845431</v>
          </cell>
          <cell r="O455">
            <v>58.219216813449073</v>
          </cell>
          <cell r="P455">
            <v>57.735105490972096</v>
          </cell>
          <cell r="Q455">
            <v>57.908778346964283</v>
          </cell>
          <cell r="R455">
            <v>57.747976688288958</v>
          </cell>
          <cell r="S455">
            <v>57.750539186636978</v>
          </cell>
          <cell r="T455">
            <v>57.750539186636978</v>
          </cell>
          <cell r="U455">
            <v>57.750539186636978</v>
          </cell>
          <cell r="V455">
            <v>57.750539186636978</v>
          </cell>
          <cell r="W455">
            <v>57.750539186636978</v>
          </cell>
          <cell r="X455">
            <v>57.750539186636978</v>
          </cell>
          <cell r="Y455">
            <v>57.750539186636978</v>
          </cell>
          <cell r="Z455">
            <v>57.750539186636978</v>
          </cell>
          <cell r="AA455">
            <v>57.750539186636978</v>
          </cell>
          <cell r="AB455">
            <v>57.750539186636978</v>
          </cell>
          <cell r="AC455">
            <v>57.750539186636978</v>
          </cell>
          <cell r="AD455">
            <v>57.750539186636978</v>
          </cell>
          <cell r="AE455">
            <v>57.750539186636978</v>
          </cell>
          <cell r="AF455">
            <v>57.750539186636978</v>
          </cell>
        </row>
        <row r="456">
          <cell r="A456" t="str">
            <v>Oregon</v>
          </cell>
          <cell r="B456">
            <v>63.672137248327523</v>
          </cell>
          <cell r="C456">
            <v>64.195516610704814</v>
          </cell>
          <cell r="D456">
            <v>64.619217628523444</v>
          </cell>
          <cell r="E456">
            <v>64.967613032761577</v>
          </cell>
          <cell r="F456">
            <v>65.231560922994461</v>
          </cell>
          <cell r="G456">
            <v>65.852566208522163</v>
          </cell>
          <cell r="H456">
            <v>65.913160319727098</v>
          </cell>
          <cell r="I456">
            <v>66.541564870289463</v>
          </cell>
          <cell r="J456">
            <v>66.845680383626174</v>
          </cell>
          <cell r="K456">
            <v>67.40835661394226</v>
          </cell>
          <cell r="L456">
            <v>68.186111118062897</v>
          </cell>
          <cell r="M456">
            <v>67.878296444958522</v>
          </cell>
          <cell r="N456">
            <v>68.06014622316242</v>
          </cell>
          <cell r="O456">
            <v>67.848630788923714</v>
          </cell>
          <cell r="P456">
            <v>67.245971883300498</v>
          </cell>
          <cell r="Q456">
            <v>67.45905241562923</v>
          </cell>
          <cell r="R456">
            <v>67.239675652591657</v>
          </cell>
          <cell r="S456">
            <v>67.241173228743619</v>
          </cell>
          <cell r="T456">
            <v>67.241173228743619</v>
          </cell>
          <cell r="U456">
            <v>67.241173228743619</v>
          </cell>
          <cell r="V456">
            <v>67.241173228743619</v>
          </cell>
          <cell r="W456">
            <v>67.241173228743619</v>
          </cell>
          <cell r="X456">
            <v>67.241173228743619</v>
          </cell>
          <cell r="Y456">
            <v>67.241173228743619</v>
          </cell>
          <cell r="Z456">
            <v>67.241173228743619</v>
          </cell>
          <cell r="AA456">
            <v>67.241173228743619</v>
          </cell>
          <cell r="AB456">
            <v>67.241173228743619</v>
          </cell>
          <cell r="AC456">
            <v>67.241173228743619</v>
          </cell>
          <cell r="AD456">
            <v>67.241173228743619</v>
          </cell>
          <cell r="AE456">
            <v>67.241173228743619</v>
          </cell>
          <cell r="AF456">
            <v>67.241173228743619</v>
          </cell>
        </row>
        <row r="457">
          <cell r="A457" t="str">
            <v>Pennsylvania</v>
          </cell>
          <cell r="B457">
            <v>54.315911246285843</v>
          </cell>
          <cell r="C457">
            <v>54.748341547015052</v>
          </cell>
          <cell r="D457">
            <v>55.147174291197388</v>
          </cell>
          <cell r="E457">
            <v>55.450588932478716</v>
          </cell>
          <cell r="F457">
            <v>55.663823543296331</v>
          </cell>
          <cell r="G457">
            <v>56.20861527571391</v>
          </cell>
          <cell r="H457">
            <v>56.268804752907656</v>
          </cell>
          <cell r="I457">
            <v>56.770836455903606</v>
          </cell>
          <cell r="J457">
            <v>57.017563580737253</v>
          </cell>
          <cell r="K457">
            <v>57.457208412162359</v>
          </cell>
          <cell r="L457">
            <v>58.057229589484571</v>
          </cell>
          <cell r="M457">
            <v>57.824568371221538</v>
          </cell>
          <cell r="N457">
            <v>57.971231415296522</v>
          </cell>
          <cell r="O457">
            <v>57.780831195269585</v>
          </cell>
          <cell r="P457">
            <v>57.301810320459211</v>
          </cell>
          <cell r="Q457">
            <v>57.47377421396277</v>
          </cell>
          <cell r="R457">
            <v>57.315384474713269</v>
          </cell>
          <cell r="S457">
            <v>57.317983594449814</v>
          </cell>
          <cell r="T457">
            <v>57.317983594449814</v>
          </cell>
          <cell r="U457">
            <v>57.317983594449814</v>
          </cell>
          <cell r="V457">
            <v>57.317983594449814</v>
          </cell>
          <cell r="W457">
            <v>57.317983594449814</v>
          </cell>
          <cell r="X457">
            <v>57.317983594449814</v>
          </cell>
          <cell r="Y457">
            <v>57.317983594449814</v>
          </cell>
          <cell r="Z457">
            <v>57.317983594449814</v>
          </cell>
          <cell r="AA457">
            <v>57.317983594449814</v>
          </cell>
          <cell r="AB457">
            <v>57.317983594449814</v>
          </cell>
          <cell r="AC457">
            <v>57.317983594449814</v>
          </cell>
          <cell r="AD457">
            <v>57.317983594449814</v>
          </cell>
          <cell r="AE457">
            <v>57.317983594449814</v>
          </cell>
          <cell r="AF457">
            <v>57.317983594449814</v>
          </cell>
        </row>
        <row r="458">
          <cell r="A458" t="str">
            <v>Rhode Island</v>
          </cell>
          <cell r="B458">
            <v>54.315911246285836</v>
          </cell>
          <cell r="C458">
            <v>54.748341547015052</v>
          </cell>
          <cell r="D458">
            <v>55.147174291197373</v>
          </cell>
          <cell r="E458">
            <v>55.450588932478709</v>
          </cell>
          <cell r="F458">
            <v>55.663823543296331</v>
          </cell>
          <cell r="G458">
            <v>56.208615275713925</v>
          </cell>
          <cell r="H458">
            <v>56.268804752907663</v>
          </cell>
          <cell r="I458">
            <v>56.770836455903613</v>
          </cell>
          <cell r="J458">
            <v>57.01756358073726</v>
          </cell>
          <cell r="K458">
            <v>57.457208412162345</v>
          </cell>
          <cell r="L458">
            <v>58.057229589484578</v>
          </cell>
          <cell r="M458">
            <v>57.824568371221531</v>
          </cell>
          <cell r="N458">
            <v>57.971231415296515</v>
          </cell>
          <cell r="O458">
            <v>57.780831195269606</v>
          </cell>
          <cell r="P458">
            <v>57.301810320459197</v>
          </cell>
          <cell r="Q458">
            <v>57.47377421396277</v>
          </cell>
          <cell r="R458">
            <v>57.315384474713269</v>
          </cell>
          <cell r="S458">
            <v>57.317983594449807</v>
          </cell>
          <cell r="T458">
            <v>57.317983594449807</v>
          </cell>
          <cell r="U458">
            <v>57.317983594449807</v>
          </cell>
          <cell r="V458">
            <v>57.317983594449807</v>
          </cell>
          <cell r="W458">
            <v>57.317983594449807</v>
          </cell>
          <cell r="X458">
            <v>57.317983594449807</v>
          </cell>
          <cell r="Y458">
            <v>57.317983594449807</v>
          </cell>
          <cell r="Z458">
            <v>57.317983594449807</v>
          </cell>
          <cell r="AA458">
            <v>57.317983594449807</v>
          </cell>
          <cell r="AB458">
            <v>57.317983594449807</v>
          </cell>
          <cell r="AC458">
            <v>57.317983594449807</v>
          </cell>
          <cell r="AD458">
            <v>57.317983594449807</v>
          </cell>
          <cell r="AE458">
            <v>57.317983594449807</v>
          </cell>
          <cell r="AF458">
            <v>57.317983594449807</v>
          </cell>
        </row>
        <row r="459">
          <cell r="A459" t="str">
            <v>South Carolina</v>
          </cell>
          <cell r="B459">
            <v>54.814882026281246</v>
          </cell>
          <cell r="C459">
            <v>55.252015635355221</v>
          </cell>
          <cell r="D459">
            <v>55.652566160336903</v>
          </cell>
          <cell r="E459">
            <v>55.958444708474168</v>
          </cell>
          <cell r="F459">
            <v>56.174258975316221</v>
          </cell>
          <cell r="G459">
            <v>56.723272686129953</v>
          </cell>
          <cell r="H459">
            <v>56.783572742321802</v>
          </cell>
          <cell r="I459">
            <v>57.291987582370041</v>
          </cell>
          <cell r="J459">
            <v>57.541642257572967</v>
          </cell>
          <cell r="K459">
            <v>57.987425878275921</v>
          </cell>
          <cell r="L459">
            <v>58.59626125386589</v>
          </cell>
          <cell r="M459">
            <v>58.35990540169022</v>
          </cell>
          <cell r="N459">
            <v>58.508356325523607</v>
          </cell>
          <cell r="O459">
            <v>58.316725669054648</v>
          </cell>
          <cell r="P459">
            <v>57.831478483596825</v>
          </cell>
          <cell r="Q459">
            <v>58.005532461288333</v>
          </cell>
          <cell r="R459">
            <v>57.844191326477841</v>
          </cell>
          <cell r="S459">
            <v>57.846745539579736</v>
          </cell>
          <cell r="T459">
            <v>57.846745539579736</v>
          </cell>
          <cell r="U459">
            <v>57.846745539579736</v>
          </cell>
          <cell r="V459">
            <v>57.846745539579736</v>
          </cell>
          <cell r="W459">
            <v>57.846745539579736</v>
          </cell>
          <cell r="X459">
            <v>57.846745539579736</v>
          </cell>
          <cell r="Y459">
            <v>57.846745539579736</v>
          </cell>
          <cell r="Z459">
            <v>57.846745539579736</v>
          </cell>
          <cell r="AA459">
            <v>57.846745539579736</v>
          </cell>
          <cell r="AB459">
            <v>57.846745539579736</v>
          </cell>
          <cell r="AC459">
            <v>57.846745539579736</v>
          </cell>
          <cell r="AD459">
            <v>57.846745539579736</v>
          </cell>
          <cell r="AE459">
            <v>57.846745539579736</v>
          </cell>
          <cell r="AF459">
            <v>57.846745539579736</v>
          </cell>
        </row>
        <row r="460">
          <cell r="A460" t="str">
            <v>South Dakota</v>
          </cell>
          <cell r="B460">
            <v>52.446800259021359</v>
          </cell>
          <cell r="C460">
            <v>52.861758110576844</v>
          </cell>
          <cell r="D460">
            <v>53.253767835950448</v>
          </cell>
          <cell r="E460">
            <v>53.547888315731562</v>
          </cell>
          <cell r="F460">
            <v>53.751583582268843</v>
          </cell>
          <cell r="G460">
            <v>54.280403879356328</v>
          </cell>
          <cell r="H460">
            <v>54.340090867176471</v>
          </cell>
          <cell r="I460">
            <v>54.818565208364802</v>
          </cell>
          <cell r="J460">
            <v>55.054457825100457</v>
          </cell>
          <cell r="K460">
            <v>55.471526208279151</v>
          </cell>
          <cell r="L460">
            <v>56.039188910163638</v>
          </cell>
          <cell r="M460">
            <v>55.820056792636805</v>
          </cell>
          <cell r="N460">
            <v>55.960110471459551</v>
          </cell>
          <cell r="O460">
            <v>55.774422880233189</v>
          </cell>
          <cell r="P460">
            <v>55.318361018655104</v>
          </cell>
          <cell r="Q460">
            <v>55.482597433435856</v>
          </cell>
          <cell r="R460">
            <v>55.334964835538621</v>
          </cell>
          <cell r="S460">
            <v>55.337718447239929</v>
          </cell>
          <cell r="T460">
            <v>55.337718447239929</v>
          </cell>
          <cell r="U460">
            <v>55.337718447239929</v>
          </cell>
          <cell r="V460">
            <v>55.337718447239929</v>
          </cell>
          <cell r="W460">
            <v>55.337718447239929</v>
          </cell>
          <cell r="X460">
            <v>55.337718447239929</v>
          </cell>
          <cell r="Y460">
            <v>55.337718447239929</v>
          </cell>
          <cell r="Z460">
            <v>55.337718447239929</v>
          </cell>
          <cell r="AA460">
            <v>55.337718447239929</v>
          </cell>
          <cell r="AB460">
            <v>55.337718447239929</v>
          </cell>
          <cell r="AC460">
            <v>55.337718447239929</v>
          </cell>
          <cell r="AD460">
            <v>55.337718447239929</v>
          </cell>
          <cell r="AE460">
            <v>55.337718447239929</v>
          </cell>
          <cell r="AF460">
            <v>55.337718447239929</v>
          </cell>
        </row>
        <row r="461">
          <cell r="A461" t="str">
            <v>Tennessee</v>
          </cell>
          <cell r="B461">
            <v>54.814882026281232</v>
          </cell>
          <cell r="C461">
            <v>55.252015635355214</v>
          </cell>
          <cell r="D461">
            <v>55.652566160336903</v>
          </cell>
          <cell r="E461">
            <v>55.958444708474168</v>
          </cell>
          <cell r="F461">
            <v>56.174258975316221</v>
          </cell>
          <cell r="G461">
            <v>56.723272686129967</v>
          </cell>
          <cell r="H461">
            <v>56.783572742321802</v>
          </cell>
          <cell r="I461">
            <v>57.291987582370048</v>
          </cell>
          <cell r="J461">
            <v>57.541642257572967</v>
          </cell>
          <cell r="K461">
            <v>57.987425878275921</v>
          </cell>
          <cell r="L461">
            <v>58.59626125386589</v>
          </cell>
          <cell r="M461">
            <v>58.35990540169022</v>
          </cell>
          <cell r="N461">
            <v>58.508356325523607</v>
          </cell>
          <cell r="O461">
            <v>58.316725669054655</v>
          </cell>
          <cell r="P461">
            <v>57.831478483596811</v>
          </cell>
          <cell r="Q461">
            <v>58.005532461288325</v>
          </cell>
          <cell r="R461">
            <v>57.844191326477841</v>
          </cell>
          <cell r="S461">
            <v>57.84674553957975</v>
          </cell>
          <cell r="T461">
            <v>57.84674553957975</v>
          </cell>
          <cell r="U461">
            <v>57.84674553957975</v>
          </cell>
          <cell r="V461">
            <v>57.84674553957975</v>
          </cell>
          <cell r="W461">
            <v>57.84674553957975</v>
          </cell>
          <cell r="X461">
            <v>57.84674553957975</v>
          </cell>
          <cell r="Y461">
            <v>57.84674553957975</v>
          </cell>
          <cell r="Z461">
            <v>57.84674553957975</v>
          </cell>
          <cell r="AA461">
            <v>57.84674553957975</v>
          </cell>
          <cell r="AB461">
            <v>57.84674553957975</v>
          </cell>
          <cell r="AC461">
            <v>57.84674553957975</v>
          </cell>
          <cell r="AD461">
            <v>57.84674553957975</v>
          </cell>
          <cell r="AE461">
            <v>57.84674553957975</v>
          </cell>
          <cell r="AF461">
            <v>57.84674553957975</v>
          </cell>
        </row>
        <row r="462">
          <cell r="A462" t="str">
            <v>Texas</v>
          </cell>
          <cell r="B462">
            <v>54.724099559575222</v>
          </cell>
          <cell r="C462">
            <v>55.160376229940461</v>
          </cell>
          <cell r="D462">
            <v>55.560617475328272</v>
          </cell>
          <cell r="E462">
            <v>55.866048282117788</v>
          </cell>
          <cell r="F462">
            <v>56.081392170253181</v>
          </cell>
          <cell r="G462">
            <v>56.629639044837397</v>
          </cell>
          <cell r="H462">
            <v>56.689919721647762</v>
          </cell>
          <cell r="I462">
            <v>57.197170256995122</v>
          </cell>
          <cell r="J462">
            <v>57.446291190572886</v>
          </cell>
          <cell r="K462">
            <v>57.890954413604298</v>
          </cell>
          <cell r="L462">
            <v>58.49818061998986</v>
          </cell>
          <cell r="M462">
            <v>58.262499570182818</v>
          </cell>
          <cell r="N462">
            <v>58.410624471845431</v>
          </cell>
          <cell r="O462">
            <v>58.219216813449044</v>
          </cell>
          <cell r="P462">
            <v>57.735105490972117</v>
          </cell>
          <cell r="Q462">
            <v>57.90877834696429</v>
          </cell>
          <cell r="R462">
            <v>57.747976688288972</v>
          </cell>
          <cell r="S462">
            <v>57.750539186636971</v>
          </cell>
          <cell r="T462">
            <v>57.750539186636971</v>
          </cell>
          <cell r="U462">
            <v>57.750539186636971</v>
          </cell>
          <cell r="V462">
            <v>57.750539186636971</v>
          </cell>
          <cell r="W462">
            <v>57.750539186636971</v>
          </cell>
          <cell r="X462">
            <v>57.750539186636971</v>
          </cell>
          <cell r="Y462">
            <v>57.750539186636971</v>
          </cell>
          <cell r="Z462">
            <v>57.750539186636971</v>
          </cell>
          <cell r="AA462">
            <v>57.750539186636971</v>
          </cell>
          <cell r="AB462">
            <v>57.750539186636971</v>
          </cell>
          <cell r="AC462">
            <v>57.750539186636971</v>
          </cell>
          <cell r="AD462">
            <v>57.750539186636971</v>
          </cell>
          <cell r="AE462">
            <v>57.750539186636971</v>
          </cell>
          <cell r="AF462">
            <v>57.750539186636971</v>
          </cell>
        </row>
        <row r="463">
          <cell r="A463" t="str">
            <v>Utah</v>
          </cell>
          <cell r="B463">
            <v>63.672137248327545</v>
          </cell>
          <cell r="C463">
            <v>64.195516610704786</v>
          </cell>
          <cell r="D463">
            <v>64.619217628523458</v>
          </cell>
          <cell r="E463">
            <v>64.967613032761591</v>
          </cell>
          <cell r="F463">
            <v>65.231560922994461</v>
          </cell>
          <cell r="G463">
            <v>65.852566208522148</v>
          </cell>
          <cell r="H463">
            <v>65.913160319727083</v>
          </cell>
          <cell r="I463">
            <v>66.541564870289477</v>
          </cell>
          <cell r="J463">
            <v>66.845680383626174</v>
          </cell>
          <cell r="K463">
            <v>67.408356613942246</v>
          </cell>
          <cell r="L463">
            <v>68.186111118062882</v>
          </cell>
          <cell r="M463">
            <v>67.878296444958522</v>
          </cell>
          <cell r="N463">
            <v>68.06014622316242</v>
          </cell>
          <cell r="O463">
            <v>67.848630788923714</v>
          </cell>
          <cell r="P463">
            <v>67.245971883300498</v>
          </cell>
          <cell r="Q463">
            <v>67.459052415629245</v>
          </cell>
          <cell r="R463">
            <v>67.239675652591643</v>
          </cell>
          <cell r="S463">
            <v>67.241173228743605</v>
          </cell>
          <cell r="T463">
            <v>67.241173228743605</v>
          </cell>
          <cell r="U463">
            <v>67.241173228743605</v>
          </cell>
          <cell r="V463">
            <v>67.241173228743605</v>
          </cell>
          <cell r="W463">
            <v>67.241173228743605</v>
          </cell>
          <cell r="X463">
            <v>67.241173228743605</v>
          </cell>
          <cell r="Y463">
            <v>67.241173228743605</v>
          </cell>
          <cell r="Z463">
            <v>67.241173228743605</v>
          </cell>
          <cell r="AA463">
            <v>67.241173228743605</v>
          </cell>
          <cell r="AB463">
            <v>67.241173228743605</v>
          </cell>
          <cell r="AC463">
            <v>67.241173228743605</v>
          </cell>
          <cell r="AD463">
            <v>67.241173228743605</v>
          </cell>
          <cell r="AE463">
            <v>67.241173228743605</v>
          </cell>
          <cell r="AF463">
            <v>67.241173228743605</v>
          </cell>
        </row>
        <row r="464">
          <cell r="A464" t="str">
            <v>Vermont</v>
          </cell>
          <cell r="B464">
            <v>54.315911246285843</v>
          </cell>
          <cell r="C464">
            <v>54.748341547015038</v>
          </cell>
          <cell r="D464">
            <v>55.147174291197373</v>
          </cell>
          <cell r="E464">
            <v>55.450588932478702</v>
          </cell>
          <cell r="F464">
            <v>55.663823543296338</v>
          </cell>
          <cell r="G464">
            <v>56.208615275713925</v>
          </cell>
          <cell r="H464">
            <v>56.268804752907663</v>
          </cell>
          <cell r="I464">
            <v>56.770836455903627</v>
          </cell>
          <cell r="J464">
            <v>57.01756358073726</v>
          </cell>
          <cell r="K464">
            <v>57.457208412162331</v>
          </cell>
          <cell r="L464">
            <v>58.057229589484571</v>
          </cell>
          <cell r="M464">
            <v>57.824568371221538</v>
          </cell>
          <cell r="N464">
            <v>57.971231415296522</v>
          </cell>
          <cell r="O464">
            <v>57.780831195269599</v>
          </cell>
          <cell r="P464">
            <v>57.301810320459204</v>
          </cell>
          <cell r="Q464">
            <v>57.473774213962763</v>
          </cell>
          <cell r="R464">
            <v>57.315384474713269</v>
          </cell>
          <cell r="S464">
            <v>57.317983594449807</v>
          </cell>
          <cell r="T464">
            <v>57.317983594449807</v>
          </cell>
          <cell r="U464">
            <v>57.317983594449807</v>
          </cell>
          <cell r="V464">
            <v>57.317983594449807</v>
          </cell>
          <cell r="W464">
            <v>57.317983594449807</v>
          </cell>
          <cell r="X464">
            <v>57.317983594449807</v>
          </cell>
          <cell r="Y464">
            <v>57.317983594449807</v>
          </cell>
          <cell r="Z464">
            <v>57.317983594449807</v>
          </cell>
          <cell r="AA464">
            <v>57.317983594449807</v>
          </cell>
          <cell r="AB464">
            <v>57.317983594449807</v>
          </cell>
          <cell r="AC464">
            <v>57.317983594449807</v>
          </cell>
          <cell r="AD464">
            <v>57.317983594449807</v>
          </cell>
          <cell r="AE464">
            <v>57.317983594449807</v>
          </cell>
          <cell r="AF464">
            <v>57.317983594449807</v>
          </cell>
        </row>
        <row r="465">
          <cell r="A465" t="str">
            <v>Virginia</v>
          </cell>
          <cell r="B465">
            <v>54.814882026281261</v>
          </cell>
          <cell r="C465">
            <v>55.252015635355221</v>
          </cell>
          <cell r="D465">
            <v>55.652566160336917</v>
          </cell>
          <cell r="E465">
            <v>55.958444708474147</v>
          </cell>
          <cell r="F465">
            <v>56.174258975316221</v>
          </cell>
          <cell r="G465">
            <v>56.723272686129967</v>
          </cell>
          <cell r="H465">
            <v>56.783572742321809</v>
          </cell>
          <cell r="I465">
            <v>57.291987582370048</v>
          </cell>
          <cell r="J465">
            <v>57.541642257572953</v>
          </cell>
          <cell r="K465">
            <v>57.987425878275936</v>
          </cell>
          <cell r="L465">
            <v>58.596261253865883</v>
          </cell>
          <cell r="M465">
            <v>58.35990540169022</v>
          </cell>
          <cell r="N465">
            <v>58.508356325523629</v>
          </cell>
          <cell r="O465">
            <v>58.316725669054669</v>
          </cell>
          <cell r="P465">
            <v>57.831478483596818</v>
          </cell>
          <cell r="Q465">
            <v>58.005532461288333</v>
          </cell>
          <cell r="R465">
            <v>57.844191326477834</v>
          </cell>
          <cell r="S465">
            <v>57.84674553957975</v>
          </cell>
          <cell r="T465">
            <v>57.84674553957975</v>
          </cell>
          <cell r="U465">
            <v>57.84674553957975</v>
          </cell>
          <cell r="V465">
            <v>57.84674553957975</v>
          </cell>
          <cell r="W465">
            <v>57.84674553957975</v>
          </cell>
          <cell r="X465">
            <v>57.84674553957975</v>
          </cell>
          <cell r="Y465">
            <v>57.84674553957975</v>
          </cell>
          <cell r="Z465">
            <v>57.84674553957975</v>
          </cell>
          <cell r="AA465">
            <v>57.84674553957975</v>
          </cell>
          <cell r="AB465">
            <v>57.84674553957975</v>
          </cell>
          <cell r="AC465">
            <v>57.84674553957975</v>
          </cell>
          <cell r="AD465">
            <v>57.84674553957975</v>
          </cell>
          <cell r="AE465">
            <v>57.84674553957975</v>
          </cell>
          <cell r="AF465">
            <v>57.84674553957975</v>
          </cell>
        </row>
        <row r="466">
          <cell r="A466" t="str">
            <v>Washington</v>
          </cell>
          <cell r="B466">
            <v>63.67213724832753</v>
          </cell>
          <cell r="C466">
            <v>64.195516610704814</v>
          </cell>
          <cell r="D466">
            <v>64.619217628523458</v>
          </cell>
          <cell r="E466">
            <v>64.967613032761577</v>
          </cell>
          <cell r="F466">
            <v>65.231560922994461</v>
          </cell>
          <cell r="G466">
            <v>65.852566208522148</v>
          </cell>
          <cell r="H466">
            <v>65.913160319727098</v>
          </cell>
          <cell r="I466">
            <v>66.541564870289477</v>
          </cell>
          <cell r="J466">
            <v>66.84568038362616</v>
          </cell>
          <cell r="K466">
            <v>67.408356613942246</v>
          </cell>
          <cell r="L466">
            <v>68.186111118062882</v>
          </cell>
          <cell r="M466">
            <v>67.878296444958508</v>
          </cell>
          <cell r="N466">
            <v>68.06014622316242</v>
          </cell>
          <cell r="O466">
            <v>67.848630788923714</v>
          </cell>
          <cell r="P466">
            <v>67.245971883300513</v>
          </cell>
          <cell r="Q466">
            <v>67.459052415629245</v>
          </cell>
          <cell r="R466">
            <v>67.239675652591657</v>
          </cell>
          <cell r="S466">
            <v>67.241173228743605</v>
          </cell>
          <cell r="T466">
            <v>67.241173228743605</v>
          </cell>
          <cell r="U466">
            <v>67.241173228743605</v>
          </cell>
          <cell r="V466">
            <v>67.241173228743605</v>
          </cell>
          <cell r="W466">
            <v>67.241173228743605</v>
          </cell>
          <cell r="X466">
            <v>67.241173228743605</v>
          </cell>
          <cell r="Y466">
            <v>67.241173228743605</v>
          </cell>
          <cell r="Z466">
            <v>67.241173228743605</v>
          </cell>
          <cell r="AA466">
            <v>67.241173228743605</v>
          </cell>
          <cell r="AB466">
            <v>67.241173228743605</v>
          </cell>
          <cell r="AC466">
            <v>67.241173228743605</v>
          </cell>
          <cell r="AD466">
            <v>67.241173228743605</v>
          </cell>
          <cell r="AE466">
            <v>67.241173228743605</v>
          </cell>
          <cell r="AF466">
            <v>67.241173228743605</v>
          </cell>
        </row>
        <row r="467">
          <cell r="A467" t="str">
            <v>West Virginia</v>
          </cell>
          <cell r="B467">
            <v>54.315911246285843</v>
          </cell>
          <cell r="C467">
            <v>54.748341547015059</v>
          </cell>
          <cell r="D467">
            <v>55.147174291197381</v>
          </cell>
          <cell r="E467">
            <v>55.450588932478702</v>
          </cell>
          <cell r="F467">
            <v>55.663823543296331</v>
          </cell>
          <cell r="G467">
            <v>56.208615275713925</v>
          </cell>
          <cell r="H467">
            <v>56.268804752907656</v>
          </cell>
          <cell r="I467">
            <v>56.770836455903613</v>
          </cell>
          <cell r="J467">
            <v>57.017563580737246</v>
          </cell>
          <cell r="K467">
            <v>57.457208412162345</v>
          </cell>
          <cell r="L467">
            <v>58.057229589484571</v>
          </cell>
          <cell r="M467">
            <v>57.824568371221538</v>
          </cell>
          <cell r="N467">
            <v>57.971231415296508</v>
          </cell>
          <cell r="O467">
            <v>57.780831195269592</v>
          </cell>
          <cell r="P467">
            <v>57.301810320459197</v>
          </cell>
          <cell r="Q467">
            <v>57.473774213962777</v>
          </cell>
          <cell r="R467">
            <v>57.315384474713255</v>
          </cell>
          <cell r="S467">
            <v>57.317983594449814</v>
          </cell>
          <cell r="T467">
            <v>57.317983594449814</v>
          </cell>
          <cell r="U467">
            <v>57.317983594449814</v>
          </cell>
          <cell r="V467">
            <v>57.317983594449814</v>
          </cell>
          <cell r="W467">
            <v>57.317983594449814</v>
          </cell>
          <cell r="X467">
            <v>57.317983594449814</v>
          </cell>
          <cell r="Y467">
            <v>57.317983594449814</v>
          </cell>
          <cell r="Z467">
            <v>57.317983594449814</v>
          </cell>
          <cell r="AA467">
            <v>57.317983594449814</v>
          </cell>
          <cell r="AB467">
            <v>57.317983594449814</v>
          </cell>
          <cell r="AC467">
            <v>57.317983594449814</v>
          </cell>
          <cell r="AD467">
            <v>57.317983594449814</v>
          </cell>
          <cell r="AE467">
            <v>57.317983594449814</v>
          </cell>
          <cell r="AF467">
            <v>57.317983594449814</v>
          </cell>
        </row>
        <row r="468">
          <cell r="A468" t="str">
            <v>Wisconsin</v>
          </cell>
          <cell r="B468">
            <v>54.325618937869145</v>
          </cell>
          <cell r="C468">
            <v>54.758140584414058</v>
          </cell>
          <cell r="D468">
            <v>55.157007172367265</v>
          </cell>
          <cell r="E468">
            <v>55.460469820412953</v>
          </cell>
          <cell r="F468">
            <v>55.673754484423348</v>
          </cell>
          <cell r="G468">
            <v>56.21862852762743</v>
          </cell>
          <cell r="H468">
            <v>56.278820252469814</v>
          </cell>
          <cell r="I468">
            <v>56.780975756599631</v>
          </cell>
          <cell r="J468">
            <v>57.027759694306447</v>
          </cell>
          <cell r="K468">
            <v>57.467523501411179</v>
          </cell>
          <cell r="L468">
            <v>58.067715443981662</v>
          </cell>
          <cell r="M468">
            <v>57.834982684002931</v>
          </cell>
          <cell r="N468">
            <v>57.981680416150716</v>
          </cell>
          <cell r="O468">
            <v>57.791256144553714</v>
          </cell>
          <cell r="P468">
            <v>57.312114531611222</v>
          </cell>
          <cell r="Q468">
            <v>57.484118977516111</v>
          </cell>
          <cell r="R468">
            <v>57.325672143307052</v>
          </cell>
          <cell r="S468">
            <v>57.328270404337829</v>
          </cell>
          <cell r="T468">
            <v>57.328270404337829</v>
          </cell>
          <cell r="U468">
            <v>57.328270404337829</v>
          </cell>
          <cell r="V468">
            <v>57.328270404337829</v>
          </cell>
          <cell r="W468">
            <v>57.328270404337829</v>
          </cell>
          <cell r="X468">
            <v>57.328270404337829</v>
          </cell>
          <cell r="Y468">
            <v>57.328270404337829</v>
          </cell>
          <cell r="Z468">
            <v>57.328270404337829</v>
          </cell>
          <cell r="AA468">
            <v>57.328270404337829</v>
          </cell>
          <cell r="AB468">
            <v>57.328270404337829</v>
          </cell>
          <cell r="AC468">
            <v>57.328270404337829</v>
          </cell>
          <cell r="AD468">
            <v>57.328270404337829</v>
          </cell>
          <cell r="AE468">
            <v>57.328270404337829</v>
          </cell>
          <cell r="AF468">
            <v>57.328270404337829</v>
          </cell>
        </row>
        <row r="469">
          <cell r="A469" t="str">
            <v>Wyoming</v>
          </cell>
          <cell r="B469">
            <v>52.446800259021359</v>
          </cell>
          <cell r="C469">
            <v>52.861758110576844</v>
          </cell>
          <cell r="D469">
            <v>53.253767835950434</v>
          </cell>
          <cell r="E469">
            <v>53.547888315731562</v>
          </cell>
          <cell r="F469">
            <v>53.751583582268843</v>
          </cell>
          <cell r="G469">
            <v>54.280403879356328</v>
          </cell>
          <cell r="H469">
            <v>54.340090867176485</v>
          </cell>
          <cell r="I469">
            <v>54.818565208364788</v>
          </cell>
          <cell r="J469">
            <v>55.054457825100457</v>
          </cell>
          <cell r="K469">
            <v>55.471526208279151</v>
          </cell>
          <cell r="L469">
            <v>56.039188910163645</v>
          </cell>
          <cell r="M469">
            <v>55.820056792636819</v>
          </cell>
          <cell r="N469">
            <v>55.960110471459551</v>
          </cell>
          <cell r="O469">
            <v>55.774422880233189</v>
          </cell>
          <cell r="P469">
            <v>55.318361018655096</v>
          </cell>
          <cell r="Q469">
            <v>55.482597433435856</v>
          </cell>
          <cell r="R469">
            <v>55.334964835538621</v>
          </cell>
          <cell r="S469">
            <v>55.337718447239929</v>
          </cell>
          <cell r="T469">
            <v>55.337718447239929</v>
          </cell>
          <cell r="U469">
            <v>55.337718447239929</v>
          </cell>
          <cell r="V469">
            <v>55.337718447239929</v>
          </cell>
          <cell r="W469">
            <v>55.337718447239929</v>
          </cell>
          <cell r="X469">
            <v>55.337718447239929</v>
          </cell>
          <cell r="Y469">
            <v>55.337718447239929</v>
          </cell>
          <cell r="Z469">
            <v>55.337718447239929</v>
          </cell>
          <cell r="AA469">
            <v>55.337718447239929</v>
          </cell>
          <cell r="AB469">
            <v>55.337718447239929</v>
          </cell>
          <cell r="AC469">
            <v>55.337718447239929</v>
          </cell>
          <cell r="AD469">
            <v>55.337718447239929</v>
          </cell>
          <cell r="AE469">
            <v>55.337718447239929</v>
          </cell>
          <cell r="AF469">
            <v>55.337718447239929</v>
          </cell>
        </row>
        <row r="471">
          <cell r="A471" t="str">
            <v>Heifer Stockers</v>
          </cell>
          <cell r="B471">
            <v>1990</v>
          </cell>
          <cell r="C471">
            <v>1991</v>
          </cell>
          <cell r="D471">
            <v>1992</v>
          </cell>
          <cell r="E471">
            <v>1993</v>
          </cell>
          <cell r="F471">
            <v>1994</v>
          </cell>
          <cell r="G471">
            <v>1995</v>
          </cell>
          <cell r="H471">
            <v>1996</v>
          </cell>
          <cell r="I471">
            <v>1997</v>
          </cell>
          <cell r="J471">
            <v>1998</v>
          </cell>
          <cell r="K471">
            <v>1999</v>
          </cell>
          <cell r="L471">
            <v>2000</v>
          </cell>
          <cell r="M471">
            <v>2001</v>
          </cell>
          <cell r="N471">
            <v>2002</v>
          </cell>
          <cell r="O471">
            <v>2003</v>
          </cell>
          <cell r="P471">
            <v>2004</v>
          </cell>
          <cell r="Q471">
            <v>2005</v>
          </cell>
          <cell r="R471">
            <v>2006</v>
          </cell>
          <cell r="S471">
            <v>2007</v>
          </cell>
          <cell r="T471">
            <v>2008</v>
          </cell>
          <cell r="U471">
            <v>2009</v>
          </cell>
          <cell r="V471">
            <v>2010</v>
          </cell>
          <cell r="W471">
            <v>2011</v>
          </cell>
          <cell r="X471">
            <v>2012</v>
          </cell>
          <cell r="Y471">
            <v>2013</v>
          </cell>
          <cell r="Z471">
            <v>2014</v>
          </cell>
          <cell r="AA471">
            <v>2015</v>
          </cell>
          <cell r="AB471">
            <v>2016</v>
          </cell>
          <cell r="AC471">
            <v>2017</v>
          </cell>
          <cell r="AD471">
            <v>2018</v>
          </cell>
          <cell r="AE471">
            <v>2019</v>
          </cell>
          <cell r="AF471">
            <v>2020</v>
          </cell>
        </row>
        <row r="472">
          <cell r="A472" t="str">
            <v>Alabama</v>
          </cell>
          <cell r="B472">
            <v>51.979449321362694</v>
          </cell>
          <cell r="C472">
            <v>53.050068158848809</v>
          </cell>
          <cell r="D472">
            <v>53.883507233241389</v>
          </cell>
          <cell r="E472">
            <v>54.732434643991148</v>
          </cell>
          <cell r="F472">
            <v>55.552179828866734</v>
          </cell>
          <cell r="G472">
            <v>56.392357873839678</v>
          </cell>
          <cell r="H472">
            <v>56.913171901067045</v>
          </cell>
          <cell r="I472">
            <v>57.879217515934549</v>
          </cell>
          <cell r="J472">
            <v>58.47898995637518</v>
          </cell>
          <cell r="K472">
            <v>59.420668992092352</v>
          </cell>
          <cell r="L472">
            <v>60.664990397585406</v>
          </cell>
          <cell r="M472">
            <v>60.289223675177482</v>
          </cell>
          <cell r="N472">
            <v>60.471026641489445</v>
          </cell>
          <cell r="O472">
            <v>60.324168891580307</v>
          </cell>
          <cell r="P472">
            <v>59.746527230584832</v>
          </cell>
          <cell r="Q472">
            <v>60.016075619697673</v>
          </cell>
          <cell r="R472">
            <v>59.66256734985744</v>
          </cell>
          <cell r="S472">
            <v>59.647329126919054</v>
          </cell>
          <cell r="T472">
            <v>59.647329126919054</v>
          </cell>
          <cell r="U472">
            <v>59.647329126919054</v>
          </cell>
          <cell r="V472">
            <v>59.647329126919054</v>
          </cell>
          <cell r="W472">
            <v>59.647329126919054</v>
          </cell>
          <cell r="X472">
            <v>59.647329126919054</v>
          </cell>
          <cell r="Y472">
            <v>59.647329126919054</v>
          </cell>
          <cell r="Z472">
            <v>59.647329126919054</v>
          </cell>
          <cell r="AA472">
            <v>59.647329126919054</v>
          </cell>
          <cell r="AB472">
            <v>59.647329126919054</v>
          </cell>
          <cell r="AC472">
            <v>59.647329126919054</v>
          </cell>
          <cell r="AD472">
            <v>59.647329126919054</v>
          </cell>
          <cell r="AE472">
            <v>59.647329126919054</v>
          </cell>
          <cell r="AF472">
            <v>59.647329126919054</v>
          </cell>
        </row>
        <row r="473">
          <cell r="A473" t="str">
            <v>Alaska</v>
          </cell>
          <cell r="B473">
            <v>60.355744500716639</v>
          </cell>
          <cell r="C473">
            <v>61.643442036208427</v>
          </cell>
          <cell r="D473">
            <v>62.601061794867135</v>
          </cell>
          <cell r="E473">
            <v>63.601874362507353</v>
          </cell>
          <cell r="F473">
            <v>64.581887585139484</v>
          </cell>
          <cell r="G473">
            <v>65.564018022682376</v>
          </cell>
          <cell r="H473">
            <v>66.17674706835146</v>
          </cell>
          <cell r="I473">
            <v>67.35146192598188</v>
          </cell>
          <cell r="J473">
            <v>68.074367570983668</v>
          </cell>
          <cell r="K473">
            <v>69.226355638357361</v>
          </cell>
          <cell r="L473">
            <v>70.763880365246493</v>
          </cell>
          <cell r="M473">
            <v>70.2893784413167</v>
          </cell>
          <cell r="N473">
            <v>70.510519337620551</v>
          </cell>
          <cell r="O473">
            <v>70.350635600037961</v>
          </cell>
          <cell r="P473">
            <v>69.634480505372437</v>
          </cell>
          <cell r="Q473">
            <v>69.945873377051058</v>
          </cell>
          <cell r="R473">
            <v>69.496249077542004</v>
          </cell>
          <cell r="S473">
            <v>69.486421341696456</v>
          </cell>
          <cell r="T473">
            <v>69.486421341696456</v>
          </cell>
          <cell r="U473">
            <v>69.486421341696456</v>
          </cell>
          <cell r="V473">
            <v>69.486421341696456</v>
          </cell>
          <cell r="W473">
            <v>69.486421341696456</v>
          </cell>
          <cell r="X473">
            <v>69.486421341696456</v>
          </cell>
          <cell r="Y473">
            <v>69.486421341696456</v>
          </cell>
          <cell r="Z473">
            <v>69.486421341696456</v>
          </cell>
          <cell r="AA473">
            <v>69.486421341696456</v>
          </cell>
          <cell r="AB473">
            <v>69.486421341696456</v>
          </cell>
          <cell r="AC473">
            <v>69.486421341696456</v>
          </cell>
          <cell r="AD473">
            <v>69.486421341696456</v>
          </cell>
          <cell r="AE473">
            <v>69.486421341696456</v>
          </cell>
          <cell r="AF473">
            <v>69.486421341696456</v>
          </cell>
        </row>
        <row r="474">
          <cell r="A474" t="str">
            <v>Arizona</v>
          </cell>
          <cell r="B474">
            <v>60.355744500716646</v>
          </cell>
          <cell r="C474">
            <v>61.643442036208427</v>
          </cell>
          <cell r="D474">
            <v>62.601061794867128</v>
          </cell>
          <cell r="E474">
            <v>63.60187436250736</v>
          </cell>
          <cell r="F474">
            <v>64.581887585139484</v>
          </cell>
          <cell r="G474">
            <v>65.564018022682376</v>
          </cell>
          <cell r="H474">
            <v>66.17674706835146</v>
          </cell>
          <cell r="I474">
            <v>67.35146192598188</v>
          </cell>
          <cell r="J474">
            <v>68.07436757098364</v>
          </cell>
          <cell r="K474">
            <v>69.226355638357361</v>
          </cell>
          <cell r="L474">
            <v>70.763880365246479</v>
          </cell>
          <cell r="M474">
            <v>70.289378441316686</v>
          </cell>
          <cell r="N474">
            <v>70.510519337620565</v>
          </cell>
          <cell r="O474">
            <v>70.350635600037975</v>
          </cell>
          <cell r="P474">
            <v>69.634480505372437</v>
          </cell>
          <cell r="Q474">
            <v>69.945873377051058</v>
          </cell>
          <cell r="R474">
            <v>69.496249077541989</v>
          </cell>
          <cell r="S474">
            <v>69.486421341696456</v>
          </cell>
          <cell r="T474">
            <v>69.486421341696456</v>
          </cell>
          <cell r="U474">
            <v>69.486421341696456</v>
          </cell>
          <cell r="V474">
            <v>69.486421341696456</v>
          </cell>
          <cell r="W474">
            <v>69.486421341696456</v>
          </cell>
          <cell r="X474">
            <v>69.486421341696456</v>
          </cell>
          <cell r="Y474">
            <v>69.486421341696456</v>
          </cell>
          <cell r="Z474">
            <v>69.486421341696456</v>
          </cell>
          <cell r="AA474">
            <v>69.486421341696456</v>
          </cell>
          <cell r="AB474">
            <v>69.486421341696456</v>
          </cell>
          <cell r="AC474">
            <v>69.486421341696456</v>
          </cell>
          <cell r="AD474">
            <v>69.486421341696456</v>
          </cell>
          <cell r="AE474">
            <v>69.486421341696456</v>
          </cell>
          <cell r="AF474">
            <v>69.486421341696456</v>
          </cell>
        </row>
        <row r="475">
          <cell r="A475" t="str">
            <v>Arkansas</v>
          </cell>
          <cell r="B475">
            <v>51.893556974409798</v>
          </cell>
          <cell r="C475">
            <v>52.962027209478613</v>
          </cell>
          <cell r="D475">
            <v>53.794175325298667</v>
          </cell>
          <cell r="E475">
            <v>54.641571466942494</v>
          </cell>
          <cell r="F475">
            <v>55.459722147044928</v>
          </cell>
          <cell r="G475">
            <v>56.298455974904279</v>
          </cell>
          <cell r="H475">
            <v>56.818341357139644</v>
          </cell>
          <cell r="I475">
            <v>57.782339262541271</v>
          </cell>
          <cell r="J475">
            <v>58.380895057128228</v>
          </cell>
          <cell r="K475">
            <v>59.320519235170934</v>
          </cell>
          <cell r="L475">
            <v>60.561995027617449</v>
          </cell>
          <cell r="M475">
            <v>60.187174451017505</v>
          </cell>
          <cell r="N475">
            <v>60.36859147492919</v>
          </cell>
          <cell r="O475">
            <v>60.221885773000615</v>
          </cell>
          <cell r="P475">
            <v>59.645585567602254</v>
          </cell>
          <cell r="Q475">
            <v>59.914702109241382</v>
          </cell>
          <cell r="R475">
            <v>59.562111447157314</v>
          </cell>
          <cell r="S475">
            <v>59.546831404099677</v>
          </cell>
          <cell r="T475">
            <v>59.546831404099677</v>
          </cell>
          <cell r="U475">
            <v>59.546831404099677</v>
          </cell>
          <cell r="V475">
            <v>59.546831404099677</v>
          </cell>
          <cell r="W475">
            <v>59.546831404099677</v>
          </cell>
          <cell r="X475">
            <v>59.546831404099677</v>
          </cell>
          <cell r="Y475">
            <v>59.546831404099677</v>
          </cell>
          <cell r="Z475">
            <v>59.546831404099677</v>
          </cell>
          <cell r="AA475">
            <v>59.546831404099677</v>
          </cell>
          <cell r="AB475">
            <v>59.546831404099677</v>
          </cell>
          <cell r="AC475">
            <v>59.546831404099677</v>
          </cell>
          <cell r="AD475">
            <v>59.546831404099677</v>
          </cell>
          <cell r="AE475">
            <v>59.546831404099677</v>
          </cell>
          <cell r="AF475">
            <v>59.546831404099677</v>
          </cell>
        </row>
        <row r="476">
          <cell r="A476" t="str">
            <v>California</v>
          </cell>
          <cell r="B476">
            <v>51.277160942251378</v>
          </cell>
          <cell r="C476">
            <v>52.330257599300396</v>
          </cell>
          <cell r="D476">
            <v>53.153130942549566</v>
          </cell>
          <cell r="E476">
            <v>53.989553557534201</v>
          </cell>
          <cell r="F476">
            <v>54.79629030313744</v>
          </cell>
          <cell r="G476">
            <v>55.624666597819477</v>
          </cell>
          <cell r="H476">
            <v>56.137895848539713</v>
          </cell>
          <cell r="I476">
            <v>57.08725286396519</v>
          </cell>
          <cell r="J476">
            <v>57.677104655873904</v>
          </cell>
          <cell r="K476">
            <v>58.602042343836892</v>
          </cell>
          <cell r="L476">
            <v>59.823191818439767</v>
          </cell>
          <cell r="M476">
            <v>59.455122057016446</v>
          </cell>
          <cell r="N476">
            <v>59.633779690771874</v>
          </cell>
          <cell r="O476">
            <v>59.488176034246408</v>
          </cell>
          <cell r="P476">
            <v>58.921456118484457</v>
          </cell>
          <cell r="Q476">
            <v>59.187471929062475</v>
          </cell>
          <cell r="R476">
            <v>58.841426291675795</v>
          </cell>
          <cell r="S476">
            <v>58.82585418388441</v>
          </cell>
          <cell r="T476">
            <v>58.82585418388441</v>
          </cell>
          <cell r="U476">
            <v>58.82585418388441</v>
          </cell>
          <cell r="V476">
            <v>58.82585418388441</v>
          </cell>
          <cell r="W476">
            <v>58.82585418388441</v>
          </cell>
          <cell r="X476">
            <v>58.82585418388441</v>
          </cell>
          <cell r="Y476">
            <v>58.82585418388441</v>
          </cell>
          <cell r="Z476">
            <v>58.82585418388441</v>
          </cell>
          <cell r="AA476">
            <v>58.82585418388441</v>
          </cell>
          <cell r="AB476">
            <v>58.82585418388441</v>
          </cell>
          <cell r="AC476">
            <v>58.82585418388441</v>
          </cell>
          <cell r="AD476">
            <v>58.82585418388441</v>
          </cell>
          <cell r="AE476">
            <v>58.82585418388441</v>
          </cell>
          <cell r="AF476">
            <v>58.82585418388441</v>
          </cell>
        </row>
        <row r="477">
          <cell r="A477" t="str">
            <v>Colorado</v>
          </cell>
          <cell r="B477">
            <v>49.73866799405878</v>
          </cell>
          <cell r="C477">
            <v>50.753741780928216</v>
          </cell>
          <cell r="D477">
            <v>51.553386500169673</v>
          </cell>
          <cell r="E477">
            <v>52.362537841704494</v>
          </cell>
          <cell r="F477">
            <v>53.141006522540529</v>
          </cell>
          <cell r="G477">
            <v>53.9435823081064</v>
          </cell>
          <cell r="H477">
            <v>54.440260730178316</v>
          </cell>
          <cell r="I477">
            <v>55.353489719321793</v>
          </cell>
          <cell r="J477">
            <v>55.921824090014773</v>
          </cell>
          <cell r="K477">
            <v>56.810563514376575</v>
          </cell>
          <cell r="L477">
            <v>57.981705159721329</v>
          </cell>
          <cell r="M477">
            <v>57.630186168578057</v>
          </cell>
          <cell r="N477">
            <v>57.802035115500843</v>
          </cell>
          <cell r="O477">
            <v>57.659265403503007</v>
          </cell>
          <cell r="P477">
            <v>57.116101747184906</v>
          </cell>
          <cell r="Q477">
            <v>57.374365826359394</v>
          </cell>
          <cell r="R477">
            <v>57.044349740825368</v>
          </cell>
          <cell r="S477">
            <v>57.02811023656151</v>
          </cell>
          <cell r="T477">
            <v>57.02811023656151</v>
          </cell>
          <cell r="U477">
            <v>57.02811023656151</v>
          </cell>
          <cell r="V477">
            <v>57.02811023656151</v>
          </cell>
          <cell r="W477">
            <v>57.02811023656151</v>
          </cell>
          <cell r="X477">
            <v>57.02811023656151</v>
          </cell>
          <cell r="Y477">
            <v>57.02811023656151</v>
          </cell>
          <cell r="Z477">
            <v>57.02811023656151</v>
          </cell>
          <cell r="AA477">
            <v>57.02811023656151</v>
          </cell>
          <cell r="AB477">
            <v>57.02811023656151</v>
          </cell>
          <cell r="AC477">
            <v>57.02811023656151</v>
          </cell>
          <cell r="AD477">
            <v>57.02811023656151</v>
          </cell>
          <cell r="AE477">
            <v>57.02811023656151</v>
          </cell>
          <cell r="AF477">
            <v>57.02811023656151</v>
          </cell>
        </row>
        <row r="478">
          <cell r="A478" t="str">
            <v>Connecticut</v>
          </cell>
          <cell r="B478">
            <v>51.507346470917888</v>
          </cell>
          <cell r="C478">
            <v>52.566174827701303</v>
          </cell>
          <cell r="D478">
            <v>53.392513851233801</v>
          </cell>
          <cell r="E478">
            <v>55.666202130738306</v>
          </cell>
          <cell r="F478">
            <v>55.666202130738306</v>
          </cell>
          <cell r="G478">
            <v>55.666202130738306</v>
          </cell>
          <cell r="H478">
            <v>55.666202130738306</v>
          </cell>
          <cell r="I478">
            <v>55.666202130738306</v>
          </cell>
          <cell r="J478">
            <v>57.939890410242811</v>
          </cell>
          <cell r="K478">
            <v>58.870300265887622</v>
          </cell>
          <cell r="L478">
            <v>60.099020852509334</v>
          </cell>
          <cell r="M478">
            <v>59.728438115808416</v>
          </cell>
          <cell r="N478">
            <v>59.908124097214348</v>
          </cell>
          <cell r="O478">
            <v>59.762106656712746</v>
          </cell>
          <cell r="P478">
            <v>59.191818657974089</v>
          </cell>
          <cell r="Q478">
            <v>59.458992733508495</v>
          </cell>
          <cell r="R478">
            <v>59.110511174382168</v>
          </cell>
          <cell r="S478">
            <v>59.095046479496148</v>
          </cell>
          <cell r="T478">
            <v>59.095046479496148</v>
          </cell>
          <cell r="U478">
            <v>59.095046479496148</v>
          </cell>
          <cell r="V478">
            <v>59.095046479496148</v>
          </cell>
          <cell r="W478">
            <v>59.095046479496148</v>
          </cell>
          <cell r="X478">
            <v>59.095046479496148</v>
          </cell>
          <cell r="Y478">
            <v>59.095046479496148</v>
          </cell>
          <cell r="Z478">
            <v>59.095046479496148</v>
          </cell>
          <cell r="AA478">
            <v>59.095046479496148</v>
          </cell>
          <cell r="AB478">
            <v>59.095046479496148</v>
          </cell>
          <cell r="AC478">
            <v>59.095046479496148</v>
          </cell>
          <cell r="AD478">
            <v>59.095046479496148</v>
          </cell>
          <cell r="AE478">
            <v>59.095046479496148</v>
          </cell>
          <cell r="AF478">
            <v>59.095046479496148</v>
          </cell>
        </row>
        <row r="479">
          <cell r="A479" t="str">
            <v>Delaware</v>
          </cell>
          <cell r="B479">
            <v>51.507346470917888</v>
          </cell>
          <cell r="C479">
            <v>52.566174827701303</v>
          </cell>
          <cell r="D479">
            <v>53.392513851233801</v>
          </cell>
          <cell r="E479">
            <v>54.233031221270977</v>
          </cell>
          <cell r="F479">
            <v>55.044024433536919</v>
          </cell>
          <cell r="G479">
            <v>55.876267241341907</v>
          </cell>
          <cell r="H479">
            <v>56.391980461947057</v>
          </cell>
          <cell r="I479">
            <v>57.346793787464087</v>
          </cell>
          <cell r="J479">
            <v>57.939890410242811</v>
          </cell>
          <cell r="K479">
            <v>58.870300265887622</v>
          </cell>
          <cell r="L479">
            <v>60.099020852509334</v>
          </cell>
          <cell r="M479">
            <v>59.728438115808416</v>
          </cell>
          <cell r="N479">
            <v>59.908124097214333</v>
          </cell>
          <cell r="O479">
            <v>59.762106656712746</v>
          </cell>
          <cell r="P479">
            <v>59.191818657974096</v>
          </cell>
          <cell r="Q479">
            <v>59.458992733508509</v>
          </cell>
          <cell r="R479">
            <v>59.110511174382175</v>
          </cell>
          <cell r="S479">
            <v>59.095046479496155</v>
          </cell>
          <cell r="T479">
            <v>59.095046479496155</v>
          </cell>
          <cell r="U479">
            <v>59.095046479496155</v>
          </cell>
          <cell r="V479">
            <v>59.095046479496155</v>
          </cell>
          <cell r="W479">
            <v>59.095046479496155</v>
          </cell>
          <cell r="X479">
            <v>59.095046479496155</v>
          </cell>
          <cell r="Y479">
            <v>59.095046479496155</v>
          </cell>
          <cell r="Z479">
            <v>59.095046479496155</v>
          </cell>
          <cell r="AA479">
            <v>59.095046479496155</v>
          </cell>
          <cell r="AB479">
            <v>59.095046479496155</v>
          </cell>
          <cell r="AC479">
            <v>59.095046479496155</v>
          </cell>
          <cell r="AD479">
            <v>59.095046479496155</v>
          </cell>
          <cell r="AE479">
            <v>59.095046479496155</v>
          </cell>
          <cell r="AF479">
            <v>59.095046479496155</v>
          </cell>
        </row>
        <row r="480">
          <cell r="A480" t="str">
            <v>Florida</v>
          </cell>
          <cell r="B480">
            <v>51.979449321362686</v>
          </cell>
          <cell r="C480">
            <v>53.050068158848809</v>
          </cell>
          <cell r="D480">
            <v>53.883507233241389</v>
          </cell>
          <cell r="E480">
            <v>54.732434643991141</v>
          </cell>
          <cell r="F480">
            <v>55.552179828866727</v>
          </cell>
          <cell r="G480">
            <v>56.392357873839678</v>
          </cell>
          <cell r="H480">
            <v>56.913171901067024</v>
          </cell>
          <cell r="I480">
            <v>57.879217515934535</v>
          </cell>
          <cell r="J480">
            <v>58.478989956375187</v>
          </cell>
          <cell r="K480">
            <v>59.420668992092352</v>
          </cell>
          <cell r="L480">
            <v>60.664990397585406</v>
          </cell>
          <cell r="M480">
            <v>60.289223675177482</v>
          </cell>
          <cell r="N480">
            <v>60.471026641489438</v>
          </cell>
          <cell r="O480">
            <v>60.324168891580321</v>
          </cell>
          <cell r="P480">
            <v>59.746527230584839</v>
          </cell>
          <cell r="Q480">
            <v>60.016075619697681</v>
          </cell>
          <cell r="R480">
            <v>59.66256734985744</v>
          </cell>
          <cell r="S480">
            <v>59.647329126919054</v>
          </cell>
          <cell r="T480">
            <v>59.647329126919054</v>
          </cell>
          <cell r="U480">
            <v>59.647329126919054</v>
          </cell>
          <cell r="V480">
            <v>59.647329126919054</v>
          </cell>
          <cell r="W480">
            <v>59.647329126919054</v>
          </cell>
          <cell r="X480">
            <v>59.647329126919054</v>
          </cell>
          <cell r="Y480">
            <v>59.647329126919054</v>
          </cell>
          <cell r="Z480">
            <v>59.647329126919054</v>
          </cell>
          <cell r="AA480">
            <v>59.647329126919054</v>
          </cell>
          <cell r="AB480">
            <v>59.647329126919054</v>
          </cell>
          <cell r="AC480">
            <v>59.647329126919054</v>
          </cell>
          <cell r="AD480">
            <v>59.647329126919054</v>
          </cell>
          <cell r="AE480">
            <v>59.647329126919054</v>
          </cell>
          <cell r="AF480">
            <v>59.647329126919054</v>
          </cell>
        </row>
        <row r="481">
          <cell r="A481" t="str">
            <v>Georgia</v>
          </cell>
          <cell r="B481">
            <v>51.979449321362686</v>
          </cell>
          <cell r="C481">
            <v>53.050068158848816</v>
          </cell>
          <cell r="D481">
            <v>53.883507233241389</v>
          </cell>
          <cell r="E481">
            <v>54.732434643991148</v>
          </cell>
          <cell r="F481">
            <v>55.552179828866734</v>
          </cell>
          <cell r="G481">
            <v>56.392357873839664</v>
          </cell>
          <cell r="H481">
            <v>56.913171901067038</v>
          </cell>
          <cell r="I481">
            <v>57.879217515934521</v>
          </cell>
          <cell r="J481">
            <v>58.478989956375173</v>
          </cell>
          <cell r="K481">
            <v>59.420668992092359</v>
          </cell>
          <cell r="L481">
            <v>60.66499039758542</v>
          </cell>
          <cell r="M481">
            <v>60.289223675177475</v>
          </cell>
          <cell r="N481">
            <v>60.471026641489424</v>
          </cell>
          <cell r="O481">
            <v>60.324168891580321</v>
          </cell>
          <cell r="P481">
            <v>59.746527230584839</v>
          </cell>
          <cell r="Q481">
            <v>60.016075619697681</v>
          </cell>
          <cell r="R481">
            <v>59.662567349857454</v>
          </cell>
          <cell r="S481">
            <v>59.647329126919061</v>
          </cell>
          <cell r="T481">
            <v>59.647329126919061</v>
          </cell>
          <cell r="U481">
            <v>59.647329126919061</v>
          </cell>
          <cell r="V481">
            <v>59.647329126919061</v>
          </cell>
          <cell r="W481">
            <v>59.647329126919061</v>
          </cell>
          <cell r="X481">
            <v>59.647329126919061</v>
          </cell>
          <cell r="Y481">
            <v>59.647329126919061</v>
          </cell>
          <cell r="Z481">
            <v>59.647329126919061</v>
          </cell>
          <cell r="AA481">
            <v>59.647329126919061</v>
          </cell>
          <cell r="AB481">
            <v>59.647329126919061</v>
          </cell>
          <cell r="AC481">
            <v>59.647329126919061</v>
          </cell>
          <cell r="AD481">
            <v>59.647329126919061</v>
          </cell>
          <cell r="AE481">
            <v>59.647329126919061</v>
          </cell>
          <cell r="AF481">
            <v>59.647329126919061</v>
          </cell>
        </row>
        <row r="482">
          <cell r="A482" t="str">
            <v>Hawaii</v>
          </cell>
          <cell r="B482">
            <v>60.355744500716639</v>
          </cell>
          <cell r="C482">
            <v>61.643442036208434</v>
          </cell>
          <cell r="D482">
            <v>62.601061794867128</v>
          </cell>
          <cell r="E482">
            <v>63.601874362507345</v>
          </cell>
          <cell r="F482">
            <v>64.581887585139469</v>
          </cell>
          <cell r="G482">
            <v>65.56401802268239</v>
          </cell>
          <cell r="H482">
            <v>66.176747068351474</v>
          </cell>
          <cell r="I482">
            <v>67.351461925981866</v>
          </cell>
          <cell r="J482">
            <v>68.074367570983654</v>
          </cell>
          <cell r="K482">
            <v>69.226355638357376</v>
          </cell>
          <cell r="L482">
            <v>70.763880365246493</v>
          </cell>
          <cell r="M482">
            <v>70.289378441316671</v>
          </cell>
          <cell r="N482">
            <v>70.510519337620551</v>
          </cell>
          <cell r="O482">
            <v>70.350635600037961</v>
          </cell>
          <cell r="P482">
            <v>69.634480505372423</v>
          </cell>
          <cell r="Q482">
            <v>69.945873377051043</v>
          </cell>
          <cell r="R482">
            <v>69.496249077542004</v>
          </cell>
          <cell r="S482">
            <v>69.486421341696456</v>
          </cell>
          <cell r="T482">
            <v>69.486421341696456</v>
          </cell>
          <cell r="U482">
            <v>69.486421341696456</v>
          </cell>
          <cell r="V482">
            <v>69.486421341696456</v>
          </cell>
          <cell r="W482">
            <v>69.486421341696456</v>
          </cell>
          <cell r="X482">
            <v>69.486421341696456</v>
          </cell>
          <cell r="Y482">
            <v>69.486421341696456</v>
          </cell>
          <cell r="Z482">
            <v>69.486421341696456</v>
          </cell>
          <cell r="AA482">
            <v>69.486421341696456</v>
          </cell>
          <cell r="AB482">
            <v>69.486421341696456</v>
          </cell>
          <cell r="AC482">
            <v>69.486421341696456</v>
          </cell>
          <cell r="AD482">
            <v>69.486421341696456</v>
          </cell>
          <cell r="AE482">
            <v>69.486421341696456</v>
          </cell>
          <cell r="AF482">
            <v>69.486421341696456</v>
          </cell>
        </row>
        <row r="483">
          <cell r="A483" t="str">
            <v>Idaho</v>
          </cell>
          <cell r="B483">
            <v>60.355744500716639</v>
          </cell>
          <cell r="C483">
            <v>61.643442036208413</v>
          </cell>
          <cell r="D483">
            <v>62.601061794867128</v>
          </cell>
          <cell r="E483">
            <v>63.601874362507353</v>
          </cell>
          <cell r="F483">
            <v>64.581887585139484</v>
          </cell>
          <cell r="G483">
            <v>65.564018022682362</v>
          </cell>
          <cell r="H483">
            <v>66.17674706835146</v>
          </cell>
          <cell r="I483">
            <v>67.351461925981866</v>
          </cell>
          <cell r="J483">
            <v>68.074367570983654</v>
          </cell>
          <cell r="K483">
            <v>69.226355638357361</v>
          </cell>
          <cell r="L483">
            <v>70.763880365246479</v>
          </cell>
          <cell r="M483">
            <v>70.289378441316686</v>
          </cell>
          <cell r="N483">
            <v>70.510519337620565</v>
          </cell>
          <cell r="O483">
            <v>70.35063560003799</v>
          </cell>
          <cell r="P483">
            <v>69.634480505372451</v>
          </cell>
          <cell r="Q483">
            <v>69.945873377051043</v>
          </cell>
          <cell r="R483">
            <v>69.496249077541989</v>
          </cell>
          <cell r="S483">
            <v>69.486421341696456</v>
          </cell>
          <cell r="T483">
            <v>69.486421341696456</v>
          </cell>
          <cell r="U483">
            <v>69.486421341696456</v>
          </cell>
          <cell r="V483">
            <v>69.486421341696456</v>
          </cell>
          <cell r="W483">
            <v>69.486421341696456</v>
          </cell>
          <cell r="X483">
            <v>69.486421341696456</v>
          </cell>
          <cell r="Y483">
            <v>69.486421341696456</v>
          </cell>
          <cell r="Z483">
            <v>69.486421341696456</v>
          </cell>
          <cell r="AA483">
            <v>69.486421341696456</v>
          </cell>
          <cell r="AB483">
            <v>69.486421341696456</v>
          </cell>
          <cell r="AC483">
            <v>69.486421341696456</v>
          </cell>
          <cell r="AD483">
            <v>69.486421341696456</v>
          </cell>
          <cell r="AE483">
            <v>69.486421341696456</v>
          </cell>
          <cell r="AF483">
            <v>69.486421341696456</v>
          </cell>
        </row>
        <row r="484">
          <cell r="A484" t="str">
            <v>Illinois</v>
          </cell>
          <cell r="B484">
            <v>51.516531667643655</v>
          </cell>
          <cell r="C484">
            <v>52.575588964124989</v>
          </cell>
          <cell r="D484">
            <v>53.40206622910037</v>
          </cell>
          <cell r="E484">
            <v>54.242747070202142</v>
          </cell>
          <cell r="F484">
            <v>55.053910272499152</v>
          </cell>
          <cell r="G484">
            <v>55.886307400666077</v>
          </cell>
          <cell r="H484">
            <v>56.402119780598021</v>
          </cell>
          <cell r="I484">
            <v>57.357151099470606</v>
          </cell>
          <cell r="J484">
            <v>57.950377335998276</v>
          </cell>
          <cell r="K484">
            <v>58.8810058458957</v>
          </cell>
          <cell r="L484">
            <v>60.110029014307202</v>
          </cell>
          <cell r="M484">
            <v>59.739345808306901</v>
          </cell>
          <cell r="N484">
            <v>59.919072875064977</v>
          </cell>
          <cell r="O484">
            <v>59.773038976912481</v>
          </cell>
          <cell r="P484">
            <v>59.202608369821995</v>
          </cell>
          <cell r="Q484">
            <v>59.469828656079251</v>
          </cell>
          <cell r="R484">
            <v>59.121249697466141</v>
          </cell>
          <cell r="S484">
            <v>59.105789328469477</v>
          </cell>
          <cell r="T484">
            <v>59.105789328469477</v>
          </cell>
          <cell r="U484">
            <v>59.105789328469477</v>
          </cell>
          <cell r="V484">
            <v>59.105789328469477</v>
          </cell>
          <cell r="W484">
            <v>59.105789328469477</v>
          </cell>
          <cell r="X484">
            <v>59.105789328469477</v>
          </cell>
          <cell r="Y484">
            <v>59.105789328469477</v>
          </cell>
          <cell r="Z484">
            <v>59.105789328469477</v>
          </cell>
          <cell r="AA484">
            <v>59.105789328469477</v>
          </cell>
          <cell r="AB484">
            <v>59.105789328469477</v>
          </cell>
          <cell r="AC484">
            <v>59.105789328469477</v>
          </cell>
          <cell r="AD484">
            <v>59.105789328469477</v>
          </cell>
          <cell r="AE484">
            <v>59.105789328469477</v>
          </cell>
          <cell r="AF484">
            <v>59.105789328469477</v>
          </cell>
        </row>
        <row r="485">
          <cell r="A485" t="str">
            <v>Indiana</v>
          </cell>
          <cell r="B485">
            <v>51.516531667643648</v>
          </cell>
          <cell r="C485">
            <v>52.575588964124996</v>
          </cell>
          <cell r="D485">
            <v>53.402066229100399</v>
          </cell>
          <cell r="E485">
            <v>54.242747070202135</v>
          </cell>
          <cell r="F485">
            <v>55.053910272499174</v>
          </cell>
          <cell r="G485">
            <v>55.886307400666084</v>
          </cell>
          <cell r="H485">
            <v>56.402119780598021</v>
          </cell>
          <cell r="I485">
            <v>57.357151099470613</v>
          </cell>
          <cell r="J485">
            <v>57.950377335998276</v>
          </cell>
          <cell r="K485">
            <v>58.881005845895693</v>
          </cell>
          <cell r="L485">
            <v>60.110029014307223</v>
          </cell>
          <cell r="M485">
            <v>59.739345808306908</v>
          </cell>
          <cell r="N485">
            <v>59.919072875064991</v>
          </cell>
          <cell r="O485">
            <v>59.773038976912481</v>
          </cell>
          <cell r="P485">
            <v>59.202608369821995</v>
          </cell>
          <cell r="Q485">
            <v>59.469828656079244</v>
          </cell>
          <cell r="R485">
            <v>59.121249697466162</v>
          </cell>
          <cell r="S485">
            <v>59.105789328469477</v>
          </cell>
          <cell r="T485">
            <v>59.105789328469477</v>
          </cell>
          <cell r="U485">
            <v>59.105789328469477</v>
          </cell>
          <cell r="V485">
            <v>59.105789328469477</v>
          </cell>
          <cell r="W485">
            <v>59.105789328469477</v>
          </cell>
          <cell r="X485">
            <v>59.105789328469477</v>
          </cell>
          <cell r="Y485">
            <v>59.105789328469477</v>
          </cell>
          <cell r="Z485">
            <v>59.105789328469477</v>
          </cell>
          <cell r="AA485">
            <v>59.105789328469477</v>
          </cell>
          <cell r="AB485">
            <v>59.105789328469477</v>
          </cell>
          <cell r="AC485">
            <v>59.105789328469477</v>
          </cell>
          <cell r="AD485">
            <v>59.105789328469477</v>
          </cell>
          <cell r="AE485">
            <v>59.105789328469477</v>
          </cell>
          <cell r="AF485">
            <v>59.105789328469477</v>
          </cell>
        </row>
        <row r="486">
          <cell r="A486" t="str">
            <v>Iowa</v>
          </cell>
          <cell r="B486">
            <v>51.516531667643648</v>
          </cell>
          <cell r="C486">
            <v>52.575588964124989</v>
          </cell>
          <cell r="D486">
            <v>53.402066229100377</v>
          </cell>
          <cell r="E486">
            <v>54.242747070202128</v>
          </cell>
          <cell r="F486">
            <v>55.053910272499166</v>
          </cell>
          <cell r="G486">
            <v>55.886307400666091</v>
          </cell>
          <cell r="H486">
            <v>56.402119780598014</v>
          </cell>
          <cell r="I486">
            <v>57.357151099470613</v>
          </cell>
          <cell r="J486">
            <v>57.950377335998276</v>
          </cell>
          <cell r="K486">
            <v>58.881005845895693</v>
          </cell>
          <cell r="L486">
            <v>60.110029014307216</v>
          </cell>
          <cell r="M486">
            <v>59.739345808306915</v>
          </cell>
          <cell r="N486">
            <v>59.919072875064977</v>
          </cell>
          <cell r="O486">
            <v>59.773038976912474</v>
          </cell>
          <cell r="P486">
            <v>59.202608369821988</v>
          </cell>
          <cell r="Q486">
            <v>59.469828656079237</v>
          </cell>
          <cell r="R486">
            <v>59.121249697466155</v>
          </cell>
          <cell r="S486">
            <v>59.105789328469484</v>
          </cell>
          <cell r="T486">
            <v>59.105789328469484</v>
          </cell>
          <cell r="U486">
            <v>59.105789328469484</v>
          </cell>
          <cell r="V486">
            <v>59.105789328469484</v>
          </cell>
          <cell r="W486">
            <v>59.105789328469484</v>
          </cell>
          <cell r="X486">
            <v>59.105789328469484</v>
          </cell>
          <cell r="Y486">
            <v>59.105789328469484</v>
          </cell>
          <cell r="Z486">
            <v>59.105789328469484</v>
          </cell>
          <cell r="AA486">
            <v>59.105789328469484</v>
          </cell>
          <cell r="AB486">
            <v>59.105789328469484</v>
          </cell>
          <cell r="AC486">
            <v>59.105789328469484</v>
          </cell>
          <cell r="AD486">
            <v>59.105789328469484</v>
          </cell>
          <cell r="AE486">
            <v>59.105789328469484</v>
          </cell>
          <cell r="AF486">
            <v>59.105789328469484</v>
          </cell>
        </row>
        <row r="487">
          <cell r="A487" t="str">
            <v>Kansas</v>
          </cell>
          <cell r="B487">
            <v>49.738667994058787</v>
          </cell>
          <cell r="C487">
            <v>50.753741780928216</v>
          </cell>
          <cell r="D487">
            <v>51.55338650016968</v>
          </cell>
          <cell r="E487">
            <v>52.362537841704494</v>
          </cell>
          <cell r="F487">
            <v>53.141006522540529</v>
          </cell>
          <cell r="G487">
            <v>53.943582308106393</v>
          </cell>
          <cell r="H487">
            <v>54.440260730178323</v>
          </cell>
          <cell r="I487">
            <v>55.353489719321786</v>
          </cell>
          <cell r="J487">
            <v>55.92182409001478</v>
          </cell>
          <cell r="K487">
            <v>56.810563514376582</v>
          </cell>
          <cell r="L487">
            <v>57.981705159721322</v>
          </cell>
          <cell r="M487">
            <v>57.630186168578035</v>
          </cell>
          <cell r="N487">
            <v>57.802035115500814</v>
          </cell>
          <cell r="O487">
            <v>57.659265403503021</v>
          </cell>
          <cell r="P487">
            <v>57.116101747184892</v>
          </cell>
          <cell r="Q487">
            <v>57.374365826359401</v>
          </cell>
          <cell r="R487">
            <v>57.044349740825353</v>
          </cell>
          <cell r="S487">
            <v>57.028110236561517</v>
          </cell>
          <cell r="T487">
            <v>57.028110236561517</v>
          </cell>
          <cell r="U487">
            <v>57.028110236561517</v>
          </cell>
          <cell r="V487">
            <v>57.028110236561517</v>
          </cell>
          <cell r="W487">
            <v>57.028110236561517</v>
          </cell>
          <cell r="X487">
            <v>57.028110236561517</v>
          </cell>
          <cell r="Y487">
            <v>57.028110236561517</v>
          </cell>
          <cell r="Z487">
            <v>57.028110236561517</v>
          </cell>
          <cell r="AA487">
            <v>57.028110236561517</v>
          </cell>
          <cell r="AB487">
            <v>57.028110236561517</v>
          </cell>
          <cell r="AC487">
            <v>57.028110236561517</v>
          </cell>
          <cell r="AD487">
            <v>57.028110236561517</v>
          </cell>
          <cell r="AE487">
            <v>57.028110236561517</v>
          </cell>
          <cell r="AF487">
            <v>57.028110236561517</v>
          </cell>
        </row>
        <row r="488">
          <cell r="A488" t="str">
            <v>Kentucky</v>
          </cell>
          <cell r="B488">
            <v>51.979449321362672</v>
          </cell>
          <cell r="C488">
            <v>53.050068158848809</v>
          </cell>
          <cell r="D488">
            <v>53.883507233241389</v>
          </cell>
          <cell r="E488">
            <v>54.732434643991134</v>
          </cell>
          <cell r="F488">
            <v>55.552179828866727</v>
          </cell>
          <cell r="G488">
            <v>56.392357873839671</v>
          </cell>
          <cell r="H488">
            <v>56.913171901067038</v>
          </cell>
          <cell r="I488">
            <v>57.879217515934535</v>
          </cell>
          <cell r="J488">
            <v>58.478989956375187</v>
          </cell>
          <cell r="K488">
            <v>59.420668992092345</v>
          </cell>
          <cell r="L488">
            <v>60.664990397585427</v>
          </cell>
          <cell r="M488">
            <v>60.289223675177482</v>
          </cell>
          <cell r="N488">
            <v>60.471026641489438</v>
          </cell>
          <cell r="O488">
            <v>60.324168891580307</v>
          </cell>
          <cell r="P488">
            <v>59.746527230584846</v>
          </cell>
          <cell r="Q488">
            <v>60.016075619697695</v>
          </cell>
          <cell r="R488">
            <v>59.662567349857447</v>
          </cell>
          <cell r="S488">
            <v>59.647329126919054</v>
          </cell>
          <cell r="T488">
            <v>59.647329126919054</v>
          </cell>
          <cell r="U488">
            <v>59.647329126919054</v>
          </cell>
          <cell r="V488">
            <v>59.647329126919054</v>
          </cell>
          <cell r="W488">
            <v>59.647329126919054</v>
          </cell>
          <cell r="X488">
            <v>59.647329126919054</v>
          </cell>
          <cell r="Y488">
            <v>59.647329126919054</v>
          </cell>
          <cell r="Z488">
            <v>59.647329126919054</v>
          </cell>
          <cell r="AA488">
            <v>59.647329126919054</v>
          </cell>
          <cell r="AB488">
            <v>59.647329126919054</v>
          </cell>
          <cell r="AC488">
            <v>59.647329126919054</v>
          </cell>
          <cell r="AD488">
            <v>59.647329126919054</v>
          </cell>
          <cell r="AE488">
            <v>59.647329126919054</v>
          </cell>
          <cell r="AF488">
            <v>59.647329126919054</v>
          </cell>
        </row>
        <row r="489">
          <cell r="A489" t="str">
            <v>Louisiana</v>
          </cell>
          <cell r="B489">
            <v>51.893556974409783</v>
          </cell>
          <cell r="C489">
            <v>52.962027209478606</v>
          </cell>
          <cell r="D489">
            <v>53.794175325298667</v>
          </cell>
          <cell r="E489">
            <v>54.641571466942501</v>
          </cell>
          <cell r="F489">
            <v>55.459722147044943</v>
          </cell>
          <cell r="G489">
            <v>56.298455974904293</v>
          </cell>
          <cell r="H489">
            <v>56.818341357139637</v>
          </cell>
          <cell r="I489">
            <v>57.782339262541271</v>
          </cell>
          <cell r="J489">
            <v>58.380895057128221</v>
          </cell>
          <cell r="K489">
            <v>59.320519235170941</v>
          </cell>
          <cell r="L489">
            <v>60.561995027617442</v>
          </cell>
          <cell r="M489">
            <v>60.187174451017519</v>
          </cell>
          <cell r="N489">
            <v>60.368591474929204</v>
          </cell>
          <cell r="O489">
            <v>60.221885773000622</v>
          </cell>
          <cell r="P489">
            <v>59.64558556760224</v>
          </cell>
          <cell r="Q489">
            <v>59.914702109241375</v>
          </cell>
          <cell r="R489">
            <v>59.562111447157314</v>
          </cell>
          <cell r="S489">
            <v>59.546831404099684</v>
          </cell>
          <cell r="T489">
            <v>59.546831404099684</v>
          </cell>
          <cell r="U489">
            <v>59.546831404099684</v>
          </cell>
          <cell r="V489">
            <v>59.546831404099684</v>
          </cell>
          <cell r="W489">
            <v>59.546831404099684</v>
          </cell>
          <cell r="X489">
            <v>59.546831404099684</v>
          </cell>
          <cell r="Y489">
            <v>59.546831404099684</v>
          </cell>
          <cell r="Z489">
            <v>59.546831404099684</v>
          </cell>
          <cell r="AA489">
            <v>59.546831404099684</v>
          </cell>
          <cell r="AB489">
            <v>59.546831404099684</v>
          </cell>
          <cell r="AC489">
            <v>59.546831404099684</v>
          </cell>
          <cell r="AD489">
            <v>59.546831404099684</v>
          </cell>
          <cell r="AE489">
            <v>59.546831404099684</v>
          </cell>
          <cell r="AF489">
            <v>59.546831404099684</v>
          </cell>
        </row>
        <row r="490">
          <cell r="A490" t="str">
            <v>Maine</v>
          </cell>
          <cell r="B490">
            <v>51.507346470917888</v>
          </cell>
          <cell r="C490">
            <v>52.56617482770131</v>
          </cell>
          <cell r="D490">
            <v>53.392513851233801</v>
          </cell>
          <cell r="E490">
            <v>54.233031221270977</v>
          </cell>
          <cell r="F490">
            <v>55.044024433536919</v>
          </cell>
          <cell r="G490">
            <v>55.876267241341907</v>
          </cell>
          <cell r="H490">
            <v>56.391980461947057</v>
          </cell>
          <cell r="I490">
            <v>57.346793787464087</v>
          </cell>
          <cell r="J490">
            <v>57.939890410242811</v>
          </cell>
          <cell r="K490">
            <v>58.870300265887622</v>
          </cell>
          <cell r="L490">
            <v>60.099020852509334</v>
          </cell>
          <cell r="M490">
            <v>59.728438115808416</v>
          </cell>
          <cell r="N490">
            <v>59.908124097214348</v>
          </cell>
          <cell r="O490">
            <v>59.762106656712746</v>
          </cell>
          <cell r="P490">
            <v>59.191818657974089</v>
          </cell>
          <cell r="Q490">
            <v>59.458992733508509</v>
          </cell>
          <cell r="R490">
            <v>59.110511174382168</v>
          </cell>
          <cell r="S490">
            <v>59.095046479496148</v>
          </cell>
          <cell r="T490">
            <v>59.095046479496148</v>
          </cell>
          <cell r="U490">
            <v>59.095046479496148</v>
          </cell>
          <cell r="V490">
            <v>59.095046479496148</v>
          </cell>
          <cell r="W490">
            <v>59.095046479496148</v>
          </cell>
          <cell r="X490">
            <v>59.095046479496148</v>
          </cell>
          <cell r="Y490">
            <v>59.095046479496148</v>
          </cell>
          <cell r="Z490">
            <v>59.095046479496148</v>
          </cell>
          <cell r="AA490">
            <v>59.095046479496148</v>
          </cell>
          <cell r="AB490">
            <v>59.095046479496148</v>
          </cell>
          <cell r="AC490">
            <v>59.095046479496148</v>
          </cell>
          <cell r="AD490">
            <v>59.095046479496148</v>
          </cell>
          <cell r="AE490">
            <v>59.095046479496148</v>
          </cell>
          <cell r="AF490">
            <v>59.095046479496148</v>
          </cell>
        </row>
        <row r="491">
          <cell r="A491" t="str">
            <v>Maryland</v>
          </cell>
          <cell r="B491">
            <v>51.507346470917895</v>
          </cell>
          <cell r="C491">
            <v>52.566174827701317</v>
          </cell>
          <cell r="D491">
            <v>53.392513851233822</v>
          </cell>
          <cell r="E491">
            <v>54.233031221270963</v>
          </cell>
          <cell r="F491">
            <v>55.044024433536933</v>
          </cell>
          <cell r="G491">
            <v>55.876267241341921</v>
          </cell>
          <cell r="H491">
            <v>56.391980461947036</v>
          </cell>
          <cell r="I491">
            <v>57.346793787464073</v>
          </cell>
          <cell r="J491">
            <v>57.939890410242803</v>
          </cell>
          <cell r="K491">
            <v>58.870300265887622</v>
          </cell>
          <cell r="L491">
            <v>60.099020852509334</v>
          </cell>
          <cell r="M491">
            <v>59.728438115808416</v>
          </cell>
          <cell r="N491">
            <v>59.908124097214362</v>
          </cell>
          <cell r="O491">
            <v>59.762106656712753</v>
          </cell>
          <cell r="P491">
            <v>59.191818657974082</v>
          </cell>
          <cell r="Q491">
            <v>59.458992733508502</v>
          </cell>
          <cell r="R491">
            <v>59.110511174382182</v>
          </cell>
          <cell r="S491">
            <v>59.095046479496148</v>
          </cell>
          <cell r="T491">
            <v>59.095046479496148</v>
          </cell>
          <cell r="U491">
            <v>59.095046479496148</v>
          </cell>
          <cell r="V491">
            <v>59.095046479496148</v>
          </cell>
          <cell r="W491">
            <v>59.095046479496148</v>
          </cell>
          <cell r="X491">
            <v>59.095046479496148</v>
          </cell>
          <cell r="Y491">
            <v>59.095046479496148</v>
          </cell>
          <cell r="Z491">
            <v>59.095046479496148</v>
          </cell>
          <cell r="AA491">
            <v>59.095046479496148</v>
          </cell>
          <cell r="AB491">
            <v>59.095046479496148</v>
          </cell>
          <cell r="AC491">
            <v>59.095046479496148</v>
          </cell>
          <cell r="AD491">
            <v>59.095046479496148</v>
          </cell>
          <cell r="AE491">
            <v>59.095046479496148</v>
          </cell>
          <cell r="AF491">
            <v>59.095046479496148</v>
          </cell>
        </row>
        <row r="492">
          <cell r="A492" t="str">
            <v>Massachusetts</v>
          </cell>
          <cell r="B492">
            <v>51.507346470917888</v>
          </cell>
          <cell r="C492">
            <v>52.566174827701303</v>
          </cell>
          <cell r="D492">
            <v>53.392513851233801</v>
          </cell>
          <cell r="E492">
            <v>54.233031221270977</v>
          </cell>
          <cell r="F492">
            <v>55.044024433536919</v>
          </cell>
          <cell r="G492">
            <v>55.876267241341907</v>
          </cell>
          <cell r="H492">
            <v>56.391980461947057</v>
          </cell>
          <cell r="I492">
            <v>57.346793787464087</v>
          </cell>
          <cell r="J492">
            <v>57.939890410242811</v>
          </cell>
          <cell r="K492">
            <v>58.870300265887622</v>
          </cell>
          <cell r="L492">
            <v>60.099020852509334</v>
          </cell>
          <cell r="M492">
            <v>59.728438115808416</v>
          </cell>
          <cell r="N492">
            <v>59.908124097214348</v>
          </cell>
          <cell r="O492">
            <v>59.762106656712739</v>
          </cell>
          <cell r="P492">
            <v>59.191818657974089</v>
          </cell>
          <cell r="Q492">
            <v>59.458992733508495</v>
          </cell>
          <cell r="R492">
            <v>59.110511174382168</v>
          </cell>
          <cell r="S492">
            <v>59.095046479496148</v>
          </cell>
          <cell r="T492">
            <v>59.095046479496148</v>
          </cell>
          <cell r="U492">
            <v>59.095046479496148</v>
          </cell>
          <cell r="V492">
            <v>59.095046479496148</v>
          </cell>
          <cell r="W492">
            <v>59.095046479496148</v>
          </cell>
          <cell r="X492">
            <v>59.095046479496148</v>
          </cell>
          <cell r="Y492">
            <v>59.095046479496148</v>
          </cell>
          <cell r="Z492">
            <v>59.095046479496148</v>
          </cell>
          <cell r="AA492">
            <v>59.095046479496148</v>
          </cell>
          <cell r="AB492">
            <v>59.095046479496148</v>
          </cell>
          <cell r="AC492">
            <v>59.095046479496148</v>
          </cell>
          <cell r="AD492">
            <v>59.095046479496148</v>
          </cell>
          <cell r="AE492">
            <v>59.095046479496148</v>
          </cell>
          <cell r="AF492">
            <v>59.095046479496148</v>
          </cell>
        </row>
        <row r="493">
          <cell r="A493" t="str">
            <v>Michigan</v>
          </cell>
          <cell r="B493">
            <v>51.516531667643648</v>
          </cell>
          <cell r="C493">
            <v>52.575588964125004</v>
          </cell>
          <cell r="D493">
            <v>53.402066229100392</v>
          </cell>
          <cell r="E493">
            <v>54.242747070202121</v>
          </cell>
          <cell r="F493">
            <v>55.053910272499166</v>
          </cell>
          <cell r="G493">
            <v>55.886307400666091</v>
          </cell>
          <cell r="H493">
            <v>56.402119780598028</v>
          </cell>
          <cell r="I493">
            <v>57.35715109947062</v>
          </cell>
          <cell r="J493">
            <v>57.950377335998269</v>
          </cell>
          <cell r="K493">
            <v>58.881005845895707</v>
          </cell>
          <cell r="L493">
            <v>60.110029014307202</v>
          </cell>
          <cell r="M493">
            <v>59.739345808306886</v>
          </cell>
          <cell r="N493">
            <v>59.919072875064984</v>
          </cell>
          <cell r="O493">
            <v>59.773038976912495</v>
          </cell>
          <cell r="P493">
            <v>59.202608369822009</v>
          </cell>
          <cell r="Q493">
            <v>59.469828656079244</v>
          </cell>
          <cell r="R493">
            <v>59.121249697466162</v>
          </cell>
          <cell r="S493">
            <v>59.10578932846947</v>
          </cell>
          <cell r="T493">
            <v>59.10578932846947</v>
          </cell>
          <cell r="U493">
            <v>59.10578932846947</v>
          </cell>
          <cell r="V493">
            <v>59.10578932846947</v>
          </cell>
          <cell r="W493">
            <v>59.10578932846947</v>
          </cell>
          <cell r="X493">
            <v>59.10578932846947</v>
          </cell>
          <cell r="Y493">
            <v>59.10578932846947</v>
          </cell>
          <cell r="Z493">
            <v>59.10578932846947</v>
          </cell>
          <cell r="AA493">
            <v>59.10578932846947</v>
          </cell>
          <cell r="AB493">
            <v>59.10578932846947</v>
          </cell>
          <cell r="AC493">
            <v>59.10578932846947</v>
          </cell>
          <cell r="AD493">
            <v>59.10578932846947</v>
          </cell>
          <cell r="AE493">
            <v>59.10578932846947</v>
          </cell>
          <cell r="AF493">
            <v>59.10578932846947</v>
          </cell>
        </row>
        <row r="494">
          <cell r="A494" t="str">
            <v>Minnesota</v>
          </cell>
          <cell r="B494">
            <v>51.516531667643655</v>
          </cell>
          <cell r="C494">
            <v>52.575588964124982</v>
          </cell>
          <cell r="D494">
            <v>53.402066229100392</v>
          </cell>
          <cell r="E494">
            <v>54.242747070202121</v>
          </cell>
          <cell r="F494">
            <v>55.053910272499159</v>
          </cell>
          <cell r="G494">
            <v>55.886307400666098</v>
          </cell>
          <cell r="H494">
            <v>56.402119780598028</v>
          </cell>
          <cell r="I494">
            <v>57.357151099470606</v>
          </cell>
          <cell r="J494">
            <v>57.950377335998276</v>
          </cell>
          <cell r="K494">
            <v>58.881005845895693</v>
          </cell>
          <cell r="L494">
            <v>60.110029014307202</v>
          </cell>
          <cell r="M494">
            <v>59.739345808306886</v>
          </cell>
          <cell r="N494">
            <v>59.919072875064977</v>
          </cell>
          <cell r="O494">
            <v>59.773038976912495</v>
          </cell>
          <cell r="P494">
            <v>59.202608369821995</v>
          </cell>
          <cell r="Q494">
            <v>59.469828656079251</v>
          </cell>
          <cell r="R494">
            <v>59.121249697466155</v>
          </cell>
          <cell r="S494">
            <v>59.105789328469477</v>
          </cell>
          <cell r="T494">
            <v>59.105789328469477</v>
          </cell>
          <cell r="U494">
            <v>59.105789328469477</v>
          </cell>
          <cell r="V494">
            <v>59.105789328469477</v>
          </cell>
          <cell r="W494">
            <v>59.105789328469477</v>
          </cell>
          <cell r="X494">
            <v>59.105789328469477</v>
          </cell>
          <cell r="Y494">
            <v>59.105789328469477</v>
          </cell>
          <cell r="Z494">
            <v>59.105789328469477</v>
          </cell>
          <cell r="AA494">
            <v>59.105789328469477</v>
          </cell>
          <cell r="AB494">
            <v>59.105789328469477</v>
          </cell>
          <cell r="AC494">
            <v>59.105789328469477</v>
          </cell>
          <cell r="AD494">
            <v>59.105789328469477</v>
          </cell>
          <cell r="AE494">
            <v>59.105789328469477</v>
          </cell>
          <cell r="AF494">
            <v>59.105789328469477</v>
          </cell>
        </row>
        <row r="495">
          <cell r="A495" t="str">
            <v>Mississippi</v>
          </cell>
          <cell r="B495">
            <v>51.979449321362686</v>
          </cell>
          <cell r="C495">
            <v>53.050068158848809</v>
          </cell>
          <cell r="D495">
            <v>53.883507233241403</v>
          </cell>
          <cell r="E495">
            <v>54.732434643991141</v>
          </cell>
          <cell r="F495">
            <v>55.552179828866727</v>
          </cell>
          <cell r="G495">
            <v>56.392357873839664</v>
          </cell>
          <cell r="H495">
            <v>56.913171901067031</v>
          </cell>
          <cell r="I495">
            <v>57.879217515934549</v>
          </cell>
          <cell r="J495">
            <v>58.47898995637518</v>
          </cell>
          <cell r="K495">
            <v>59.420668992092345</v>
          </cell>
          <cell r="L495">
            <v>60.664990397585427</v>
          </cell>
          <cell r="M495">
            <v>60.289223675177482</v>
          </cell>
          <cell r="N495">
            <v>60.471026641489416</v>
          </cell>
          <cell r="O495">
            <v>60.324168891580321</v>
          </cell>
          <cell r="P495">
            <v>59.74652723058486</v>
          </cell>
          <cell r="Q495">
            <v>60.016075619697666</v>
          </cell>
          <cell r="R495">
            <v>59.662567349857433</v>
          </cell>
          <cell r="S495">
            <v>59.647329126919047</v>
          </cell>
          <cell r="T495">
            <v>59.647329126919047</v>
          </cell>
          <cell r="U495">
            <v>59.647329126919047</v>
          </cell>
          <cell r="V495">
            <v>59.647329126919047</v>
          </cell>
          <cell r="W495">
            <v>59.647329126919047</v>
          </cell>
          <cell r="X495">
            <v>59.647329126919047</v>
          </cell>
          <cell r="Y495">
            <v>59.647329126919047</v>
          </cell>
          <cell r="Z495">
            <v>59.647329126919047</v>
          </cell>
          <cell r="AA495">
            <v>59.647329126919047</v>
          </cell>
          <cell r="AB495">
            <v>59.647329126919047</v>
          </cell>
          <cell r="AC495">
            <v>59.647329126919047</v>
          </cell>
          <cell r="AD495">
            <v>59.647329126919047</v>
          </cell>
          <cell r="AE495">
            <v>59.647329126919047</v>
          </cell>
          <cell r="AF495">
            <v>59.647329126919047</v>
          </cell>
        </row>
        <row r="496">
          <cell r="A496" t="str">
            <v>Missouri</v>
          </cell>
          <cell r="B496">
            <v>51.516531667643655</v>
          </cell>
          <cell r="C496">
            <v>52.575588964124996</v>
          </cell>
          <cell r="D496">
            <v>53.402066229100384</v>
          </cell>
          <cell r="E496">
            <v>54.242747070202142</v>
          </cell>
          <cell r="F496">
            <v>55.053910272499174</v>
          </cell>
          <cell r="G496">
            <v>55.886307400666091</v>
          </cell>
          <cell r="H496">
            <v>56.402119780598014</v>
          </cell>
          <cell r="I496">
            <v>57.357151099470613</v>
          </cell>
          <cell r="J496">
            <v>57.950377335998262</v>
          </cell>
          <cell r="K496">
            <v>58.881005845895686</v>
          </cell>
          <cell r="L496">
            <v>60.110029014307194</v>
          </cell>
          <cell r="M496">
            <v>59.739345808306901</v>
          </cell>
          <cell r="N496">
            <v>59.919072875064984</v>
          </cell>
          <cell r="O496">
            <v>59.773038976912481</v>
          </cell>
          <cell r="P496">
            <v>59.202608369821995</v>
          </cell>
          <cell r="Q496">
            <v>59.469828656079244</v>
          </cell>
          <cell r="R496">
            <v>59.121249697466162</v>
          </cell>
          <cell r="S496">
            <v>59.10578932846947</v>
          </cell>
          <cell r="T496">
            <v>59.10578932846947</v>
          </cell>
          <cell r="U496">
            <v>59.10578932846947</v>
          </cell>
          <cell r="V496">
            <v>59.10578932846947</v>
          </cell>
          <cell r="W496">
            <v>59.10578932846947</v>
          </cell>
          <cell r="X496">
            <v>59.10578932846947</v>
          </cell>
          <cell r="Y496">
            <v>59.10578932846947</v>
          </cell>
          <cell r="Z496">
            <v>59.10578932846947</v>
          </cell>
          <cell r="AA496">
            <v>59.10578932846947</v>
          </cell>
          <cell r="AB496">
            <v>59.10578932846947</v>
          </cell>
          <cell r="AC496">
            <v>59.10578932846947</v>
          </cell>
          <cell r="AD496">
            <v>59.10578932846947</v>
          </cell>
          <cell r="AE496">
            <v>59.10578932846947</v>
          </cell>
          <cell r="AF496">
            <v>59.10578932846947</v>
          </cell>
        </row>
        <row r="497">
          <cell r="A497" t="str">
            <v>Montana</v>
          </cell>
          <cell r="B497">
            <v>49.738667994058787</v>
          </cell>
          <cell r="C497">
            <v>50.753741780928216</v>
          </cell>
          <cell r="D497">
            <v>51.55338650016968</v>
          </cell>
          <cell r="E497">
            <v>52.362537841704494</v>
          </cell>
          <cell r="F497">
            <v>53.141006522540529</v>
          </cell>
          <cell r="G497">
            <v>53.943582308106393</v>
          </cell>
          <cell r="H497">
            <v>54.440260730178302</v>
          </cell>
          <cell r="I497">
            <v>55.353489719321772</v>
          </cell>
          <cell r="J497">
            <v>55.921824090014788</v>
          </cell>
          <cell r="K497">
            <v>56.810563514376582</v>
          </cell>
          <cell r="L497">
            <v>57.981705159721336</v>
          </cell>
          <cell r="M497">
            <v>57.630186168578049</v>
          </cell>
          <cell r="N497">
            <v>57.802035115500821</v>
          </cell>
          <cell r="O497">
            <v>57.659265403503021</v>
          </cell>
          <cell r="P497">
            <v>57.116101747184885</v>
          </cell>
          <cell r="Q497">
            <v>57.374365826359409</v>
          </cell>
          <cell r="R497">
            <v>57.044349740825368</v>
          </cell>
          <cell r="S497">
            <v>57.028110236561517</v>
          </cell>
          <cell r="T497">
            <v>57.028110236561517</v>
          </cell>
          <cell r="U497">
            <v>57.028110236561517</v>
          </cell>
          <cell r="V497">
            <v>57.028110236561517</v>
          </cell>
          <cell r="W497">
            <v>57.028110236561517</v>
          </cell>
          <cell r="X497">
            <v>57.028110236561517</v>
          </cell>
          <cell r="Y497">
            <v>57.028110236561517</v>
          </cell>
          <cell r="Z497">
            <v>57.028110236561517</v>
          </cell>
          <cell r="AA497">
            <v>57.028110236561517</v>
          </cell>
          <cell r="AB497">
            <v>57.028110236561517</v>
          </cell>
          <cell r="AC497">
            <v>57.028110236561517</v>
          </cell>
          <cell r="AD497">
            <v>57.028110236561517</v>
          </cell>
          <cell r="AE497">
            <v>57.028110236561517</v>
          </cell>
          <cell r="AF497">
            <v>57.028110236561517</v>
          </cell>
        </row>
        <row r="498">
          <cell r="A498" t="str">
            <v>Nebraska</v>
          </cell>
          <cell r="B498">
            <v>49.738667994058794</v>
          </cell>
          <cell r="C498">
            <v>50.753741780928216</v>
          </cell>
          <cell r="D498">
            <v>51.55338650016968</v>
          </cell>
          <cell r="E498">
            <v>52.362537841704508</v>
          </cell>
          <cell r="F498">
            <v>53.141006522540522</v>
          </cell>
          <cell r="G498">
            <v>53.943582308106393</v>
          </cell>
          <cell r="H498">
            <v>54.440260730178302</v>
          </cell>
          <cell r="I498">
            <v>55.353489719321786</v>
          </cell>
          <cell r="J498">
            <v>55.92182409001478</v>
          </cell>
          <cell r="K498">
            <v>56.810563514376582</v>
          </cell>
          <cell r="L498">
            <v>57.981705159721322</v>
          </cell>
          <cell r="M498">
            <v>57.630186168578035</v>
          </cell>
          <cell r="N498">
            <v>57.802035115500836</v>
          </cell>
          <cell r="O498">
            <v>57.659265403503028</v>
          </cell>
          <cell r="P498">
            <v>57.116101747184885</v>
          </cell>
          <cell r="Q498">
            <v>57.374365826359394</v>
          </cell>
          <cell r="R498">
            <v>57.044349740825368</v>
          </cell>
          <cell r="S498">
            <v>57.02811023656151</v>
          </cell>
          <cell r="T498">
            <v>57.02811023656151</v>
          </cell>
          <cell r="U498">
            <v>57.02811023656151</v>
          </cell>
          <cell r="V498">
            <v>57.02811023656151</v>
          </cell>
          <cell r="W498">
            <v>57.02811023656151</v>
          </cell>
          <cell r="X498">
            <v>57.02811023656151</v>
          </cell>
          <cell r="Y498">
            <v>57.02811023656151</v>
          </cell>
          <cell r="Z498">
            <v>57.02811023656151</v>
          </cell>
          <cell r="AA498">
            <v>57.02811023656151</v>
          </cell>
          <cell r="AB498">
            <v>57.02811023656151</v>
          </cell>
          <cell r="AC498">
            <v>57.02811023656151</v>
          </cell>
          <cell r="AD498">
            <v>57.02811023656151</v>
          </cell>
          <cell r="AE498">
            <v>57.02811023656151</v>
          </cell>
          <cell r="AF498">
            <v>57.02811023656151</v>
          </cell>
        </row>
        <row r="499">
          <cell r="A499" t="str">
            <v>Nevada</v>
          </cell>
          <cell r="B499">
            <v>60.355744500716639</v>
          </cell>
          <cell r="C499">
            <v>61.643442036208441</v>
          </cell>
          <cell r="D499">
            <v>62.601061794867128</v>
          </cell>
          <cell r="E499">
            <v>63.601874362507353</v>
          </cell>
          <cell r="F499">
            <v>64.581887585139484</v>
          </cell>
          <cell r="G499">
            <v>65.564018022682376</v>
          </cell>
          <cell r="H499">
            <v>66.176747068351446</v>
          </cell>
          <cell r="I499">
            <v>67.351461925981866</v>
          </cell>
          <cell r="J499">
            <v>68.074367570983654</v>
          </cell>
          <cell r="K499">
            <v>69.226355638357361</v>
          </cell>
          <cell r="L499">
            <v>70.763880365246493</v>
          </cell>
          <cell r="M499">
            <v>70.2893784413167</v>
          </cell>
          <cell r="N499">
            <v>70.510519337620565</v>
          </cell>
          <cell r="O499">
            <v>70.350635600037975</v>
          </cell>
          <cell r="P499">
            <v>69.634480505372466</v>
          </cell>
          <cell r="Q499">
            <v>69.945873377051072</v>
          </cell>
          <cell r="R499">
            <v>69.496249077542004</v>
          </cell>
          <cell r="S499">
            <v>69.486421341696456</v>
          </cell>
          <cell r="T499">
            <v>69.486421341696456</v>
          </cell>
          <cell r="U499">
            <v>69.486421341696456</v>
          </cell>
          <cell r="V499">
            <v>69.486421341696456</v>
          </cell>
          <cell r="W499">
            <v>69.486421341696456</v>
          </cell>
          <cell r="X499">
            <v>69.486421341696456</v>
          </cell>
          <cell r="Y499">
            <v>69.486421341696456</v>
          </cell>
          <cell r="Z499">
            <v>69.486421341696456</v>
          </cell>
          <cell r="AA499">
            <v>69.486421341696456</v>
          </cell>
          <cell r="AB499">
            <v>69.486421341696456</v>
          </cell>
          <cell r="AC499">
            <v>69.486421341696456</v>
          </cell>
          <cell r="AD499">
            <v>69.486421341696456</v>
          </cell>
          <cell r="AE499">
            <v>69.486421341696456</v>
          </cell>
          <cell r="AF499">
            <v>69.486421341696456</v>
          </cell>
        </row>
        <row r="500">
          <cell r="A500" t="str">
            <v>New Hampshire</v>
          </cell>
          <cell r="B500">
            <v>56.391980461947057</v>
          </cell>
          <cell r="C500">
            <v>56.391980461947057</v>
          </cell>
          <cell r="D500">
            <v>56.391980461947057</v>
          </cell>
          <cell r="E500">
            <v>56.391980461947057</v>
          </cell>
          <cell r="F500">
            <v>56.391980461947057</v>
          </cell>
          <cell r="G500">
            <v>56.391980461947057</v>
          </cell>
          <cell r="H500">
            <v>56.391980461947057</v>
          </cell>
          <cell r="I500">
            <v>57.346793787464087</v>
          </cell>
          <cell r="J500">
            <v>57.939890410242811</v>
          </cell>
          <cell r="K500">
            <v>58.870300265887622</v>
          </cell>
          <cell r="L500">
            <v>60.099020852509334</v>
          </cell>
          <cell r="M500">
            <v>59.728438115808416</v>
          </cell>
          <cell r="N500">
            <v>59.908124097214348</v>
          </cell>
          <cell r="O500">
            <v>59.762106656712739</v>
          </cell>
          <cell r="P500">
            <v>59.191818657974103</v>
          </cell>
          <cell r="Q500">
            <v>59.458992733508495</v>
          </cell>
          <cell r="R500">
            <v>59.110511174382168</v>
          </cell>
          <cell r="S500">
            <v>59.095046479496148</v>
          </cell>
          <cell r="T500">
            <v>59.095046479496148</v>
          </cell>
          <cell r="U500">
            <v>59.095046479496148</v>
          </cell>
          <cell r="V500">
            <v>59.095046479496148</v>
          </cell>
          <cell r="W500">
            <v>59.095046479496148</v>
          </cell>
          <cell r="X500">
            <v>59.095046479496148</v>
          </cell>
          <cell r="Y500">
            <v>59.095046479496148</v>
          </cell>
          <cell r="Z500">
            <v>59.095046479496148</v>
          </cell>
          <cell r="AA500">
            <v>59.095046479496148</v>
          </cell>
          <cell r="AB500">
            <v>59.095046479496148</v>
          </cell>
          <cell r="AC500">
            <v>59.095046479496148</v>
          </cell>
          <cell r="AD500">
            <v>59.095046479496148</v>
          </cell>
          <cell r="AE500">
            <v>59.095046479496148</v>
          </cell>
          <cell r="AF500">
            <v>59.095046479496148</v>
          </cell>
        </row>
        <row r="501">
          <cell r="A501" t="str">
            <v>New Jersey</v>
          </cell>
          <cell r="B501">
            <v>51.507346470917888</v>
          </cell>
          <cell r="C501">
            <v>52.566174827701303</v>
          </cell>
          <cell r="D501">
            <v>53.392513851233801</v>
          </cell>
          <cell r="E501">
            <v>54.233031221270977</v>
          </cell>
          <cell r="F501">
            <v>55.044024433536919</v>
          </cell>
          <cell r="G501">
            <v>55.876267241341907</v>
          </cell>
          <cell r="H501">
            <v>56.391980461947057</v>
          </cell>
          <cell r="I501">
            <v>57.346793787464087</v>
          </cell>
          <cell r="J501">
            <v>57.939890410242811</v>
          </cell>
          <cell r="K501">
            <v>58.870300265887622</v>
          </cell>
          <cell r="L501">
            <v>60.099020852509334</v>
          </cell>
          <cell r="M501">
            <v>59.728438115808416</v>
          </cell>
          <cell r="N501">
            <v>59.908124097214348</v>
          </cell>
          <cell r="O501">
            <v>59.762106656712739</v>
          </cell>
          <cell r="P501">
            <v>59.191818657974082</v>
          </cell>
          <cell r="Q501">
            <v>59.458992733508495</v>
          </cell>
          <cell r="R501">
            <v>59.110511174382168</v>
          </cell>
          <cell r="S501">
            <v>59.095046479496148</v>
          </cell>
          <cell r="T501">
            <v>59.095046479496148</v>
          </cell>
          <cell r="U501">
            <v>59.095046479496148</v>
          </cell>
          <cell r="V501">
            <v>59.095046479496148</v>
          </cell>
          <cell r="W501">
            <v>59.095046479496148</v>
          </cell>
          <cell r="X501">
            <v>59.095046479496148</v>
          </cell>
          <cell r="Y501">
            <v>59.095046479496148</v>
          </cell>
          <cell r="Z501">
            <v>59.095046479496148</v>
          </cell>
          <cell r="AA501">
            <v>59.095046479496148</v>
          </cell>
          <cell r="AB501">
            <v>59.095046479496148</v>
          </cell>
          <cell r="AC501">
            <v>59.095046479496148</v>
          </cell>
          <cell r="AD501">
            <v>59.095046479496148</v>
          </cell>
          <cell r="AE501">
            <v>59.095046479496148</v>
          </cell>
          <cell r="AF501">
            <v>59.095046479496148</v>
          </cell>
        </row>
        <row r="502">
          <cell r="A502" t="str">
            <v>New Mexico</v>
          </cell>
          <cell r="B502">
            <v>60.355744500716646</v>
          </cell>
          <cell r="C502">
            <v>61.64344203620842</v>
          </cell>
          <cell r="D502">
            <v>62.601061794867135</v>
          </cell>
          <cell r="E502">
            <v>63.601874362507367</v>
          </cell>
          <cell r="F502">
            <v>64.581887585139484</v>
          </cell>
          <cell r="G502">
            <v>65.564018022682376</v>
          </cell>
          <cell r="H502">
            <v>66.17674706835146</v>
          </cell>
          <cell r="I502">
            <v>67.351461925981866</v>
          </cell>
          <cell r="J502">
            <v>68.074367570983668</v>
          </cell>
          <cell r="K502">
            <v>69.226355638357361</v>
          </cell>
          <cell r="L502">
            <v>70.763880365246493</v>
          </cell>
          <cell r="M502">
            <v>70.2893784413167</v>
          </cell>
          <cell r="N502">
            <v>70.510519337620551</v>
          </cell>
          <cell r="O502">
            <v>70.350635600037961</v>
          </cell>
          <cell r="P502">
            <v>69.634480505372437</v>
          </cell>
          <cell r="Q502">
            <v>69.945873377051058</v>
          </cell>
          <cell r="R502">
            <v>69.496249077541989</v>
          </cell>
          <cell r="S502">
            <v>69.486421341696456</v>
          </cell>
          <cell r="T502">
            <v>69.486421341696456</v>
          </cell>
          <cell r="U502">
            <v>69.486421341696456</v>
          </cell>
          <cell r="V502">
            <v>69.486421341696456</v>
          </cell>
          <cell r="W502">
            <v>69.486421341696456</v>
          </cell>
          <cell r="X502">
            <v>69.486421341696456</v>
          </cell>
          <cell r="Y502">
            <v>69.486421341696456</v>
          </cell>
          <cell r="Z502">
            <v>69.486421341696456</v>
          </cell>
          <cell r="AA502">
            <v>69.486421341696456</v>
          </cell>
          <cell r="AB502">
            <v>69.486421341696456</v>
          </cell>
          <cell r="AC502">
            <v>69.486421341696456</v>
          </cell>
          <cell r="AD502">
            <v>69.486421341696456</v>
          </cell>
          <cell r="AE502">
            <v>69.486421341696456</v>
          </cell>
          <cell r="AF502">
            <v>69.486421341696456</v>
          </cell>
        </row>
        <row r="503">
          <cell r="A503" t="str">
            <v>New York</v>
          </cell>
          <cell r="B503">
            <v>51.507346470917888</v>
          </cell>
          <cell r="C503">
            <v>52.566174827701303</v>
          </cell>
          <cell r="D503">
            <v>53.392513851233822</v>
          </cell>
          <cell r="E503">
            <v>54.23303122127097</v>
          </cell>
          <cell r="F503">
            <v>55.044024433536926</v>
          </cell>
          <cell r="G503">
            <v>55.8762672413419</v>
          </cell>
          <cell r="H503">
            <v>56.391980461947043</v>
          </cell>
          <cell r="I503">
            <v>57.34679378746408</v>
          </cell>
          <cell r="J503">
            <v>57.939890410242782</v>
          </cell>
          <cell r="K503">
            <v>58.870300265887622</v>
          </cell>
          <cell r="L503">
            <v>60.099020852509341</v>
          </cell>
          <cell r="M503">
            <v>59.728438115808416</v>
          </cell>
          <cell r="N503">
            <v>59.908124097214341</v>
          </cell>
          <cell r="O503">
            <v>59.762106656712739</v>
          </cell>
          <cell r="P503">
            <v>59.191818657974089</v>
          </cell>
          <cell r="Q503">
            <v>59.458992733508509</v>
          </cell>
          <cell r="R503">
            <v>59.110511174382182</v>
          </cell>
          <cell r="S503">
            <v>59.095046479496141</v>
          </cell>
          <cell r="T503">
            <v>59.095046479496141</v>
          </cell>
          <cell r="U503">
            <v>59.095046479496141</v>
          </cell>
          <cell r="V503">
            <v>59.095046479496141</v>
          </cell>
          <cell r="W503">
            <v>59.095046479496141</v>
          </cell>
          <cell r="X503">
            <v>59.095046479496141</v>
          </cell>
          <cell r="Y503">
            <v>59.095046479496141</v>
          </cell>
          <cell r="Z503">
            <v>59.095046479496141</v>
          </cell>
          <cell r="AA503">
            <v>59.095046479496141</v>
          </cell>
          <cell r="AB503">
            <v>59.095046479496141</v>
          </cell>
          <cell r="AC503">
            <v>59.095046479496141</v>
          </cell>
          <cell r="AD503">
            <v>59.095046479496141</v>
          </cell>
          <cell r="AE503">
            <v>59.095046479496141</v>
          </cell>
          <cell r="AF503">
            <v>59.095046479496141</v>
          </cell>
        </row>
        <row r="504">
          <cell r="A504" t="str">
            <v>North Carolina</v>
          </cell>
          <cell r="B504">
            <v>51.979449321362679</v>
          </cell>
          <cell r="C504">
            <v>53.050068158848816</v>
          </cell>
          <cell r="D504">
            <v>53.883507233241396</v>
          </cell>
          <cell r="E504">
            <v>54.732434643991141</v>
          </cell>
          <cell r="F504">
            <v>55.552179828866734</v>
          </cell>
          <cell r="G504">
            <v>56.392357873839678</v>
          </cell>
          <cell r="H504">
            <v>56.913171901067031</v>
          </cell>
          <cell r="I504">
            <v>57.879217515934542</v>
          </cell>
          <cell r="J504">
            <v>58.478989956375166</v>
          </cell>
          <cell r="K504">
            <v>59.420668992092345</v>
          </cell>
          <cell r="L504">
            <v>60.66499039758542</v>
          </cell>
          <cell r="M504">
            <v>60.289223675177467</v>
          </cell>
          <cell r="N504">
            <v>60.471026641489416</v>
          </cell>
          <cell r="O504">
            <v>60.3241688915803</v>
          </cell>
          <cell r="P504">
            <v>59.746527230584839</v>
          </cell>
          <cell r="Q504">
            <v>60.016075619697681</v>
          </cell>
          <cell r="R504">
            <v>59.66256734985744</v>
          </cell>
          <cell r="S504">
            <v>59.647329126919047</v>
          </cell>
          <cell r="T504">
            <v>59.647329126919047</v>
          </cell>
          <cell r="U504">
            <v>59.647329126919047</v>
          </cell>
          <cell r="V504">
            <v>59.647329126919047</v>
          </cell>
          <cell r="W504">
            <v>59.647329126919047</v>
          </cell>
          <cell r="X504">
            <v>59.647329126919047</v>
          </cell>
          <cell r="Y504">
            <v>59.647329126919047</v>
          </cell>
          <cell r="Z504">
            <v>59.647329126919047</v>
          </cell>
          <cell r="AA504">
            <v>59.647329126919047</v>
          </cell>
          <cell r="AB504">
            <v>59.647329126919047</v>
          </cell>
          <cell r="AC504">
            <v>59.647329126919047</v>
          </cell>
          <cell r="AD504">
            <v>59.647329126919047</v>
          </cell>
          <cell r="AE504">
            <v>59.647329126919047</v>
          </cell>
          <cell r="AF504">
            <v>59.647329126919047</v>
          </cell>
        </row>
        <row r="505">
          <cell r="A505" t="str">
            <v>North Dakota</v>
          </cell>
          <cell r="B505">
            <v>49.738667994058787</v>
          </cell>
          <cell r="C505">
            <v>50.75374178092823</v>
          </cell>
          <cell r="D505">
            <v>51.553386500169665</v>
          </cell>
          <cell r="E505">
            <v>52.362537841704501</v>
          </cell>
          <cell r="F505">
            <v>53.141006522540536</v>
          </cell>
          <cell r="G505">
            <v>53.943582308106386</v>
          </cell>
          <cell r="H505">
            <v>54.440260730178302</v>
          </cell>
          <cell r="I505">
            <v>55.353489719321772</v>
          </cell>
          <cell r="J505">
            <v>55.921824090014788</v>
          </cell>
          <cell r="K505">
            <v>56.810563514376582</v>
          </cell>
          <cell r="L505">
            <v>57.981705159721322</v>
          </cell>
          <cell r="M505">
            <v>57.630186168578049</v>
          </cell>
          <cell r="N505">
            <v>57.802035115500821</v>
          </cell>
          <cell r="O505">
            <v>57.659265403503021</v>
          </cell>
          <cell r="P505">
            <v>57.116101747184885</v>
          </cell>
          <cell r="Q505">
            <v>57.374365826359409</v>
          </cell>
          <cell r="R505">
            <v>57.044349740825368</v>
          </cell>
          <cell r="S505">
            <v>57.028110236561517</v>
          </cell>
          <cell r="T505">
            <v>57.028110236561517</v>
          </cell>
          <cell r="U505">
            <v>57.028110236561517</v>
          </cell>
          <cell r="V505">
            <v>57.028110236561517</v>
          </cell>
          <cell r="W505">
            <v>57.028110236561517</v>
          </cell>
          <cell r="X505">
            <v>57.028110236561517</v>
          </cell>
          <cell r="Y505">
            <v>57.028110236561517</v>
          </cell>
          <cell r="Z505">
            <v>57.028110236561517</v>
          </cell>
          <cell r="AA505">
            <v>57.028110236561517</v>
          </cell>
          <cell r="AB505">
            <v>57.028110236561517</v>
          </cell>
          <cell r="AC505">
            <v>57.028110236561517</v>
          </cell>
          <cell r="AD505">
            <v>57.028110236561517</v>
          </cell>
          <cell r="AE505">
            <v>57.028110236561517</v>
          </cell>
          <cell r="AF505">
            <v>57.028110236561517</v>
          </cell>
        </row>
        <row r="506">
          <cell r="A506" t="str">
            <v>Ohio</v>
          </cell>
          <cell r="B506">
            <v>51.516531667643648</v>
          </cell>
          <cell r="C506">
            <v>52.575588964124996</v>
          </cell>
          <cell r="D506">
            <v>53.402066229100384</v>
          </cell>
          <cell r="E506">
            <v>54.242747070202121</v>
          </cell>
          <cell r="F506">
            <v>55.053910272499174</v>
          </cell>
          <cell r="G506">
            <v>55.886307400666091</v>
          </cell>
          <cell r="H506">
            <v>56.402119780598021</v>
          </cell>
          <cell r="I506">
            <v>57.35715109947062</v>
          </cell>
          <cell r="J506">
            <v>57.950377335998262</v>
          </cell>
          <cell r="K506">
            <v>58.881005845895686</v>
          </cell>
          <cell r="L506">
            <v>60.110029014307216</v>
          </cell>
          <cell r="M506">
            <v>59.739345808306901</v>
          </cell>
          <cell r="N506">
            <v>59.919072875064984</v>
          </cell>
          <cell r="O506">
            <v>59.773038976912474</v>
          </cell>
          <cell r="P506">
            <v>59.202608369821995</v>
          </cell>
          <cell r="Q506">
            <v>59.469828656079244</v>
          </cell>
          <cell r="R506">
            <v>59.121249697466169</v>
          </cell>
          <cell r="S506">
            <v>59.105789328469477</v>
          </cell>
          <cell r="T506">
            <v>59.105789328469477</v>
          </cell>
          <cell r="U506">
            <v>59.105789328469477</v>
          </cell>
          <cell r="V506">
            <v>59.105789328469477</v>
          </cell>
          <cell r="W506">
            <v>59.105789328469477</v>
          </cell>
          <cell r="X506">
            <v>59.105789328469477</v>
          </cell>
          <cell r="Y506">
            <v>59.105789328469477</v>
          </cell>
          <cell r="Z506">
            <v>59.105789328469477</v>
          </cell>
          <cell r="AA506">
            <v>59.105789328469477</v>
          </cell>
          <cell r="AB506">
            <v>59.105789328469477</v>
          </cell>
          <cell r="AC506">
            <v>59.105789328469477</v>
          </cell>
          <cell r="AD506">
            <v>59.105789328469477</v>
          </cell>
          <cell r="AE506">
            <v>59.105789328469477</v>
          </cell>
          <cell r="AF506">
            <v>59.105789328469477</v>
          </cell>
        </row>
        <row r="507">
          <cell r="A507" t="str">
            <v>Oklahoma</v>
          </cell>
          <cell r="B507">
            <v>51.893556974409783</v>
          </cell>
          <cell r="C507">
            <v>52.962027209478606</v>
          </cell>
          <cell r="D507">
            <v>53.794175325298667</v>
          </cell>
          <cell r="E507">
            <v>54.641571466942473</v>
          </cell>
          <cell r="F507">
            <v>55.459722147044943</v>
          </cell>
          <cell r="G507">
            <v>56.298455974904286</v>
          </cell>
          <cell r="H507">
            <v>56.818341357139644</v>
          </cell>
          <cell r="I507">
            <v>57.782339262541264</v>
          </cell>
          <cell r="J507">
            <v>58.380895057128221</v>
          </cell>
          <cell r="K507">
            <v>59.320519235170927</v>
          </cell>
          <cell r="L507">
            <v>60.561995027617456</v>
          </cell>
          <cell r="M507">
            <v>60.187174451017505</v>
          </cell>
          <cell r="N507">
            <v>60.36859147492919</v>
          </cell>
          <cell r="O507">
            <v>60.221885773000608</v>
          </cell>
          <cell r="P507">
            <v>59.64558556760224</v>
          </cell>
          <cell r="Q507">
            <v>59.914702109241375</v>
          </cell>
          <cell r="R507">
            <v>59.562111447157314</v>
          </cell>
          <cell r="S507">
            <v>59.546831404099692</v>
          </cell>
          <cell r="T507">
            <v>59.546831404099692</v>
          </cell>
          <cell r="U507">
            <v>59.546831404099692</v>
          </cell>
          <cell r="V507">
            <v>59.546831404099692</v>
          </cell>
          <cell r="W507">
            <v>59.546831404099692</v>
          </cell>
          <cell r="X507">
            <v>59.546831404099692</v>
          </cell>
          <cell r="Y507">
            <v>59.546831404099692</v>
          </cell>
          <cell r="Z507">
            <v>59.546831404099692</v>
          </cell>
          <cell r="AA507">
            <v>59.546831404099692</v>
          </cell>
          <cell r="AB507">
            <v>59.546831404099692</v>
          </cell>
          <cell r="AC507">
            <v>59.546831404099692</v>
          </cell>
          <cell r="AD507">
            <v>59.546831404099692</v>
          </cell>
          <cell r="AE507">
            <v>59.546831404099692</v>
          </cell>
          <cell r="AF507">
            <v>59.546831404099692</v>
          </cell>
        </row>
        <row r="508">
          <cell r="A508" t="str">
            <v>Oregon</v>
          </cell>
          <cell r="B508">
            <v>60.355744500716625</v>
          </cell>
          <cell r="C508">
            <v>61.643442036208427</v>
          </cell>
          <cell r="D508">
            <v>62.601061794867128</v>
          </cell>
          <cell r="E508">
            <v>63.60187436250736</v>
          </cell>
          <cell r="F508">
            <v>64.581887585139469</v>
          </cell>
          <cell r="G508">
            <v>65.564018022682376</v>
          </cell>
          <cell r="H508">
            <v>66.17674706835146</v>
          </cell>
          <cell r="I508">
            <v>67.351461925981866</v>
          </cell>
          <cell r="J508">
            <v>68.074367570983668</v>
          </cell>
          <cell r="K508">
            <v>69.226355638357361</v>
          </cell>
          <cell r="L508">
            <v>70.763880365246493</v>
          </cell>
          <cell r="M508">
            <v>70.289378441316686</v>
          </cell>
          <cell r="N508">
            <v>70.510519337620565</v>
          </cell>
          <cell r="O508">
            <v>70.350635600037961</v>
          </cell>
          <cell r="P508">
            <v>69.634480505372437</v>
          </cell>
          <cell r="Q508">
            <v>69.945873377051043</v>
          </cell>
          <cell r="R508">
            <v>69.496249077541989</v>
          </cell>
          <cell r="S508">
            <v>69.486421341696442</v>
          </cell>
          <cell r="T508">
            <v>69.486421341696442</v>
          </cell>
          <cell r="U508">
            <v>69.486421341696442</v>
          </cell>
          <cell r="V508">
            <v>69.486421341696442</v>
          </cell>
          <cell r="W508">
            <v>69.486421341696442</v>
          </cell>
          <cell r="X508">
            <v>69.486421341696442</v>
          </cell>
          <cell r="Y508">
            <v>69.486421341696442</v>
          </cell>
          <cell r="Z508">
            <v>69.486421341696442</v>
          </cell>
          <cell r="AA508">
            <v>69.486421341696442</v>
          </cell>
          <cell r="AB508">
            <v>69.486421341696442</v>
          </cell>
          <cell r="AC508">
            <v>69.486421341696442</v>
          </cell>
          <cell r="AD508">
            <v>69.486421341696442</v>
          </cell>
          <cell r="AE508">
            <v>69.486421341696442</v>
          </cell>
          <cell r="AF508">
            <v>69.486421341696442</v>
          </cell>
        </row>
        <row r="509">
          <cell r="A509" t="str">
            <v>Pennsylvania</v>
          </cell>
          <cell r="B509">
            <v>51.507346470917895</v>
          </cell>
          <cell r="C509">
            <v>52.566174827701317</v>
          </cell>
          <cell r="D509">
            <v>53.392513851233822</v>
          </cell>
          <cell r="E509">
            <v>54.233031221270984</v>
          </cell>
          <cell r="F509">
            <v>55.044024433536947</v>
          </cell>
          <cell r="G509">
            <v>55.876267241341907</v>
          </cell>
          <cell r="H509">
            <v>56.391980461947043</v>
          </cell>
          <cell r="I509">
            <v>57.346793787464073</v>
          </cell>
          <cell r="J509">
            <v>57.939890410242796</v>
          </cell>
          <cell r="K509">
            <v>58.870300265887643</v>
          </cell>
          <cell r="L509">
            <v>60.099020852509341</v>
          </cell>
          <cell r="M509">
            <v>59.728438115808423</v>
          </cell>
          <cell r="N509">
            <v>59.908124097214333</v>
          </cell>
          <cell r="O509">
            <v>59.76210665671276</v>
          </cell>
          <cell r="P509">
            <v>59.191818657974103</v>
          </cell>
          <cell r="Q509">
            <v>59.458992733508495</v>
          </cell>
          <cell r="R509">
            <v>59.110511174382182</v>
          </cell>
          <cell r="S509">
            <v>59.095046479496148</v>
          </cell>
          <cell r="T509">
            <v>59.095046479496148</v>
          </cell>
          <cell r="U509">
            <v>59.095046479496148</v>
          </cell>
          <cell r="V509">
            <v>59.095046479496148</v>
          </cell>
          <cell r="W509">
            <v>59.095046479496148</v>
          </cell>
          <cell r="X509">
            <v>59.095046479496148</v>
          </cell>
          <cell r="Y509">
            <v>59.095046479496148</v>
          </cell>
          <cell r="Z509">
            <v>59.095046479496148</v>
          </cell>
          <cell r="AA509">
            <v>59.095046479496148</v>
          </cell>
          <cell r="AB509">
            <v>59.095046479496148</v>
          </cell>
          <cell r="AC509">
            <v>59.095046479496148</v>
          </cell>
          <cell r="AD509">
            <v>59.095046479496148</v>
          </cell>
          <cell r="AE509">
            <v>59.095046479496148</v>
          </cell>
          <cell r="AF509">
            <v>59.095046479496148</v>
          </cell>
        </row>
        <row r="510">
          <cell r="A510" t="str">
            <v>Rhode Island</v>
          </cell>
          <cell r="B510">
            <v>55.876267241341914</v>
          </cell>
          <cell r="C510">
            <v>55.876267241341914</v>
          </cell>
          <cell r="D510">
            <v>55.876267241341914</v>
          </cell>
          <cell r="E510">
            <v>55.876267241341914</v>
          </cell>
          <cell r="F510">
            <v>55.876267241341914</v>
          </cell>
          <cell r="G510">
            <v>55.876267241341914</v>
          </cell>
          <cell r="H510">
            <v>56.391980461947036</v>
          </cell>
          <cell r="I510">
            <v>57.346793787464087</v>
          </cell>
          <cell r="J510">
            <v>57.939890410242803</v>
          </cell>
          <cell r="K510">
            <v>58.870300265887622</v>
          </cell>
          <cell r="L510">
            <v>60.099020852509341</v>
          </cell>
          <cell r="M510">
            <v>59.72843811580843</v>
          </cell>
          <cell r="N510">
            <v>59.908124097214348</v>
          </cell>
          <cell r="O510">
            <v>59.762106656712746</v>
          </cell>
          <cell r="P510">
            <v>59.191818657974103</v>
          </cell>
          <cell r="Q510">
            <v>59.458992733508509</v>
          </cell>
          <cell r="R510">
            <v>59.110511174382175</v>
          </cell>
          <cell r="S510">
            <v>59.095046479496141</v>
          </cell>
          <cell r="T510">
            <v>59.095046479496141</v>
          </cell>
          <cell r="U510">
            <v>59.095046479496141</v>
          </cell>
          <cell r="V510">
            <v>59.095046479496141</v>
          </cell>
          <cell r="W510">
            <v>59.095046479496141</v>
          </cell>
          <cell r="X510">
            <v>59.095046479496141</v>
          </cell>
          <cell r="Y510">
            <v>59.095046479496141</v>
          </cell>
          <cell r="Z510">
            <v>59.095046479496141</v>
          </cell>
          <cell r="AA510">
            <v>59.095046479496141</v>
          </cell>
          <cell r="AB510">
            <v>59.095046479496141</v>
          </cell>
          <cell r="AC510">
            <v>59.095046479496141</v>
          </cell>
          <cell r="AD510">
            <v>59.095046479496141</v>
          </cell>
          <cell r="AE510">
            <v>59.095046479496141</v>
          </cell>
          <cell r="AF510">
            <v>59.095046479496141</v>
          </cell>
        </row>
        <row r="511">
          <cell r="A511" t="str">
            <v>South Carolina</v>
          </cell>
          <cell r="B511">
            <v>51.979449321362672</v>
          </cell>
          <cell r="C511">
            <v>53.050068158848809</v>
          </cell>
          <cell r="D511">
            <v>53.883507233241396</v>
          </cell>
          <cell r="E511">
            <v>54.732434643991134</v>
          </cell>
          <cell r="F511">
            <v>55.55217982886672</v>
          </cell>
          <cell r="G511">
            <v>56.392357873839686</v>
          </cell>
          <cell r="H511">
            <v>56.913171901067052</v>
          </cell>
          <cell r="I511">
            <v>57.879217515934556</v>
          </cell>
          <cell r="J511">
            <v>58.478989956375187</v>
          </cell>
          <cell r="K511">
            <v>59.420668992092352</v>
          </cell>
          <cell r="L511">
            <v>60.664990397585406</v>
          </cell>
          <cell r="M511">
            <v>60.289223675177453</v>
          </cell>
          <cell r="N511">
            <v>60.471026641489431</v>
          </cell>
          <cell r="O511">
            <v>60.3241688915803</v>
          </cell>
          <cell r="P511">
            <v>59.746527230584839</v>
          </cell>
          <cell r="Q511">
            <v>60.016075619697673</v>
          </cell>
          <cell r="R511">
            <v>59.66256734985744</v>
          </cell>
          <cell r="S511">
            <v>59.647329126919054</v>
          </cell>
          <cell r="T511">
            <v>59.647329126919054</v>
          </cell>
          <cell r="U511">
            <v>59.647329126919054</v>
          </cell>
          <cell r="V511">
            <v>59.647329126919054</v>
          </cell>
          <cell r="W511">
            <v>59.647329126919054</v>
          </cell>
          <cell r="X511">
            <v>59.647329126919054</v>
          </cell>
          <cell r="Y511">
            <v>59.647329126919054</v>
          </cell>
          <cell r="Z511">
            <v>59.647329126919054</v>
          </cell>
          <cell r="AA511">
            <v>59.647329126919054</v>
          </cell>
          <cell r="AB511">
            <v>59.647329126919054</v>
          </cell>
          <cell r="AC511">
            <v>59.647329126919054</v>
          </cell>
          <cell r="AD511">
            <v>59.647329126919054</v>
          </cell>
          <cell r="AE511">
            <v>59.647329126919054</v>
          </cell>
          <cell r="AF511">
            <v>59.647329126919054</v>
          </cell>
        </row>
        <row r="512">
          <cell r="A512" t="str">
            <v>South Dakota</v>
          </cell>
          <cell r="B512">
            <v>49.738667994058794</v>
          </cell>
          <cell r="C512">
            <v>50.753741780928216</v>
          </cell>
          <cell r="D512">
            <v>51.55338650016968</v>
          </cell>
          <cell r="E512">
            <v>52.362537841704501</v>
          </cell>
          <cell r="F512">
            <v>53.141006522540522</v>
          </cell>
          <cell r="G512">
            <v>53.943582308106407</v>
          </cell>
          <cell r="H512">
            <v>54.440260730178323</v>
          </cell>
          <cell r="I512">
            <v>55.353489719321772</v>
          </cell>
          <cell r="J512">
            <v>55.921824090014766</v>
          </cell>
          <cell r="K512">
            <v>56.810563514376582</v>
          </cell>
          <cell r="L512">
            <v>57.981705159721329</v>
          </cell>
          <cell r="M512">
            <v>57.630186168578042</v>
          </cell>
          <cell r="N512">
            <v>57.802035115500829</v>
          </cell>
          <cell r="O512">
            <v>57.659265403503014</v>
          </cell>
          <cell r="P512">
            <v>57.116101747184878</v>
          </cell>
          <cell r="Q512">
            <v>57.374365826359416</v>
          </cell>
          <cell r="R512">
            <v>57.044349740825368</v>
          </cell>
          <cell r="S512">
            <v>57.028110236561524</v>
          </cell>
          <cell r="T512">
            <v>57.028110236561524</v>
          </cell>
          <cell r="U512">
            <v>57.028110236561524</v>
          </cell>
          <cell r="V512">
            <v>57.028110236561524</v>
          </cell>
          <cell r="W512">
            <v>57.028110236561524</v>
          </cell>
          <cell r="X512">
            <v>57.028110236561524</v>
          </cell>
          <cell r="Y512">
            <v>57.028110236561524</v>
          </cell>
          <cell r="Z512">
            <v>57.028110236561524</v>
          </cell>
          <cell r="AA512">
            <v>57.028110236561524</v>
          </cell>
          <cell r="AB512">
            <v>57.028110236561524</v>
          </cell>
          <cell r="AC512">
            <v>57.028110236561524</v>
          </cell>
          <cell r="AD512">
            <v>57.028110236561524</v>
          </cell>
          <cell r="AE512">
            <v>57.028110236561524</v>
          </cell>
          <cell r="AF512">
            <v>57.028110236561524</v>
          </cell>
        </row>
        <row r="513">
          <cell r="A513" t="str">
            <v>Tennessee</v>
          </cell>
          <cell r="B513">
            <v>51.979449321362686</v>
          </cell>
          <cell r="C513">
            <v>53.050068158848809</v>
          </cell>
          <cell r="D513">
            <v>53.883507233241389</v>
          </cell>
          <cell r="E513">
            <v>54.732434643991148</v>
          </cell>
          <cell r="F513">
            <v>55.552179828866734</v>
          </cell>
          <cell r="G513">
            <v>56.392357873839664</v>
          </cell>
          <cell r="H513">
            <v>56.913171901067038</v>
          </cell>
          <cell r="I513">
            <v>57.879217515934542</v>
          </cell>
          <cell r="J513">
            <v>58.47898995637518</v>
          </cell>
          <cell r="K513">
            <v>59.420668992092359</v>
          </cell>
          <cell r="L513">
            <v>60.66499039758542</v>
          </cell>
          <cell r="M513">
            <v>60.289223675177482</v>
          </cell>
          <cell r="N513">
            <v>60.471026641489424</v>
          </cell>
          <cell r="O513">
            <v>60.324168891580307</v>
          </cell>
          <cell r="P513">
            <v>59.746527230584832</v>
          </cell>
          <cell r="Q513">
            <v>60.016075619697688</v>
          </cell>
          <cell r="R513">
            <v>59.662567349857447</v>
          </cell>
          <cell r="S513">
            <v>59.647329126919054</v>
          </cell>
          <cell r="T513">
            <v>59.647329126919054</v>
          </cell>
          <cell r="U513">
            <v>59.647329126919054</v>
          </cell>
          <cell r="V513">
            <v>59.647329126919054</v>
          </cell>
          <cell r="W513">
            <v>59.647329126919054</v>
          </cell>
          <cell r="X513">
            <v>59.647329126919054</v>
          </cell>
          <cell r="Y513">
            <v>59.647329126919054</v>
          </cell>
          <cell r="Z513">
            <v>59.647329126919054</v>
          </cell>
          <cell r="AA513">
            <v>59.647329126919054</v>
          </cell>
          <cell r="AB513">
            <v>59.647329126919054</v>
          </cell>
          <cell r="AC513">
            <v>59.647329126919054</v>
          </cell>
          <cell r="AD513">
            <v>59.647329126919054</v>
          </cell>
          <cell r="AE513">
            <v>59.647329126919054</v>
          </cell>
          <cell r="AF513">
            <v>59.647329126919054</v>
          </cell>
        </row>
        <row r="514">
          <cell r="A514" t="str">
            <v>Texas</v>
          </cell>
          <cell r="B514">
            <v>51.893556974409776</v>
          </cell>
          <cell r="C514">
            <v>52.962027209478606</v>
          </cell>
          <cell r="D514">
            <v>53.79417532529866</v>
          </cell>
          <cell r="E514">
            <v>54.641571466942501</v>
          </cell>
          <cell r="F514">
            <v>55.45972214704495</v>
          </cell>
          <cell r="G514">
            <v>56.298455974904286</v>
          </cell>
          <cell r="H514">
            <v>56.81834135713963</v>
          </cell>
          <cell r="I514">
            <v>57.782339262541271</v>
          </cell>
          <cell r="J514">
            <v>58.380895057128235</v>
          </cell>
          <cell r="K514">
            <v>59.320519235170941</v>
          </cell>
          <cell r="L514">
            <v>60.561995027617442</v>
          </cell>
          <cell r="M514">
            <v>60.187174451017533</v>
          </cell>
          <cell r="N514">
            <v>60.368591474929183</v>
          </cell>
          <cell r="O514">
            <v>60.221885773000608</v>
          </cell>
          <cell r="P514">
            <v>59.645585567602254</v>
          </cell>
          <cell r="Q514">
            <v>59.914702109241382</v>
          </cell>
          <cell r="R514">
            <v>59.562111447157314</v>
          </cell>
          <cell r="S514">
            <v>59.546831404099677</v>
          </cell>
          <cell r="T514">
            <v>59.546831404099677</v>
          </cell>
          <cell r="U514">
            <v>59.546831404099677</v>
          </cell>
          <cell r="V514">
            <v>59.546831404099677</v>
          </cell>
          <cell r="W514">
            <v>59.546831404099677</v>
          </cell>
          <cell r="X514">
            <v>59.546831404099677</v>
          </cell>
          <cell r="Y514">
            <v>59.546831404099677</v>
          </cell>
          <cell r="Z514">
            <v>59.546831404099677</v>
          </cell>
          <cell r="AA514">
            <v>59.546831404099677</v>
          </cell>
          <cell r="AB514">
            <v>59.546831404099677</v>
          </cell>
          <cell r="AC514">
            <v>59.546831404099677</v>
          </cell>
          <cell r="AD514">
            <v>59.546831404099677</v>
          </cell>
          <cell r="AE514">
            <v>59.546831404099677</v>
          </cell>
          <cell r="AF514">
            <v>59.546831404099677</v>
          </cell>
        </row>
        <row r="515">
          <cell r="A515" t="str">
            <v>Utah</v>
          </cell>
          <cell r="B515">
            <v>60.355744500716625</v>
          </cell>
          <cell r="C515">
            <v>61.643442036208427</v>
          </cell>
          <cell r="D515">
            <v>62.601061794867121</v>
          </cell>
          <cell r="E515">
            <v>63.601874362507353</v>
          </cell>
          <cell r="F515">
            <v>64.581887585139469</v>
          </cell>
          <cell r="G515">
            <v>65.56401802268239</v>
          </cell>
          <cell r="H515">
            <v>66.176747068351474</v>
          </cell>
          <cell r="I515">
            <v>67.351461925981866</v>
          </cell>
          <cell r="J515">
            <v>68.074367570983654</v>
          </cell>
          <cell r="K515">
            <v>69.226355638357361</v>
          </cell>
          <cell r="L515">
            <v>70.763880365246479</v>
          </cell>
          <cell r="M515">
            <v>70.2893784413167</v>
          </cell>
          <cell r="N515">
            <v>70.510519337620551</v>
          </cell>
          <cell r="O515">
            <v>70.350635600037975</v>
          </cell>
          <cell r="P515">
            <v>69.634480505372466</v>
          </cell>
          <cell r="Q515">
            <v>69.945873377051043</v>
          </cell>
          <cell r="R515">
            <v>69.496249077542004</v>
          </cell>
          <cell r="S515">
            <v>69.486421341696442</v>
          </cell>
          <cell r="T515">
            <v>69.486421341696442</v>
          </cell>
          <cell r="U515">
            <v>69.486421341696442</v>
          </cell>
          <cell r="V515">
            <v>69.486421341696442</v>
          </cell>
          <cell r="W515">
            <v>69.486421341696442</v>
          </cell>
          <cell r="X515">
            <v>69.486421341696442</v>
          </cell>
          <cell r="Y515">
            <v>69.486421341696442</v>
          </cell>
          <cell r="Z515">
            <v>69.486421341696442</v>
          </cell>
          <cell r="AA515">
            <v>69.486421341696442</v>
          </cell>
          <cell r="AB515">
            <v>69.486421341696442</v>
          </cell>
          <cell r="AC515">
            <v>69.486421341696442</v>
          </cell>
          <cell r="AD515">
            <v>69.486421341696442</v>
          </cell>
          <cell r="AE515">
            <v>69.486421341696442</v>
          </cell>
          <cell r="AF515">
            <v>69.486421341696442</v>
          </cell>
        </row>
        <row r="516">
          <cell r="A516" t="str">
            <v>Vermont</v>
          </cell>
          <cell r="B516">
            <v>51.507346470917888</v>
          </cell>
          <cell r="C516">
            <v>52.566174827701303</v>
          </cell>
          <cell r="D516">
            <v>53.392513851233801</v>
          </cell>
          <cell r="E516">
            <v>54.233031221270977</v>
          </cell>
          <cell r="F516">
            <v>55.044024433536919</v>
          </cell>
          <cell r="G516">
            <v>55.876267241341907</v>
          </cell>
          <cell r="H516">
            <v>56.391980461947057</v>
          </cell>
          <cell r="I516">
            <v>57.346793787464087</v>
          </cell>
          <cell r="J516">
            <v>57.939890410242811</v>
          </cell>
          <cell r="K516">
            <v>58.870300265887622</v>
          </cell>
          <cell r="L516">
            <v>60.099020852509341</v>
          </cell>
          <cell r="M516">
            <v>59.728438115808416</v>
          </cell>
          <cell r="N516">
            <v>59.908124097214348</v>
          </cell>
          <cell r="O516">
            <v>59.762106656712739</v>
          </cell>
          <cell r="P516">
            <v>59.191818657974089</v>
          </cell>
          <cell r="Q516">
            <v>59.458992733508509</v>
          </cell>
          <cell r="R516">
            <v>59.110511174382168</v>
          </cell>
          <cell r="S516">
            <v>59.095046479496148</v>
          </cell>
          <cell r="T516">
            <v>59.095046479496148</v>
          </cell>
          <cell r="U516">
            <v>59.095046479496148</v>
          </cell>
          <cell r="V516">
            <v>59.095046479496148</v>
          </cell>
          <cell r="W516">
            <v>59.095046479496148</v>
          </cell>
          <cell r="X516">
            <v>59.095046479496148</v>
          </cell>
          <cell r="Y516">
            <v>59.095046479496148</v>
          </cell>
          <cell r="Z516">
            <v>59.095046479496148</v>
          </cell>
          <cell r="AA516">
            <v>59.095046479496148</v>
          </cell>
          <cell r="AB516">
            <v>59.095046479496148</v>
          </cell>
          <cell r="AC516">
            <v>59.095046479496148</v>
          </cell>
          <cell r="AD516">
            <v>59.095046479496148</v>
          </cell>
          <cell r="AE516">
            <v>59.095046479496148</v>
          </cell>
          <cell r="AF516">
            <v>59.095046479496148</v>
          </cell>
        </row>
        <row r="517">
          <cell r="A517" t="str">
            <v>Virginia</v>
          </cell>
          <cell r="B517">
            <v>51.979449321362686</v>
          </cell>
          <cell r="C517">
            <v>53.050068158848838</v>
          </cell>
          <cell r="D517">
            <v>53.883507233241403</v>
          </cell>
          <cell r="E517">
            <v>54.732434643991134</v>
          </cell>
          <cell r="F517">
            <v>55.552179828866734</v>
          </cell>
          <cell r="G517">
            <v>56.392357873839678</v>
          </cell>
          <cell r="H517">
            <v>56.913171901067038</v>
          </cell>
          <cell r="I517">
            <v>57.879217515934528</v>
          </cell>
          <cell r="J517">
            <v>58.47898995637518</v>
          </cell>
          <cell r="K517">
            <v>59.420668992092359</v>
          </cell>
          <cell r="L517">
            <v>60.66499039758542</v>
          </cell>
          <cell r="M517">
            <v>60.289223675177467</v>
          </cell>
          <cell r="N517">
            <v>60.471026641489424</v>
          </cell>
          <cell r="O517">
            <v>60.324168891580314</v>
          </cell>
          <cell r="P517">
            <v>59.746527230584846</v>
          </cell>
          <cell r="Q517">
            <v>60.016075619697666</v>
          </cell>
          <cell r="R517">
            <v>59.662567349857447</v>
          </cell>
          <cell r="S517">
            <v>59.647329126919047</v>
          </cell>
          <cell r="T517">
            <v>59.647329126919047</v>
          </cell>
          <cell r="U517">
            <v>59.647329126919047</v>
          </cell>
          <cell r="V517">
            <v>59.647329126919047</v>
          </cell>
          <cell r="W517">
            <v>59.647329126919047</v>
          </cell>
          <cell r="X517">
            <v>59.647329126919047</v>
          </cell>
          <cell r="Y517">
            <v>59.647329126919047</v>
          </cell>
          <cell r="Z517">
            <v>59.647329126919047</v>
          </cell>
          <cell r="AA517">
            <v>59.647329126919047</v>
          </cell>
          <cell r="AB517">
            <v>59.647329126919047</v>
          </cell>
          <cell r="AC517">
            <v>59.647329126919047</v>
          </cell>
          <cell r="AD517">
            <v>59.647329126919047</v>
          </cell>
          <cell r="AE517">
            <v>59.647329126919047</v>
          </cell>
          <cell r="AF517">
            <v>59.647329126919047</v>
          </cell>
        </row>
        <row r="518">
          <cell r="A518" t="str">
            <v>Washington</v>
          </cell>
          <cell r="B518">
            <v>60.355744500716625</v>
          </cell>
          <cell r="C518">
            <v>61.64344203620842</v>
          </cell>
          <cell r="D518">
            <v>62.601061794867135</v>
          </cell>
          <cell r="E518">
            <v>63.60187436250736</v>
          </cell>
          <cell r="F518">
            <v>64.581887585139469</v>
          </cell>
          <cell r="G518">
            <v>65.56401802268239</v>
          </cell>
          <cell r="H518">
            <v>66.17674706835146</v>
          </cell>
          <cell r="I518">
            <v>67.351461925981866</v>
          </cell>
          <cell r="J518">
            <v>68.074367570983668</v>
          </cell>
          <cell r="K518">
            <v>69.226355638357347</v>
          </cell>
          <cell r="L518">
            <v>70.763880365246493</v>
          </cell>
          <cell r="M518">
            <v>70.289378441316686</v>
          </cell>
          <cell r="N518">
            <v>70.510519337620565</v>
          </cell>
          <cell r="O518">
            <v>70.350635600037975</v>
          </cell>
          <cell r="P518">
            <v>69.634480505372437</v>
          </cell>
          <cell r="Q518">
            <v>69.945873377051043</v>
          </cell>
          <cell r="R518">
            <v>69.496249077542004</v>
          </cell>
          <cell r="S518">
            <v>69.486421341696456</v>
          </cell>
          <cell r="T518">
            <v>69.486421341696456</v>
          </cell>
          <cell r="U518">
            <v>69.486421341696456</v>
          </cell>
          <cell r="V518">
            <v>69.486421341696456</v>
          </cell>
          <cell r="W518">
            <v>69.486421341696456</v>
          </cell>
          <cell r="X518">
            <v>69.486421341696456</v>
          </cell>
          <cell r="Y518">
            <v>69.486421341696456</v>
          </cell>
          <cell r="Z518">
            <v>69.486421341696456</v>
          </cell>
          <cell r="AA518">
            <v>69.486421341696456</v>
          </cell>
          <cell r="AB518">
            <v>69.486421341696456</v>
          </cell>
          <cell r="AC518">
            <v>69.486421341696456</v>
          </cell>
          <cell r="AD518">
            <v>69.486421341696456</v>
          </cell>
          <cell r="AE518">
            <v>69.486421341696456</v>
          </cell>
          <cell r="AF518">
            <v>69.486421341696456</v>
          </cell>
        </row>
        <row r="519">
          <cell r="A519" t="str">
            <v>West Virginia</v>
          </cell>
          <cell r="B519">
            <v>51.507346470917888</v>
          </cell>
          <cell r="C519">
            <v>52.566174827701303</v>
          </cell>
          <cell r="D519">
            <v>53.392513851233815</v>
          </cell>
          <cell r="E519">
            <v>54.233031221270963</v>
          </cell>
          <cell r="F519">
            <v>55.044024433536926</v>
          </cell>
          <cell r="G519">
            <v>55.876267241341907</v>
          </cell>
          <cell r="H519">
            <v>56.391980461947043</v>
          </cell>
          <cell r="I519">
            <v>57.346793787464087</v>
          </cell>
          <cell r="J519">
            <v>57.939890410242796</v>
          </cell>
          <cell r="K519">
            <v>58.870300265887636</v>
          </cell>
          <cell r="L519">
            <v>60.099020852509319</v>
          </cell>
          <cell r="M519">
            <v>59.728438115808416</v>
          </cell>
          <cell r="N519">
            <v>59.908124097214348</v>
          </cell>
          <cell r="O519">
            <v>59.762106656712739</v>
          </cell>
          <cell r="P519">
            <v>59.191818657974089</v>
          </cell>
          <cell r="Q519">
            <v>59.458992733508502</v>
          </cell>
          <cell r="R519">
            <v>59.110511174382182</v>
          </cell>
          <cell r="S519">
            <v>59.095046479496141</v>
          </cell>
          <cell r="T519">
            <v>59.095046479496141</v>
          </cell>
          <cell r="U519">
            <v>59.095046479496141</v>
          </cell>
          <cell r="V519">
            <v>59.095046479496141</v>
          </cell>
          <cell r="W519">
            <v>59.095046479496141</v>
          </cell>
          <cell r="X519">
            <v>59.095046479496141</v>
          </cell>
          <cell r="Y519">
            <v>59.095046479496141</v>
          </cell>
          <cell r="Z519">
            <v>59.095046479496141</v>
          </cell>
          <cell r="AA519">
            <v>59.095046479496141</v>
          </cell>
          <cell r="AB519">
            <v>59.095046479496141</v>
          </cell>
          <cell r="AC519">
            <v>59.095046479496141</v>
          </cell>
          <cell r="AD519">
            <v>59.095046479496141</v>
          </cell>
          <cell r="AE519">
            <v>59.095046479496141</v>
          </cell>
          <cell r="AF519">
            <v>59.095046479496141</v>
          </cell>
        </row>
        <row r="520">
          <cell r="A520" t="str">
            <v>Wisconsin</v>
          </cell>
          <cell r="B520">
            <v>51.516531667643655</v>
          </cell>
          <cell r="C520">
            <v>52.575588964124975</v>
          </cell>
          <cell r="D520">
            <v>53.402066229100377</v>
          </cell>
          <cell r="E520">
            <v>54.242747070202121</v>
          </cell>
          <cell r="F520">
            <v>55.053910272499174</v>
          </cell>
          <cell r="G520">
            <v>55.886307400666091</v>
          </cell>
          <cell r="H520">
            <v>56.402119780598014</v>
          </cell>
          <cell r="I520">
            <v>57.357151099470613</v>
          </cell>
          <cell r="J520">
            <v>57.950377335998269</v>
          </cell>
          <cell r="K520">
            <v>58.881005845895693</v>
          </cell>
          <cell r="L520">
            <v>60.110029014307223</v>
          </cell>
          <cell r="M520">
            <v>59.739345808306886</v>
          </cell>
          <cell r="N520">
            <v>59.919072875064984</v>
          </cell>
          <cell r="O520">
            <v>59.773038976912488</v>
          </cell>
          <cell r="P520">
            <v>59.202608369822009</v>
          </cell>
          <cell r="Q520">
            <v>59.469828656079237</v>
          </cell>
          <cell r="R520">
            <v>59.121249697466169</v>
          </cell>
          <cell r="S520">
            <v>59.10578932846947</v>
          </cell>
          <cell r="T520">
            <v>59.10578932846947</v>
          </cell>
          <cell r="U520">
            <v>59.10578932846947</v>
          </cell>
          <cell r="V520">
            <v>59.10578932846947</v>
          </cell>
          <cell r="W520">
            <v>59.10578932846947</v>
          </cell>
          <cell r="X520">
            <v>59.10578932846947</v>
          </cell>
          <cell r="Y520">
            <v>59.10578932846947</v>
          </cell>
          <cell r="Z520">
            <v>59.10578932846947</v>
          </cell>
          <cell r="AA520">
            <v>59.10578932846947</v>
          </cell>
          <cell r="AB520">
            <v>59.10578932846947</v>
          </cell>
          <cell r="AC520">
            <v>59.10578932846947</v>
          </cell>
          <cell r="AD520">
            <v>59.10578932846947</v>
          </cell>
          <cell r="AE520">
            <v>59.10578932846947</v>
          </cell>
          <cell r="AF520">
            <v>59.10578932846947</v>
          </cell>
        </row>
        <row r="521">
          <cell r="A521" t="str">
            <v>Wyoming</v>
          </cell>
          <cell r="B521">
            <v>49.73866799405878</v>
          </cell>
          <cell r="C521">
            <v>50.753741780928216</v>
          </cell>
          <cell r="D521">
            <v>51.55338650016968</v>
          </cell>
          <cell r="E521">
            <v>52.362537841704501</v>
          </cell>
          <cell r="F521">
            <v>53.141006522540536</v>
          </cell>
          <cell r="G521">
            <v>53.9435823081064</v>
          </cell>
          <cell r="H521">
            <v>54.440260730178316</v>
          </cell>
          <cell r="I521">
            <v>55.353489719321779</v>
          </cell>
          <cell r="J521">
            <v>55.921824090014766</v>
          </cell>
          <cell r="K521">
            <v>56.810563514376582</v>
          </cell>
          <cell r="L521">
            <v>57.981705159721329</v>
          </cell>
          <cell r="M521">
            <v>57.630186168578049</v>
          </cell>
          <cell r="N521">
            <v>57.802035115500829</v>
          </cell>
          <cell r="O521">
            <v>57.659265403503028</v>
          </cell>
          <cell r="P521">
            <v>57.116101747184892</v>
          </cell>
          <cell r="Q521">
            <v>57.374365826359409</v>
          </cell>
          <cell r="R521">
            <v>57.044349740825361</v>
          </cell>
          <cell r="S521">
            <v>57.028110236561517</v>
          </cell>
          <cell r="T521">
            <v>57.028110236561517</v>
          </cell>
          <cell r="U521">
            <v>57.028110236561517</v>
          </cell>
          <cell r="V521">
            <v>57.028110236561517</v>
          </cell>
          <cell r="W521">
            <v>57.028110236561517</v>
          </cell>
          <cell r="X521">
            <v>57.028110236561517</v>
          </cell>
          <cell r="Y521">
            <v>57.028110236561517</v>
          </cell>
          <cell r="Z521">
            <v>57.028110236561517</v>
          </cell>
          <cell r="AA521">
            <v>57.028110236561517</v>
          </cell>
          <cell r="AB521">
            <v>57.028110236561517</v>
          </cell>
          <cell r="AC521">
            <v>57.028110236561517</v>
          </cell>
          <cell r="AD521">
            <v>57.028110236561517</v>
          </cell>
          <cell r="AE521">
            <v>57.028110236561517</v>
          </cell>
          <cell r="AF521">
            <v>57.028110236561517</v>
          </cell>
        </row>
        <row r="523">
          <cell r="A523" t="str">
            <v>Steer Feedlot</v>
          </cell>
          <cell r="B523">
            <v>1990</v>
          </cell>
          <cell r="C523">
            <v>1991</v>
          </cell>
          <cell r="D523">
            <v>1992</v>
          </cell>
          <cell r="E523">
            <v>1993</v>
          </cell>
          <cell r="F523">
            <v>1994</v>
          </cell>
          <cell r="G523">
            <v>1995</v>
          </cell>
          <cell r="H523">
            <v>1996</v>
          </cell>
          <cell r="I523">
            <v>1997</v>
          </cell>
          <cell r="J523">
            <v>1998</v>
          </cell>
          <cell r="K523">
            <v>1999</v>
          </cell>
          <cell r="L523">
            <v>2000</v>
          </cell>
          <cell r="M523">
            <v>2001</v>
          </cell>
          <cell r="N523">
            <v>2002</v>
          </cell>
          <cell r="O523">
            <v>2003</v>
          </cell>
          <cell r="P523">
            <v>2004</v>
          </cell>
          <cell r="Q523">
            <v>2005</v>
          </cell>
          <cell r="R523">
            <v>2006</v>
          </cell>
          <cell r="S523">
            <v>2007</v>
          </cell>
          <cell r="T523">
            <v>2008</v>
          </cell>
          <cell r="U523">
            <v>2009</v>
          </cell>
          <cell r="V523">
            <v>2010</v>
          </cell>
          <cell r="W523">
            <v>2011</v>
          </cell>
          <cell r="X523">
            <v>2012</v>
          </cell>
          <cell r="Y523">
            <v>2013</v>
          </cell>
          <cell r="Z523">
            <v>2014</v>
          </cell>
          <cell r="AA523">
            <v>2015</v>
          </cell>
          <cell r="AB523">
            <v>2016</v>
          </cell>
          <cell r="AC523">
            <v>2017</v>
          </cell>
          <cell r="AD523">
            <v>2018</v>
          </cell>
          <cell r="AE523">
            <v>2019</v>
          </cell>
          <cell r="AF523">
            <v>2020</v>
          </cell>
        </row>
        <row r="524">
          <cell r="A524" t="str">
            <v>Alabama</v>
          </cell>
          <cell r="B524">
            <v>40.512265153579051</v>
          </cell>
          <cell r="C524">
            <v>39.247463250382964</v>
          </cell>
          <cell r="D524">
            <v>36.353776342177468</v>
          </cell>
          <cell r="E524">
            <v>37.625006842775797</v>
          </cell>
          <cell r="F524">
            <v>36.701617355440298</v>
          </cell>
          <cell r="G524">
            <v>34.203221839381158</v>
          </cell>
          <cell r="H524">
            <v>34.770375486576924</v>
          </cell>
          <cell r="I524">
            <v>32.273568681187022</v>
          </cell>
          <cell r="J524">
            <v>33.264986679623462</v>
          </cell>
          <cell r="K524">
            <v>32.248893476374612</v>
          </cell>
          <cell r="L524">
            <v>32.683053578538612</v>
          </cell>
          <cell r="M524">
            <v>32.527662601653724</v>
          </cell>
          <cell r="N524">
            <v>32.698835087885428</v>
          </cell>
          <cell r="O524">
            <v>31.094029477090299</v>
          </cell>
          <cell r="P524">
            <v>32.212529119296242</v>
          </cell>
          <cell r="Q524">
            <v>32.884918994521378</v>
          </cell>
          <cell r="R524">
            <v>30.923239443534026</v>
          </cell>
          <cell r="S524">
            <v>32.791825708097761</v>
          </cell>
          <cell r="T524">
            <v>32.791825708097761</v>
          </cell>
          <cell r="U524">
            <v>32.791825708097761</v>
          </cell>
          <cell r="V524">
            <v>32.791825708097761</v>
          </cell>
          <cell r="W524">
            <v>32.791825708097761</v>
          </cell>
          <cell r="X524">
            <v>32.791825708097761</v>
          </cell>
          <cell r="Y524">
            <v>32.791825708097761</v>
          </cell>
          <cell r="Z524">
            <v>32.791825708097761</v>
          </cell>
          <cell r="AA524">
            <v>32.791825708097761</v>
          </cell>
          <cell r="AB524">
            <v>32.791825708097761</v>
          </cell>
          <cell r="AC524">
            <v>32.791825708097761</v>
          </cell>
          <cell r="AD524">
            <v>32.791825708097761</v>
          </cell>
          <cell r="AE524">
            <v>32.791825708097761</v>
          </cell>
          <cell r="AF524">
            <v>32.791825708097761</v>
          </cell>
        </row>
        <row r="525">
          <cell r="A525" t="str">
            <v>Alaska</v>
          </cell>
          <cell r="B525">
            <v>37.567561716529632</v>
          </cell>
          <cell r="C525">
            <v>39.253992070085822</v>
          </cell>
          <cell r="D525">
            <v>37.067820973715854</v>
          </cell>
          <cell r="E525">
            <v>37.282326258420753</v>
          </cell>
          <cell r="F525">
            <v>33.225098437293823</v>
          </cell>
          <cell r="G525">
            <v>32.333579523242953</v>
          </cell>
          <cell r="H525">
            <v>31.564670400545189</v>
          </cell>
          <cell r="I525">
            <v>34.164847291109467</v>
          </cell>
          <cell r="J525">
            <v>33.541807704795779</v>
          </cell>
          <cell r="K525">
            <v>35.878794111049139</v>
          </cell>
          <cell r="L525">
            <v>32.954849093787686</v>
          </cell>
          <cell r="M525">
            <v>32.407874234111581</v>
          </cell>
          <cell r="N525">
            <v>32.924003518411695</v>
          </cell>
          <cell r="O525">
            <v>33.140784215585661</v>
          </cell>
          <cell r="P525">
            <v>30.437148523073436</v>
          </cell>
          <cell r="Q525">
            <v>31.973225445764928</v>
          </cell>
          <cell r="R525">
            <v>31.974907457419274</v>
          </cell>
          <cell r="S525">
            <v>32.674878524153677</v>
          </cell>
          <cell r="T525">
            <v>32.674878524153677</v>
          </cell>
          <cell r="U525">
            <v>32.674878524153677</v>
          </cell>
          <cell r="V525">
            <v>32.674878524153677</v>
          </cell>
          <cell r="W525">
            <v>32.674878524153677</v>
          </cell>
          <cell r="X525">
            <v>32.674878524153677</v>
          </cell>
          <cell r="Y525">
            <v>32.674878524153677</v>
          </cell>
          <cell r="Z525">
            <v>32.674878524153677</v>
          </cell>
          <cell r="AA525">
            <v>32.674878524153677</v>
          </cell>
          <cell r="AB525">
            <v>32.674878524153677</v>
          </cell>
          <cell r="AC525">
            <v>32.674878524153677</v>
          </cell>
          <cell r="AD525">
            <v>32.674878524153677</v>
          </cell>
          <cell r="AE525">
            <v>32.674878524153677</v>
          </cell>
          <cell r="AF525">
            <v>32.674878524153677</v>
          </cell>
        </row>
        <row r="526">
          <cell r="A526" t="str">
            <v>Arizona</v>
          </cell>
          <cell r="B526">
            <v>39.51917621134384</v>
          </cell>
          <cell r="C526">
            <v>38.804291471587298</v>
          </cell>
          <cell r="D526">
            <v>36.608075465691286</v>
          </cell>
          <cell r="E526">
            <v>35.265218182495659</v>
          </cell>
          <cell r="F526">
            <v>34.489826736350217</v>
          </cell>
          <cell r="G526">
            <v>33.519690084146276</v>
          </cell>
          <cell r="H526">
            <v>32.209384682502254</v>
          </cell>
          <cell r="I526">
            <v>32.102270396552946</v>
          </cell>
          <cell r="J526">
            <v>32.241436969340036</v>
          </cell>
          <cell r="K526">
            <v>32.948431851161388</v>
          </cell>
          <cell r="L526">
            <v>31.560854022699043</v>
          </cell>
          <cell r="M526">
            <v>32.062722274287935</v>
          </cell>
          <cell r="N526">
            <v>32.643607176277932</v>
          </cell>
          <cell r="O526">
            <v>32.287876980882778</v>
          </cell>
          <cell r="P526">
            <v>32.123715605292219</v>
          </cell>
          <cell r="Q526">
            <v>31.591819159437325</v>
          </cell>
          <cell r="R526">
            <v>32.121219212174182</v>
          </cell>
          <cell r="S526">
            <v>32.19738674691466</v>
          </cell>
          <cell r="T526">
            <v>32.19738674691466</v>
          </cell>
          <cell r="U526">
            <v>32.19738674691466</v>
          </cell>
          <cell r="V526">
            <v>32.19738674691466</v>
          </cell>
          <cell r="W526">
            <v>32.19738674691466</v>
          </cell>
          <cell r="X526">
            <v>32.19738674691466</v>
          </cell>
          <cell r="Y526">
            <v>32.19738674691466</v>
          </cell>
          <cell r="Z526">
            <v>32.19738674691466</v>
          </cell>
          <cell r="AA526">
            <v>32.19738674691466</v>
          </cell>
          <cell r="AB526">
            <v>32.19738674691466</v>
          </cell>
          <cell r="AC526">
            <v>32.19738674691466</v>
          </cell>
          <cell r="AD526">
            <v>32.19738674691466</v>
          </cell>
          <cell r="AE526">
            <v>32.19738674691466</v>
          </cell>
          <cell r="AF526">
            <v>32.19738674691466</v>
          </cell>
        </row>
        <row r="527">
          <cell r="A527" t="str">
            <v>Arkansas</v>
          </cell>
          <cell r="B527">
            <v>39.974828784840007</v>
          </cell>
          <cell r="C527">
            <v>37.281355831293972</v>
          </cell>
          <cell r="D527">
            <v>35.893918760489981</v>
          </cell>
          <cell r="E527">
            <v>35.308304211405272</v>
          </cell>
          <cell r="F527">
            <v>36.701617355440298</v>
          </cell>
          <cell r="G527">
            <v>32.362944036825752</v>
          </cell>
          <cell r="H527">
            <v>31.333380022706283</v>
          </cell>
          <cell r="I527">
            <v>32.082599780135624</v>
          </cell>
          <cell r="J527">
            <v>35.490246629966613</v>
          </cell>
          <cell r="K527">
            <v>31.01722761991245</v>
          </cell>
          <cell r="L527">
            <v>34.364807182882238</v>
          </cell>
          <cell r="M527">
            <v>32.527662601653731</v>
          </cell>
          <cell r="N527">
            <v>31.575867551866384</v>
          </cell>
          <cell r="O527">
            <v>32.029048253773311</v>
          </cell>
          <cell r="P527">
            <v>34.525180299035668</v>
          </cell>
          <cell r="Q527">
            <v>32.092332766613104</v>
          </cell>
          <cell r="R527">
            <v>36.936019669772286</v>
          </cell>
          <cell r="S527">
            <v>35.624758555080831</v>
          </cell>
          <cell r="T527">
            <v>35.624758555080831</v>
          </cell>
          <cell r="U527">
            <v>35.624758555080831</v>
          </cell>
          <cell r="V527">
            <v>35.624758555080831</v>
          </cell>
          <cell r="W527">
            <v>35.624758555080831</v>
          </cell>
          <cell r="X527">
            <v>35.624758555080831</v>
          </cell>
          <cell r="Y527">
            <v>35.624758555080831</v>
          </cell>
          <cell r="Z527">
            <v>35.624758555080831</v>
          </cell>
          <cell r="AA527">
            <v>35.624758555080831</v>
          </cell>
          <cell r="AB527">
            <v>35.624758555080831</v>
          </cell>
          <cell r="AC527">
            <v>35.624758555080831</v>
          </cell>
          <cell r="AD527">
            <v>35.624758555080831</v>
          </cell>
          <cell r="AE527">
            <v>35.624758555080831</v>
          </cell>
          <cell r="AF527">
            <v>35.624758555080831</v>
          </cell>
        </row>
        <row r="528">
          <cell r="A528" t="str">
            <v>California</v>
          </cell>
          <cell r="B528">
            <v>39.127543897389145</v>
          </cell>
          <cell r="C528">
            <v>39.112534309857253</v>
          </cell>
          <cell r="D528">
            <v>36.741024832019576</v>
          </cell>
          <cell r="E528">
            <v>34.968989179537864</v>
          </cell>
          <cell r="F528">
            <v>34.948458904857198</v>
          </cell>
          <cell r="G528">
            <v>33.007041267720133</v>
          </cell>
          <cell r="H528">
            <v>32.980403165429109</v>
          </cell>
          <cell r="I528">
            <v>32.031674739855262</v>
          </cell>
          <cell r="J528">
            <v>32.195150165035407</v>
          </cell>
          <cell r="K528">
            <v>32.248893476374626</v>
          </cell>
          <cell r="L528">
            <v>32.515891322685192</v>
          </cell>
          <cell r="M528">
            <v>32.15232571668831</v>
          </cell>
          <cell r="N528">
            <v>32.435639571630958</v>
          </cell>
          <cell r="O528">
            <v>31.887378742154674</v>
          </cell>
          <cell r="P528">
            <v>32.050033768880709</v>
          </cell>
          <cell r="Q528">
            <v>31.888606741065647</v>
          </cell>
          <cell r="R528">
            <v>32.033937153703555</v>
          </cell>
          <cell r="S528">
            <v>32.197386746914653</v>
          </cell>
          <cell r="T528">
            <v>32.197386746914653</v>
          </cell>
          <cell r="U528">
            <v>32.197386746914653</v>
          </cell>
          <cell r="V528">
            <v>32.197386746914653</v>
          </cell>
          <cell r="W528">
            <v>32.197386746914653</v>
          </cell>
          <cell r="X528">
            <v>32.197386746914653</v>
          </cell>
          <cell r="Y528">
            <v>32.197386746914653</v>
          </cell>
          <cell r="Z528">
            <v>32.197386746914653</v>
          </cell>
          <cell r="AA528">
            <v>32.197386746914653</v>
          </cell>
          <cell r="AB528">
            <v>32.197386746914653</v>
          </cell>
          <cell r="AC528">
            <v>32.197386746914653</v>
          </cell>
          <cell r="AD528">
            <v>32.197386746914653</v>
          </cell>
          <cell r="AE528">
            <v>32.197386746914653</v>
          </cell>
          <cell r="AF528">
            <v>32.197386746914653</v>
          </cell>
        </row>
        <row r="529">
          <cell r="A529" t="str">
            <v>Colorado</v>
          </cell>
          <cell r="B529">
            <v>39.101494685639025</v>
          </cell>
          <cell r="C529">
            <v>38.107451385533039</v>
          </cell>
          <cell r="D529">
            <v>36.551564549354879</v>
          </cell>
          <cell r="E529">
            <v>35.259396044743006</v>
          </cell>
          <cell r="F529">
            <v>34.3385118113845</v>
          </cell>
          <cell r="G529">
            <v>33.323606227089002</v>
          </cell>
          <cell r="H529">
            <v>32.128284332639701</v>
          </cell>
          <cell r="I529">
            <v>32.08090978986084</v>
          </cell>
          <cell r="J529">
            <v>32.379086969297909</v>
          </cell>
          <cell r="K529">
            <v>32.185186621730026</v>
          </cell>
          <cell r="L529">
            <v>32.528892831473797</v>
          </cell>
          <cell r="M529">
            <v>32.409961139469452</v>
          </cell>
          <cell r="N529">
            <v>32.768440513671727</v>
          </cell>
          <cell r="O529">
            <v>32.793246292408469</v>
          </cell>
          <cell r="P529">
            <v>32.099329140026342</v>
          </cell>
          <cell r="Q529">
            <v>31.933796877641626</v>
          </cell>
          <cell r="R529">
            <v>32.078867745664994</v>
          </cell>
          <cell r="S529">
            <v>32.151890660965563</v>
          </cell>
          <cell r="T529">
            <v>32.151890660965563</v>
          </cell>
          <cell r="U529">
            <v>32.151890660965563</v>
          </cell>
          <cell r="V529">
            <v>32.151890660965563</v>
          </cell>
          <cell r="W529">
            <v>32.151890660965563</v>
          </cell>
          <cell r="X529">
            <v>32.151890660965563</v>
          </cell>
          <cell r="Y529">
            <v>32.151890660965563</v>
          </cell>
          <cell r="Z529">
            <v>32.151890660965563</v>
          </cell>
          <cell r="AA529">
            <v>32.151890660965563</v>
          </cell>
          <cell r="AB529">
            <v>32.151890660965563</v>
          </cell>
          <cell r="AC529">
            <v>32.151890660965563</v>
          </cell>
          <cell r="AD529">
            <v>32.151890660965563</v>
          </cell>
          <cell r="AE529">
            <v>32.151890660965563</v>
          </cell>
          <cell r="AF529">
            <v>32.151890660965563</v>
          </cell>
        </row>
        <row r="530">
          <cell r="A530" t="str">
            <v>Connecticut</v>
          </cell>
          <cell r="B530">
            <v>37.567561716529632</v>
          </cell>
          <cell r="C530">
            <v>39.253992070085836</v>
          </cell>
          <cell r="D530">
            <v>36.335670092876136</v>
          </cell>
          <cell r="E530">
            <v>42.156409860648978</v>
          </cell>
          <cell r="F530">
            <v>33.588833480258224</v>
          </cell>
          <cell r="G530">
            <v>33.999339506389141</v>
          </cell>
          <cell r="H530">
            <v>31.842779313089324</v>
          </cell>
          <cell r="I530">
            <v>33.704873313617874</v>
          </cell>
          <cell r="J530">
            <v>32.63057428809087</v>
          </cell>
          <cell r="K530">
            <v>34.261608793269417</v>
          </cell>
          <cell r="L530">
            <v>32.138746105922031</v>
          </cell>
          <cell r="M530">
            <v>34.290262866916862</v>
          </cell>
          <cell r="N530">
            <v>32.607125183369007</v>
          </cell>
          <cell r="O530">
            <v>31.638434159613166</v>
          </cell>
          <cell r="P530">
            <v>32.121172294691419</v>
          </cell>
          <cell r="Q530">
            <v>31.647023166852073</v>
          </cell>
          <cell r="R530">
            <v>33.349737033187139</v>
          </cell>
          <cell r="S530">
            <v>31.378290180425616</v>
          </cell>
          <cell r="T530">
            <v>31.378290180425616</v>
          </cell>
          <cell r="U530">
            <v>31.378290180425616</v>
          </cell>
          <cell r="V530">
            <v>31.378290180425616</v>
          </cell>
          <cell r="W530">
            <v>31.378290180425616</v>
          </cell>
          <cell r="X530">
            <v>31.378290180425616</v>
          </cell>
          <cell r="Y530">
            <v>31.378290180425616</v>
          </cell>
          <cell r="Z530">
            <v>31.378290180425616</v>
          </cell>
          <cell r="AA530">
            <v>31.378290180425616</v>
          </cell>
          <cell r="AB530">
            <v>31.378290180425616</v>
          </cell>
          <cell r="AC530">
            <v>31.378290180425616</v>
          </cell>
          <cell r="AD530">
            <v>31.378290180425616</v>
          </cell>
          <cell r="AE530">
            <v>31.378290180425616</v>
          </cell>
          <cell r="AF530">
            <v>31.378290180425616</v>
          </cell>
        </row>
        <row r="531">
          <cell r="A531" t="str">
            <v>Delaware</v>
          </cell>
          <cell r="B531">
            <v>37.081629666461396</v>
          </cell>
          <cell r="C531">
            <v>40.625881235852873</v>
          </cell>
          <cell r="D531">
            <v>36.936689472669919</v>
          </cell>
          <cell r="E531">
            <v>38.500847158977805</v>
          </cell>
          <cell r="F531">
            <v>33.479712967368897</v>
          </cell>
          <cell r="G531">
            <v>33.999339506389148</v>
          </cell>
          <cell r="H531">
            <v>31.101155546304934</v>
          </cell>
          <cell r="I531">
            <v>37.402356440377162</v>
          </cell>
          <cell r="J531">
            <v>33.373060775776352</v>
          </cell>
          <cell r="K531">
            <v>37.360081502964988</v>
          </cell>
          <cell r="L531">
            <v>34.117177591656976</v>
          </cell>
          <cell r="M531">
            <v>32.360814518291441</v>
          </cell>
          <cell r="N531">
            <v>37.641969840158403</v>
          </cell>
          <cell r="O531">
            <v>34.69877686622381</v>
          </cell>
          <cell r="P531">
            <v>28.392147407108624</v>
          </cell>
          <cell r="Q531">
            <v>33.858833740944121</v>
          </cell>
          <cell r="R531">
            <v>32.238598315205437</v>
          </cell>
          <cell r="S531">
            <v>31.115214284596728</v>
          </cell>
          <cell r="T531">
            <v>31.115214284596728</v>
          </cell>
          <cell r="U531">
            <v>31.115214284596728</v>
          </cell>
          <cell r="V531">
            <v>31.115214284596728</v>
          </cell>
          <cell r="W531">
            <v>31.115214284596728</v>
          </cell>
          <cell r="X531">
            <v>31.115214284596728</v>
          </cell>
          <cell r="Y531">
            <v>31.115214284596728</v>
          </cell>
          <cell r="Z531">
            <v>31.115214284596728</v>
          </cell>
          <cell r="AA531">
            <v>31.115214284596728</v>
          </cell>
          <cell r="AB531">
            <v>31.115214284596728</v>
          </cell>
          <cell r="AC531">
            <v>31.115214284596728</v>
          </cell>
          <cell r="AD531">
            <v>31.115214284596728</v>
          </cell>
          <cell r="AE531">
            <v>31.115214284596728</v>
          </cell>
          <cell r="AF531">
            <v>31.115214284596728</v>
          </cell>
        </row>
        <row r="532">
          <cell r="A532" t="str">
            <v>Florida</v>
          </cell>
          <cell r="B532">
            <v>38.160981040345682</v>
          </cell>
          <cell r="C532">
            <v>42.485757823000142</v>
          </cell>
          <cell r="D532">
            <v>37.220352407224134</v>
          </cell>
          <cell r="E532">
            <v>36.673065808142226</v>
          </cell>
          <cell r="F532">
            <v>33.209620350359181</v>
          </cell>
          <cell r="G532">
            <v>33.72448910917003</v>
          </cell>
          <cell r="H532">
            <v>32.213591196481516</v>
          </cell>
          <cell r="I532">
            <v>32.148038312877134</v>
          </cell>
          <cell r="J532">
            <v>33.541807704795772</v>
          </cell>
          <cell r="K532">
            <v>37.210593784514764</v>
          </cell>
          <cell r="L532">
            <v>32.954849093787693</v>
          </cell>
          <cell r="M532">
            <v>33.976531428115983</v>
          </cell>
          <cell r="N532">
            <v>32.813096101146762</v>
          </cell>
          <cell r="O532">
            <v>32.250502700935293</v>
          </cell>
          <cell r="P532">
            <v>31.833115596914663</v>
          </cell>
          <cell r="Q532">
            <v>32.299427724677798</v>
          </cell>
          <cell r="R532">
            <v>31.647567082236442</v>
          </cell>
          <cell r="S532">
            <v>31.205411734595202</v>
          </cell>
          <cell r="T532">
            <v>31.205411734595202</v>
          </cell>
          <cell r="U532">
            <v>31.205411734595202</v>
          </cell>
          <cell r="V532">
            <v>31.205411734595202</v>
          </cell>
          <cell r="W532">
            <v>31.205411734595202</v>
          </cell>
          <cell r="X532">
            <v>31.205411734595202</v>
          </cell>
          <cell r="Y532">
            <v>31.205411734595202</v>
          </cell>
          <cell r="Z532">
            <v>31.205411734595202</v>
          </cell>
          <cell r="AA532">
            <v>31.205411734595202</v>
          </cell>
          <cell r="AB532">
            <v>31.205411734595202</v>
          </cell>
          <cell r="AC532">
            <v>31.205411734595202</v>
          </cell>
          <cell r="AD532">
            <v>31.205411734595202</v>
          </cell>
          <cell r="AE532">
            <v>31.205411734595202</v>
          </cell>
          <cell r="AF532">
            <v>31.205411734595202</v>
          </cell>
        </row>
        <row r="533">
          <cell r="A533" t="str">
            <v>Georgia</v>
          </cell>
          <cell r="B533">
            <v>39.788793118738035</v>
          </cell>
          <cell r="C533">
            <v>37.678914316771511</v>
          </cell>
          <cell r="D533">
            <v>35.945014047344138</v>
          </cell>
          <cell r="E533">
            <v>35.823127018376503</v>
          </cell>
          <cell r="F533">
            <v>35.758462492784837</v>
          </cell>
          <cell r="G533">
            <v>32.480721816189281</v>
          </cell>
          <cell r="H533">
            <v>34.378819041325833</v>
          </cell>
          <cell r="I533">
            <v>35.901977801163611</v>
          </cell>
          <cell r="J533">
            <v>32.409117467953024</v>
          </cell>
          <cell r="K533">
            <v>37.791389830454371</v>
          </cell>
          <cell r="L533">
            <v>31.141446107890307</v>
          </cell>
          <cell r="M533">
            <v>32.527662601653724</v>
          </cell>
          <cell r="N533">
            <v>32.698835087885421</v>
          </cell>
          <cell r="O533">
            <v>32.029048253773311</v>
          </cell>
          <cell r="P533">
            <v>31.057607110562426</v>
          </cell>
          <cell r="Q533">
            <v>31.538289073881124</v>
          </cell>
          <cell r="R533">
            <v>32.42672938372796</v>
          </cell>
          <cell r="S533">
            <v>31.546952078796735</v>
          </cell>
          <cell r="T533">
            <v>31.546952078796735</v>
          </cell>
          <cell r="U533">
            <v>31.546952078796735</v>
          </cell>
          <cell r="V533">
            <v>31.546952078796735</v>
          </cell>
          <cell r="W533">
            <v>31.546952078796735</v>
          </cell>
          <cell r="X533">
            <v>31.546952078796735</v>
          </cell>
          <cell r="Y533">
            <v>31.546952078796735</v>
          </cell>
          <cell r="Z533">
            <v>31.546952078796735</v>
          </cell>
          <cell r="AA533">
            <v>31.546952078796735</v>
          </cell>
          <cell r="AB533">
            <v>31.546952078796735</v>
          </cell>
          <cell r="AC533">
            <v>31.546952078796735</v>
          </cell>
          <cell r="AD533">
            <v>31.546952078796735</v>
          </cell>
          <cell r="AE533">
            <v>31.546952078796735</v>
          </cell>
          <cell r="AF533">
            <v>31.546952078796735</v>
          </cell>
        </row>
        <row r="534">
          <cell r="A534" t="str">
            <v>Hawaii</v>
          </cell>
          <cell r="B534">
            <v>40.932137316656444</v>
          </cell>
          <cell r="C534">
            <v>38.707747488280091</v>
          </cell>
          <cell r="D534">
            <v>38.806350111177416</v>
          </cell>
          <cell r="E534">
            <v>41.35218606628132</v>
          </cell>
          <cell r="F534">
            <v>34.637246251155574</v>
          </cell>
          <cell r="G534">
            <v>34.980948067886018</v>
          </cell>
          <cell r="H534">
            <v>31.620292183054001</v>
          </cell>
          <cell r="I534">
            <v>34.066281438789836</v>
          </cell>
          <cell r="J534">
            <v>32.529326130679216</v>
          </cell>
          <cell r="K534">
            <v>39.618077809625724</v>
          </cell>
          <cell r="L534">
            <v>31.847280753112866</v>
          </cell>
          <cell r="M534">
            <v>34.88920470462763</v>
          </cell>
          <cell r="N534">
            <v>32.012098087566628</v>
          </cell>
          <cell r="O534">
            <v>33.003817828716386</v>
          </cell>
          <cell r="P534">
            <v>30.968945503584383</v>
          </cell>
          <cell r="Q534">
            <v>32.679997050076125</v>
          </cell>
          <cell r="R534">
            <v>31.64756708223646</v>
          </cell>
          <cell r="S534">
            <v>31.843732149969014</v>
          </cell>
          <cell r="T534">
            <v>31.843732149969014</v>
          </cell>
          <cell r="U534">
            <v>31.843732149969014</v>
          </cell>
          <cell r="V534">
            <v>31.843732149969014</v>
          </cell>
          <cell r="W534">
            <v>31.843732149969014</v>
          </cell>
          <cell r="X534">
            <v>31.843732149969014</v>
          </cell>
          <cell r="Y534">
            <v>31.843732149969014</v>
          </cell>
          <cell r="Z534">
            <v>31.843732149969014</v>
          </cell>
          <cell r="AA534">
            <v>31.843732149969014</v>
          </cell>
          <cell r="AB534">
            <v>31.843732149969014</v>
          </cell>
          <cell r="AC534">
            <v>31.843732149969014</v>
          </cell>
          <cell r="AD534">
            <v>31.843732149969014</v>
          </cell>
          <cell r="AE534">
            <v>31.843732149969014</v>
          </cell>
          <cell r="AF534">
            <v>31.843732149969014</v>
          </cell>
        </row>
        <row r="535">
          <cell r="A535" t="str">
            <v>Idaho</v>
          </cell>
          <cell r="B535">
            <v>39.934521057184575</v>
          </cell>
          <cell r="C535">
            <v>37.181654643713401</v>
          </cell>
          <cell r="D535">
            <v>36.485164222659613</v>
          </cell>
          <cell r="E535">
            <v>35.565715614890877</v>
          </cell>
          <cell r="F535">
            <v>34.431993354397733</v>
          </cell>
          <cell r="G535">
            <v>33.317162156669283</v>
          </cell>
          <cell r="H535">
            <v>32.421036815070416</v>
          </cell>
          <cell r="I535">
            <v>32.273568681187037</v>
          </cell>
          <cell r="J535">
            <v>32.118992311454562</v>
          </cell>
          <cell r="K535">
            <v>32.248893476374626</v>
          </cell>
          <cell r="L535">
            <v>32.389414060319901</v>
          </cell>
          <cell r="M535">
            <v>32.379177680128954</v>
          </cell>
          <cell r="N535">
            <v>32.573129766689256</v>
          </cell>
          <cell r="O535">
            <v>32.488893553781352</v>
          </cell>
          <cell r="P535">
            <v>32.18754190944486</v>
          </cell>
          <cell r="Q535">
            <v>32.164995049058348</v>
          </cell>
          <cell r="R535">
            <v>32.504933703920017</v>
          </cell>
          <cell r="S535">
            <v>32.488390013645756</v>
          </cell>
          <cell r="T535">
            <v>32.488390013645756</v>
          </cell>
          <cell r="U535">
            <v>32.488390013645756</v>
          </cell>
          <cell r="V535">
            <v>32.488390013645756</v>
          </cell>
          <cell r="W535">
            <v>32.488390013645756</v>
          </cell>
          <cell r="X535">
            <v>32.488390013645756</v>
          </cell>
          <cell r="Y535">
            <v>32.488390013645756</v>
          </cell>
          <cell r="Z535">
            <v>32.488390013645756</v>
          </cell>
          <cell r="AA535">
            <v>32.488390013645756</v>
          </cell>
          <cell r="AB535">
            <v>32.488390013645756</v>
          </cell>
          <cell r="AC535">
            <v>32.488390013645756</v>
          </cell>
          <cell r="AD535">
            <v>32.488390013645756</v>
          </cell>
          <cell r="AE535">
            <v>32.488390013645756</v>
          </cell>
          <cell r="AF535">
            <v>32.488390013645756</v>
          </cell>
        </row>
        <row r="536">
          <cell r="A536" t="str">
            <v>Illinois</v>
          </cell>
          <cell r="B536">
            <v>39.558749015493632</v>
          </cell>
          <cell r="C536">
            <v>37.781478545211684</v>
          </cell>
          <cell r="D536">
            <v>36.678381693956872</v>
          </cell>
          <cell r="E536">
            <v>35.698321489413765</v>
          </cell>
          <cell r="F536">
            <v>34.371470047703262</v>
          </cell>
          <cell r="G536">
            <v>33.929809137287194</v>
          </cell>
          <cell r="H536">
            <v>32.286017351190729</v>
          </cell>
          <cell r="I536">
            <v>32.61587142835463</v>
          </cell>
          <cell r="J536">
            <v>32.614526078753926</v>
          </cell>
          <cell r="K536">
            <v>32.248893476374619</v>
          </cell>
          <cell r="L536">
            <v>32.875754512369667</v>
          </cell>
          <cell r="M536">
            <v>32.849379931624092</v>
          </cell>
          <cell r="N536">
            <v>32.698835087885413</v>
          </cell>
          <cell r="O536">
            <v>32.246494480908893</v>
          </cell>
          <cell r="P536">
            <v>32.538187667883491</v>
          </cell>
          <cell r="Q536">
            <v>31.884726245340932</v>
          </cell>
          <cell r="R536">
            <v>32.280469686888111</v>
          </cell>
          <cell r="S536">
            <v>31.958267783554234</v>
          </cell>
          <cell r="T536">
            <v>31.958267783554234</v>
          </cell>
          <cell r="U536">
            <v>31.958267783554234</v>
          </cell>
          <cell r="V536">
            <v>31.958267783554234</v>
          </cell>
          <cell r="W536">
            <v>31.958267783554234</v>
          </cell>
          <cell r="X536">
            <v>31.958267783554234</v>
          </cell>
          <cell r="Y536">
            <v>31.958267783554234</v>
          </cell>
          <cell r="Z536">
            <v>31.958267783554234</v>
          </cell>
          <cell r="AA536">
            <v>31.958267783554234</v>
          </cell>
          <cell r="AB536">
            <v>31.958267783554234</v>
          </cell>
          <cell r="AC536">
            <v>31.958267783554234</v>
          </cell>
          <cell r="AD536">
            <v>31.958267783554234</v>
          </cell>
          <cell r="AE536">
            <v>31.958267783554234</v>
          </cell>
          <cell r="AF536">
            <v>31.958267783554234</v>
          </cell>
        </row>
        <row r="537">
          <cell r="A537" t="str">
            <v>Indiana</v>
          </cell>
          <cell r="B537">
            <v>39.082913109060286</v>
          </cell>
          <cell r="C537">
            <v>38.713880621940362</v>
          </cell>
          <cell r="D537">
            <v>36.528960182820327</v>
          </cell>
          <cell r="E537">
            <v>35.565715614890884</v>
          </cell>
          <cell r="F537">
            <v>34.72186813909228</v>
          </cell>
          <cell r="G537">
            <v>33.054888490586571</v>
          </cell>
          <cell r="H537">
            <v>32.421036815070423</v>
          </cell>
          <cell r="I537">
            <v>32.273568681187037</v>
          </cell>
          <cell r="J537">
            <v>33.013260440896858</v>
          </cell>
          <cell r="K537">
            <v>32.360863099689361</v>
          </cell>
          <cell r="L537">
            <v>33.928198074062266</v>
          </cell>
          <cell r="M537">
            <v>33.405073501572879</v>
          </cell>
          <cell r="N537">
            <v>32.515742554838845</v>
          </cell>
          <cell r="O537">
            <v>32.029048253773318</v>
          </cell>
          <cell r="P537">
            <v>32.632806364605017</v>
          </cell>
          <cell r="Q537">
            <v>31.39477485513865</v>
          </cell>
          <cell r="R537">
            <v>32.579032131442638</v>
          </cell>
          <cell r="S537">
            <v>32.431071188380535</v>
          </cell>
          <cell r="T537">
            <v>32.431071188380535</v>
          </cell>
          <cell r="U537">
            <v>32.431071188380535</v>
          </cell>
          <cell r="V537">
            <v>32.431071188380535</v>
          </cell>
          <cell r="W537">
            <v>32.431071188380535</v>
          </cell>
          <cell r="X537">
            <v>32.431071188380535</v>
          </cell>
          <cell r="Y537">
            <v>32.431071188380535</v>
          </cell>
          <cell r="Z537">
            <v>32.431071188380535</v>
          </cell>
          <cell r="AA537">
            <v>32.431071188380535</v>
          </cell>
          <cell r="AB537">
            <v>32.431071188380535</v>
          </cell>
          <cell r="AC537">
            <v>32.431071188380535</v>
          </cell>
          <cell r="AD537">
            <v>32.431071188380535</v>
          </cell>
          <cell r="AE537">
            <v>32.431071188380535</v>
          </cell>
          <cell r="AF537">
            <v>32.431071188380535</v>
          </cell>
        </row>
        <row r="538">
          <cell r="A538" t="str">
            <v>Iowa</v>
          </cell>
          <cell r="B538">
            <v>38.921892225677773</v>
          </cell>
          <cell r="C538">
            <v>38.241391150152396</v>
          </cell>
          <cell r="D538">
            <v>36.980854862660422</v>
          </cell>
          <cell r="E538">
            <v>35.516547144562168</v>
          </cell>
          <cell r="F538">
            <v>34.262922812870791</v>
          </cell>
          <cell r="G538">
            <v>33.28834087468217</v>
          </cell>
          <cell r="H538">
            <v>32.464543086764976</v>
          </cell>
          <cell r="I538">
            <v>31.910727769189375</v>
          </cell>
          <cell r="J538">
            <v>32.409117467953017</v>
          </cell>
          <cell r="K538">
            <v>32.176442543641564</v>
          </cell>
          <cell r="L538">
            <v>32.346702857669889</v>
          </cell>
          <cell r="M538">
            <v>32.757460694489701</v>
          </cell>
          <cell r="N538">
            <v>32.82269180141693</v>
          </cell>
          <cell r="O538">
            <v>31.728812866765001</v>
          </cell>
          <cell r="P538">
            <v>32.876530066376901</v>
          </cell>
          <cell r="Q538">
            <v>32.234498101832074</v>
          </cell>
          <cell r="R538">
            <v>32.164080937316008</v>
          </cell>
          <cell r="S538">
            <v>32.480380749423794</v>
          </cell>
          <cell r="T538">
            <v>32.480380749423794</v>
          </cell>
          <cell r="U538">
            <v>32.480380749423794</v>
          </cell>
          <cell r="V538">
            <v>32.480380749423794</v>
          </cell>
          <cell r="W538">
            <v>32.480380749423794</v>
          </cell>
          <cell r="X538">
            <v>32.480380749423794</v>
          </cell>
          <cell r="Y538">
            <v>32.480380749423794</v>
          </cell>
          <cell r="Z538">
            <v>32.480380749423794</v>
          </cell>
          <cell r="AA538">
            <v>32.480380749423794</v>
          </cell>
          <cell r="AB538">
            <v>32.480380749423794</v>
          </cell>
          <cell r="AC538">
            <v>32.480380749423794</v>
          </cell>
          <cell r="AD538">
            <v>32.480380749423794</v>
          </cell>
          <cell r="AE538">
            <v>32.480380749423794</v>
          </cell>
          <cell r="AF538">
            <v>32.480380749423794</v>
          </cell>
        </row>
        <row r="539">
          <cell r="A539" t="str">
            <v>Kansas</v>
          </cell>
          <cell r="B539">
            <v>38.827511646560076</v>
          </cell>
          <cell r="C539">
            <v>37.898907154585196</v>
          </cell>
          <cell r="D539">
            <v>36.39420338232582</v>
          </cell>
          <cell r="E539">
            <v>35.15206445406573</v>
          </cell>
          <cell r="F539">
            <v>34.388113957044233</v>
          </cell>
          <cell r="G539">
            <v>33.171222914810848</v>
          </cell>
          <cell r="H539">
            <v>32.119839549492667</v>
          </cell>
          <cell r="I539">
            <v>32.257224495961914</v>
          </cell>
          <cell r="J539">
            <v>32.192441718163032</v>
          </cell>
          <cell r="K539">
            <v>32.608129351176068</v>
          </cell>
          <cell r="L539">
            <v>32.27325918760679</v>
          </cell>
          <cell r="M539">
            <v>32.37008676656621</v>
          </cell>
          <cell r="N539">
            <v>32.565676882033358</v>
          </cell>
          <cell r="O539">
            <v>32.634305944036868</v>
          </cell>
          <cell r="P539">
            <v>31.735095769524058</v>
          </cell>
          <cell r="Q539">
            <v>32.127777782440042</v>
          </cell>
          <cell r="R539">
            <v>31.995659570288133</v>
          </cell>
          <cell r="S539">
            <v>32.060030243152269</v>
          </cell>
          <cell r="T539">
            <v>32.060030243152269</v>
          </cell>
          <cell r="U539">
            <v>32.060030243152269</v>
          </cell>
          <cell r="V539">
            <v>32.060030243152269</v>
          </cell>
          <cell r="W539">
            <v>32.060030243152269</v>
          </cell>
          <cell r="X539">
            <v>32.060030243152269</v>
          </cell>
          <cell r="Y539">
            <v>32.060030243152269</v>
          </cell>
          <cell r="Z539">
            <v>32.060030243152269</v>
          </cell>
          <cell r="AA539">
            <v>32.060030243152269</v>
          </cell>
          <cell r="AB539">
            <v>32.060030243152269</v>
          </cell>
          <cell r="AC539">
            <v>32.060030243152269</v>
          </cell>
          <cell r="AD539">
            <v>32.060030243152269</v>
          </cell>
          <cell r="AE539">
            <v>32.060030243152269</v>
          </cell>
          <cell r="AF539">
            <v>32.060030243152269</v>
          </cell>
        </row>
        <row r="540">
          <cell r="A540" t="str">
            <v>Kentucky</v>
          </cell>
          <cell r="B540">
            <v>40.176367423117149</v>
          </cell>
          <cell r="C540">
            <v>36.703088943326605</v>
          </cell>
          <cell r="D540">
            <v>36.353776342177476</v>
          </cell>
          <cell r="E540">
            <v>35.565715614890877</v>
          </cell>
          <cell r="F540">
            <v>33.95537231417881</v>
          </cell>
          <cell r="G540">
            <v>33.246277382052341</v>
          </cell>
          <cell r="H540">
            <v>34.770375486576931</v>
          </cell>
          <cell r="I540">
            <v>33.180670961181178</v>
          </cell>
          <cell r="J540">
            <v>32.409117467953024</v>
          </cell>
          <cell r="K540">
            <v>33.480559332836791</v>
          </cell>
          <cell r="L540">
            <v>32.683053578538633</v>
          </cell>
          <cell r="M540">
            <v>31.32122261426488</v>
          </cell>
          <cell r="N540">
            <v>34.102544507909201</v>
          </cell>
          <cell r="O540">
            <v>34.366595195480841</v>
          </cell>
          <cell r="P540">
            <v>32.18754190944486</v>
          </cell>
          <cell r="Q540">
            <v>32.092332766613104</v>
          </cell>
          <cell r="R540">
            <v>30.573434693163907</v>
          </cell>
          <cell r="S540">
            <v>30.912122318852344</v>
          </cell>
          <cell r="T540">
            <v>30.912122318852344</v>
          </cell>
          <cell r="U540">
            <v>30.912122318852344</v>
          </cell>
          <cell r="V540">
            <v>30.912122318852344</v>
          </cell>
          <cell r="W540">
            <v>30.912122318852344</v>
          </cell>
          <cell r="X540">
            <v>30.912122318852344</v>
          </cell>
          <cell r="Y540">
            <v>30.912122318852344</v>
          </cell>
          <cell r="Z540">
            <v>30.912122318852344</v>
          </cell>
          <cell r="AA540">
            <v>30.912122318852344</v>
          </cell>
          <cell r="AB540">
            <v>30.912122318852344</v>
          </cell>
          <cell r="AC540">
            <v>30.912122318852344</v>
          </cell>
          <cell r="AD540">
            <v>30.912122318852344</v>
          </cell>
          <cell r="AE540">
            <v>30.912122318852344</v>
          </cell>
          <cell r="AF540">
            <v>30.912122318852344</v>
          </cell>
        </row>
        <row r="541">
          <cell r="A541" t="str">
            <v>Louisiana</v>
          </cell>
          <cell r="B541">
            <v>39.168674231731416</v>
          </cell>
          <cell r="C541">
            <v>38.943873134200111</v>
          </cell>
          <cell r="D541">
            <v>35.945014047344138</v>
          </cell>
          <cell r="E541">
            <v>39.066510702295226</v>
          </cell>
          <cell r="F541">
            <v>36.590657959833777</v>
          </cell>
          <cell r="G541">
            <v>31.715166250326245</v>
          </cell>
          <cell r="H541">
            <v>35.031413116744311</v>
          </cell>
          <cell r="I541">
            <v>32.273568681187029</v>
          </cell>
          <cell r="J541">
            <v>39.256071161316548</v>
          </cell>
          <cell r="K541">
            <v>30.220194103091632</v>
          </cell>
          <cell r="L541">
            <v>32.557260458673646</v>
          </cell>
          <cell r="M541">
            <v>33.654320761239404</v>
          </cell>
          <cell r="N541">
            <v>32.824818023296714</v>
          </cell>
          <cell r="O541">
            <v>32.250502700935293</v>
          </cell>
          <cell r="P541">
            <v>31.241841322530775</v>
          </cell>
          <cell r="Q541">
            <v>32.07108612943879</v>
          </cell>
          <cell r="R541">
            <v>31.87153681262469</v>
          </cell>
          <cell r="S541">
            <v>32.109698989708093</v>
          </cell>
          <cell r="T541">
            <v>32.109698989708093</v>
          </cell>
          <cell r="U541">
            <v>32.109698989708093</v>
          </cell>
          <cell r="V541">
            <v>32.109698989708093</v>
          </cell>
          <cell r="W541">
            <v>32.109698989708093</v>
          </cell>
          <cell r="X541">
            <v>32.109698989708093</v>
          </cell>
          <cell r="Y541">
            <v>32.109698989708093</v>
          </cell>
          <cell r="Z541">
            <v>32.109698989708093</v>
          </cell>
          <cell r="AA541">
            <v>32.109698989708093</v>
          </cell>
          <cell r="AB541">
            <v>32.109698989708093</v>
          </cell>
          <cell r="AC541">
            <v>32.109698989708093</v>
          </cell>
          <cell r="AD541">
            <v>32.109698989708093</v>
          </cell>
          <cell r="AE541">
            <v>32.109698989708093</v>
          </cell>
          <cell r="AF541">
            <v>32.109698989708093</v>
          </cell>
        </row>
        <row r="542">
          <cell r="A542" t="str">
            <v>Maine</v>
          </cell>
          <cell r="B542">
            <v>37.914656038006939</v>
          </cell>
          <cell r="C542">
            <v>38.645995735257245</v>
          </cell>
          <cell r="D542">
            <v>37.55592156094233</v>
          </cell>
          <cell r="E542">
            <v>39.963072239646294</v>
          </cell>
          <cell r="F542">
            <v>33.164475930133101</v>
          </cell>
          <cell r="G542">
            <v>36.289759483215157</v>
          </cell>
          <cell r="H542">
            <v>31.175317922983368</v>
          </cell>
          <cell r="I542">
            <v>32.861587688216645</v>
          </cell>
          <cell r="J542">
            <v>34.453041121500682</v>
          </cell>
          <cell r="K542">
            <v>37.432560396759044</v>
          </cell>
          <cell r="L542">
            <v>31.730694611989193</v>
          </cell>
          <cell r="M542">
            <v>33.976531428115976</v>
          </cell>
          <cell r="N542">
            <v>32.813096101146769</v>
          </cell>
          <cell r="O542">
            <v>32.250502700935286</v>
          </cell>
          <cell r="P542">
            <v>30.968945503584369</v>
          </cell>
          <cell r="Q542">
            <v>32.299427724677798</v>
          </cell>
          <cell r="R542">
            <v>30.938329602673665</v>
          </cell>
          <cell r="S542">
            <v>33.97146686788173</v>
          </cell>
          <cell r="T542">
            <v>33.97146686788173</v>
          </cell>
          <cell r="U542">
            <v>33.97146686788173</v>
          </cell>
          <cell r="V542">
            <v>33.97146686788173</v>
          </cell>
          <cell r="W542">
            <v>33.97146686788173</v>
          </cell>
          <cell r="X542">
            <v>33.97146686788173</v>
          </cell>
          <cell r="Y542">
            <v>33.97146686788173</v>
          </cell>
          <cell r="Z542">
            <v>33.97146686788173</v>
          </cell>
          <cell r="AA542">
            <v>33.97146686788173</v>
          </cell>
          <cell r="AB542">
            <v>33.97146686788173</v>
          </cell>
          <cell r="AC542">
            <v>33.97146686788173</v>
          </cell>
          <cell r="AD542">
            <v>33.97146686788173</v>
          </cell>
          <cell r="AE542">
            <v>33.97146686788173</v>
          </cell>
          <cell r="AF542">
            <v>33.97146686788173</v>
          </cell>
        </row>
        <row r="543">
          <cell r="A543" t="str">
            <v>Maryland</v>
          </cell>
          <cell r="B543">
            <v>39.168674231731416</v>
          </cell>
          <cell r="C543">
            <v>37.425922553285808</v>
          </cell>
          <cell r="D543">
            <v>36.599033719077468</v>
          </cell>
          <cell r="E543">
            <v>35.050892807919659</v>
          </cell>
          <cell r="F543">
            <v>34.186537721692382</v>
          </cell>
          <cell r="G543">
            <v>32.863499599120814</v>
          </cell>
          <cell r="H543">
            <v>33.112018777278223</v>
          </cell>
          <cell r="I543">
            <v>34.252700928446991</v>
          </cell>
          <cell r="J543">
            <v>31.496190308837885</v>
          </cell>
          <cell r="K543">
            <v>32.817354640895623</v>
          </cell>
          <cell r="L543">
            <v>31.594860069845698</v>
          </cell>
          <cell r="M543">
            <v>35.90569456634249</v>
          </cell>
          <cell r="N543">
            <v>31.72703625863819</v>
          </cell>
          <cell r="O543">
            <v>32.029048253773311</v>
          </cell>
          <cell r="P543">
            <v>33.037592232932433</v>
          </cell>
          <cell r="Q543">
            <v>31.72902135438682</v>
          </cell>
          <cell r="R543">
            <v>32.164080937316001</v>
          </cell>
          <cell r="S543">
            <v>33.225598289364513</v>
          </cell>
          <cell r="T543">
            <v>33.225598289364513</v>
          </cell>
          <cell r="U543">
            <v>33.225598289364513</v>
          </cell>
          <cell r="V543">
            <v>33.225598289364513</v>
          </cell>
          <cell r="W543">
            <v>33.225598289364513</v>
          </cell>
          <cell r="X543">
            <v>33.225598289364513</v>
          </cell>
          <cell r="Y543">
            <v>33.225598289364513</v>
          </cell>
          <cell r="Z543">
            <v>33.225598289364513</v>
          </cell>
          <cell r="AA543">
            <v>33.225598289364513</v>
          </cell>
          <cell r="AB543">
            <v>33.225598289364513</v>
          </cell>
          <cell r="AC543">
            <v>33.225598289364513</v>
          </cell>
          <cell r="AD543">
            <v>33.225598289364513</v>
          </cell>
          <cell r="AE543">
            <v>33.225598289364513</v>
          </cell>
          <cell r="AF543">
            <v>33.225598289364513</v>
          </cell>
        </row>
        <row r="544">
          <cell r="A544" t="str">
            <v>Massachusetts</v>
          </cell>
          <cell r="B544">
            <v>39.389806904285514</v>
          </cell>
          <cell r="C544">
            <v>39.253992070085829</v>
          </cell>
          <cell r="D544">
            <v>37.55592156094233</v>
          </cell>
          <cell r="E544">
            <v>38.500847158977805</v>
          </cell>
          <cell r="F544">
            <v>32.952297155070546</v>
          </cell>
          <cell r="G544">
            <v>33.083171515658734</v>
          </cell>
          <cell r="H544">
            <v>31.842779313089327</v>
          </cell>
          <cell r="I544">
            <v>34.969801751719729</v>
          </cell>
          <cell r="J544">
            <v>35.060530065970617</v>
          </cell>
          <cell r="K544">
            <v>38.976675960197461</v>
          </cell>
          <cell r="L544">
            <v>30.739712412438035</v>
          </cell>
          <cell r="M544">
            <v>34.290262866916862</v>
          </cell>
          <cell r="N544">
            <v>33.293694909294835</v>
          </cell>
          <cell r="O544">
            <v>31.55099579656714</v>
          </cell>
          <cell r="P544">
            <v>31.293009288583228</v>
          </cell>
          <cell r="Q544">
            <v>33.578140658016181</v>
          </cell>
          <cell r="R544">
            <v>31.647567082236442</v>
          </cell>
          <cell r="S544">
            <v>31.378290180425616</v>
          </cell>
          <cell r="T544">
            <v>31.378290180425616</v>
          </cell>
          <cell r="U544">
            <v>31.378290180425616</v>
          </cell>
          <cell r="V544">
            <v>31.378290180425616</v>
          </cell>
          <cell r="W544">
            <v>31.378290180425616</v>
          </cell>
          <cell r="X544">
            <v>31.378290180425616</v>
          </cell>
          <cell r="Y544">
            <v>31.378290180425616</v>
          </cell>
          <cell r="Z544">
            <v>31.378290180425616</v>
          </cell>
          <cell r="AA544">
            <v>31.378290180425616</v>
          </cell>
          <cell r="AB544">
            <v>31.378290180425616</v>
          </cell>
          <cell r="AC544">
            <v>31.378290180425616</v>
          </cell>
          <cell r="AD544">
            <v>31.378290180425616</v>
          </cell>
          <cell r="AE544">
            <v>31.378290180425616</v>
          </cell>
          <cell r="AF544">
            <v>31.378290180425616</v>
          </cell>
        </row>
        <row r="545">
          <cell r="A545" t="str">
            <v>Michigan</v>
          </cell>
          <cell r="B545">
            <v>38.985457287843097</v>
          </cell>
          <cell r="C545">
            <v>38.261895336977744</v>
          </cell>
          <cell r="D545">
            <v>36.704144023463179</v>
          </cell>
          <cell r="E545">
            <v>35.366806803106542</v>
          </cell>
          <cell r="F545">
            <v>34.29749711729891</v>
          </cell>
          <cell r="G545">
            <v>33.519690084146276</v>
          </cell>
          <cell r="H545">
            <v>32.616815037695957</v>
          </cell>
          <cell r="I545">
            <v>32.273568681187037</v>
          </cell>
          <cell r="J545">
            <v>32.409117467953017</v>
          </cell>
          <cell r="K545">
            <v>32.248893476374626</v>
          </cell>
          <cell r="L545">
            <v>32.683053578538626</v>
          </cell>
          <cell r="M545">
            <v>32.78164996741981</v>
          </cell>
          <cell r="N545">
            <v>32.698835087885421</v>
          </cell>
          <cell r="O545">
            <v>32.288775691740817</v>
          </cell>
          <cell r="P545">
            <v>31.519645226704633</v>
          </cell>
          <cell r="Q545">
            <v>32.551252445214708</v>
          </cell>
          <cell r="R545">
            <v>32.164080937316001</v>
          </cell>
          <cell r="S545">
            <v>32.638048836536029</v>
          </cell>
          <cell r="T545">
            <v>32.638048836536029</v>
          </cell>
          <cell r="U545">
            <v>32.638048836536029</v>
          </cell>
          <cell r="V545">
            <v>32.638048836536029</v>
          </cell>
          <cell r="W545">
            <v>32.638048836536029</v>
          </cell>
          <cell r="X545">
            <v>32.638048836536029</v>
          </cell>
          <cell r="Y545">
            <v>32.638048836536029</v>
          </cell>
          <cell r="Z545">
            <v>32.638048836536029</v>
          </cell>
          <cell r="AA545">
            <v>32.638048836536029</v>
          </cell>
          <cell r="AB545">
            <v>32.638048836536029</v>
          </cell>
          <cell r="AC545">
            <v>32.638048836536029</v>
          </cell>
          <cell r="AD545">
            <v>32.638048836536029</v>
          </cell>
          <cell r="AE545">
            <v>32.638048836536029</v>
          </cell>
          <cell r="AF545">
            <v>32.638048836536029</v>
          </cell>
        </row>
        <row r="546">
          <cell r="A546" t="str">
            <v>Minnesota</v>
          </cell>
          <cell r="B546">
            <v>39.303033323916182</v>
          </cell>
          <cell r="C546">
            <v>37.96166981713791</v>
          </cell>
          <cell r="D546">
            <v>36.709795115096824</v>
          </cell>
          <cell r="E546">
            <v>35.300503865845094</v>
          </cell>
          <cell r="F546">
            <v>34.475494481084382</v>
          </cell>
          <cell r="G546">
            <v>33.501462570673361</v>
          </cell>
          <cell r="H546">
            <v>32.119839549492667</v>
          </cell>
          <cell r="I546">
            <v>32.782819083990759</v>
          </cell>
          <cell r="J546">
            <v>32.66749307902333</v>
          </cell>
          <cell r="K546">
            <v>32.180467595460044</v>
          </cell>
          <cell r="L546">
            <v>32.439641872646774</v>
          </cell>
          <cell r="M546">
            <v>32.444459843902777</v>
          </cell>
          <cell r="N546">
            <v>32.772714531044564</v>
          </cell>
          <cell r="O546">
            <v>31.795293559602563</v>
          </cell>
          <cell r="P546">
            <v>32.036726529471267</v>
          </cell>
          <cell r="Q546">
            <v>32.39300428017966</v>
          </cell>
          <cell r="R546">
            <v>32.164080937316001</v>
          </cell>
          <cell r="S546">
            <v>32.2875807418664</v>
          </cell>
          <cell r="T546">
            <v>32.2875807418664</v>
          </cell>
          <cell r="U546">
            <v>32.2875807418664</v>
          </cell>
          <cell r="V546">
            <v>32.2875807418664</v>
          </cell>
          <cell r="W546">
            <v>32.2875807418664</v>
          </cell>
          <cell r="X546">
            <v>32.2875807418664</v>
          </cell>
          <cell r="Y546">
            <v>32.2875807418664</v>
          </cell>
          <cell r="Z546">
            <v>32.2875807418664</v>
          </cell>
          <cell r="AA546">
            <v>32.2875807418664</v>
          </cell>
          <cell r="AB546">
            <v>32.2875807418664</v>
          </cell>
          <cell r="AC546">
            <v>32.2875807418664</v>
          </cell>
          <cell r="AD546">
            <v>32.2875807418664</v>
          </cell>
          <cell r="AE546">
            <v>32.2875807418664</v>
          </cell>
          <cell r="AF546">
            <v>32.2875807418664</v>
          </cell>
        </row>
        <row r="547">
          <cell r="A547" t="str">
            <v>Mississippi</v>
          </cell>
          <cell r="B547">
            <v>41.18406061450289</v>
          </cell>
          <cell r="C547">
            <v>37.988126472142945</v>
          </cell>
          <cell r="D547">
            <v>36.353776342177461</v>
          </cell>
          <cell r="E547">
            <v>35.128116228965347</v>
          </cell>
          <cell r="F547">
            <v>37.700251915899031</v>
          </cell>
          <cell r="G547">
            <v>34.203221839381158</v>
          </cell>
          <cell r="H547">
            <v>32.421036815070408</v>
          </cell>
          <cell r="I547">
            <v>32.273568681187037</v>
          </cell>
          <cell r="J547">
            <v>33.550276416846941</v>
          </cell>
          <cell r="K547">
            <v>31.143684669606834</v>
          </cell>
          <cell r="L547">
            <v>33.897588752184241</v>
          </cell>
          <cell r="M547">
            <v>32.380982967928645</v>
          </cell>
          <cell r="N547">
            <v>32.590379580297657</v>
          </cell>
          <cell r="O547">
            <v>32.310953914893041</v>
          </cell>
          <cell r="P547">
            <v>31.245479933450078</v>
          </cell>
          <cell r="Q547">
            <v>31.581049672240486</v>
          </cell>
          <cell r="R547">
            <v>32.652320178283723</v>
          </cell>
          <cell r="S547">
            <v>31.666420923476281</v>
          </cell>
          <cell r="T547">
            <v>31.666420923476281</v>
          </cell>
          <cell r="U547">
            <v>31.666420923476281</v>
          </cell>
          <cell r="V547">
            <v>31.666420923476281</v>
          </cell>
          <cell r="W547">
            <v>31.666420923476281</v>
          </cell>
          <cell r="X547">
            <v>31.666420923476281</v>
          </cell>
          <cell r="Y547">
            <v>31.666420923476281</v>
          </cell>
          <cell r="Z547">
            <v>31.666420923476281</v>
          </cell>
          <cell r="AA547">
            <v>31.666420923476281</v>
          </cell>
          <cell r="AB547">
            <v>31.666420923476281</v>
          </cell>
          <cell r="AC547">
            <v>31.666420923476281</v>
          </cell>
          <cell r="AD547">
            <v>31.666420923476281</v>
          </cell>
          <cell r="AE547">
            <v>31.666420923476281</v>
          </cell>
          <cell r="AF547">
            <v>31.666420923476281</v>
          </cell>
        </row>
        <row r="548">
          <cell r="A548" t="str">
            <v>Missouri</v>
          </cell>
          <cell r="B548">
            <v>39.392606052039362</v>
          </cell>
          <cell r="C548">
            <v>37.859622719261317</v>
          </cell>
          <cell r="D548">
            <v>36.966919784427468</v>
          </cell>
          <cell r="E548">
            <v>34.94057363499725</v>
          </cell>
          <cell r="F548">
            <v>33.955372314178788</v>
          </cell>
          <cell r="G548">
            <v>35.98040440299178</v>
          </cell>
          <cell r="H548">
            <v>31.246367479317165</v>
          </cell>
          <cell r="I548">
            <v>32.464537582238435</v>
          </cell>
          <cell r="J548">
            <v>32.237943625618932</v>
          </cell>
          <cell r="K548">
            <v>32.072941211165741</v>
          </cell>
          <cell r="L548">
            <v>32.914294699135873</v>
          </cell>
          <cell r="M548">
            <v>33.37926729863409</v>
          </cell>
          <cell r="N548">
            <v>33.60121971504357</v>
          </cell>
          <cell r="O548">
            <v>32.029048253773311</v>
          </cell>
          <cell r="P548">
            <v>32.54717858476652</v>
          </cell>
          <cell r="Q548">
            <v>31.780922984704858</v>
          </cell>
          <cell r="R548">
            <v>32.164080937316001</v>
          </cell>
          <cell r="S548">
            <v>31.854649566098058</v>
          </cell>
          <cell r="T548">
            <v>31.854649566098058</v>
          </cell>
          <cell r="U548">
            <v>31.854649566098058</v>
          </cell>
          <cell r="V548">
            <v>31.854649566098058</v>
          </cell>
          <cell r="W548">
            <v>31.854649566098058</v>
          </cell>
          <cell r="X548">
            <v>31.854649566098058</v>
          </cell>
          <cell r="Y548">
            <v>31.854649566098058</v>
          </cell>
          <cell r="Z548">
            <v>31.854649566098058</v>
          </cell>
          <cell r="AA548">
            <v>31.854649566098058</v>
          </cell>
          <cell r="AB548">
            <v>31.854649566098058</v>
          </cell>
          <cell r="AC548">
            <v>31.854649566098058</v>
          </cell>
          <cell r="AD548">
            <v>31.854649566098058</v>
          </cell>
          <cell r="AE548">
            <v>31.854649566098058</v>
          </cell>
          <cell r="AF548">
            <v>31.854649566098058</v>
          </cell>
        </row>
        <row r="549">
          <cell r="A549" t="str">
            <v>Montana</v>
          </cell>
          <cell r="B549">
            <v>39.672520827424286</v>
          </cell>
          <cell r="C549">
            <v>37.988126472142952</v>
          </cell>
          <cell r="D549">
            <v>36.353776342177476</v>
          </cell>
          <cell r="E549">
            <v>36.440914386741966</v>
          </cell>
          <cell r="F549">
            <v>33.312312180550066</v>
          </cell>
          <cell r="G549">
            <v>33.62905516498386</v>
          </cell>
          <cell r="H549">
            <v>32.234581364950849</v>
          </cell>
          <cell r="I549">
            <v>33.127312003534463</v>
          </cell>
          <cell r="J549">
            <v>32.623084770870634</v>
          </cell>
          <cell r="K549">
            <v>32.776750272001259</v>
          </cell>
          <cell r="L549">
            <v>32.683053578538626</v>
          </cell>
          <cell r="M549">
            <v>33.331955926579631</v>
          </cell>
          <cell r="N549">
            <v>32.097245336446655</v>
          </cell>
          <cell r="O549">
            <v>32.029048253773311</v>
          </cell>
          <cell r="P549">
            <v>32.187541909444853</v>
          </cell>
          <cell r="Q549">
            <v>32.818955591065645</v>
          </cell>
          <cell r="R549">
            <v>32.59789354935748</v>
          </cell>
          <cell r="S549">
            <v>32.197386746914667</v>
          </cell>
          <cell r="T549">
            <v>32.197386746914667</v>
          </cell>
          <cell r="U549">
            <v>32.197386746914667</v>
          </cell>
          <cell r="V549">
            <v>32.197386746914667</v>
          </cell>
          <cell r="W549">
            <v>32.197386746914667</v>
          </cell>
          <cell r="X549">
            <v>32.197386746914667</v>
          </cell>
          <cell r="Y549">
            <v>32.197386746914667</v>
          </cell>
          <cell r="Z549">
            <v>32.197386746914667</v>
          </cell>
          <cell r="AA549">
            <v>32.197386746914667</v>
          </cell>
          <cell r="AB549">
            <v>32.197386746914667</v>
          </cell>
          <cell r="AC549">
            <v>32.197386746914667</v>
          </cell>
          <cell r="AD549">
            <v>32.197386746914667</v>
          </cell>
          <cell r="AE549">
            <v>32.197386746914667</v>
          </cell>
          <cell r="AF549">
            <v>32.197386746914667</v>
          </cell>
        </row>
        <row r="550">
          <cell r="A550" t="str">
            <v>Nebraska</v>
          </cell>
          <cell r="B550">
            <v>38.953438792794664</v>
          </cell>
          <cell r="C550">
            <v>38.096069624563519</v>
          </cell>
          <cell r="D550">
            <v>36.834431502936262</v>
          </cell>
          <cell r="E550">
            <v>35.278091605362356</v>
          </cell>
          <cell r="F550">
            <v>34.403022482472885</v>
          </cell>
          <cell r="G550">
            <v>33.581701212456245</v>
          </cell>
          <cell r="H550">
            <v>32.247440361510819</v>
          </cell>
          <cell r="I550">
            <v>31.963029161909756</v>
          </cell>
          <cell r="J550">
            <v>32.290040012416263</v>
          </cell>
          <cell r="K550">
            <v>32.331004533472097</v>
          </cell>
          <cell r="L550">
            <v>32.305517055114542</v>
          </cell>
          <cell r="M550">
            <v>32.338417113435874</v>
          </cell>
          <cell r="N550">
            <v>32.962030604139869</v>
          </cell>
          <cell r="O550">
            <v>32.232313205226149</v>
          </cell>
          <cell r="P550">
            <v>31.901300473984765</v>
          </cell>
          <cell r="Q550">
            <v>32.057031252874509</v>
          </cell>
          <cell r="R550">
            <v>31.925484000693185</v>
          </cell>
          <cell r="S550">
            <v>32.006977202016536</v>
          </cell>
          <cell r="T550">
            <v>32.006977202016536</v>
          </cell>
          <cell r="U550">
            <v>32.006977202016536</v>
          </cell>
          <cell r="V550">
            <v>32.006977202016536</v>
          </cell>
          <cell r="W550">
            <v>32.006977202016536</v>
          </cell>
          <cell r="X550">
            <v>32.006977202016536</v>
          </cell>
          <cell r="Y550">
            <v>32.006977202016536</v>
          </cell>
          <cell r="Z550">
            <v>32.006977202016536</v>
          </cell>
          <cell r="AA550">
            <v>32.006977202016536</v>
          </cell>
          <cell r="AB550">
            <v>32.006977202016536</v>
          </cell>
          <cell r="AC550">
            <v>32.006977202016536</v>
          </cell>
          <cell r="AD550">
            <v>32.006977202016536</v>
          </cell>
          <cell r="AE550">
            <v>32.006977202016536</v>
          </cell>
          <cell r="AF550">
            <v>32.006977202016536</v>
          </cell>
        </row>
        <row r="551">
          <cell r="A551" t="str">
            <v>Nevada</v>
          </cell>
          <cell r="B551">
            <v>39.312630401929368</v>
          </cell>
          <cell r="C551">
            <v>36.908694947937228</v>
          </cell>
          <cell r="D551">
            <v>36.353776342177476</v>
          </cell>
          <cell r="E551">
            <v>36.112714847297809</v>
          </cell>
          <cell r="F551">
            <v>36.368739168620721</v>
          </cell>
          <cell r="G551">
            <v>33.246277382052334</v>
          </cell>
          <cell r="H551">
            <v>32.954977422230982</v>
          </cell>
          <cell r="I551">
            <v>31.838159586789846</v>
          </cell>
          <cell r="J551">
            <v>32.551762336564757</v>
          </cell>
          <cell r="K551">
            <v>34.096392261067869</v>
          </cell>
          <cell r="L551">
            <v>31.581905385218391</v>
          </cell>
          <cell r="M551">
            <v>31.755541009724872</v>
          </cell>
          <cell r="N551">
            <v>33.751617152903265</v>
          </cell>
          <cell r="O551">
            <v>33.197821724627083</v>
          </cell>
          <cell r="P551">
            <v>33.266451935409862</v>
          </cell>
          <cell r="Q551">
            <v>33.400253850627685</v>
          </cell>
          <cell r="R551">
            <v>33.357065620430078</v>
          </cell>
          <cell r="S551">
            <v>32.19738674691466</v>
          </cell>
          <cell r="T551">
            <v>32.19738674691466</v>
          </cell>
          <cell r="U551">
            <v>32.19738674691466</v>
          </cell>
          <cell r="V551">
            <v>32.19738674691466</v>
          </cell>
          <cell r="W551">
            <v>32.19738674691466</v>
          </cell>
          <cell r="X551">
            <v>32.19738674691466</v>
          </cell>
          <cell r="Y551">
            <v>32.19738674691466</v>
          </cell>
          <cell r="Z551">
            <v>32.19738674691466</v>
          </cell>
          <cell r="AA551">
            <v>32.19738674691466</v>
          </cell>
          <cell r="AB551">
            <v>32.19738674691466</v>
          </cell>
          <cell r="AC551">
            <v>32.19738674691466</v>
          </cell>
          <cell r="AD551">
            <v>32.19738674691466</v>
          </cell>
          <cell r="AE551">
            <v>32.19738674691466</v>
          </cell>
          <cell r="AF551">
            <v>32.19738674691466</v>
          </cell>
        </row>
        <row r="552">
          <cell r="A552" t="str">
            <v>New Hampshire</v>
          </cell>
          <cell r="B552">
            <v>37.567561716529632</v>
          </cell>
          <cell r="C552">
            <v>39.253992070085829</v>
          </cell>
          <cell r="D552">
            <v>36.335670092876143</v>
          </cell>
          <cell r="E552">
            <v>38.500847158977813</v>
          </cell>
          <cell r="F552">
            <v>33.588833480258224</v>
          </cell>
          <cell r="G552">
            <v>33.999339506389141</v>
          </cell>
          <cell r="H552">
            <v>30.73034366291273</v>
          </cell>
          <cell r="I552">
            <v>33.704873313617888</v>
          </cell>
          <cell r="J552">
            <v>35.819891246558036</v>
          </cell>
          <cell r="K552">
            <v>34.946534339623177</v>
          </cell>
          <cell r="L552">
            <v>32.138746105922024</v>
          </cell>
          <cell r="M552">
            <v>34.760860025118184</v>
          </cell>
          <cell r="N552">
            <v>33.293694909294835</v>
          </cell>
          <cell r="O552">
            <v>32.250502700935293</v>
          </cell>
          <cell r="P552">
            <v>30.392832108030852</v>
          </cell>
          <cell r="Q552">
            <v>33.212794105633776</v>
          </cell>
          <cell r="R552">
            <v>31.647567082236442</v>
          </cell>
          <cell r="S552">
            <v>32.242682409577647</v>
          </cell>
          <cell r="T552">
            <v>32.242682409577647</v>
          </cell>
          <cell r="U552">
            <v>32.242682409577647</v>
          </cell>
          <cell r="V552">
            <v>32.242682409577647</v>
          </cell>
          <cell r="W552">
            <v>32.242682409577647</v>
          </cell>
          <cell r="X552">
            <v>32.242682409577647</v>
          </cell>
          <cell r="Y552">
            <v>32.242682409577647</v>
          </cell>
          <cell r="Z552">
            <v>32.242682409577647</v>
          </cell>
          <cell r="AA552">
            <v>32.242682409577647</v>
          </cell>
          <cell r="AB552">
            <v>32.242682409577647</v>
          </cell>
          <cell r="AC552">
            <v>32.242682409577647</v>
          </cell>
          <cell r="AD552">
            <v>32.242682409577647</v>
          </cell>
          <cell r="AE552">
            <v>32.242682409577647</v>
          </cell>
          <cell r="AF552">
            <v>32.242682409577647</v>
          </cell>
        </row>
        <row r="553">
          <cell r="A553" t="str">
            <v>New Jersey</v>
          </cell>
          <cell r="B553">
            <v>41.18406061450289</v>
          </cell>
          <cell r="C553">
            <v>38.437889607228662</v>
          </cell>
          <cell r="D553">
            <v>36.353776342177476</v>
          </cell>
          <cell r="E553">
            <v>32.648386375387268</v>
          </cell>
          <cell r="F553">
            <v>36.035860981801136</v>
          </cell>
          <cell r="G553">
            <v>33.246277382052348</v>
          </cell>
          <cell r="H553">
            <v>32.421036815070408</v>
          </cell>
          <cell r="I553">
            <v>31.064098974528171</v>
          </cell>
          <cell r="J553">
            <v>34.120855891293907</v>
          </cell>
          <cell r="K553">
            <v>32.248893476374612</v>
          </cell>
          <cell r="L553">
            <v>34.224661049186928</v>
          </cell>
          <cell r="M553">
            <v>34.940542576431405</v>
          </cell>
          <cell r="N553">
            <v>32.698835087885428</v>
          </cell>
          <cell r="O553">
            <v>32.029048253773311</v>
          </cell>
          <cell r="P553">
            <v>57.593954660074417</v>
          </cell>
          <cell r="Q553">
            <v>32.756110915155794</v>
          </cell>
          <cell r="R553">
            <v>31.647567082236442</v>
          </cell>
          <cell r="S553">
            <v>33.539270753305708</v>
          </cell>
          <cell r="T553">
            <v>33.539270753305708</v>
          </cell>
          <cell r="U553">
            <v>33.539270753305708</v>
          </cell>
          <cell r="V553">
            <v>33.539270753305708</v>
          </cell>
          <cell r="W553">
            <v>33.539270753305708</v>
          </cell>
          <cell r="X553">
            <v>33.539270753305708</v>
          </cell>
          <cell r="Y553">
            <v>33.539270753305708</v>
          </cell>
          <cell r="Z553">
            <v>33.539270753305708</v>
          </cell>
          <cell r="AA553">
            <v>33.539270753305708</v>
          </cell>
          <cell r="AB553">
            <v>33.539270753305708</v>
          </cell>
          <cell r="AC553">
            <v>33.539270753305708</v>
          </cell>
          <cell r="AD553">
            <v>33.539270753305708</v>
          </cell>
          <cell r="AE553">
            <v>33.539270753305708</v>
          </cell>
          <cell r="AF553">
            <v>33.539270753305708</v>
          </cell>
        </row>
        <row r="554">
          <cell r="A554" t="str">
            <v>New Mexico</v>
          </cell>
          <cell r="B554">
            <v>39.578583326532389</v>
          </cell>
          <cell r="C554">
            <v>38.543486169379236</v>
          </cell>
          <cell r="D554">
            <v>36.200490481614978</v>
          </cell>
          <cell r="E554">
            <v>35.229100702640466</v>
          </cell>
          <cell r="F554">
            <v>33.665364802934469</v>
          </cell>
          <cell r="G554">
            <v>33.493230790395252</v>
          </cell>
          <cell r="H554">
            <v>32.968064201818258</v>
          </cell>
          <cell r="I554">
            <v>32.247083943085009</v>
          </cell>
          <cell r="J554">
            <v>32.798781499282654</v>
          </cell>
          <cell r="K554">
            <v>32.405461169992691</v>
          </cell>
          <cell r="L554">
            <v>32.762791895985941</v>
          </cell>
          <cell r="M554">
            <v>32.569625731649865</v>
          </cell>
          <cell r="N554">
            <v>32.97177858622338</v>
          </cell>
          <cell r="O554">
            <v>31.596896718331589</v>
          </cell>
          <cell r="P554">
            <v>32.350160232199002</v>
          </cell>
          <cell r="Q554">
            <v>31.711720810947469</v>
          </cell>
          <cell r="R554">
            <v>31.59678752156945</v>
          </cell>
          <cell r="S554">
            <v>32.462000011515727</v>
          </cell>
          <cell r="T554">
            <v>32.462000011515727</v>
          </cell>
          <cell r="U554">
            <v>32.462000011515727</v>
          </cell>
          <cell r="V554">
            <v>32.462000011515727</v>
          </cell>
          <cell r="W554">
            <v>32.462000011515727</v>
          </cell>
          <cell r="X554">
            <v>32.462000011515727</v>
          </cell>
          <cell r="Y554">
            <v>32.462000011515727</v>
          </cell>
          <cell r="Z554">
            <v>32.462000011515727</v>
          </cell>
          <cell r="AA554">
            <v>32.462000011515727</v>
          </cell>
          <cell r="AB554">
            <v>32.462000011515727</v>
          </cell>
          <cell r="AC554">
            <v>32.462000011515727</v>
          </cell>
          <cell r="AD554">
            <v>32.462000011515727</v>
          </cell>
          <cell r="AE554">
            <v>32.462000011515727</v>
          </cell>
          <cell r="AF554">
            <v>32.462000011515727</v>
          </cell>
        </row>
        <row r="555">
          <cell r="A555" t="str">
            <v>New York</v>
          </cell>
          <cell r="B555">
            <v>39.392606052039355</v>
          </cell>
          <cell r="C555">
            <v>37.304486506812665</v>
          </cell>
          <cell r="D555">
            <v>35.740632899927483</v>
          </cell>
          <cell r="E555">
            <v>34.940573634997257</v>
          </cell>
          <cell r="F555">
            <v>35.702982794981565</v>
          </cell>
          <cell r="G555">
            <v>33.246277382052334</v>
          </cell>
          <cell r="H555">
            <v>31.768442739651928</v>
          </cell>
          <cell r="I555">
            <v>32.273568681187029</v>
          </cell>
          <cell r="J555">
            <v>32.409117467953017</v>
          </cell>
          <cell r="K555">
            <v>32.248893476374633</v>
          </cell>
          <cell r="L555">
            <v>32.683053578538633</v>
          </cell>
          <cell r="M555">
            <v>32.527662601653724</v>
          </cell>
          <cell r="N555">
            <v>33.541060739899692</v>
          </cell>
          <cell r="O555">
            <v>33.197821724627076</v>
          </cell>
          <cell r="P555">
            <v>32.18754190944486</v>
          </cell>
          <cell r="Q555">
            <v>31.523671425737188</v>
          </cell>
          <cell r="R555">
            <v>33.489619474109418</v>
          </cell>
          <cell r="S555">
            <v>31.683280975689737</v>
          </cell>
          <cell r="T555">
            <v>31.683280975689737</v>
          </cell>
          <cell r="U555">
            <v>31.683280975689737</v>
          </cell>
          <cell r="V555">
            <v>31.683280975689737</v>
          </cell>
          <cell r="W555">
            <v>31.683280975689737</v>
          </cell>
          <cell r="X555">
            <v>31.683280975689737</v>
          </cell>
          <cell r="Y555">
            <v>31.683280975689737</v>
          </cell>
          <cell r="Z555">
            <v>31.683280975689737</v>
          </cell>
          <cell r="AA555">
            <v>31.683280975689737</v>
          </cell>
          <cell r="AB555">
            <v>31.683280975689737</v>
          </cell>
          <cell r="AC555">
            <v>31.683280975689737</v>
          </cell>
          <cell r="AD555">
            <v>31.683280975689737</v>
          </cell>
          <cell r="AE555">
            <v>31.683280975689737</v>
          </cell>
          <cell r="AF555">
            <v>31.683280975689737</v>
          </cell>
        </row>
        <row r="556">
          <cell r="A556" t="str">
            <v>North Carolina</v>
          </cell>
          <cell r="B556">
            <v>39.773290146562857</v>
          </cell>
          <cell r="C556">
            <v>38.437889607228669</v>
          </cell>
          <cell r="D556">
            <v>36.353776342177476</v>
          </cell>
          <cell r="E556">
            <v>37.024380234642692</v>
          </cell>
          <cell r="F556">
            <v>34.371470047703262</v>
          </cell>
          <cell r="G556">
            <v>33.246277382052334</v>
          </cell>
          <cell r="H556">
            <v>34.378819041325833</v>
          </cell>
          <cell r="I556">
            <v>32.273568681187022</v>
          </cell>
          <cell r="J556">
            <v>32.409117467953024</v>
          </cell>
          <cell r="K556">
            <v>33.17264286872124</v>
          </cell>
          <cell r="L556">
            <v>35.457947025705586</v>
          </cell>
          <cell r="M556">
            <v>32.527662601653731</v>
          </cell>
          <cell r="N556">
            <v>32.698835087885428</v>
          </cell>
          <cell r="O556">
            <v>33.197821724627083</v>
          </cell>
          <cell r="P556">
            <v>31.252486553608531</v>
          </cell>
          <cell r="Q556">
            <v>33.182267003291912</v>
          </cell>
          <cell r="R556">
            <v>32.164080937316015</v>
          </cell>
          <cell r="S556">
            <v>32.19738674691466</v>
          </cell>
          <cell r="T556">
            <v>32.19738674691466</v>
          </cell>
          <cell r="U556">
            <v>32.19738674691466</v>
          </cell>
          <cell r="V556">
            <v>32.19738674691466</v>
          </cell>
          <cell r="W556">
            <v>32.19738674691466</v>
          </cell>
          <cell r="X556">
            <v>32.19738674691466</v>
          </cell>
          <cell r="Y556">
            <v>32.19738674691466</v>
          </cell>
          <cell r="Z556">
            <v>32.19738674691466</v>
          </cell>
          <cell r="AA556">
            <v>32.19738674691466</v>
          </cell>
          <cell r="AB556">
            <v>32.19738674691466</v>
          </cell>
          <cell r="AC556">
            <v>32.19738674691466</v>
          </cell>
          <cell r="AD556">
            <v>32.19738674691466</v>
          </cell>
          <cell r="AE556">
            <v>32.19738674691466</v>
          </cell>
          <cell r="AF556">
            <v>32.19738674691466</v>
          </cell>
        </row>
        <row r="557">
          <cell r="A557" t="str">
            <v>North Dakota</v>
          </cell>
          <cell r="B557">
            <v>39.168674231731408</v>
          </cell>
          <cell r="C557">
            <v>37.628315964074382</v>
          </cell>
          <cell r="D557">
            <v>35.504808499062108</v>
          </cell>
          <cell r="E557">
            <v>35.253144624944078</v>
          </cell>
          <cell r="F557">
            <v>33.95537231417881</v>
          </cell>
          <cell r="G557">
            <v>32.480721816189295</v>
          </cell>
          <cell r="H557">
            <v>33.72622496590737</v>
          </cell>
          <cell r="I557">
            <v>31.366466401192888</v>
          </cell>
          <cell r="J557">
            <v>33.876321830816636</v>
          </cell>
          <cell r="K557">
            <v>32.002560305082184</v>
          </cell>
          <cell r="L557">
            <v>33.013398036534689</v>
          </cell>
          <cell r="M557">
            <v>32.898874905465682</v>
          </cell>
          <cell r="N557">
            <v>32.90259935853404</v>
          </cell>
          <cell r="O557">
            <v>31.494751809954444</v>
          </cell>
          <cell r="P557">
            <v>32.54717858476652</v>
          </cell>
          <cell r="Q557">
            <v>32.455644178839371</v>
          </cell>
          <cell r="R557">
            <v>32.164080937316008</v>
          </cell>
          <cell r="S557">
            <v>32.19738674691466</v>
          </cell>
          <cell r="T557">
            <v>32.19738674691466</v>
          </cell>
          <cell r="U557">
            <v>32.19738674691466</v>
          </cell>
          <cell r="V557">
            <v>32.19738674691466</v>
          </cell>
          <cell r="W557">
            <v>32.19738674691466</v>
          </cell>
          <cell r="X557">
            <v>32.19738674691466</v>
          </cell>
          <cell r="Y557">
            <v>32.19738674691466</v>
          </cell>
          <cell r="Z557">
            <v>32.19738674691466</v>
          </cell>
          <cell r="AA557">
            <v>32.19738674691466</v>
          </cell>
          <cell r="AB557">
            <v>32.19738674691466</v>
          </cell>
          <cell r="AC557">
            <v>32.19738674691466</v>
          </cell>
          <cell r="AD557">
            <v>32.19738674691466</v>
          </cell>
          <cell r="AE557">
            <v>32.19738674691466</v>
          </cell>
          <cell r="AF557">
            <v>32.19738674691466</v>
          </cell>
        </row>
        <row r="558">
          <cell r="A558" t="str">
            <v>Ohio</v>
          </cell>
          <cell r="B558">
            <v>38.97673267146746</v>
          </cell>
          <cell r="C558">
            <v>38.007265328955114</v>
          </cell>
          <cell r="D558">
            <v>36.517281260110806</v>
          </cell>
          <cell r="E558">
            <v>35.769250212995779</v>
          </cell>
          <cell r="F558">
            <v>34.024721936432876</v>
          </cell>
          <cell r="G558">
            <v>33.501462570673361</v>
          </cell>
          <cell r="H558">
            <v>32.254417051133785</v>
          </cell>
          <cell r="I558">
            <v>32.908540277182937</v>
          </cell>
          <cell r="J558">
            <v>32.898185588907559</v>
          </cell>
          <cell r="K558">
            <v>32.146254655002771</v>
          </cell>
          <cell r="L558">
            <v>32.439641872646789</v>
          </cell>
          <cell r="M558">
            <v>32.527662601653738</v>
          </cell>
          <cell r="N558">
            <v>32.93278665788938</v>
          </cell>
          <cell r="O558">
            <v>32.029048253773311</v>
          </cell>
          <cell r="P558">
            <v>31.720014231526704</v>
          </cell>
          <cell r="Q558">
            <v>32.092332766613097</v>
          </cell>
          <cell r="R558">
            <v>32.694296352033369</v>
          </cell>
          <cell r="S558">
            <v>32.058439241178192</v>
          </cell>
          <cell r="T558">
            <v>32.058439241178192</v>
          </cell>
          <cell r="U558">
            <v>32.058439241178192</v>
          </cell>
          <cell r="V558">
            <v>32.058439241178192</v>
          </cell>
          <cell r="W558">
            <v>32.058439241178192</v>
          </cell>
          <cell r="X558">
            <v>32.058439241178192</v>
          </cell>
          <cell r="Y558">
            <v>32.058439241178192</v>
          </cell>
          <cell r="Z558">
            <v>32.058439241178192</v>
          </cell>
          <cell r="AA558">
            <v>32.058439241178192</v>
          </cell>
          <cell r="AB558">
            <v>32.058439241178192</v>
          </cell>
          <cell r="AC558">
            <v>32.058439241178192</v>
          </cell>
          <cell r="AD558">
            <v>32.058439241178192</v>
          </cell>
          <cell r="AE558">
            <v>32.058439241178192</v>
          </cell>
          <cell r="AF558">
            <v>32.058439241178192</v>
          </cell>
        </row>
        <row r="559">
          <cell r="A559" t="str">
            <v>Oklahoma</v>
          </cell>
          <cell r="B559">
            <v>38.920626676928777</v>
          </cell>
          <cell r="C559">
            <v>38.376558270626077</v>
          </cell>
          <cell r="D559">
            <v>36.193825878981826</v>
          </cell>
          <cell r="E559">
            <v>35.565715614890884</v>
          </cell>
          <cell r="F559">
            <v>33.987379832142217</v>
          </cell>
          <cell r="G559">
            <v>33.347008377560634</v>
          </cell>
          <cell r="H559">
            <v>32.090808487750223</v>
          </cell>
          <cell r="I559">
            <v>32.409634023186157</v>
          </cell>
          <cell r="J559">
            <v>32.133665307875177</v>
          </cell>
          <cell r="K559">
            <v>32.426965648393249</v>
          </cell>
          <cell r="L559">
            <v>32.470418065345754</v>
          </cell>
          <cell r="M559">
            <v>32.760229346210622</v>
          </cell>
          <cell r="N559">
            <v>33.27570197282671</v>
          </cell>
          <cell r="O559">
            <v>32.372805156965597</v>
          </cell>
          <cell r="P559">
            <v>31.927804310601449</v>
          </cell>
          <cell r="Q559">
            <v>32.153737512341479</v>
          </cell>
          <cell r="R559">
            <v>31.909577538251671</v>
          </cell>
          <cell r="S559">
            <v>32.487023801125886</v>
          </cell>
          <cell r="T559">
            <v>32.487023801125886</v>
          </cell>
          <cell r="U559">
            <v>32.487023801125886</v>
          </cell>
          <cell r="V559">
            <v>32.487023801125886</v>
          </cell>
          <cell r="W559">
            <v>32.487023801125886</v>
          </cell>
          <cell r="X559">
            <v>32.487023801125886</v>
          </cell>
          <cell r="Y559">
            <v>32.487023801125886</v>
          </cell>
          <cell r="Z559">
            <v>32.487023801125886</v>
          </cell>
          <cell r="AA559">
            <v>32.487023801125886</v>
          </cell>
          <cell r="AB559">
            <v>32.487023801125886</v>
          </cell>
          <cell r="AC559">
            <v>32.487023801125886</v>
          </cell>
          <cell r="AD559">
            <v>32.487023801125886</v>
          </cell>
          <cell r="AE559">
            <v>32.487023801125886</v>
          </cell>
          <cell r="AF559">
            <v>32.487023801125886</v>
          </cell>
        </row>
        <row r="560">
          <cell r="A560" t="str">
            <v>Oregon</v>
          </cell>
          <cell r="B560">
            <v>39.504571962193317</v>
          </cell>
          <cell r="C560">
            <v>38.168031726177247</v>
          </cell>
          <cell r="D560">
            <v>36.570179910030404</v>
          </cell>
          <cell r="E560">
            <v>34.909316536002578</v>
          </cell>
          <cell r="F560">
            <v>35.20366551475221</v>
          </cell>
          <cell r="G560">
            <v>32.480721816189295</v>
          </cell>
          <cell r="H560">
            <v>33.399927928198125</v>
          </cell>
          <cell r="I560">
            <v>32.273568681187022</v>
          </cell>
          <cell r="J560">
            <v>33.550276416846934</v>
          </cell>
          <cell r="K560">
            <v>31.96466289411412</v>
          </cell>
          <cell r="L560">
            <v>34.070500302122106</v>
          </cell>
          <cell r="M560">
            <v>32.088957151694139</v>
          </cell>
          <cell r="N560">
            <v>33.119947913892553</v>
          </cell>
          <cell r="O560">
            <v>31.604039718917399</v>
          </cell>
          <cell r="P560">
            <v>30.537444222674889</v>
          </cell>
          <cell r="Q560">
            <v>32.364816325782805</v>
          </cell>
          <cell r="R560">
            <v>33.26529756788284</v>
          </cell>
          <cell r="S560">
            <v>30.769315160178749</v>
          </cell>
          <cell r="T560">
            <v>30.769315160178749</v>
          </cell>
          <cell r="U560">
            <v>30.769315160178749</v>
          </cell>
          <cell r="V560">
            <v>30.769315160178749</v>
          </cell>
          <cell r="W560">
            <v>30.769315160178749</v>
          </cell>
          <cell r="X560">
            <v>30.769315160178749</v>
          </cell>
          <cell r="Y560">
            <v>30.769315160178749</v>
          </cell>
          <cell r="Z560">
            <v>30.769315160178749</v>
          </cell>
          <cell r="AA560">
            <v>30.769315160178749</v>
          </cell>
          <cell r="AB560">
            <v>30.769315160178749</v>
          </cell>
          <cell r="AC560">
            <v>30.769315160178749</v>
          </cell>
          <cell r="AD560">
            <v>30.769315160178749</v>
          </cell>
          <cell r="AE560">
            <v>30.769315160178749</v>
          </cell>
          <cell r="AF560">
            <v>30.769315160178749</v>
          </cell>
        </row>
        <row r="561">
          <cell r="A561" t="str">
            <v>Pennsylvania</v>
          </cell>
          <cell r="B561">
            <v>38.916750933884977</v>
          </cell>
          <cell r="C561">
            <v>38.199779712183293</v>
          </cell>
          <cell r="D561">
            <v>36.583705133021226</v>
          </cell>
          <cell r="E561">
            <v>35.308304211405272</v>
          </cell>
          <cell r="F561">
            <v>34.815307630129368</v>
          </cell>
          <cell r="G561">
            <v>33.007041267720133</v>
          </cell>
          <cell r="H561">
            <v>32.682074445237816</v>
          </cell>
          <cell r="I561">
            <v>32.273568681187029</v>
          </cell>
          <cell r="J561">
            <v>32.409117467953024</v>
          </cell>
          <cell r="K561">
            <v>32.248893476374619</v>
          </cell>
          <cell r="L561">
            <v>32.683053578538626</v>
          </cell>
          <cell r="M561">
            <v>32.527662601653731</v>
          </cell>
          <cell r="N561">
            <v>32.698835087885413</v>
          </cell>
          <cell r="O561">
            <v>32.029048253773311</v>
          </cell>
          <cell r="P561">
            <v>32.187541909444867</v>
          </cell>
          <cell r="Q561">
            <v>32.092332766613097</v>
          </cell>
          <cell r="R561">
            <v>32.164080937316001</v>
          </cell>
          <cell r="S561">
            <v>32.197386746914667</v>
          </cell>
          <cell r="T561">
            <v>32.197386746914667</v>
          </cell>
          <cell r="U561">
            <v>32.197386746914667</v>
          </cell>
          <cell r="V561">
            <v>32.197386746914667</v>
          </cell>
          <cell r="W561">
            <v>32.197386746914667</v>
          </cell>
          <cell r="X561">
            <v>32.197386746914667</v>
          </cell>
          <cell r="Y561">
            <v>32.197386746914667</v>
          </cell>
          <cell r="Z561">
            <v>32.197386746914667</v>
          </cell>
          <cell r="AA561">
            <v>32.197386746914667</v>
          </cell>
          <cell r="AB561">
            <v>32.197386746914667</v>
          </cell>
          <cell r="AC561">
            <v>32.197386746914667</v>
          </cell>
          <cell r="AD561">
            <v>32.197386746914667</v>
          </cell>
          <cell r="AE561">
            <v>32.197386746914667</v>
          </cell>
          <cell r="AF561">
            <v>32.197386746914667</v>
          </cell>
        </row>
        <row r="562">
          <cell r="A562" t="str">
            <v>Rhode Island</v>
          </cell>
          <cell r="B562">
            <v>37.567561716529632</v>
          </cell>
          <cell r="C562">
            <v>39.253992070085836</v>
          </cell>
          <cell r="D562">
            <v>36.335670092876128</v>
          </cell>
          <cell r="E562">
            <v>38.500847158977813</v>
          </cell>
          <cell r="F562">
            <v>34.437548580508462</v>
          </cell>
          <cell r="G562">
            <v>31.708919529563122</v>
          </cell>
          <cell r="H562">
            <v>31.842779313089338</v>
          </cell>
          <cell r="I562">
            <v>34.716816064099362</v>
          </cell>
          <cell r="J562">
            <v>32.78244652420836</v>
          </cell>
          <cell r="K562">
            <v>36.544693947781958</v>
          </cell>
          <cell r="L562">
            <v>34.179003575586201</v>
          </cell>
          <cell r="M562">
            <v>32.219635370831043</v>
          </cell>
          <cell r="N562">
            <v>32.492696895714708</v>
          </cell>
          <cell r="O562">
            <v>32.250502700935293</v>
          </cell>
          <cell r="P562">
            <v>30.968945503584372</v>
          </cell>
          <cell r="Q562">
            <v>31.647023166852069</v>
          </cell>
          <cell r="R562">
            <v>32.35680456179923</v>
          </cell>
          <cell r="S562">
            <v>33.279953084560098</v>
          </cell>
          <cell r="T562">
            <v>33.279953084560098</v>
          </cell>
          <cell r="U562">
            <v>33.279953084560098</v>
          </cell>
          <cell r="V562">
            <v>33.279953084560098</v>
          </cell>
          <cell r="W562">
            <v>33.279953084560098</v>
          </cell>
          <cell r="X562">
            <v>33.279953084560098</v>
          </cell>
          <cell r="Y562">
            <v>33.279953084560098</v>
          </cell>
          <cell r="Z562">
            <v>33.279953084560098</v>
          </cell>
          <cell r="AA562">
            <v>33.279953084560098</v>
          </cell>
          <cell r="AB562">
            <v>33.279953084560098</v>
          </cell>
          <cell r="AC562">
            <v>33.279953084560098</v>
          </cell>
          <cell r="AD562">
            <v>33.279953084560098</v>
          </cell>
          <cell r="AE562">
            <v>33.279953084560098</v>
          </cell>
          <cell r="AF562">
            <v>33.279953084560098</v>
          </cell>
        </row>
        <row r="563">
          <cell r="A563" t="str">
            <v>South Carolina</v>
          </cell>
          <cell r="B563">
            <v>39.879987072709575</v>
          </cell>
          <cell r="C563">
            <v>38.690881370714393</v>
          </cell>
          <cell r="D563">
            <v>36.599033719077468</v>
          </cell>
          <cell r="E563">
            <v>35.878286604837697</v>
          </cell>
          <cell r="F563">
            <v>35.702982794981573</v>
          </cell>
          <cell r="G563">
            <v>34.886753594616017</v>
          </cell>
          <cell r="H563">
            <v>31.931591258506558</v>
          </cell>
          <cell r="I563">
            <v>33.483038387845887</v>
          </cell>
          <cell r="J563">
            <v>31.920049346998493</v>
          </cell>
          <cell r="K563">
            <v>32.864726404605697</v>
          </cell>
          <cell r="L563">
            <v>32.683053578538619</v>
          </cell>
          <cell r="M563">
            <v>34.940542576431405</v>
          </cell>
          <cell r="N563">
            <v>32.698835087885428</v>
          </cell>
          <cell r="O563">
            <v>32.029048253773311</v>
          </cell>
          <cell r="P563">
            <v>38.186413027938187</v>
          </cell>
          <cell r="Q563">
            <v>32.788731143047066</v>
          </cell>
          <cell r="R563">
            <v>33.349737033187139</v>
          </cell>
          <cell r="S563">
            <v>31.566201534589098</v>
          </cell>
          <cell r="T563">
            <v>31.566201534589098</v>
          </cell>
          <cell r="U563">
            <v>31.566201534589098</v>
          </cell>
          <cell r="V563">
            <v>31.566201534589098</v>
          </cell>
          <cell r="W563">
            <v>31.566201534589098</v>
          </cell>
          <cell r="X563">
            <v>31.566201534589098</v>
          </cell>
          <cell r="Y563">
            <v>31.566201534589098</v>
          </cell>
          <cell r="Z563">
            <v>31.566201534589098</v>
          </cell>
          <cell r="AA563">
            <v>31.566201534589098</v>
          </cell>
          <cell r="AB563">
            <v>31.566201534589098</v>
          </cell>
          <cell r="AC563">
            <v>31.566201534589098</v>
          </cell>
          <cell r="AD563">
            <v>31.566201534589098</v>
          </cell>
          <cell r="AE563">
            <v>31.566201534589098</v>
          </cell>
          <cell r="AF563">
            <v>31.566201534589098</v>
          </cell>
        </row>
        <row r="564">
          <cell r="A564" t="str">
            <v>South Dakota</v>
          </cell>
          <cell r="B564">
            <v>39.168674231731416</v>
          </cell>
          <cell r="C564">
            <v>37.678914316771518</v>
          </cell>
          <cell r="D564">
            <v>36.73434813391885</v>
          </cell>
          <cell r="E564">
            <v>34.922187106176843</v>
          </cell>
          <cell r="F564">
            <v>34.94539795601289</v>
          </cell>
          <cell r="G564">
            <v>32.683368877741266</v>
          </cell>
          <cell r="H564">
            <v>32.539690283328326</v>
          </cell>
          <cell r="I564">
            <v>32.386956466186298</v>
          </cell>
          <cell r="J564">
            <v>32.519552204942755</v>
          </cell>
          <cell r="K564">
            <v>31.649704681338967</v>
          </cell>
          <cell r="L564">
            <v>32.811520867759306</v>
          </cell>
          <cell r="M564">
            <v>32.214301565968306</v>
          </cell>
          <cell r="N564">
            <v>32.869556503834261</v>
          </cell>
          <cell r="O564">
            <v>31.733156235835654</v>
          </cell>
          <cell r="P564">
            <v>32.436890004334558</v>
          </cell>
          <cell r="Q564">
            <v>31.81984920744339</v>
          </cell>
          <cell r="R564">
            <v>32.164080937316008</v>
          </cell>
          <cell r="S564">
            <v>31.952574474902793</v>
          </cell>
          <cell r="T564">
            <v>31.952574474902793</v>
          </cell>
          <cell r="U564">
            <v>31.952574474902793</v>
          </cell>
          <cell r="V564">
            <v>31.952574474902793</v>
          </cell>
          <cell r="W564">
            <v>31.952574474902793</v>
          </cell>
          <cell r="X564">
            <v>31.952574474902793</v>
          </cell>
          <cell r="Y564">
            <v>31.952574474902793</v>
          </cell>
          <cell r="Z564">
            <v>31.952574474902793</v>
          </cell>
          <cell r="AA564">
            <v>31.952574474902793</v>
          </cell>
          <cell r="AB564">
            <v>31.952574474902793</v>
          </cell>
          <cell r="AC564">
            <v>31.952574474902793</v>
          </cell>
          <cell r="AD564">
            <v>31.952574474902793</v>
          </cell>
          <cell r="AE564">
            <v>31.952574474902793</v>
          </cell>
          <cell r="AF564">
            <v>31.952574474902793</v>
          </cell>
        </row>
        <row r="565">
          <cell r="A565" t="str">
            <v>Tennessee</v>
          </cell>
          <cell r="B565">
            <v>39.168674231731408</v>
          </cell>
          <cell r="C565">
            <v>39.787179012485829</v>
          </cell>
          <cell r="D565">
            <v>34.882232080777499</v>
          </cell>
          <cell r="E565">
            <v>35.565715614890891</v>
          </cell>
          <cell r="F565">
            <v>34.371470047703269</v>
          </cell>
          <cell r="G565">
            <v>32.962738283584549</v>
          </cell>
          <cell r="H565">
            <v>33.791484373449215</v>
          </cell>
          <cell r="I565">
            <v>32.273568681187022</v>
          </cell>
          <cell r="J565">
            <v>32.409117467953024</v>
          </cell>
          <cell r="K565">
            <v>33.480559332836791</v>
          </cell>
          <cell r="L565">
            <v>34.995464784511086</v>
          </cell>
          <cell r="M565">
            <v>32.527662601653731</v>
          </cell>
          <cell r="N565">
            <v>32.698835087885428</v>
          </cell>
          <cell r="O565">
            <v>36.704142137188377</v>
          </cell>
          <cell r="P565">
            <v>32.18754190944486</v>
          </cell>
          <cell r="Q565">
            <v>32.092332766613104</v>
          </cell>
          <cell r="R565">
            <v>30.374603912644897</v>
          </cell>
          <cell r="S565">
            <v>32.931823562950264</v>
          </cell>
          <cell r="T565">
            <v>32.931823562950264</v>
          </cell>
          <cell r="U565">
            <v>32.931823562950264</v>
          </cell>
          <cell r="V565">
            <v>32.931823562950264</v>
          </cell>
          <cell r="W565">
            <v>32.931823562950264</v>
          </cell>
          <cell r="X565">
            <v>32.931823562950264</v>
          </cell>
          <cell r="Y565">
            <v>32.931823562950264</v>
          </cell>
          <cell r="Z565">
            <v>32.931823562950264</v>
          </cell>
          <cell r="AA565">
            <v>32.931823562950264</v>
          </cell>
          <cell r="AB565">
            <v>32.931823562950264</v>
          </cell>
          <cell r="AC565">
            <v>32.931823562950264</v>
          </cell>
          <cell r="AD565">
            <v>32.931823562950264</v>
          </cell>
          <cell r="AE565">
            <v>32.931823562950264</v>
          </cell>
          <cell r="AF565">
            <v>32.931823562950264</v>
          </cell>
        </row>
        <row r="566">
          <cell r="A566" t="str">
            <v>Texas</v>
          </cell>
          <cell r="B566">
            <v>39.111091763652233</v>
          </cell>
          <cell r="C566">
            <v>38.038314633139656</v>
          </cell>
          <cell r="D566">
            <v>36.606908955950409</v>
          </cell>
          <cell r="E566">
            <v>35.067635013024407</v>
          </cell>
          <cell r="F566">
            <v>34.042249862936657</v>
          </cell>
          <cell r="G566">
            <v>33.809185886363395</v>
          </cell>
          <cell r="H566">
            <v>32.048834870915385</v>
          </cell>
          <cell r="I566">
            <v>32.273568681187029</v>
          </cell>
          <cell r="J566">
            <v>32.133802896366724</v>
          </cell>
          <cell r="K566">
            <v>32.424845741583503</v>
          </cell>
          <cell r="L566">
            <v>32.396982089139968</v>
          </cell>
          <cell r="M566">
            <v>32.478420153188871</v>
          </cell>
          <cell r="N566">
            <v>32.771691978198071</v>
          </cell>
          <cell r="O566">
            <v>32.471765477581556</v>
          </cell>
          <cell r="P566">
            <v>31.843047830978854</v>
          </cell>
          <cell r="Q566">
            <v>32.300702547154643</v>
          </cell>
          <cell r="R566">
            <v>31.822064850689447</v>
          </cell>
          <cell r="S566">
            <v>32.286641221085645</v>
          </cell>
          <cell r="T566">
            <v>32.286641221085645</v>
          </cell>
          <cell r="U566">
            <v>32.286641221085645</v>
          </cell>
          <cell r="V566">
            <v>32.286641221085645</v>
          </cell>
          <cell r="W566">
            <v>32.286641221085645</v>
          </cell>
          <cell r="X566">
            <v>32.286641221085645</v>
          </cell>
          <cell r="Y566">
            <v>32.286641221085645</v>
          </cell>
          <cell r="Z566">
            <v>32.286641221085645</v>
          </cell>
          <cell r="AA566">
            <v>32.286641221085645</v>
          </cell>
          <cell r="AB566">
            <v>32.286641221085645</v>
          </cell>
          <cell r="AC566">
            <v>32.286641221085645</v>
          </cell>
          <cell r="AD566">
            <v>32.286641221085645</v>
          </cell>
          <cell r="AE566">
            <v>32.286641221085645</v>
          </cell>
          <cell r="AF566">
            <v>32.286641221085645</v>
          </cell>
        </row>
        <row r="567">
          <cell r="A567" t="str">
            <v>Utah</v>
          </cell>
          <cell r="B567">
            <v>39.856854947799725</v>
          </cell>
          <cell r="C567">
            <v>37.581609792353937</v>
          </cell>
          <cell r="D567">
            <v>36.50093076831746</v>
          </cell>
          <cell r="E567">
            <v>34.962130254993589</v>
          </cell>
          <cell r="F567">
            <v>35.333118142959812</v>
          </cell>
          <cell r="G567">
            <v>32.289332924723524</v>
          </cell>
          <cell r="H567">
            <v>32.421036815070401</v>
          </cell>
          <cell r="I567">
            <v>32.999250505182353</v>
          </cell>
          <cell r="J567">
            <v>33.264986679623469</v>
          </cell>
          <cell r="K567">
            <v>32.248893476374612</v>
          </cell>
          <cell r="L567">
            <v>33.343742494530751</v>
          </cell>
          <cell r="M567">
            <v>32.527662601653724</v>
          </cell>
          <cell r="N567">
            <v>34.383286391913963</v>
          </cell>
          <cell r="O567">
            <v>31.249865939870801</v>
          </cell>
          <cell r="P567">
            <v>31.519645226704625</v>
          </cell>
          <cell r="Q567">
            <v>32.09233276661309</v>
          </cell>
          <cell r="R567">
            <v>32.95940405939205</v>
          </cell>
          <cell r="S567">
            <v>32.19738674691466</v>
          </cell>
          <cell r="T567">
            <v>32.19738674691466</v>
          </cell>
          <cell r="U567">
            <v>32.19738674691466</v>
          </cell>
          <cell r="V567">
            <v>32.19738674691466</v>
          </cell>
          <cell r="W567">
            <v>32.19738674691466</v>
          </cell>
          <cell r="X567">
            <v>32.19738674691466</v>
          </cell>
          <cell r="Y567">
            <v>32.19738674691466</v>
          </cell>
          <cell r="Z567">
            <v>32.19738674691466</v>
          </cell>
          <cell r="AA567">
            <v>32.19738674691466</v>
          </cell>
          <cell r="AB567">
            <v>32.19738674691466</v>
          </cell>
          <cell r="AC567">
            <v>32.19738674691466</v>
          </cell>
          <cell r="AD567">
            <v>32.19738674691466</v>
          </cell>
          <cell r="AE567">
            <v>32.19738674691466</v>
          </cell>
          <cell r="AF567">
            <v>32.19738674691466</v>
          </cell>
        </row>
        <row r="568">
          <cell r="A568" t="str">
            <v>Vermont</v>
          </cell>
          <cell r="B568">
            <v>39.389806904285514</v>
          </cell>
          <cell r="C568">
            <v>39.253992070085829</v>
          </cell>
          <cell r="D568">
            <v>36.335670092876143</v>
          </cell>
          <cell r="E568">
            <v>40.937888960091932</v>
          </cell>
          <cell r="F568">
            <v>32.952297155070546</v>
          </cell>
          <cell r="G568">
            <v>33.083171515658734</v>
          </cell>
          <cell r="H568">
            <v>31.286561488001016</v>
          </cell>
          <cell r="I568">
            <v>32.982057063273956</v>
          </cell>
          <cell r="J568">
            <v>35.364274538205585</v>
          </cell>
          <cell r="K568">
            <v>37.432560396759044</v>
          </cell>
          <cell r="L568">
            <v>30.35352081996589</v>
          </cell>
          <cell r="M568">
            <v>34.155806536002203</v>
          </cell>
          <cell r="N568">
            <v>33.293694909294828</v>
          </cell>
          <cell r="O568">
            <v>31.638434159613166</v>
          </cell>
          <cell r="P568">
            <v>32.121172294691419</v>
          </cell>
          <cell r="Q568">
            <v>31.647023166852073</v>
          </cell>
          <cell r="R568">
            <v>31.115638972564359</v>
          </cell>
          <cell r="S568">
            <v>32.242682409577647</v>
          </cell>
          <cell r="T568">
            <v>32.242682409577647</v>
          </cell>
          <cell r="U568">
            <v>32.242682409577647</v>
          </cell>
          <cell r="V568">
            <v>32.242682409577647</v>
          </cell>
          <cell r="W568">
            <v>32.242682409577647</v>
          </cell>
          <cell r="X568">
            <v>32.242682409577647</v>
          </cell>
          <cell r="Y568">
            <v>32.242682409577647</v>
          </cell>
          <cell r="Z568">
            <v>32.242682409577647</v>
          </cell>
          <cell r="AA568">
            <v>32.242682409577647</v>
          </cell>
          <cell r="AB568">
            <v>32.242682409577647</v>
          </cell>
          <cell r="AC568">
            <v>32.242682409577647</v>
          </cell>
          <cell r="AD568">
            <v>32.242682409577647</v>
          </cell>
          <cell r="AE568">
            <v>32.242682409577647</v>
          </cell>
          <cell r="AF568">
            <v>32.242682409577647</v>
          </cell>
        </row>
        <row r="569">
          <cell r="A569" t="str">
            <v>Virginia</v>
          </cell>
          <cell r="B569">
            <v>40.512265153579051</v>
          </cell>
          <cell r="C569">
            <v>37.859622719261324</v>
          </cell>
          <cell r="D569">
            <v>36.353776342177476</v>
          </cell>
          <cell r="E569">
            <v>35.018716382483952</v>
          </cell>
          <cell r="F569">
            <v>34.371470047703276</v>
          </cell>
          <cell r="G569">
            <v>33.246277382052341</v>
          </cell>
          <cell r="H569">
            <v>32.980403165429109</v>
          </cell>
          <cell r="I569">
            <v>32.878303534516455</v>
          </cell>
          <cell r="J569">
            <v>32.409117467953017</v>
          </cell>
          <cell r="K569">
            <v>32.248893476374633</v>
          </cell>
          <cell r="L569">
            <v>33.196922735421396</v>
          </cell>
          <cell r="M569">
            <v>32.045086606698192</v>
          </cell>
          <cell r="N569">
            <v>33.16673822789334</v>
          </cell>
          <cell r="O569">
            <v>31.706627985951581</v>
          </cell>
          <cell r="P569">
            <v>32.187541909444867</v>
          </cell>
          <cell r="Q569">
            <v>31.947008201722593</v>
          </cell>
          <cell r="R569">
            <v>32.504933703920031</v>
          </cell>
          <cell r="S569">
            <v>31.85464956609805</v>
          </cell>
          <cell r="T569">
            <v>31.85464956609805</v>
          </cell>
          <cell r="U569">
            <v>31.85464956609805</v>
          </cell>
          <cell r="V569">
            <v>31.85464956609805</v>
          </cell>
          <cell r="W569">
            <v>31.85464956609805</v>
          </cell>
          <cell r="X569">
            <v>31.85464956609805</v>
          </cell>
          <cell r="Y569">
            <v>31.85464956609805</v>
          </cell>
          <cell r="Z569">
            <v>31.85464956609805</v>
          </cell>
          <cell r="AA569">
            <v>31.85464956609805</v>
          </cell>
          <cell r="AB569">
            <v>31.85464956609805</v>
          </cell>
          <cell r="AC569">
            <v>31.85464956609805</v>
          </cell>
          <cell r="AD569">
            <v>31.85464956609805</v>
          </cell>
          <cell r="AE569">
            <v>31.85464956609805</v>
          </cell>
          <cell r="AF569">
            <v>31.85464956609805</v>
          </cell>
        </row>
        <row r="570">
          <cell r="A570" t="str">
            <v>Washington</v>
          </cell>
          <cell r="B570">
            <v>39.642882792383524</v>
          </cell>
          <cell r="C570">
            <v>38.109684076220184</v>
          </cell>
          <cell r="D570">
            <v>36.608957427969365</v>
          </cell>
          <cell r="E570">
            <v>35.25986658171712</v>
          </cell>
          <cell r="F570">
            <v>33.977064613082909</v>
          </cell>
          <cell r="G570">
            <v>34.595814437259627</v>
          </cell>
          <cell r="H570">
            <v>32.18515943841313</v>
          </cell>
          <cell r="I570">
            <v>32.340349217137529</v>
          </cell>
          <cell r="J570">
            <v>31.775774251316893</v>
          </cell>
          <cell r="K570">
            <v>32.158771584438362</v>
          </cell>
          <cell r="L570">
            <v>32.09265071743927</v>
          </cell>
          <cell r="M570">
            <v>32.14917162521801</v>
          </cell>
          <cell r="N570">
            <v>32.783057653086843</v>
          </cell>
          <cell r="O570">
            <v>33.505393690641228</v>
          </cell>
          <cell r="P570">
            <v>31.845448486577908</v>
          </cell>
          <cell r="Q570">
            <v>32.315909020290803</v>
          </cell>
          <cell r="R570">
            <v>33.395548997304722</v>
          </cell>
          <cell r="S570">
            <v>31.317633555513719</v>
          </cell>
          <cell r="T570">
            <v>31.317633555513719</v>
          </cell>
          <cell r="U570">
            <v>31.317633555513719</v>
          </cell>
          <cell r="V570">
            <v>31.317633555513719</v>
          </cell>
          <cell r="W570">
            <v>31.317633555513719</v>
          </cell>
          <cell r="X570">
            <v>31.317633555513719</v>
          </cell>
          <cell r="Y570">
            <v>31.317633555513719</v>
          </cell>
          <cell r="Z570">
            <v>31.317633555513719</v>
          </cell>
          <cell r="AA570">
            <v>31.317633555513719</v>
          </cell>
          <cell r="AB570">
            <v>31.317633555513719</v>
          </cell>
          <cell r="AC570">
            <v>31.317633555513719</v>
          </cell>
          <cell r="AD570">
            <v>31.317633555513719</v>
          </cell>
          <cell r="AE570">
            <v>31.317633555513719</v>
          </cell>
          <cell r="AF570">
            <v>31.317633555513719</v>
          </cell>
        </row>
        <row r="571">
          <cell r="A571" t="str">
            <v>West Virginia</v>
          </cell>
          <cell r="B571">
            <v>40.896148274106956</v>
          </cell>
          <cell r="C571">
            <v>36.751277850657239</v>
          </cell>
          <cell r="D571">
            <v>35.82822482024892</v>
          </cell>
          <cell r="E571">
            <v>37.316113158593055</v>
          </cell>
          <cell r="F571">
            <v>35.798090848358591</v>
          </cell>
          <cell r="G571">
            <v>32.097944033257768</v>
          </cell>
          <cell r="H571">
            <v>32.856099532016067</v>
          </cell>
          <cell r="I571">
            <v>32.727119821184104</v>
          </cell>
          <cell r="J571">
            <v>31.724422098616675</v>
          </cell>
          <cell r="K571">
            <v>32.248893476374612</v>
          </cell>
          <cell r="L571">
            <v>34.665120326515009</v>
          </cell>
          <cell r="M571">
            <v>32.527662601653724</v>
          </cell>
          <cell r="N571">
            <v>32.172444055376509</v>
          </cell>
          <cell r="O571">
            <v>32.69691880854689</v>
          </cell>
          <cell r="P571">
            <v>34.057652621117505</v>
          </cell>
          <cell r="Q571">
            <v>30.846693638980163</v>
          </cell>
          <cell r="R571">
            <v>31.103650107881272</v>
          </cell>
          <cell r="S571">
            <v>31.683280975689737</v>
          </cell>
          <cell r="T571">
            <v>31.683280975689737</v>
          </cell>
          <cell r="U571">
            <v>31.683280975689737</v>
          </cell>
          <cell r="V571">
            <v>31.683280975689737</v>
          </cell>
          <cell r="W571">
            <v>31.683280975689737</v>
          </cell>
          <cell r="X571">
            <v>31.683280975689737</v>
          </cell>
          <cell r="Y571">
            <v>31.683280975689737</v>
          </cell>
          <cell r="Z571">
            <v>31.683280975689737</v>
          </cell>
          <cell r="AA571">
            <v>31.683280975689737</v>
          </cell>
          <cell r="AB571">
            <v>31.683280975689737</v>
          </cell>
          <cell r="AC571">
            <v>31.683280975689737</v>
          </cell>
          <cell r="AD571">
            <v>31.683280975689737</v>
          </cell>
          <cell r="AE571">
            <v>31.683280975689737</v>
          </cell>
          <cell r="AF571">
            <v>31.683280975689737</v>
          </cell>
        </row>
        <row r="572">
          <cell r="A572" t="str">
            <v>Wisconsin</v>
          </cell>
          <cell r="B572">
            <v>38.496878770807584</v>
          </cell>
          <cell r="C572">
            <v>37.628315964074382</v>
          </cell>
          <cell r="D572">
            <v>36.616552103141757</v>
          </cell>
          <cell r="E572">
            <v>35.565715614890877</v>
          </cell>
          <cell r="F572">
            <v>34.256684466041357</v>
          </cell>
          <cell r="G572">
            <v>33.11868478774182</v>
          </cell>
          <cell r="H572">
            <v>32.421036815070416</v>
          </cell>
          <cell r="I572">
            <v>32.273568681187029</v>
          </cell>
          <cell r="J572">
            <v>32.298682730963293</v>
          </cell>
          <cell r="K572">
            <v>31.735699369515384</v>
          </cell>
          <cell r="L572">
            <v>32.439641872646789</v>
          </cell>
          <cell r="M572">
            <v>32.795760376629026</v>
          </cell>
          <cell r="N572">
            <v>32.277722261878282</v>
          </cell>
          <cell r="O572">
            <v>32.029048253773311</v>
          </cell>
          <cell r="P572">
            <v>31.964909681864786</v>
          </cell>
          <cell r="Q572">
            <v>31.80168363683207</v>
          </cell>
          <cell r="R572">
            <v>32.060343138784347</v>
          </cell>
          <cell r="S572">
            <v>31.983176008904273</v>
          </cell>
          <cell r="T572">
            <v>31.983176008904273</v>
          </cell>
          <cell r="U572">
            <v>31.983176008904273</v>
          </cell>
          <cell r="V572">
            <v>31.983176008904273</v>
          </cell>
          <cell r="W572">
            <v>31.983176008904273</v>
          </cell>
          <cell r="X572">
            <v>31.983176008904273</v>
          </cell>
          <cell r="Y572">
            <v>31.983176008904273</v>
          </cell>
          <cell r="Z572">
            <v>31.983176008904273</v>
          </cell>
          <cell r="AA572">
            <v>31.983176008904273</v>
          </cell>
          <cell r="AB572">
            <v>31.983176008904273</v>
          </cell>
          <cell r="AC572">
            <v>31.983176008904273</v>
          </cell>
          <cell r="AD572">
            <v>31.983176008904273</v>
          </cell>
          <cell r="AE572">
            <v>31.983176008904273</v>
          </cell>
          <cell r="AF572">
            <v>31.983176008904273</v>
          </cell>
        </row>
        <row r="573">
          <cell r="A573" t="str">
            <v>Wyoming</v>
          </cell>
          <cell r="B573">
            <v>40.99595788544422</v>
          </cell>
          <cell r="C573">
            <v>40.461823715114406</v>
          </cell>
          <cell r="D573">
            <v>34.426754095106084</v>
          </cell>
          <cell r="E573">
            <v>36.295047924766791</v>
          </cell>
          <cell r="F573">
            <v>34.19627100200875</v>
          </cell>
          <cell r="G573">
            <v>33.054888490586571</v>
          </cell>
          <cell r="H573">
            <v>32.627119154676251</v>
          </cell>
          <cell r="I573">
            <v>32.953895391182641</v>
          </cell>
          <cell r="J573">
            <v>32.207736476971732</v>
          </cell>
          <cell r="K573">
            <v>31.694643840966648</v>
          </cell>
          <cell r="L573">
            <v>33.196922735421388</v>
          </cell>
          <cell r="M573">
            <v>33.130882595348147</v>
          </cell>
          <cell r="N573">
            <v>32.698835087885428</v>
          </cell>
          <cell r="O573">
            <v>32.340721179334317</v>
          </cell>
          <cell r="P573">
            <v>31.01872271464946</v>
          </cell>
          <cell r="Q573">
            <v>33.182267003291926</v>
          </cell>
          <cell r="R573">
            <v>32.164080937316001</v>
          </cell>
          <cell r="S573">
            <v>31.626158112220292</v>
          </cell>
          <cell r="T573">
            <v>31.626158112220292</v>
          </cell>
          <cell r="U573">
            <v>31.626158112220292</v>
          </cell>
          <cell r="V573">
            <v>31.626158112220292</v>
          </cell>
          <cell r="W573">
            <v>31.626158112220292</v>
          </cell>
          <cell r="X573">
            <v>31.626158112220292</v>
          </cell>
          <cell r="Y573">
            <v>31.626158112220292</v>
          </cell>
          <cell r="Z573">
            <v>31.626158112220292</v>
          </cell>
          <cell r="AA573">
            <v>31.626158112220292</v>
          </cell>
          <cell r="AB573">
            <v>31.626158112220292</v>
          </cell>
          <cell r="AC573">
            <v>31.626158112220292</v>
          </cell>
          <cell r="AD573">
            <v>31.626158112220292</v>
          </cell>
          <cell r="AE573">
            <v>31.626158112220292</v>
          </cell>
          <cell r="AF573">
            <v>31.626158112220292</v>
          </cell>
        </row>
        <row r="575">
          <cell r="A575" t="str">
            <v>Heifer Feedlot</v>
          </cell>
          <cell r="B575">
            <v>1990</v>
          </cell>
          <cell r="C575">
            <v>1991</v>
          </cell>
          <cell r="D575">
            <v>1992</v>
          </cell>
          <cell r="E575">
            <v>1993</v>
          </cell>
          <cell r="F575">
            <v>1994</v>
          </cell>
          <cell r="G575">
            <v>1995</v>
          </cell>
          <cell r="H575">
            <v>1996</v>
          </cell>
          <cell r="I575">
            <v>1997</v>
          </cell>
          <cell r="J575">
            <v>1998</v>
          </cell>
          <cell r="K575">
            <v>1999</v>
          </cell>
          <cell r="L575">
            <v>2000</v>
          </cell>
          <cell r="M575">
            <v>2001</v>
          </cell>
          <cell r="N575">
            <v>2002</v>
          </cell>
          <cell r="O575">
            <v>2003</v>
          </cell>
          <cell r="P575">
            <v>2004</v>
          </cell>
          <cell r="Q575">
            <v>2005</v>
          </cell>
          <cell r="R575">
            <v>2006</v>
          </cell>
          <cell r="S575">
            <v>2007</v>
          </cell>
          <cell r="T575">
            <v>2008</v>
          </cell>
          <cell r="U575">
            <v>2009</v>
          </cell>
          <cell r="V575">
            <v>2010</v>
          </cell>
          <cell r="W575">
            <v>2011</v>
          </cell>
          <cell r="X575">
            <v>2012</v>
          </cell>
          <cell r="Y575">
            <v>2013</v>
          </cell>
          <cell r="Z575">
            <v>2014</v>
          </cell>
          <cell r="AA575">
            <v>2015</v>
          </cell>
          <cell r="AB575">
            <v>2016</v>
          </cell>
          <cell r="AC575">
            <v>2017</v>
          </cell>
          <cell r="AD575">
            <v>2018</v>
          </cell>
          <cell r="AE575">
            <v>2019</v>
          </cell>
          <cell r="AF575">
            <v>2020</v>
          </cell>
        </row>
        <row r="576">
          <cell r="A576" t="str">
            <v>Alabama</v>
          </cell>
          <cell r="B576">
            <v>41.333758769474017</v>
          </cell>
          <cell r="C576">
            <v>40.017557676034166</v>
          </cell>
          <cell r="D576">
            <v>37.017643715599988</v>
          </cell>
          <cell r="E576">
            <v>38.779108929905767</v>
          </cell>
          <cell r="F576">
            <v>37.842463106481283</v>
          </cell>
          <cell r="G576">
            <v>35.107926438510901</v>
          </cell>
          <cell r="H576">
            <v>35.984708093879775</v>
          </cell>
          <cell r="I576">
            <v>33.232021773718117</v>
          </cell>
          <cell r="J576">
            <v>34.3847853233639</v>
          </cell>
          <cell r="K576">
            <v>33.156856591714948</v>
          </cell>
          <cell r="L576">
            <v>33.685651014853569</v>
          </cell>
          <cell r="M576">
            <v>33.479383735137077</v>
          </cell>
          <cell r="N576">
            <v>33.56208507359019</v>
          </cell>
          <cell r="O576">
            <v>31.742864588763187</v>
          </cell>
          <cell r="P576">
            <v>33.192050527956702</v>
          </cell>
          <cell r="Q576">
            <v>34.135201398237726</v>
          </cell>
          <cell r="R576">
            <v>31.77992525877065</v>
          </cell>
          <cell r="S576">
            <v>33.796135461247061</v>
          </cell>
          <cell r="T576">
            <v>33.796135461247061</v>
          </cell>
          <cell r="U576">
            <v>33.796135461247061</v>
          </cell>
          <cell r="V576">
            <v>33.796135461247061</v>
          </cell>
          <cell r="W576">
            <v>33.796135461247061</v>
          </cell>
          <cell r="X576">
            <v>33.796135461247061</v>
          </cell>
          <cell r="Y576">
            <v>33.796135461247061</v>
          </cell>
          <cell r="Z576">
            <v>33.796135461247061</v>
          </cell>
          <cell r="AA576">
            <v>33.796135461247061</v>
          </cell>
          <cell r="AB576">
            <v>33.796135461247061</v>
          </cell>
          <cell r="AC576">
            <v>33.796135461247061</v>
          </cell>
          <cell r="AD576">
            <v>33.796135461247061</v>
          </cell>
          <cell r="AE576">
            <v>33.796135461247061</v>
          </cell>
          <cell r="AF576">
            <v>33.796135461247061</v>
          </cell>
        </row>
        <row r="577">
          <cell r="A577" t="str">
            <v>Alaska</v>
          </cell>
          <cell r="B577">
            <v>37.874425752841283</v>
          </cell>
          <cell r="C577">
            <v>40.025089617348357</v>
          </cell>
          <cell r="D577">
            <v>37.900361468694932</v>
          </cell>
          <cell r="E577">
            <v>38.393717188036362</v>
          </cell>
          <cell r="F577">
            <v>34.025065013944825</v>
          </cell>
          <cell r="G577">
            <v>33.08950483726634</v>
          </cell>
          <cell r="H577">
            <v>32.410780866670251</v>
          </cell>
          <cell r="I577">
            <v>35.314167008734245</v>
          </cell>
          <cell r="J577">
            <v>34.726721107730732</v>
          </cell>
          <cell r="K577">
            <v>37.41355772773953</v>
          </cell>
          <cell r="L577">
            <v>34.005697494424361</v>
          </cell>
          <cell r="M577">
            <v>33.3401163365588</v>
          </cell>
          <cell r="N577">
            <v>33.842818034035218</v>
          </cell>
          <cell r="O577">
            <v>34.167369754513402</v>
          </cell>
          <cell r="P577">
            <v>31.122166449004137</v>
          </cell>
          <cell r="Q577">
            <v>33.034771456083064</v>
          </cell>
          <cell r="R577">
            <v>32.982401030431866</v>
          </cell>
          <cell r="S577">
            <v>33.662179061403286</v>
          </cell>
          <cell r="T577">
            <v>33.662179061403286</v>
          </cell>
          <cell r="U577">
            <v>33.662179061403286</v>
          </cell>
          <cell r="V577">
            <v>33.662179061403286</v>
          </cell>
          <cell r="W577">
            <v>33.662179061403286</v>
          </cell>
          <cell r="X577">
            <v>33.662179061403286</v>
          </cell>
          <cell r="Y577">
            <v>33.662179061403286</v>
          </cell>
          <cell r="Z577">
            <v>33.662179061403286</v>
          </cell>
          <cell r="AA577">
            <v>33.662179061403286</v>
          </cell>
          <cell r="AB577">
            <v>33.662179061403286</v>
          </cell>
          <cell r="AC577">
            <v>33.662179061403286</v>
          </cell>
          <cell r="AD577">
            <v>33.662179061403286</v>
          </cell>
          <cell r="AE577">
            <v>33.662179061403286</v>
          </cell>
          <cell r="AF577">
            <v>33.662179061403286</v>
          </cell>
        </row>
        <row r="578">
          <cell r="A578" t="str">
            <v>Arizona</v>
          </cell>
          <cell r="B578">
            <v>40.167113149713593</v>
          </cell>
          <cell r="C578">
            <v>39.506294694068977</v>
          </cell>
          <cell r="D578">
            <v>37.332013911813789</v>
          </cell>
          <cell r="E578">
            <v>36.125200002031583</v>
          </cell>
          <cell r="F578">
            <v>35.413802285355615</v>
          </cell>
          <cell r="G578">
            <v>34.370001730670317</v>
          </cell>
          <cell r="H578">
            <v>33.129550018610402</v>
          </cell>
          <cell r="I578">
            <v>33.043436175992809</v>
          </cell>
          <cell r="J578">
            <v>33.120472857190691</v>
          </cell>
          <cell r="K578">
            <v>33.97718918324734</v>
          </cell>
          <cell r="L578">
            <v>32.36423106098416</v>
          </cell>
          <cell r="M578">
            <v>32.938838511799084</v>
          </cell>
          <cell r="N578">
            <v>33.49322863981515</v>
          </cell>
          <cell r="O578">
            <v>33.157049388545673</v>
          </cell>
          <cell r="P578">
            <v>33.088504460694359</v>
          </cell>
          <cell r="Q578">
            <v>32.574407446517114</v>
          </cell>
          <cell r="R578">
            <v>33.149693691118628</v>
          </cell>
          <cell r="S578">
            <v>33.115239175578211</v>
          </cell>
          <cell r="T578">
            <v>33.115239175578211</v>
          </cell>
          <cell r="U578">
            <v>33.115239175578211</v>
          </cell>
          <cell r="V578">
            <v>33.115239175578211</v>
          </cell>
          <cell r="W578">
            <v>33.115239175578211</v>
          </cell>
          <cell r="X578">
            <v>33.115239175578211</v>
          </cell>
          <cell r="Y578">
            <v>33.115239175578211</v>
          </cell>
          <cell r="Z578">
            <v>33.115239175578211</v>
          </cell>
          <cell r="AA578">
            <v>33.115239175578211</v>
          </cell>
          <cell r="AB578">
            <v>33.115239175578211</v>
          </cell>
          <cell r="AC578">
            <v>33.115239175578211</v>
          </cell>
          <cell r="AD578">
            <v>33.115239175578211</v>
          </cell>
          <cell r="AE578">
            <v>33.115239175578211</v>
          </cell>
          <cell r="AF578">
            <v>33.115239175578211</v>
          </cell>
        </row>
        <row r="579">
          <cell r="A579" t="str">
            <v>Arkansas</v>
          </cell>
          <cell r="B579">
            <v>40.70239761054485</v>
          </cell>
          <cell r="C579">
            <v>37.749367348845482</v>
          </cell>
          <cell r="D579">
            <v>36.449157610780034</v>
          </cell>
          <cell r="E579">
            <v>36.173656204366367</v>
          </cell>
          <cell r="F579">
            <v>37.842463106481283</v>
          </cell>
          <cell r="G579">
            <v>33.121206071247798</v>
          </cell>
          <cell r="H579">
            <v>32.152923404250565</v>
          </cell>
          <cell r="I579">
            <v>33.021780413574596</v>
          </cell>
          <cell r="J579">
            <v>37.133478295897433</v>
          </cell>
          <cell r="K579">
            <v>31.712510319444249</v>
          </cell>
          <cell r="L579">
            <v>35.665960807980198</v>
          </cell>
          <cell r="M579">
            <v>33.479383735137084</v>
          </cell>
          <cell r="N579">
            <v>32.162004253497287</v>
          </cell>
          <cell r="O579">
            <v>32.850451057969515</v>
          </cell>
          <cell r="P579">
            <v>35.888328648432918</v>
          </cell>
          <cell r="Q579">
            <v>33.178536060285779</v>
          </cell>
          <cell r="R579">
            <v>38.6549299626449</v>
          </cell>
          <cell r="S579">
            <v>37.041100174227694</v>
          </cell>
          <cell r="T579">
            <v>37.041100174227694</v>
          </cell>
          <cell r="U579">
            <v>37.041100174227694</v>
          </cell>
          <cell r="V579">
            <v>37.041100174227694</v>
          </cell>
          <cell r="W579">
            <v>37.041100174227694</v>
          </cell>
          <cell r="X579">
            <v>37.041100174227694</v>
          </cell>
          <cell r="Y579">
            <v>37.041100174227694</v>
          </cell>
          <cell r="Z579">
            <v>37.041100174227694</v>
          </cell>
          <cell r="AA579">
            <v>37.041100174227694</v>
          </cell>
          <cell r="AB579">
            <v>37.041100174227694</v>
          </cell>
          <cell r="AC579">
            <v>37.041100174227694</v>
          </cell>
          <cell r="AD579">
            <v>37.041100174227694</v>
          </cell>
          <cell r="AE579">
            <v>37.041100174227694</v>
          </cell>
          <cell r="AF579">
            <v>37.041100174227694</v>
          </cell>
        </row>
        <row r="580">
          <cell r="A580" t="str">
            <v>California</v>
          </cell>
          <cell r="B580">
            <v>39.707037416110609</v>
          </cell>
          <cell r="C580">
            <v>39.861897555540821</v>
          </cell>
          <cell r="D580">
            <v>37.496368856501022</v>
          </cell>
          <cell r="E580">
            <v>35.792049492039887</v>
          </cell>
          <cell r="F580">
            <v>35.917404194752926</v>
          </cell>
          <cell r="G580">
            <v>33.816558199789895</v>
          </cell>
          <cell r="H580">
            <v>33.989131257327841</v>
          </cell>
          <cell r="I580">
            <v>32.965716050869659</v>
          </cell>
          <cell r="J580">
            <v>33.063298317338145</v>
          </cell>
          <cell r="K580">
            <v>33.156856591714948</v>
          </cell>
          <cell r="L580">
            <v>33.488812993247613</v>
          </cell>
          <cell r="M580">
            <v>33.043012552925141</v>
          </cell>
          <cell r="N580">
            <v>33.233941131380924</v>
          </cell>
          <cell r="O580">
            <v>32.682634926271582</v>
          </cell>
          <cell r="P580">
            <v>33.002600142250955</v>
          </cell>
          <cell r="Q580">
            <v>32.932635210362733</v>
          </cell>
          <cell r="R580">
            <v>33.049895504594062</v>
          </cell>
          <cell r="S580">
            <v>33.115239175578211</v>
          </cell>
          <cell r="T580">
            <v>33.115239175578211</v>
          </cell>
          <cell r="U580">
            <v>33.115239175578211</v>
          </cell>
          <cell r="V580">
            <v>33.115239175578211</v>
          </cell>
          <cell r="W580">
            <v>33.115239175578211</v>
          </cell>
          <cell r="X580">
            <v>33.115239175578211</v>
          </cell>
          <cell r="Y580">
            <v>33.115239175578211</v>
          </cell>
          <cell r="Z580">
            <v>33.115239175578211</v>
          </cell>
          <cell r="AA580">
            <v>33.115239175578211</v>
          </cell>
          <cell r="AB580">
            <v>33.115239175578211</v>
          </cell>
          <cell r="AC580">
            <v>33.115239175578211</v>
          </cell>
          <cell r="AD580">
            <v>33.115239175578211</v>
          </cell>
          <cell r="AE580">
            <v>33.115239175578211</v>
          </cell>
          <cell r="AF580">
            <v>33.115239175578211</v>
          </cell>
        </row>
        <row r="581">
          <cell r="A581" t="str">
            <v>Colorado</v>
          </cell>
          <cell r="B581">
            <v>39.676435727284947</v>
          </cell>
          <cell r="C581">
            <v>38.702388494723088</v>
          </cell>
          <cell r="D581">
            <v>37.262153868210724</v>
          </cell>
          <cell r="E581">
            <v>36.118652202382748</v>
          </cell>
          <cell r="F581">
            <v>35.247650649326445</v>
          </cell>
          <cell r="G581">
            <v>34.158314238724145</v>
          </cell>
          <cell r="H581">
            <v>33.039134106749685</v>
          </cell>
          <cell r="I581">
            <v>33.019919870564465</v>
          </cell>
          <cell r="J581">
            <v>33.290501346444337</v>
          </cell>
          <cell r="K581">
            <v>33.082149025907853</v>
          </cell>
          <cell r="L581">
            <v>33.504122617150301</v>
          </cell>
          <cell r="M581">
            <v>33.342542597858078</v>
          </cell>
          <cell r="N581">
            <v>33.648866942604229</v>
          </cell>
          <cell r="O581">
            <v>33.755689999147776</v>
          </cell>
          <cell r="P581">
            <v>33.060072722562744</v>
          </cell>
          <cell r="Q581">
            <v>32.987180489800203</v>
          </cell>
          <cell r="R581">
            <v>33.101269082117291</v>
          </cell>
          <cell r="S581">
            <v>33.063125976481096</v>
          </cell>
          <cell r="T581">
            <v>33.063125976481096</v>
          </cell>
          <cell r="U581">
            <v>33.063125976481096</v>
          </cell>
          <cell r="V581">
            <v>33.063125976481096</v>
          </cell>
          <cell r="W581">
            <v>33.063125976481096</v>
          </cell>
          <cell r="X581">
            <v>33.063125976481096</v>
          </cell>
          <cell r="Y581">
            <v>33.063125976481096</v>
          </cell>
          <cell r="Z581">
            <v>33.063125976481096</v>
          </cell>
          <cell r="AA581">
            <v>33.063125976481096</v>
          </cell>
          <cell r="AB581">
            <v>33.063125976481096</v>
          </cell>
          <cell r="AC581">
            <v>33.063125976481096</v>
          </cell>
          <cell r="AD581">
            <v>33.063125976481096</v>
          </cell>
          <cell r="AE581">
            <v>33.063125976481096</v>
          </cell>
          <cell r="AF581">
            <v>33.063125976481096</v>
          </cell>
        </row>
        <row r="582">
          <cell r="A582" t="str">
            <v>Connecticut</v>
          </cell>
          <cell r="B582">
            <v>37.87442575284129</v>
          </cell>
          <cell r="C582">
            <v>40.02508961734835</v>
          </cell>
          <cell r="D582">
            <v>36.99526037008583</v>
          </cell>
          <cell r="E582">
            <v>43.875298740183972</v>
          </cell>
          <cell r="F582">
            <v>34.424464957363291</v>
          </cell>
          <cell r="G582">
            <v>34.887819896488899</v>
          </cell>
          <cell r="H582">
            <v>32.720834657644986</v>
          </cell>
          <cell r="I582">
            <v>34.807772752255659</v>
          </cell>
          <cell r="J582">
            <v>33.601144346036769</v>
          </cell>
          <cell r="K582">
            <v>35.5171216342561</v>
          </cell>
          <cell r="L582">
            <v>33.044714425979521</v>
          </cell>
          <cell r="M582">
            <v>35.528604028503182</v>
          </cell>
          <cell r="N582">
            <v>33.447744031478543</v>
          </cell>
          <cell r="O582">
            <v>32.387744964613972</v>
          </cell>
          <cell r="P582">
            <v>33.085539260932897</v>
          </cell>
          <cell r="Q582">
            <v>32.641039641917637</v>
          </cell>
          <cell r="R582">
            <v>34.554379290868454</v>
          </cell>
          <cell r="S582">
            <v>32.177010280526517</v>
          </cell>
          <cell r="T582">
            <v>32.177010280526517</v>
          </cell>
          <cell r="U582">
            <v>32.177010280526517</v>
          </cell>
          <cell r="V582">
            <v>32.177010280526517</v>
          </cell>
          <cell r="W582">
            <v>32.177010280526517</v>
          </cell>
          <cell r="X582">
            <v>32.177010280526517</v>
          </cell>
          <cell r="Y582">
            <v>32.177010280526517</v>
          </cell>
          <cell r="Z582">
            <v>32.177010280526517</v>
          </cell>
          <cell r="AA582">
            <v>32.177010280526517</v>
          </cell>
          <cell r="AB582">
            <v>32.177010280526517</v>
          </cell>
          <cell r="AC582">
            <v>32.177010280526517</v>
          </cell>
          <cell r="AD582">
            <v>32.177010280526517</v>
          </cell>
          <cell r="AE582">
            <v>32.177010280526517</v>
          </cell>
          <cell r="AF582">
            <v>32.177010280526517</v>
          </cell>
        </row>
        <row r="583">
          <cell r="A583" t="str">
            <v>Delaware</v>
          </cell>
          <cell r="B583">
            <v>37.303570038309481</v>
          </cell>
          <cell r="C583">
            <v>41.607762926830908</v>
          </cell>
          <cell r="D583">
            <v>37.738253809242551</v>
          </cell>
          <cell r="E583">
            <v>39.764112576073273</v>
          </cell>
          <cell r="F583">
            <v>34.304644974337748</v>
          </cell>
          <cell r="G583">
            <v>34.887819896488907</v>
          </cell>
          <cell r="H583">
            <v>31.894024548379008</v>
          </cell>
          <cell r="I583">
            <v>38.878403506256582</v>
          </cell>
          <cell r="J583">
            <v>34.518280966676279</v>
          </cell>
          <cell r="K583">
            <v>39.150629443619309</v>
          </cell>
          <cell r="L583">
            <v>35.374370349482142</v>
          </cell>
          <cell r="M583">
            <v>33.285404144260198</v>
          </cell>
          <cell r="N583">
            <v>39.725030960990139</v>
          </cell>
          <cell r="O583">
            <v>36.012906573668388</v>
          </cell>
          <cell r="P583">
            <v>28.737936689829386</v>
          </cell>
          <cell r="Q583">
            <v>35.310733406258841</v>
          </cell>
          <cell r="R583">
            <v>33.283904797314541</v>
          </cell>
          <cell r="S583">
            <v>31.875671687305143</v>
          </cell>
          <cell r="T583">
            <v>31.875671687305143</v>
          </cell>
          <cell r="U583">
            <v>31.875671687305143</v>
          </cell>
          <cell r="V583">
            <v>31.875671687305143</v>
          </cell>
          <cell r="W583">
            <v>31.875671687305143</v>
          </cell>
          <cell r="X583">
            <v>31.875671687305143</v>
          </cell>
          <cell r="Y583">
            <v>31.875671687305143</v>
          </cell>
          <cell r="Z583">
            <v>31.875671687305143</v>
          </cell>
          <cell r="AA583">
            <v>31.875671687305143</v>
          </cell>
          <cell r="AB583">
            <v>31.875671687305143</v>
          </cell>
          <cell r="AC583">
            <v>31.875671687305143</v>
          </cell>
          <cell r="AD583">
            <v>31.875671687305143</v>
          </cell>
          <cell r="AE583">
            <v>31.875671687305143</v>
          </cell>
          <cell r="AF583">
            <v>31.875671687305143</v>
          </cell>
        </row>
        <row r="584">
          <cell r="A584" t="str">
            <v>Florida</v>
          </cell>
          <cell r="B584">
            <v>38.571553699158898</v>
          </cell>
          <cell r="C584">
            <v>43.753400567874337</v>
          </cell>
          <cell r="D584">
            <v>38.088924197571821</v>
          </cell>
          <cell r="E584">
            <v>37.708519494017935</v>
          </cell>
          <cell r="F584">
            <v>34.008069271671701</v>
          </cell>
          <cell r="G584">
            <v>34.591097911717178</v>
          </cell>
          <cell r="H584">
            <v>33.134239712277974</v>
          </cell>
          <cell r="I584">
            <v>33.093822961097388</v>
          </cell>
          <cell r="J584">
            <v>34.726721107730718</v>
          </cell>
          <cell r="K584">
            <v>38.975328628255298</v>
          </cell>
          <cell r="L584">
            <v>34.005697494424361</v>
          </cell>
          <cell r="M584">
            <v>35.163856079845779</v>
          </cell>
          <cell r="N584">
            <v>33.704542133140379</v>
          </cell>
          <cell r="O584">
            <v>33.112777286424858</v>
          </cell>
          <cell r="P584">
            <v>32.749699174681929</v>
          </cell>
          <cell r="Q584">
            <v>33.428503270248491</v>
          </cell>
          <cell r="R584">
            <v>32.608120492232679</v>
          </cell>
          <cell r="S584">
            <v>31.97898777640961</v>
          </cell>
          <cell r="T584">
            <v>31.97898777640961</v>
          </cell>
          <cell r="U584">
            <v>31.97898777640961</v>
          </cell>
          <cell r="V584">
            <v>31.97898777640961</v>
          </cell>
          <cell r="W584">
            <v>31.97898777640961</v>
          </cell>
          <cell r="X584">
            <v>31.97898777640961</v>
          </cell>
          <cell r="Y584">
            <v>31.97898777640961</v>
          </cell>
          <cell r="Z584">
            <v>31.97898777640961</v>
          </cell>
          <cell r="AA584">
            <v>31.97898777640961</v>
          </cell>
          <cell r="AB584">
            <v>31.97898777640961</v>
          </cell>
          <cell r="AC584">
            <v>31.97898777640961</v>
          </cell>
          <cell r="AD584">
            <v>31.97898777640961</v>
          </cell>
          <cell r="AE584">
            <v>31.97898777640961</v>
          </cell>
          <cell r="AF584">
            <v>31.97898777640961</v>
          </cell>
        </row>
        <row r="585">
          <cell r="A585" t="str">
            <v>Georgia</v>
          </cell>
          <cell r="B585">
            <v>40.483849517069388</v>
          </cell>
          <cell r="C585">
            <v>38.208008775299078</v>
          </cell>
          <cell r="D585">
            <v>36.512322733537808</v>
          </cell>
          <cell r="E585">
            <v>36.752645698930671</v>
          </cell>
          <cell r="F585">
            <v>36.806830147640078</v>
          </cell>
          <cell r="G585">
            <v>33.248356174752629</v>
          </cell>
          <cell r="H585">
            <v>35.548175660884041</v>
          </cell>
          <cell r="I585">
            <v>37.22660761644498</v>
          </cell>
          <cell r="J585">
            <v>33.327595718543307</v>
          </cell>
          <cell r="K585">
            <v>39.656414816933129</v>
          </cell>
          <cell r="L585">
            <v>31.870367037820849</v>
          </cell>
          <cell r="M585">
            <v>33.479383735137091</v>
          </cell>
          <cell r="N585">
            <v>33.562085073590204</v>
          </cell>
          <cell r="O585">
            <v>32.850451057969522</v>
          </cell>
          <cell r="P585">
            <v>31.845547877541318</v>
          </cell>
          <cell r="Q585">
            <v>32.509795703862494</v>
          </cell>
          <cell r="R585">
            <v>33.499013604284265</v>
          </cell>
          <cell r="S585">
            <v>32.370202967469837</v>
          </cell>
          <cell r="T585">
            <v>32.370202967469837</v>
          </cell>
          <cell r="U585">
            <v>32.370202967469837</v>
          </cell>
          <cell r="V585">
            <v>32.370202967469837</v>
          </cell>
          <cell r="W585">
            <v>32.370202967469837</v>
          </cell>
          <cell r="X585">
            <v>32.370202967469837</v>
          </cell>
          <cell r="Y585">
            <v>32.370202967469837</v>
          </cell>
          <cell r="Z585">
            <v>32.370202967469837</v>
          </cell>
          <cell r="AA585">
            <v>32.370202967469837</v>
          </cell>
          <cell r="AB585">
            <v>32.370202967469837</v>
          </cell>
          <cell r="AC585">
            <v>32.370202967469837</v>
          </cell>
          <cell r="AD585">
            <v>32.370202967469837</v>
          </cell>
          <cell r="AE585">
            <v>32.370202967469837</v>
          </cell>
          <cell r="AF585">
            <v>32.370202967469837</v>
          </cell>
        </row>
        <row r="586">
          <cell r="A586" t="str">
            <v>Hawaii</v>
          </cell>
          <cell r="B586">
            <v>41.827009674887435</v>
          </cell>
          <cell r="C586">
            <v>39.394917194060803</v>
          </cell>
          <cell r="D586">
            <v>40.049569607973098</v>
          </cell>
          <cell r="E586">
            <v>42.970837784079613</v>
          </cell>
          <cell r="F586">
            <v>35.575676558981208</v>
          </cell>
          <cell r="G586">
            <v>35.947541270673632</v>
          </cell>
          <cell r="H586">
            <v>32.472791624865188</v>
          </cell>
          <cell r="I586">
            <v>35.205653953774537</v>
          </cell>
          <cell r="J586">
            <v>33.4760802614041</v>
          </cell>
          <cell r="K586">
            <v>41.798529871495319</v>
          </cell>
          <cell r="L586">
            <v>32.70150618724923</v>
          </cell>
          <cell r="M586">
            <v>36.224941021394571</v>
          </cell>
          <cell r="N586">
            <v>32.705882848899904</v>
          </cell>
          <cell r="O586">
            <v>34.00512475942287</v>
          </cell>
          <cell r="P586">
            <v>31.742178915929014</v>
          </cell>
          <cell r="Q586">
            <v>33.887857053441493</v>
          </cell>
          <cell r="R586">
            <v>32.608120492232693</v>
          </cell>
          <cell r="S586">
            <v>32.710147791610474</v>
          </cell>
          <cell r="T586">
            <v>32.710147791610474</v>
          </cell>
          <cell r="U586">
            <v>32.710147791610474</v>
          </cell>
          <cell r="V586">
            <v>32.710147791610474</v>
          </cell>
          <cell r="W586">
            <v>32.710147791610474</v>
          </cell>
          <cell r="X586">
            <v>32.710147791610474</v>
          </cell>
          <cell r="Y586">
            <v>32.710147791610474</v>
          </cell>
          <cell r="Z586">
            <v>32.710147791610474</v>
          </cell>
          <cell r="AA586">
            <v>32.710147791610474</v>
          </cell>
          <cell r="AB586">
            <v>32.710147791610474</v>
          </cell>
          <cell r="AC586">
            <v>32.710147791610474</v>
          </cell>
          <cell r="AD586">
            <v>32.710147791610474</v>
          </cell>
          <cell r="AE586">
            <v>32.710147791610474</v>
          </cell>
          <cell r="AF586">
            <v>32.710147791610474</v>
          </cell>
        </row>
        <row r="587">
          <cell r="A587" t="str">
            <v>Idaho</v>
          </cell>
          <cell r="B587">
            <v>40.655045523625169</v>
          </cell>
          <cell r="C587">
            <v>37.634347555377502</v>
          </cell>
          <cell r="D587">
            <v>37.180068316977128</v>
          </cell>
          <cell r="E587">
            <v>36.463150951648508</v>
          </cell>
          <cell r="F587">
            <v>35.350298232264464</v>
          </cell>
          <cell r="G587">
            <v>34.151357372791637</v>
          </cell>
          <cell r="H587">
            <v>33.365513495905375</v>
          </cell>
          <cell r="I587">
            <v>33.232021773718117</v>
          </cell>
          <cell r="J587">
            <v>32.969226360976997</v>
          </cell>
          <cell r="K587">
            <v>33.156856591714948</v>
          </cell>
          <cell r="L587">
            <v>33.339882638275917</v>
          </cell>
          <cell r="M587">
            <v>33.30675337733895</v>
          </cell>
          <cell r="N587">
            <v>33.405359608654429</v>
          </cell>
          <cell r="O587">
            <v>33.395165714956235</v>
          </cell>
          <cell r="P587">
            <v>33.162918392594385</v>
          </cell>
          <cell r="Q587">
            <v>33.266240696758345</v>
          </cell>
          <cell r="R587">
            <v>33.588432317251282</v>
          </cell>
          <cell r="S587">
            <v>33.448566996218254</v>
          </cell>
          <cell r="T587">
            <v>33.448566996218254</v>
          </cell>
          <cell r="U587">
            <v>33.448566996218254</v>
          </cell>
          <cell r="V587">
            <v>33.448566996218254</v>
          </cell>
          <cell r="W587">
            <v>33.448566996218254</v>
          </cell>
          <cell r="X587">
            <v>33.448566996218254</v>
          </cell>
          <cell r="Y587">
            <v>33.448566996218254</v>
          </cell>
          <cell r="Z587">
            <v>33.448566996218254</v>
          </cell>
          <cell r="AA587">
            <v>33.448566996218254</v>
          </cell>
          <cell r="AB587">
            <v>33.448566996218254</v>
          </cell>
          <cell r="AC587">
            <v>33.448566996218254</v>
          </cell>
          <cell r="AD587">
            <v>33.448566996218254</v>
          </cell>
          <cell r="AE587">
            <v>33.448566996218254</v>
          </cell>
          <cell r="AF587">
            <v>33.448566996218254</v>
          </cell>
        </row>
        <row r="588">
          <cell r="A588" t="str">
            <v>Illinois</v>
          </cell>
          <cell r="B588">
            <v>40.213601874599689</v>
          </cell>
          <cell r="C588">
            <v>38.32633150202544</v>
          </cell>
          <cell r="D588">
            <v>37.418928024884671</v>
          </cell>
          <cell r="E588">
            <v>36.612284609339319</v>
          </cell>
          <cell r="F588">
            <v>35.283840502285365</v>
          </cell>
          <cell r="G588">
            <v>34.812756555374683</v>
          </cell>
          <cell r="H588">
            <v>33.214985070734436</v>
          </cell>
          <cell r="I588">
            <v>33.608869494730079</v>
          </cell>
          <cell r="J588">
            <v>33.581321223700243</v>
          </cell>
          <cell r="K588">
            <v>33.156856591714941</v>
          </cell>
          <cell r="L588">
            <v>33.912561511982666</v>
          </cell>
          <cell r="M588">
            <v>33.853416177033033</v>
          </cell>
          <cell r="N588">
            <v>33.562085073590204</v>
          </cell>
          <cell r="O588">
            <v>33.10802930662215</v>
          </cell>
          <cell r="P588">
            <v>33.571729930970164</v>
          </cell>
          <cell r="Q588">
            <v>32.927951384649909</v>
          </cell>
          <cell r="R588">
            <v>33.331780466546533</v>
          </cell>
          <cell r="S588">
            <v>32.841341896602664</v>
          </cell>
          <cell r="T588">
            <v>32.841341896602664</v>
          </cell>
          <cell r="U588">
            <v>32.841341896602664</v>
          </cell>
          <cell r="V588">
            <v>32.841341896602664</v>
          </cell>
          <cell r="W588">
            <v>32.841341896602664</v>
          </cell>
          <cell r="X588">
            <v>32.841341896602664</v>
          </cell>
          <cell r="Y588">
            <v>32.841341896602664</v>
          </cell>
          <cell r="Z588">
            <v>32.841341896602664</v>
          </cell>
          <cell r="AA588">
            <v>32.841341896602664</v>
          </cell>
          <cell r="AB588">
            <v>32.841341896602664</v>
          </cell>
          <cell r="AC588">
            <v>32.841341896602664</v>
          </cell>
          <cell r="AD588">
            <v>32.841341896602664</v>
          </cell>
          <cell r="AE588">
            <v>32.841341896602664</v>
          </cell>
          <cell r="AF588">
            <v>32.841341896602664</v>
          </cell>
        </row>
        <row r="589">
          <cell r="A589" t="str">
            <v>Indiana</v>
          </cell>
          <cell r="B589">
            <v>39.654606751045385</v>
          </cell>
          <cell r="C589">
            <v>39.401992654083237</v>
          </cell>
          <cell r="D589">
            <v>37.234209850769503</v>
          </cell>
          <cell r="E589">
            <v>36.463150951648522</v>
          </cell>
          <cell r="F589">
            <v>35.668595781111819</v>
          </cell>
          <cell r="G589">
            <v>33.868212929338718</v>
          </cell>
          <cell r="H589">
            <v>33.365513495905375</v>
          </cell>
          <cell r="I589">
            <v>33.23202177371811</v>
          </cell>
          <cell r="J589">
            <v>34.073847204299007</v>
          </cell>
          <cell r="K589">
            <v>33.288160798285013</v>
          </cell>
          <cell r="L589">
            <v>35.151841919380004</v>
          </cell>
          <cell r="M589">
            <v>34.499472213035119</v>
          </cell>
          <cell r="N589">
            <v>33.333811026835917</v>
          </cell>
          <cell r="O589">
            <v>32.850451057969529</v>
          </cell>
          <cell r="P589">
            <v>33.682044155611251</v>
          </cell>
          <cell r="Q589">
            <v>32.336571550149259</v>
          </cell>
          <cell r="R589">
            <v>33.673156358144148</v>
          </cell>
          <cell r="S589">
            <v>33.382911516395218</v>
          </cell>
          <cell r="T589">
            <v>33.382911516395218</v>
          </cell>
          <cell r="U589">
            <v>33.382911516395218</v>
          </cell>
          <cell r="V589">
            <v>33.382911516395218</v>
          </cell>
          <cell r="W589">
            <v>33.382911516395218</v>
          </cell>
          <cell r="X589">
            <v>33.382911516395218</v>
          </cell>
          <cell r="Y589">
            <v>33.382911516395218</v>
          </cell>
          <cell r="Z589">
            <v>33.382911516395218</v>
          </cell>
          <cell r="AA589">
            <v>33.382911516395218</v>
          </cell>
          <cell r="AB589">
            <v>33.382911516395218</v>
          </cell>
          <cell r="AC589">
            <v>33.382911516395218</v>
          </cell>
          <cell r="AD589">
            <v>33.382911516395218</v>
          </cell>
          <cell r="AE589">
            <v>33.382911516395218</v>
          </cell>
          <cell r="AF589">
            <v>33.382911516395218</v>
          </cell>
        </row>
        <row r="590">
          <cell r="A590" t="str">
            <v>Iowa</v>
          </cell>
          <cell r="B590">
            <v>39.465445135908126</v>
          </cell>
          <cell r="C590">
            <v>38.856907457210028</v>
          </cell>
          <cell r="D590">
            <v>37.792852040354482</v>
          </cell>
          <cell r="E590">
            <v>36.407854202167663</v>
          </cell>
          <cell r="F590">
            <v>35.164650008301074</v>
          </cell>
          <cell r="G590">
            <v>34.120242598785829</v>
          </cell>
          <cell r="H590">
            <v>33.414017099571559</v>
          </cell>
          <cell r="I590">
            <v>32.832563189445438</v>
          </cell>
          <cell r="J590">
            <v>33.3275957185433</v>
          </cell>
          <cell r="K590">
            <v>33.071895046287267</v>
          </cell>
          <cell r="L590">
            <v>33.289589056228252</v>
          </cell>
          <cell r="M590">
            <v>33.74654976506276</v>
          </cell>
          <cell r="N590">
            <v>33.716505752276923</v>
          </cell>
          <cell r="O590">
            <v>32.494804026572993</v>
          </cell>
          <cell r="P590">
            <v>33.966197204841528</v>
          </cell>
          <cell r="Q590">
            <v>33.350132088166866</v>
          </cell>
          <cell r="R590">
            <v>33.198701729144084</v>
          </cell>
          <cell r="S590">
            <v>33.439392836017163</v>
          </cell>
          <cell r="T590">
            <v>33.439392836017163</v>
          </cell>
          <cell r="U590">
            <v>33.439392836017163</v>
          </cell>
          <cell r="V590">
            <v>33.439392836017163</v>
          </cell>
          <cell r="W590">
            <v>33.439392836017163</v>
          </cell>
          <cell r="X590">
            <v>33.439392836017163</v>
          </cell>
          <cell r="Y590">
            <v>33.439392836017163</v>
          </cell>
          <cell r="Z590">
            <v>33.439392836017163</v>
          </cell>
          <cell r="AA590">
            <v>33.439392836017163</v>
          </cell>
          <cell r="AB590">
            <v>33.439392836017163</v>
          </cell>
          <cell r="AC590">
            <v>33.439392836017163</v>
          </cell>
          <cell r="AD590">
            <v>33.439392836017163</v>
          </cell>
          <cell r="AE590">
            <v>33.439392836017163</v>
          </cell>
          <cell r="AF590">
            <v>33.439392836017163</v>
          </cell>
        </row>
        <row r="591">
          <cell r="A591" t="str">
            <v>Kansas</v>
          </cell>
          <cell r="B591">
            <v>39.354570183489173</v>
          </cell>
          <cell r="C591">
            <v>38.461802450016485</v>
          </cell>
          <cell r="D591">
            <v>37.067620516023723</v>
          </cell>
          <cell r="E591">
            <v>35.997942974672711</v>
          </cell>
          <cell r="F591">
            <v>35.302116378029602</v>
          </cell>
          <cell r="G591">
            <v>33.993804820790814</v>
          </cell>
          <cell r="H591">
            <v>33.029719316677898</v>
          </cell>
          <cell r="I591">
            <v>33.214028143795929</v>
          </cell>
          <cell r="J591">
            <v>33.059952780614026</v>
          </cell>
          <cell r="K591">
            <v>33.578124254460576</v>
          </cell>
          <cell r="L591">
            <v>33.203107172857528</v>
          </cell>
          <cell r="M591">
            <v>33.296184171759471</v>
          </cell>
          <cell r="N591">
            <v>33.396067585041635</v>
          </cell>
          <cell r="O591">
            <v>33.567415513482551</v>
          </cell>
          <cell r="P591">
            <v>32.635419633399827</v>
          </cell>
          <cell r="Q591">
            <v>33.221318809784584</v>
          </cell>
          <cell r="R591">
            <v>33.006128967961693</v>
          </cell>
          <cell r="S591">
            <v>32.957905051586529</v>
          </cell>
          <cell r="T591">
            <v>32.957905051586529</v>
          </cell>
          <cell r="U591">
            <v>32.957905051586529</v>
          </cell>
          <cell r="V591">
            <v>32.957905051586529</v>
          </cell>
          <cell r="W591">
            <v>32.957905051586529</v>
          </cell>
          <cell r="X591">
            <v>32.957905051586529</v>
          </cell>
          <cell r="Y591">
            <v>32.957905051586529</v>
          </cell>
          <cell r="Z591">
            <v>32.957905051586529</v>
          </cell>
          <cell r="AA591">
            <v>32.957905051586529</v>
          </cell>
          <cell r="AB591">
            <v>32.957905051586529</v>
          </cell>
          <cell r="AC591">
            <v>32.957905051586529</v>
          </cell>
          <cell r="AD591">
            <v>32.957905051586529</v>
          </cell>
          <cell r="AE591">
            <v>32.957905051586529</v>
          </cell>
          <cell r="AF591">
            <v>32.957905051586529</v>
          </cell>
        </row>
        <row r="592">
          <cell r="A592" t="str">
            <v>Kentucky</v>
          </cell>
          <cell r="B592">
            <v>40.939158045143287</v>
          </cell>
          <cell r="C592">
            <v>37.082252546731176</v>
          </cell>
          <cell r="D592">
            <v>37.017643715600002</v>
          </cell>
          <cell r="E592">
            <v>36.463150951648508</v>
          </cell>
          <cell r="F592">
            <v>34.826943608678938</v>
          </cell>
          <cell r="G592">
            <v>34.074831847534092</v>
          </cell>
          <cell r="H592">
            <v>35.984708093879775</v>
          </cell>
          <cell r="I592">
            <v>34.230668234399829</v>
          </cell>
          <cell r="J592">
            <v>33.327595718543307</v>
          </cell>
          <cell r="K592">
            <v>34.601202863985662</v>
          </cell>
          <cell r="L592">
            <v>33.685651014853583</v>
          </cell>
          <cell r="M592">
            <v>32.076762078027279</v>
          </cell>
          <cell r="N592">
            <v>35.312186098706341</v>
          </cell>
          <cell r="O592">
            <v>35.619417230985377</v>
          </cell>
          <cell r="P592">
            <v>33.162918392594385</v>
          </cell>
          <cell r="Q592">
            <v>33.178536060285779</v>
          </cell>
          <cell r="R592">
            <v>31.379958984643793</v>
          </cell>
          <cell r="S592">
            <v>31.643041301084661</v>
          </cell>
          <cell r="T592">
            <v>31.643041301084661</v>
          </cell>
          <cell r="U592">
            <v>31.643041301084661</v>
          </cell>
          <cell r="V592">
            <v>31.643041301084661</v>
          </cell>
          <cell r="W592">
            <v>31.643041301084661</v>
          </cell>
          <cell r="X592">
            <v>31.643041301084661</v>
          </cell>
          <cell r="Y592">
            <v>31.643041301084661</v>
          </cell>
          <cell r="Z592">
            <v>31.643041301084661</v>
          </cell>
          <cell r="AA592">
            <v>31.643041301084661</v>
          </cell>
          <cell r="AB592">
            <v>31.643041301084661</v>
          </cell>
          <cell r="AC592">
            <v>31.643041301084661</v>
          </cell>
          <cell r="AD592">
            <v>31.643041301084661</v>
          </cell>
          <cell r="AE592">
            <v>31.643041301084661</v>
          </cell>
          <cell r="AF592">
            <v>31.643041301084661</v>
          </cell>
        </row>
        <row r="593">
          <cell r="A593" t="str">
            <v>Louisiana</v>
          </cell>
          <cell r="B593">
            <v>39.7553558721511</v>
          </cell>
          <cell r="C593">
            <v>39.66732240492415</v>
          </cell>
          <cell r="D593">
            <v>36.512322733537808</v>
          </cell>
          <cell r="E593">
            <v>40.400279514685828</v>
          </cell>
          <cell r="F593">
            <v>37.72062393485291</v>
          </cell>
          <cell r="G593">
            <v>32.421880501971188</v>
          </cell>
          <cell r="H593">
            <v>36.275729715876928</v>
          </cell>
          <cell r="I593">
            <v>33.23202177371811</v>
          </cell>
          <cell r="J593">
            <v>41.785112557108022</v>
          </cell>
          <cell r="K593">
            <v>30.777847413222553</v>
          </cell>
          <cell r="L593">
            <v>33.537526255951228</v>
          </cell>
          <cell r="M593">
            <v>34.789250078521974</v>
          </cell>
          <cell r="N593">
            <v>33.719156659251219</v>
          </cell>
          <cell r="O593">
            <v>33.112777286424858</v>
          </cell>
          <cell r="P593">
            <v>32.060343208166763</v>
          </cell>
          <cell r="Q593">
            <v>33.152891000332694</v>
          </cell>
          <cell r="R593">
            <v>32.864207176263704</v>
          </cell>
          <cell r="S593">
            <v>33.014797797944183</v>
          </cell>
          <cell r="T593">
            <v>33.014797797944183</v>
          </cell>
          <cell r="U593">
            <v>33.014797797944183</v>
          </cell>
          <cell r="V593">
            <v>33.014797797944183</v>
          </cell>
          <cell r="W593">
            <v>33.014797797944183</v>
          </cell>
          <cell r="X593">
            <v>33.014797797944183</v>
          </cell>
          <cell r="Y593">
            <v>33.014797797944183</v>
          </cell>
          <cell r="Z593">
            <v>33.014797797944183</v>
          </cell>
          <cell r="AA593">
            <v>33.014797797944183</v>
          </cell>
          <cell r="AB593">
            <v>33.014797797944183</v>
          </cell>
          <cell r="AC593">
            <v>33.014797797944183</v>
          </cell>
          <cell r="AD593">
            <v>33.014797797944183</v>
          </cell>
          <cell r="AE593">
            <v>33.014797797944183</v>
          </cell>
          <cell r="AF593">
            <v>33.014797797944183</v>
          </cell>
        </row>
        <row r="594">
          <cell r="A594" t="str">
            <v>Maine</v>
          </cell>
          <cell r="B594">
            <v>38.282179834649703</v>
          </cell>
          <cell r="C594">
            <v>39.32367758246405</v>
          </cell>
          <cell r="D594">
            <v>38.503762201100997</v>
          </cell>
          <cell r="E594">
            <v>41.408587041717553</v>
          </cell>
          <cell r="F594">
            <v>33.958498356708411</v>
          </cell>
          <cell r="G594">
            <v>37.360503102919928</v>
          </cell>
          <cell r="H594">
            <v>31.976705559305596</v>
          </cell>
          <cell r="I594">
            <v>33.87938328204492</v>
          </cell>
          <cell r="J594">
            <v>35.852297869424682</v>
          </cell>
          <cell r="K594">
            <v>39.235623778341242</v>
          </cell>
          <cell r="L594">
            <v>32.564222891757119</v>
          </cell>
          <cell r="M594">
            <v>35.163856079845779</v>
          </cell>
          <cell r="N594">
            <v>33.704542133140372</v>
          </cell>
          <cell r="O594">
            <v>33.112777286424858</v>
          </cell>
          <cell r="P594">
            <v>31.742178915929003</v>
          </cell>
          <cell r="Q594">
            <v>33.428503270248491</v>
          </cell>
          <cell r="R594">
            <v>31.797179326134444</v>
          </cell>
          <cell r="S594">
            <v>35.147347842280034</v>
          </cell>
          <cell r="T594">
            <v>35.147347842280034</v>
          </cell>
          <cell r="U594">
            <v>35.147347842280034</v>
          </cell>
          <cell r="V594">
            <v>35.147347842280034</v>
          </cell>
          <cell r="W594">
            <v>35.147347842280034</v>
          </cell>
          <cell r="X594">
            <v>35.147347842280034</v>
          </cell>
          <cell r="Y594">
            <v>35.147347842280034</v>
          </cell>
          <cell r="Z594">
            <v>35.147347842280034</v>
          </cell>
          <cell r="AA594">
            <v>35.147347842280034</v>
          </cell>
          <cell r="AB594">
            <v>35.147347842280034</v>
          </cell>
          <cell r="AC594">
            <v>35.147347842280034</v>
          </cell>
          <cell r="AD594">
            <v>35.147347842280034</v>
          </cell>
          <cell r="AE594">
            <v>35.147347842280034</v>
          </cell>
          <cell r="AF594">
            <v>35.147347842280034</v>
          </cell>
        </row>
        <row r="595">
          <cell r="A595" t="str">
            <v>Maryland</v>
          </cell>
          <cell r="B595">
            <v>39.755355872151107</v>
          </cell>
          <cell r="C595">
            <v>37.916146049374071</v>
          </cell>
          <cell r="D595">
            <v>37.320836304837307</v>
          </cell>
          <cell r="E595">
            <v>35.884161457084211</v>
          </cell>
          <cell r="F595">
            <v>35.080775216238067</v>
          </cell>
          <cell r="G595">
            <v>33.661594011143364</v>
          </cell>
          <cell r="H595">
            <v>34.13586484825079</v>
          </cell>
          <cell r="I595">
            <v>35.410886778841856</v>
          </cell>
          <cell r="J595">
            <v>32.199926806734666</v>
          </cell>
          <cell r="K595">
            <v>33.823477948147584</v>
          </cell>
          <cell r="L595">
            <v>32.404274089889299</v>
          </cell>
          <cell r="M595">
            <v>37.40672437504454</v>
          </cell>
          <cell r="N595">
            <v>32.350476671586726</v>
          </cell>
          <cell r="O595">
            <v>32.850451057969515</v>
          </cell>
          <cell r="P595">
            <v>34.153976667444759</v>
          </cell>
          <cell r="Q595">
            <v>32.740012877923007</v>
          </cell>
          <cell r="R595">
            <v>33.198701729144084</v>
          </cell>
          <cell r="S595">
            <v>34.292997475173067</v>
          </cell>
          <cell r="T595">
            <v>34.292997475173067</v>
          </cell>
          <cell r="U595">
            <v>34.292997475173067</v>
          </cell>
          <cell r="V595">
            <v>34.292997475173067</v>
          </cell>
          <cell r="W595">
            <v>34.292997475173067</v>
          </cell>
          <cell r="X595">
            <v>34.292997475173067</v>
          </cell>
          <cell r="Y595">
            <v>34.292997475173067</v>
          </cell>
          <cell r="Z595">
            <v>34.292997475173067</v>
          </cell>
          <cell r="AA595">
            <v>34.292997475173067</v>
          </cell>
          <cell r="AB595">
            <v>34.292997475173067</v>
          </cell>
          <cell r="AC595">
            <v>34.292997475173067</v>
          </cell>
          <cell r="AD595">
            <v>34.292997475173067</v>
          </cell>
          <cell r="AE595">
            <v>34.292997475173067</v>
          </cell>
          <cell r="AF595">
            <v>34.292997475173067</v>
          </cell>
        </row>
        <row r="596">
          <cell r="A596" t="str">
            <v>Massachusetts</v>
          </cell>
          <cell r="B596">
            <v>40.015134682335493</v>
          </cell>
          <cell r="C596">
            <v>40.025089617348357</v>
          </cell>
          <cell r="D596">
            <v>38.503762201100997</v>
          </cell>
          <cell r="E596">
            <v>39.764112576073259</v>
          </cell>
          <cell r="F596">
            <v>33.725515056380985</v>
          </cell>
          <cell r="G596">
            <v>33.898746613916501</v>
          </cell>
          <cell r="H596">
            <v>32.720834657644978</v>
          </cell>
          <cell r="I596">
            <v>36.200356957571756</v>
          </cell>
          <cell r="J596">
            <v>36.602682377220653</v>
          </cell>
          <cell r="K596">
            <v>41.046372648504445</v>
          </cell>
          <cell r="L596">
            <v>31.397314880074099</v>
          </cell>
          <cell r="M596">
            <v>35.528604028503182</v>
          </cell>
          <cell r="N596">
            <v>34.303737703684675</v>
          </cell>
          <cell r="O596">
            <v>32.284168918641001</v>
          </cell>
          <cell r="P596">
            <v>32.119999012961358</v>
          </cell>
          <cell r="Q596">
            <v>34.971931981776976</v>
          </cell>
          <cell r="R596">
            <v>32.608120492232679</v>
          </cell>
          <cell r="S596">
            <v>32.177010280526517</v>
          </cell>
          <cell r="T596">
            <v>32.177010280526517</v>
          </cell>
          <cell r="U596">
            <v>32.177010280526517</v>
          </cell>
          <cell r="V596">
            <v>32.177010280526517</v>
          </cell>
          <cell r="W596">
            <v>32.177010280526517</v>
          </cell>
          <cell r="X596">
            <v>32.177010280526517</v>
          </cell>
          <cell r="Y596">
            <v>32.177010280526517</v>
          </cell>
          <cell r="Z596">
            <v>32.177010280526517</v>
          </cell>
          <cell r="AA596">
            <v>32.177010280526517</v>
          </cell>
          <cell r="AB596">
            <v>32.177010280526517</v>
          </cell>
          <cell r="AC596">
            <v>32.177010280526517</v>
          </cell>
          <cell r="AD596">
            <v>32.177010280526517</v>
          </cell>
          <cell r="AE596">
            <v>32.177010280526517</v>
          </cell>
          <cell r="AF596">
            <v>32.177010280526517</v>
          </cell>
        </row>
        <row r="597">
          <cell r="A597" t="str">
            <v>Michigan</v>
          </cell>
          <cell r="B597">
            <v>39.540119113425256</v>
          </cell>
          <cell r="C597">
            <v>38.880562013300207</v>
          </cell>
          <cell r="D597">
            <v>37.450775985939011</v>
          </cell>
          <cell r="E597">
            <v>36.239450465112313</v>
          </cell>
          <cell r="F597">
            <v>35.202614387866433</v>
          </cell>
          <cell r="G597">
            <v>34.370001730670317</v>
          </cell>
          <cell r="H597">
            <v>33.583779712403242</v>
          </cell>
          <cell r="I597">
            <v>33.23202177371811</v>
          </cell>
          <cell r="J597">
            <v>33.327595718543293</v>
          </cell>
          <cell r="K597">
            <v>33.156856591714948</v>
          </cell>
          <cell r="L597">
            <v>33.685651014853569</v>
          </cell>
          <cell r="M597">
            <v>33.774672505054937</v>
          </cell>
          <cell r="N597">
            <v>33.562085073590211</v>
          </cell>
          <cell r="O597">
            <v>33.158113966082389</v>
          </cell>
          <cell r="P597">
            <v>32.384229748069096</v>
          </cell>
          <cell r="Q597">
            <v>33.732460080112439</v>
          </cell>
          <cell r="R597">
            <v>33.198701729144084</v>
          </cell>
          <cell r="S597">
            <v>33.619992732547431</v>
          </cell>
          <cell r="T597">
            <v>33.619992732547431</v>
          </cell>
          <cell r="U597">
            <v>33.619992732547431</v>
          </cell>
          <cell r="V597">
            <v>33.619992732547431</v>
          </cell>
          <cell r="W597">
            <v>33.619992732547431</v>
          </cell>
          <cell r="X597">
            <v>33.619992732547431</v>
          </cell>
          <cell r="Y597">
            <v>33.619992732547431</v>
          </cell>
          <cell r="Z597">
            <v>33.619992732547431</v>
          </cell>
          <cell r="AA597">
            <v>33.619992732547431</v>
          </cell>
          <cell r="AB597">
            <v>33.619992732547431</v>
          </cell>
          <cell r="AC597">
            <v>33.619992732547431</v>
          </cell>
          <cell r="AD597">
            <v>33.619992732547431</v>
          </cell>
          <cell r="AE597">
            <v>33.619992732547431</v>
          </cell>
          <cell r="AF597">
            <v>33.619992732547431</v>
          </cell>
        </row>
        <row r="598">
          <cell r="A598" t="str">
            <v>Minnesota</v>
          </cell>
          <cell r="B598">
            <v>39.913196161883391</v>
          </cell>
          <cell r="C598">
            <v>38.534208292509398</v>
          </cell>
          <cell r="D598">
            <v>37.457761990299318</v>
          </cell>
          <cell r="E598">
            <v>36.1648836362669</v>
          </cell>
          <cell r="F598">
            <v>35.398064725686964</v>
          </cell>
          <cell r="G598">
            <v>34.350323738461242</v>
          </cell>
          <cell r="H598">
            <v>33.029719316677884</v>
          </cell>
          <cell r="I598">
            <v>33.792665400767497</v>
          </cell>
          <cell r="J598">
            <v>33.646747297357066</v>
          </cell>
          <cell r="K598">
            <v>33.076615132144354</v>
          </cell>
          <cell r="L598">
            <v>33.399027229006307</v>
          </cell>
          <cell r="M598">
            <v>33.382651207060547</v>
          </cell>
          <cell r="N598">
            <v>33.654195653859482</v>
          </cell>
          <cell r="O598">
            <v>32.573554440667927</v>
          </cell>
          <cell r="P598">
            <v>32.987085472862873</v>
          </cell>
          <cell r="Q598">
            <v>33.5414517974136</v>
          </cell>
          <cell r="R598">
            <v>33.198701729144076</v>
          </cell>
          <cell r="S598">
            <v>33.218551307121622</v>
          </cell>
          <cell r="T598">
            <v>33.218551307121622</v>
          </cell>
          <cell r="U598">
            <v>33.218551307121622</v>
          </cell>
          <cell r="V598">
            <v>33.218551307121622</v>
          </cell>
          <cell r="W598">
            <v>33.218551307121622</v>
          </cell>
          <cell r="X598">
            <v>33.218551307121622</v>
          </cell>
          <cell r="Y598">
            <v>33.218551307121622</v>
          </cell>
          <cell r="Z598">
            <v>33.218551307121622</v>
          </cell>
          <cell r="AA598">
            <v>33.218551307121622</v>
          </cell>
          <cell r="AB598">
            <v>33.218551307121622</v>
          </cell>
          <cell r="AC598">
            <v>33.218551307121622</v>
          </cell>
          <cell r="AD598">
            <v>33.218551307121622</v>
          </cell>
          <cell r="AE598">
            <v>33.218551307121622</v>
          </cell>
          <cell r="AF598">
            <v>33.218551307121622</v>
          </cell>
        </row>
        <row r="599">
          <cell r="A599" t="str">
            <v>Mississippi</v>
          </cell>
          <cell r="B599">
            <v>42.122960218135482</v>
          </cell>
          <cell r="C599">
            <v>38.564729884762997</v>
          </cell>
          <cell r="D599">
            <v>37.017643715599995</v>
          </cell>
          <cell r="E599">
            <v>35.971009881268849</v>
          </cell>
          <cell r="F599">
            <v>38.939015651136678</v>
          </cell>
          <cell r="G599">
            <v>35.107926438510901</v>
          </cell>
          <cell r="H599">
            <v>33.36551349590539</v>
          </cell>
          <cell r="I599">
            <v>33.232021773718124</v>
          </cell>
          <cell r="J599">
            <v>34.737181858304083</v>
          </cell>
          <cell r="K599">
            <v>31.860803598315414</v>
          </cell>
          <cell r="L599">
            <v>35.115798625214069</v>
          </cell>
          <cell r="M599">
            <v>33.308852226673878</v>
          </cell>
          <cell r="N599">
            <v>33.426866137034494</v>
          </cell>
          <cell r="O599">
            <v>33.184385416974081</v>
          </cell>
          <cell r="P599">
            <v>32.064585398729946</v>
          </cell>
          <cell r="Q599">
            <v>32.561408488490926</v>
          </cell>
          <cell r="R599">
            <v>33.756953810871856</v>
          </cell>
          <cell r="S599">
            <v>32.507047787388018</v>
          </cell>
          <cell r="T599">
            <v>32.507047787388018</v>
          </cell>
          <cell r="U599">
            <v>32.507047787388018</v>
          </cell>
          <cell r="V599">
            <v>32.507047787388018</v>
          </cell>
          <cell r="W599">
            <v>32.507047787388018</v>
          </cell>
          <cell r="X599">
            <v>32.507047787388018</v>
          </cell>
          <cell r="Y599">
            <v>32.507047787388018</v>
          </cell>
          <cell r="Z599">
            <v>32.507047787388018</v>
          </cell>
          <cell r="AA599">
            <v>32.507047787388018</v>
          </cell>
          <cell r="AB599">
            <v>32.507047787388018</v>
          </cell>
          <cell r="AC599">
            <v>32.507047787388018</v>
          </cell>
          <cell r="AD599">
            <v>32.507047787388018</v>
          </cell>
          <cell r="AE599">
            <v>32.507047787388018</v>
          </cell>
          <cell r="AF599">
            <v>32.507047787388018</v>
          </cell>
        </row>
        <row r="600">
          <cell r="A600" t="str">
            <v>Missouri</v>
          </cell>
          <cell r="B600">
            <v>40.018423021704926</v>
          </cell>
          <cell r="C600">
            <v>38.416482150959794</v>
          </cell>
          <cell r="D600">
            <v>37.775625188693276</v>
          </cell>
          <cell r="E600">
            <v>35.760092279677565</v>
          </cell>
          <cell r="F600">
            <v>34.826943608678931</v>
          </cell>
          <cell r="G600">
            <v>37.026530678896428</v>
          </cell>
          <cell r="H600">
            <v>32.055916196918183</v>
          </cell>
          <cell r="I600">
            <v>33.44226313386163</v>
          </cell>
          <cell r="J600">
            <v>33.116157797579177</v>
          </cell>
          <cell r="K600">
            <v>32.950521409961993</v>
          </cell>
          <cell r="L600">
            <v>33.957943611408488</v>
          </cell>
          <cell r="M600">
            <v>34.469469610744</v>
          </cell>
          <cell r="N600">
            <v>34.687150018307726</v>
          </cell>
          <cell r="O600">
            <v>32.850451057969515</v>
          </cell>
          <cell r="P600">
            <v>33.582212278108003</v>
          </cell>
          <cell r="Q600">
            <v>32.80265904683197</v>
          </cell>
          <cell r="R600">
            <v>33.198701729144084</v>
          </cell>
          <cell r="S600">
            <v>32.722653075713261</v>
          </cell>
          <cell r="T600">
            <v>32.722653075713261</v>
          </cell>
          <cell r="U600">
            <v>32.722653075713261</v>
          </cell>
          <cell r="V600">
            <v>32.722653075713261</v>
          </cell>
          <cell r="W600">
            <v>32.722653075713261</v>
          </cell>
          <cell r="X600">
            <v>32.722653075713261</v>
          </cell>
          <cell r="Y600">
            <v>32.722653075713261</v>
          </cell>
          <cell r="Z600">
            <v>32.722653075713261</v>
          </cell>
          <cell r="AA600">
            <v>32.722653075713261</v>
          </cell>
          <cell r="AB600">
            <v>32.722653075713261</v>
          </cell>
          <cell r="AC600">
            <v>32.722653075713261</v>
          </cell>
          <cell r="AD600">
            <v>32.722653075713261</v>
          </cell>
          <cell r="AE600">
            <v>32.722653075713261</v>
          </cell>
          <cell r="AF600">
            <v>32.722653075713261</v>
          </cell>
        </row>
        <row r="601">
          <cell r="A601" t="str">
            <v>Montana</v>
          </cell>
          <cell r="B601">
            <v>40.347256958647186</v>
          </cell>
          <cell r="C601">
            <v>38.564729884762997</v>
          </cell>
          <cell r="D601">
            <v>37.017643715599995</v>
          </cell>
          <cell r="E601">
            <v>37.447433092407842</v>
          </cell>
          <cell r="F601">
            <v>34.120830227650835</v>
          </cell>
          <cell r="G601">
            <v>34.48806968392482</v>
          </cell>
          <cell r="H601">
            <v>33.157640908764563</v>
          </cell>
          <cell r="I601">
            <v>34.171924324947959</v>
          </cell>
          <cell r="J601">
            <v>33.591893119748455</v>
          </cell>
          <cell r="K601">
            <v>33.775862136973828</v>
          </cell>
          <cell r="L601">
            <v>33.685651014853569</v>
          </cell>
          <cell r="M601">
            <v>34.414464839876956</v>
          </cell>
          <cell r="N601">
            <v>32.812041777111858</v>
          </cell>
          <cell r="O601">
            <v>32.850451057969515</v>
          </cell>
          <cell r="P601">
            <v>33.162918392594392</v>
          </cell>
          <cell r="Q601">
            <v>34.055582425011337</v>
          </cell>
          <cell r="R601">
            <v>33.694722477644149</v>
          </cell>
          <cell r="S601">
            <v>33.115239175578211</v>
          </cell>
          <cell r="T601">
            <v>33.115239175578211</v>
          </cell>
          <cell r="U601">
            <v>33.115239175578211</v>
          </cell>
          <cell r="V601">
            <v>33.115239175578211</v>
          </cell>
          <cell r="W601">
            <v>33.115239175578211</v>
          </cell>
          <cell r="X601">
            <v>33.115239175578211</v>
          </cell>
          <cell r="Y601">
            <v>33.115239175578211</v>
          </cell>
          <cell r="Z601">
            <v>33.115239175578211</v>
          </cell>
          <cell r="AA601">
            <v>33.115239175578211</v>
          </cell>
          <cell r="AB601">
            <v>33.115239175578211</v>
          </cell>
          <cell r="AC601">
            <v>33.115239175578211</v>
          </cell>
          <cell r="AD601">
            <v>33.115239175578211</v>
          </cell>
          <cell r="AE601">
            <v>33.115239175578211</v>
          </cell>
          <cell r="AF601">
            <v>33.115239175578211</v>
          </cell>
        </row>
        <row r="602">
          <cell r="A602" t="str">
            <v>Nebraska</v>
          </cell>
          <cell r="B602">
            <v>39.502504922579966</v>
          </cell>
          <cell r="C602">
            <v>38.68925798115766</v>
          </cell>
          <cell r="D602">
            <v>37.611840247271111</v>
          </cell>
          <cell r="E602">
            <v>36.139677947643108</v>
          </cell>
          <cell r="F602">
            <v>35.31848671222707</v>
          </cell>
          <cell r="G602">
            <v>34.436947477361016</v>
          </cell>
          <cell r="H602">
            <v>33.171976949257036</v>
          </cell>
          <cell r="I602">
            <v>32.890142805196454</v>
          </cell>
          <cell r="J602">
            <v>33.180508469176957</v>
          </cell>
          <cell r="K602">
            <v>33.253146343199667</v>
          </cell>
          <cell r="L602">
            <v>33.241091673539437</v>
          </cell>
          <cell r="M602">
            <v>33.259364651668875</v>
          </cell>
          <cell r="N602">
            <v>33.890229015799477</v>
          </cell>
          <cell r="O602">
            <v>33.091230725188289</v>
          </cell>
          <cell r="P602">
            <v>32.829194687797838</v>
          </cell>
          <cell r="Q602">
            <v>33.135926520299108</v>
          </cell>
          <cell r="R602">
            <v>32.92589031746904</v>
          </cell>
          <cell r="S602">
            <v>32.897135786764359</v>
          </cell>
          <cell r="T602">
            <v>32.897135786764359</v>
          </cell>
          <cell r="U602">
            <v>32.897135786764359</v>
          </cell>
          <cell r="V602">
            <v>32.897135786764359</v>
          </cell>
          <cell r="W602">
            <v>32.897135786764359</v>
          </cell>
          <cell r="X602">
            <v>32.897135786764359</v>
          </cell>
          <cell r="Y602">
            <v>32.897135786764359</v>
          </cell>
          <cell r="Z602">
            <v>32.897135786764359</v>
          </cell>
          <cell r="AA602">
            <v>32.897135786764359</v>
          </cell>
          <cell r="AB602">
            <v>32.897135786764359</v>
          </cell>
          <cell r="AC602">
            <v>32.897135786764359</v>
          </cell>
          <cell r="AD602">
            <v>32.897135786764359</v>
          </cell>
          <cell r="AE602">
            <v>32.897135786764359</v>
          </cell>
          <cell r="AF602">
            <v>32.897135786764359</v>
          </cell>
        </row>
        <row r="603">
          <cell r="A603" t="str">
            <v>Nevada</v>
          </cell>
          <cell r="B603">
            <v>39.924470468292846</v>
          </cell>
          <cell r="C603">
            <v>37.319448920816278</v>
          </cell>
          <cell r="D603">
            <v>37.017643715599995</v>
          </cell>
          <cell r="E603">
            <v>37.078327289623097</v>
          </cell>
          <cell r="F603">
            <v>37.476945591596163</v>
          </cell>
          <cell r="G603">
            <v>34.074831847534099</v>
          </cell>
          <cell r="H603">
            <v>33.960784995445017</v>
          </cell>
          <cell r="I603">
            <v>32.75267147259089</v>
          </cell>
          <cell r="J603">
            <v>33.503793986013392</v>
          </cell>
          <cell r="K603">
            <v>35.323376000121009</v>
          </cell>
          <cell r="L603">
            <v>32.389019602687341</v>
          </cell>
          <cell r="M603">
            <v>32.581705874586802</v>
          </cell>
          <cell r="N603">
            <v>34.874660842427311</v>
          </cell>
          <cell r="O603">
            <v>34.234934144477442</v>
          </cell>
          <cell r="P603">
            <v>34.420800049135238</v>
          </cell>
          <cell r="Q603">
            <v>34.757219516791778</v>
          </cell>
          <cell r="R603">
            <v>34.562758787519286</v>
          </cell>
          <cell r="S603">
            <v>33.115239175578211</v>
          </cell>
          <cell r="T603">
            <v>33.115239175578211</v>
          </cell>
          <cell r="U603">
            <v>33.115239175578211</v>
          </cell>
          <cell r="V603">
            <v>33.115239175578211</v>
          </cell>
          <cell r="W603">
            <v>33.115239175578211</v>
          </cell>
          <cell r="X603">
            <v>33.115239175578211</v>
          </cell>
          <cell r="Y603">
            <v>33.115239175578211</v>
          </cell>
          <cell r="Z603">
            <v>33.115239175578211</v>
          </cell>
          <cell r="AA603">
            <v>33.115239175578211</v>
          </cell>
          <cell r="AB603">
            <v>33.115239175578211</v>
          </cell>
          <cell r="AC603">
            <v>33.115239175578211</v>
          </cell>
          <cell r="AD603">
            <v>33.115239175578211</v>
          </cell>
          <cell r="AE603">
            <v>33.115239175578211</v>
          </cell>
          <cell r="AF603">
            <v>33.115239175578211</v>
          </cell>
        </row>
        <row r="604">
          <cell r="A604" t="str">
            <v>New Hampshire</v>
          </cell>
          <cell r="B604">
            <v>37.874425752841269</v>
          </cell>
          <cell r="C604">
            <v>40.025089617348357</v>
          </cell>
          <cell r="D604">
            <v>36.99526037008583</v>
          </cell>
          <cell r="E604">
            <v>39.764112576073273</v>
          </cell>
          <cell r="F604">
            <v>34.424464957363291</v>
          </cell>
          <cell r="G604">
            <v>34.887819896488899</v>
          </cell>
          <cell r="H604">
            <v>31.480619493746008</v>
          </cell>
          <cell r="I604">
            <v>34.807772752255651</v>
          </cell>
          <cell r="J604">
            <v>37.540663011965613</v>
          </cell>
          <cell r="K604">
            <v>36.320318097378504</v>
          </cell>
          <cell r="L604">
            <v>33.044714425979528</v>
          </cell>
          <cell r="M604">
            <v>36.075725951489275</v>
          </cell>
          <cell r="N604">
            <v>34.303737703684675</v>
          </cell>
          <cell r="O604">
            <v>33.112777286424858</v>
          </cell>
          <cell r="P604">
            <v>31.070498743427063</v>
          </cell>
          <cell r="Q604">
            <v>34.530952349911708</v>
          </cell>
          <cell r="R604">
            <v>32.608120492232679</v>
          </cell>
          <cell r="S604">
            <v>33.16712280111102</v>
          </cell>
          <cell r="T604">
            <v>33.16712280111102</v>
          </cell>
          <cell r="U604">
            <v>33.16712280111102</v>
          </cell>
          <cell r="V604">
            <v>33.16712280111102</v>
          </cell>
          <cell r="W604">
            <v>33.16712280111102</v>
          </cell>
          <cell r="X604">
            <v>33.16712280111102</v>
          </cell>
          <cell r="Y604">
            <v>33.16712280111102</v>
          </cell>
          <cell r="Z604">
            <v>33.16712280111102</v>
          </cell>
          <cell r="AA604">
            <v>33.16712280111102</v>
          </cell>
          <cell r="AB604">
            <v>33.16712280111102</v>
          </cell>
          <cell r="AC604">
            <v>33.16712280111102</v>
          </cell>
          <cell r="AD604">
            <v>33.16712280111102</v>
          </cell>
          <cell r="AE604">
            <v>33.16712280111102</v>
          </cell>
          <cell r="AF604">
            <v>33.16712280111102</v>
          </cell>
        </row>
        <row r="605">
          <cell r="A605" t="str">
            <v>New Jersey</v>
          </cell>
          <cell r="B605">
            <v>42.122960218135482</v>
          </cell>
          <cell r="C605">
            <v>39.083596953074121</v>
          </cell>
          <cell r="D605">
            <v>37.017643715599995</v>
          </cell>
          <cell r="E605">
            <v>33.182210482450763</v>
          </cell>
          <cell r="F605">
            <v>37.111428076711007</v>
          </cell>
          <cell r="G605">
            <v>34.074831847534092</v>
          </cell>
          <cell r="H605">
            <v>33.36551349590539</v>
          </cell>
          <cell r="I605">
            <v>31.900493159475825</v>
          </cell>
          <cell r="J605">
            <v>35.441974928184486</v>
          </cell>
          <cell r="K605">
            <v>33.156856591714948</v>
          </cell>
          <cell r="L605">
            <v>35.500934991886311</v>
          </cell>
          <cell r="M605">
            <v>36.284627049356693</v>
          </cell>
          <cell r="N605">
            <v>33.56208507359019</v>
          </cell>
          <cell r="O605">
            <v>32.850451057969522</v>
          </cell>
          <cell r="P605">
            <v>62.783794821969359</v>
          </cell>
          <cell r="Q605">
            <v>33.979727810080099</v>
          </cell>
          <cell r="R605">
            <v>32.608120492232679</v>
          </cell>
          <cell r="S605">
            <v>34.652291581987782</v>
          </cell>
          <cell r="T605">
            <v>34.652291581987782</v>
          </cell>
          <cell r="U605">
            <v>34.652291581987782</v>
          </cell>
          <cell r="V605">
            <v>34.652291581987782</v>
          </cell>
          <cell r="W605">
            <v>34.652291581987782</v>
          </cell>
          <cell r="X605">
            <v>34.652291581987782</v>
          </cell>
          <cell r="Y605">
            <v>34.652291581987782</v>
          </cell>
          <cell r="Z605">
            <v>34.652291581987782</v>
          </cell>
          <cell r="AA605">
            <v>34.652291581987782</v>
          </cell>
          <cell r="AB605">
            <v>34.652291581987782</v>
          </cell>
          <cell r="AC605">
            <v>34.652291581987782</v>
          </cell>
          <cell r="AD605">
            <v>34.652291581987782</v>
          </cell>
          <cell r="AE605">
            <v>34.652291581987782</v>
          </cell>
          <cell r="AF605">
            <v>34.652291581987782</v>
          </cell>
        </row>
        <row r="606">
          <cell r="A606" t="str">
            <v>New Mexico</v>
          </cell>
          <cell r="B606">
            <v>40.236902518791993</v>
          </cell>
          <cell r="C606">
            <v>39.205417916938472</v>
          </cell>
          <cell r="D606">
            <v>36.828148347326675</v>
          </cell>
          <cell r="E606">
            <v>36.084580897510307</v>
          </cell>
          <cell r="F606">
            <v>34.508500319195697</v>
          </cell>
          <cell r="G606">
            <v>34.341436903270051</v>
          </cell>
          <cell r="H606">
            <v>33.975374983178831</v>
          </cell>
          <cell r="I606">
            <v>33.202864212822305</v>
          </cell>
          <cell r="J606">
            <v>33.808917815046975</v>
          </cell>
          <cell r="K606">
            <v>33.340459931410379</v>
          </cell>
          <cell r="L606">
            <v>33.779545013665611</v>
          </cell>
          <cell r="M606">
            <v>33.52817057538438</v>
          </cell>
          <cell r="N606">
            <v>33.902382495140571</v>
          </cell>
          <cell r="O606">
            <v>32.338541345311121</v>
          </cell>
          <cell r="P606">
            <v>33.352512149522276</v>
          </cell>
          <cell r="Q606">
            <v>32.71913082162002</v>
          </cell>
          <cell r="R606">
            <v>32.550059211874753</v>
          </cell>
          <cell r="S606">
            <v>33.418338737973947</v>
          </cell>
          <cell r="T606">
            <v>33.418338737973947</v>
          </cell>
          <cell r="U606">
            <v>33.418338737973947</v>
          </cell>
          <cell r="V606">
            <v>33.418338737973947</v>
          </cell>
          <cell r="W606">
            <v>33.418338737973947</v>
          </cell>
          <cell r="X606">
            <v>33.418338737973947</v>
          </cell>
          <cell r="Y606">
            <v>33.418338737973947</v>
          </cell>
          <cell r="Z606">
            <v>33.418338737973947</v>
          </cell>
          <cell r="AA606">
            <v>33.418338737973947</v>
          </cell>
          <cell r="AB606">
            <v>33.418338737973947</v>
          </cell>
          <cell r="AC606">
            <v>33.418338737973947</v>
          </cell>
          <cell r="AD606">
            <v>33.418338737973947</v>
          </cell>
          <cell r="AE606">
            <v>33.418338737973947</v>
          </cell>
          <cell r="AF606">
            <v>33.418338737973947</v>
          </cell>
        </row>
        <row r="607">
          <cell r="A607" t="str">
            <v>New York</v>
          </cell>
          <cell r="B607">
            <v>40.018423021704919</v>
          </cell>
          <cell r="C607">
            <v>37.776051940930067</v>
          </cell>
          <cell r="D607">
            <v>36.259662242506728</v>
          </cell>
          <cell r="E607">
            <v>35.760092279677565</v>
          </cell>
          <cell r="F607">
            <v>36.745910561825895</v>
          </cell>
          <cell r="G607">
            <v>34.074831847534099</v>
          </cell>
          <cell r="H607">
            <v>32.637959440912503</v>
          </cell>
          <cell r="I607">
            <v>33.232021773718117</v>
          </cell>
          <cell r="J607">
            <v>33.3275957185433</v>
          </cell>
          <cell r="K607">
            <v>33.156856591714963</v>
          </cell>
          <cell r="L607">
            <v>33.685651014853583</v>
          </cell>
          <cell r="M607">
            <v>33.479383735137077</v>
          </cell>
          <cell r="N607">
            <v>34.612145688659893</v>
          </cell>
          <cell r="O607">
            <v>34.23493414447745</v>
          </cell>
          <cell r="P607">
            <v>33.162918392594385</v>
          </cell>
          <cell r="Q607">
            <v>32.492151948761432</v>
          </cell>
          <cell r="R607">
            <v>34.714320682894311</v>
          </cell>
          <cell r="S607">
            <v>32.526360025780789</v>
          </cell>
          <cell r="T607">
            <v>32.526360025780789</v>
          </cell>
          <cell r="U607">
            <v>32.526360025780789</v>
          </cell>
          <cell r="V607">
            <v>32.526360025780789</v>
          </cell>
          <cell r="W607">
            <v>32.526360025780789</v>
          </cell>
          <cell r="X607">
            <v>32.526360025780789</v>
          </cell>
          <cell r="Y607">
            <v>32.526360025780789</v>
          </cell>
          <cell r="Z607">
            <v>32.526360025780789</v>
          </cell>
          <cell r="AA607">
            <v>32.526360025780789</v>
          </cell>
          <cell r="AB607">
            <v>32.526360025780789</v>
          </cell>
          <cell r="AC607">
            <v>32.526360025780789</v>
          </cell>
          <cell r="AD607">
            <v>32.526360025780789</v>
          </cell>
          <cell r="AE607">
            <v>32.526360025780789</v>
          </cell>
          <cell r="AF607">
            <v>32.526360025780789</v>
          </cell>
        </row>
        <row r="608">
          <cell r="A608" t="str">
            <v>North Carolina</v>
          </cell>
          <cell r="B608">
            <v>40.465637175946412</v>
          </cell>
          <cell r="C608">
            <v>39.083596953074135</v>
          </cell>
          <cell r="D608">
            <v>37.017643715600009</v>
          </cell>
          <cell r="E608">
            <v>38.103621186247395</v>
          </cell>
          <cell r="F608">
            <v>35.283840502285344</v>
          </cell>
          <cell r="G608">
            <v>34.074831847534078</v>
          </cell>
          <cell r="H608">
            <v>35.548175660884041</v>
          </cell>
          <cell r="I608">
            <v>33.232021773718117</v>
          </cell>
          <cell r="J608">
            <v>33.327595718543307</v>
          </cell>
          <cell r="K608">
            <v>34.240116295917986</v>
          </cell>
          <cell r="L608">
            <v>36.953162173512489</v>
          </cell>
          <cell r="M608">
            <v>33.479383735137084</v>
          </cell>
          <cell r="N608">
            <v>33.562085073590197</v>
          </cell>
          <cell r="O608">
            <v>34.234934144477442</v>
          </cell>
          <cell r="P608">
            <v>32.07275429025897</v>
          </cell>
          <cell r="Q608">
            <v>34.494105607374102</v>
          </cell>
          <cell r="R608">
            <v>33.198701729144076</v>
          </cell>
          <cell r="S608">
            <v>33.115239175578211</v>
          </cell>
          <cell r="T608">
            <v>33.115239175578211</v>
          </cell>
          <cell r="U608">
            <v>33.115239175578211</v>
          </cell>
          <cell r="V608">
            <v>33.115239175578211</v>
          </cell>
          <cell r="W608">
            <v>33.115239175578211</v>
          </cell>
          <cell r="X608">
            <v>33.115239175578211</v>
          </cell>
          <cell r="Y608">
            <v>33.115239175578211</v>
          </cell>
          <cell r="Z608">
            <v>33.115239175578211</v>
          </cell>
          <cell r="AA608">
            <v>33.115239175578211</v>
          </cell>
          <cell r="AB608">
            <v>33.115239175578211</v>
          </cell>
          <cell r="AC608">
            <v>33.115239175578211</v>
          </cell>
          <cell r="AD608">
            <v>33.115239175578211</v>
          </cell>
          <cell r="AE608">
            <v>33.115239175578211</v>
          </cell>
          <cell r="AF608">
            <v>33.115239175578211</v>
          </cell>
        </row>
        <row r="609">
          <cell r="A609" t="str">
            <v>North Dakota</v>
          </cell>
          <cell r="B609">
            <v>39.755355872151092</v>
          </cell>
          <cell r="C609">
            <v>38.149636230114083</v>
          </cell>
          <cell r="D609">
            <v>35.968130906701624</v>
          </cell>
          <cell r="E609">
            <v>36.111621615663047</v>
          </cell>
          <cell r="F609">
            <v>34.826943608678938</v>
          </cell>
          <cell r="G609">
            <v>33.248356174752644</v>
          </cell>
          <cell r="H609">
            <v>34.820621605891155</v>
          </cell>
          <cell r="I609">
            <v>32.233375313036404</v>
          </cell>
          <cell r="J609">
            <v>35.139920755378597</v>
          </cell>
          <cell r="K609">
            <v>32.867987337260807</v>
          </cell>
          <cell r="L609">
            <v>34.074640438503437</v>
          </cell>
          <cell r="M609">
            <v>33.910959629632409</v>
          </cell>
          <cell r="N609">
            <v>33.816131996590933</v>
          </cell>
          <cell r="O609">
            <v>32.217544504137329</v>
          </cell>
          <cell r="P609">
            <v>33.582212278108003</v>
          </cell>
          <cell r="Q609">
            <v>33.617059242648551</v>
          </cell>
          <cell r="R609">
            <v>33.198701729144076</v>
          </cell>
          <cell r="S609">
            <v>33.115239175578211</v>
          </cell>
          <cell r="T609">
            <v>33.115239175578211</v>
          </cell>
          <cell r="U609">
            <v>33.115239175578211</v>
          </cell>
          <cell r="V609">
            <v>33.115239175578211</v>
          </cell>
          <cell r="W609">
            <v>33.115239175578211</v>
          </cell>
          <cell r="X609">
            <v>33.115239175578211</v>
          </cell>
          <cell r="Y609">
            <v>33.115239175578211</v>
          </cell>
          <cell r="Z609">
            <v>33.115239175578211</v>
          </cell>
          <cell r="AA609">
            <v>33.115239175578211</v>
          </cell>
          <cell r="AB609">
            <v>33.115239175578211</v>
          </cell>
          <cell r="AC609">
            <v>33.115239175578211</v>
          </cell>
          <cell r="AD609">
            <v>33.115239175578211</v>
          </cell>
          <cell r="AE609">
            <v>33.115239175578211</v>
          </cell>
          <cell r="AF609">
            <v>33.115239175578211</v>
          </cell>
        </row>
        <row r="610">
          <cell r="A610" t="str">
            <v>Ohio</v>
          </cell>
          <cell r="B610">
            <v>39.529869743962109</v>
          </cell>
          <cell r="C610">
            <v>38.586809334478346</v>
          </cell>
          <cell r="D610">
            <v>37.219772108424863</v>
          </cell>
          <cell r="E610">
            <v>36.692053775080922</v>
          </cell>
          <cell r="F610">
            <v>34.903093090946669</v>
          </cell>
          <cell r="G610">
            <v>34.350323738461235</v>
          </cell>
          <cell r="H610">
            <v>33.179755013779534</v>
          </cell>
          <cell r="I610">
            <v>33.93107429619532</v>
          </cell>
          <cell r="J610">
            <v>33.931704064155063</v>
          </cell>
          <cell r="K610">
            <v>33.036494402359061</v>
          </cell>
          <cell r="L610">
            <v>33.3990272290063</v>
          </cell>
          <cell r="M610">
            <v>33.479383735137084</v>
          </cell>
          <cell r="N610">
            <v>33.853768577776229</v>
          </cell>
          <cell r="O610">
            <v>32.850451057969515</v>
          </cell>
          <cell r="P610">
            <v>32.617836341426681</v>
          </cell>
          <cell r="Q610">
            <v>33.178536060285786</v>
          </cell>
          <cell r="R610">
            <v>33.804949310644169</v>
          </cell>
          <cell r="S610">
            <v>32.956082648605943</v>
          </cell>
          <cell r="T610">
            <v>32.956082648605943</v>
          </cell>
          <cell r="U610">
            <v>32.956082648605943</v>
          </cell>
          <cell r="V610">
            <v>32.956082648605943</v>
          </cell>
          <cell r="W610">
            <v>32.956082648605943</v>
          </cell>
          <cell r="X610">
            <v>32.956082648605943</v>
          </cell>
          <cell r="Y610">
            <v>32.956082648605943</v>
          </cell>
          <cell r="Z610">
            <v>32.956082648605943</v>
          </cell>
          <cell r="AA610">
            <v>32.956082648605943</v>
          </cell>
          <cell r="AB610">
            <v>32.956082648605943</v>
          </cell>
          <cell r="AC610">
            <v>32.956082648605943</v>
          </cell>
          <cell r="AD610">
            <v>32.956082648605943</v>
          </cell>
          <cell r="AE610">
            <v>32.956082648605943</v>
          </cell>
          <cell r="AF610">
            <v>32.956082648605943</v>
          </cell>
        </row>
        <row r="611">
          <cell r="A611" t="str">
            <v>Oklahoma</v>
          </cell>
          <cell r="B611">
            <v>39.463958414183793</v>
          </cell>
          <cell r="C611">
            <v>39.012842352849873</v>
          </cell>
          <cell r="D611">
            <v>36.819909418271322</v>
          </cell>
          <cell r="E611">
            <v>36.463150951648515</v>
          </cell>
          <cell r="F611">
            <v>34.86208952357174</v>
          </cell>
          <cell r="G611">
            <v>34.183578646584294</v>
          </cell>
          <cell r="H611">
            <v>32.997353612655971</v>
          </cell>
          <cell r="I611">
            <v>33.381818742820379</v>
          </cell>
          <cell r="J611">
            <v>32.987350788256222</v>
          </cell>
          <cell r="K611">
            <v>33.365677739513131</v>
          </cell>
          <cell r="L611">
            <v>33.43526701802147</v>
          </cell>
          <cell r="M611">
            <v>33.749768632893193</v>
          </cell>
          <cell r="N611">
            <v>34.281304672952999</v>
          </cell>
          <cell r="O611">
            <v>33.257651965765973</v>
          </cell>
          <cell r="P611">
            <v>32.86009503083455</v>
          </cell>
          <cell r="Q611">
            <v>33.252652654487939</v>
          </cell>
          <cell r="R611">
            <v>32.907702890024041</v>
          </cell>
          <cell r="S611">
            <v>33.447002076872536</v>
          </cell>
          <cell r="T611">
            <v>33.447002076872536</v>
          </cell>
          <cell r="U611">
            <v>33.447002076872536</v>
          </cell>
          <cell r="V611">
            <v>33.447002076872536</v>
          </cell>
          <cell r="W611">
            <v>33.447002076872536</v>
          </cell>
          <cell r="X611">
            <v>33.447002076872536</v>
          </cell>
          <cell r="Y611">
            <v>33.447002076872536</v>
          </cell>
          <cell r="Z611">
            <v>33.447002076872536</v>
          </cell>
          <cell r="AA611">
            <v>33.447002076872536</v>
          </cell>
          <cell r="AB611">
            <v>33.447002076872536</v>
          </cell>
          <cell r="AC611">
            <v>33.447002076872536</v>
          </cell>
          <cell r="AD611">
            <v>33.447002076872536</v>
          </cell>
          <cell r="AE611">
            <v>33.447002076872536</v>
          </cell>
          <cell r="AF611">
            <v>33.447002076872536</v>
          </cell>
        </row>
        <row r="612">
          <cell r="A612" t="str">
            <v>Oregon</v>
          </cell>
          <cell r="B612">
            <v>40.149956596481836</v>
          </cell>
          <cell r="C612">
            <v>38.772276712087454</v>
          </cell>
          <cell r="D612">
            <v>37.285166588456448</v>
          </cell>
          <cell r="E612">
            <v>35.724939346079019</v>
          </cell>
          <cell r="F612">
            <v>36.19763428949819</v>
          </cell>
          <cell r="G612">
            <v>33.248356174752644</v>
          </cell>
          <cell r="H612">
            <v>34.456844578394708</v>
          </cell>
          <cell r="I612">
            <v>33.232021773718117</v>
          </cell>
          <cell r="J612">
            <v>34.737181858304091</v>
          </cell>
          <cell r="K612">
            <v>32.823545913498634</v>
          </cell>
          <cell r="L612">
            <v>35.319406594183029</v>
          </cell>
          <cell r="M612">
            <v>32.969339496188056</v>
          </cell>
          <cell r="N612">
            <v>34.087115381125038</v>
          </cell>
          <cell r="O612">
            <v>32.347002662875717</v>
          </cell>
          <cell r="P612">
            <v>31.239099388473072</v>
          </cell>
          <cell r="Q612">
            <v>33.507428447057869</v>
          </cell>
          <cell r="R612">
            <v>34.457831321490424</v>
          </cell>
          <cell r="S612">
            <v>31.479463759474257</v>
          </cell>
          <cell r="T612">
            <v>31.479463759474257</v>
          </cell>
          <cell r="U612">
            <v>31.479463759474257</v>
          </cell>
          <cell r="V612">
            <v>31.479463759474257</v>
          </cell>
          <cell r="W612">
            <v>31.479463759474257</v>
          </cell>
          <cell r="X612">
            <v>31.479463759474257</v>
          </cell>
          <cell r="Y612">
            <v>31.479463759474257</v>
          </cell>
          <cell r="Z612">
            <v>31.479463759474257</v>
          </cell>
          <cell r="AA612">
            <v>31.479463759474257</v>
          </cell>
          <cell r="AB612">
            <v>31.479463759474257</v>
          </cell>
          <cell r="AC612">
            <v>31.479463759474257</v>
          </cell>
          <cell r="AD612">
            <v>31.479463759474257</v>
          </cell>
          <cell r="AE612">
            <v>31.479463759474257</v>
          </cell>
          <cell r="AF612">
            <v>31.479463759474257</v>
          </cell>
        </row>
        <row r="613">
          <cell r="A613" t="str">
            <v>Pennsylvania</v>
          </cell>
          <cell r="B613">
            <v>39.459405328903038</v>
          </cell>
          <cell r="C613">
            <v>38.80890262279177</v>
          </cell>
          <cell r="D613">
            <v>37.301886768009986</v>
          </cell>
          <cell r="E613">
            <v>36.17365620436636</v>
          </cell>
          <cell r="F613">
            <v>35.771197188798872</v>
          </cell>
          <cell r="G613">
            <v>33.816558199789895</v>
          </cell>
          <cell r="H613">
            <v>33.656535117902528</v>
          </cell>
          <cell r="I613">
            <v>33.232021773718117</v>
          </cell>
          <cell r="J613">
            <v>33.327595718543293</v>
          </cell>
          <cell r="K613">
            <v>33.156856591714948</v>
          </cell>
          <cell r="L613">
            <v>33.685651014853569</v>
          </cell>
          <cell r="M613">
            <v>33.479383735137077</v>
          </cell>
          <cell r="N613">
            <v>33.562085073590204</v>
          </cell>
          <cell r="O613">
            <v>32.850451057969522</v>
          </cell>
          <cell r="P613">
            <v>33.162918392594392</v>
          </cell>
          <cell r="Q613">
            <v>33.178536060285786</v>
          </cell>
          <cell r="R613">
            <v>33.198701729144084</v>
          </cell>
          <cell r="S613">
            <v>33.115239175578203</v>
          </cell>
          <cell r="T613">
            <v>33.115239175578203</v>
          </cell>
          <cell r="U613">
            <v>33.115239175578203</v>
          </cell>
          <cell r="V613">
            <v>33.115239175578203</v>
          </cell>
          <cell r="W613">
            <v>33.115239175578203</v>
          </cell>
          <cell r="X613">
            <v>33.115239175578203</v>
          </cell>
          <cell r="Y613">
            <v>33.115239175578203</v>
          </cell>
          <cell r="Z613">
            <v>33.115239175578203</v>
          </cell>
          <cell r="AA613">
            <v>33.115239175578203</v>
          </cell>
          <cell r="AB613">
            <v>33.115239175578203</v>
          </cell>
          <cell r="AC613">
            <v>33.115239175578203</v>
          </cell>
          <cell r="AD613">
            <v>33.115239175578203</v>
          </cell>
          <cell r="AE613">
            <v>33.115239175578203</v>
          </cell>
          <cell r="AF613">
            <v>33.115239175578203</v>
          </cell>
        </row>
        <row r="614">
          <cell r="A614" t="str">
            <v>Rhode Island</v>
          </cell>
          <cell r="B614">
            <v>37.874425752841283</v>
          </cell>
          <cell r="C614">
            <v>40.025089617348371</v>
          </cell>
          <cell r="D614">
            <v>36.99526037008583</v>
          </cell>
          <cell r="E614">
            <v>39.764112576073281</v>
          </cell>
          <cell r="F614">
            <v>35.356398158673052</v>
          </cell>
          <cell r="G614">
            <v>32.415136690057878</v>
          </cell>
          <cell r="H614">
            <v>32.720834657644986</v>
          </cell>
          <cell r="I614">
            <v>35.921840116508541</v>
          </cell>
          <cell r="J614">
            <v>33.788740472985765</v>
          </cell>
          <cell r="K614">
            <v>38.194443177997407</v>
          </cell>
          <cell r="L614">
            <v>35.447172097091588</v>
          </cell>
          <cell r="M614">
            <v>33.12126756736437</v>
          </cell>
          <cell r="N614">
            <v>33.305078419444193</v>
          </cell>
          <cell r="O614">
            <v>33.112777286424851</v>
          </cell>
          <cell r="P614">
            <v>31.74217891592901</v>
          </cell>
          <cell r="Q614">
            <v>32.641039641917644</v>
          </cell>
          <cell r="R614">
            <v>33.419061658330932</v>
          </cell>
          <cell r="S614">
            <v>34.355257825812437</v>
          </cell>
          <cell r="T614">
            <v>34.355257825812437</v>
          </cell>
          <cell r="U614">
            <v>34.355257825812437</v>
          </cell>
          <cell r="V614">
            <v>34.355257825812437</v>
          </cell>
          <cell r="W614">
            <v>34.355257825812437</v>
          </cell>
          <cell r="X614">
            <v>34.355257825812437</v>
          </cell>
          <cell r="Y614">
            <v>34.355257825812437</v>
          </cell>
          <cell r="Z614">
            <v>34.355257825812437</v>
          </cell>
          <cell r="AA614">
            <v>34.355257825812437</v>
          </cell>
          <cell r="AB614">
            <v>34.355257825812437</v>
          </cell>
          <cell r="AC614">
            <v>34.355257825812437</v>
          </cell>
          <cell r="AD614">
            <v>34.355257825812437</v>
          </cell>
          <cell r="AE614">
            <v>34.355257825812437</v>
          </cell>
          <cell r="AF614">
            <v>34.355257825812437</v>
          </cell>
        </row>
        <row r="615">
          <cell r="A615" t="str">
            <v>South Carolina</v>
          </cell>
          <cell r="B615">
            <v>40.590980935439717</v>
          </cell>
          <cell r="C615">
            <v>39.37545967899915</v>
          </cell>
          <cell r="D615">
            <v>37.320836304837307</v>
          </cell>
          <cell r="E615">
            <v>36.81468028763399</v>
          </cell>
          <cell r="F615">
            <v>36.745910561825895</v>
          </cell>
          <cell r="G615">
            <v>35.845851146351492</v>
          </cell>
          <cell r="H615">
            <v>32.819847954660723</v>
          </cell>
          <cell r="I615">
            <v>34.563550387960404</v>
          </cell>
          <cell r="J615">
            <v>32.723487372931537</v>
          </cell>
          <cell r="K615">
            <v>33.879029727850302</v>
          </cell>
          <cell r="L615">
            <v>33.685651014853583</v>
          </cell>
          <cell r="M615">
            <v>36.284627049356693</v>
          </cell>
          <cell r="N615">
            <v>33.56208507359019</v>
          </cell>
          <cell r="O615">
            <v>32.850451057969522</v>
          </cell>
          <cell r="P615">
            <v>40.156893569677734</v>
          </cell>
          <cell r="Q615">
            <v>34.019100991496643</v>
          </cell>
          <cell r="R615">
            <v>34.554379290868454</v>
          </cell>
          <cell r="S615">
            <v>32.392252132827501</v>
          </cell>
          <cell r="T615">
            <v>32.392252132827501</v>
          </cell>
          <cell r="U615">
            <v>32.392252132827501</v>
          </cell>
          <cell r="V615">
            <v>32.392252132827501</v>
          </cell>
          <cell r="W615">
            <v>32.392252132827501</v>
          </cell>
          <cell r="X615">
            <v>32.392252132827501</v>
          </cell>
          <cell r="Y615">
            <v>32.392252132827501</v>
          </cell>
          <cell r="Z615">
            <v>32.392252132827501</v>
          </cell>
          <cell r="AA615">
            <v>32.392252132827501</v>
          </cell>
          <cell r="AB615">
            <v>32.392252132827501</v>
          </cell>
          <cell r="AC615">
            <v>32.392252132827501</v>
          </cell>
          <cell r="AD615">
            <v>32.392252132827501</v>
          </cell>
          <cell r="AE615">
            <v>32.392252132827501</v>
          </cell>
          <cell r="AF615">
            <v>32.392252132827501</v>
          </cell>
        </row>
        <row r="616">
          <cell r="A616" t="str">
            <v>South Dakota</v>
          </cell>
          <cell r="B616">
            <v>39.755355872151107</v>
          </cell>
          <cell r="C616">
            <v>38.208008775299085</v>
          </cell>
          <cell r="D616">
            <v>37.488114974761338</v>
          </cell>
          <cell r="E616">
            <v>35.739414083443123</v>
          </cell>
          <cell r="F616">
            <v>35.914043114156286</v>
          </cell>
          <cell r="G616">
            <v>33.467129146959493</v>
          </cell>
          <cell r="H616">
            <v>33.497796051358634</v>
          </cell>
          <cell r="I616">
            <v>33.356852581303329</v>
          </cell>
          <cell r="J616">
            <v>33.46400728045564</v>
          </cell>
          <cell r="K616">
            <v>32.454201648448119</v>
          </cell>
          <cell r="L616">
            <v>33.836924679606298</v>
          </cell>
          <cell r="M616">
            <v>33.115066421602066</v>
          </cell>
          <cell r="N616">
            <v>33.774935198266498</v>
          </cell>
          <cell r="O616">
            <v>32.499949010752324</v>
          </cell>
          <cell r="P616">
            <v>33.453628819883825</v>
          </cell>
          <cell r="Q616">
            <v>32.849643673513704</v>
          </cell>
          <cell r="R616">
            <v>33.198701729144069</v>
          </cell>
          <cell r="S616">
            <v>32.834820532817531</v>
          </cell>
          <cell r="T616">
            <v>32.834820532817531</v>
          </cell>
          <cell r="U616">
            <v>32.834820532817531</v>
          </cell>
          <cell r="V616">
            <v>32.834820532817531</v>
          </cell>
          <cell r="W616">
            <v>32.834820532817531</v>
          </cell>
          <cell r="X616">
            <v>32.834820532817531</v>
          </cell>
          <cell r="Y616">
            <v>32.834820532817531</v>
          </cell>
          <cell r="Z616">
            <v>32.834820532817531</v>
          </cell>
          <cell r="AA616">
            <v>32.834820532817531</v>
          </cell>
          <cell r="AB616">
            <v>32.834820532817531</v>
          </cell>
          <cell r="AC616">
            <v>32.834820532817531</v>
          </cell>
          <cell r="AD616">
            <v>32.834820532817531</v>
          </cell>
          <cell r="AE616">
            <v>32.834820532817531</v>
          </cell>
          <cell r="AF616">
            <v>32.834820532817531</v>
          </cell>
        </row>
        <row r="617">
          <cell r="A617" t="str">
            <v>Tennessee</v>
          </cell>
          <cell r="B617">
            <v>39.755355872151092</v>
          </cell>
          <cell r="C617">
            <v>40.640198158007536</v>
          </cell>
          <cell r="D617">
            <v>35.198488180176135</v>
          </cell>
          <cell r="E617">
            <v>36.463150951648515</v>
          </cell>
          <cell r="F617">
            <v>35.283840502285365</v>
          </cell>
          <cell r="G617">
            <v>33.768729746503936</v>
          </cell>
          <cell r="H617">
            <v>34.893377011390442</v>
          </cell>
          <cell r="I617">
            <v>33.232021773718117</v>
          </cell>
          <cell r="J617">
            <v>33.327595718543307</v>
          </cell>
          <cell r="K617">
            <v>34.601202863985662</v>
          </cell>
          <cell r="L617">
            <v>36.408576980402678</v>
          </cell>
          <cell r="M617">
            <v>33.479383735137084</v>
          </cell>
          <cell r="N617">
            <v>33.562085073590197</v>
          </cell>
          <cell r="O617">
            <v>38.388383404001232</v>
          </cell>
          <cell r="P617">
            <v>33.162918392594385</v>
          </cell>
          <cell r="Q617">
            <v>33.178536060285779</v>
          </cell>
          <cell r="R617">
            <v>31.152616141581273</v>
          </cell>
          <cell r="S617">
            <v>33.956495103860242</v>
          </cell>
          <cell r="T617">
            <v>33.956495103860242</v>
          </cell>
          <cell r="U617">
            <v>33.956495103860242</v>
          </cell>
          <cell r="V617">
            <v>33.956495103860242</v>
          </cell>
          <cell r="W617">
            <v>33.956495103860242</v>
          </cell>
          <cell r="X617">
            <v>33.956495103860242</v>
          </cell>
          <cell r="Y617">
            <v>33.956495103860242</v>
          </cell>
          <cell r="Z617">
            <v>33.956495103860242</v>
          </cell>
          <cell r="AA617">
            <v>33.956495103860242</v>
          </cell>
          <cell r="AB617">
            <v>33.956495103860242</v>
          </cell>
          <cell r="AC617">
            <v>33.956495103860242</v>
          </cell>
          <cell r="AD617">
            <v>33.956495103860242</v>
          </cell>
          <cell r="AE617">
            <v>33.956495103860242</v>
          </cell>
          <cell r="AF617">
            <v>33.956495103860242</v>
          </cell>
        </row>
        <row r="618">
          <cell r="A618" t="str">
            <v>Texas</v>
          </cell>
          <cell r="B618">
            <v>39.687710033694408</v>
          </cell>
          <cell r="C618">
            <v>38.622629214274106</v>
          </cell>
          <cell r="D618">
            <v>37.330571846693545</v>
          </cell>
          <cell r="E618">
            <v>35.9029903837367</v>
          </cell>
          <cell r="F618">
            <v>34.92233966338798</v>
          </cell>
          <cell r="G618">
            <v>34.682534548108698</v>
          </cell>
          <cell r="H618">
            <v>32.950558711688899</v>
          </cell>
          <cell r="I618">
            <v>33.232021773718124</v>
          </cell>
          <cell r="J618">
            <v>32.987520740768851</v>
          </cell>
          <cell r="K618">
            <v>33.363191773467911</v>
          </cell>
          <cell r="L618">
            <v>33.348794194373276</v>
          </cell>
          <cell r="M618">
            <v>33.422133871581586</v>
          </cell>
          <cell r="N618">
            <v>33.652920766935331</v>
          </cell>
          <cell r="O618">
            <v>33.374876469525546</v>
          </cell>
          <cell r="P618">
            <v>32.761278986470806</v>
          </cell>
          <cell r="Q618">
            <v>33.430042003111502</v>
          </cell>
          <cell r="R618">
            <v>32.807641002510913</v>
          </cell>
          <cell r="S618">
            <v>33.217475139084705</v>
          </cell>
          <cell r="T618">
            <v>33.217475139084705</v>
          </cell>
          <cell r="U618">
            <v>33.217475139084705</v>
          </cell>
          <cell r="V618">
            <v>33.217475139084705</v>
          </cell>
          <cell r="W618">
            <v>33.217475139084705</v>
          </cell>
          <cell r="X618">
            <v>33.217475139084705</v>
          </cell>
          <cell r="Y618">
            <v>33.217475139084705</v>
          </cell>
          <cell r="Z618">
            <v>33.217475139084705</v>
          </cell>
          <cell r="AA618">
            <v>33.217475139084705</v>
          </cell>
          <cell r="AB618">
            <v>33.217475139084705</v>
          </cell>
          <cell r="AC618">
            <v>33.217475139084705</v>
          </cell>
          <cell r="AD618">
            <v>33.217475139084705</v>
          </cell>
          <cell r="AE618">
            <v>33.217475139084705</v>
          </cell>
          <cell r="AF618">
            <v>33.217475139084705</v>
          </cell>
        </row>
        <row r="619">
          <cell r="A619" t="str">
            <v>Utah</v>
          </cell>
          <cell r="B619">
            <v>40.56380613663358</v>
          </cell>
          <cell r="C619">
            <v>38.095753880712536</v>
          </cell>
          <cell r="D619">
            <v>37.199559269142377</v>
          </cell>
          <cell r="E619">
            <v>35.784335682159323</v>
          </cell>
          <cell r="F619">
            <v>36.339779989731291</v>
          </cell>
          <cell r="G619">
            <v>33.041737256557269</v>
          </cell>
          <cell r="H619">
            <v>33.36551349590539</v>
          </cell>
          <cell r="I619">
            <v>34.030938942263482</v>
          </cell>
          <cell r="J619">
            <v>34.384785323363893</v>
          </cell>
          <cell r="K619">
            <v>33.156856591714963</v>
          </cell>
          <cell r="L619">
            <v>34.463629862153311</v>
          </cell>
          <cell r="M619">
            <v>33.479383735137077</v>
          </cell>
          <cell r="N619">
            <v>35.662206303729576</v>
          </cell>
          <cell r="O619">
            <v>31.927462333630896</v>
          </cell>
          <cell r="P619">
            <v>32.384229748069103</v>
          </cell>
          <cell r="Q619">
            <v>33.178536060285786</v>
          </cell>
          <cell r="R619">
            <v>34.108073101394211</v>
          </cell>
          <cell r="S619">
            <v>33.115239175578211</v>
          </cell>
          <cell r="T619">
            <v>33.115239175578211</v>
          </cell>
          <cell r="U619">
            <v>33.115239175578211</v>
          </cell>
          <cell r="V619">
            <v>33.115239175578211</v>
          </cell>
          <cell r="W619">
            <v>33.115239175578211</v>
          </cell>
          <cell r="X619">
            <v>33.115239175578211</v>
          </cell>
          <cell r="Y619">
            <v>33.115239175578211</v>
          </cell>
          <cell r="Z619">
            <v>33.115239175578211</v>
          </cell>
          <cell r="AA619">
            <v>33.115239175578211</v>
          </cell>
          <cell r="AB619">
            <v>33.115239175578211</v>
          </cell>
          <cell r="AC619">
            <v>33.115239175578211</v>
          </cell>
          <cell r="AD619">
            <v>33.115239175578211</v>
          </cell>
          <cell r="AE619">
            <v>33.115239175578211</v>
          </cell>
          <cell r="AF619">
            <v>33.115239175578211</v>
          </cell>
        </row>
        <row r="620">
          <cell r="A620" t="str">
            <v>Vermont</v>
          </cell>
          <cell r="B620">
            <v>40.015134682335493</v>
          </cell>
          <cell r="C620">
            <v>40.025089617348357</v>
          </cell>
          <cell r="D620">
            <v>36.99526037008583</v>
          </cell>
          <cell r="E620">
            <v>42.504903352147068</v>
          </cell>
          <cell r="F620">
            <v>33.725515056380985</v>
          </cell>
          <cell r="G620">
            <v>33.898746613916501</v>
          </cell>
          <cell r="H620">
            <v>32.100727075695495</v>
          </cell>
          <cell r="I620">
            <v>34.012010349217881</v>
          </cell>
          <cell r="J620">
            <v>36.977874631118645</v>
          </cell>
          <cell r="K620">
            <v>39.235623778341242</v>
          </cell>
          <cell r="L620">
            <v>30.942563963756466</v>
          </cell>
          <cell r="M620">
            <v>35.372283479078583</v>
          </cell>
          <cell r="N620">
            <v>34.303737703684668</v>
          </cell>
          <cell r="O620">
            <v>32.387744964613972</v>
          </cell>
          <cell r="P620">
            <v>33.085539260932897</v>
          </cell>
          <cell r="Q620">
            <v>32.641039641917637</v>
          </cell>
          <cell r="R620">
            <v>31.999914617659012</v>
          </cell>
          <cell r="S620">
            <v>33.16712280111102</v>
          </cell>
          <cell r="T620">
            <v>33.16712280111102</v>
          </cell>
          <cell r="U620">
            <v>33.16712280111102</v>
          </cell>
          <cell r="V620">
            <v>33.16712280111102</v>
          </cell>
          <cell r="W620">
            <v>33.16712280111102</v>
          </cell>
          <cell r="X620">
            <v>33.16712280111102</v>
          </cell>
          <cell r="Y620">
            <v>33.16712280111102</v>
          </cell>
          <cell r="Z620">
            <v>33.16712280111102</v>
          </cell>
          <cell r="AA620">
            <v>33.16712280111102</v>
          </cell>
          <cell r="AB620">
            <v>33.16712280111102</v>
          </cell>
          <cell r="AC620">
            <v>33.16712280111102</v>
          </cell>
          <cell r="AD620">
            <v>33.16712280111102</v>
          </cell>
          <cell r="AE620">
            <v>33.16712280111102</v>
          </cell>
          <cell r="AF620">
            <v>33.16712280111102</v>
          </cell>
        </row>
        <row r="621">
          <cell r="A621" t="str">
            <v>Virginia</v>
          </cell>
          <cell r="B621">
            <v>41.333758769474017</v>
          </cell>
          <cell r="C621">
            <v>38.416482150959808</v>
          </cell>
          <cell r="D621">
            <v>37.017643715600002</v>
          </cell>
          <cell r="E621">
            <v>35.847974613673934</v>
          </cell>
          <cell r="F621">
            <v>35.283840502285358</v>
          </cell>
          <cell r="G621">
            <v>34.074831847534092</v>
          </cell>
          <cell r="H621">
            <v>33.989131257327848</v>
          </cell>
          <cell r="I621">
            <v>33.897786080839268</v>
          </cell>
          <cell r="J621">
            <v>33.3275957185433</v>
          </cell>
          <cell r="K621">
            <v>33.156856591714963</v>
          </cell>
          <cell r="L621">
            <v>34.290745673864492</v>
          </cell>
          <cell r="M621">
            <v>32.918335072293161</v>
          </cell>
          <cell r="N621">
            <v>34.145452081962254</v>
          </cell>
          <cell r="O621">
            <v>32.468524689277679</v>
          </cell>
          <cell r="P621">
            <v>33.162918392594392</v>
          </cell>
          <cell r="Q621">
            <v>33.003126787340676</v>
          </cell>
          <cell r="R621">
            <v>33.588432317251282</v>
          </cell>
          <cell r="S621">
            <v>32.722653075713254</v>
          </cell>
          <cell r="T621">
            <v>32.722653075713254</v>
          </cell>
          <cell r="U621">
            <v>32.722653075713254</v>
          </cell>
          <cell r="V621">
            <v>32.722653075713254</v>
          </cell>
          <cell r="W621">
            <v>32.722653075713254</v>
          </cell>
          <cell r="X621">
            <v>32.722653075713254</v>
          </cell>
          <cell r="Y621">
            <v>32.722653075713254</v>
          </cell>
          <cell r="Z621">
            <v>32.722653075713254</v>
          </cell>
          <cell r="AA621">
            <v>32.722653075713254</v>
          </cell>
          <cell r="AB621">
            <v>32.722653075713254</v>
          </cell>
          <cell r="AC621">
            <v>32.722653075713254</v>
          </cell>
          <cell r="AD621">
            <v>32.722653075713254</v>
          </cell>
          <cell r="AE621">
            <v>32.722653075713254</v>
          </cell>
          <cell r="AF621">
            <v>32.722653075713254</v>
          </cell>
        </row>
        <row r="622">
          <cell r="A622" t="str">
            <v>Washington</v>
          </cell>
          <cell r="B622">
            <v>40.312439247676842</v>
          </cell>
          <cell r="C622">
            <v>38.704964227549787</v>
          </cell>
          <cell r="D622">
            <v>37.333104213072339</v>
          </cell>
          <cell r="E622">
            <v>36.119181386329394</v>
          </cell>
          <cell r="F622">
            <v>34.850762878013875</v>
          </cell>
          <cell r="G622">
            <v>35.531760116860362</v>
          </cell>
          <cell r="H622">
            <v>33.102542150727231</v>
          </cell>
          <cell r="I622">
            <v>33.305541758553581</v>
          </cell>
          <cell r="J622">
            <v>32.54527541097606</v>
          </cell>
          <cell r="K622">
            <v>33.051172718134175</v>
          </cell>
          <cell r="L622">
            <v>32.990435874713377</v>
          </cell>
          <cell r="M622">
            <v>33.039345568200666</v>
          </cell>
          <cell r="N622">
            <v>33.667091135097174</v>
          </cell>
          <cell r="O622">
            <v>34.599271798821633</v>
          </cell>
          <cell r="P622">
            <v>32.764077867349727</v>
          </cell>
          <cell r="Q622">
            <v>33.448396480201339</v>
          </cell>
          <cell r="R622">
            <v>34.606760628112035</v>
          </cell>
          <cell r="S622">
            <v>32.107531539561244</v>
          </cell>
          <cell r="T622">
            <v>32.107531539561244</v>
          </cell>
          <cell r="U622">
            <v>32.107531539561244</v>
          </cell>
          <cell r="V622">
            <v>32.107531539561244</v>
          </cell>
          <cell r="W622">
            <v>32.107531539561244</v>
          </cell>
          <cell r="X622">
            <v>32.107531539561244</v>
          </cell>
          <cell r="Y622">
            <v>32.107531539561244</v>
          </cell>
          <cell r="Z622">
            <v>32.107531539561244</v>
          </cell>
          <cell r="AA622">
            <v>32.107531539561244</v>
          </cell>
          <cell r="AB622">
            <v>32.107531539561244</v>
          </cell>
          <cell r="AC622">
            <v>32.107531539561244</v>
          </cell>
          <cell r="AD622">
            <v>32.107531539561244</v>
          </cell>
          <cell r="AE622">
            <v>32.107531539561244</v>
          </cell>
          <cell r="AF622">
            <v>32.107531539561244</v>
          </cell>
        </row>
        <row r="623">
          <cell r="A623" t="str">
            <v>West Virginia</v>
          </cell>
          <cell r="B623">
            <v>41.784731025852004</v>
          </cell>
          <cell r="C623">
            <v>37.137845446907377</v>
          </cell>
          <cell r="D623">
            <v>36.367945310091464</v>
          </cell>
          <cell r="E623">
            <v>38.431715233167168</v>
          </cell>
          <cell r="F623">
            <v>36.850344137507349</v>
          </cell>
          <cell r="G623">
            <v>32.835118338361923</v>
          </cell>
          <cell r="H623">
            <v>33.850549532567314</v>
          </cell>
          <cell r="I623">
            <v>33.73134500405898</v>
          </cell>
          <cell r="J623">
            <v>32.48184403468683</v>
          </cell>
          <cell r="K623">
            <v>33.156856591714963</v>
          </cell>
          <cell r="L623">
            <v>36.019587556752796</v>
          </cell>
          <cell r="M623">
            <v>33.479383735137077</v>
          </cell>
          <cell r="N623">
            <v>32.905797189171643</v>
          </cell>
          <cell r="O623">
            <v>33.641584250259768</v>
          </cell>
          <cell r="P623">
            <v>35.343246597265214</v>
          </cell>
          <cell r="Q623">
            <v>31.675028006470558</v>
          </cell>
          <cell r="R623">
            <v>31.986206566143906</v>
          </cell>
          <cell r="S623">
            <v>32.526360025780789</v>
          </cell>
          <cell r="T623">
            <v>32.526360025780789</v>
          </cell>
          <cell r="U623">
            <v>32.526360025780789</v>
          </cell>
          <cell r="V623">
            <v>32.526360025780789</v>
          </cell>
          <cell r="W623">
            <v>32.526360025780789</v>
          </cell>
          <cell r="X623">
            <v>32.526360025780789</v>
          </cell>
          <cell r="Y623">
            <v>32.526360025780789</v>
          </cell>
          <cell r="Z623">
            <v>32.526360025780789</v>
          </cell>
          <cell r="AA623">
            <v>32.526360025780789</v>
          </cell>
          <cell r="AB623">
            <v>32.526360025780789</v>
          </cell>
          <cell r="AC623">
            <v>32.526360025780789</v>
          </cell>
          <cell r="AD623">
            <v>32.526360025780789</v>
          </cell>
          <cell r="AE623">
            <v>32.526360025780789</v>
          </cell>
          <cell r="AF623">
            <v>32.526360025780789</v>
          </cell>
        </row>
        <row r="624">
          <cell r="A624" t="str">
            <v>Wisconsin</v>
          </cell>
          <cell r="B624">
            <v>38.966154423489627</v>
          </cell>
          <cell r="C624">
            <v>38.149636230114076</v>
          </cell>
          <cell r="D624">
            <v>37.342492918354253</v>
          </cell>
          <cell r="E624">
            <v>36.463150951648508</v>
          </cell>
          <cell r="F624">
            <v>35.157799979911175</v>
          </cell>
          <cell r="G624">
            <v>33.937085902070514</v>
          </cell>
          <cell r="H624">
            <v>33.365513495905375</v>
          </cell>
          <cell r="I624">
            <v>33.232021773718117</v>
          </cell>
          <cell r="J624">
            <v>33.191184156630968</v>
          </cell>
          <cell r="K624">
            <v>32.555045644935497</v>
          </cell>
          <cell r="L624">
            <v>33.3990272290063</v>
          </cell>
          <cell r="M624">
            <v>33.791077436717039</v>
          </cell>
          <cell r="N624">
            <v>33.03705476605537</v>
          </cell>
          <cell r="O624">
            <v>32.850451057969508</v>
          </cell>
          <cell r="P624">
            <v>32.903355511085962</v>
          </cell>
          <cell r="Q624">
            <v>32.827717514395566</v>
          </cell>
          <cell r="R624">
            <v>33.080088071894068</v>
          </cell>
          <cell r="S624">
            <v>32.869872863162612</v>
          </cell>
          <cell r="T624">
            <v>32.869872863162612</v>
          </cell>
          <cell r="U624">
            <v>32.869872863162612</v>
          </cell>
          <cell r="V624">
            <v>32.869872863162612</v>
          </cell>
          <cell r="W624">
            <v>32.869872863162612</v>
          </cell>
          <cell r="X624">
            <v>32.869872863162612</v>
          </cell>
          <cell r="Y624">
            <v>32.869872863162612</v>
          </cell>
          <cell r="Z624">
            <v>32.869872863162612</v>
          </cell>
          <cell r="AA624">
            <v>32.869872863162612</v>
          </cell>
          <cell r="AB624">
            <v>32.869872863162612</v>
          </cell>
          <cell r="AC624">
            <v>32.869872863162612</v>
          </cell>
          <cell r="AD624">
            <v>32.869872863162612</v>
          </cell>
          <cell r="AE624">
            <v>32.869872863162612</v>
          </cell>
          <cell r="AF624">
            <v>32.869872863162612</v>
          </cell>
        </row>
        <row r="625">
          <cell r="A625" t="str">
            <v>Wyoming</v>
          </cell>
          <cell r="B625">
            <v>41.901983812510281</v>
          </cell>
          <cell r="C625">
            <v>41.418498760474215</v>
          </cell>
          <cell r="D625">
            <v>34.635416228735416</v>
          </cell>
          <cell r="E625">
            <v>37.283386068947962</v>
          </cell>
          <cell r="F625">
            <v>35.091462862872127</v>
          </cell>
          <cell r="G625">
            <v>33.868212929338718</v>
          </cell>
          <cell r="H625">
            <v>33.595267408008397</v>
          </cell>
          <cell r="I625">
            <v>33.981006619229404</v>
          </cell>
          <cell r="J625">
            <v>33.078845223291395</v>
          </cell>
          <cell r="K625">
            <v>32.506900769193123</v>
          </cell>
          <cell r="L625">
            <v>34.290745673864485</v>
          </cell>
          <cell r="M625">
            <v>34.180694563691986</v>
          </cell>
          <cell r="N625">
            <v>33.562085073590197</v>
          </cell>
          <cell r="O625">
            <v>33.219646547704968</v>
          </cell>
          <cell r="P625">
            <v>31.800213264675126</v>
          </cell>
          <cell r="Q625">
            <v>34.494105607374102</v>
          </cell>
          <cell r="R625">
            <v>33.198701729144076</v>
          </cell>
          <cell r="S625">
            <v>32.460929009136635</v>
          </cell>
          <cell r="T625">
            <v>32.460929009136635</v>
          </cell>
          <cell r="U625">
            <v>32.460929009136635</v>
          </cell>
          <cell r="V625">
            <v>32.460929009136635</v>
          </cell>
          <cell r="W625">
            <v>32.460929009136635</v>
          </cell>
          <cell r="X625">
            <v>32.460929009136635</v>
          </cell>
          <cell r="Y625">
            <v>32.460929009136635</v>
          </cell>
          <cell r="Z625">
            <v>32.460929009136635</v>
          </cell>
          <cell r="AA625">
            <v>32.460929009136635</v>
          </cell>
          <cell r="AB625">
            <v>32.460929009136635</v>
          </cell>
          <cell r="AC625">
            <v>32.460929009136635</v>
          </cell>
          <cell r="AD625">
            <v>32.460929009136635</v>
          </cell>
          <cell r="AE625">
            <v>32.460929009136635</v>
          </cell>
          <cell r="AF625">
            <v>32.460929009136635</v>
          </cell>
        </row>
      </sheetData>
      <sheetData sheetId="18"/>
      <sheetData sheetId="19">
        <row r="3">
          <cell r="A3" t="str">
            <v>Dairy Cows</v>
          </cell>
          <cell r="B3">
            <v>1990</v>
          </cell>
          <cell r="C3">
            <v>1991</v>
          </cell>
          <cell r="D3">
            <v>1992</v>
          </cell>
          <cell r="E3">
            <v>1993</v>
          </cell>
          <cell r="F3">
            <v>1994</v>
          </cell>
          <cell r="G3">
            <v>1995</v>
          </cell>
          <cell r="H3">
            <v>1996</v>
          </cell>
          <cell r="I3">
            <v>1997</v>
          </cell>
          <cell r="J3">
            <v>1998</v>
          </cell>
          <cell r="K3">
            <v>1999</v>
          </cell>
          <cell r="L3">
            <v>2000</v>
          </cell>
          <cell r="M3">
            <v>2001</v>
          </cell>
          <cell r="N3">
            <v>2002</v>
          </cell>
          <cell r="O3">
            <v>2003</v>
          </cell>
          <cell r="P3">
            <v>2004</v>
          </cell>
          <cell r="Q3">
            <v>2005</v>
          </cell>
          <cell r="R3">
            <v>2006</v>
          </cell>
          <cell r="S3">
            <v>2007</v>
          </cell>
          <cell r="T3">
            <v>2008</v>
          </cell>
          <cell r="U3">
            <v>2009</v>
          </cell>
          <cell r="V3">
            <v>2010</v>
          </cell>
          <cell r="W3">
            <v>2011</v>
          </cell>
          <cell r="X3">
            <v>2012</v>
          </cell>
          <cell r="Y3">
            <v>2013</v>
          </cell>
          <cell r="Z3">
            <v>2014</v>
          </cell>
          <cell r="AA3">
            <v>2015</v>
          </cell>
          <cell r="AB3">
            <v>2016</v>
          </cell>
          <cell r="AC3">
            <v>2017</v>
          </cell>
          <cell r="AD3">
            <v>2018</v>
          </cell>
          <cell r="AE3">
            <v>2019</v>
          </cell>
          <cell r="AF3">
            <v>2020</v>
          </cell>
        </row>
        <row r="4">
          <cell r="A4" t="str">
            <v>Alabama</v>
          </cell>
          <cell r="B4">
            <v>7.830880776606608</v>
          </cell>
          <cell r="C4">
            <v>7.9683599948356338</v>
          </cell>
          <cell r="D4">
            <v>7.8459405737460921</v>
          </cell>
          <cell r="E4">
            <v>7.8141384325970202</v>
          </cell>
          <cell r="F4">
            <v>7.897021705571591</v>
          </cell>
          <cell r="G4">
            <v>8.075202149705401</v>
          </cell>
          <cell r="H4">
            <v>7.6234756082425763</v>
          </cell>
          <cell r="I4">
            <v>7.6031087519910558</v>
          </cell>
          <cell r="J4">
            <v>7.6812934005283742</v>
          </cell>
          <cell r="K4">
            <v>7.7176114610859763</v>
          </cell>
          <cell r="L4">
            <v>7.7160765393267834</v>
          </cell>
          <cell r="M4">
            <v>7.7984525003118605</v>
          </cell>
          <cell r="N4">
            <v>7.6855919012579648</v>
          </cell>
          <cell r="O4">
            <v>7.7244453075382387</v>
          </cell>
          <cell r="P4">
            <v>7.8311023396701689</v>
          </cell>
          <cell r="Q4">
            <v>7.7244453075382404</v>
          </cell>
          <cell r="R4">
            <v>7.8539576242146154</v>
          </cell>
          <cell r="S4">
            <v>8.0233194402950705</v>
          </cell>
          <cell r="T4">
            <v>8.0233194402950705</v>
          </cell>
          <cell r="U4">
            <v>8.0233194402950705</v>
          </cell>
          <cell r="V4">
            <v>8.0233194402950705</v>
          </cell>
          <cell r="W4">
            <v>8.0233194402950705</v>
          </cell>
          <cell r="X4">
            <v>8.0233194402950705</v>
          </cell>
          <cell r="Y4">
            <v>8.0233194402950705</v>
          </cell>
          <cell r="Z4">
            <v>8.0233194402950705</v>
          </cell>
          <cell r="AA4">
            <v>8.0233194402950705</v>
          </cell>
          <cell r="AB4">
            <v>8.0233194402950705</v>
          </cell>
          <cell r="AC4">
            <v>8.0233194402950705</v>
          </cell>
          <cell r="AD4">
            <v>8.0233194402950705</v>
          </cell>
          <cell r="AE4">
            <v>8.0233194402950705</v>
          </cell>
          <cell r="AF4">
            <v>8.0233194402950705</v>
          </cell>
        </row>
        <row r="5">
          <cell r="A5" t="str">
            <v>Alaska</v>
          </cell>
          <cell r="B5">
            <v>8.120218118729861</v>
          </cell>
          <cell r="C5">
            <v>7.9250266434891588</v>
          </cell>
          <cell r="D5">
            <v>9.0762576485850488</v>
          </cell>
          <cell r="E5">
            <v>8.9366922706067129</v>
          </cell>
          <cell r="F5">
            <v>9.3323897698075786</v>
          </cell>
          <cell r="G5">
            <v>8.9366922706067129</v>
          </cell>
          <cell r="H5">
            <v>8.9754374131162695</v>
          </cell>
          <cell r="I5">
            <v>8.7461513018341464</v>
          </cell>
          <cell r="J5">
            <v>8.4404361034286204</v>
          </cell>
          <cell r="K5">
            <v>8.0124347489884151</v>
          </cell>
          <cell r="L5">
            <v>8.1347209050231459</v>
          </cell>
          <cell r="M5">
            <v>7.649130203514197</v>
          </cell>
          <cell r="N5">
            <v>7.9569830318436772</v>
          </cell>
          <cell r="O5">
            <v>7.6818394682875324</v>
          </cell>
          <cell r="P5">
            <v>7.4948827231619894</v>
          </cell>
          <cell r="Q5">
            <v>7.5240646685431196</v>
          </cell>
          <cell r="R5">
            <v>7.5178116409802724</v>
          </cell>
          <cell r="S5">
            <v>8.1827418237336822</v>
          </cell>
          <cell r="T5">
            <v>8.1827418237336822</v>
          </cell>
          <cell r="U5">
            <v>8.1827418237336822</v>
          </cell>
          <cell r="V5">
            <v>8.1827418237336822</v>
          </cell>
          <cell r="W5">
            <v>8.1827418237336822</v>
          </cell>
          <cell r="X5">
            <v>8.1827418237336822</v>
          </cell>
          <cell r="Y5">
            <v>8.1827418237336822</v>
          </cell>
          <cell r="Z5">
            <v>8.1827418237336822</v>
          </cell>
          <cell r="AA5">
            <v>8.1827418237336822</v>
          </cell>
          <cell r="AB5">
            <v>8.1827418237336822</v>
          </cell>
          <cell r="AC5">
            <v>8.1827418237336822</v>
          </cell>
          <cell r="AD5">
            <v>8.1827418237336822</v>
          </cell>
          <cell r="AE5">
            <v>8.1827418237336822</v>
          </cell>
          <cell r="AF5">
            <v>8.1827418237336822</v>
          </cell>
        </row>
        <row r="6">
          <cell r="A6" t="str">
            <v>Arizona</v>
          </cell>
          <cell r="B6">
            <v>9.0961751064137371</v>
          </cell>
          <cell r="C6">
            <v>9.2444031081849278</v>
          </cell>
          <cell r="D6">
            <v>9.3010407199541483</v>
          </cell>
          <cell r="E6">
            <v>9.2827336993125069</v>
          </cell>
          <cell r="F6">
            <v>9.6111935638984747</v>
          </cell>
          <cell r="G6">
            <v>9.6545508217673586</v>
          </cell>
          <cell r="H6">
            <v>9.7860879416452473</v>
          </cell>
          <cell r="I6">
            <v>9.9319405475218918</v>
          </cell>
          <cell r="J6">
            <v>9.7893166215627669</v>
          </cell>
          <cell r="K6">
            <v>10.178677708260809</v>
          </cell>
          <cell r="L6">
            <v>10.164097661404661</v>
          </cell>
          <cell r="M6">
            <v>10.210288407005976</v>
          </cell>
          <cell r="N6">
            <v>10.567320141279044</v>
          </cell>
          <cell r="O6">
            <v>10.452528724307149</v>
          </cell>
          <cell r="P6">
            <v>10.417137454700873</v>
          </cell>
          <cell r="Q6">
            <v>10.387225970269256</v>
          </cell>
          <cell r="R6">
            <v>10.435844783436867</v>
          </cell>
          <cell r="S6">
            <v>10.547051759987394</v>
          </cell>
          <cell r="T6">
            <v>10.547051759987394</v>
          </cell>
          <cell r="U6">
            <v>10.547051759987394</v>
          </cell>
          <cell r="V6">
            <v>10.547051759987394</v>
          </cell>
          <cell r="W6">
            <v>10.547051759987394</v>
          </cell>
          <cell r="X6">
            <v>10.547051759987394</v>
          </cell>
          <cell r="Y6">
            <v>10.547051759987394</v>
          </cell>
          <cell r="Z6">
            <v>10.547051759987394</v>
          </cell>
          <cell r="AA6">
            <v>10.547051759987394</v>
          </cell>
          <cell r="AB6">
            <v>10.547051759987394</v>
          </cell>
          <cell r="AC6">
            <v>10.547051759987394</v>
          </cell>
          <cell r="AD6">
            <v>10.547051759987394</v>
          </cell>
          <cell r="AE6">
            <v>10.547051759987394</v>
          </cell>
          <cell r="AF6">
            <v>10.547051759987394</v>
          </cell>
        </row>
        <row r="7">
          <cell r="A7" t="str">
            <v>Arkansas</v>
          </cell>
          <cell r="B7">
            <v>8.2885500340354508</v>
          </cell>
          <cell r="C7">
            <v>8.2413130342411129</v>
          </cell>
          <cell r="D7">
            <v>8.3704759610420822</v>
          </cell>
          <cell r="E7">
            <v>7.6375422253641849</v>
          </cell>
          <cell r="F7">
            <v>7.6759986734437256</v>
          </cell>
          <cell r="G7">
            <v>7.6218297152792021</v>
          </cell>
          <cell r="H7">
            <v>6.9014709031558272</v>
          </cell>
          <cell r="I7">
            <v>6.8831157349224776</v>
          </cell>
          <cell r="J7">
            <v>6.8878966717810917</v>
          </cell>
          <cell r="K7">
            <v>6.984424147062442</v>
          </cell>
          <cell r="L7">
            <v>6.9983461278690156</v>
          </cell>
          <cell r="M7">
            <v>6.962686945948966</v>
          </cell>
          <cell r="N7">
            <v>6.9470767034338099</v>
          </cell>
          <cell r="O7">
            <v>6.9282368042665619</v>
          </cell>
          <cell r="P7">
            <v>7.2453313293218535</v>
          </cell>
          <cell r="Q7">
            <v>7.2674065338629532</v>
          </cell>
          <cell r="R7">
            <v>7.1038583873741219</v>
          </cell>
          <cell r="S7">
            <v>7.1142919294640867</v>
          </cell>
          <cell r="T7">
            <v>7.1142919294640867</v>
          </cell>
          <cell r="U7">
            <v>7.1142919294640867</v>
          </cell>
          <cell r="V7">
            <v>7.1142919294640867</v>
          </cell>
          <cell r="W7">
            <v>7.1142919294640867</v>
          </cell>
          <cell r="X7">
            <v>7.1142919294640867</v>
          </cell>
          <cell r="Y7">
            <v>7.1142919294640867</v>
          </cell>
          <cell r="Z7">
            <v>7.1142919294640867</v>
          </cell>
          <cell r="AA7">
            <v>7.1142919294640867</v>
          </cell>
          <cell r="AB7">
            <v>7.1142919294640867</v>
          </cell>
          <cell r="AC7">
            <v>7.1142919294640867</v>
          </cell>
          <cell r="AD7">
            <v>7.1142919294640867</v>
          </cell>
          <cell r="AE7">
            <v>7.1142919294640867</v>
          </cell>
          <cell r="AF7">
            <v>7.1142919294640867</v>
          </cell>
        </row>
        <row r="8">
          <cell r="A8" t="str">
            <v>California</v>
          </cell>
          <cell r="B8">
            <v>9.2899855985410031</v>
          </cell>
          <cell r="C8">
            <v>9.3119284090988508</v>
          </cell>
          <cell r="D8">
            <v>9.3643055148201295</v>
          </cell>
          <cell r="E8">
            <v>8.7436937064238123</v>
          </cell>
          <cell r="F8">
            <v>9.0941914636104944</v>
          </cell>
          <cell r="G8">
            <v>8.9306071485839169</v>
          </cell>
          <cell r="H8">
            <v>8.2030057468745525</v>
          </cell>
          <cell r="I8">
            <v>8.3640794185476111</v>
          </cell>
          <cell r="J8">
            <v>8.2728910125403345</v>
          </cell>
          <cell r="K8">
            <v>8.5936166235656728</v>
          </cell>
          <cell r="L8">
            <v>8.6778902100174999</v>
          </cell>
          <cell r="M8">
            <v>8.6118842694724567</v>
          </cell>
          <cell r="N8">
            <v>8.7018108544502386</v>
          </cell>
          <cell r="O8">
            <v>8.633377220485329</v>
          </cell>
          <cell r="P8">
            <v>8.6684948822735848</v>
          </cell>
          <cell r="Q8">
            <v>8.732355590824902</v>
          </cell>
          <cell r="R8">
            <v>8.8313615089078787</v>
          </cell>
          <cell r="S8">
            <v>8.9820564002599941</v>
          </cell>
          <cell r="T8">
            <v>8.9820564002599941</v>
          </cell>
          <cell r="U8">
            <v>8.9820564002599941</v>
          </cell>
          <cell r="V8">
            <v>8.9820564002599941</v>
          </cell>
          <cell r="W8">
            <v>8.9820564002599941</v>
          </cell>
          <cell r="X8">
            <v>8.9820564002599941</v>
          </cell>
          <cell r="Y8">
            <v>8.9820564002599941</v>
          </cell>
          <cell r="Z8">
            <v>8.9820564002599941</v>
          </cell>
          <cell r="AA8">
            <v>8.9820564002599941</v>
          </cell>
          <cell r="AB8">
            <v>8.9820564002599941</v>
          </cell>
          <cell r="AC8">
            <v>8.9820564002599941</v>
          </cell>
          <cell r="AD8">
            <v>8.9820564002599941</v>
          </cell>
          <cell r="AE8">
            <v>8.9820564002599941</v>
          </cell>
          <cell r="AF8">
            <v>8.9820564002599941</v>
          </cell>
        </row>
        <row r="9">
          <cell r="A9" t="str">
            <v>Colorado</v>
          </cell>
          <cell r="B9">
            <v>9.0074519911367954</v>
          </cell>
          <cell r="C9">
            <v>9.0509082980829643</v>
          </cell>
          <cell r="D9">
            <v>9.1519439883340628</v>
          </cell>
          <cell r="E9">
            <v>8.6127352509973054</v>
          </cell>
          <cell r="F9">
            <v>8.8708489665472872</v>
          </cell>
          <cell r="G9">
            <v>8.7451102508132657</v>
          </cell>
          <cell r="H9">
            <v>8.2886351339150259</v>
          </cell>
          <cell r="I9">
            <v>8.4199669592883435</v>
          </cell>
          <cell r="J9">
            <v>8.506615850394887</v>
          </cell>
          <cell r="K9">
            <v>8.6193037506000252</v>
          </cell>
          <cell r="L9">
            <v>8.8108511604332023</v>
          </cell>
          <cell r="M9">
            <v>8.7502654690645034</v>
          </cell>
          <cell r="N9">
            <v>8.7927039146610984</v>
          </cell>
          <cell r="O9">
            <v>8.7783143932072392</v>
          </cell>
          <cell r="P9">
            <v>8.7499587189380872</v>
          </cell>
          <cell r="Q9">
            <v>9.0293913765965179</v>
          </cell>
          <cell r="R9">
            <v>9.1679187980729644</v>
          </cell>
          <cell r="S9">
            <v>9.1105311289944471</v>
          </cell>
          <cell r="T9">
            <v>9.1105311289944471</v>
          </cell>
          <cell r="U9">
            <v>9.1105311289944471</v>
          </cell>
          <cell r="V9">
            <v>9.1105311289944471</v>
          </cell>
          <cell r="W9">
            <v>9.1105311289944471</v>
          </cell>
          <cell r="X9">
            <v>9.1105311289944471</v>
          </cell>
          <cell r="Y9">
            <v>9.1105311289944471</v>
          </cell>
          <cell r="Z9">
            <v>9.1105311289944471</v>
          </cell>
          <cell r="AA9">
            <v>9.1105311289944471</v>
          </cell>
          <cell r="AB9">
            <v>9.1105311289944471</v>
          </cell>
          <cell r="AC9">
            <v>9.1105311289944471</v>
          </cell>
          <cell r="AD9">
            <v>9.1105311289944471</v>
          </cell>
          <cell r="AE9">
            <v>9.1105311289944471</v>
          </cell>
          <cell r="AF9">
            <v>9.1105311289944471</v>
          </cell>
        </row>
        <row r="10">
          <cell r="A10" t="str">
            <v>Connecticut</v>
          </cell>
          <cell r="B10">
            <v>7.7857374370006296</v>
          </cell>
          <cell r="C10">
            <v>7.8471637554196052</v>
          </cell>
          <cell r="D10">
            <v>7.8631980051099974</v>
          </cell>
          <cell r="E10">
            <v>7.6647597843639819</v>
          </cell>
          <cell r="F10">
            <v>7.6869512852107924</v>
          </cell>
          <cell r="G10">
            <v>7.7798641765471093</v>
          </cell>
          <cell r="H10">
            <v>7.6154161783272967</v>
          </cell>
          <cell r="I10">
            <v>7.6953573330089871</v>
          </cell>
          <cell r="J10">
            <v>7.8552396423722826</v>
          </cell>
          <cell r="K10">
            <v>7.92663556722467</v>
          </cell>
          <cell r="L10">
            <v>7.8898806868791667</v>
          </cell>
          <cell r="M10">
            <v>7.9892949258373358</v>
          </cell>
          <cell r="N10">
            <v>8.0816270480445276</v>
          </cell>
          <cell r="O10">
            <v>8.1170556851963145</v>
          </cell>
          <cell r="P10">
            <v>8.3154551844550131</v>
          </cell>
          <cell r="Q10">
            <v>8.2195255983467259</v>
          </cell>
          <cell r="R10">
            <v>8.2472948385506548</v>
          </cell>
          <cell r="S10">
            <v>8.2220501051062147</v>
          </cell>
          <cell r="T10">
            <v>8.2220501051062147</v>
          </cell>
          <cell r="U10">
            <v>8.2220501051062147</v>
          </cell>
          <cell r="V10">
            <v>8.2220501051062147</v>
          </cell>
          <cell r="W10">
            <v>8.2220501051062147</v>
          </cell>
          <cell r="X10">
            <v>8.2220501051062147</v>
          </cell>
          <cell r="Y10">
            <v>8.2220501051062147</v>
          </cell>
          <cell r="Z10">
            <v>8.2220501051062147</v>
          </cell>
          <cell r="AA10">
            <v>8.2220501051062147</v>
          </cell>
          <cell r="AB10">
            <v>8.2220501051062147</v>
          </cell>
          <cell r="AC10">
            <v>8.2220501051062147</v>
          </cell>
          <cell r="AD10">
            <v>8.2220501051062147</v>
          </cell>
          <cell r="AE10">
            <v>8.2220501051062147</v>
          </cell>
          <cell r="AF10">
            <v>8.2220501051062147</v>
          </cell>
        </row>
        <row r="11">
          <cell r="A11" t="str">
            <v>Delaware</v>
          </cell>
          <cell r="B11">
            <v>7.2943251244232785</v>
          </cell>
          <cell r="C11">
            <v>7.4118368948606159</v>
          </cell>
          <cell r="D11">
            <v>7.4790845740728136</v>
          </cell>
          <cell r="E11">
            <v>7.3515311482297436</v>
          </cell>
          <cell r="F11">
            <v>7.2529222540060543</v>
          </cell>
          <cell r="G11">
            <v>7.3022267011178963</v>
          </cell>
          <cell r="H11">
            <v>7.0877220890936821</v>
          </cell>
          <cell r="I11">
            <v>7.17573966050292</v>
          </cell>
          <cell r="J11">
            <v>7.1246948355420283</v>
          </cell>
          <cell r="K11">
            <v>7.1037927215345649</v>
          </cell>
          <cell r="L11">
            <v>7.1631428562912438</v>
          </cell>
          <cell r="M11">
            <v>7.6119728895961902</v>
          </cell>
          <cell r="N11">
            <v>7.6119728895961902</v>
          </cell>
          <cell r="O11">
            <v>7.4289750535483732</v>
          </cell>
          <cell r="P11">
            <v>7.7470084387183391</v>
          </cell>
          <cell r="Q11">
            <v>7.8507160451893485</v>
          </cell>
          <cell r="R11">
            <v>7.5206114744884189</v>
          </cell>
          <cell r="S11">
            <v>7.6002168079532444</v>
          </cell>
          <cell r="T11">
            <v>7.6002168079532444</v>
          </cell>
          <cell r="U11">
            <v>7.6002168079532444</v>
          </cell>
          <cell r="V11">
            <v>7.6002168079532444</v>
          </cell>
          <cell r="W11">
            <v>7.6002168079532444</v>
          </cell>
          <cell r="X11">
            <v>7.6002168079532444</v>
          </cell>
          <cell r="Y11">
            <v>7.6002168079532444</v>
          </cell>
          <cell r="Z11">
            <v>7.6002168079532444</v>
          </cell>
          <cell r="AA11">
            <v>7.6002168079532444</v>
          </cell>
          <cell r="AB11">
            <v>7.6002168079532444</v>
          </cell>
          <cell r="AC11">
            <v>7.6002168079532444</v>
          </cell>
          <cell r="AD11">
            <v>7.6002168079532444</v>
          </cell>
          <cell r="AE11">
            <v>7.6002168079532444</v>
          </cell>
          <cell r="AF11">
            <v>7.6002168079532444</v>
          </cell>
        </row>
        <row r="12">
          <cell r="A12" t="str">
            <v>Florida</v>
          </cell>
          <cell r="B12">
            <v>8.338112942522832</v>
          </cell>
          <cell r="C12">
            <v>8.3102285015626602</v>
          </cell>
          <cell r="D12">
            <v>8.3981442730891516</v>
          </cell>
          <cell r="E12">
            <v>8.1274277751209638</v>
          </cell>
          <cell r="F12">
            <v>8.270578557780059</v>
          </cell>
          <cell r="G12">
            <v>8.2152455258143657</v>
          </cell>
          <cell r="H12">
            <v>8.0971081442102744</v>
          </cell>
          <cell r="I12">
            <v>8.1188594255425279</v>
          </cell>
          <cell r="J12">
            <v>7.8938322444915849</v>
          </cell>
          <cell r="K12">
            <v>8.0417260883347623</v>
          </cell>
          <cell r="L12">
            <v>8.1740050897527787</v>
          </cell>
          <cell r="M12">
            <v>8.1798540310837371</v>
          </cell>
          <cell r="N12">
            <v>8.0836256608737518</v>
          </cell>
          <cell r="O12">
            <v>8.0400173535406569</v>
          </cell>
          <cell r="P12">
            <v>8.3269585793973082</v>
          </cell>
          <cell r="Q12">
            <v>8.3956399220884546</v>
          </cell>
          <cell r="R12">
            <v>8.3582701892979863</v>
          </cell>
          <cell r="S12">
            <v>8.4036194941778621</v>
          </cell>
          <cell r="T12">
            <v>8.4036194941778621</v>
          </cell>
          <cell r="U12">
            <v>8.4036194941778621</v>
          </cell>
          <cell r="V12">
            <v>8.4036194941778621</v>
          </cell>
          <cell r="W12">
            <v>8.4036194941778621</v>
          </cell>
          <cell r="X12">
            <v>8.4036194941778621</v>
          </cell>
          <cell r="Y12">
            <v>8.4036194941778621</v>
          </cell>
          <cell r="Z12">
            <v>8.4036194941778621</v>
          </cell>
          <cell r="AA12">
            <v>8.4036194941778621</v>
          </cell>
          <cell r="AB12">
            <v>8.4036194941778621</v>
          </cell>
          <cell r="AC12">
            <v>8.4036194941778621</v>
          </cell>
          <cell r="AD12">
            <v>8.4036194941778621</v>
          </cell>
          <cell r="AE12">
            <v>8.4036194941778621</v>
          </cell>
          <cell r="AF12">
            <v>8.4036194941778621</v>
          </cell>
        </row>
        <row r="13">
          <cell r="A13" t="str">
            <v>Georgia</v>
          </cell>
          <cell r="B13">
            <v>8.042436697838605</v>
          </cell>
          <cell r="C13">
            <v>8.1959108799094249</v>
          </cell>
          <cell r="D13">
            <v>8.5748577556578134</v>
          </cell>
          <cell r="E13">
            <v>8.3497597554166934</v>
          </cell>
          <cell r="F13">
            <v>8.4678112461956339</v>
          </cell>
          <cell r="G13">
            <v>8.444360025685361</v>
          </cell>
          <cell r="H13">
            <v>8.0786039099195488</v>
          </cell>
          <cell r="I13">
            <v>8.0839445570375386</v>
          </cell>
          <cell r="J13">
            <v>8.1128016635560787</v>
          </cell>
          <cell r="K13">
            <v>8.280749821388028</v>
          </cell>
          <cell r="L13">
            <v>8.328433809752589</v>
          </cell>
          <cell r="M13">
            <v>8.4141730286436527</v>
          </cell>
          <cell r="N13">
            <v>8.5777019254971094</v>
          </cell>
          <cell r="O13">
            <v>8.4984710182765006</v>
          </cell>
          <cell r="P13">
            <v>8.4645147089515032</v>
          </cell>
          <cell r="Q13">
            <v>8.5686728465946569</v>
          </cell>
          <cell r="R13">
            <v>8.8210936712594599</v>
          </cell>
          <cell r="S13">
            <v>8.8042741335998276</v>
          </cell>
          <cell r="T13">
            <v>8.8042741335998276</v>
          </cell>
          <cell r="U13">
            <v>8.8042741335998276</v>
          </cell>
          <cell r="V13">
            <v>8.8042741335998276</v>
          </cell>
          <cell r="W13">
            <v>8.8042741335998276</v>
          </cell>
          <cell r="X13">
            <v>8.8042741335998276</v>
          </cell>
          <cell r="Y13">
            <v>8.8042741335998276</v>
          </cell>
          <cell r="Z13">
            <v>8.8042741335998276</v>
          </cell>
          <cell r="AA13">
            <v>8.8042741335998276</v>
          </cell>
          <cell r="AB13">
            <v>8.8042741335998276</v>
          </cell>
          <cell r="AC13">
            <v>8.8042741335998276</v>
          </cell>
          <cell r="AD13">
            <v>8.8042741335998276</v>
          </cell>
          <cell r="AE13">
            <v>8.8042741335998276</v>
          </cell>
          <cell r="AF13">
            <v>8.8042741335998276</v>
          </cell>
        </row>
        <row r="14">
          <cell r="A14" t="str">
            <v>Hawaii</v>
          </cell>
          <cell r="B14">
            <v>8.0096850666017954</v>
          </cell>
          <cell r="C14">
            <v>7.8568647630353601</v>
          </cell>
          <cell r="D14">
            <v>7.8920724101324886</v>
          </cell>
          <cell r="E14">
            <v>7.796792433108183</v>
          </cell>
          <cell r="F14">
            <v>7.7865798738462075</v>
          </cell>
          <cell r="G14">
            <v>7.9702766530038565</v>
          </cell>
          <cell r="H14">
            <v>7.9363311367225862</v>
          </cell>
          <cell r="I14">
            <v>7.8793983385904971</v>
          </cell>
          <cell r="J14">
            <v>8.1484610043965606</v>
          </cell>
          <cell r="K14">
            <v>7.999637338277612</v>
          </cell>
          <cell r="L14">
            <v>8.1007526774322738</v>
          </cell>
          <cell r="M14">
            <v>8.035998666509597</v>
          </cell>
          <cell r="N14">
            <v>8.1910795771800995</v>
          </cell>
          <cell r="O14">
            <v>8.0416425308821378</v>
          </cell>
          <cell r="P14">
            <v>7.7782958016196346</v>
          </cell>
          <cell r="Q14">
            <v>7.6935975829574081</v>
          </cell>
          <cell r="R14">
            <v>7.7945549767159328</v>
          </cell>
          <cell r="S14">
            <v>7.5154397765003873</v>
          </cell>
          <cell r="T14">
            <v>7.5154397765003873</v>
          </cell>
          <cell r="U14">
            <v>7.5154397765003873</v>
          </cell>
          <cell r="V14">
            <v>7.5154397765003873</v>
          </cell>
          <cell r="W14">
            <v>7.5154397765003873</v>
          </cell>
          <cell r="X14">
            <v>7.5154397765003873</v>
          </cell>
          <cell r="Y14">
            <v>7.5154397765003873</v>
          </cell>
          <cell r="Z14">
            <v>7.5154397765003873</v>
          </cell>
          <cell r="AA14">
            <v>7.5154397765003873</v>
          </cell>
          <cell r="AB14">
            <v>7.5154397765003873</v>
          </cell>
          <cell r="AC14">
            <v>7.5154397765003873</v>
          </cell>
          <cell r="AD14">
            <v>7.5154397765003873</v>
          </cell>
          <cell r="AE14">
            <v>7.5154397765003873</v>
          </cell>
          <cell r="AF14">
            <v>7.5154397765003873</v>
          </cell>
        </row>
        <row r="15">
          <cell r="A15" t="str">
            <v>Idaho</v>
          </cell>
          <cell r="B15">
            <v>8.8103202489615828</v>
          </cell>
          <cell r="C15">
            <v>8.7891327205264229</v>
          </cell>
          <cell r="D15">
            <v>8.9978936316809719</v>
          </cell>
          <cell r="E15">
            <v>8.920571076989809</v>
          </cell>
          <cell r="F15">
            <v>9.1874275429470611</v>
          </cell>
          <cell r="G15">
            <v>9.2147041301648986</v>
          </cell>
          <cell r="H15">
            <v>9.2495064112712946</v>
          </cell>
          <cell r="I15">
            <v>9.4134418481890858</v>
          </cell>
          <cell r="J15">
            <v>9.5926262997207896</v>
          </cell>
          <cell r="K15">
            <v>9.7437631758400052</v>
          </cell>
          <cell r="L15">
            <v>9.8876932182178976</v>
          </cell>
          <cell r="M15">
            <v>9.9786929193496583</v>
          </cell>
          <cell r="N15">
            <v>9.9302822720803174</v>
          </cell>
          <cell r="O15">
            <v>10.122822310285747</v>
          </cell>
          <cell r="P15">
            <v>10.047964626508634</v>
          </cell>
          <cell r="Q15">
            <v>10.291773280255155</v>
          </cell>
          <cell r="R15">
            <v>10.295747217090222</v>
          </cell>
          <cell r="S15">
            <v>10.34151994622697</v>
          </cell>
          <cell r="T15">
            <v>10.34151994622697</v>
          </cell>
          <cell r="U15">
            <v>10.34151994622697</v>
          </cell>
          <cell r="V15">
            <v>10.34151994622697</v>
          </cell>
          <cell r="W15">
            <v>10.34151994622697</v>
          </cell>
          <cell r="X15">
            <v>10.34151994622697</v>
          </cell>
          <cell r="Y15">
            <v>10.34151994622697</v>
          </cell>
          <cell r="Z15">
            <v>10.34151994622697</v>
          </cell>
          <cell r="AA15">
            <v>10.34151994622697</v>
          </cell>
          <cell r="AB15">
            <v>10.34151994622697</v>
          </cell>
          <cell r="AC15">
            <v>10.34151994622697</v>
          </cell>
          <cell r="AD15">
            <v>10.34151994622697</v>
          </cell>
          <cell r="AE15">
            <v>10.34151994622697</v>
          </cell>
          <cell r="AF15">
            <v>10.34151994622697</v>
          </cell>
        </row>
        <row r="16">
          <cell r="A16" t="str">
            <v>Illinois</v>
          </cell>
          <cell r="B16">
            <v>8.3173327660421847</v>
          </cell>
          <cell r="C16">
            <v>8.3811257434766908</v>
          </cell>
          <cell r="D16">
            <v>8.3825632660352944</v>
          </cell>
          <cell r="E16">
            <v>7.8766231084517653</v>
          </cell>
          <cell r="F16">
            <v>7.9256980201691372</v>
          </cell>
          <cell r="G16">
            <v>8.0210009415258501</v>
          </cell>
          <cell r="H16">
            <v>7.4755190740967876</v>
          </cell>
          <cell r="I16">
            <v>7.5987667972818702</v>
          </cell>
          <cell r="J16">
            <v>7.6003022186663536</v>
          </cell>
          <cell r="K16">
            <v>7.5824649327195335</v>
          </cell>
          <cell r="L16">
            <v>7.8112721242500394</v>
          </cell>
          <cell r="M16">
            <v>7.7911513858344534</v>
          </cell>
          <cell r="N16">
            <v>7.8921142803898929</v>
          </cell>
          <cell r="O16">
            <v>8.0376053975470168</v>
          </cell>
          <cell r="P16">
            <v>8.0482871854465223</v>
          </cell>
          <cell r="Q16">
            <v>8.1300531358149488</v>
          </cell>
          <cell r="R16">
            <v>8.2320990120258841</v>
          </cell>
          <cell r="S16">
            <v>8.0784255524439157</v>
          </cell>
          <cell r="T16">
            <v>8.0784255524439157</v>
          </cell>
          <cell r="U16">
            <v>8.0784255524439157</v>
          </cell>
          <cell r="V16">
            <v>8.0784255524439157</v>
          </cell>
          <cell r="W16">
            <v>8.0784255524439157</v>
          </cell>
          <cell r="X16">
            <v>8.0784255524439157</v>
          </cell>
          <cell r="Y16">
            <v>8.0784255524439157</v>
          </cell>
          <cell r="Z16">
            <v>8.0784255524439157</v>
          </cell>
          <cell r="AA16">
            <v>8.0784255524439157</v>
          </cell>
          <cell r="AB16">
            <v>8.0784255524439157</v>
          </cell>
          <cell r="AC16">
            <v>8.0784255524439157</v>
          </cell>
          <cell r="AD16">
            <v>8.0784255524439157</v>
          </cell>
          <cell r="AE16">
            <v>8.0784255524439157</v>
          </cell>
          <cell r="AF16">
            <v>8.0784255524439157</v>
          </cell>
        </row>
        <row r="17">
          <cell r="A17" t="str">
            <v>Indiana</v>
          </cell>
          <cell r="B17">
            <v>8.28466526015802</v>
          </cell>
          <cell r="C17">
            <v>8.5215285717742013</v>
          </cell>
          <cell r="D17">
            <v>8.6488616003768488</v>
          </cell>
          <cell r="E17">
            <v>7.9621022533884407</v>
          </cell>
          <cell r="F17">
            <v>7.9377340114208126</v>
          </cell>
          <cell r="G17">
            <v>7.8884525830696024</v>
          </cell>
          <cell r="H17">
            <v>7.3367640961539848</v>
          </cell>
          <cell r="I17">
            <v>7.4582762418263497</v>
          </cell>
          <cell r="J17">
            <v>7.4882157892973327</v>
          </cell>
          <cell r="K17">
            <v>7.4793985609899192</v>
          </cell>
          <cell r="L17">
            <v>7.5998658181596994</v>
          </cell>
          <cell r="M17">
            <v>7.6386197183897657</v>
          </cell>
          <cell r="N17">
            <v>7.8364434763980828</v>
          </cell>
          <cell r="O17">
            <v>8.3453927270232402</v>
          </cell>
          <cell r="P17">
            <v>8.4225022906685112</v>
          </cell>
          <cell r="Q17">
            <v>8.4821017016717537</v>
          </cell>
          <cell r="R17">
            <v>8.3779546873398356</v>
          </cell>
          <cell r="S17">
            <v>8.4850652821415888</v>
          </cell>
          <cell r="T17">
            <v>8.4850652821415888</v>
          </cell>
          <cell r="U17">
            <v>8.4850652821415888</v>
          </cell>
          <cell r="V17">
            <v>8.4850652821415888</v>
          </cell>
          <cell r="W17">
            <v>8.4850652821415888</v>
          </cell>
          <cell r="X17">
            <v>8.4850652821415888</v>
          </cell>
          <cell r="Y17">
            <v>8.4850652821415888</v>
          </cell>
          <cell r="Z17">
            <v>8.4850652821415888</v>
          </cell>
          <cell r="AA17">
            <v>8.4850652821415888</v>
          </cell>
          <cell r="AB17">
            <v>8.4850652821415888</v>
          </cell>
          <cell r="AC17">
            <v>8.4850652821415888</v>
          </cell>
          <cell r="AD17">
            <v>8.4850652821415888</v>
          </cell>
          <cell r="AE17">
            <v>8.4850652821415888</v>
          </cell>
          <cell r="AF17">
            <v>8.4850652821415888</v>
          </cell>
        </row>
        <row r="18">
          <cell r="A18" t="str">
            <v>Iowa</v>
          </cell>
          <cell r="B18">
            <v>8.4319270136580684</v>
          </cell>
          <cell r="C18">
            <v>8.4254266920559697</v>
          </cell>
          <cell r="D18">
            <v>8.3844965396167908</v>
          </cell>
          <cell r="E18">
            <v>7.8835534895201489</v>
          </cell>
          <cell r="F18">
            <v>7.9283946300372437</v>
          </cell>
          <cell r="G18">
            <v>8.0820703970029459</v>
          </cell>
          <cell r="H18">
            <v>7.3918795420737533</v>
          </cell>
          <cell r="I18">
            <v>7.4770832324212195</v>
          </cell>
          <cell r="J18">
            <v>7.7433219589878828</v>
          </cell>
          <cell r="K18">
            <v>7.8282366091835307</v>
          </cell>
          <cell r="L18">
            <v>8.0145642546103275</v>
          </cell>
          <cell r="M18">
            <v>7.9374474714606569</v>
          </cell>
          <cell r="N18">
            <v>7.9799316956708655</v>
          </cell>
          <cell r="O18">
            <v>8.1608227130398259</v>
          </cell>
          <cell r="P18">
            <v>8.4002010886660887</v>
          </cell>
          <cell r="Q18">
            <v>8.5651173747774791</v>
          </cell>
          <cell r="R18">
            <v>8.4418011507471853</v>
          </cell>
          <cell r="S18">
            <v>8.4316513303872398</v>
          </cell>
          <cell r="T18">
            <v>8.4316513303872398</v>
          </cell>
          <cell r="U18">
            <v>8.4316513303872398</v>
          </cell>
          <cell r="V18">
            <v>8.4316513303872398</v>
          </cell>
          <cell r="W18">
            <v>8.4316513303872398</v>
          </cell>
          <cell r="X18">
            <v>8.4316513303872398</v>
          </cell>
          <cell r="Y18">
            <v>8.4316513303872398</v>
          </cell>
          <cell r="Z18">
            <v>8.4316513303872398</v>
          </cell>
          <cell r="AA18">
            <v>8.4316513303872398</v>
          </cell>
          <cell r="AB18">
            <v>8.4316513303872398</v>
          </cell>
          <cell r="AC18">
            <v>8.4316513303872398</v>
          </cell>
          <cell r="AD18">
            <v>8.4316513303872398</v>
          </cell>
          <cell r="AE18">
            <v>8.4316513303872398</v>
          </cell>
          <cell r="AF18">
            <v>8.4316513303872398</v>
          </cell>
        </row>
        <row r="19">
          <cell r="A19" t="str">
            <v>Kansas</v>
          </cell>
          <cell r="B19">
            <v>7.7230757040662033</v>
          </cell>
          <cell r="C19">
            <v>7.7522578005251894</v>
          </cell>
          <cell r="D19">
            <v>8.0387579890502483</v>
          </cell>
          <cell r="E19">
            <v>7.3603297217776715</v>
          </cell>
          <cell r="F19">
            <v>7.6422162770629507</v>
          </cell>
          <cell r="G19">
            <v>7.6337235057542188</v>
          </cell>
          <cell r="H19">
            <v>7.1359640599581375</v>
          </cell>
          <cell r="I19">
            <v>7.4309594413513853</v>
          </cell>
          <cell r="J19">
            <v>7.4723018734243167</v>
          </cell>
          <cell r="K19">
            <v>7.5443985118007877</v>
          </cell>
          <cell r="L19">
            <v>7.6849034357263148</v>
          </cell>
          <cell r="M19">
            <v>7.7666975865395598</v>
          </cell>
          <cell r="N19">
            <v>8.1648368625701817</v>
          </cell>
          <cell r="O19">
            <v>8.2169329248924665</v>
          </cell>
          <cell r="P19">
            <v>8.3180017451451587</v>
          </cell>
          <cell r="Q19">
            <v>8.5323766439623672</v>
          </cell>
          <cell r="R19">
            <v>8.6362189130705893</v>
          </cell>
          <cell r="S19">
            <v>8.3475780710612533</v>
          </cell>
          <cell r="T19">
            <v>8.3475780710612533</v>
          </cell>
          <cell r="U19">
            <v>8.3475780710612533</v>
          </cell>
          <cell r="V19">
            <v>8.3475780710612533</v>
          </cell>
          <cell r="W19">
            <v>8.3475780710612533</v>
          </cell>
          <cell r="X19">
            <v>8.3475780710612533</v>
          </cell>
          <cell r="Y19">
            <v>8.3475780710612533</v>
          </cell>
          <cell r="Z19">
            <v>8.3475780710612533</v>
          </cell>
          <cell r="AA19">
            <v>8.3475780710612533</v>
          </cell>
          <cell r="AB19">
            <v>8.3475780710612533</v>
          </cell>
          <cell r="AC19">
            <v>8.3475780710612533</v>
          </cell>
          <cell r="AD19">
            <v>8.3475780710612533</v>
          </cell>
          <cell r="AE19">
            <v>8.3475780710612533</v>
          </cell>
          <cell r="AF19">
            <v>8.3475780710612533</v>
          </cell>
        </row>
        <row r="20">
          <cell r="A20" t="str">
            <v>Kentucky</v>
          </cell>
          <cell r="B20">
            <v>7.4773937851894869</v>
          </cell>
          <cell r="C20">
            <v>7.5566323597366365</v>
          </cell>
          <cell r="D20">
            <v>7.6832316690549876</v>
          </cell>
          <cell r="E20">
            <v>7.4481991827074623</v>
          </cell>
          <cell r="F20">
            <v>7.4758426683814427</v>
          </cell>
          <cell r="G20">
            <v>7.61632867579221</v>
          </cell>
          <cell r="H20">
            <v>7.2593811954963892</v>
          </cell>
          <cell r="I20">
            <v>7.2870061781292073</v>
          </cell>
          <cell r="J20">
            <v>7.2742551034349141</v>
          </cell>
          <cell r="K20">
            <v>7.3258653588623623</v>
          </cell>
          <cell r="L20">
            <v>7.4365659516315681</v>
          </cell>
          <cell r="M20">
            <v>7.4573266957481064</v>
          </cell>
          <cell r="N20">
            <v>7.5248693885097575</v>
          </cell>
          <cell r="O20">
            <v>7.3694034324093165</v>
          </cell>
          <cell r="P20">
            <v>7.4465829652402169</v>
          </cell>
          <cell r="Q20">
            <v>7.4385413177822146</v>
          </cell>
          <cell r="R20">
            <v>7.5420711227701487</v>
          </cell>
          <cell r="S20">
            <v>7.6956650734238199</v>
          </cell>
          <cell r="T20">
            <v>7.6956650734238199</v>
          </cell>
          <cell r="U20">
            <v>7.6956650734238199</v>
          </cell>
          <cell r="V20">
            <v>7.6956650734238199</v>
          </cell>
          <cell r="W20">
            <v>7.6956650734238199</v>
          </cell>
          <cell r="X20">
            <v>7.6956650734238199</v>
          </cell>
          <cell r="Y20">
            <v>7.6956650734238199</v>
          </cell>
          <cell r="Z20">
            <v>7.6956650734238199</v>
          </cell>
          <cell r="AA20">
            <v>7.6956650734238199</v>
          </cell>
          <cell r="AB20">
            <v>7.6956650734238199</v>
          </cell>
          <cell r="AC20">
            <v>7.6956650734238199</v>
          </cell>
          <cell r="AD20">
            <v>7.6956650734238199</v>
          </cell>
          <cell r="AE20">
            <v>7.6956650734238199</v>
          </cell>
          <cell r="AF20">
            <v>7.6956650734238199</v>
          </cell>
        </row>
        <row r="21">
          <cell r="A21" t="str">
            <v>Louisiana</v>
          </cell>
          <cell r="B21">
            <v>8.2162767170974433</v>
          </cell>
          <cell r="C21">
            <v>8.2377654463059855</v>
          </cell>
          <cell r="D21">
            <v>8.3374457656939267</v>
          </cell>
          <cell r="E21">
            <v>7.5341171395089486</v>
          </cell>
          <cell r="F21">
            <v>7.4988201329014021</v>
          </cell>
          <cell r="G21">
            <v>7.5543197707317011</v>
          </cell>
          <cell r="H21">
            <v>6.9246190117814788</v>
          </cell>
          <cell r="I21">
            <v>6.8955750498447328</v>
          </cell>
          <cell r="J21">
            <v>6.8677868693587403</v>
          </cell>
          <cell r="K21">
            <v>6.8006659333404915</v>
          </cell>
          <cell r="L21">
            <v>6.896634185170087</v>
          </cell>
          <cell r="M21">
            <v>6.8007356224856803</v>
          </cell>
          <cell r="N21">
            <v>6.8916489744525027</v>
          </cell>
          <cell r="O21">
            <v>6.8934904577381708</v>
          </cell>
          <cell r="P21">
            <v>7.0291766373133147</v>
          </cell>
          <cell r="Q21">
            <v>6.9771660319366857</v>
          </cell>
          <cell r="R21">
            <v>6.9708316966008725</v>
          </cell>
          <cell r="S21">
            <v>6.884549943411816</v>
          </cell>
          <cell r="T21">
            <v>6.884549943411816</v>
          </cell>
          <cell r="U21">
            <v>6.884549943411816</v>
          </cell>
          <cell r="V21">
            <v>6.884549943411816</v>
          </cell>
          <cell r="W21">
            <v>6.884549943411816</v>
          </cell>
          <cell r="X21">
            <v>6.884549943411816</v>
          </cell>
          <cell r="Y21">
            <v>6.884549943411816</v>
          </cell>
          <cell r="Z21">
            <v>6.884549943411816</v>
          </cell>
          <cell r="AA21">
            <v>6.884549943411816</v>
          </cell>
          <cell r="AB21">
            <v>6.884549943411816</v>
          </cell>
          <cell r="AC21">
            <v>6.884549943411816</v>
          </cell>
          <cell r="AD21">
            <v>6.884549943411816</v>
          </cell>
          <cell r="AE21">
            <v>6.884549943411816</v>
          </cell>
          <cell r="AF21">
            <v>6.884549943411816</v>
          </cell>
        </row>
        <row r="22">
          <cell r="A22" t="str">
            <v>Maine</v>
          </cell>
          <cell r="B22">
            <v>7.5356438126267005</v>
          </cell>
          <cell r="C22">
            <v>7.5778743624091058</v>
          </cell>
          <cell r="D22">
            <v>7.7990338218750219</v>
          </cell>
          <cell r="E22">
            <v>7.6191842046069906</v>
          </cell>
          <cell r="F22">
            <v>7.6658475996654349</v>
          </cell>
          <cell r="G22">
            <v>7.6781735397011799</v>
          </cell>
          <cell r="H22">
            <v>7.4167329853242299</v>
          </cell>
          <cell r="I22">
            <v>7.4986239079663868</v>
          </cell>
          <cell r="J22">
            <v>7.6039123802850872</v>
          </cell>
          <cell r="K22">
            <v>7.560599462922835</v>
          </cell>
          <cell r="L22">
            <v>7.7340980695651096</v>
          </cell>
          <cell r="M22">
            <v>7.7424031770162589</v>
          </cell>
          <cell r="N22">
            <v>7.8669203378160661</v>
          </cell>
          <cell r="O22">
            <v>7.890624971769471</v>
          </cell>
          <cell r="P22">
            <v>7.9317375083228328</v>
          </cell>
          <cell r="Q22">
            <v>7.9390049467757935</v>
          </cell>
          <cell r="R22">
            <v>7.9167485209356219</v>
          </cell>
          <cell r="S22">
            <v>7.8808657733025393</v>
          </cell>
          <cell r="T22">
            <v>7.8808657733025393</v>
          </cell>
          <cell r="U22">
            <v>7.8808657733025393</v>
          </cell>
          <cell r="V22">
            <v>7.8808657733025393</v>
          </cell>
          <cell r="W22">
            <v>7.8808657733025393</v>
          </cell>
          <cell r="X22">
            <v>7.8808657733025393</v>
          </cell>
          <cell r="Y22">
            <v>7.8808657733025393</v>
          </cell>
          <cell r="Z22">
            <v>7.8808657733025393</v>
          </cell>
          <cell r="AA22">
            <v>7.8808657733025393</v>
          </cell>
          <cell r="AB22">
            <v>7.8808657733025393</v>
          </cell>
          <cell r="AC22">
            <v>7.8808657733025393</v>
          </cell>
          <cell r="AD22">
            <v>7.8808657733025393</v>
          </cell>
          <cell r="AE22">
            <v>7.8808657733025393</v>
          </cell>
          <cell r="AF22">
            <v>7.8808657733025393</v>
          </cell>
        </row>
        <row r="23">
          <cell r="A23" t="str">
            <v>Maryland</v>
          </cell>
          <cell r="B23">
            <v>7.242157767018484</v>
          </cell>
          <cell r="C23">
            <v>7.5003078807671857</v>
          </cell>
          <cell r="D23">
            <v>7.6828480888650033</v>
          </cell>
          <cell r="E23">
            <v>7.285707159245872</v>
          </cell>
          <cell r="F23">
            <v>7.3049062234313658</v>
          </cell>
          <cell r="G23">
            <v>7.3577619564294823</v>
          </cell>
          <cell r="H23">
            <v>7.2430004733567683</v>
          </cell>
          <cell r="I23">
            <v>7.3240957837429175</v>
          </cell>
          <cell r="J23">
            <v>7.3631365874162045</v>
          </cell>
          <cell r="K23">
            <v>7.4328527378833824</v>
          </cell>
          <cell r="L23">
            <v>7.4835132898100829</v>
          </cell>
          <cell r="M23">
            <v>7.3994461769982802</v>
          </cell>
          <cell r="N23">
            <v>7.4668944482627468</v>
          </cell>
          <cell r="O23">
            <v>7.3506264599806626</v>
          </cell>
          <cell r="P23">
            <v>7.3807915590152211</v>
          </cell>
          <cell r="Q23">
            <v>7.4487126531869778</v>
          </cell>
          <cell r="R23">
            <v>7.7593643204450569</v>
          </cell>
          <cell r="S23">
            <v>7.9358722861708575</v>
          </cell>
          <cell r="T23">
            <v>7.9358722861708575</v>
          </cell>
          <cell r="U23">
            <v>7.9358722861708575</v>
          </cell>
          <cell r="V23">
            <v>7.9358722861708575</v>
          </cell>
          <cell r="W23">
            <v>7.9358722861708575</v>
          </cell>
          <cell r="X23">
            <v>7.9358722861708575</v>
          </cell>
          <cell r="Y23">
            <v>7.9358722861708575</v>
          </cell>
          <cell r="Z23">
            <v>7.9358722861708575</v>
          </cell>
          <cell r="AA23">
            <v>7.9358722861708575</v>
          </cell>
          <cell r="AB23">
            <v>7.9358722861708575</v>
          </cell>
          <cell r="AC23">
            <v>7.9358722861708575</v>
          </cell>
          <cell r="AD23">
            <v>7.9358722861708575</v>
          </cell>
          <cell r="AE23">
            <v>7.9358722861708575</v>
          </cell>
          <cell r="AF23">
            <v>7.9358722861708575</v>
          </cell>
        </row>
        <row r="24">
          <cell r="A24" t="str">
            <v>Massachusetts</v>
          </cell>
          <cell r="B24">
            <v>7.5994761334597758</v>
          </cell>
          <cell r="C24">
            <v>7.6321709348629776</v>
          </cell>
          <cell r="D24">
            <v>7.7466027397742003</v>
          </cell>
          <cell r="E24">
            <v>7.528868399312481</v>
          </cell>
          <cell r="F24">
            <v>7.5955036986032693</v>
          </cell>
          <cell r="G24">
            <v>7.6720107414255478</v>
          </cell>
          <cell r="H24">
            <v>7.5345868517109231</v>
          </cell>
          <cell r="I24">
            <v>7.6295594308887953</v>
          </cell>
          <cell r="J24">
            <v>7.66645565688078</v>
          </cell>
          <cell r="K24">
            <v>7.6553865885928953</v>
          </cell>
          <cell r="L24">
            <v>7.7251535299307008</v>
          </cell>
          <cell r="M24">
            <v>7.6919140442778486</v>
          </cell>
          <cell r="N24">
            <v>7.7375947518317103</v>
          </cell>
          <cell r="O24">
            <v>7.8055145094016209</v>
          </cell>
          <cell r="P24">
            <v>7.790664862758109</v>
          </cell>
          <cell r="Q24">
            <v>7.706021208589183</v>
          </cell>
          <cell r="R24">
            <v>7.7818476344506911</v>
          </cell>
          <cell r="S24">
            <v>7.6919140442778486</v>
          </cell>
          <cell r="T24">
            <v>7.6919140442778486</v>
          </cell>
          <cell r="U24">
            <v>7.6919140442778486</v>
          </cell>
          <cell r="V24">
            <v>7.6919140442778486</v>
          </cell>
          <cell r="W24">
            <v>7.6919140442778486</v>
          </cell>
          <cell r="X24">
            <v>7.6919140442778486</v>
          </cell>
          <cell r="Y24">
            <v>7.6919140442778486</v>
          </cell>
          <cell r="Z24">
            <v>7.6919140442778486</v>
          </cell>
          <cell r="AA24">
            <v>7.6919140442778486</v>
          </cell>
          <cell r="AB24">
            <v>7.6919140442778486</v>
          </cell>
          <cell r="AC24">
            <v>7.6919140442778486</v>
          </cell>
          <cell r="AD24">
            <v>7.6919140442778486</v>
          </cell>
          <cell r="AE24">
            <v>7.6919140442778486</v>
          </cell>
          <cell r="AF24">
            <v>7.6919140442778486</v>
          </cell>
        </row>
        <row r="25">
          <cell r="A25" t="str">
            <v>Michigan</v>
          </cell>
          <cell r="B25">
            <v>8.5089607394160325</v>
          </cell>
          <cell r="C25">
            <v>8.5913412720527234</v>
          </cell>
          <cell r="D25">
            <v>8.7675065534510939</v>
          </cell>
          <cell r="E25">
            <v>8.1716204064758351</v>
          </cell>
          <cell r="F25">
            <v>8.2843474930387817</v>
          </cell>
          <cell r="G25">
            <v>8.3270452576021814</v>
          </cell>
          <cell r="H25">
            <v>7.6958568879534432</v>
          </cell>
          <cell r="I25">
            <v>7.8663688577437858</v>
          </cell>
          <cell r="J25">
            <v>7.9295396689118531</v>
          </cell>
          <cell r="K25">
            <v>8.0017271962146612</v>
          </cell>
          <cell r="L25">
            <v>8.1869955846688907</v>
          </cell>
          <cell r="M25">
            <v>8.261000019853153</v>
          </cell>
          <cell r="N25">
            <v>8.4910599414751733</v>
          </cell>
          <cell r="O25">
            <v>8.6774139847886893</v>
          </cell>
          <cell r="P25">
            <v>8.6250886952476939</v>
          </cell>
          <cell r="Q25">
            <v>8.8034037466856496</v>
          </cell>
          <cell r="R25">
            <v>8.9472401507424664</v>
          </cell>
          <cell r="S25">
            <v>9.0542548443609387</v>
          </cell>
          <cell r="T25">
            <v>9.0542548443609387</v>
          </cell>
          <cell r="U25">
            <v>9.0542548443609387</v>
          </cell>
          <cell r="V25">
            <v>9.0542548443609387</v>
          </cell>
          <cell r="W25">
            <v>9.0542548443609387</v>
          </cell>
          <cell r="X25">
            <v>9.0542548443609387</v>
          </cell>
          <cell r="Y25">
            <v>9.0542548443609387</v>
          </cell>
          <cell r="Z25">
            <v>9.0542548443609387</v>
          </cell>
          <cell r="AA25">
            <v>9.0542548443609387</v>
          </cell>
          <cell r="AB25">
            <v>9.0542548443609387</v>
          </cell>
          <cell r="AC25">
            <v>9.0542548443609387</v>
          </cell>
          <cell r="AD25">
            <v>9.0542548443609387</v>
          </cell>
          <cell r="AE25">
            <v>9.0542548443609387</v>
          </cell>
          <cell r="AF25">
            <v>9.0542548443609387</v>
          </cell>
        </row>
        <row r="26">
          <cell r="A26" t="str">
            <v>Minnesota</v>
          </cell>
          <cell r="B26">
            <v>8.1555648558475387</v>
          </cell>
          <cell r="C26">
            <v>8.2188989916221225</v>
          </cell>
          <cell r="D26">
            <v>8.4259655687556094</v>
          </cell>
          <cell r="E26">
            <v>7.8598866111990722</v>
          </cell>
          <cell r="F26">
            <v>7.8793734198529233</v>
          </cell>
          <cell r="G26">
            <v>8.0225950481078367</v>
          </cell>
          <cell r="H26">
            <v>7.5096004165755925</v>
          </cell>
          <cell r="I26">
            <v>7.5082050042357338</v>
          </cell>
          <cell r="J26">
            <v>7.6633082936554118</v>
          </cell>
          <cell r="K26">
            <v>7.7970807540216631</v>
          </cell>
          <cell r="L26">
            <v>7.8897309874710819</v>
          </cell>
          <cell r="M26">
            <v>7.7586883340553623</v>
          </cell>
          <cell r="N26">
            <v>7.780062602669183</v>
          </cell>
          <cell r="O26">
            <v>7.8019387652807355</v>
          </cell>
          <cell r="P26">
            <v>7.8115666426151069</v>
          </cell>
          <cell r="Q26">
            <v>7.9534432541974818</v>
          </cell>
          <cell r="R26">
            <v>8.0756317204099997</v>
          </cell>
          <cell r="S26">
            <v>8.1277672124871234</v>
          </cell>
          <cell r="T26">
            <v>8.1277672124871234</v>
          </cell>
          <cell r="U26">
            <v>8.1277672124871234</v>
          </cell>
          <cell r="V26">
            <v>8.1277672124871234</v>
          </cell>
          <cell r="W26">
            <v>8.1277672124871234</v>
          </cell>
          <cell r="X26">
            <v>8.1277672124871234</v>
          </cell>
          <cell r="Y26">
            <v>8.1277672124871234</v>
          </cell>
          <cell r="Z26">
            <v>8.1277672124871234</v>
          </cell>
          <cell r="AA26">
            <v>8.1277672124871234</v>
          </cell>
          <cell r="AB26">
            <v>8.1277672124871234</v>
          </cell>
          <cell r="AC26">
            <v>8.1277672124871234</v>
          </cell>
          <cell r="AD26">
            <v>8.1277672124871234</v>
          </cell>
          <cell r="AE26">
            <v>8.1277672124871234</v>
          </cell>
          <cell r="AF26">
            <v>8.1277672124871234</v>
          </cell>
        </row>
        <row r="27">
          <cell r="A27" t="str">
            <v>Mississippi</v>
          </cell>
          <cell r="B27">
            <v>7.7936159181722431</v>
          </cell>
          <cell r="C27">
            <v>7.7985555564992355</v>
          </cell>
          <cell r="D27">
            <v>7.9384354374011012</v>
          </cell>
          <cell r="E27">
            <v>7.6587890757791026</v>
          </cell>
          <cell r="F27">
            <v>7.7118550266102526</v>
          </cell>
          <cell r="G27">
            <v>7.7345737709561622</v>
          </cell>
          <cell r="H27">
            <v>7.4523796517781546</v>
          </cell>
          <cell r="I27">
            <v>7.6045307110155953</v>
          </cell>
          <cell r="J27">
            <v>7.6812934005283724</v>
          </cell>
          <cell r="K27">
            <v>7.8731272218425961</v>
          </cell>
          <cell r="L27">
            <v>8.0030181260866939</v>
          </cell>
          <cell r="M27">
            <v>7.7762500898474789</v>
          </cell>
          <cell r="N27">
            <v>7.7396819232989698</v>
          </cell>
          <cell r="O27">
            <v>7.6325333408646543</v>
          </cell>
          <cell r="P27">
            <v>7.7340388392107782</v>
          </cell>
          <cell r="Q27">
            <v>8.0559963474012957</v>
          </cell>
          <cell r="R27">
            <v>7.9722079532361185</v>
          </cell>
          <cell r="S27">
            <v>8.0944801886965028</v>
          </cell>
          <cell r="T27">
            <v>8.0944801886965028</v>
          </cell>
          <cell r="U27">
            <v>8.0944801886965028</v>
          </cell>
          <cell r="V27">
            <v>8.0944801886965028</v>
          </cell>
          <cell r="W27">
            <v>8.0944801886965028</v>
          </cell>
          <cell r="X27">
            <v>8.0944801886965028</v>
          </cell>
          <cell r="Y27">
            <v>8.0944801886965028</v>
          </cell>
          <cell r="Z27">
            <v>8.0944801886965028</v>
          </cell>
          <cell r="AA27">
            <v>8.0944801886965028</v>
          </cell>
          <cell r="AB27">
            <v>8.0944801886965028</v>
          </cell>
          <cell r="AC27">
            <v>8.0944801886965028</v>
          </cell>
          <cell r="AD27">
            <v>8.0944801886965028</v>
          </cell>
          <cell r="AE27">
            <v>8.0944801886965028</v>
          </cell>
          <cell r="AF27">
            <v>8.0944801886965028</v>
          </cell>
        </row>
        <row r="28">
          <cell r="A28" t="str">
            <v>Missouri</v>
          </cell>
          <cell r="B28">
            <v>8.0176831313021104</v>
          </cell>
          <cell r="C28">
            <v>7.967049701592452</v>
          </cell>
          <cell r="D28">
            <v>8.1993137180603739</v>
          </cell>
          <cell r="E28">
            <v>7.4263386370572588</v>
          </cell>
          <cell r="F28">
            <v>7.4763163832733674</v>
          </cell>
          <cell r="G28">
            <v>7.573621038285169</v>
          </cell>
          <cell r="H28">
            <v>6.8455211444935999</v>
          </cell>
          <cell r="I28">
            <v>6.8267084733408083</v>
          </cell>
          <cell r="J28">
            <v>6.9655413083418329</v>
          </cell>
          <cell r="K28">
            <v>7.0004723954518999</v>
          </cell>
          <cell r="L28">
            <v>7.1427249263068919</v>
          </cell>
          <cell r="M28">
            <v>6.8384730405511718</v>
          </cell>
          <cell r="N28">
            <v>7.0214585130317637</v>
          </cell>
          <cell r="O28">
            <v>7.1211710165489386</v>
          </cell>
          <cell r="P28">
            <v>7.2456848358441395</v>
          </cell>
          <cell r="Q28">
            <v>7.4582396170810545</v>
          </cell>
          <cell r="R28">
            <v>7.4520905802328317</v>
          </cell>
          <cell r="S28">
            <v>7.2079843096840355</v>
          </cell>
          <cell r="T28">
            <v>7.2079843096840355</v>
          </cell>
          <cell r="U28">
            <v>7.2079843096840355</v>
          </cell>
          <cell r="V28">
            <v>7.2079843096840355</v>
          </cell>
          <cell r="W28">
            <v>7.2079843096840355</v>
          </cell>
          <cell r="X28">
            <v>7.2079843096840355</v>
          </cell>
          <cell r="Y28">
            <v>7.2079843096840355</v>
          </cell>
          <cell r="Z28">
            <v>7.2079843096840355</v>
          </cell>
          <cell r="AA28">
            <v>7.2079843096840355</v>
          </cell>
          <cell r="AB28">
            <v>7.2079843096840355</v>
          </cell>
          <cell r="AC28">
            <v>7.2079843096840355</v>
          </cell>
          <cell r="AD28">
            <v>7.2079843096840355</v>
          </cell>
          <cell r="AE28">
            <v>7.2079843096840355</v>
          </cell>
          <cell r="AF28">
            <v>7.2079843096840355</v>
          </cell>
        </row>
        <row r="29">
          <cell r="A29" t="str">
            <v>Montana</v>
          </cell>
          <cell r="B29">
            <v>7.9924142043593704</v>
          </cell>
          <cell r="C29">
            <v>8.0505068220696856</v>
          </cell>
          <cell r="D29">
            <v>8.180836502427546</v>
          </cell>
          <cell r="E29">
            <v>7.5210202064475427</v>
          </cell>
          <cell r="F29">
            <v>7.6929087222056109</v>
          </cell>
          <cell r="G29">
            <v>7.7914503145426162</v>
          </cell>
          <cell r="H29">
            <v>7.3076425490201338</v>
          </cell>
          <cell r="I29">
            <v>7.3499272854030444</v>
          </cell>
          <cell r="J29">
            <v>7.5034984949428747</v>
          </cell>
          <cell r="K29">
            <v>7.663380804306227</v>
          </cell>
          <cell r="L29">
            <v>7.8926858800288633</v>
          </cell>
          <cell r="M29">
            <v>7.9822266410612226</v>
          </cell>
          <cell r="N29">
            <v>8.158237390895783</v>
          </cell>
          <cell r="O29">
            <v>8.2115317167838864</v>
          </cell>
          <cell r="P29">
            <v>8.2515021270495197</v>
          </cell>
          <cell r="Q29">
            <v>8.3104061709360355</v>
          </cell>
          <cell r="R29">
            <v>8.0832049065380289</v>
          </cell>
          <cell r="S29">
            <v>8.0516490732700987</v>
          </cell>
          <cell r="T29">
            <v>8.0516490732700987</v>
          </cell>
          <cell r="U29">
            <v>8.0516490732700987</v>
          </cell>
          <cell r="V29">
            <v>8.0516490732700987</v>
          </cell>
          <cell r="W29">
            <v>8.0516490732700987</v>
          </cell>
          <cell r="X29">
            <v>8.0516490732700987</v>
          </cell>
          <cell r="Y29">
            <v>8.0516490732700987</v>
          </cell>
          <cell r="Z29">
            <v>8.0516490732700987</v>
          </cell>
          <cell r="AA29">
            <v>8.0516490732700987</v>
          </cell>
          <cell r="AB29">
            <v>8.0516490732700987</v>
          </cell>
          <cell r="AC29">
            <v>8.0516490732700987</v>
          </cell>
          <cell r="AD29">
            <v>8.0516490732700987</v>
          </cell>
          <cell r="AE29">
            <v>8.0516490732700987</v>
          </cell>
          <cell r="AF29">
            <v>8.0516490732700987</v>
          </cell>
        </row>
        <row r="30">
          <cell r="A30" t="str">
            <v>Nebraska</v>
          </cell>
          <cell r="B30">
            <v>8.0828471944418308</v>
          </cell>
          <cell r="C30">
            <v>8.0959709983625281</v>
          </cell>
          <cell r="D30">
            <v>8.1138809753641272</v>
          </cell>
          <cell r="E30">
            <v>7.4602235835914072</v>
          </cell>
          <cell r="F30">
            <v>7.6402783365041556</v>
          </cell>
          <cell r="G30">
            <v>7.7390167143247579</v>
          </cell>
          <cell r="H30">
            <v>7.2758401127093908</v>
          </cell>
          <cell r="I30">
            <v>7.2410827838408469</v>
          </cell>
          <cell r="J30">
            <v>7.2237042864818228</v>
          </cell>
          <cell r="K30">
            <v>7.3176894510370332</v>
          </cell>
          <cell r="L30">
            <v>7.5865953666115331</v>
          </cell>
          <cell r="M30">
            <v>7.4987226141592327</v>
          </cell>
          <cell r="N30">
            <v>7.7921388004571499</v>
          </cell>
          <cell r="O30">
            <v>7.8455507473087263</v>
          </cell>
          <cell r="P30">
            <v>7.7390924142137312</v>
          </cell>
          <cell r="Q30">
            <v>7.9197461847528903</v>
          </cell>
          <cell r="R30">
            <v>8.0103681248826479</v>
          </cell>
          <cell r="S30">
            <v>7.9845800627828778</v>
          </cell>
          <cell r="T30">
            <v>7.9845800627828778</v>
          </cell>
          <cell r="U30">
            <v>7.9845800627828778</v>
          </cell>
          <cell r="V30">
            <v>7.9845800627828778</v>
          </cell>
          <cell r="W30">
            <v>7.9845800627828778</v>
          </cell>
          <cell r="X30">
            <v>7.9845800627828778</v>
          </cell>
          <cell r="Y30">
            <v>7.9845800627828778</v>
          </cell>
          <cell r="Z30">
            <v>7.9845800627828778</v>
          </cell>
          <cell r="AA30">
            <v>7.9845800627828778</v>
          </cell>
          <cell r="AB30">
            <v>7.9845800627828778</v>
          </cell>
          <cell r="AC30">
            <v>7.9845800627828778</v>
          </cell>
          <cell r="AD30">
            <v>7.9845800627828778</v>
          </cell>
          <cell r="AE30">
            <v>7.9845800627828778</v>
          </cell>
          <cell r="AF30">
            <v>7.9845800627828778</v>
          </cell>
        </row>
        <row r="31">
          <cell r="A31" t="str">
            <v>Nevada</v>
          </cell>
          <cell r="B31">
            <v>8.7894458673324163</v>
          </cell>
          <cell r="C31">
            <v>9.0961751064137406</v>
          </cell>
          <cell r="D31">
            <v>9.1380019621137905</v>
          </cell>
          <cell r="E31">
            <v>9.0079177509949684</v>
          </cell>
          <cell r="F31">
            <v>9.1620678849807753</v>
          </cell>
          <cell r="G31">
            <v>9.1048637367120886</v>
          </cell>
          <cell r="H31">
            <v>9.3331243140931424</v>
          </cell>
          <cell r="I31">
            <v>9.2082512271532746</v>
          </cell>
          <cell r="J31">
            <v>9.4728124491702914</v>
          </cell>
          <cell r="K31">
            <v>9.1790435964771149</v>
          </cell>
          <cell r="L31">
            <v>9.3991585239945525</v>
          </cell>
          <cell r="M31">
            <v>9.4850882545838076</v>
          </cell>
          <cell r="N31">
            <v>9.661180503287838</v>
          </cell>
          <cell r="O31">
            <v>9.4850882545838076</v>
          </cell>
          <cell r="P31">
            <v>9.7492262442772688</v>
          </cell>
          <cell r="Q31">
            <v>10.112415932185485</v>
          </cell>
          <cell r="R31">
            <v>9.6909367258616683</v>
          </cell>
          <cell r="S31">
            <v>9.7520796121977149</v>
          </cell>
          <cell r="T31">
            <v>9.7520796121977149</v>
          </cell>
          <cell r="U31">
            <v>9.7520796121977149</v>
          </cell>
          <cell r="V31">
            <v>9.7520796121977149</v>
          </cell>
          <cell r="W31">
            <v>9.7520796121977149</v>
          </cell>
          <cell r="X31">
            <v>9.7520796121977149</v>
          </cell>
          <cell r="Y31">
            <v>9.7520796121977149</v>
          </cell>
          <cell r="Z31">
            <v>9.7520796121977149</v>
          </cell>
          <cell r="AA31">
            <v>9.7520796121977149</v>
          </cell>
          <cell r="AB31">
            <v>9.7520796121977149</v>
          </cell>
          <cell r="AC31">
            <v>9.7520796121977149</v>
          </cell>
          <cell r="AD31">
            <v>9.7520796121977149</v>
          </cell>
          <cell r="AE31">
            <v>9.7520796121977149</v>
          </cell>
          <cell r="AF31">
            <v>9.7520796121977149</v>
          </cell>
        </row>
        <row r="32">
          <cell r="A32" t="str">
            <v>New Hampshire</v>
          </cell>
          <cell r="B32">
            <v>7.6575093353414214</v>
          </cell>
          <cell r="C32">
            <v>7.6683690028773297</v>
          </cell>
          <cell r="D32">
            <v>7.8372919080971624</v>
          </cell>
          <cell r="E32">
            <v>7.5428798176192116</v>
          </cell>
          <cell r="F32">
            <v>7.5857277872376265</v>
          </cell>
          <cell r="G32">
            <v>7.7459674120932949</v>
          </cell>
          <cell r="H32">
            <v>7.5114927106561984</v>
          </cell>
          <cell r="I32">
            <v>7.5594573366351012</v>
          </cell>
          <cell r="J32">
            <v>7.6194132861839705</v>
          </cell>
          <cell r="K32">
            <v>7.6781068152778698</v>
          </cell>
          <cell r="L32">
            <v>7.7832927034039479</v>
          </cell>
          <cell r="M32">
            <v>7.9050903453788024</v>
          </cell>
          <cell r="N32">
            <v>7.9850315000604573</v>
          </cell>
          <cell r="O32">
            <v>8.1865499597550411</v>
          </cell>
          <cell r="P32">
            <v>8.1565719849806158</v>
          </cell>
          <cell r="Q32">
            <v>8.1415829975933764</v>
          </cell>
          <cell r="R32">
            <v>8.2994667530284154</v>
          </cell>
          <cell r="S32">
            <v>8.5826870062022298</v>
          </cell>
          <cell r="T32">
            <v>8.5826870062022298</v>
          </cell>
          <cell r="U32">
            <v>8.5826870062022298</v>
          </cell>
          <cell r="V32">
            <v>8.5826870062022298</v>
          </cell>
          <cell r="W32">
            <v>8.5826870062022298</v>
          </cell>
          <cell r="X32">
            <v>8.5826870062022298</v>
          </cell>
          <cell r="Y32">
            <v>8.5826870062022298</v>
          </cell>
          <cell r="Z32">
            <v>8.5826870062022298</v>
          </cell>
          <cell r="AA32">
            <v>8.5826870062022298</v>
          </cell>
          <cell r="AB32">
            <v>8.5826870062022298</v>
          </cell>
          <cell r="AC32">
            <v>8.5826870062022298</v>
          </cell>
          <cell r="AD32">
            <v>8.5826870062022298</v>
          </cell>
          <cell r="AE32">
            <v>8.5826870062022298</v>
          </cell>
          <cell r="AF32">
            <v>8.5826870062022298</v>
          </cell>
        </row>
        <row r="33">
          <cell r="A33" t="str">
            <v>New Jersey</v>
          </cell>
          <cell r="B33">
            <v>7.2618400318145033</v>
          </cell>
          <cell r="C33">
            <v>7.4193281590167812</v>
          </cell>
          <cell r="D33">
            <v>7.4497341689819363</v>
          </cell>
          <cell r="E33">
            <v>7.3071570771321808</v>
          </cell>
          <cell r="F33">
            <v>7.1173345092218465</v>
          </cell>
          <cell r="G33">
            <v>7.1575287178616627</v>
          </cell>
          <cell r="H33">
            <v>6.8639692574895719</v>
          </cell>
          <cell r="I33">
            <v>7.0409817904168213</v>
          </cell>
          <cell r="J33">
            <v>7.3120603523116472</v>
          </cell>
          <cell r="K33">
            <v>7.5763860674688654</v>
          </cell>
          <cell r="L33">
            <v>7.283660236030693</v>
          </cell>
          <cell r="M33">
            <v>7.6062625923079041</v>
          </cell>
          <cell r="N33">
            <v>7.9686334001643386</v>
          </cell>
          <cell r="O33">
            <v>7.5996741475988472</v>
          </cell>
          <cell r="P33">
            <v>7.611972889596192</v>
          </cell>
          <cell r="Q33">
            <v>7.4520905802328343</v>
          </cell>
          <cell r="R33">
            <v>7.4956945426497139</v>
          </cell>
          <cell r="S33">
            <v>7.6439490841484927</v>
          </cell>
          <cell r="T33">
            <v>7.6439490841484927</v>
          </cell>
          <cell r="U33">
            <v>7.6439490841484927</v>
          </cell>
          <cell r="V33">
            <v>7.6439490841484927</v>
          </cell>
          <cell r="W33">
            <v>7.6439490841484927</v>
          </cell>
          <cell r="X33">
            <v>7.6439490841484927</v>
          </cell>
          <cell r="Y33">
            <v>7.6439490841484927</v>
          </cell>
          <cell r="Z33">
            <v>7.6439490841484927</v>
          </cell>
          <cell r="AA33">
            <v>7.6439490841484927</v>
          </cell>
          <cell r="AB33">
            <v>7.6439490841484927</v>
          </cell>
          <cell r="AC33">
            <v>7.6439490841484927</v>
          </cell>
          <cell r="AD33">
            <v>7.6439490841484927</v>
          </cell>
          <cell r="AE33">
            <v>7.6439490841484927</v>
          </cell>
          <cell r="AF33">
            <v>7.6439490841484927</v>
          </cell>
        </row>
        <row r="34">
          <cell r="A34" t="str">
            <v>New Mexico</v>
          </cell>
          <cell r="B34">
            <v>9.4628047449527042</v>
          </cell>
          <cell r="C34">
            <v>9.6709370313776226</v>
          </cell>
          <cell r="D34">
            <v>9.6777299082463522</v>
          </cell>
          <cell r="E34">
            <v>9.8217748223376358</v>
          </cell>
          <cell r="F34">
            <v>9.7700555539809386</v>
          </cell>
          <cell r="G34">
            <v>9.4423980441189279</v>
          </cell>
          <cell r="H34">
            <v>9.4558804726900814</v>
          </cell>
          <cell r="I34">
            <v>9.6237955968821076</v>
          </cell>
          <cell r="J34">
            <v>9.6810477360699121</v>
          </cell>
          <cell r="K34">
            <v>9.762917505381429</v>
          </cell>
          <cell r="L34">
            <v>9.9230319671463221</v>
          </cell>
          <cell r="M34">
            <v>9.8565325062516553</v>
          </cell>
          <cell r="N34">
            <v>9.9207476605595275</v>
          </cell>
          <cell r="O34">
            <v>9.9331298895616005</v>
          </cell>
          <cell r="P34">
            <v>9.8333222002761627</v>
          </cell>
          <cell r="Q34">
            <v>9.9781657957582723</v>
          </cell>
          <cell r="R34">
            <v>10.060952568437498</v>
          </cell>
          <cell r="S34">
            <v>10.025077878577612</v>
          </cell>
          <cell r="T34">
            <v>10.025077878577612</v>
          </cell>
          <cell r="U34">
            <v>10.025077878577612</v>
          </cell>
          <cell r="V34">
            <v>10.025077878577612</v>
          </cell>
          <cell r="W34">
            <v>10.025077878577612</v>
          </cell>
          <cell r="X34">
            <v>10.025077878577612</v>
          </cell>
          <cell r="Y34">
            <v>10.025077878577612</v>
          </cell>
          <cell r="Z34">
            <v>10.025077878577612</v>
          </cell>
          <cell r="AA34">
            <v>10.025077878577612</v>
          </cell>
          <cell r="AB34">
            <v>10.025077878577612</v>
          </cell>
          <cell r="AC34">
            <v>10.025077878577612</v>
          </cell>
          <cell r="AD34">
            <v>10.025077878577612</v>
          </cell>
          <cell r="AE34">
            <v>10.025077878577612</v>
          </cell>
          <cell r="AF34">
            <v>10.025077878577612</v>
          </cell>
        </row>
        <row r="35">
          <cell r="A35" t="str">
            <v>New York</v>
          </cell>
          <cell r="B35">
            <v>7.5455841507001855</v>
          </cell>
          <cell r="C35">
            <v>7.6335315707109244</v>
          </cell>
          <cell r="D35">
            <v>7.8155732791156138</v>
          </cell>
          <cell r="E35">
            <v>7.5984267514026067</v>
          </cell>
          <cell r="F35">
            <v>7.6417961304392525</v>
          </cell>
          <cell r="G35">
            <v>7.7954473797668573</v>
          </cell>
          <cell r="H35">
            <v>7.5585006638551437</v>
          </cell>
          <cell r="I35">
            <v>7.582238712855041</v>
          </cell>
          <cell r="J35">
            <v>7.6462181681472616</v>
          </cell>
          <cell r="K35">
            <v>7.7598005891459367</v>
          </cell>
          <cell r="L35">
            <v>7.7938969683956758</v>
          </cell>
          <cell r="M35">
            <v>7.8189633972978427</v>
          </cell>
          <cell r="N35">
            <v>7.9558975893594122</v>
          </cell>
          <cell r="O35">
            <v>7.8867033819178447</v>
          </cell>
          <cell r="P35">
            <v>7.8804774904627646</v>
          </cell>
          <cell r="Q35">
            <v>8.0849581940253969</v>
          </cell>
          <cell r="R35">
            <v>8.1426168591306496</v>
          </cell>
          <cell r="S35">
            <v>8.244234688596535</v>
          </cell>
          <cell r="T35">
            <v>8.244234688596535</v>
          </cell>
          <cell r="U35">
            <v>8.244234688596535</v>
          </cell>
          <cell r="V35">
            <v>8.244234688596535</v>
          </cell>
          <cell r="W35">
            <v>8.244234688596535</v>
          </cell>
          <cell r="X35">
            <v>8.244234688596535</v>
          </cell>
          <cell r="Y35">
            <v>8.244234688596535</v>
          </cell>
          <cell r="Z35">
            <v>8.244234688596535</v>
          </cell>
          <cell r="AA35">
            <v>8.244234688596535</v>
          </cell>
          <cell r="AB35">
            <v>8.244234688596535</v>
          </cell>
          <cell r="AC35">
            <v>8.244234688596535</v>
          </cell>
          <cell r="AD35">
            <v>8.244234688596535</v>
          </cell>
          <cell r="AE35">
            <v>8.244234688596535</v>
          </cell>
          <cell r="AF35">
            <v>8.244234688596535</v>
          </cell>
        </row>
        <row r="36">
          <cell r="A36" t="str">
            <v>North Carolina</v>
          </cell>
          <cell r="B36">
            <v>8.669008878412102</v>
          </cell>
          <cell r="C36">
            <v>8.7259608025461564</v>
          </cell>
          <cell r="D36">
            <v>8.7484937743922515</v>
          </cell>
          <cell r="E36">
            <v>8.503064470180659</v>
          </cell>
          <cell r="F36">
            <v>8.6638523501761195</v>
          </cell>
          <cell r="G36">
            <v>8.6496847782298438</v>
          </cell>
          <cell r="H36">
            <v>8.2422118445969463</v>
          </cell>
          <cell r="I36">
            <v>8.3859989697243851</v>
          </cell>
          <cell r="J36">
            <v>8.4309837622654644</v>
          </cell>
          <cell r="K36">
            <v>8.4251645573641056</v>
          </cell>
          <cell r="L36">
            <v>8.448203541691143</v>
          </cell>
          <cell r="M36">
            <v>8.5595087898559044</v>
          </cell>
          <cell r="N36">
            <v>8.6998337695715851</v>
          </cell>
          <cell r="O36">
            <v>8.5312424820488459</v>
          </cell>
          <cell r="P36">
            <v>8.6696568396640359</v>
          </cell>
          <cell r="Q36">
            <v>8.9524126698842537</v>
          </cell>
          <cell r="R36">
            <v>8.8925943905748905</v>
          </cell>
          <cell r="S36">
            <v>9.0681341494425993</v>
          </cell>
          <cell r="T36">
            <v>9.0681341494425993</v>
          </cell>
          <cell r="U36">
            <v>9.0681341494425993</v>
          </cell>
          <cell r="V36">
            <v>9.0681341494425993</v>
          </cell>
          <cell r="W36">
            <v>9.0681341494425993</v>
          </cell>
          <cell r="X36">
            <v>9.0681341494425993</v>
          </cell>
          <cell r="Y36">
            <v>9.0681341494425993</v>
          </cell>
          <cell r="Z36">
            <v>9.0681341494425993</v>
          </cell>
          <cell r="AA36">
            <v>9.0681341494425993</v>
          </cell>
          <cell r="AB36">
            <v>9.0681341494425993</v>
          </cell>
          <cell r="AC36">
            <v>9.0681341494425993</v>
          </cell>
          <cell r="AD36">
            <v>9.0681341494425993</v>
          </cell>
          <cell r="AE36">
            <v>9.0681341494425993</v>
          </cell>
          <cell r="AF36">
            <v>9.0681341494425993</v>
          </cell>
        </row>
        <row r="37">
          <cell r="A37" t="str">
            <v>North Dakota</v>
          </cell>
          <cell r="B37">
            <v>7.7363964874293982</v>
          </cell>
          <cell r="C37">
            <v>7.7359562947107783</v>
          </cell>
          <cell r="D37">
            <v>7.751999823503879</v>
          </cell>
          <cell r="E37">
            <v>7.255889250302598</v>
          </cell>
          <cell r="F37">
            <v>7.2170453816653568</v>
          </cell>
          <cell r="G37">
            <v>7.2983559901499406</v>
          </cell>
          <cell r="H37">
            <v>6.7363211068371687</v>
          </cell>
          <cell r="I37">
            <v>6.6798189364896201</v>
          </cell>
          <cell r="J37">
            <v>6.9462614948396322</v>
          </cell>
          <cell r="K37">
            <v>6.9985640621490157</v>
          </cell>
          <cell r="L37">
            <v>7.0538295416273424</v>
          </cell>
          <cell r="M37">
            <v>6.9724433179924059</v>
          </cell>
          <cell r="N37">
            <v>7.1702978178434664</v>
          </cell>
          <cell r="O37">
            <v>7.1780063349096039</v>
          </cell>
          <cell r="P37">
            <v>7.3251250989794379</v>
          </cell>
          <cell r="Q37">
            <v>7.0160476145597261</v>
          </cell>
          <cell r="R37">
            <v>7.1373221792517869</v>
          </cell>
          <cell r="S37">
            <v>7.2866947882048656</v>
          </cell>
          <cell r="T37">
            <v>7.2866947882048656</v>
          </cell>
          <cell r="U37">
            <v>7.2866947882048656</v>
          </cell>
          <cell r="V37">
            <v>7.2866947882048656</v>
          </cell>
          <cell r="W37">
            <v>7.2866947882048656</v>
          </cell>
          <cell r="X37">
            <v>7.2866947882048656</v>
          </cell>
          <cell r="Y37">
            <v>7.2866947882048656</v>
          </cell>
          <cell r="Z37">
            <v>7.2866947882048656</v>
          </cell>
          <cell r="AA37">
            <v>7.2866947882048656</v>
          </cell>
          <cell r="AB37">
            <v>7.2866947882048656</v>
          </cell>
          <cell r="AC37">
            <v>7.2866947882048656</v>
          </cell>
          <cell r="AD37">
            <v>7.2866947882048656</v>
          </cell>
          <cell r="AE37">
            <v>7.2866947882048656</v>
          </cell>
          <cell r="AF37">
            <v>7.2866947882048656</v>
          </cell>
        </row>
        <row r="38">
          <cell r="A38" t="str">
            <v>Ohio</v>
          </cell>
          <cell r="B38">
            <v>8.0552366598070186</v>
          </cell>
          <cell r="C38">
            <v>8.2446259831855837</v>
          </cell>
          <cell r="D38">
            <v>8.3990629168510349</v>
          </cell>
          <cell r="E38">
            <v>7.8296151651376951</v>
          </cell>
          <cell r="F38">
            <v>7.8820736338507498</v>
          </cell>
          <cell r="G38">
            <v>8.0286413361521056</v>
          </cell>
          <cell r="H38">
            <v>7.3474569110188019</v>
          </cell>
          <cell r="I38">
            <v>7.5479104331829392</v>
          </cell>
          <cell r="J38">
            <v>7.6324946085692034</v>
          </cell>
          <cell r="K38">
            <v>7.7217993275677967</v>
          </cell>
          <cell r="L38">
            <v>7.7097588838795756</v>
          </cell>
          <cell r="M38">
            <v>7.5766140898914953</v>
          </cell>
          <cell r="N38">
            <v>7.711136383900139</v>
          </cell>
          <cell r="O38">
            <v>7.7564819385380765</v>
          </cell>
          <cell r="P38">
            <v>7.7730708383494456</v>
          </cell>
          <cell r="Q38">
            <v>7.8278140406517176</v>
          </cell>
          <cell r="R38">
            <v>7.8687180673152035</v>
          </cell>
          <cell r="S38">
            <v>7.9421646735683495</v>
          </cell>
          <cell r="T38">
            <v>7.9421646735683495</v>
          </cell>
          <cell r="U38">
            <v>7.9421646735683495</v>
          </cell>
          <cell r="V38">
            <v>7.9421646735683495</v>
          </cell>
          <cell r="W38">
            <v>7.9421646735683495</v>
          </cell>
          <cell r="X38">
            <v>7.9421646735683495</v>
          </cell>
          <cell r="Y38">
            <v>7.9421646735683495</v>
          </cell>
          <cell r="Z38">
            <v>7.9421646735683495</v>
          </cell>
          <cell r="AA38">
            <v>7.9421646735683495</v>
          </cell>
          <cell r="AB38">
            <v>7.9421646735683495</v>
          </cell>
          <cell r="AC38">
            <v>7.9421646735683495</v>
          </cell>
          <cell r="AD38">
            <v>7.9421646735683495</v>
          </cell>
          <cell r="AE38">
            <v>7.9421646735683495</v>
          </cell>
          <cell r="AF38">
            <v>7.9421646735683495</v>
          </cell>
        </row>
        <row r="39">
          <cell r="A39" t="str">
            <v>Oklahoma</v>
          </cell>
          <cell r="B39">
            <v>8.4376576997769295</v>
          </cell>
          <cell r="C39">
            <v>8.4458780697727569</v>
          </cell>
          <cell r="D39">
            <v>8.5898413804503289</v>
          </cell>
          <cell r="E39">
            <v>7.8849891996880741</v>
          </cell>
          <cell r="F39">
            <v>7.9721283205133222</v>
          </cell>
          <cell r="G39">
            <v>8.0290899576376624</v>
          </cell>
          <cell r="H39">
            <v>7.2032792811055204</v>
          </cell>
          <cell r="I39">
            <v>7.2872524723304499</v>
          </cell>
          <cell r="J39">
            <v>7.2514480496120308</v>
          </cell>
          <cell r="K39">
            <v>7.2872524723304517</v>
          </cell>
          <cell r="L39">
            <v>7.5060433521637986</v>
          </cell>
          <cell r="M39">
            <v>7.7390871553290852</v>
          </cell>
          <cell r="N39">
            <v>7.7777402990275792</v>
          </cell>
          <cell r="O39">
            <v>7.8893502143869831</v>
          </cell>
          <cell r="P39">
            <v>7.9380778533001637</v>
          </cell>
          <cell r="Q39">
            <v>8.0109746072926438</v>
          </cell>
          <cell r="R39">
            <v>8.0490169829535354</v>
          </cell>
          <cell r="S39">
            <v>8.0362395743885671</v>
          </cell>
          <cell r="T39">
            <v>8.0362395743885671</v>
          </cell>
          <cell r="U39">
            <v>8.0362395743885671</v>
          </cell>
          <cell r="V39">
            <v>8.0362395743885671</v>
          </cell>
          <cell r="W39">
            <v>8.0362395743885671</v>
          </cell>
          <cell r="X39">
            <v>8.0362395743885671</v>
          </cell>
          <cell r="Y39">
            <v>8.0362395743885671</v>
          </cell>
          <cell r="Z39">
            <v>8.0362395743885671</v>
          </cell>
          <cell r="AA39">
            <v>8.0362395743885671</v>
          </cell>
          <cell r="AB39">
            <v>8.0362395743885671</v>
          </cell>
          <cell r="AC39">
            <v>8.0362395743885671</v>
          </cell>
          <cell r="AD39">
            <v>8.0362395743885671</v>
          </cell>
          <cell r="AE39">
            <v>8.0362395743885671</v>
          </cell>
          <cell r="AF39">
            <v>8.0362395743885671</v>
          </cell>
        </row>
        <row r="40">
          <cell r="A40" t="str">
            <v>Oregon</v>
          </cell>
          <cell r="B40">
            <v>8.7539565435177256</v>
          </cell>
          <cell r="C40">
            <v>8.8424263440086932</v>
          </cell>
          <cell r="D40">
            <v>8.8966096773988319</v>
          </cell>
          <cell r="E40">
            <v>8.8749634437503406</v>
          </cell>
          <cell r="F40">
            <v>8.9359007220069948</v>
          </cell>
          <cell r="G40">
            <v>8.9770778443127757</v>
          </cell>
          <cell r="H40">
            <v>8.9177459403752639</v>
          </cell>
          <cell r="I40">
            <v>9.0824377517263297</v>
          </cell>
          <cell r="J40">
            <v>9.0542709505415448</v>
          </cell>
          <cell r="K40">
            <v>9.3077740780180402</v>
          </cell>
          <cell r="L40">
            <v>9.1741522729117495</v>
          </cell>
          <cell r="M40">
            <v>9.1201611673184413</v>
          </cell>
          <cell r="N40">
            <v>9.1988425097867204</v>
          </cell>
          <cell r="O40">
            <v>9.1808118160607961</v>
          </cell>
          <cell r="P40">
            <v>9.3521024480506902</v>
          </cell>
          <cell r="Q40">
            <v>9.3409224441995882</v>
          </cell>
          <cell r="R40">
            <v>9.3750309825063738</v>
          </cell>
          <cell r="S40">
            <v>9.4898733867056464</v>
          </cell>
          <cell r="T40">
            <v>9.4898733867056464</v>
          </cell>
          <cell r="U40">
            <v>9.4898733867056464</v>
          </cell>
          <cell r="V40">
            <v>9.4898733867056464</v>
          </cell>
          <cell r="W40">
            <v>9.4898733867056464</v>
          </cell>
          <cell r="X40">
            <v>9.4898733867056464</v>
          </cell>
          <cell r="Y40">
            <v>9.4898733867056464</v>
          </cell>
          <cell r="Z40">
            <v>9.4898733867056464</v>
          </cell>
          <cell r="AA40">
            <v>9.4898733867056464</v>
          </cell>
          <cell r="AB40">
            <v>9.4898733867056464</v>
          </cell>
          <cell r="AC40">
            <v>9.4898733867056464</v>
          </cell>
          <cell r="AD40">
            <v>9.4898733867056464</v>
          </cell>
          <cell r="AE40">
            <v>9.4898733867056464</v>
          </cell>
          <cell r="AF40">
            <v>9.4898733867056464</v>
          </cell>
        </row>
        <row r="41">
          <cell r="A41" t="str">
            <v>Pennsylvania</v>
          </cell>
          <cell r="B41">
            <v>7.5628628843978767</v>
          </cell>
          <cell r="C41">
            <v>7.6986892228810726</v>
          </cell>
          <cell r="D41">
            <v>7.8981071054334038</v>
          </cell>
          <cell r="E41">
            <v>7.6492844352663036</v>
          </cell>
          <cell r="F41">
            <v>7.6743254832368901</v>
          </cell>
          <cell r="G41">
            <v>7.793333919852155</v>
          </cell>
          <cell r="H41">
            <v>7.5921399252693984</v>
          </cell>
          <cell r="I41">
            <v>7.6915319784911018</v>
          </cell>
          <cell r="J41">
            <v>7.8018985354191921</v>
          </cell>
          <cell r="K41">
            <v>7.8820512073448787</v>
          </cell>
          <cell r="L41">
            <v>7.9626095379345312</v>
          </cell>
          <cell r="M41">
            <v>7.9585624393140133</v>
          </cell>
          <cell r="N41">
            <v>8.032176454949882</v>
          </cell>
          <cell r="O41">
            <v>7.9267326026651812</v>
          </cell>
          <cell r="P41">
            <v>7.9086938239882523</v>
          </cell>
          <cell r="Q41">
            <v>8.1048722251092222</v>
          </cell>
          <cell r="R41">
            <v>8.2650662968559843</v>
          </cell>
          <cell r="S41">
            <v>8.2727230206000968</v>
          </cell>
          <cell r="T41">
            <v>8.2727230206000968</v>
          </cell>
          <cell r="U41">
            <v>8.2727230206000968</v>
          </cell>
          <cell r="V41">
            <v>8.2727230206000968</v>
          </cell>
          <cell r="W41">
            <v>8.2727230206000968</v>
          </cell>
          <cell r="X41">
            <v>8.2727230206000968</v>
          </cell>
          <cell r="Y41">
            <v>8.2727230206000968</v>
          </cell>
          <cell r="Z41">
            <v>8.2727230206000968</v>
          </cell>
          <cell r="AA41">
            <v>8.2727230206000968</v>
          </cell>
          <cell r="AB41">
            <v>8.2727230206000968</v>
          </cell>
          <cell r="AC41">
            <v>8.2727230206000968</v>
          </cell>
          <cell r="AD41">
            <v>8.2727230206000968</v>
          </cell>
          <cell r="AE41">
            <v>8.2727230206000968</v>
          </cell>
          <cell r="AF41">
            <v>8.2727230206000968</v>
          </cell>
        </row>
        <row r="42">
          <cell r="A42" t="str">
            <v>Rhode Island</v>
          </cell>
          <cell r="B42">
            <v>7.4421327547519081</v>
          </cell>
          <cell r="C42">
            <v>7.4632480296431147</v>
          </cell>
          <cell r="D42">
            <v>7.4999703696435009</v>
          </cell>
          <cell r="E42">
            <v>7.1575287178616662</v>
          </cell>
          <cell r="F42">
            <v>7.313432194827949</v>
          </cell>
          <cell r="G42">
            <v>7.4254878188974889</v>
          </cell>
          <cell r="H42">
            <v>7.3436161855795694</v>
          </cell>
          <cell r="I42">
            <v>7.4515367611073229</v>
          </cell>
          <cell r="J42">
            <v>7.3950068562712516</v>
          </cell>
          <cell r="K42">
            <v>7.3436161855795694</v>
          </cell>
          <cell r="L42">
            <v>7.3569397670515704</v>
          </cell>
          <cell r="M42">
            <v>7.5548719216162237</v>
          </cell>
          <cell r="N42">
            <v>7.5548719216162263</v>
          </cell>
          <cell r="O42">
            <v>7.6919140442778478</v>
          </cell>
          <cell r="P42">
            <v>7.5320317349145203</v>
          </cell>
          <cell r="Q42">
            <v>7.6919140442778504</v>
          </cell>
          <cell r="R42">
            <v>7.7573203220535758</v>
          </cell>
          <cell r="S42">
            <v>7.5611011545759199</v>
          </cell>
          <cell r="T42">
            <v>7.5611011545759199</v>
          </cell>
          <cell r="U42">
            <v>7.5611011545759199</v>
          </cell>
          <cell r="V42">
            <v>7.5611011545759199</v>
          </cell>
          <cell r="W42">
            <v>7.5611011545759199</v>
          </cell>
          <cell r="X42">
            <v>7.5611011545759199</v>
          </cell>
          <cell r="Y42">
            <v>7.5611011545759199</v>
          </cell>
          <cell r="Z42">
            <v>7.5611011545759199</v>
          </cell>
          <cell r="AA42">
            <v>7.5611011545759199</v>
          </cell>
          <cell r="AB42">
            <v>7.5611011545759199</v>
          </cell>
          <cell r="AC42">
            <v>7.5611011545759199</v>
          </cell>
          <cell r="AD42">
            <v>7.5611011545759199</v>
          </cell>
          <cell r="AE42">
            <v>7.5611011545759199</v>
          </cell>
          <cell r="AF42">
            <v>7.5611011545759199</v>
          </cell>
        </row>
        <row r="43">
          <cell r="A43" t="str">
            <v>South Carolina</v>
          </cell>
          <cell r="B43">
            <v>7.9862373361899461</v>
          </cell>
          <cell r="C43">
            <v>7.847176843146471</v>
          </cell>
          <cell r="D43">
            <v>8.1669082795104391</v>
          </cell>
          <cell r="E43">
            <v>8.1389863688273802</v>
          </cell>
          <cell r="F43">
            <v>8.2101496486953227</v>
          </cell>
          <cell r="G43">
            <v>8.1571788149121112</v>
          </cell>
          <cell r="H43">
            <v>7.9061607014148887</v>
          </cell>
          <cell r="I43">
            <v>8.0655601426443315</v>
          </cell>
          <cell r="J43">
            <v>7.9854619847800743</v>
          </cell>
          <cell r="K43">
            <v>8.092957034387922</v>
          </cell>
          <cell r="L43">
            <v>8.2773710446399189</v>
          </cell>
          <cell r="M43">
            <v>8.624863325874971</v>
          </cell>
          <cell r="N43">
            <v>8.8123475405487</v>
          </cell>
          <cell r="O43">
            <v>8.433353956632585</v>
          </cell>
          <cell r="P43">
            <v>8.4710448933651392</v>
          </cell>
          <cell r="Q43">
            <v>8.2424942133405086</v>
          </cell>
          <cell r="R43">
            <v>8.3186776530476223</v>
          </cell>
          <cell r="S43">
            <v>8.7317621632217648</v>
          </cell>
          <cell r="T43">
            <v>8.7317621632217648</v>
          </cell>
          <cell r="U43">
            <v>8.7317621632217648</v>
          </cell>
          <cell r="V43">
            <v>8.7317621632217648</v>
          </cell>
          <cell r="W43">
            <v>8.7317621632217648</v>
          </cell>
          <cell r="X43">
            <v>8.7317621632217648</v>
          </cell>
          <cell r="Y43">
            <v>8.7317621632217648</v>
          </cell>
          <cell r="Z43">
            <v>8.7317621632217648</v>
          </cell>
          <cell r="AA43">
            <v>8.7317621632217648</v>
          </cell>
          <cell r="AB43">
            <v>8.7317621632217648</v>
          </cell>
          <cell r="AC43">
            <v>8.7317621632217648</v>
          </cell>
          <cell r="AD43">
            <v>8.7317621632217648</v>
          </cell>
          <cell r="AE43">
            <v>8.7317621632217648</v>
          </cell>
          <cell r="AF43">
            <v>8.7317621632217648</v>
          </cell>
        </row>
        <row r="44">
          <cell r="A44" t="str">
            <v>South Dakota</v>
          </cell>
          <cell r="B44">
            <v>7.6342313706707596</v>
          </cell>
          <cell r="C44">
            <v>7.6486423400608317</v>
          </cell>
          <cell r="D44">
            <v>7.7770243716116338</v>
          </cell>
          <cell r="E44">
            <v>7.2616893762858989</v>
          </cell>
          <cell r="F44">
            <v>7.3366181522478753</v>
          </cell>
          <cell r="G44">
            <v>7.3771361391472396</v>
          </cell>
          <cell r="H44">
            <v>6.7826002778730095</v>
          </cell>
          <cell r="I44">
            <v>6.787454147520692</v>
          </cell>
          <cell r="J44">
            <v>6.9838808224368414</v>
          </cell>
          <cell r="K44">
            <v>7.0988984196806602</v>
          </cell>
          <cell r="L44">
            <v>7.3474027786435538</v>
          </cell>
          <cell r="M44">
            <v>7.3065794140478095</v>
          </cell>
          <cell r="N44">
            <v>7.2094782964109365</v>
          </cell>
          <cell r="O44">
            <v>7.504734649316978</v>
          </cell>
          <cell r="P44">
            <v>7.6529427439011748</v>
          </cell>
          <cell r="Q44">
            <v>7.8695611289371916</v>
          </cell>
          <cell r="R44">
            <v>8.0708944692744602</v>
          </cell>
          <cell r="S44">
            <v>8.2449186945974162</v>
          </cell>
          <cell r="T44">
            <v>8.2449186945974162</v>
          </cell>
          <cell r="U44">
            <v>8.2449186945974162</v>
          </cell>
          <cell r="V44">
            <v>8.2449186945974162</v>
          </cell>
          <cell r="W44">
            <v>8.2449186945974162</v>
          </cell>
          <cell r="X44">
            <v>8.2449186945974162</v>
          </cell>
          <cell r="Y44">
            <v>8.2449186945974162</v>
          </cell>
          <cell r="Z44">
            <v>8.2449186945974162</v>
          </cell>
          <cell r="AA44">
            <v>8.2449186945974162</v>
          </cell>
          <cell r="AB44">
            <v>8.2449186945974162</v>
          </cell>
          <cell r="AC44">
            <v>8.2449186945974162</v>
          </cell>
          <cell r="AD44">
            <v>8.2449186945974162</v>
          </cell>
          <cell r="AE44">
            <v>8.2449186945974162</v>
          </cell>
          <cell r="AF44">
            <v>8.2449186945974162</v>
          </cell>
        </row>
        <row r="45">
          <cell r="A45" t="str">
            <v>Tennessee</v>
          </cell>
          <cell r="B45">
            <v>7.7222083448929277</v>
          </cell>
          <cell r="C45">
            <v>7.7329532432389501</v>
          </cell>
          <cell r="D45">
            <v>7.730813277224696</v>
          </cell>
          <cell r="E45">
            <v>7.575757510084137</v>
          </cell>
          <cell r="F45">
            <v>7.794063492811711</v>
          </cell>
          <cell r="G45">
            <v>7.9579359362867343</v>
          </cell>
          <cell r="H45">
            <v>7.719087555606361</v>
          </cell>
          <cell r="I45">
            <v>7.798689471425222</v>
          </cell>
          <cell r="J45">
            <v>7.8132724912993208</v>
          </cell>
          <cell r="K45">
            <v>7.8943494189286785</v>
          </cell>
          <cell r="L45">
            <v>7.9412913900966959</v>
          </cell>
          <cell r="M45">
            <v>7.8567730309025201</v>
          </cell>
          <cell r="N45">
            <v>7.9687523040838748</v>
          </cell>
          <cell r="O45">
            <v>8.049045349733186</v>
          </cell>
          <cell r="P45">
            <v>8.0870795055094966</v>
          </cell>
          <cell r="Q45">
            <v>8.175887703753915</v>
          </cell>
          <cell r="R45">
            <v>8.1535752177812508</v>
          </cell>
          <cell r="S45">
            <v>8.2054904365020143</v>
          </cell>
          <cell r="T45">
            <v>8.2054904365020143</v>
          </cell>
          <cell r="U45">
            <v>8.2054904365020143</v>
          </cell>
          <cell r="V45">
            <v>8.2054904365020143</v>
          </cell>
          <cell r="W45">
            <v>8.2054904365020143</v>
          </cell>
          <cell r="X45">
            <v>8.2054904365020143</v>
          </cell>
          <cell r="Y45">
            <v>8.2054904365020143</v>
          </cell>
          <cell r="Z45">
            <v>8.2054904365020143</v>
          </cell>
          <cell r="AA45">
            <v>8.2054904365020143</v>
          </cell>
          <cell r="AB45">
            <v>8.2054904365020143</v>
          </cell>
          <cell r="AC45">
            <v>8.2054904365020143</v>
          </cell>
          <cell r="AD45">
            <v>8.2054904365020143</v>
          </cell>
          <cell r="AE45">
            <v>8.2054904365020143</v>
          </cell>
          <cell r="AF45">
            <v>8.2054904365020143</v>
          </cell>
        </row>
        <row r="46">
          <cell r="A46" t="str">
            <v>Texas</v>
          </cell>
          <cell r="B46">
            <v>9.0581319620917782</v>
          </cell>
          <cell r="C46">
            <v>8.9619874787064049</v>
          </cell>
          <cell r="D46">
            <v>9.0986556169885393</v>
          </cell>
          <cell r="E46">
            <v>8.4165372539426464</v>
          </cell>
          <cell r="F46">
            <v>8.5517980251961063</v>
          </cell>
          <cell r="G46">
            <v>8.4846839821316387</v>
          </cell>
          <cell r="H46">
            <v>7.7533606298048543</v>
          </cell>
          <cell r="I46">
            <v>7.7137422607798447</v>
          </cell>
          <cell r="J46">
            <v>7.8819986168349576</v>
          </cell>
          <cell r="K46">
            <v>7.9748791361460665</v>
          </cell>
          <cell r="L46">
            <v>8.0288544375512263</v>
          </cell>
          <cell r="M46">
            <v>7.8046296266674524</v>
          </cell>
          <cell r="N46">
            <v>8.0715949237290232</v>
          </cell>
          <cell r="O46">
            <v>8.3071561523038966</v>
          </cell>
          <cell r="P46">
            <v>8.6081991284584394</v>
          </cell>
          <cell r="Q46">
            <v>8.9361444949219351</v>
          </cell>
          <cell r="R46">
            <v>9.2394730851086013</v>
          </cell>
          <cell r="S46">
            <v>9.1925735137669733</v>
          </cell>
          <cell r="T46">
            <v>9.1925735137669733</v>
          </cell>
          <cell r="U46">
            <v>9.1925735137669733</v>
          </cell>
          <cell r="V46">
            <v>9.1925735137669733</v>
          </cell>
          <cell r="W46">
            <v>9.1925735137669733</v>
          </cell>
          <cell r="X46">
            <v>9.1925735137669733</v>
          </cell>
          <cell r="Y46">
            <v>9.1925735137669733</v>
          </cell>
          <cell r="Z46">
            <v>9.1925735137669733</v>
          </cell>
          <cell r="AA46">
            <v>9.1925735137669733</v>
          </cell>
          <cell r="AB46">
            <v>9.1925735137669733</v>
          </cell>
          <cell r="AC46">
            <v>9.1925735137669733</v>
          </cell>
          <cell r="AD46">
            <v>9.1925735137669733</v>
          </cell>
          <cell r="AE46">
            <v>9.1925735137669733</v>
          </cell>
          <cell r="AF46">
            <v>9.1925735137669733</v>
          </cell>
        </row>
        <row r="47">
          <cell r="A47" t="str">
            <v>Utah</v>
          </cell>
          <cell r="B47">
            <v>8.6325954498469901</v>
          </cell>
          <cell r="C47">
            <v>8.6708487021702858</v>
          </cell>
          <cell r="D47">
            <v>8.7901257766506777</v>
          </cell>
          <cell r="E47">
            <v>8.7432398768687953</v>
          </cell>
          <cell r="F47">
            <v>8.7972778307385475</v>
          </cell>
          <cell r="G47">
            <v>8.8247277018770003</v>
          </cell>
          <cell r="H47">
            <v>8.8378658230195093</v>
          </cell>
          <cell r="I47">
            <v>8.8167007565786157</v>
          </cell>
          <cell r="J47">
            <v>8.7858941204481731</v>
          </cell>
          <cell r="K47">
            <v>8.9473315665867457</v>
          </cell>
          <cell r="L47">
            <v>8.9954999286853727</v>
          </cell>
          <cell r="M47">
            <v>8.8826687959657171</v>
          </cell>
          <cell r="N47">
            <v>9.0762189946535319</v>
          </cell>
          <cell r="O47">
            <v>9.0515105075907325</v>
          </cell>
          <cell r="P47">
            <v>9.1780531387055007</v>
          </cell>
          <cell r="Q47">
            <v>9.3406379891415146</v>
          </cell>
          <cell r="R47">
            <v>9.7365568766789075</v>
          </cell>
          <cell r="S47">
            <v>9.7537579737126485</v>
          </cell>
          <cell r="T47">
            <v>9.7537579737126485</v>
          </cell>
          <cell r="U47">
            <v>9.7537579737126485</v>
          </cell>
          <cell r="V47">
            <v>9.7537579737126485</v>
          </cell>
          <cell r="W47">
            <v>9.7537579737126485</v>
          </cell>
          <cell r="X47">
            <v>9.7537579737126485</v>
          </cell>
          <cell r="Y47">
            <v>9.7537579737126485</v>
          </cell>
          <cell r="Z47">
            <v>9.7537579737126485</v>
          </cell>
          <cell r="AA47">
            <v>9.7537579737126485</v>
          </cell>
          <cell r="AB47">
            <v>9.7537579737126485</v>
          </cell>
          <cell r="AC47">
            <v>9.7537579737126485</v>
          </cell>
          <cell r="AD47">
            <v>9.7537579737126485</v>
          </cell>
          <cell r="AE47">
            <v>9.7537579737126485</v>
          </cell>
          <cell r="AF47">
            <v>9.7537579737126485</v>
          </cell>
        </row>
        <row r="48">
          <cell r="A48" t="str">
            <v>Vermont</v>
          </cell>
          <cell r="B48">
            <v>7.512474168249434</v>
          </cell>
          <cell r="C48">
            <v>7.5518295186686482</v>
          </cell>
          <cell r="D48">
            <v>7.7094225002681425</v>
          </cell>
          <cell r="E48">
            <v>7.5380971399249832</v>
          </cell>
          <cell r="F48">
            <v>7.5612315056289265</v>
          </cell>
          <cell r="G48">
            <v>7.7238274339162425</v>
          </cell>
          <cell r="H48">
            <v>7.5757531864890844</v>
          </cell>
          <cell r="I48">
            <v>7.5234837000756878</v>
          </cell>
          <cell r="J48">
            <v>7.5737573057644942</v>
          </cell>
          <cell r="K48">
            <v>7.6883625613350528</v>
          </cell>
          <cell r="L48">
            <v>7.7510087562738175</v>
          </cell>
          <cell r="M48">
            <v>7.7985020277531172</v>
          </cell>
          <cell r="N48">
            <v>7.8242840751444618</v>
          </cell>
          <cell r="O48">
            <v>7.8593073877827777</v>
          </cell>
          <cell r="P48">
            <v>7.9052741281342849</v>
          </cell>
          <cell r="Q48">
            <v>8.0441022850287975</v>
          </cell>
          <cell r="R48">
            <v>8.0235847782060219</v>
          </cell>
          <cell r="S48">
            <v>7.9505805871678916</v>
          </cell>
          <cell r="T48">
            <v>7.9505805871678916</v>
          </cell>
          <cell r="U48">
            <v>7.9505805871678916</v>
          </cell>
          <cell r="V48">
            <v>7.9505805871678916</v>
          </cell>
          <cell r="W48">
            <v>7.9505805871678916</v>
          </cell>
          <cell r="X48">
            <v>7.9505805871678916</v>
          </cell>
          <cell r="Y48">
            <v>7.9505805871678916</v>
          </cell>
          <cell r="Z48">
            <v>7.9505805871678916</v>
          </cell>
          <cell r="AA48">
            <v>7.9505805871678916</v>
          </cell>
          <cell r="AB48">
            <v>7.9505805871678916</v>
          </cell>
          <cell r="AC48">
            <v>7.9505805871678916</v>
          </cell>
          <cell r="AD48">
            <v>7.9505805871678916</v>
          </cell>
          <cell r="AE48">
            <v>7.9505805871678916</v>
          </cell>
          <cell r="AF48">
            <v>7.9505805871678916</v>
          </cell>
        </row>
        <row r="49">
          <cell r="A49" t="str">
            <v>Virginia</v>
          </cell>
          <cell r="B49">
            <v>8.3881468864735744</v>
          </cell>
          <cell r="C49">
            <v>8.5001085252091872</v>
          </cell>
          <cell r="D49">
            <v>8.5954508490890476</v>
          </cell>
          <cell r="E49">
            <v>8.3270803311102739</v>
          </cell>
          <cell r="F49">
            <v>8.2427856559559789</v>
          </cell>
          <cell r="G49">
            <v>8.327790713157226</v>
          </cell>
          <cell r="H49">
            <v>7.821084243351609</v>
          </cell>
          <cell r="I49">
            <v>7.9605957470161703</v>
          </cell>
          <cell r="J49">
            <v>7.9561335385442851</v>
          </cell>
          <cell r="K49">
            <v>8.1199832784365231</v>
          </cell>
          <cell r="L49">
            <v>8.2116765377068361</v>
          </cell>
          <cell r="M49">
            <v>8.2359088107210834</v>
          </cell>
          <cell r="N49">
            <v>8.2141972287524467</v>
          </cell>
          <cell r="O49">
            <v>8.0659908426464959</v>
          </cell>
          <cell r="P49">
            <v>8.3683058275200803</v>
          </cell>
          <cell r="Q49">
            <v>8.4990513507920831</v>
          </cell>
          <cell r="R49">
            <v>8.5954782178201832</v>
          </cell>
          <cell r="S49">
            <v>8.6388014115417651</v>
          </cell>
          <cell r="T49">
            <v>8.6388014115417651</v>
          </cell>
          <cell r="U49">
            <v>8.6388014115417651</v>
          </cell>
          <cell r="V49">
            <v>8.6388014115417651</v>
          </cell>
          <cell r="W49">
            <v>8.6388014115417651</v>
          </cell>
          <cell r="X49">
            <v>8.6388014115417651</v>
          </cell>
          <cell r="Y49">
            <v>8.6388014115417651</v>
          </cell>
          <cell r="Z49">
            <v>8.6388014115417651</v>
          </cell>
          <cell r="AA49">
            <v>8.6388014115417651</v>
          </cell>
          <cell r="AB49">
            <v>8.6388014115417651</v>
          </cell>
          <cell r="AC49">
            <v>8.6388014115417651</v>
          </cell>
          <cell r="AD49">
            <v>8.6388014115417651</v>
          </cell>
          <cell r="AE49">
            <v>8.6388014115417651</v>
          </cell>
          <cell r="AF49">
            <v>8.6388014115417651</v>
          </cell>
        </row>
        <row r="50">
          <cell r="A50" t="str">
            <v>Washington</v>
          </cell>
          <cell r="B50">
            <v>9.3838443504465872</v>
          </cell>
          <cell r="C50">
            <v>9.462673813843983</v>
          </cell>
          <cell r="D50">
            <v>9.6320275694322746</v>
          </cell>
          <cell r="E50">
            <v>9.5556435245027522</v>
          </cell>
          <cell r="F50">
            <v>9.7100464446089152</v>
          </cell>
          <cell r="G50">
            <v>9.7532686259249441</v>
          </cell>
          <cell r="H50">
            <v>9.8121098290164426</v>
          </cell>
          <cell r="I50">
            <v>9.9297400461295187</v>
          </cell>
          <cell r="J50">
            <v>10.069355342310395</v>
          </cell>
          <cell r="K50">
            <v>10.326091750055749</v>
          </cell>
          <cell r="L50">
            <v>10.390700617766077</v>
          </cell>
          <cell r="M50">
            <v>10.289577379214137</v>
          </cell>
          <cell r="N50">
            <v>10.407654980495318</v>
          </cell>
          <cell r="O50">
            <v>10.414961488515685</v>
          </cell>
          <cell r="P50">
            <v>10.434972633494775</v>
          </cell>
          <cell r="Q50">
            <v>10.549814270968808</v>
          </cell>
          <cell r="R50">
            <v>10.490697839399301</v>
          </cell>
          <cell r="S50">
            <v>10.54150105272956</v>
          </cell>
          <cell r="T50">
            <v>10.54150105272956</v>
          </cell>
          <cell r="U50">
            <v>10.54150105272956</v>
          </cell>
          <cell r="V50">
            <v>10.54150105272956</v>
          </cell>
          <cell r="W50">
            <v>10.54150105272956</v>
          </cell>
          <cell r="X50">
            <v>10.54150105272956</v>
          </cell>
          <cell r="Y50">
            <v>10.54150105272956</v>
          </cell>
          <cell r="Z50">
            <v>10.54150105272956</v>
          </cell>
          <cell r="AA50">
            <v>10.54150105272956</v>
          </cell>
          <cell r="AB50">
            <v>10.54150105272956</v>
          </cell>
          <cell r="AC50">
            <v>10.54150105272956</v>
          </cell>
          <cell r="AD50">
            <v>10.54150105272956</v>
          </cell>
          <cell r="AE50">
            <v>10.54150105272956</v>
          </cell>
          <cell r="AF50">
            <v>10.54150105272956</v>
          </cell>
        </row>
        <row r="51">
          <cell r="A51" t="str">
            <v>West Virginia</v>
          </cell>
          <cell r="B51">
            <v>6.6819795047400596</v>
          </cell>
          <cell r="C51">
            <v>6.8059175787639283</v>
          </cell>
          <cell r="D51">
            <v>6.8940514065919292</v>
          </cell>
          <cell r="E51">
            <v>6.6752016490283035</v>
          </cell>
          <cell r="F51">
            <v>6.7755647184160299</v>
          </cell>
          <cell r="G51">
            <v>6.8502684677957051</v>
          </cell>
          <cell r="H51">
            <v>6.6481281064340436</v>
          </cell>
          <cell r="I51">
            <v>7.1704102947442028</v>
          </cell>
          <cell r="J51">
            <v>7.3302926041075258</v>
          </cell>
          <cell r="K51">
            <v>7.290322193841928</v>
          </cell>
          <cell r="L51">
            <v>7.364776932046583</v>
          </cell>
          <cell r="M51">
            <v>7.3471676685223493</v>
          </cell>
          <cell r="N51">
            <v>7.2572337441990449</v>
          </cell>
          <cell r="O51">
            <v>7.0683729041006789</v>
          </cell>
          <cell r="P51">
            <v>7.1938190031918694</v>
          </cell>
          <cell r="Q51">
            <v>7.1938190031918694</v>
          </cell>
          <cell r="R51">
            <v>7.3045066787163888</v>
          </cell>
          <cell r="S51">
            <v>7.2860588998708753</v>
          </cell>
          <cell r="T51">
            <v>7.2860588998708753</v>
          </cell>
          <cell r="U51">
            <v>7.2860588998708753</v>
          </cell>
          <cell r="V51">
            <v>7.2860588998708753</v>
          </cell>
          <cell r="W51">
            <v>7.2860588998708753</v>
          </cell>
          <cell r="X51">
            <v>7.2860588998708753</v>
          </cell>
          <cell r="Y51">
            <v>7.2860588998708753</v>
          </cell>
          <cell r="Z51">
            <v>7.2860588998708753</v>
          </cell>
          <cell r="AA51">
            <v>7.2860588998708753</v>
          </cell>
          <cell r="AB51">
            <v>7.2860588998708753</v>
          </cell>
          <cell r="AC51">
            <v>7.2860588998708753</v>
          </cell>
          <cell r="AD51">
            <v>7.2860588998708753</v>
          </cell>
          <cell r="AE51">
            <v>7.2860588998708753</v>
          </cell>
          <cell r="AF51">
            <v>7.2860588998708753</v>
          </cell>
        </row>
        <row r="52">
          <cell r="A52" t="str">
            <v>Wisconsin</v>
          </cell>
          <cell r="B52">
            <v>8.1126470370813983</v>
          </cell>
          <cell r="C52">
            <v>8.1593661317159842</v>
          </cell>
          <cell r="D52">
            <v>8.3256466971857588</v>
          </cell>
          <cell r="E52">
            <v>7.7409899753549096</v>
          </cell>
          <cell r="F52">
            <v>7.7917966714102063</v>
          </cell>
          <cell r="G52">
            <v>7.8942249572539476</v>
          </cell>
          <cell r="H52">
            <v>7.3297960565172522</v>
          </cell>
          <cell r="I52">
            <v>7.4773010985240944</v>
          </cell>
          <cell r="J52">
            <v>7.6278482463599699</v>
          </cell>
          <cell r="K52">
            <v>7.6798083094431959</v>
          </cell>
          <cell r="L52">
            <v>7.776690224375395</v>
          </cell>
          <cell r="M52">
            <v>7.7355350483684004</v>
          </cell>
          <cell r="N52">
            <v>7.7800315266759874</v>
          </cell>
          <cell r="O52">
            <v>7.8664351513415651</v>
          </cell>
          <cell r="P52">
            <v>7.8828452806544025</v>
          </cell>
          <cell r="Q52">
            <v>8.0516490732700987</v>
          </cell>
          <cell r="R52">
            <v>8.1293073119781258</v>
          </cell>
          <cell r="S52">
            <v>8.2459889785353013</v>
          </cell>
          <cell r="T52">
            <v>8.2459889785353013</v>
          </cell>
          <cell r="U52">
            <v>8.2459889785353013</v>
          </cell>
          <cell r="V52">
            <v>8.2459889785353013</v>
          </cell>
          <cell r="W52">
            <v>8.2459889785353013</v>
          </cell>
          <cell r="X52">
            <v>8.2459889785353013</v>
          </cell>
          <cell r="Y52">
            <v>8.2459889785353013</v>
          </cell>
          <cell r="Z52">
            <v>8.2459889785353013</v>
          </cell>
          <cell r="AA52">
            <v>8.2459889785353013</v>
          </cell>
          <cell r="AB52">
            <v>8.2459889785353013</v>
          </cell>
          <cell r="AC52">
            <v>8.2459889785353013</v>
          </cell>
          <cell r="AD52">
            <v>8.2459889785353013</v>
          </cell>
          <cell r="AE52">
            <v>8.2459889785353013</v>
          </cell>
          <cell r="AF52">
            <v>8.2459889785353013</v>
          </cell>
        </row>
        <row r="53">
          <cell r="A53" t="str">
            <v>Wyoming</v>
          </cell>
          <cell r="B53">
            <v>7.656397191485004</v>
          </cell>
          <cell r="C53">
            <v>7.7195790275723475</v>
          </cell>
          <cell r="D53">
            <v>7.8943184420003938</v>
          </cell>
          <cell r="E53">
            <v>7.4548220743568461</v>
          </cell>
          <cell r="F53">
            <v>7.226743013544632</v>
          </cell>
          <cell r="G53">
            <v>7.3211369733820453</v>
          </cell>
          <cell r="H53">
            <v>6.8239985130735024</v>
          </cell>
          <cell r="I53">
            <v>6.6713836421631543</v>
          </cell>
          <cell r="J53">
            <v>6.7715779906501643</v>
          </cell>
          <cell r="K53">
            <v>6.8239985130735024</v>
          </cell>
          <cell r="L53">
            <v>6.8810994810534449</v>
          </cell>
          <cell r="M53">
            <v>6.972443317992405</v>
          </cell>
          <cell r="N53">
            <v>7.0487509205228083</v>
          </cell>
          <cell r="O53">
            <v>7.0229324507308002</v>
          </cell>
          <cell r="P53">
            <v>7.1509167567505285</v>
          </cell>
          <cell r="Q53">
            <v>7.1829006367635158</v>
          </cell>
          <cell r="R53">
            <v>7.838671591695543</v>
          </cell>
          <cell r="S53">
            <v>8.1310275185695211</v>
          </cell>
          <cell r="T53">
            <v>8.1310275185695211</v>
          </cell>
          <cell r="U53">
            <v>8.1310275185695211</v>
          </cell>
          <cell r="V53">
            <v>8.1310275185695211</v>
          </cell>
          <cell r="W53">
            <v>8.1310275185695211</v>
          </cell>
          <cell r="X53">
            <v>8.1310275185695211</v>
          </cell>
          <cell r="Y53">
            <v>8.1310275185695211</v>
          </cell>
          <cell r="Z53">
            <v>8.1310275185695211</v>
          </cell>
          <cell r="AA53">
            <v>8.1310275185695211</v>
          </cell>
          <cell r="AB53">
            <v>8.1310275185695211</v>
          </cell>
          <cell r="AC53">
            <v>8.1310275185695211</v>
          </cell>
          <cell r="AD53">
            <v>8.1310275185695211</v>
          </cell>
          <cell r="AE53">
            <v>8.1310275185695211</v>
          </cell>
          <cell r="AF53">
            <v>8.1310275185695211</v>
          </cell>
        </row>
        <row r="55">
          <cell r="A55" t="str">
            <v>Dairy Replacements</v>
          </cell>
          <cell r="B55">
            <v>1990</v>
          </cell>
          <cell r="C55">
            <v>1991</v>
          </cell>
          <cell r="D55">
            <v>1992</v>
          </cell>
          <cell r="E55">
            <v>1993</v>
          </cell>
          <cell r="F55">
            <v>1994</v>
          </cell>
          <cell r="G55">
            <v>1995</v>
          </cell>
          <cell r="H55">
            <v>1996</v>
          </cell>
          <cell r="I55">
            <v>1997</v>
          </cell>
          <cell r="J55">
            <v>1998</v>
          </cell>
          <cell r="K55">
            <v>1999</v>
          </cell>
          <cell r="L55">
            <v>2000</v>
          </cell>
          <cell r="M55">
            <v>2001</v>
          </cell>
          <cell r="N55">
            <v>2002</v>
          </cell>
          <cell r="O55">
            <v>2003</v>
          </cell>
          <cell r="P55">
            <v>2004</v>
          </cell>
          <cell r="Q55">
            <v>2005</v>
          </cell>
          <cell r="R55">
            <v>2006</v>
          </cell>
          <cell r="S55">
            <v>2007</v>
          </cell>
          <cell r="T55">
            <v>2008</v>
          </cell>
          <cell r="U55">
            <v>2009</v>
          </cell>
          <cell r="V55">
            <v>2010</v>
          </cell>
          <cell r="W55">
            <v>2011</v>
          </cell>
          <cell r="X55">
            <v>2012</v>
          </cell>
          <cell r="Y55">
            <v>2013</v>
          </cell>
          <cell r="Z55">
            <v>2014</v>
          </cell>
          <cell r="AA55">
            <v>2015</v>
          </cell>
          <cell r="AB55">
            <v>2016</v>
          </cell>
          <cell r="AC55">
            <v>2017</v>
          </cell>
          <cell r="AD55">
            <v>2018</v>
          </cell>
          <cell r="AE55">
            <v>2019</v>
          </cell>
          <cell r="AF55">
            <v>2020</v>
          </cell>
        </row>
        <row r="56">
          <cell r="A56" t="str">
            <v>Alabama</v>
          </cell>
          <cell r="B56">
            <v>7.4244257975461538</v>
          </cell>
          <cell r="C56">
            <v>7.4270847091491126</v>
          </cell>
          <cell r="D56">
            <v>7.4273384913097154</v>
          </cell>
          <cell r="E56">
            <v>7.4257401459392716</v>
          </cell>
          <cell r="F56">
            <v>7.4267728459529243</v>
          </cell>
          <cell r="G56">
            <v>7.4265832924357635</v>
          </cell>
          <cell r="H56">
            <v>7.4260608391227922</v>
          </cell>
          <cell r="I56">
            <v>7.4246502334324864</v>
          </cell>
          <cell r="J56">
            <v>7.4274224144707111</v>
          </cell>
          <cell r="K56">
            <v>7.4248945699605189</v>
          </cell>
          <cell r="L56">
            <v>7.4277274403708731</v>
          </cell>
          <cell r="M56">
            <v>7.4157721839183308</v>
          </cell>
          <cell r="N56">
            <v>7.4168666254564393</v>
          </cell>
          <cell r="O56">
            <v>7.4139199468050769</v>
          </cell>
          <cell r="P56">
            <v>7.4177729115685462</v>
          </cell>
          <cell r="Q56">
            <v>7.4187762609740275</v>
          </cell>
          <cell r="R56">
            <v>7.4167307672934584</v>
          </cell>
          <cell r="S56">
            <v>7.4188382815555549</v>
          </cell>
          <cell r="T56">
            <v>7.4188382815555549</v>
          </cell>
          <cell r="U56">
            <v>7.4188382815555549</v>
          </cell>
          <cell r="V56">
            <v>7.4188382815555549</v>
          </cell>
          <cell r="W56">
            <v>7.4188382815555549</v>
          </cell>
          <cell r="X56">
            <v>7.4188382815555549</v>
          </cell>
          <cell r="Y56">
            <v>7.4188382815555549</v>
          </cell>
          <cell r="Z56">
            <v>7.4188382815555549</v>
          </cell>
          <cell r="AA56">
            <v>7.4188382815555549</v>
          </cell>
          <cell r="AB56">
            <v>7.4188382815555549</v>
          </cell>
          <cell r="AC56">
            <v>7.4188382815555549</v>
          </cell>
          <cell r="AD56">
            <v>7.4188382815555549</v>
          </cell>
          <cell r="AE56">
            <v>7.4188382815555549</v>
          </cell>
          <cell r="AF56">
            <v>7.4188382815555549</v>
          </cell>
        </row>
        <row r="57">
          <cell r="A57" t="str">
            <v>Alaska</v>
          </cell>
          <cell r="B57">
            <v>7.4244257975461538</v>
          </cell>
          <cell r="C57">
            <v>7.4270847091491126</v>
          </cell>
          <cell r="D57">
            <v>7.427338491309718</v>
          </cell>
          <cell r="E57">
            <v>7.4257401459392725</v>
          </cell>
          <cell r="F57">
            <v>7.426772845952927</v>
          </cell>
          <cell r="G57">
            <v>7.4265832924357644</v>
          </cell>
          <cell r="H57">
            <v>7.4260608391227922</v>
          </cell>
          <cell r="I57">
            <v>7.4246502334324855</v>
          </cell>
          <cell r="J57">
            <v>7.4274224144707084</v>
          </cell>
          <cell r="K57">
            <v>7.4248945699605198</v>
          </cell>
          <cell r="L57">
            <v>7.427727440370874</v>
          </cell>
          <cell r="M57">
            <v>7.4157721839183282</v>
          </cell>
          <cell r="N57">
            <v>7.4168666254564419</v>
          </cell>
          <cell r="O57">
            <v>7.4139199468050778</v>
          </cell>
          <cell r="P57">
            <v>7.4177729115685462</v>
          </cell>
          <cell r="Q57">
            <v>7.4187762609740293</v>
          </cell>
          <cell r="R57">
            <v>7.416730767293461</v>
          </cell>
          <cell r="S57">
            <v>7.4188382815555531</v>
          </cell>
          <cell r="T57">
            <v>7.4188382815555531</v>
          </cell>
          <cell r="U57">
            <v>7.4188382815555531</v>
          </cell>
          <cell r="V57">
            <v>7.4188382815555531</v>
          </cell>
          <cell r="W57">
            <v>7.4188382815555531</v>
          </cell>
          <cell r="X57">
            <v>7.4188382815555531</v>
          </cell>
          <cell r="Y57">
            <v>7.4188382815555531</v>
          </cell>
          <cell r="Z57">
            <v>7.4188382815555531</v>
          </cell>
          <cell r="AA57">
            <v>7.4188382815555531</v>
          </cell>
          <cell r="AB57">
            <v>7.4188382815555531</v>
          </cell>
          <cell r="AC57">
            <v>7.4188382815555531</v>
          </cell>
          <cell r="AD57">
            <v>7.4188382815555531</v>
          </cell>
          <cell r="AE57">
            <v>7.4188382815555531</v>
          </cell>
          <cell r="AF57">
            <v>7.4188382815555531</v>
          </cell>
        </row>
        <row r="58">
          <cell r="A58" t="str">
            <v>Arizona</v>
          </cell>
          <cell r="B58">
            <v>7.4244257975461565</v>
          </cell>
          <cell r="C58">
            <v>7.4270847091491126</v>
          </cell>
          <cell r="D58">
            <v>7.4273384913097171</v>
          </cell>
          <cell r="E58">
            <v>7.4257401459392725</v>
          </cell>
          <cell r="F58">
            <v>7.4267728459529243</v>
          </cell>
          <cell r="G58">
            <v>7.4265832924357627</v>
          </cell>
          <cell r="H58">
            <v>7.426060839122794</v>
          </cell>
          <cell r="I58">
            <v>7.4246502334324855</v>
          </cell>
          <cell r="J58">
            <v>7.4274224144707093</v>
          </cell>
          <cell r="K58">
            <v>7.4248945699605189</v>
          </cell>
          <cell r="L58">
            <v>7.427727440370874</v>
          </cell>
          <cell r="M58">
            <v>7.4157721839183308</v>
          </cell>
          <cell r="N58">
            <v>7.4168666254564419</v>
          </cell>
          <cell r="O58">
            <v>7.4139199468050769</v>
          </cell>
          <cell r="P58">
            <v>7.4177729115685462</v>
          </cell>
          <cell r="Q58">
            <v>7.4187762609740302</v>
          </cell>
          <cell r="R58">
            <v>7.416730767293461</v>
          </cell>
          <cell r="S58">
            <v>7.4188382815555522</v>
          </cell>
          <cell r="T58">
            <v>7.4188382815555522</v>
          </cell>
          <cell r="U58">
            <v>7.4188382815555522</v>
          </cell>
          <cell r="V58">
            <v>7.4188382815555522</v>
          </cell>
          <cell r="W58">
            <v>7.4188382815555522</v>
          </cell>
          <cell r="X58">
            <v>7.4188382815555522</v>
          </cell>
          <cell r="Y58">
            <v>7.4188382815555522</v>
          </cell>
          <cell r="Z58">
            <v>7.4188382815555522</v>
          </cell>
          <cell r="AA58">
            <v>7.4188382815555522</v>
          </cell>
          <cell r="AB58">
            <v>7.4188382815555522</v>
          </cell>
          <cell r="AC58">
            <v>7.4188382815555522</v>
          </cell>
          <cell r="AD58">
            <v>7.4188382815555522</v>
          </cell>
          <cell r="AE58">
            <v>7.4188382815555522</v>
          </cell>
          <cell r="AF58">
            <v>7.4188382815555522</v>
          </cell>
        </row>
        <row r="59">
          <cell r="A59" t="str">
            <v>Arkansas</v>
          </cell>
          <cell r="B59">
            <v>8.2288479404102617</v>
          </cell>
          <cell r="C59">
            <v>8.2317918019240697</v>
          </cell>
          <cell r="D59">
            <v>8.2320729113149103</v>
          </cell>
          <cell r="E59">
            <v>8.2303025567370742</v>
          </cell>
          <cell r="F59">
            <v>8.2314462032010738</v>
          </cell>
          <cell r="G59">
            <v>8.2312352923523697</v>
          </cell>
          <cell r="H59">
            <v>8.230657126301006</v>
          </cell>
          <cell r="I59">
            <v>8.2290957145784347</v>
          </cell>
          <cell r="J59">
            <v>8.2321666411366614</v>
          </cell>
          <cell r="K59">
            <v>8.2293666284637474</v>
          </cell>
          <cell r="L59">
            <v>8.2325030470501588</v>
          </cell>
          <cell r="M59">
            <v>8.2193429773749642</v>
          </cell>
          <cell r="N59">
            <v>8.2205552070608476</v>
          </cell>
          <cell r="O59">
            <v>8.217292110317489</v>
          </cell>
          <cell r="P59">
            <v>8.2215582866774675</v>
          </cell>
          <cell r="Q59">
            <v>8.2226697589026241</v>
          </cell>
          <cell r="R59">
            <v>8.2204041962349592</v>
          </cell>
          <cell r="S59">
            <v>8.2227376673712911</v>
          </cell>
          <cell r="T59">
            <v>8.2227376673712911</v>
          </cell>
          <cell r="U59">
            <v>8.2227376673712911</v>
          </cell>
          <cell r="V59">
            <v>8.2227376673712911</v>
          </cell>
          <cell r="W59">
            <v>8.2227376673712911</v>
          </cell>
          <cell r="X59">
            <v>8.2227376673712911</v>
          </cell>
          <cell r="Y59">
            <v>8.2227376673712911</v>
          </cell>
          <cell r="Z59">
            <v>8.2227376673712911</v>
          </cell>
          <cell r="AA59">
            <v>8.2227376673712911</v>
          </cell>
          <cell r="AB59">
            <v>8.2227376673712911</v>
          </cell>
          <cell r="AC59">
            <v>8.2227376673712911</v>
          </cell>
          <cell r="AD59">
            <v>8.2227376673712911</v>
          </cell>
          <cell r="AE59">
            <v>8.2227376673712911</v>
          </cell>
          <cell r="AF59">
            <v>8.2227376673712911</v>
          </cell>
        </row>
        <row r="60">
          <cell r="A60" t="str">
            <v>California</v>
          </cell>
          <cell r="B60">
            <v>7.4244257975461547</v>
          </cell>
          <cell r="C60">
            <v>7.4270847091491126</v>
          </cell>
          <cell r="D60">
            <v>7.4273384913097171</v>
          </cell>
          <cell r="E60">
            <v>7.4257401459392716</v>
          </cell>
          <cell r="F60">
            <v>7.426772845952927</v>
          </cell>
          <cell r="G60">
            <v>7.4265832924357644</v>
          </cell>
          <cell r="H60">
            <v>7.4260608391227896</v>
          </cell>
          <cell r="I60">
            <v>7.4246502334324855</v>
          </cell>
          <cell r="J60">
            <v>7.4274224144707084</v>
          </cell>
          <cell r="K60">
            <v>7.4248945699605189</v>
          </cell>
          <cell r="L60">
            <v>7.4277274403708731</v>
          </cell>
          <cell r="M60">
            <v>7.415772183918329</v>
          </cell>
          <cell r="N60">
            <v>7.4168666254564419</v>
          </cell>
          <cell r="O60">
            <v>7.4139199468050769</v>
          </cell>
          <cell r="P60">
            <v>7.4177729115685471</v>
          </cell>
          <cell r="Q60">
            <v>7.4187762609740293</v>
          </cell>
          <cell r="R60">
            <v>7.416730767293461</v>
          </cell>
          <cell r="S60">
            <v>7.4188382815555531</v>
          </cell>
          <cell r="T60">
            <v>7.4188382815555531</v>
          </cell>
          <cell r="U60">
            <v>7.4188382815555531</v>
          </cell>
          <cell r="V60">
            <v>7.4188382815555531</v>
          </cell>
          <cell r="W60">
            <v>7.4188382815555531</v>
          </cell>
          <cell r="X60">
            <v>7.4188382815555531</v>
          </cell>
          <cell r="Y60">
            <v>7.4188382815555531</v>
          </cell>
          <cell r="Z60">
            <v>7.4188382815555531</v>
          </cell>
          <cell r="AA60">
            <v>7.4188382815555531</v>
          </cell>
          <cell r="AB60">
            <v>7.4188382815555531</v>
          </cell>
          <cell r="AC60">
            <v>7.4188382815555531</v>
          </cell>
          <cell r="AD60">
            <v>7.4188382815555531</v>
          </cell>
          <cell r="AE60">
            <v>7.4188382815555531</v>
          </cell>
          <cell r="AF60">
            <v>7.4188382815555531</v>
          </cell>
        </row>
        <row r="61">
          <cell r="A61" t="str">
            <v>Colorado</v>
          </cell>
          <cell r="B61">
            <v>7.4244257975461538</v>
          </cell>
          <cell r="C61">
            <v>7.4270847091491099</v>
          </cell>
          <cell r="D61">
            <v>7.4273384913097154</v>
          </cell>
          <cell r="E61">
            <v>7.4257401459392725</v>
          </cell>
          <cell r="F61">
            <v>7.426772845952927</v>
          </cell>
          <cell r="G61">
            <v>7.4265832924357662</v>
          </cell>
          <cell r="H61">
            <v>7.426060839122794</v>
          </cell>
          <cell r="I61">
            <v>7.4246502334324882</v>
          </cell>
          <cell r="J61">
            <v>7.4274224144707084</v>
          </cell>
          <cell r="K61">
            <v>7.4248945699605189</v>
          </cell>
          <cell r="L61">
            <v>7.4277274403708731</v>
          </cell>
          <cell r="M61">
            <v>7.415772183918329</v>
          </cell>
          <cell r="N61">
            <v>7.416866625456441</v>
          </cell>
          <cell r="O61">
            <v>7.4139199468050778</v>
          </cell>
          <cell r="P61">
            <v>7.4177729115685462</v>
          </cell>
          <cell r="Q61">
            <v>7.4187762609740275</v>
          </cell>
          <cell r="R61">
            <v>7.416730767293461</v>
          </cell>
          <cell r="S61">
            <v>7.4188382815555522</v>
          </cell>
          <cell r="T61">
            <v>7.4188382815555522</v>
          </cell>
          <cell r="U61">
            <v>7.4188382815555522</v>
          </cell>
          <cell r="V61">
            <v>7.4188382815555522</v>
          </cell>
          <cell r="W61">
            <v>7.4188382815555522</v>
          </cell>
          <cell r="X61">
            <v>7.4188382815555522</v>
          </cell>
          <cell r="Y61">
            <v>7.4188382815555522</v>
          </cell>
          <cell r="Z61">
            <v>7.4188382815555522</v>
          </cell>
          <cell r="AA61">
            <v>7.4188382815555522</v>
          </cell>
          <cell r="AB61">
            <v>7.4188382815555522</v>
          </cell>
          <cell r="AC61">
            <v>7.4188382815555522</v>
          </cell>
          <cell r="AD61">
            <v>7.4188382815555522</v>
          </cell>
          <cell r="AE61">
            <v>7.4188382815555522</v>
          </cell>
          <cell r="AF61">
            <v>7.4188382815555522</v>
          </cell>
        </row>
        <row r="62">
          <cell r="A62" t="str">
            <v>Connecticut</v>
          </cell>
          <cell r="B62">
            <v>6.7022358854945905</v>
          </cell>
          <cell r="C62">
            <v>6.7046383817894482</v>
          </cell>
          <cell r="D62">
            <v>6.7048675981276435</v>
          </cell>
          <cell r="E62">
            <v>6.7034238996302529</v>
          </cell>
          <cell r="F62">
            <v>6.7043568157747711</v>
          </cell>
          <cell r="G62">
            <v>6.7041862810707018</v>
          </cell>
          <cell r="H62">
            <v>6.7037140146210676</v>
          </cell>
          <cell r="I62">
            <v>6.7024391834149188</v>
          </cell>
          <cell r="J62">
            <v>6.7049428523286778</v>
          </cell>
          <cell r="K62">
            <v>6.7026596791576178</v>
          </cell>
          <cell r="L62">
            <v>6.7052193898777537</v>
          </cell>
          <cell r="M62">
            <v>6.6943629316514146</v>
          </cell>
          <cell r="N62">
            <v>6.6953514758351922</v>
          </cell>
          <cell r="O62">
            <v>6.6926894090491365</v>
          </cell>
          <cell r="P62">
            <v>6.6961705978049073</v>
          </cell>
          <cell r="Q62">
            <v>6.6970767658517802</v>
          </cell>
          <cell r="R62">
            <v>6.6952291393811194</v>
          </cell>
          <cell r="S62">
            <v>6.697133342837132</v>
          </cell>
          <cell r="T62">
            <v>6.697133342837132</v>
          </cell>
          <cell r="U62">
            <v>6.697133342837132</v>
          </cell>
          <cell r="V62">
            <v>6.697133342837132</v>
          </cell>
          <cell r="W62">
            <v>6.697133342837132</v>
          </cell>
          <cell r="X62">
            <v>6.697133342837132</v>
          </cell>
          <cell r="Y62">
            <v>6.697133342837132</v>
          </cell>
          <cell r="Z62">
            <v>6.697133342837132</v>
          </cell>
          <cell r="AA62">
            <v>6.697133342837132</v>
          </cell>
          <cell r="AB62">
            <v>6.697133342837132</v>
          </cell>
          <cell r="AC62">
            <v>6.697133342837132</v>
          </cell>
          <cell r="AD62">
            <v>6.697133342837132</v>
          </cell>
          <cell r="AE62">
            <v>6.697133342837132</v>
          </cell>
          <cell r="AF62">
            <v>6.697133342837132</v>
          </cell>
        </row>
        <row r="63">
          <cell r="A63" t="str">
            <v>Delaware</v>
          </cell>
          <cell r="B63">
            <v>6.7022358854945905</v>
          </cell>
          <cell r="C63">
            <v>6.7046383817894482</v>
          </cell>
          <cell r="D63">
            <v>6.7048675981276453</v>
          </cell>
          <cell r="E63">
            <v>6.7034238996302538</v>
          </cell>
          <cell r="F63">
            <v>6.7043568157747719</v>
          </cell>
          <cell r="G63">
            <v>6.7041862810707009</v>
          </cell>
          <cell r="H63">
            <v>6.7037140146210685</v>
          </cell>
          <cell r="I63">
            <v>6.702439183414918</v>
          </cell>
          <cell r="J63">
            <v>6.7049428523286778</v>
          </cell>
          <cell r="K63">
            <v>6.7026596791576205</v>
          </cell>
          <cell r="L63">
            <v>6.7052193898777528</v>
          </cell>
          <cell r="M63">
            <v>6.6943629316514146</v>
          </cell>
          <cell r="N63">
            <v>6.6953514758351922</v>
          </cell>
          <cell r="O63">
            <v>6.69268940904914</v>
          </cell>
          <cell r="P63">
            <v>6.6961705978049073</v>
          </cell>
          <cell r="Q63">
            <v>6.6970767658517785</v>
          </cell>
          <cell r="R63">
            <v>6.6952291393811167</v>
          </cell>
          <cell r="S63">
            <v>6.697133342837132</v>
          </cell>
          <cell r="T63">
            <v>6.697133342837132</v>
          </cell>
          <cell r="U63">
            <v>6.697133342837132</v>
          </cell>
          <cell r="V63">
            <v>6.697133342837132</v>
          </cell>
          <cell r="W63">
            <v>6.697133342837132</v>
          </cell>
          <cell r="X63">
            <v>6.697133342837132</v>
          </cell>
          <cell r="Y63">
            <v>6.697133342837132</v>
          </cell>
          <cell r="Z63">
            <v>6.697133342837132</v>
          </cell>
          <cell r="AA63">
            <v>6.697133342837132</v>
          </cell>
          <cell r="AB63">
            <v>6.697133342837132</v>
          </cell>
          <cell r="AC63">
            <v>6.697133342837132</v>
          </cell>
          <cell r="AD63">
            <v>6.697133342837132</v>
          </cell>
          <cell r="AE63">
            <v>6.697133342837132</v>
          </cell>
          <cell r="AF63">
            <v>6.697133342837132</v>
          </cell>
        </row>
        <row r="64">
          <cell r="A64" t="str">
            <v>Florida</v>
          </cell>
          <cell r="B64">
            <v>7.4244257975461547</v>
          </cell>
          <cell r="C64">
            <v>7.4270847091491099</v>
          </cell>
          <cell r="D64">
            <v>7.4273384913097171</v>
          </cell>
          <cell r="E64">
            <v>7.4257401459392716</v>
          </cell>
          <cell r="F64">
            <v>7.4267728459529287</v>
          </cell>
          <cell r="G64">
            <v>7.4265832924357627</v>
          </cell>
          <cell r="H64">
            <v>7.4260608391227914</v>
          </cell>
          <cell r="I64">
            <v>7.4246502334324855</v>
          </cell>
          <cell r="J64">
            <v>7.4274224144707093</v>
          </cell>
          <cell r="K64">
            <v>7.4248945699605189</v>
          </cell>
          <cell r="L64">
            <v>7.4277274403708731</v>
          </cell>
          <cell r="M64">
            <v>7.4157721839183317</v>
          </cell>
          <cell r="N64">
            <v>7.416866625456441</v>
          </cell>
          <cell r="O64">
            <v>7.4139199468050778</v>
          </cell>
          <cell r="P64">
            <v>7.4177729115685462</v>
          </cell>
          <cell r="Q64">
            <v>7.4187762609740302</v>
          </cell>
          <cell r="R64">
            <v>7.4167307672934619</v>
          </cell>
          <cell r="S64">
            <v>7.4188382815555522</v>
          </cell>
          <cell r="T64">
            <v>7.4188382815555522</v>
          </cell>
          <cell r="U64">
            <v>7.4188382815555522</v>
          </cell>
          <cell r="V64">
            <v>7.4188382815555522</v>
          </cell>
          <cell r="W64">
            <v>7.4188382815555522</v>
          </cell>
          <cell r="X64">
            <v>7.4188382815555522</v>
          </cell>
          <cell r="Y64">
            <v>7.4188382815555522</v>
          </cell>
          <cell r="Z64">
            <v>7.4188382815555522</v>
          </cell>
          <cell r="AA64">
            <v>7.4188382815555522</v>
          </cell>
          <cell r="AB64">
            <v>7.4188382815555522</v>
          </cell>
          <cell r="AC64">
            <v>7.4188382815555522</v>
          </cell>
          <cell r="AD64">
            <v>7.4188382815555522</v>
          </cell>
          <cell r="AE64">
            <v>7.4188382815555522</v>
          </cell>
          <cell r="AF64">
            <v>7.4188382815555522</v>
          </cell>
        </row>
        <row r="65">
          <cell r="A65" t="str">
            <v>Georgia</v>
          </cell>
          <cell r="B65">
            <v>7.4244257975461547</v>
          </cell>
          <cell r="C65">
            <v>7.4270847091491099</v>
          </cell>
          <cell r="D65">
            <v>7.4273384913097145</v>
          </cell>
          <cell r="E65">
            <v>7.4257401459392716</v>
          </cell>
          <cell r="F65">
            <v>7.426772845952927</v>
          </cell>
          <cell r="G65">
            <v>7.4265832924357635</v>
          </cell>
          <cell r="H65">
            <v>7.4260608391227922</v>
          </cell>
          <cell r="I65">
            <v>7.4246502334324838</v>
          </cell>
          <cell r="J65">
            <v>7.4274224144707111</v>
          </cell>
          <cell r="K65">
            <v>7.4248945699605198</v>
          </cell>
          <cell r="L65">
            <v>7.4277274403708722</v>
          </cell>
          <cell r="M65">
            <v>7.4157721839183308</v>
          </cell>
          <cell r="N65">
            <v>7.416866625456441</v>
          </cell>
          <cell r="O65">
            <v>7.4139199468050778</v>
          </cell>
          <cell r="P65">
            <v>7.4177729115685445</v>
          </cell>
          <cell r="Q65">
            <v>7.4187762609740302</v>
          </cell>
          <cell r="R65">
            <v>7.4167307672934619</v>
          </cell>
          <cell r="S65">
            <v>7.4188382815555549</v>
          </cell>
          <cell r="T65">
            <v>7.4188382815555549</v>
          </cell>
          <cell r="U65">
            <v>7.4188382815555549</v>
          </cell>
          <cell r="V65">
            <v>7.4188382815555549</v>
          </cell>
          <cell r="W65">
            <v>7.4188382815555549</v>
          </cell>
          <cell r="X65">
            <v>7.4188382815555549</v>
          </cell>
          <cell r="Y65">
            <v>7.4188382815555549</v>
          </cell>
          <cell r="Z65">
            <v>7.4188382815555549</v>
          </cell>
          <cell r="AA65">
            <v>7.4188382815555549</v>
          </cell>
          <cell r="AB65">
            <v>7.4188382815555549</v>
          </cell>
          <cell r="AC65">
            <v>7.4188382815555549</v>
          </cell>
          <cell r="AD65">
            <v>7.4188382815555549</v>
          </cell>
          <cell r="AE65">
            <v>7.4188382815555549</v>
          </cell>
          <cell r="AF65">
            <v>7.4188382815555549</v>
          </cell>
        </row>
        <row r="66">
          <cell r="A66" t="str">
            <v>Hawaii</v>
          </cell>
          <cell r="B66">
            <v>7.4244257975461547</v>
          </cell>
          <cell r="C66">
            <v>7.4270847091491099</v>
          </cell>
          <cell r="D66">
            <v>7.4273384913097171</v>
          </cell>
          <cell r="E66">
            <v>7.4257401459392716</v>
          </cell>
          <cell r="F66">
            <v>7.4267728459529279</v>
          </cell>
          <cell r="G66">
            <v>7.4265832924357689</v>
          </cell>
          <cell r="H66">
            <v>7.4260608391227914</v>
          </cell>
          <cell r="I66">
            <v>7.4246502334324855</v>
          </cell>
          <cell r="J66">
            <v>7.4274224144707111</v>
          </cell>
          <cell r="K66">
            <v>7.4248945699605189</v>
          </cell>
          <cell r="L66">
            <v>7.427727440370874</v>
          </cell>
          <cell r="M66">
            <v>7.4157721839183308</v>
          </cell>
          <cell r="N66">
            <v>7.416866625456441</v>
          </cell>
          <cell r="O66">
            <v>7.4139199468050778</v>
          </cell>
          <cell r="P66">
            <v>7.4177729115685462</v>
          </cell>
          <cell r="Q66">
            <v>7.4187762609740293</v>
          </cell>
          <cell r="R66">
            <v>7.416730767293461</v>
          </cell>
          <cell r="S66">
            <v>7.4188382815555531</v>
          </cell>
          <cell r="T66">
            <v>7.4188382815555531</v>
          </cell>
          <cell r="U66">
            <v>7.4188382815555531</v>
          </cell>
          <cell r="V66">
            <v>7.4188382815555531</v>
          </cell>
          <cell r="W66">
            <v>7.4188382815555531</v>
          </cell>
          <cell r="X66">
            <v>7.4188382815555531</v>
          </cell>
          <cell r="Y66">
            <v>7.4188382815555531</v>
          </cell>
          <cell r="Z66">
            <v>7.4188382815555531</v>
          </cell>
          <cell r="AA66">
            <v>7.4188382815555531</v>
          </cell>
          <cell r="AB66">
            <v>7.4188382815555531</v>
          </cell>
          <cell r="AC66">
            <v>7.4188382815555531</v>
          </cell>
          <cell r="AD66">
            <v>7.4188382815555531</v>
          </cell>
          <cell r="AE66">
            <v>7.4188382815555531</v>
          </cell>
          <cell r="AF66">
            <v>7.4188382815555531</v>
          </cell>
        </row>
        <row r="67">
          <cell r="A67" t="str">
            <v>Idaho</v>
          </cell>
          <cell r="B67">
            <v>7.4244257975461547</v>
          </cell>
          <cell r="C67">
            <v>7.4270847091491117</v>
          </cell>
          <cell r="D67">
            <v>7.4273384913097154</v>
          </cell>
          <cell r="E67">
            <v>7.4257401459392733</v>
          </cell>
          <cell r="F67">
            <v>7.4267728459529279</v>
          </cell>
          <cell r="G67">
            <v>7.4265832924357644</v>
          </cell>
          <cell r="H67">
            <v>7.426060839122794</v>
          </cell>
          <cell r="I67">
            <v>7.4246502334324838</v>
          </cell>
          <cell r="J67">
            <v>7.4274224144707093</v>
          </cell>
          <cell r="K67">
            <v>7.4248945699605198</v>
          </cell>
          <cell r="L67">
            <v>7.4277274403708731</v>
          </cell>
          <cell r="M67">
            <v>7.4157721839183317</v>
          </cell>
          <cell r="N67">
            <v>7.4168666254564393</v>
          </cell>
          <cell r="O67">
            <v>7.4139199468050752</v>
          </cell>
          <cell r="P67">
            <v>7.4177729115685462</v>
          </cell>
          <cell r="Q67">
            <v>7.4187762609740275</v>
          </cell>
          <cell r="R67">
            <v>7.416730767293461</v>
          </cell>
          <cell r="S67">
            <v>7.4188382815555522</v>
          </cell>
          <cell r="T67">
            <v>7.4188382815555522</v>
          </cell>
          <cell r="U67">
            <v>7.4188382815555522</v>
          </cell>
          <cell r="V67">
            <v>7.4188382815555522</v>
          </cell>
          <cell r="W67">
            <v>7.4188382815555522</v>
          </cell>
          <cell r="X67">
            <v>7.4188382815555522</v>
          </cell>
          <cell r="Y67">
            <v>7.4188382815555522</v>
          </cell>
          <cell r="Z67">
            <v>7.4188382815555522</v>
          </cell>
          <cell r="AA67">
            <v>7.4188382815555522</v>
          </cell>
          <cell r="AB67">
            <v>7.4188382815555522</v>
          </cell>
          <cell r="AC67">
            <v>7.4188382815555522</v>
          </cell>
          <cell r="AD67">
            <v>7.4188382815555522</v>
          </cell>
          <cell r="AE67">
            <v>7.4188382815555522</v>
          </cell>
          <cell r="AF67">
            <v>7.4188382815555522</v>
          </cell>
        </row>
        <row r="68">
          <cell r="A68" t="str">
            <v>Illinois</v>
          </cell>
          <cell r="B68">
            <v>7.4244257975461538</v>
          </cell>
          <cell r="C68">
            <v>7.4270847091491126</v>
          </cell>
          <cell r="D68">
            <v>7.4273384913097171</v>
          </cell>
          <cell r="E68">
            <v>7.4257401459392716</v>
          </cell>
          <cell r="F68">
            <v>7.4267728459529279</v>
          </cell>
          <cell r="G68">
            <v>7.4265832924357644</v>
          </cell>
          <cell r="H68">
            <v>7.4260608391227922</v>
          </cell>
          <cell r="I68">
            <v>7.4246502334324864</v>
          </cell>
          <cell r="J68">
            <v>7.4274224144707111</v>
          </cell>
          <cell r="K68">
            <v>7.4248945699605189</v>
          </cell>
          <cell r="L68">
            <v>7.427727440370874</v>
          </cell>
          <cell r="M68">
            <v>7.4157721839183308</v>
          </cell>
          <cell r="N68">
            <v>7.416866625456441</v>
          </cell>
          <cell r="O68">
            <v>7.4139199468050769</v>
          </cell>
          <cell r="P68">
            <v>7.4177729115685445</v>
          </cell>
          <cell r="Q68">
            <v>7.4187762609740293</v>
          </cell>
          <cell r="R68">
            <v>7.416730767293461</v>
          </cell>
          <cell r="S68">
            <v>7.4188382815555522</v>
          </cell>
          <cell r="T68">
            <v>7.4188382815555522</v>
          </cell>
          <cell r="U68">
            <v>7.4188382815555522</v>
          </cell>
          <cell r="V68">
            <v>7.4188382815555522</v>
          </cell>
          <cell r="W68">
            <v>7.4188382815555522</v>
          </cell>
          <cell r="X68">
            <v>7.4188382815555522</v>
          </cell>
          <cell r="Y68">
            <v>7.4188382815555522</v>
          </cell>
          <cell r="Z68">
            <v>7.4188382815555522</v>
          </cell>
          <cell r="AA68">
            <v>7.4188382815555522</v>
          </cell>
          <cell r="AB68">
            <v>7.4188382815555522</v>
          </cell>
          <cell r="AC68">
            <v>7.4188382815555522</v>
          </cell>
          <cell r="AD68">
            <v>7.4188382815555522</v>
          </cell>
          <cell r="AE68">
            <v>7.4188382815555522</v>
          </cell>
          <cell r="AF68">
            <v>7.4188382815555522</v>
          </cell>
        </row>
        <row r="69">
          <cell r="A69" t="str">
            <v>Indiana</v>
          </cell>
          <cell r="B69">
            <v>7.4244257975461547</v>
          </cell>
          <cell r="C69">
            <v>7.4270847091491117</v>
          </cell>
          <cell r="D69">
            <v>7.4273384913097154</v>
          </cell>
          <cell r="E69">
            <v>7.4257401459392716</v>
          </cell>
          <cell r="F69">
            <v>7.4267728459529287</v>
          </cell>
          <cell r="G69">
            <v>7.4265832924357644</v>
          </cell>
          <cell r="H69">
            <v>7.426060839122794</v>
          </cell>
          <cell r="I69">
            <v>7.4246502334324864</v>
          </cell>
          <cell r="J69">
            <v>7.4274224144707093</v>
          </cell>
          <cell r="K69">
            <v>7.4248945699605198</v>
          </cell>
          <cell r="L69">
            <v>7.427727440370874</v>
          </cell>
          <cell r="M69">
            <v>7.4157721839183308</v>
          </cell>
          <cell r="N69">
            <v>7.4168666254564419</v>
          </cell>
          <cell r="O69">
            <v>7.4139199468050778</v>
          </cell>
          <cell r="P69">
            <v>7.4177729115685462</v>
          </cell>
          <cell r="Q69">
            <v>7.4187762609740275</v>
          </cell>
          <cell r="R69">
            <v>7.4167307672934619</v>
          </cell>
          <cell r="S69">
            <v>7.4188382815555549</v>
          </cell>
          <cell r="T69">
            <v>7.4188382815555549</v>
          </cell>
          <cell r="U69">
            <v>7.4188382815555549</v>
          </cell>
          <cell r="V69">
            <v>7.4188382815555549</v>
          </cell>
          <cell r="W69">
            <v>7.4188382815555549</v>
          </cell>
          <cell r="X69">
            <v>7.4188382815555549</v>
          </cell>
          <cell r="Y69">
            <v>7.4188382815555549</v>
          </cell>
          <cell r="Z69">
            <v>7.4188382815555549</v>
          </cell>
          <cell r="AA69">
            <v>7.4188382815555549</v>
          </cell>
          <cell r="AB69">
            <v>7.4188382815555549</v>
          </cell>
          <cell r="AC69">
            <v>7.4188382815555549</v>
          </cell>
          <cell r="AD69">
            <v>7.4188382815555549</v>
          </cell>
          <cell r="AE69">
            <v>7.4188382815555549</v>
          </cell>
          <cell r="AF69">
            <v>7.4188382815555549</v>
          </cell>
        </row>
        <row r="70">
          <cell r="A70" t="str">
            <v>Iowa</v>
          </cell>
          <cell r="B70">
            <v>7.4244257975461565</v>
          </cell>
          <cell r="C70">
            <v>7.4270847091491099</v>
          </cell>
          <cell r="D70">
            <v>7.4273384913097154</v>
          </cell>
          <cell r="E70">
            <v>7.4257401459392733</v>
          </cell>
          <cell r="F70">
            <v>7.426772845952927</v>
          </cell>
          <cell r="G70">
            <v>7.4265832924357644</v>
          </cell>
          <cell r="H70">
            <v>7.426060839122794</v>
          </cell>
          <cell r="I70">
            <v>7.4246502334324882</v>
          </cell>
          <cell r="J70">
            <v>7.4274224144707084</v>
          </cell>
          <cell r="K70">
            <v>7.4248945699605189</v>
          </cell>
          <cell r="L70">
            <v>7.4277274403708731</v>
          </cell>
          <cell r="M70">
            <v>7.4157721839183308</v>
          </cell>
          <cell r="N70">
            <v>7.416866625456441</v>
          </cell>
          <cell r="O70">
            <v>7.4139199468050769</v>
          </cell>
          <cell r="P70">
            <v>7.4177729115685445</v>
          </cell>
          <cell r="Q70">
            <v>7.4187762609740275</v>
          </cell>
          <cell r="R70">
            <v>7.4167307672934637</v>
          </cell>
          <cell r="S70">
            <v>7.4188382815555522</v>
          </cell>
          <cell r="T70">
            <v>7.4188382815555522</v>
          </cell>
          <cell r="U70">
            <v>7.4188382815555522</v>
          </cell>
          <cell r="V70">
            <v>7.4188382815555522</v>
          </cell>
          <cell r="W70">
            <v>7.4188382815555522</v>
          </cell>
          <cell r="X70">
            <v>7.4188382815555522</v>
          </cell>
          <cell r="Y70">
            <v>7.4188382815555522</v>
          </cell>
          <cell r="Z70">
            <v>7.4188382815555522</v>
          </cell>
          <cell r="AA70">
            <v>7.4188382815555522</v>
          </cell>
          <cell r="AB70">
            <v>7.4188382815555522</v>
          </cell>
          <cell r="AC70">
            <v>7.4188382815555522</v>
          </cell>
          <cell r="AD70">
            <v>7.4188382815555522</v>
          </cell>
          <cell r="AE70">
            <v>7.4188382815555522</v>
          </cell>
          <cell r="AF70">
            <v>7.4188382815555522</v>
          </cell>
        </row>
        <row r="71">
          <cell r="A71" t="str">
            <v>Kansas</v>
          </cell>
          <cell r="B71">
            <v>7.4244257975461565</v>
          </cell>
          <cell r="C71">
            <v>7.4270847091491126</v>
          </cell>
          <cell r="D71">
            <v>7.4273384913097171</v>
          </cell>
          <cell r="E71">
            <v>7.4257401459392725</v>
          </cell>
          <cell r="F71">
            <v>7.426772845952927</v>
          </cell>
          <cell r="G71">
            <v>7.4265832924357627</v>
          </cell>
          <cell r="H71">
            <v>7.4260608391227914</v>
          </cell>
          <cell r="I71">
            <v>7.4246502334324882</v>
          </cell>
          <cell r="J71">
            <v>7.4274224144707093</v>
          </cell>
          <cell r="K71">
            <v>7.4248945699605189</v>
          </cell>
          <cell r="L71">
            <v>7.427727440370874</v>
          </cell>
          <cell r="M71">
            <v>7.4157721839183308</v>
          </cell>
          <cell r="N71">
            <v>7.416866625456441</v>
          </cell>
          <cell r="O71">
            <v>7.4139199468050769</v>
          </cell>
          <cell r="P71">
            <v>7.4177729115685462</v>
          </cell>
          <cell r="Q71">
            <v>7.4187762609740275</v>
          </cell>
          <cell r="R71">
            <v>7.416730767293461</v>
          </cell>
          <cell r="S71">
            <v>7.4188382815555522</v>
          </cell>
          <cell r="T71">
            <v>7.4188382815555522</v>
          </cell>
          <cell r="U71">
            <v>7.4188382815555522</v>
          </cell>
          <cell r="V71">
            <v>7.4188382815555522</v>
          </cell>
          <cell r="W71">
            <v>7.4188382815555522</v>
          </cell>
          <cell r="X71">
            <v>7.4188382815555522</v>
          </cell>
          <cell r="Y71">
            <v>7.4188382815555522</v>
          </cell>
          <cell r="Z71">
            <v>7.4188382815555522</v>
          </cell>
          <cell r="AA71">
            <v>7.4188382815555522</v>
          </cell>
          <cell r="AB71">
            <v>7.4188382815555522</v>
          </cell>
          <cell r="AC71">
            <v>7.4188382815555522</v>
          </cell>
          <cell r="AD71">
            <v>7.4188382815555522</v>
          </cell>
          <cell r="AE71">
            <v>7.4188382815555522</v>
          </cell>
          <cell r="AF71">
            <v>7.4188382815555522</v>
          </cell>
        </row>
        <row r="72">
          <cell r="A72" t="str">
            <v>Kentucky</v>
          </cell>
          <cell r="B72">
            <v>7.4244257975461565</v>
          </cell>
          <cell r="C72">
            <v>7.4270847091491126</v>
          </cell>
          <cell r="D72">
            <v>7.4273384913097154</v>
          </cell>
          <cell r="E72">
            <v>7.4257401459392716</v>
          </cell>
          <cell r="F72">
            <v>7.4267728459529287</v>
          </cell>
          <cell r="G72">
            <v>7.4265832924357662</v>
          </cell>
          <cell r="H72">
            <v>7.4260608391227914</v>
          </cell>
          <cell r="I72">
            <v>7.4246502334324855</v>
          </cell>
          <cell r="J72">
            <v>7.4274224144707084</v>
          </cell>
          <cell r="K72">
            <v>7.424894569960518</v>
          </cell>
          <cell r="L72">
            <v>7.4277274403708731</v>
          </cell>
          <cell r="M72">
            <v>7.4157721839183317</v>
          </cell>
          <cell r="N72">
            <v>7.416866625456441</v>
          </cell>
          <cell r="O72">
            <v>7.4139199468050769</v>
          </cell>
          <cell r="P72">
            <v>7.4177729115685462</v>
          </cell>
          <cell r="Q72">
            <v>7.4187762609740275</v>
          </cell>
          <cell r="R72">
            <v>7.4167307672934619</v>
          </cell>
          <cell r="S72">
            <v>7.4188382815555549</v>
          </cell>
          <cell r="T72">
            <v>7.4188382815555549</v>
          </cell>
          <cell r="U72">
            <v>7.4188382815555549</v>
          </cell>
          <cell r="V72">
            <v>7.4188382815555549</v>
          </cell>
          <cell r="W72">
            <v>7.4188382815555549</v>
          </cell>
          <cell r="X72">
            <v>7.4188382815555549</v>
          </cell>
          <cell r="Y72">
            <v>7.4188382815555549</v>
          </cell>
          <cell r="Z72">
            <v>7.4188382815555549</v>
          </cell>
          <cell r="AA72">
            <v>7.4188382815555549</v>
          </cell>
          <cell r="AB72">
            <v>7.4188382815555549</v>
          </cell>
          <cell r="AC72">
            <v>7.4188382815555549</v>
          </cell>
          <cell r="AD72">
            <v>7.4188382815555549</v>
          </cell>
          <cell r="AE72">
            <v>7.4188382815555549</v>
          </cell>
          <cell r="AF72">
            <v>7.4188382815555549</v>
          </cell>
        </row>
        <row r="73">
          <cell r="A73" t="str">
            <v>Louisiana</v>
          </cell>
          <cell r="B73">
            <v>8.2288479404102599</v>
          </cell>
          <cell r="C73">
            <v>8.2317918019240697</v>
          </cell>
          <cell r="D73">
            <v>8.2320729113149103</v>
          </cell>
          <cell r="E73">
            <v>8.2303025567370742</v>
          </cell>
          <cell r="F73">
            <v>8.2314462032010738</v>
          </cell>
          <cell r="G73">
            <v>8.2312352923523662</v>
          </cell>
          <cell r="H73">
            <v>8.230657126301006</v>
          </cell>
          <cell r="I73">
            <v>8.2290957145784329</v>
          </cell>
          <cell r="J73">
            <v>8.232166641136665</v>
          </cell>
          <cell r="K73">
            <v>8.2293666284637474</v>
          </cell>
          <cell r="L73">
            <v>8.2325030470501588</v>
          </cell>
          <cell r="M73">
            <v>8.2193429773749624</v>
          </cell>
          <cell r="N73">
            <v>8.2205552070608494</v>
          </cell>
          <cell r="O73">
            <v>8.217292110317489</v>
          </cell>
          <cell r="P73">
            <v>8.2215582866774675</v>
          </cell>
          <cell r="Q73">
            <v>8.2226697589026223</v>
          </cell>
          <cell r="R73">
            <v>8.2204041962349574</v>
          </cell>
          <cell r="S73">
            <v>8.2227376673712911</v>
          </cell>
          <cell r="T73">
            <v>8.2227376673712911</v>
          </cell>
          <cell r="U73">
            <v>8.2227376673712911</v>
          </cell>
          <cell r="V73">
            <v>8.2227376673712911</v>
          </cell>
          <cell r="W73">
            <v>8.2227376673712911</v>
          </cell>
          <cell r="X73">
            <v>8.2227376673712911</v>
          </cell>
          <cell r="Y73">
            <v>8.2227376673712911</v>
          </cell>
          <cell r="Z73">
            <v>8.2227376673712911</v>
          </cell>
          <cell r="AA73">
            <v>8.2227376673712911</v>
          </cell>
          <cell r="AB73">
            <v>8.2227376673712911</v>
          </cell>
          <cell r="AC73">
            <v>8.2227376673712911</v>
          </cell>
          <cell r="AD73">
            <v>8.2227376673712911</v>
          </cell>
          <cell r="AE73">
            <v>8.2227376673712911</v>
          </cell>
          <cell r="AF73">
            <v>8.2227376673712911</v>
          </cell>
        </row>
        <row r="74">
          <cell r="A74" t="str">
            <v>Maine</v>
          </cell>
          <cell r="B74">
            <v>6.7022358854945905</v>
          </cell>
          <cell r="C74">
            <v>6.7046383817894464</v>
          </cell>
          <cell r="D74">
            <v>6.7048675981276427</v>
          </cell>
          <cell r="E74">
            <v>6.7034238996302555</v>
          </cell>
          <cell r="F74">
            <v>6.7043568157747719</v>
          </cell>
          <cell r="G74">
            <v>6.7041862810707018</v>
          </cell>
          <cell r="H74">
            <v>6.7037140146210685</v>
          </cell>
          <cell r="I74">
            <v>6.702439183414918</v>
          </cell>
          <cell r="J74">
            <v>6.7049428523286778</v>
          </cell>
          <cell r="K74">
            <v>6.7026596791576178</v>
          </cell>
          <cell r="L74">
            <v>6.7052193898777537</v>
          </cell>
          <cell r="M74">
            <v>6.6943629316514146</v>
          </cell>
          <cell r="N74">
            <v>6.6953514758351904</v>
          </cell>
          <cell r="O74">
            <v>6.6926894090491427</v>
          </cell>
          <cell r="P74">
            <v>6.6961705978049055</v>
          </cell>
          <cell r="Q74">
            <v>6.6970767658517785</v>
          </cell>
          <cell r="R74">
            <v>6.6952291393811185</v>
          </cell>
          <cell r="S74">
            <v>6.6971333428371311</v>
          </cell>
          <cell r="T74">
            <v>6.6971333428371311</v>
          </cell>
          <cell r="U74">
            <v>6.6971333428371311</v>
          </cell>
          <cell r="V74">
            <v>6.6971333428371311</v>
          </cell>
          <cell r="W74">
            <v>6.6971333428371311</v>
          </cell>
          <cell r="X74">
            <v>6.6971333428371311</v>
          </cell>
          <cell r="Y74">
            <v>6.6971333428371311</v>
          </cell>
          <cell r="Z74">
            <v>6.6971333428371311</v>
          </cell>
          <cell r="AA74">
            <v>6.6971333428371311</v>
          </cell>
          <cell r="AB74">
            <v>6.6971333428371311</v>
          </cell>
          <cell r="AC74">
            <v>6.6971333428371311</v>
          </cell>
          <cell r="AD74">
            <v>6.6971333428371311</v>
          </cell>
          <cell r="AE74">
            <v>6.6971333428371311</v>
          </cell>
          <cell r="AF74">
            <v>6.6971333428371311</v>
          </cell>
        </row>
        <row r="75">
          <cell r="A75" t="str">
            <v>Maryland</v>
          </cell>
          <cell r="B75">
            <v>6.7022358854945923</v>
          </cell>
          <cell r="C75">
            <v>6.7046383817894464</v>
          </cell>
          <cell r="D75">
            <v>6.7048675981276453</v>
          </cell>
          <cell r="E75">
            <v>6.7034238996302529</v>
          </cell>
          <cell r="F75">
            <v>6.7043568157747711</v>
          </cell>
          <cell r="G75">
            <v>6.7041862810707018</v>
          </cell>
          <cell r="H75">
            <v>6.7037140146210685</v>
          </cell>
          <cell r="I75">
            <v>6.7024391834149188</v>
          </cell>
          <cell r="J75">
            <v>6.7049428523286787</v>
          </cell>
          <cell r="K75">
            <v>6.7026596791576187</v>
          </cell>
          <cell r="L75">
            <v>6.705219389877751</v>
          </cell>
          <cell r="M75">
            <v>6.6943629316514119</v>
          </cell>
          <cell r="N75">
            <v>6.6953514758351922</v>
          </cell>
          <cell r="O75">
            <v>6.6926894090491391</v>
          </cell>
          <cell r="P75">
            <v>6.6961705978049046</v>
          </cell>
          <cell r="Q75">
            <v>6.6970767658517802</v>
          </cell>
          <cell r="R75">
            <v>6.6952291393811194</v>
          </cell>
          <cell r="S75">
            <v>6.697133342837132</v>
          </cell>
          <cell r="T75">
            <v>6.697133342837132</v>
          </cell>
          <cell r="U75">
            <v>6.697133342837132</v>
          </cell>
          <cell r="V75">
            <v>6.697133342837132</v>
          </cell>
          <cell r="W75">
            <v>6.697133342837132</v>
          </cell>
          <cell r="X75">
            <v>6.697133342837132</v>
          </cell>
          <cell r="Y75">
            <v>6.697133342837132</v>
          </cell>
          <cell r="Z75">
            <v>6.697133342837132</v>
          </cell>
          <cell r="AA75">
            <v>6.697133342837132</v>
          </cell>
          <cell r="AB75">
            <v>6.697133342837132</v>
          </cell>
          <cell r="AC75">
            <v>6.697133342837132</v>
          </cell>
          <cell r="AD75">
            <v>6.697133342837132</v>
          </cell>
          <cell r="AE75">
            <v>6.697133342837132</v>
          </cell>
          <cell r="AF75">
            <v>6.697133342837132</v>
          </cell>
        </row>
        <row r="76">
          <cell r="A76" t="str">
            <v>Massachusetts</v>
          </cell>
          <cell r="B76">
            <v>6.7022358854945914</v>
          </cell>
          <cell r="C76">
            <v>6.7046383817894482</v>
          </cell>
          <cell r="D76">
            <v>6.7048675981276427</v>
          </cell>
          <cell r="E76">
            <v>6.7034238996302529</v>
          </cell>
          <cell r="F76">
            <v>6.7043568157747719</v>
          </cell>
          <cell r="G76">
            <v>6.7041862810707018</v>
          </cell>
          <cell r="H76">
            <v>6.7037140146210685</v>
          </cell>
          <cell r="I76">
            <v>6.702439183414918</v>
          </cell>
          <cell r="J76">
            <v>6.7049428523286778</v>
          </cell>
          <cell r="K76">
            <v>6.7026596791576178</v>
          </cell>
          <cell r="L76">
            <v>6.7052193898777528</v>
          </cell>
          <cell r="M76">
            <v>6.6943629316514146</v>
          </cell>
          <cell r="N76">
            <v>6.6953514758351904</v>
          </cell>
          <cell r="O76">
            <v>6.6926894090491391</v>
          </cell>
          <cell r="P76">
            <v>6.6961705978049073</v>
          </cell>
          <cell r="Q76">
            <v>6.6970767658517785</v>
          </cell>
          <cell r="R76">
            <v>6.6952291393811185</v>
          </cell>
          <cell r="S76">
            <v>6.6971333428371311</v>
          </cell>
          <cell r="T76">
            <v>6.6971333428371311</v>
          </cell>
          <cell r="U76">
            <v>6.6971333428371311</v>
          </cell>
          <cell r="V76">
            <v>6.6971333428371311</v>
          </cell>
          <cell r="W76">
            <v>6.6971333428371311</v>
          </cell>
          <cell r="X76">
            <v>6.6971333428371311</v>
          </cell>
          <cell r="Y76">
            <v>6.6971333428371311</v>
          </cell>
          <cell r="Z76">
            <v>6.6971333428371311</v>
          </cell>
          <cell r="AA76">
            <v>6.6971333428371311</v>
          </cell>
          <cell r="AB76">
            <v>6.6971333428371311</v>
          </cell>
          <cell r="AC76">
            <v>6.6971333428371311</v>
          </cell>
          <cell r="AD76">
            <v>6.6971333428371311</v>
          </cell>
          <cell r="AE76">
            <v>6.6971333428371311</v>
          </cell>
          <cell r="AF76">
            <v>6.6971333428371311</v>
          </cell>
        </row>
        <row r="77">
          <cell r="A77" t="str">
            <v>Michigan</v>
          </cell>
          <cell r="B77">
            <v>7.4244257975461565</v>
          </cell>
          <cell r="C77">
            <v>7.4270847091491117</v>
          </cell>
          <cell r="D77">
            <v>7.4273384913097154</v>
          </cell>
          <cell r="E77">
            <v>7.4257401459392725</v>
          </cell>
          <cell r="F77">
            <v>7.426772845952927</v>
          </cell>
          <cell r="G77">
            <v>7.4265832924357662</v>
          </cell>
          <cell r="H77">
            <v>7.4260608391227896</v>
          </cell>
          <cell r="I77">
            <v>7.4246502334324864</v>
          </cell>
          <cell r="J77">
            <v>7.4274224144707093</v>
          </cell>
          <cell r="K77">
            <v>7.4248945699605198</v>
          </cell>
          <cell r="L77">
            <v>7.427727440370874</v>
          </cell>
          <cell r="M77">
            <v>7.415772183918329</v>
          </cell>
          <cell r="N77">
            <v>7.416866625456441</v>
          </cell>
          <cell r="O77">
            <v>7.4139199468050778</v>
          </cell>
          <cell r="P77">
            <v>7.4177729115685436</v>
          </cell>
          <cell r="Q77">
            <v>7.4187762609740293</v>
          </cell>
          <cell r="R77">
            <v>7.4167307672934619</v>
          </cell>
          <cell r="S77">
            <v>7.4188382815555531</v>
          </cell>
          <cell r="T77">
            <v>7.4188382815555531</v>
          </cell>
          <cell r="U77">
            <v>7.4188382815555531</v>
          </cell>
          <cell r="V77">
            <v>7.4188382815555531</v>
          </cell>
          <cell r="W77">
            <v>7.4188382815555531</v>
          </cell>
          <cell r="X77">
            <v>7.4188382815555531</v>
          </cell>
          <cell r="Y77">
            <v>7.4188382815555531</v>
          </cell>
          <cell r="Z77">
            <v>7.4188382815555531</v>
          </cell>
          <cell r="AA77">
            <v>7.4188382815555531</v>
          </cell>
          <cell r="AB77">
            <v>7.4188382815555531</v>
          </cell>
          <cell r="AC77">
            <v>7.4188382815555531</v>
          </cell>
          <cell r="AD77">
            <v>7.4188382815555531</v>
          </cell>
          <cell r="AE77">
            <v>7.4188382815555531</v>
          </cell>
          <cell r="AF77">
            <v>7.4188382815555531</v>
          </cell>
        </row>
        <row r="78">
          <cell r="A78" t="str">
            <v>Minnesota</v>
          </cell>
          <cell r="B78">
            <v>7.4244257975461538</v>
          </cell>
          <cell r="C78">
            <v>7.4270847091491126</v>
          </cell>
          <cell r="D78">
            <v>7.427338491309718</v>
          </cell>
          <cell r="E78">
            <v>7.4257401459392725</v>
          </cell>
          <cell r="F78">
            <v>7.4267728459529279</v>
          </cell>
          <cell r="G78">
            <v>7.4265832924357644</v>
          </cell>
          <cell r="H78">
            <v>7.4260608391227896</v>
          </cell>
          <cell r="I78">
            <v>7.4246502334324855</v>
          </cell>
          <cell r="J78">
            <v>7.4274224144707093</v>
          </cell>
          <cell r="K78">
            <v>7.4248945699605198</v>
          </cell>
          <cell r="L78">
            <v>7.4277274403708731</v>
          </cell>
          <cell r="M78">
            <v>7.4157721839183317</v>
          </cell>
          <cell r="N78">
            <v>7.4168666254564419</v>
          </cell>
          <cell r="O78">
            <v>7.4139199468050778</v>
          </cell>
          <cell r="P78">
            <v>7.4177729115685462</v>
          </cell>
          <cell r="Q78">
            <v>7.4187762609740275</v>
          </cell>
          <cell r="R78">
            <v>7.416730767293461</v>
          </cell>
          <cell r="S78">
            <v>7.4188382815555531</v>
          </cell>
          <cell r="T78">
            <v>7.4188382815555531</v>
          </cell>
          <cell r="U78">
            <v>7.4188382815555531</v>
          </cell>
          <cell r="V78">
            <v>7.4188382815555531</v>
          </cell>
          <cell r="W78">
            <v>7.4188382815555531</v>
          </cell>
          <cell r="X78">
            <v>7.4188382815555531</v>
          </cell>
          <cell r="Y78">
            <v>7.4188382815555531</v>
          </cell>
          <cell r="Z78">
            <v>7.4188382815555531</v>
          </cell>
          <cell r="AA78">
            <v>7.4188382815555531</v>
          </cell>
          <cell r="AB78">
            <v>7.4188382815555531</v>
          </cell>
          <cell r="AC78">
            <v>7.4188382815555531</v>
          </cell>
          <cell r="AD78">
            <v>7.4188382815555531</v>
          </cell>
          <cell r="AE78">
            <v>7.4188382815555531</v>
          </cell>
          <cell r="AF78">
            <v>7.4188382815555531</v>
          </cell>
        </row>
        <row r="79">
          <cell r="A79" t="str">
            <v>Mississippi</v>
          </cell>
          <cell r="B79">
            <v>7.4244257975461565</v>
          </cell>
          <cell r="C79">
            <v>7.4270847091491126</v>
          </cell>
          <cell r="D79">
            <v>7.4273384913097171</v>
          </cell>
          <cell r="E79">
            <v>7.4257401459392725</v>
          </cell>
          <cell r="F79">
            <v>7.426772845952927</v>
          </cell>
          <cell r="G79">
            <v>7.4265832924357627</v>
          </cell>
          <cell r="H79">
            <v>7.4260608391227922</v>
          </cell>
          <cell r="I79">
            <v>7.4246502334324864</v>
          </cell>
          <cell r="J79">
            <v>7.4274224144707111</v>
          </cell>
          <cell r="K79">
            <v>7.4248945699605189</v>
          </cell>
          <cell r="L79">
            <v>7.427727440370874</v>
          </cell>
          <cell r="M79">
            <v>7.4157721839183308</v>
          </cell>
          <cell r="N79">
            <v>7.416866625456441</v>
          </cell>
          <cell r="O79">
            <v>7.4139199468050778</v>
          </cell>
          <cell r="P79">
            <v>7.4177729115685436</v>
          </cell>
          <cell r="Q79">
            <v>7.4187762609740293</v>
          </cell>
          <cell r="R79">
            <v>7.416730767293461</v>
          </cell>
          <cell r="S79">
            <v>7.4188382815555549</v>
          </cell>
          <cell r="T79">
            <v>7.4188382815555549</v>
          </cell>
          <cell r="U79">
            <v>7.4188382815555549</v>
          </cell>
          <cell r="V79">
            <v>7.4188382815555549</v>
          </cell>
          <cell r="W79">
            <v>7.4188382815555549</v>
          </cell>
          <cell r="X79">
            <v>7.4188382815555549</v>
          </cell>
          <cell r="Y79">
            <v>7.4188382815555549</v>
          </cell>
          <cell r="Z79">
            <v>7.4188382815555549</v>
          </cell>
          <cell r="AA79">
            <v>7.4188382815555549</v>
          </cell>
          <cell r="AB79">
            <v>7.4188382815555549</v>
          </cell>
          <cell r="AC79">
            <v>7.4188382815555549</v>
          </cell>
          <cell r="AD79">
            <v>7.4188382815555549</v>
          </cell>
          <cell r="AE79">
            <v>7.4188382815555549</v>
          </cell>
          <cell r="AF79">
            <v>7.4188382815555549</v>
          </cell>
        </row>
        <row r="80">
          <cell r="A80" t="str">
            <v>Missouri</v>
          </cell>
          <cell r="B80">
            <v>7.4244257975461529</v>
          </cell>
          <cell r="C80">
            <v>7.4270847091491099</v>
          </cell>
          <cell r="D80">
            <v>7.4273384913097154</v>
          </cell>
          <cell r="E80">
            <v>7.4257401459392733</v>
          </cell>
          <cell r="F80">
            <v>7.426772845952927</v>
          </cell>
          <cell r="G80">
            <v>7.4265832924357627</v>
          </cell>
          <cell r="H80">
            <v>7.4260608391227914</v>
          </cell>
          <cell r="I80">
            <v>7.4246502334324864</v>
          </cell>
          <cell r="J80">
            <v>7.4274224144707111</v>
          </cell>
          <cell r="K80">
            <v>7.4248945699605189</v>
          </cell>
          <cell r="L80">
            <v>7.4277274403708722</v>
          </cell>
          <cell r="M80">
            <v>7.415772183918329</v>
          </cell>
          <cell r="N80">
            <v>7.416866625456441</v>
          </cell>
          <cell r="O80">
            <v>7.4139199468050778</v>
          </cell>
          <cell r="P80">
            <v>7.4177729115685445</v>
          </cell>
          <cell r="Q80">
            <v>7.4187762609740293</v>
          </cell>
          <cell r="R80">
            <v>7.4167307672934637</v>
          </cell>
          <cell r="S80">
            <v>7.4188382815555531</v>
          </cell>
          <cell r="T80">
            <v>7.4188382815555531</v>
          </cell>
          <cell r="U80">
            <v>7.4188382815555531</v>
          </cell>
          <cell r="V80">
            <v>7.4188382815555531</v>
          </cell>
          <cell r="W80">
            <v>7.4188382815555531</v>
          </cell>
          <cell r="X80">
            <v>7.4188382815555531</v>
          </cell>
          <cell r="Y80">
            <v>7.4188382815555531</v>
          </cell>
          <cell r="Z80">
            <v>7.4188382815555531</v>
          </cell>
          <cell r="AA80">
            <v>7.4188382815555531</v>
          </cell>
          <cell r="AB80">
            <v>7.4188382815555531</v>
          </cell>
          <cell r="AC80">
            <v>7.4188382815555531</v>
          </cell>
          <cell r="AD80">
            <v>7.4188382815555531</v>
          </cell>
          <cell r="AE80">
            <v>7.4188382815555531</v>
          </cell>
          <cell r="AF80">
            <v>7.4188382815555531</v>
          </cell>
        </row>
        <row r="81">
          <cell r="A81" t="str">
            <v>Montana</v>
          </cell>
          <cell r="B81">
            <v>7.4244257975461538</v>
          </cell>
          <cell r="C81">
            <v>7.4270847091491126</v>
          </cell>
          <cell r="D81">
            <v>7.4273384913097154</v>
          </cell>
          <cell r="E81">
            <v>7.4257401459392716</v>
          </cell>
          <cell r="F81">
            <v>7.4267728459529279</v>
          </cell>
          <cell r="G81">
            <v>7.4265832924357635</v>
          </cell>
          <cell r="H81">
            <v>7.426060839122794</v>
          </cell>
          <cell r="I81">
            <v>7.4246502334324864</v>
          </cell>
          <cell r="J81">
            <v>7.4274224144707111</v>
          </cell>
          <cell r="K81">
            <v>7.4248945699605189</v>
          </cell>
          <cell r="L81">
            <v>7.4277274403708731</v>
          </cell>
          <cell r="M81">
            <v>7.4157721839183317</v>
          </cell>
          <cell r="N81">
            <v>7.4168666254564419</v>
          </cell>
          <cell r="O81">
            <v>7.4139199468050752</v>
          </cell>
          <cell r="P81">
            <v>7.4177729115685462</v>
          </cell>
          <cell r="Q81">
            <v>7.4187762609740302</v>
          </cell>
          <cell r="R81">
            <v>7.416730767293461</v>
          </cell>
          <cell r="S81">
            <v>7.4188382815555549</v>
          </cell>
          <cell r="T81">
            <v>7.4188382815555549</v>
          </cell>
          <cell r="U81">
            <v>7.4188382815555549</v>
          </cell>
          <cell r="V81">
            <v>7.4188382815555549</v>
          </cell>
          <cell r="W81">
            <v>7.4188382815555549</v>
          </cell>
          <cell r="X81">
            <v>7.4188382815555549</v>
          </cell>
          <cell r="Y81">
            <v>7.4188382815555549</v>
          </cell>
          <cell r="Z81">
            <v>7.4188382815555549</v>
          </cell>
          <cell r="AA81">
            <v>7.4188382815555549</v>
          </cell>
          <cell r="AB81">
            <v>7.4188382815555549</v>
          </cell>
          <cell r="AC81">
            <v>7.4188382815555549</v>
          </cell>
          <cell r="AD81">
            <v>7.4188382815555549</v>
          </cell>
          <cell r="AE81">
            <v>7.4188382815555549</v>
          </cell>
          <cell r="AF81">
            <v>7.4188382815555549</v>
          </cell>
        </row>
        <row r="82">
          <cell r="A82" t="str">
            <v>Nebraska</v>
          </cell>
          <cell r="B82">
            <v>7.4244257975461547</v>
          </cell>
          <cell r="C82">
            <v>7.4270847091491117</v>
          </cell>
          <cell r="D82">
            <v>7.4273384913097154</v>
          </cell>
          <cell r="E82">
            <v>7.4257401459392716</v>
          </cell>
          <cell r="F82">
            <v>7.426772845952927</v>
          </cell>
          <cell r="G82">
            <v>7.4265832924357662</v>
          </cell>
          <cell r="H82">
            <v>7.426060839122794</v>
          </cell>
          <cell r="I82">
            <v>7.4246502334324882</v>
          </cell>
          <cell r="J82">
            <v>7.4274224144707093</v>
          </cell>
          <cell r="K82">
            <v>7.4248945699605189</v>
          </cell>
          <cell r="L82">
            <v>7.427727440370874</v>
          </cell>
          <cell r="M82">
            <v>7.4157721839183308</v>
          </cell>
          <cell r="N82">
            <v>7.416866625456441</v>
          </cell>
          <cell r="O82">
            <v>7.4139199468050778</v>
          </cell>
          <cell r="P82">
            <v>7.4177729115685462</v>
          </cell>
          <cell r="Q82">
            <v>7.4187762609740302</v>
          </cell>
          <cell r="R82">
            <v>7.4167307672934637</v>
          </cell>
          <cell r="S82">
            <v>7.4188382815555549</v>
          </cell>
          <cell r="T82">
            <v>7.4188382815555549</v>
          </cell>
          <cell r="U82">
            <v>7.4188382815555549</v>
          </cell>
          <cell r="V82">
            <v>7.4188382815555549</v>
          </cell>
          <cell r="W82">
            <v>7.4188382815555549</v>
          </cell>
          <cell r="X82">
            <v>7.4188382815555549</v>
          </cell>
          <cell r="Y82">
            <v>7.4188382815555549</v>
          </cell>
          <cell r="Z82">
            <v>7.4188382815555549</v>
          </cell>
          <cell r="AA82">
            <v>7.4188382815555549</v>
          </cell>
          <cell r="AB82">
            <v>7.4188382815555549</v>
          </cell>
          <cell r="AC82">
            <v>7.4188382815555549</v>
          </cell>
          <cell r="AD82">
            <v>7.4188382815555549</v>
          </cell>
          <cell r="AE82">
            <v>7.4188382815555549</v>
          </cell>
          <cell r="AF82">
            <v>7.4188382815555549</v>
          </cell>
        </row>
        <row r="83">
          <cell r="A83" t="str">
            <v>Nevada</v>
          </cell>
          <cell r="B83">
            <v>7.4244257975461538</v>
          </cell>
          <cell r="C83">
            <v>7.4270847091491099</v>
          </cell>
          <cell r="D83">
            <v>7.4273384913097171</v>
          </cell>
          <cell r="E83">
            <v>7.4257401459392725</v>
          </cell>
          <cell r="F83">
            <v>7.4267728459529279</v>
          </cell>
          <cell r="G83">
            <v>7.4265832924357644</v>
          </cell>
          <cell r="H83">
            <v>7.4260608391227922</v>
          </cell>
          <cell r="I83">
            <v>7.4246502334324855</v>
          </cell>
          <cell r="J83">
            <v>7.4274224144707093</v>
          </cell>
          <cell r="K83">
            <v>7.4248945699605189</v>
          </cell>
          <cell r="L83">
            <v>7.4277274403708722</v>
          </cell>
          <cell r="M83">
            <v>7.4157721839183308</v>
          </cell>
          <cell r="N83">
            <v>7.416866625456441</v>
          </cell>
          <cell r="O83">
            <v>7.4139199468050752</v>
          </cell>
          <cell r="P83">
            <v>7.4177729115685462</v>
          </cell>
          <cell r="Q83">
            <v>7.4187762609740302</v>
          </cell>
          <cell r="R83">
            <v>7.4167307672934584</v>
          </cell>
          <cell r="S83">
            <v>7.4188382815555522</v>
          </cell>
          <cell r="T83">
            <v>7.4188382815555522</v>
          </cell>
          <cell r="U83">
            <v>7.4188382815555522</v>
          </cell>
          <cell r="V83">
            <v>7.4188382815555522</v>
          </cell>
          <cell r="W83">
            <v>7.4188382815555522</v>
          </cell>
          <cell r="X83">
            <v>7.4188382815555522</v>
          </cell>
          <cell r="Y83">
            <v>7.4188382815555522</v>
          </cell>
          <cell r="Z83">
            <v>7.4188382815555522</v>
          </cell>
          <cell r="AA83">
            <v>7.4188382815555522</v>
          </cell>
          <cell r="AB83">
            <v>7.4188382815555522</v>
          </cell>
          <cell r="AC83">
            <v>7.4188382815555522</v>
          </cell>
          <cell r="AD83">
            <v>7.4188382815555522</v>
          </cell>
          <cell r="AE83">
            <v>7.4188382815555522</v>
          </cell>
          <cell r="AF83">
            <v>7.4188382815555522</v>
          </cell>
        </row>
        <row r="84">
          <cell r="A84" t="str">
            <v>New Hampshire</v>
          </cell>
          <cell r="B84">
            <v>6.7022358854945905</v>
          </cell>
          <cell r="C84">
            <v>6.7046383817894482</v>
          </cell>
          <cell r="D84">
            <v>6.7048675981276453</v>
          </cell>
          <cell r="E84">
            <v>6.7034238996302529</v>
          </cell>
          <cell r="F84">
            <v>6.7043568157747719</v>
          </cell>
          <cell r="G84">
            <v>6.7041862810707018</v>
          </cell>
          <cell r="H84">
            <v>6.7037140146210685</v>
          </cell>
          <cell r="I84">
            <v>6.7024391834149206</v>
          </cell>
          <cell r="J84">
            <v>6.7049428523286778</v>
          </cell>
          <cell r="K84">
            <v>6.7026596791576178</v>
          </cell>
          <cell r="L84">
            <v>6.7052193898777528</v>
          </cell>
          <cell r="M84">
            <v>6.6943629316514128</v>
          </cell>
          <cell r="N84">
            <v>6.6953514758351904</v>
          </cell>
          <cell r="O84">
            <v>6.6926894090491391</v>
          </cell>
          <cell r="P84">
            <v>6.6961705978049073</v>
          </cell>
          <cell r="Q84">
            <v>6.6970767658517802</v>
          </cell>
          <cell r="R84">
            <v>6.6952291393811185</v>
          </cell>
          <cell r="S84">
            <v>6.697133342837132</v>
          </cell>
          <cell r="T84">
            <v>6.697133342837132</v>
          </cell>
          <cell r="U84">
            <v>6.697133342837132</v>
          </cell>
          <cell r="V84">
            <v>6.697133342837132</v>
          </cell>
          <cell r="W84">
            <v>6.697133342837132</v>
          </cell>
          <cell r="X84">
            <v>6.697133342837132</v>
          </cell>
          <cell r="Y84">
            <v>6.697133342837132</v>
          </cell>
          <cell r="Z84">
            <v>6.697133342837132</v>
          </cell>
          <cell r="AA84">
            <v>6.697133342837132</v>
          </cell>
          <cell r="AB84">
            <v>6.697133342837132</v>
          </cell>
          <cell r="AC84">
            <v>6.697133342837132</v>
          </cell>
          <cell r="AD84">
            <v>6.697133342837132</v>
          </cell>
          <cell r="AE84">
            <v>6.697133342837132</v>
          </cell>
          <cell r="AF84">
            <v>6.697133342837132</v>
          </cell>
        </row>
        <row r="85">
          <cell r="A85" t="str">
            <v>New Jersey</v>
          </cell>
          <cell r="B85">
            <v>6.7022358854945905</v>
          </cell>
          <cell r="C85">
            <v>6.704638381789449</v>
          </cell>
          <cell r="D85">
            <v>6.7048675981276462</v>
          </cell>
          <cell r="E85">
            <v>6.7034238996302529</v>
          </cell>
          <cell r="F85">
            <v>6.7043568157747711</v>
          </cell>
          <cell r="G85">
            <v>6.7041862810707018</v>
          </cell>
          <cell r="H85">
            <v>6.7037140146210676</v>
          </cell>
          <cell r="I85">
            <v>6.702439183414918</v>
          </cell>
          <cell r="J85">
            <v>6.7049428523286778</v>
          </cell>
          <cell r="K85">
            <v>6.7026596791576187</v>
          </cell>
          <cell r="L85">
            <v>6.7052193898777528</v>
          </cell>
          <cell r="M85">
            <v>6.6943629316514128</v>
          </cell>
          <cell r="N85">
            <v>6.6953514758351922</v>
          </cell>
          <cell r="O85">
            <v>6.69268940904914</v>
          </cell>
          <cell r="P85">
            <v>6.6961705978049073</v>
          </cell>
          <cell r="Q85">
            <v>6.6970767658517802</v>
          </cell>
          <cell r="R85">
            <v>6.6952291393811167</v>
          </cell>
          <cell r="S85">
            <v>6.697133342837132</v>
          </cell>
          <cell r="T85">
            <v>6.697133342837132</v>
          </cell>
          <cell r="U85">
            <v>6.697133342837132</v>
          </cell>
          <cell r="V85">
            <v>6.697133342837132</v>
          </cell>
          <cell r="W85">
            <v>6.697133342837132</v>
          </cell>
          <cell r="X85">
            <v>6.697133342837132</v>
          </cell>
          <cell r="Y85">
            <v>6.697133342837132</v>
          </cell>
          <cell r="Z85">
            <v>6.697133342837132</v>
          </cell>
          <cell r="AA85">
            <v>6.697133342837132</v>
          </cell>
          <cell r="AB85">
            <v>6.697133342837132</v>
          </cell>
          <cell r="AC85">
            <v>6.697133342837132</v>
          </cell>
          <cell r="AD85">
            <v>6.697133342837132</v>
          </cell>
          <cell r="AE85">
            <v>6.697133342837132</v>
          </cell>
          <cell r="AF85">
            <v>6.697133342837132</v>
          </cell>
        </row>
        <row r="86">
          <cell r="A86" t="str">
            <v>New Mexico</v>
          </cell>
          <cell r="B86">
            <v>7.4244257975461565</v>
          </cell>
          <cell r="C86">
            <v>7.4270847091491099</v>
          </cell>
          <cell r="D86">
            <v>7.4273384913097171</v>
          </cell>
          <cell r="E86">
            <v>7.4257401459392733</v>
          </cell>
          <cell r="F86">
            <v>7.4267728459529252</v>
          </cell>
          <cell r="G86">
            <v>7.4265832924357627</v>
          </cell>
          <cell r="H86">
            <v>7.4260608391227914</v>
          </cell>
          <cell r="I86">
            <v>7.4246502334324882</v>
          </cell>
          <cell r="J86">
            <v>7.4274224144707084</v>
          </cell>
          <cell r="K86">
            <v>7.424894569960518</v>
          </cell>
          <cell r="L86">
            <v>7.4277274403708731</v>
          </cell>
          <cell r="M86">
            <v>7.4157721839183317</v>
          </cell>
          <cell r="N86">
            <v>7.416866625456441</v>
          </cell>
          <cell r="O86">
            <v>7.4139199468050769</v>
          </cell>
          <cell r="P86">
            <v>7.4177729115685445</v>
          </cell>
          <cell r="Q86">
            <v>7.4187762609740275</v>
          </cell>
          <cell r="R86">
            <v>7.416730767293461</v>
          </cell>
          <cell r="S86">
            <v>7.4188382815555522</v>
          </cell>
          <cell r="T86">
            <v>7.4188382815555522</v>
          </cell>
          <cell r="U86">
            <v>7.4188382815555522</v>
          </cell>
          <cell r="V86">
            <v>7.4188382815555522</v>
          </cell>
          <cell r="W86">
            <v>7.4188382815555522</v>
          </cell>
          <cell r="X86">
            <v>7.4188382815555522</v>
          </cell>
          <cell r="Y86">
            <v>7.4188382815555522</v>
          </cell>
          <cell r="Z86">
            <v>7.4188382815555522</v>
          </cell>
          <cell r="AA86">
            <v>7.4188382815555522</v>
          </cell>
          <cell r="AB86">
            <v>7.4188382815555522</v>
          </cell>
          <cell r="AC86">
            <v>7.4188382815555522</v>
          </cell>
          <cell r="AD86">
            <v>7.4188382815555522</v>
          </cell>
          <cell r="AE86">
            <v>7.4188382815555522</v>
          </cell>
          <cell r="AF86">
            <v>7.4188382815555522</v>
          </cell>
        </row>
        <row r="87">
          <cell r="A87" t="str">
            <v>New York</v>
          </cell>
          <cell r="B87">
            <v>6.7022358854945914</v>
          </cell>
          <cell r="C87">
            <v>6.704638381789449</v>
          </cell>
          <cell r="D87">
            <v>6.7048675981276435</v>
          </cell>
          <cell r="E87">
            <v>6.7034238996302538</v>
          </cell>
          <cell r="F87">
            <v>6.7043568157747719</v>
          </cell>
          <cell r="G87">
            <v>6.7041862810707009</v>
          </cell>
          <cell r="H87">
            <v>6.7037140146210685</v>
          </cell>
          <cell r="I87">
            <v>6.702439183414918</v>
          </cell>
          <cell r="J87">
            <v>6.7049428523286778</v>
          </cell>
          <cell r="K87">
            <v>6.7026596791576187</v>
          </cell>
          <cell r="L87">
            <v>6.7052193898777528</v>
          </cell>
          <cell r="M87">
            <v>6.6943629316514146</v>
          </cell>
          <cell r="N87">
            <v>6.6953514758351922</v>
          </cell>
          <cell r="O87">
            <v>6.6926894090491418</v>
          </cell>
          <cell r="P87">
            <v>6.6961705978049046</v>
          </cell>
          <cell r="Q87">
            <v>6.6970767658517811</v>
          </cell>
          <cell r="R87">
            <v>6.6952291393811185</v>
          </cell>
          <cell r="S87">
            <v>6.6971333428371311</v>
          </cell>
          <cell r="T87">
            <v>6.6971333428371311</v>
          </cell>
          <cell r="U87">
            <v>6.6971333428371311</v>
          </cell>
          <cell r="V87">
            <v>6.6971333428371311</v>
          </cell>
          <cell r="W87">
            <v>6.6971333428371311</v>
          </cell>
          <cell r="X87">
            <v>6.6971333428371311</v>
          </cell>
          <cell r="Y87">
            <v>6.6971333428371311</v>
          </cell>
          <cell r="Z87">
            <v>6.6971333428371311</v>
          </cell>
          <cell r="AA87">
            <v>6.6971333428371311</v>
          </cell>
          <cell r="AB87">
            <v>6.6971333428371311</v>
          </cell>
          <cell r="AC87">
            <v>6.6971333428371311</v>
          </cell>
          <cell r="AD87">
            <v>6.6971333428371311</v>
          </cell>
          <cell r="AE87">
            <v>6.6971333428371311</v>
          </cell>
          <cell r="AF87">
            <v>6.6971333428371311</v>
          </cell>
        </row>
        <row r="88">
          <cell r="A88" t="str">
            <v>North Carolina</v>
          </cell>
          <cell r="B88">
            <v>7.4244257975461538</v>
          </cell>
          <cell r="C88">
            <v>7.4270847091491117</v>
          </cell>
          <cell r="D88">
            <v>7.4273384913097171</v>
          </cell>
          <cell r="E88">
            <v>7.4257401459392725</v>
          </cell>
          <cell r="F88">
            <v>7.4267728459529252</v>
          </cell>
          <cell r="G88">
            <v>7.4265832924357644</v>
          </cell>
          <cell r="H88">
            <v>7.4260608391227896</v>
          </cell>
          <cell r="I88">
            <v>7.4246502334324838</v>
          </cell>
          <cell r="J88">
            <v>7.4274224144707093</v>
          </cell>
          <cell r="K88">
            <v>7.4248945699605189</v>
          </cell>
          <cell r="L88">
            <v>7.4277274403708731</v>
          </cell>
          <cell r="M88">
            <v>7.4157721839183308</v>
          </cell>
          <cell r="N88">
            <v>7.416866625456441</v>
          </cell>
          <cell r="O88">
            <v>7.4139199468050769</v>
          </cell>
          <cell r="P88">
            <v>7.4177729115685445</v>
          </cell>
          <cell r="Q88">
            <v>7.4187762609740275</v>
          </cell>
          <cell r="R88">
            <v>7.416730767293461</v>
          </cell>
          <cell r="S88">
            <v>7.4188382815555522</v>
          </cell>
          <cell r="T88">
            <v>7.4188382815555522</v>
          </cell>
          <cell r="U88">
            <v>7.4188382815555522</v>
          </cell>
          <cell r="V88">
            <v>7.4188382815555522</v>
          </cell>
          <cell r="W88">
            <v>7.4188382815555522</v>
          </cell>
          <cell r="X88">
            <v>7.4188382815555522</v>
          </cell>
          <cell r="Y88">
            <v>7.4188382815555522</v>
          </cell>
          <cell r="Z88">
            <v>7.4188382815555522</v>
          </cell>
          <cell r="AA88">
            <v>7.4188382815555522</v>
          </cell>
          <cell r="AB88">
            <v>7.4188382815555522</v>
          </cell>
          <cell r="AC88">
            <v>7.4188382815555522</v>
          </cell>
          <cell r="AD88">
            <v>7.4188382815555522</v>
          </cell>
          <cell r="AE88">
            <v>7.4188382815555522</v>
          </cell>
          <cell r="AF88">
            <v>7.4188382815555522</v>
          </cell>
        </row>
        <row r="89">
          <cell r="A89" t="str">
            <v>North Dakota</v>
          </cell>
          <cell r="B89">
            <v>7.4244257975461529</v>
          </cell>
          <cell r="C89">
            <v>7.4270847091491099</v>
          </cell>
          <cell r="D89">
            <v>7.4273384913097171</v>
          </cell>
          <cell r="E89">
            <v>7.4257401459392733</v>
          </cell>
          <cell r="F89">
            <v>7.426772845952927</v>
          </cell>
          <cell r="G89">
            <v>7.4265832924357627</v>
          </cell>
          <cell r="H89">
            <v>7.4260608391227914</v>
          </cell>
          <cell r="I89">
            <v>7.4246502334324855</v>
          </cell>
          <cell r="J89">
            <v>7.4274224144707093</v>
          </cell>
          <cell r="K89">
            <v>7.4248945699605189</v>
          </cell>
          <cell r="L89">
            <v>7.427727440370874</v>
          </cell>
          <cell r="M89">
            <v>7.4157721839183326</v>
          </cell>
          <cell r="N89">
            <v>7.416866625456441</v>
          </cell>
          <cell r="O89">
            <v>7.4139199468050752</v>
          </cell>
          <cell r="P89">
            <v>7.4177729115685462</v>
          </cell>
          <cell r="Q89">
            <v>7.4187762609740302</v>
          </cell>
          <cell r="R89">
            <v>7.4167307672934619</v>
          </cell>
          <cell r="S89">
            <v>7.4188382815555531</v>
          </cell>
          <cell r="T89">
            <v>7.4188382815555531</v>
          </cell>
          <cell r="U89">
            <v>7.4188382815555531</v>
          </cell>
          <cell r="V89">
            <v>7.4188382815555531</v>
          </cell>
          <cell r="W89">
            <v>7.4188382815555531</v>
          </cell>
          <cell r="X89">
            <v>7.4188382815555531</v>
          </cell>
          <cell r="Y89">
            <v>7.4188382815555531</v>
          </cell>
          <cell r="Z89">
            <v>7.4188382815555531</v>
          </cell>
          <cell r="AA89">
            <v>7.4188382815555531</v>
          </cell>
          <cell r="AB89">
            <v>7.4188382815555531</v>
          </cell>
          <cell r="AC89">
            <v>7.4188382815555531</v>
          </cell>
          <cell r="AD89">
            <v>7.4188382815555531</v>
          </cell>
          <cell r="AE89">
            <v>7.4188382815555531</v>
          </cell>
          <cell r="AF89">
            <v>7.4188382815555531</v>
          </cell>
        </row>
        <row r="90">
          <cell r="A90" t="str">
            <v>Ohio</v>
          </cell>
          <cell r="B90">
            <v>7.4244257975461538</v>
          </cell>
          <cell r="C90">
            <v>7.4270847091491117</v>
          </cell>
          <cell r="D90">
            <v>7.427338491309718</v>
          </cell>
          <cell r="E90">
            <v>7.4257401459392733</v>
          </cell>
          <cell r="F90">
            <v>7.426772845952927</v>
          </cell>
          <cell r="G90">
            <v>7.4265832924357644</v>
          </cell>
          <cell r="H90">
            <v>7.4260608391227914</v>
          </cell>
          <cell r="I90">
            <v>7.4246502334324864</v>
          </cell>
          <cell r="J90">
            <v>7.4274224144707111</v>
          </cell>
          <cell r="K90">
            <v>7.4248945699605198</v>
          </cell>
          <cell r="L90">
            <v>7.4277274403708731</v>
          </cell>
          <cell r="M90">
            <v>7.4157721839183308</v>
          </cell>
          <cell r="N90">
            <v>7.416866625456441</v>
          </cell>
          <cell r="O90">
            <v>7.4139199468050778</v>
          </cell>
          <cell r="P90">
            <v>7.4177729115685462</v>
          </cell>
          <cell r="Q90">
            <v>7.4187762609740293</v>
          </cell>
          <cell r="R90">
            <v>7.4167307672934637</v>
          </cell>
          <cell r="S90">
            <v>7.4188382815555522</v>
          </cell>
          <cell r="T90">
            <v>7.4188382815555522</v>
          </cell>
          <cell r="U90">
            <v>7.4188382815555522</v>
          </cell>
          <cell r="V90">
            <v>7.4188382815555522</v>
          </cell>
          <cell r="W90">
            <v>7.4188382815555522</v>
          </cell>
          <cell r="X90">
            <v>7.4188382815555522</v>
          </cell>
          <cell r="Y90">
            <v>7.4188382815555522</v>
          </cell>
          <cell r="Z90">
            <v>7.4188382815555522</v>
          </cell>
          <cell r="AA90">
            <v>7.4188382815555522</v>
          </cell>
          <cell r="AB90">
            <v>7.4188382815555522</v>
          </cell>
          <cell r="AC90">
            <v>7.4188382815555522</v>
          </cell>
          <cell r="AD90">
            <v>7.4188382815555522</v>
          </cell>
          <cell r="AE90">
            <v>7.4188382815555522</v>
          </cell>
          <cell r="AF90">
            <v>7.4188382815555522</v>
          </cell>
        </row>
        <row r="91">
          <cell r="A91" t="str">
            <v>Oklahoma</v>
          </cell>
          <cell r="B91">
            <v>8.2288479404102617</v>
          </cell>
          <cell r="C91">
            <v>8.2317918019240697</v>
          </cell>
          <cell r="D91">
            <v>8.2320729113149067</v>
          </cell>
          <cell r="E91">
            <v>8.2303025567370725</v>
          </cell>
          <cell r="F91">
            <v>8.2314462032010756</v>
          </cell>
          <cell r="G91">
            <v>8.2312352923523697</v>
          </cell>
          <cell r="H91">
            <v>8.230657126301006</v>
          </cell>
          <cell r="I91">
            <v>8.2290957145784329</v>
          </cell>
          <cell r="J91">
            <v>8.2321666411366614</v>
          </cell>
          <cell r="K91">
            <v>8.2293666284637474</v>
          </cell>
          <cell r="L91">
            <v>8.2325030470501588</v>
          </cell>
          <cell r="M91">
            <v>8.2193429773749642</v>
          </cell>
          <cell r="N91">
            <v>8.2205552070608476</v>
          </cell>
          <cell r="O91">
            <v>8.2172921103174872</v>
          </cell>
          <cell r="P91">
            <v>8.2215582866774675</v>
          </cell>
          <cell r="Q91">
            <v>8.2226697589026241</v>
          </cell>
          <cell r="R91">
            <v>8.2204041962349592</v>
          </cell>
          <cell r="S91">
            <v>8.2227376673712911</v>
          </cell>
          <cell r="T91">
            <v>8.2227376673712911</v>
          </cell>
          <cell r="U91">
            <v>8.2227376673712911</v>
          </cell>
          <cell r="V91">
            <v>8.2227376673712911</v>
          </cell>
          <cell r="W91">
            <v>8.2227376673712911</v>
          </cell>
          <cell r="X91">
            <v>8.2227376673712911</v>
          </cell>
          <cell r="Y91">
            <v>8.2227376673712911</v>
          </cell>
          <cell r="Z91">
            <v>8.2227376673712911</v>
          </cell>
          <cell r="AA91">
            <v>8.2227376673712911</v>
          </cell>
          <cell r="AB91">
            <v>8.2227376673712911</v>
          </cell>
          <cell r="AC91">
            <v>8.2227376673712911</v>
          </cell>
          <cell r="AD91">
            <v>8.2227376673712911</v>
          </cell>
          <cell r="AE91">
            <v>8.2227376673712911</v>
          </cell>
          <cell r="AF91">
            <v>8.2227376673712911</v>
          </cell>
        </row>
        <row r="92">
          <cell r="A92" t="str">
            <v>Oregon</v>
          </cell>
          <cell r="B92">
            <v>7.4244257975461529</v>
          </cell>
          <cell r="C92">
            <v>7.4270847091491117</v>
          </cell>
          <cell r="D92">
            <v>7.4273384913097154</v>
          </cell>
          <cell r="E92">
            <v>7.4257401459392725</v>
          </cell>
          <cell r="F92">
            <v>7.4267728459529252</v>
          </cell>
          <cell r="G92">
            <v>7.4265832924357662</v>
          </cell>
          <cell r="H92">
            <v>7.426060839122794</v>
          </cell>
          <cell r="I92">
            <v>7.4246502334324882</v>
          </cell>
          <cell r="J92">
            <v>7.4274224144707084</v>
          </cell>
          <cell r="K92">
            <v>7.424894569960518</v>
          </cell>
          <cell r="L92">
            <v>7.427727440370874</v>
          </cell>
          <cell r="M92">
            <v>7.4157721839183308</v>
          </cell>
          <cell r="N92">
            <v>7.416866625456441</v>
          </cell>
          <cell r="O92">
            <v>7.4139199468050778</v>
          </cell>
          <cell r="P92">
            <v>7.4177729115685462</v>
          </cell>
          <cell r="Q92">
            <v>7.4187762609740293</v>
          </cell>
          <cell r="R92">
            <v>7.416730767293461</v>
          </cell>
          <cell r="S92">
            <v>7.4188382815555522</v>
          </cell>
          <cell r="T92">
            <v>7.4188382815555522</v>
          </cell>
          <cell r="U92">
            <v>7.4188382815555522</v>
          </cell>
          <cell r="V92">
            <v>7.4188382815555522</v>
          </cell>
          <cell r="W92">
            <v>7.4188382815555522</v>
          </cell>
          <cell r="X92">
            <v>7.4188382815555522</v>
          </cell>
          <cell r="Y92">
            <v>7.4188382815555522</v>
          </cell>
          <cell r="Z92">
            <v>7.4188382815555522</v>
          </cell>
          <cell r="AA92">
            <v>7.4188382815555522</v>
          </cell>
          <cell r="AB92">
            <v>7.4188382815555522</v>
          </cell>
          <cell r="AC92">
            <v>7.4188382815555522</v>
          </cell>
          <cell r="AD92">
            <v>7.4188382815555522</v>
          </cell>
          <cell r="AE92">
            <v>7.4188382815555522</v>
          </cell>
          <cell r="AF92">
            <v>7.4188382815555522</v>
          </cell>
        </row>
        <row r="93">
          <cell r="A93" t="str">
            <v>Pennsylvania</v>
          </cell>
          <cell r="B93">
            <v>6.7022358854945905</v>
          </cell>
          <cell r="C93">
            <v>6.704638381789449</v>
          </cell>
          <cell r="D93">
            <v>6.7048675981276453</v>
          </cell>
          <cell r="E93">
            <v>6.7034238996302538</v>
          </cell>
          <cell r="F93">
            <v>6.7043568157747719</v>
          </cell>
          <cell r="G93">
            <v>6.7041862810707018</v>
          </cell>
          <cell r="H93">
            <v>6.7037140146210703</v>
          </cell>
          <cell r="I93">
            <v>6.7024391834149188</v>
          </cell>
          <cell r="J93">
            <v>6.7049428523286778</v>
          </cell>
          <cell r="K93">
            <v>6.7026596791576178</v>
          </cell>
          <cell r="L93">
            <v>6.7052193898777528</v>
          </cell>
          <cell r="M93">
            <v>6.6943629316514146</v>
          </cell>
          <cell r="N93">
            <v>6.6953514758351904</v>
          </cell>
          <cell r="O93">
            <v>6.69268940904914</v>
          </cell>
          <cell r="P93">
            <v>6.6961705978049055</v>
          </cell>
          <cell r="Q93">
            <v>6.6970767658517811</v>
          </cell>
          <cell r="R93">
            <v>6.6952291393811185</v>
          </cell>
          <cell r="S93">
            <v>6.697133342837132</v>
          </cell>
          <cell r="T93">
            <v>6.697133342837132</v>
          </cell>
          <cell r="U93">
            <v>6.697133342837132</v>
          </cell>
          <cell r="V93">
            <v>6.697133342837132</v>
          </cell>
          <cell r="W93">
            <v>6.697133342837132</v>
          </cell>
          <cell r="X93">
            <v>6.697133342837132</v>
          </cell>
          <cell r="Y93">
            <v>6.697133342837132</v>
          </cell>
          <cell r="Z93">
            <v>6.697133342837132</v>
          </cell>
          <cell r="AA93">
            <v>6.697133342837132</v>
          </cell>
          <cell r="AB93">
            <v>6.697133342837132</v>
          </cell>
          <cell r="AC93">
            <v>6.697133342837132</v>
          </cell>
          <cell r="AD93">
            <v>6.697133342837132</v>
          </cell>
          <cell r="AE93">
            <v>6.697133342837132</v>
          </cell>
          <cell r="AF93">
            <v>6.697133342837132</v>
          </cell>
        </row>
        <row r="94">
          <cell r="A94" t="str">
            <v>Rhode Island</v>
          </cell>
          <cell r="B94">
            <v>6.7022358854945914</v>
          </cell>
          <cell r="C94">
            <v>6.7046383817894464</v>
          </cell>
          <cell r="D94">
            <v>6.7048675981276453</v>
          </cell>
          <cell r="E94">
            <v>6.7034238996302538</v>
          </cell>
          <cell r="F94">
            <v>6.7043568157747719</v>
          </cell>
          <cell r="G94">
            <v>6.7041862810707018</v>
          </cell>
          <cell r="H94">
            <v>6.7037140146210685</v>
          </cell>
          <cell r="I94">
            <v>6.7024391834149188</v>
          </cell>
          <cell r="J94">
            <v>6.7049428523286787</v>
          </cell>
          <cell r="K94">
            <v>6.7026596791576178</v>
          </cell>
          <cell r="L94">
            <v>6.7052193898777528</v>
          </cell>
          <cell r="M94">
            <v>6.6943629316514146</v>
          </cell>
          <cell r="N94">
            <v>6.6953514758351922</v>
          </cell>
          <cell r="O94">
            <v>6.69268940904914</v>
          </cell>
          <cell r="P94">
            <v>6.6961705978049073</v>
          </cell>
          <cell r="Q94">
            <v>6.6970767658517838</v>
          </cell>
          <cell r="R94">
            <v>6.6952291393811167</v>
          </cell>
          <cell r="S94">
            <v>6.6971333428371311</v>
          </cell>
          <cell r="T94">
            <v>6.6971333428371311</v>
          </cell>
          <cell r="U94">
            <v>6.6971333428371311</v>
          </cell>
          <cell r="V94">
            <v>6.6971333428371311</v>
          </cell>
          <cell r="W94">
            <v>6.6971333428371311</v>
          </cell>
          <cell r="X94">
            <v>6.6971333428371311</v>
          </cell>
          <cell r="Y94">
            <v>6.6971333428371311</v>
          </cell>
          <cell r="Z94">
            <v>6.6971333428371311</v>
          </cell>
          <cell r="AA94">
            <v>6.6971333428371311</v>
          </cell>
          <cell r="AB94">
            <v>6.6971333428371311</v>
          </cell>
          <cell r="AC94">
            <v>6.6971333428371311</v>
          </cell>
          <cell r="AD94">
            <v>6.6971333428371311</v>
          </cell>
          <cell r="AE94">
            <v>6.6971333428371311</v>
          </cell>
          <cell r="AF94">
            <v>6.6971333428371311</v>
          </cell>
        </row>
        <row r="95">
          <cell r="A95" t="str">
            <v>South Carolina</v>
          </cell>
          <cell r="B95">
            <v>7.4244257975461538</v>
          </cell>
          <cell r="C95">
            <v>7.4270847091491117</v>
          </cell>
          <cell r="D95">
            <v>7.4273384913097154</v>
          </cell>
          <cell r="E95">
            <v>7.4257401459392725</v>
          </cell>
          <cell r="F95">
            <v>7.426772845952927</v>
          </cell>
          <cell r="G95">
            <v>7.4265832924357627</v>
          </cell>
          <cell r="H95">
            <v>7.4260608391227914</v>
          </cell>
          <cell r="I95">
            <v>7.4246502334324855</v>
          </cell>
          <cell r="J95">
            <v>7.4274224144707093</v>
          </cell>
          <cell r="K95">
            <v>7.4248945699605189</v>
          </cell>
          <cell r="L95">
            <v>7.4277274403708731</v>
          </cell>
          <cell r="M95">
            <v>7.4157721839183317</v>
          </cell>
          <cell r="N95">
            <v>7.416866625456441</v>
          </cell>
          <cell r="O95">
            <v>7.4139199468050769</v>
          </cell>
          <cell r="P95">
            <v>7.4177729115685462</v>
          </cell>
          <cell r="Q95">
            <v>7.4187762609740275</v>
          </cell>
          <cell r="R95">
            <v>7.4167307672934584</v>
          </cell>
          <cell r="S95">
            <v>7.4188382815555531</v>
          </cell>
          <cell r="T95">
            <v>7.4188382815555531</v>
          </cell>
          <cell r="U95">
            <v>7.4188382815555531</v>
          </cell>
          <cell r="V95">
            <v>7.4188382815555531</v>
          </cell>
          <cell r="W95">
            <v>7.4188382815555531</v>
          </cell>
          <cell r="X95">
            <v>7.4188382815555531</v>
          </cell>
          <cell r="Y95">
            <v>7.4188382815555531</v>
          </cell>
          <cell r="Z95">
            <v>7.4188382815555531</v>
          </cell>
          <cell r="AA95">
            <v>7.4188382815555531</v>
          </cell>
          <cell r="AB95">
            <v>7.4188382815555531</v>
          </cell>
          <cell r="AC95">
            <v>7.4188382815555531</v>
          </cell>
          <cell r="AD95">
            <v>7.4188382815555531</v>
          </cell>
          <cell r="AE95">
            <v>7.4188382815555531</v>
          </cell>
          <cell r="AF95">
            <v>7.4188382815555531</v>
          </cell>
        </row>
        <row r="96">
          <cell r="A96" t="str">
            <v>South Dakota</v>
          </cell>
          <cell r="B96">
            <v>7.4244257975461538</v>
          </cell>
          <cell r="C96">
            <v>7.4270847091491099</v>
          </cell>
          <cell r="D96">
            <v>7.4273384913097154</v>
          </cell>
          <cell r="E96">
            <v>7.4257401459392716</v>
          </cell>
          <cell r="F96">
            <v>7.4267728459529287</v>
          </cell>
          <cell r="G96">
            <v>7.4265832924357644</v>
          </cell>
          <cell r="H96">
            <v>7.4260608391227922</v>
          </cell>
          <cell r="I96">
            <v>7.4246502334324864</v>
          </cell>
          <cell r="J96">
            <v>7.4274224144707084</v>
          </cell>
          <cell r="K96">
            <v>7.4248945699605198</v>
          </cell>
          <cell r="L96">
            <v>7.4277274403708731</v>
          </cell>
          <cell r="M96">
            <v>7.4157721839183308</v>
          </cell>
          <cell r="N96">
            <v>7.416866625456441</v>
          </cell>
          <cell r="O96">
            <v>7.4139199468050778</v>
          </cell>
          <cell r="P96">
            <v>7.4177729115685462</v>
          </cell>
          <cell r="Q96">
            <v>7.4187762609740302</v>
          </cell>
          <cell r="R96">
            <v>7.416730767293461</v>
          </cell>
          <cell r="S96">
            <v>7.4188382815555549</v>
          </cell>
          <cell r="T96">
            <v>7.4188382815555549</v>
          </cell>
          <cell r="U96">
            <v>7.4188382815555549</v>
          </cell>
          <cell r="V96">
            <v>7.4188382815555549</v>
          </cell>
          <cell r="W96">
            <v>7.4188382815555549</v>
          </cell>
          <cell r="X96">
            <v>7.4188382815555549</v>
          </cell>
          <cell r="Y96">
            <v>7.4188382815555549</v>
          </cell>
          <cell r="Z96">
            <v>7.4188382815555549</v>
          </cell>
          <cell r="AA96">
            <v>7.4188382815555549</v>
          </cell>
          <cell r="AB96">
            <v>7.4188382815555549</v>
          </cell>
          <cell r="AC96">
            <v>7.4188382815555549</v>
          </cell>
          <cell r="AD96">
            <v>7.4188382815555549</v>
          </cell>
          <cell r="AE96">
            <v>7.4188382815555549</v>
          </cell>
          <cell r="AF96">
            <v>7.4188382815555549</v>
          </cell>
        </row>
        <row r="97">
          <cell r="A97" t="str">
            <v>Tennessee</v>
          </cell>
          <cell r="B97">
            <v>7.4244257975461538</v>
          </cell>
          <cell r="C97">
            <v>7.4270847091491099</v>
          </cell>
          <cell r="D97">
            <v>7.4273384913097171</v>
          </cell>
          <cell r="E97">
            <v>7.4257401459392733</v>
          </cell>
          <cell r="F97">
            <v>7.426772845952927</v>
          </cell>
          <cell r="G97">
            <v>7.4265832924357644</v>
          </cell>
          <cell r="H97">
            <v>7.4260608391227914</v>
          </cell>
          <cell r="I97">
            <v>7.4246502334324838</v>
          </cell>
          <cell r="J97">
            <v>7.4274224144707084</v>
          </cell>
          <cell r="K97">
            <v>7.4248945699605189</v>
          </cell>
          <cell r="L97">
            <v>7.4277274403708731</v>
          </cell>
          <cell r="M97">
            <v>7.415772183918329</v>
          </cell>
          <cell r="N97">
            <v>7.416866625456441</v>
          </cell>
          <cell r="O97">
            <v>7.4139199468050778</v>
          </cell>
          <cell r="P97">
            <v>7.4177729115685462</v>
          </cell>
          <cell r="Q97">
            <v>7.4187762609740302</v>
          </cell>
          <cell r="R97">
            <v>7.4167307672934619</v>
          </cell>
          <cell r="S97">
            <v>7.4188382815555549</v>
          </cell>
          <cell r="T97">
            <v>7.4188382815555549</v>
          </cell>
          <cell r="U97">
            <v>7.4188382815555549</v>
          </cell>
          <cell r="V97">
            <v>7.4188382815555549</v>
          </cell>
          <cell r="W97">
            <v>7.4188382815555549</v>
          </cell>
          <cell r="X97">
            <v>7.4188382815555549</v>
          </cell>
          <cell r="Y97">
            <v>7.4188382815555549</v>
          </cell>
          <cell r="Z97">
            <v>7.4188382815555549</v>
          </cell>
          <cell r="AA97">
            <v>7.4188382815555549</v>
          </cell>
          <cell r="AB97">
            <v>7.4188382815555549</v>
          </cell>
          <cell r="AC97">
            <v>7.4188382815555549</v>
          </cell>
          <cell r="AD97">
            <v>7.4188382815555549</v>
          </cell>
          <cell r="AE97">
            <v>7.4188382815555549</v>
          </cell>
          <cell r="AF97">
            <v>7.4188382815555549</v>
          </cell>
        </row>
        <row r="98">
          <cell r="A98" t="str">
            <v>Texas</v>
          </cell>
          <cell r="B98">
            <v>8.2288479404102617</v>
          </cell>
          <cell r="C98">
            <v>8.2317918019240715</v>
          </cell>
          <cell r="D98">
            <v>8.2320729113149103</v>
          </cell>
          <cell r="E98">
            <v>8.2303025567370725</v>
          </cell>
          <cell r="F98">
            <v>8.2314462032010756</v>
          </cell>
          <cell r="G98">
            <v>8.2312352923523662</v>
          </cell>
          <cell r="H98">
            <v>8.2306571263010042</v>
          </cell>
          <cell r="I98">
            <v>8.2290957145784365</v>
          </cell>
          <cell r="J98">
            <v>8.2321666411366614</v>
          </cell>
          <cell r="K98">
            <v>8.2293666284637474</v>
          </cell>
          <cell r="L98">
            <v>8.2325030470501606</v>
          </cell>
          <cell r="M98">
            <v>8.2193429773749642</v>
          </cell>
          <cell r="N98">
            <v>8.2205552070608494</v>
          </cell>
          <cell r="O98">
            <v>8.217292110317489</v>
          </cell>
          <cell r="P98">
            <v>8.2215582866774692</v>
          </cell>
          <cell r="Q98">
            <v>8.2226697589026223</v>
          </cell>
          <cell r="R98">
            <v>8.2204041962349592</v>
          </cell>
          <cell r="S98">
            <v>8.2227376673712858</v>
          </cell>
          <cell r="T98">
            <v>8.2227376673712858</v>
          </cell>
          <cell r="U98">
            <v>8.2227376673712858</v>
          </cell>
          <cell r="V98">
            <v>8.2227376673712858</v>
          </cell>
          <cell r="W98">
            <v>8.2227376673712858</v>
          </cell>
          <cell r="X98">
            <v>8.2227376673712858</v>
          </cell>
          <cell r="Y98">
            <v>8.2227376673712858</v>
          </cell>
          <cell r="Z98">
            <v>8.2227376673712858</v>
          </cell>
          <cell r="AA98">
            <v>8.2227376673712858</v>
          </cell>
          <cell r="AB98">
            <v>8.2227376673712858</v>
          </cell>
          <cell r="AC98">
            <v>8.2227376673712858</v>
          </cell>
          <cell r="AD98">
            <v>8.2227376673712858</v>
          </cell>
          <cell r="AE98">
            <v>8.2227376673712858</v>
          </cell>
          <cell r="AF98">
            <v>8.2227376673712858</v>
          </cell>
        </row>
        <row r="99">
          <cell r="A99" t="str">
            <v>Utah</v>
          </cell>
          <cell r="B99">
            <v>7.4244257975461547</v>
          </cell>
          <cell r="C99">
            <v>7.4270847091491117</v>
          </cell>
          <cell r="D99">
            <v>7.4273384913097171</v>
          </cell>
          <cell r="E99">
            <v>7.4257401459392733</v>
          </cell>
          <cell r="F99">
            <v>7.4267728459529252</v>
          </cell>
          <cell r="G99">
            <v>7.4265832924357644</v>
          </cell>
          <cell r="H99">
            <v>7.4260608391227922</v>
          </cell>
          <cell r="I99">
            <v>7.4246502334324855</v>
          </cell>
          <cell r="J99">
            <v>7.4274224144707084</v>
          </cell>
          <cell r="K99">
            <v>7.4248945699605198</v>
          </cell>
          <cell r="L99">
            <v>7.427727440370874</v>
          </cell>
          <cell r="M99">
            <v>7.415772183918329</v>
          </cell>
          <cell r="N99">
            <v>7.4168666254564419</v>
          </cell>
          <cell r="O99">
            <v>7.4139199468050769</v>
          </cell>
          <cell r="P99">
            <v>7.4177729115685462</v>
          </cell>
          <cell r="Q99">
            <v>7.4187762609740275</v>
          </cell>
          <cell r="R99">
            <v>7.416730767293461</v>
          </cell>
          <cell r="S99">
            <v>7.4188382815555522</v>
          </cell>
          <cell r="T99">
            <v>7.4188382815555522</v>
          </cell>
          <cell r="U99">
            <v>7.4188382815555522</v>
          </cell>
          <cell r="V99">
            <v>7.4188382815555522</v>
          </cell>
          <cell r="W99">
            <v>7.4188382815555522</v>
          </cell>
          <cell r="X99">
            <v>7.4188382815555522</v>
          </cell>
          <cell r="Y99">
            <v>7.4188382815555522</v>
          </cell>
          <cell r="Z99">
            <v>7.4188382815555522</v>
          </cell>
          <cell r="AA99">
            <v>7.4188382815555522</v>
          </cell>
          <cell r="AB99">
            <v>7.4188382815555522</v>
          </cell>
          <cell r="AC99">
            <v>7.4188382815555522</v>
          </cell>
          <cell r="AD99">
            <v>7.4188382815555522</v>
          </cell>
          <cell r="AE99">
            <v>7.4188382815555522</v>
          </cell>
          <cell r="AF99">
            <v>7.4188382815555522</v>
          </cell>
        </row>
        <row r="100">
          <cell r="A100" t="str">
            <v>Vermont</v>
          </cell>
          <cell r="B100">
            <v>6.7022358854945905</v>
          </cell>
          <cell r="C100">
            <v>6.7046383817894508</v>
          </cell>
          <cell r="D100">
            <v>6.7048675981276435</v>
          </cell>
          <cell r="E100">
            <v>6.7034238996302538</v>
          </cell>
          <cell r="F100">
            <v>6.7043568157747711</v>
          </cell>
          <cell r="G100">
            <v>6.7041862810707018</v>
          </cell>
          <cell r="H100">
            <v>6.7037140146210685</v>
          </cell>
          <cell r="I100">
            <v>6.7024391834149206</v>
          </cell>
          <cell r="J100">
            <v>6.7049428523286778</v>
          </cell>
          <cell r="K100">
            <v>6.7026596791576178</v>
          </cell>
          <cell r="L100">
            <v>6.7052193898777528</v>
          </cell>
          <cell r="M100">
            <v>6.6943629316514119</v>
          </cell>
          <cell r="N100">
            <v>6.6953514758351904</v>
          </cell>
          <cell r="O100">
            <v>6.6926894090491391</v>
          </cell>
          <cell r="P100">
            <v>6.6961705978049073</v>
          </cell>
          <cell r="Q100">
            <v>6.6970767658517811</v>
          </cell>
          <cell r="R100">
            <v>6.6952291393811194</v>
          </cell>
          <cell r="S100">
            <v>6.6971333428371302</v>
          </cell>
          <cell r="T100">
            <v>6.6971333428371302</v>
          </cell>
          <cell r="U100">
            <v>6.6971333428371302</v>
          </cell>
          <cell r="V100">
            <v>6.6971333428371302</v>
          </cell>
          <cell r="W100">
            <v>6.6971333428371302</v>
          </cell>
          <cell r="X100">
            <v>6.6971333428371302</v>
          </cell>
          <cell r="Y100">
            <v>6.6971333428371302</v>
          </cell>
          <cell r="Z100">
            <v>6.6971333428371302</v>
          </cell>
          <cell r="AA100">
            <v>6.6971333428371302</v>
          </cell>
          <cell r="AB100">
            <v>6.6971333428371302</v>
          </cell>
          <cell r="AC100">
            <v>6.6971333428371302</v>
          </cell>
          <cell r="AD100">
            <v>6.6971333428371302</v>
          </cell>
          <cell r="AE100">
            <v>6.6971333428371302</v>
          </cell>
          <cell r="AF100">
            <v>6.6971333428371302</v>
          </cell>
        </row>
        <row r="101">
          <cell r="A101" t="str">
            <v>Virginia</v>
          </cell>
          <cell r="B101">
            <v>7.4244257975461538</v>
          </cell>
          <cell r="C101">
            <v>7.4270847091491117</v>
          </cell>
          <cell r="D101">
            <v>7.4273384913097171</v>
          </cell>
          <cell r="E101">
            <v>7.4257401459392733</v>
          </cell>
          <cell r="F101">
            <v>7.4267728459529287</v>
          </cell>
          <cell r="G101">
            <v>7.4265832924357662</v>
          </cell>
          <cell r="H101">
            <v>7.4260608391227922</v>
          </cell>
          <cell r="I101">
            <v>7.4246502334324864</v>
          </cell>
          <cell r="J101">
            <v>7.4274224144707093</v>
          </cell>
          <cell r="K101">
            <v>7.4248945699605216</v>
          </cell>
          <cell r="L101">
            <v>7.427727440370874</v>
          </cell>
          <cell r="M101">
            <v>7.415772183918329</v>
          </cell>
          <cell r="N101">
            <v>7.416866625456441</v>
          </cell>
          <cell r="O101">
            <v>7.4139199468050778</v>
          </cell>
          <cell r="P101">
            <v>7.4177729115685462</v>
          </cell>
          <cell r="Q101">
            <v>7.4187762609740302</v>
          </cell>
          <cell r="R101">
            <v>7.4167307672934619</v>
          </cell>
          <cell r="S101">
            <v>7.4188382815555549</v>
          </cell>
          <cell r="T101">
            <v>7.4188382815555549</v>
          </cell>
          <cell r="U101">
            <v>7.4188382815555549</v>
          </cell>
          <cell r="V101">
            <v>7.4188382815555549</v>
          </cell>
          <cell r="W101">
            <v>7.4188382815555549</v>
          </cell>
          <cell r="X101">
            <v>7.4188382815555549</v>
          </cell>
          <cell r="Y101">
            <v>7.4188382815555549</v>
          </cell>
          <cell r="Z101">
            <v>7.4188382815555549</v>
          </cell>
          <cell r="AA101">
            <v>7.4188382815555549</v>
          </cell>
          <cell r="AB101">
            <v>7.4188382815555549</v>
          </cell>
          <cell r="AC101">
            <v>7.4188382815555549</v>
          </cell>
          <cell r="AD101">
            <v>7.4188382815555549</v>
          </cell>
          <cell r="AE101">
            <v>7.4188382815555549</v>
          </cell>
          <cell r="AF101">
            <v>7.4188382815555549</v>
          </cell>
        </row>
        <row r="102">
          <cell r="A102" t="str">
            <v>Washington</v>
          </cell>
          <cell r="B102">
            <v>7.4244257975461547</v>
          </cell>
          <cell r="C102">
            <v>7.4270847091491135</v>
          </cell>
          <cell r="D102">
            <v>7.4273384913097154</v>
          </cell>
          <cell r="E102">
            <v>7.4257401459392725</v>
          </cell>
          <cell r="F102">
            <v>7.426772845952927</v>
          </cell>
          <cell r="G102">
            <v>7.4265832924357662</v>
          </cell>
          <cell r="H102">
            <v>7.4260608391227922</v>
          </cell>
          <cell r="I102">
            <v>7.4246502334324855</v>
          </cell>
          <cell r="J102">
            <v>7.4274224144707084</v>
          </cell>
          <cell r="K102">
            <v>7.424894569960518</v>
          </cell>
          <cell r="L102">
            <v>7.4277274403708731</v>
          </cell>
          <cell r="M102">
            <v>7.4157721839183308</v>
          </cell>
          <cell r="N102">
            <v>7.416866625456441</v>
          </cell>
          <cell r="O102">
            <v>7.4139199468050778</v>
          </cell>
          <cell r="P102">
            <v>7.4177729115685445</v>
          </cell>
          <cell r="Q102">
            <v>7.4187762609740293</v>
          </cell>
          <cell r="R102">
            <v>7.416730767293461</v>
          </cell>
          <cell r="S102">
            <v>7.4188382815555531</v>
          </cell>
          <cell r="T102">
            <v>7.4188382815555531</v>
          </cell>
          <cell r="U102">
            <v>7.4188382815555531</v>
          </cell>
          <cell r="V102">
            <v>7.4188382815555531</v>
          </cell>
          <cell r="W102">
            <v>7.4188382815555531</v>
          </cell>
          <cell r="X102">
            <v>7.4188382815555531</v>
          </cell>
          <cell r="Y102">
            <v>7.4188382815555531</v>
          </cell>
          <cell r="Z102">
            <v>7.4188382815555531</v>
          </cell>
          <cell r="AA102">
            <v>7.4188382815555531</v>
          </cell>
          <cell r="AB102">
            <v>7.4188382815555531</v>
          </cell>
          <cell r="AC102">
            <v>7.4188382815555531</v>
          </cell>
          <cell r="AD102">
            <v>7.4188382815555531</v>
          </cell>
          <cell r="AE102">
            <v>7.4188382815555531</v>
          </cell>
          <cell r="AF102">
            <v>7.4188382815555531</v>
          </cell>
        </row>
        <row r="103">
          <cell r="A103" t="str">
            <v>West Virginia</v>
          </cell>
          <cell r="B103">
            <v>6.7022358854945923</v>
          </cell>
          <cell r="C103">
            <v>6.7046383817894482</v>
          </cell>
          <cell r="D103">
            <v>6.7048675981276427</v>
          </cell>
          <cell r="E103">
            <v>6.7034238996302529</v>
          </cell>
          <cell r="F103">
            <v>6.7043568157747719</v>
          </cell>
          <cell r="G103">
            <v>6.7041862810707018</v>
          </cell>
          <cell r="H103">
            <v>6.7037140146210685</v>
          </cell>
          <cell r="I103">
            <v>6.702439183414918</v>
          </cell>
          <cell r="J103">
            <v>6.7049428523286778</v>
          </cell>
          <cell r="K103">
            <v>6.7026596791576178</v>
          </cell>
          <cell r="L103">
            <v>6.7052193898777528</v>
          </cell>
          <cell r="M103">
            <v>6.6943629316514146</v>
          </cell>
          <cell r="N103">
            <v>6.6953514758351904</v>
          </cell>
          <cell r="O103">
            <v>6.69268940904914</v>
          </cell>
          <cell r="P103">
            <v>6.6961705978049073</v>
          </cell>
          <cell r="Q103">
            <v>6.6970767658517802</v>
          </cell>
          <cell r="R103">
            <v>6.6952291393811185</v>
          </cell>
          <cell r="S103">
            <v>6.6971333428371311</v>
          </cell>
          <cell r="T103">
            <v>6.6971333428371311</v>
          </cell>
          <cell r="U103">
            <v>6.6971333428371311</v>
          </cell>
          <cell r="V103">
            <v>6.6971333428371311</v>
          </cell>
          <cell r="W103">
            <v>6.6971333428371311</v>
          </cell>
          <cell r="X103">
            <v>6.6971333428371311</v>
          </cell>
          <cell r="Y103">
            <v>6.6971333428371311</v>
          </cell>
          <cell r="Z103">
            <v>6.6971333428371311</v>
          </cell>
          <cell r="AA103">
            <v>6.6971333428371311</v>
          </cell>
          <cell r="AB103">
            <v>6.6971333428371311</v>
          </cell>
          <cell r="AC103">
            <v>6.6971333428371311</v>
          </cell>
          <cell r="AD103">
            <v>6.6971333428371311</v>
          </cell>
          <cell r="AE103">
            <v>6.6971333428371311</v>
          </cell>
          <cell r="AF103">
            <v>6.6971333428371311</v>
          </cell>
        </row>
        <row r="104">
          <cell r="A104" t="str">
            <v>Wisconsin</v>
          </cell>
          <cell r="B104">
            <v>7.4244257975461565</v>
          </cell>
          <cell r="C104">
            <v>7.4270847091491117</v>
          </cell>
          <cell r="D104">
            <v>7.4273384913097171</v>
          </cell>
          <cell r="E104">
            <v>7.4257401459392733</v>
          </cell>
          <cell r="F104">
            <v>7.4267728459529252</v>
          </cell>
          <cell r="G104">
            <v>7.4265832924357644</v>
          </cell>
          <cell r="H104">
            <v>7.4260608391227922</v>
          </cell>
          <cell r="I104">
            <v>7.4246502334324855</v>
          </cell>
          <cell r="J104">
            <v>7.4274224144707084</v>
          </cell>
          <cell r="K104">
            <v>7.4248945699605189</v>
          </cell>
          <cell r="L104">
            <v>7.4277274403708731</v>
          </cell>
          <cell r="M104">
            <v>7.4157721839183317</v>
          </cell>
          <cell r="N104">
            <v>7.4168666254564419</v>
          </cell>
          <cell r="O104">
            <v>7.4139199468050769</v>
          </cell>
          <cell r="P104">
            <v>7.4177729115685471</v>
          </cell>
          <cell r="Q104">
            <v>7.4187762609740302</v>
          </cell>
          <cell r="R104">
            <v>7.416730767293461</v>
          </cell>
          <cell r="S104">
            <v>7.4188382815555549</v>
          </cell>
          <cell r="T104">
            <v>7.4188382815555549</v>
          </cell>
          <cell r="U104">
            <v>7.4188382815555549</v>
          </cell>
          <cell r="V104">
            <v>7.4188382815555549</v>
          </cell>
          <cell r="W104">
            <v>7.4188382815555549</v>
          </cell>
          <cell r="X104">
            <v>7.4188382815555549</v>
          </cell>
          <cell r="Y104">
            <v>7.4188382815555549</v>
          </cell>
          <cell r="Z104">
            <v>7.4188382815555549</v>
          </cell>
          <cell r="AA104">
            <v>7.4188382815555549</v>
          </cell>
          <cell r="AB104">
            <v>7.4188382815555549</v>
          </cell>
          <cell r="AC104">
            <v>7.4188382815555549</v>
          </cell>
          <cell r="AD104">
            <v>7.4188382815555549</v>
          </cell>
          <cell r="AE104">
            <v>7.4188382815555549</v>
          </cell>
          <cell r="AF104">
            <v>7.4188382815555549</v>
          </cell>
        </row>
        <row r="105">
          <cell r="A105" t="str">
            <v>Wyoming</v>
          </cell>
          <cell r="B105">
            <v>7.4244257975461529</v>
          </cell>
          <cell r="C105">
            <v>7.4270847091491126</v>
          </cell>
          <cell r="D105">
            <v>7.4273384913097154</v>
          </cell>
          <cell r="E105">
            <v>7.4257401459392716</v>
          </cell>
          <cell r="F105">
            <v>7.4267728459529279</v>
          </cell>
          <cell r="G105">
            <v>7.4265832924357689</v>
          </cell>
          <cell r="H105">
            <v>7.4260608391227914</v>
          </cell>
          <cell r="I105">
            <v>7.4246502334324855</v>
          </cell>
          <cell r="J105">
            <v>7.4274224144707111</v>
          </cell>
          <cell r="K105">
            <v>7.4248945699605189</v>
          </cell>
          <cell r="L105">
            <v>7.427727440370874</v>
          </cell>
          <cell r="M105">
            <v>7.4157721839183308</v>
          </cell>
          <cell r="N105">
            <v>7.416866625456441</v>
          </cell>
          <cell r="O105">
            <v>7.4139199468050769</v>
          </cell>
          <cell r="P105">
            <v>7.4177729115685436</v>
          </cell>
          <cell r="Q105">
            <v>7.4187762609740302</v>
          </cell>
          <cell r="R105">
            <v>7.4167307672934619</v>
          </cell>
          <cell r="S105">
            <v>7.4188382815555549</v>
          </cell>
          <cell r="T105">
            <v>7.4188382815555549</v>
          </cell>
          <cell r="U105">
            <v>7.4188382815555549</v>
          </cell>
          <cell r="V105">
            <v>7.4188382815555549</v>
          </cell>
          <cell r="W105">
            <v>7.4188382815555549</v>
          </cell>
          <cell r="X105">
            <v>7.4188382815555549</v>
          </cell>
          <cell r="Y105">
            <v>7.4188382815555549</v>
          </cell>
          <cell r="Z105">
            <v>7.4188382815555549</v>
          </cell>
          <cell r="AA105">
            <v>7.4188382815555549</v>
          </cell>
          <cell r="AB105">
            <v>7.4188382815555549</v>
          </cell>
          <cell r="AC105">
            <v>7.4188382815555549</v>
          </cell>
          <cell r="AD105">
            <v>7.4188382815555549</v>
          </cell>
          <cell r="AE105">
            <v>7.4188382815555549</v>
          </cell>
          <cell r="AF105">
            <v>7.4188382815555549</v>
          </cell>
        </row>
        <row r="107">
          <cell r="A107" t="str">
            <v>Beef Cows</v>
          </cell>
          <cell r="B107">
            <v>1990</v>
          </cell>
          <cell r="C107">
            <v>1991</v>
          </cell>
          <cell r="D107">
            <v>1992</v>
          </cell>
          <cell r="E107">
            <v>1993</v>
          </cell>
          <cell r="F107">
            <v>1994</v>
          </cell>
          <cell r="G107">
            <v>1995</v>
          </cell>
          <cell r="H107">
            <v>1996</v>
          </cell>
          <cell r="I107">
            <v>1997</v>
          </cell>
          <cell r="J107">
            <v>1998</v>
          </cell>
          <cell r="K107">
            <v>1999</v>
          </cell>
          <cell r="L107">
            <v>2000</v>
          </cell>
          <cell r="M107">
            <v>2001</v>
          </cell>
          <cell r="N107">
            <v>2002</v>
          </cell>
          <cell r="O107">
            <v>2003</v>
          </cell>
          <cell r="P107">
            <v>2004</v>
          </cell>
          <cell r="Q107">
            <v>2005</v>
          </cell>
          <cell r="R107">
            <v>2006</v>
          </cell>
          <cell r="S107">
            <v>2007</v>
          </cell>
          <cell r="T107">
            <v>2008</v>
          </cell>
          <cell r="U107">
            <v>2009</v>
          </cell>
          <cell r="V107">
            <v>2010</v>
          </cell>
          <cell r="W107">
            <v>2011</v>
          </cell>
          <cell r="X107">
            <v>2012</v>
          </cell>
          <cell r="Y107">
            <v>2013</v>
          </cell>
          <cell r="Z107">
            <v>2014</v>
          </cell>
          <cell r="AA107">
            <v>2015</v>
          </cell>
          <cell r="AB107">
            <v>2016</v>
          </cell>
          <cell r="AC107">
            <v>2017</v>
          </cell>
          <cell r="AD107">
            <v>2018</v>
          </cell>
          <cell r="AE107">
            <v>2019</v>
          </cell>
          <cell r="AF107">
            <v>2020</v>
          </cell>
        </row>
        <row r="108">
          <cell r="A108" t="str">
            <v>Alabama</v>
          </cell>
          <cell r="B108">
            <v>7.2833290471679826</v>
          </cell>
          <cell r="C108">
            <v>7.2743998210939704</v>
          </cell>
          <cell r="D108">
            <v>7.1918615384680615</v>
          </cell>
          <cell r="E108">
            <v>7.1564608763390121</v>
          </cell>
          <cell r="F108">
            <v>7.1561258752185362</v>
          </cell>
          <cell r="G108">
            <v>7.1519764844614633</v>
          </cell>
          <cell r="H108">
            <v>7.1453908168462172</v>
          </cell>
          <cell r="I108">
            <v>7.1437082469938469</v>
          </cell>
          <cell r="J108">
            <v>7.1232138717706688</v>
          </cell>
          <cell r="K108">
            <v>7.1313816206567084</v>
          </cell>
          <cell r="L108">
            <v>7.1728262464426455</v>
          </cell>
          <cell r="M108">
            <v>7.1728262464426447</v>
          </cell>
          <cell r="N108">
            <v>7.1644554133099634</v>
          </cell>
          <cell r="O108">
            <v>7.0989470472367611</v>
          </cell>
          <cell r="P108">
            <v>7.0691018336397926</v>
          </cell>
          <cell r="Q108">
            <v>7.0612328436485328</v>
          </cell>
          <cell r="R108">
            <v>7.0339824152082899</v>
          </cell>
          <cell r="S108">
            <v>7.020524178437566</v>
          </cell>
          <cell r="T108">
            <v>7.020524178437566</v>
          </cell>
          <cell r="U108">
            <v>7.020524178437566</v>
          </cell>
          <cell r="V108">
            <v>7.020524178437566</v>
          </cell>
          <cell r="W108">
            <v>7.020524178437566</v>
          </cell>
          <cell r="X108">
            <v>7.020524178437566</v>
          </cell>
          <cell r="Y108">
            <v>7.020524178437566</v>
          </cell>
          <cell r="Z108">
            <v>7.020524178437566</v>
          </cell>
          <cell r="AA108">
            <v>7.020524178437566</v>
          </cell>
          <cell r="AB108">
            <v>7.020524178437566</v>
          </cell>
          <cell r="AC108">
            <v>7.020524178437566</v>
          </cell>
          <cell r="AD108">
            <v>7.020524178437566</v>
          </cell>
          <cell r="AE108">
            <v>7.020524178437566</v>
          </cell>
          <cell r="AF108">
            <v>7.020524178437566</v>
          </cell>
        </row>
        <row r="109">
          <cell r="A109" t="str">
            <v>Alaska</v>
          </cell>
          <cell r="B109">
            <v>9.3564152755243342</v>
          </cell>
          <cell r="C109">
            <v>9.3449444842561658</v>
          </cell>
          <cell r="D109">
            <v>9.2389129644147072</v>
          </cell>
          <cell r="E109">
            <v>9.1934360549186867</v>
          </cell>
          <cell r="F109">
            <v>9.1930057009444628</v>
          </cell>
          <cell r="G109">
            <v>9.1876752507049968</v>
          </cell>
          <cell r="H109">
            <v>9.1792150753269919</v>
          </cell>
          <cell r="I109">
            <v>9.1770535881599375</v>
          </cell>
          <cell r="J109">
            <v>9.1507258080804394</v>
          </cell>
          <cell r="K109">
            <v>9.1612183795335564</v>
          </cell>
          <cell r="L109">
            <v>9.2144595728506005</v>
          </cell>
          <cell r="M109">
            <v>9.2144595728506022</v>
          </cell>
          <cell r="N109">
            <v>9.2037061123815942</v>
          </cell>
          <cell r="O109">
            <v>9.11955180972239</v>
          </cell>
          <cell r="P109">
            <v>9.0812116206973563</v>
          </cell>
          <cell r="Q109">
            <v>9.0711028452074185</v>
          </cell>
          <cell r="R109">
            <v>9.0360960065390419</v>
          </cell>
          <cell r="S109">
            <v>9.0188070921857637</v>
          </cell>
          <cell r="T109">
            <v>9.0188070921857637</v>
          </cell>
          <cell r="U109">
            <v>9.0188070921857637</v>
          </cell>
          <cell r="V109">
            <v>9.0188070921857637</v>
          </cell>
          <cell r="W109">
            <v>9.0188070921857637</v>
          </cell>
          <cell r="X109">
            <v>9.0188070921857637</v>
          </cell>
          <cell r="Y109">
            <v>9.0188070921857637</v>
          </cell>
          <cell r="Z109">
            <v>9.0188070921857637</v>
          </cell>
          <cell r="AA109">
            <v>9.0188070921857637</v>
          </cell>
          <cell r="AB109">
            <v>9.0188070921857637</v>
          </cell>
          <cell r="AC109">
            <v>9.0188070921857637</v>
          </cell>
          <cell r="AD109">
            <v>9.0188070921857637</v>
          </cell>
          <cell r="AE109">
            <v>9.0188070921857637</v>
          </cell>
          <cell r="AF109">
            <v>9.0188070921857637</v>
          </cell>
        </row>
        <row r="110">
          <cell r="A110" t="str">
            <v>Arizona</v>
          </cell>
          <cell r="B110">
            <v>9.3564152755243359</v>
          </cell>
          <cell r="C110">
            <v>9.3449444842561658</v>
          </cell>
          <cell r="D110">
            <v>9.2389129644147072</v>
          </cell>
          <cell r="E110">
            <v>9.1934360549186831</v>
          </cell>
          <cell r="F110">
            <v>9.1930057009444628</v>
          </cell>
          <cell r="G110">
            <v>9.187675250704995</v>
          </cell>
          <cell r="H110">
            <v>9.1792150753269901</v>
          </cell>
          <cell r="I110">
            <v>9.1770535881599411</v>
          </cell>
          <cell r="J110">
            <v>9.1507258080804377</v>
          </cell>
          <cell r="K110">
            <v>9.1612183795335564</v>
          </cell>
          <cell r="L110">
            <v>9.2144595728506022</v>
          </cell>
          <cell r="M110">
            <v>9.2144595728506005</v>
          </cell>
          <cell r="N110">
            <v>9.2037061123815942</v>
          </cell>
          <cell r="O110">
            <v>9.1195518097223918</v>
          </cell>
          <cell r="P110">
            <v>9.0812116206973545</v>
          </cell>
          <cell r="Q110">
            <v>9.071102845207422</v>
          </cell>
          <cell r="R110">
            <v>9.0360960065390437</v>
          </cell>
          <cell r="S110">
            <v>9.0188070921857655</v>
          </cell>
          <cell r="T110">
            <v>9.0188070921857655</v>
          </cell>
          <cell r="U110">
            <v>9.0188070921857655</v>
          </cell>
          <cell r="V110">
            <v>9.0188070921857655</v>
          </cell>
          <cell r="W110">
            <v>9.0188070921857655</v>
          </cell>
          <cell r="X110">
            <v>9.0188070921857655</v>
          </cell>
          <cell r="Y110">
            <v>9.0188070921857655</v>
          </cell>
          <cell r="Z110">
            <v>9.0188070921857655</v>
          </cell>
          <cell r="AA110">
            <v>9.0188070921857655</v>
          </cell>
          <cell r="AB110">
            <v>9.0188070921857655</v>
          </cell>
          <cell r="AC110">
            <v>9.0188070921857655</v>
          </cell>
          <cell r="AD110">
            <v>9.0188070921857655</v>
          </cell>
          <cell r="AE110">
            <v>9.0188070921857655</v>
          </cell>
          <cell r="AF110">
            <v>9.0188070921857655</v>
          </cell>
        </row>
        <row r="111">
          <cell r="A111" t="str">
            <v>Arkansas</v>
          </cell>
          <cell r="B111">
            <v>7.2613438769530569</v>
          </cell>
          <cell r="C111">
            <v>7.2524416042892046</v>
          </cell>
          <cell r="D111">
            <v>7.1701524684725415</v>
          </cell>
          <cell r="E111">
            <v>7.1348586653879762</v>
          </cell>
          <cell r="F111">
            <v>7.1345246754886826</v>
          </cell>
          <cell r="G111">
            <v>7.1303878099191245</v>
          </cell>
          <cell r="H111">
            <v>7.1238220215407821</v>
          </cell>
          <cell r="I111">
            <v>7.1221445306274997</v>
          </cell>
          <cell r="J111">
            <v>7.1017120189182164</v>
          </cell>
          <cell r="K111">
            <v>7.1098551129591492</v>
          </cell>
          <cell r="L111">
            <v>7.1511746356299399</v>
          </cell>
          <cell r="M111">
            <v>7.1511746356299399</v>
          </cell>
          <cell r="N111">
            <v>7.1428290703644848</v>
          </cell>
          <cell r="O111">
            <v>7.0775184452651212</v>
          </cell>
          <cell r="P111">
            <v>7.0477633212544948</v>
          </cell>
          <cell r="Q111">
            <v>7.0399180842865077</v>
          </cell>
          <cell r="R111">
            <v>7.0127499129163207</v>
          </cell>
          <cell r="S111">
            <v>6.9993323006490744</v>
          </cell>
          <cell r="T111">
            <v>6.9993323006490744</v>
          </cell>
          <cell r="U111">
            <v>6.9993323006490744</v>
          </cell>
          <cell r="V111">
            <v>6.9993323006490744</v>
          </cell>
          <cell r="W111">
            <v>6.9993323006490744</v>
          </cell>
          <cell r="X111">
            <v>6.9993323006490744</v>
          </cell>
          <cell r="Y111">
            <v>6.9993323006490744</v>
          </cell>
          <cell r="Z111">
            <v>6.9993323006490744</v>
          </cell>
          <cell r="AA111">
            <v>6.9993323006490744</v>
          </cell>
          <cell r="AB111">
            <v>6.9993323006490744</v>
          </cell>
          <cell r="AC111">
            <v>6.9993323006490744</v>
          </cell>
          <cell r="AD111">
            <v>6.9993323006490744</v>
          </cell>
          <cell r="AE111">
            <v>6.9993323006490744</v>
          </cell>
          <cell r="AF111">
            <v>6.9993323006490744</v>
          </cell>
        </row>
        <row r="112">
          <cell r="A112" t="str">
            <v>California</v>
          </cell>
          <cell r="B112">
            <v>7.1031142523638433</v>
          </cell>
          <cell r="C112">
            <v>7.0944059662795329</v>
          </cell>
          <cell r="D112">
            <v>7.0139099667319584</v>
          </cell>
          <cell r="E112">
            <v>6.9793852396348459</v>
          </cell>
          <cell r="F112">
            <v>6.9790585276027448</v>
          </cell>
          <cell r="G112">
            <v>6.9750118071491789</v>
          </cell>
          <cell r="H112">
            <v>6.9685890917677611</v>
          </cell>
          <cell r="I112">
            <v>6.9669481545230525</v>
          </cell>
          <cell r="J112">
            <v>6.9469608811487049</v>
          </cell>
          <cell r="K112">
            <v>6.9549265316289226</v>
          </cell>
          <cell r="L112">
            <v>6.9953456737818485</v>
          </cell>
          <cell r="M112">
            <v>6.9953456737818458</v>
          </cell>
          <cell r="N112">
            <v>6.9871819640628603</v>
          </cell>
          <cell r="O112">
            <v>6.9232945019297913</v>
          </cell>
          <cell r="P112">
            <v>6.8941877623204002</v>
          </cell>
          <cell r="Q112">
            <v>6.8865134784048125</v>
          </cell>
          <cell r="R112">
            <v>6.8599373199773392</v>
          </cell>
          <cell r="S112">
            <v>6.8468120866123856</v>
          </cell>
          <cell r="T112">
            <v>6.8468120866123856</v>
          </cell>
          <cell r="U112">
            <v>6.8468120866123856</v>
          </cell>
          <cell r="V112">
            <v>6.8468120866123856</v>
          </cell>
          <cell r="W112">
            <v>6.8468120866123856</v>
          </cell>
          <cell r="X112">
            <v>6.8468120866123856</v>
          </cell>
          <cell r="Y112">
            <v>6.8468120866123856</v>
          </cell>
          <cell r="Z112">
            <v>6.8468120866123856</v>
          </cell>
          <cell r="AA112">
            <v>6.8468120866123856</v>
          </cell>
          <cell r="AB112">
            <v>6.8468120866123856</v>
          </cell>
          <cell r="AC112">
            <v>6.8468120866123856</v>
          </cell>
          <cell r="AD112">
            <v>6.8468120866123856</v>
          </cell>
          <cell r="AE112">
            <v>6.8468120866123856</v>
          </cell>
          <cell r="AF112">
            <v>6.8468120866123856</v>
          </cell>
        </row>
        <row r="113">
          <cell r="A113" t="str">
            <v>Colorado</v>
          </cell>
          <cell r="B113">
            <v>6.7047610404946214</v>
          </cell>
          <cell r="C113">
            <v>6.6965411280459168</v>
          </cell>
          <cell r="D113">
            <v>6.6205594638761909</v>
          </cell>
          <cell r="E113">
            <v>6.5879709348239706</v>
          </cell>
          <cell r="F113">
            <v>6.5876625452885538</v>
          </cell>
          <cell r="G113">
            <v>6.5838427709367853</v>
          </cell>
          <cell r="H113">
            <v>6.5777802509865921</v>
          </cell>
          <cell r="I113">
            <v>6.5762313399431607</v>
          </cell>
          <cell r="J113">
            <v>6.5573649825870994</v>
          </cell>
          <cell r="K113">
            <v>6.5648839075409198</v>
          </cell>
          <cell r="L113">
            <v>6.6030362840857473</v>
          </cell>
          <cell r="M113">
            <v>6.6030362840857455</v>
          </cell>
          <cell r="N113">
            <v>6.5953304073498469</v>
          </cell>
          <cell r="O113">
            <v>6.5350258491142359</v>
          </cell>
          <cell r="P113">
            <v>6.5075514587531424</v>
          </cell>
          <cell r="Q113">
            <v>6.5003075600936473</v>
          </cell>
          <cell r="R113">
            <v>6.4752218321580122</v>
          </cell>
          <cell r="S113">
            <v>6.4628326814015757</v>
          </cell>
          <cell r="T113">
            <v>6.4628326814015757</v>
          </cell>
          <cell r="U113">
            <v>6.4628326814015757</v>
          </cell>
          <cell r="V113">
            <v>6.4628326814015757</v>
          </cell>
          <cell r="W113">
            <v>6.4628326814015757</v>
          </cell>
          <cell r="X113">
            <v>6.4628326814015757</v>
          </cell>
          <cell r="Y113">
            <v>6.4628326814015757</v>
          </cell>
          <cell r="Z113">
            <v>6.4628326814015757</v>
          </cell>
          <cell r="AA113">
            <v>6.4628326814015757</v>
          </cell>
          <cell r="AB113">
            <v>6.4628326814015757</v>
          </cell>
          <cell r="AC113">
            <v>6.4628326814015757</v>
          </cell>
          <cell r="AD113">
            <v>6.4628326814015757</v>
          </cell>
          <cell r="AE113">
            <v>6.4628326814015757</v>
          </cell>
          <cell r="AF113">
            <v>6.4628326814015757</v>
          </cell>
        </row>
        <row r="114">
          <cell r="A114" t="str">
            <v>Connecticut</v>
          </cell>
          <cell r="B114">
            <v>7.1622944318681458</v>
          </cell>
          <cell r="C114">
            <v>7.1535135919834429</v>
          </cell>
          <cell r="D114">
            <v>7.0723469334075286</v>
          </cell>
          <cell r="E114">
            <v>7.0375345607123991</v>
          </cell>
          <cell r="F114">
            <v>7.0372051266521831</v>
          </cell>
          <cell r="G114">
            <v>7.0331246906149518</v>
          </cell>
          <cell r="H114">
            <v>7.0266484638530899</v>
          </cell>
          <cell r="I114">
            <v>7.0249938550050119</v>
          </cell>
          <cell r="J114">
            <v>7.0048400560217443</v>
          </cell>
          <cell r="K114">
            <v>7.012872072972856</v>
          </cell>
          <cell r="L114">
            <v>7.05362797052672</v>
          </cell>
          <cell r="M114">
            <v>7.05362797052672</v>
          </cell>
          <cell r="N114">
            <v>7.04539624419004</v>
          </cell>
          <cell r="O114">
            <v>6.9809764984215468</v>
          </cell>
          <cell r="P114">
            <v>6.9516272536216555</v>
          </cell>
          <cell r="Q114">
            <v>6.9438890307796264</v>
          </cell>
          <cell r="R114">
            <v>6.9170914509065149</v>
          </cell>
          <cell r="S114">
            <v>6.903856863582309</v>
          </cell>
          <cell r="T114">
            <v>6.903856863582309</v>
          </cell>
          <cell r="U114">
            <v>6.903856863582309</v>
          </cell>
          <cell r="V114">
            <v>6.903856863582309</v>
          </cell>
          <cell r="W114">
            <v>6.903856863582309</v>
          </cell>
          <cell r="X114">
            <v>6.903856863582309</v>
          </cell>
          <cell r="Y114">
            <v>6.903856863582309</v>
          </cell>
          <cell r="Z114">
            <v>6.903856863582309</v>
          </cell>
          <cell r="AA114">
            <v>6.903856863582309</v>
          </cell>
          <cell r="AB114">
            <v>6.903856863582309</v>
          </cell>
          <cell r="AC114">
            <v>6.903856863582309</v>
          </cell>
          <cell r="AD114">
            <v>6.903856863582309</v>
          </cell>
          <cell r="AE114">
            <v>6.903856863582309</v>
          </cell>
          <cell r="AF114">
            <v>6.903856863582309</v>
          </cell>
        </row>
        <row r="115">
          <cell r="A115" t="str">
            <v>Delaware</v>
          </cell>
          <cell r="B115">
            <v>7.1622944318681458</v>
          </cell>
          <cell r="C115">
            <v>7.1535135919834421</v>
          </cell>
          <cell r="D115">
            <v>7.0723469334075286</v>
          </cell>
          <cell r="E115">
            <v>7.0375345607123991</v>
          </cell>
          <cell r="F115">
            <v>7.0372051266521831</v>
          </cell>
          <cell r="G115">
            <v>7.0331246906149545</v>
          </cell>
          <cell r="H115">
            <v>7.0266484638530899</v>
          </cell>
          <cell r="I115">
            <v>7.0249938550050111</v>
          </cell>
          <cell r="J115">
            <v>7.0048400560217443</v>
          </cell>
          <cell r="K115">
            <v>7.012872072972856</v>
          </cell>
          <cell r="L115">
            <v>7.05362797052672</v>
          </cell>
          <cell r="M115">
            <v>7.05362797052672</v>
          </cell>
          <cell r="N115">
            <v>7.04539624419004</v>
          </cell>
          <cell r="O115">
            <v>6.9809764984215459</v>
          </cell>
          <cell r="P115">
            <v>6.9516272536216555</v>
          </cell>
          <cell r="Q115">
            <v>6.9438890307796273</v>
          </cell>
          <cell r="R115">
            <v>6.9170914509065149</v>
          </cell>
          <cell r="S115">
            <v>6.903856863582309</v>
          </cell>
          <cell r="T115">
            <v>6.903856863582309</v>
          </cell>
          <cell r="U115">
            <v>6.903856863582309</v>
          </cell>
          <cell r="V115">
            <v>6.903856863582309</v>
          </cell>
          <cell r="W115">
            <v>6.903856863582309</v>
          </cell>
          <cell r="X115">
            <v>6.903856863582309</v>
          </cell>
          <cell r="Y115">
            <v>6.903856863582309</v>
          </cell>
          <cell r="Z115">
            <v>6.903856863582309</v>
          </cell>
          <cell r="AA115">
            <v>6.903856863582309</v>
          </cell>
          <cell r="AB115">
            <v>6.903856863582309</v>
          </cell>
          <cell r="AC115">
            <v>6.903856863582309</v>
          </cell>
          <cell r="AD115">
            <v>6.903856863582309</v>
          </cell>
          <cell r="AE115">
            <v>6.903856863582309</v>
          </cell>
          <cell r="AF115">
            <v>6.903856863582309</v>
          </cell>
        </row>
        <row r="116">
          <cell r="A116" t="str">
            <v>Florida</v>
          </cell>
          <cell r="B116">
            <v>7.2833290471679817</v>
          </cell>
          <cell r="C116">
            <v>7.2743998210939687</v>
          </cell>
          <cell r="D116">
            <v>7.1918615384680615</v>
          </cell>
          <cell r="E116">
            <v>7.156460876339013</v>
          </cell>
          <cell r="F116">
            <v>7.156125875218537</v>
          </cell>
          <cell r="G116">
            <v>7.1519764844614615</v>
          </cell>
          <cell r="H116">
            <v>7.1453908168462172</v>
          </cell>
          <cell r="I116">
            <v>7.1437082469938469</v>
          </cell>
          <cell r="J116">
            <v>7.1232138717706697</v>
          </cell>
          <cell r="K116">
            <v>7.1313816206567076</v>
          </cell>
          <cell r="L116">
            <v>7.172826246442642</v>
          </cell>
          <cell r="M116">
            <v>7.1728262464426429</v>
          </cell>
          <cell r="N116">
            <v>7.1644554133099652</v>
          </cell>
          <cell r="O116">
            <v>7.0989470472367602</v>
          </cell>
          <cell r="P116">
            <v>7.0691018336397926</v>
          </cell>
          <cell r="Q116">
            <v>7.0612328436485337</v>
          </cell>
          <cell r="R116">
            <v>7.0339824152082899</v>
          </cell>
          <cell r="S116">
            <v>7.0205241784375643</v>
          </cell>
          <cell r="T116">
            <v>7.0205241784375643</v>
          </cell>
          <cell r="U116">
            <v>7.0205241784375643</v>
          </cell>
          <cell r="V116">
            <v>7.0205241784375643</v>
          </cell>
          <cell r="W116">
            <v>7.0205241784375643</v>
          </cell>
          <cell r="X116">
            <v>7.0205241784375643</v>
          </cell>
          <cell r="Y116">
            <v>7.0205241784375643</v>
          </cell>
          <cell r="Z116">
            <v>7.0205241784375643</v>
          </cell>
          <cell r="AA116">
            <v>7.0205241784375643</v>
          </cell>
          <cell r="AB116">
            <v>7.0205241784375643</v>
          </cell>
          <cell r="AC116">
            <v>7.0205241784375643</v>
          </cell>
          <cell r="AD116">
            <v>7.0205241784375643</v>
          </cell>
          <cell r="AE116">
            <v>7.0205241784375643</v>
          </cell>
          <cell r="AF116">
            <v>7.0205241784375643</v>
          </cell>
        </row>
        <row r="117">
          <cell r="A117" t="str">
            <v>Georgia</v>
          </cell>
          <cell r="B117">
            <v>7.2833290471679817</v>
          </cell>
          <cell r="C117">
            <v>7.2743998210939695</v>
          </cell>
          <cell r="D117">
            <v>7.1918615384680615</v>
          </cell>
          <cell r="E117">
            <v>7.1564608763390121</v>
          </cell>
          <cell r="F117">
            <v>7.1561258752185388</v>
          </cell>
          <cell r="G117">
            <v>7.1519764844614615</v>
          </cell>
          <cell r="H117">
            <v>7.1453908168462172</v>
          </cell>
          <cell r="I117">
            <v>7.1437082469938469</v>
          </cell>
          <cell r="J117">
            <v>7.1232138717706697</v>
          </cell>
          <cell r="K117">
            <v>7.1313816206567076</v>
          </cell>
          <cell r="L117">
            <v>7.1728262464426447</v>
          </cell>
          <cell r="M117">
            <v>7.1728262464426447</v>
          </cell>
          <cell r="N117">
            <v>7.1644554133099634</v>
          </cell>
          <cell r="O117">
            <v>7.0989470472367611</v>
          </cell>
          <cell r="P117">
            <v>7.0691018336397935</v>
          </cell>
          <cell r="Q117">
            <v>7.0612328436485328</v>
          </cell>
          <cell r="R117">
            <v>7.0339824152082882</v>
          </cell>
          <cell r="S117">
            <v>7.020524178437566</v>
          </cell>
          <cell r="T117">
            <v>7.020524178437566</v>
          </cell>
          <cell r="U117">
            <v>7.020524178437566</v>
          </cell>
          <cell r="V117">
            <v>7.020524178437566</v>
          </cell>
          <cell r="W117">
            <v>7.020524178437566</v>
          </cell>
          <cell r="X117">
            <v>7.020524178437566</v>
          </cell>
          <cell r="Y117">
            <v>7.020524178437566</v>
          </cell>
          <cell r="Z117">
            <v>7.020524178437566</v>
          </cell>
          <cell r="AA117">
            <v>7.020524178437566</v>
          </cell>
          <cell r="AB117">
            <v>7.020524178437566</v>
          </cell>
          <cell r="AC117">
            <v>7.020524178437566</v>
          </cell>
          <cell r="AD117">
            <v>7.020524178437566</v>
          </cell>
          <cell r="AE117">
            <v>7.020524178437566</v>
          </cell>
          <cell r="AF117">
            <v>7.020524178437566</v>
          </cell>
        </row>
        <row r="118">
          <cell r="A118" t="str">
            <v>Hawaii</v>
          </cell>
          <cell r="B118">
            <v>9.3564152755243377</v>
          </cell>
          <cell r="C118">
            <v>9.3449444842561658</v>
          </cell>
          <cell r="D118">
            <v>9.2389129644147072</v>
          </cell>
          <cell r="E118">
            <v>9.1934360549186867</v>
          </cell>
          <cell r="F118">
            <v>9.1930057009444628</v>
          </cell>
          <cell r="G118">
            <v>9.1876752507049968</v>
          </cell>
          <cell r="H118">
            <v>9.1792150753269901</v>
          </cell>
          <cell r="I118">
            <v>9.1770535881599393</v>
          </cell>
          <cell r="J118">
            <v>9.1507258080804377</v>
          </cell>
          <cell r="K118">
            <v>9.1612183795335564</v>
          </cell>
          <cell r="L118">
            <v>9.2144595728506005</v>
          </cell>
          <cell r="M118">
            <v>9.2144595728506005</v>
          </cell>
          <cell r="N118">
            <v>9.203706112381596</v>
          </cell>
          <cell r="O118">
            <v>9.1195518097223918</v>
          </cell>
          <cell r="P118">
            <v>9.0812116206973563</v>
          </cell>
          <cell r="Q118">
            <v>9.0711028452074203</v>
          </cell>
          <cell r="R118">
            <v>9.0360960065390437</v>
          </cell>
          <cell r="S118">
            <v>9.0188070921857655</v>
          </cell>
          <cell r="T118">
            <v>9.0188070921857655</v>
          </cell>
          <cell r="U118">
            <v>9.0188070921857655</v>
          </cell>
          <cell r="V118">
            <v>9.0188070921857655</v>
          </cell>
          <cell r="W118">
            <v>9.0188070921857655</v>
          </cell>
          <cell r="X118">
            <v>9.0188070921857655</v>
          </cell>
          <cell r="Y118">
            <v>9.0188070921857655</v>
          </cell>
          <cell r="Z118">
            <v>9.0188070921857655</v>
          </cell>
          <cell r="AA118">
            <v>9.0188070921857655</v>
          </cell>
          <cell r="AB118">
            <v>9.0188070921857655</v>
          </cell>
          <cell r="AC118">
            <v>9.0188070921857655</v>
          </cell>
          <cell r="AD118">
            <v>9.0188070921857655</v>
          </cell>
          <cell r="AE118">
            <v>9.0188070921857655</v>
          </cell>
          <cell r="AF118">
            <v>9.0188070921857655</v>
          </cell>
        </row>
        <row r="119">
          <cell r="A119" t="str">
            <v>Idaho</v>
          </cell>
          <cell r="B119">
            <v>9.3564152755243342</v>
          </cell>
          <cell r="C119">
            <v>9.344944484256164</v>
          </cell>
          <cell r="D119">
            <v>9.2389129644147072</v>
          </cell>
          <cell r="E119">
            <v>9.1934360549186902</v>
          </cell>
          <cell r="F119">
            <v>9.1930057009444628</v>
          </cell>
          <cell r="G119">
            <v>9.187675250704995</v>
          </cell>
          <cell r="H119">
            <v>9.1792150753269901</v>
          </cell>
          <cell r="I119">
            <v>9.1770535881599393</v>
          </cell>
          <cell r="J119">
            <v>9.1507258080804359</v>
          </cell>
          <cell r="K119">
            <v>9.1612183795335564</v>
          </cell>
          <cell r="L119">
            <v>9.2144595728506022</v>
          </cell>
          <cell r="M119">
            <v>9.2144595728506005</v>
          </cell>
          <cell r="N119">
            <v>9.2037061123815942</v>
          </cell>
          <cell r="O119">
            <v>9.11955180972239</v>
          </cell>
          <cell r="P119">
            <v>9.0812116206973581</v>
          </cell>
          <cell r="Q119">
            <v>9.0711028452074203</v>
          </cell>
          <cell r="R119">
            <v>9.0360960065390437</v>
          </cell>
          <cell r="S119">
            <v>9.0188070921857655</v>
          </cell>
          <cell r="T119">
            <v>9.0188070921857655</v>
          </cell>
          <cell r="U119">
            <v>9.0188070921857655</v>
          </cell>
          <cell r="V119">
            <v>9.0188070921857655</v>
          </cell>
          <cell r="W119">
            <v>9.0188070921857655</v>
          </cell>
          <cell r="X119">
            <v>9.0188070921857655</v>
          </cell>
          <cell r="Y119">
            <v>9.0188070921857655</v>
          </cell>
          <cell r="Z119">
            <v>9.0188070921857655</v>
          </cell>
          <cell r="AA119">
            <v>9.0188070921857655</v>
          </cell>
          <cell r="AB119">
            <v>9.0188070921857655</v>
          </cell>
          <cell r="AC119">
            <v>9.0188070921857655</v>
          </cell>
          <cell r="AD119">
            <v>9.0188070921857655</v>
          </cell>
          <cell r="AE119">
            <v>9.0188070921857655</v>
          </cell>
          <cell r="AF119">
            <v>9.0188070921857655</v>
          </cell>
        </row>
        <row r="120">
          <cell r="A120" t="str">
            <v>Illinois</v>
          </cell>
          <cell r="B120">
            <v>7.1646519068741483</v>
          </cell>
          <cell r="C120">
            <v>7.155868176768899</v>
          </cell>
          <cell r="D120">
            <v>7.0746748021216606</v>
          </cell>
          <cell r="E120">
            <v>7.0398509709058921</v>
          </cell>
          <cell r="F120">
            <v>7.0395214284121908</v>
          </cell>
          <cell r="G120">
            <v>7.0354396492961415</v>
          </cell>
          <cell r="H120">
            <v>7.0289612908789953</v>
          </cell>
          <cell r="I120">
            <v>7.0273061374150769</v>
          </cell>
          <cell r="J120">
            <v>7.0071457047925758</v>
          </cell>
          <cell r="K120">
            <v>7.0151803654885638</v>
          </cell>
          <cell r="L120">
            <v>7.0559496778790773</v>
          </cell>
          <cell r="M120">
            <v>7.0559496778790756</v>
          </cell>
          <cell r="N120">
            <v>7.047715242063016</v>
          </cell>
          <cell r="O120">
            <v>6.9832742924830846</v>
          </cell>
          <cell r="P120">
            <v>6.9539153873555319</v>
          </cell>
          <cell r="Q120">
            <v>6.9461746174711916</v>
          </cell>
          <cell r="R120">
            <v>6.9193682171529911</v>
          </cell>
          <cell r="S120">
            <v>6.9061292736536624</v>
          </cell>
          <cell r="T120">
            <v>6.9061292736536624</v>
          </cell>
          <cell r="U120">
            <v>6.9061292736536624</v>
          </cell>
          <cell r="V120">
            <v>6.9061292736536624</v>
          </cell>
          <cell r="W120">
            <v>6.9061292736536624</v>
          </cell>
          <cell r="X120">
            <v>6.9061292736536624</v>
          </cell>
          <cell r="Y120">
            <v>6.9061292736536624</v>
          </cell>
          <cell r="Z120">
            <v>6.9061292736536624</v>
          </cell>
          <cell r="AA120">
            <v>6.9061292736536624</v>
          </cell>
          <cell r="AB120">
            <v>6.9061292736536624</v>
          </cell>
          <cell r="AC120">
            <v>6.9061292736536624</v>
          </cell>
          <cell r="AD120">
            <v>6.9061292736536624</v>
          </cell>
          <cell r="AE120">
            <v>6.9061292736536624</v>
          </cell>
          <cell r="AF120">
            <v>6.9061292736536624</v>
          </cell>
        </row>
        <row r="121">
          <cell r="A121" t="str">
            <v>Indiana</v>
          </cell>
          <cell r="B121">
            <v>7.1646519068741483</v>
          </cell>
          <cell r="C121">
            <v>7.155868176768899</v>
          </cell>
          <cell r="D121">
            <v>7.0746748021216606</v>
          </cell>
          <cell r="E121">
            <v>7.0398509709058921</v>
          </cell>
          <cell r="F121">
            <v>7.0395214284121908</v>
          </cell>
          <cell r="G121">
            <v>7.0354396492961415</v>
          </cell>
          <cell r="H121">
            <v>7.028961290878998</v>
          </cell>
          <cell r="I121">
            <v>7.027306137415076</v>
          </cell>
          <cell r="J121">
            <v>7.0071457047925758</v>
          </cell>
          <cell r="K121">
            <v>7.0151803654885629</v>
          </cell>
          <cell r="L121">
            <v>7.0559496778790782</v>
          </cell>
          <cell r="M121">
            <v>7.0559496778790773</v>
          </cell>
          <cell r="N121">
            <v>7.0477152420630151</v>
          </cell>
          <cell r="O121">
            <v>6.9832742924830855</v>
          </cell>
          <cell r="P121">
            <v>6.9539153873555311</v>
          </cell>
          <cell r="Q121">
            <v>6.9461746174711916</v>
          </cell>
          <cell r="R121">
            <v>6.9193682171529902</v>
          </cell>
          <cell r="S121">
            <v>6.9061292736536624</v>
          </cell>
          <cell r="T121">
            <v>6.9061292736536624</v>
          </cell>
          <cell r="U121">
            <v>6.9061292736536624</v>
          </cell>
          <cell r="V121">
            <v>6.9061292736536624</v>
          </cell>
          <cell r="W121">
            <v>6.9061292736536624</v>
          </cell>
          <cell r="X121">
            <v>6.9061292736536624</v>
          </cell>
          <cell r="Y121">
            <v>6.9061292736536624</v>
          </cell>
          <cell r="Z121">
            <v>6.9061292736536624</v>
          </cell>
          <cell r="AA121">
            <v>6.9061292736536624</v>
          </cell>
          <cell r="AB121">
            <v>6.9061292736536624</v>
          </cell>
          <cell r="AC121">
            <v>6.9061292736536624</v>
          </cell>
          <cell r="AD121">
            <v>6.9061292736536624</v>
          </cell>
          <cell r="AE121">
            <v>6.9061292736536624</v>
          </cell>
          <cell r="AF121">
            <v>6.9061292736536624</v>
          </cell>
        </row>
        <row r="122">
          <cell r="A122" t="str">
            <v>Iowa</v>
          </cell>
          <cell r="B122">
            <v>7.1646519068741465</v>
          </cell>
          <cell r="C122">
            <v>7.155868176768899</v>
          </cell>
          <cell r="D122">
            <v>7.0746748021216606</v>
          </cell>
          <cell r="E122">
            <v>7.0398509709058921</v>
          </cell>
          <cell r="F122">
            <v>7.0395214284121925</v>
          </cell>
          <cell r="G122">
            <v>7.0354396492961433</v>
          </cell>
          <cell r="H122">
            <v>7.0289612908789953</v>
          </cell>
          <cell r="I122">
            <v>7.0273061374150769</v>
          </cell>
          <cell r="J122">
            <v>7.0071457047925758</v>
          </cell>
          <cell r="K122">
            <v>7.0151803654885638</v>
          </cell>
          <cell r="L122">
            <v>7.0559496778790773</v>
          </cell>
          <cell r="M122">
            <v>7.0559496778790782</v>
          </cell>
          <cell r="N122">
            <v>7.047715242063016</v>
          </cell>
          <cell r="O122">
            <v>6.9832742924830873</v>
          </cell>
          <cell r="P122">
            <v>6.9539153873555302</v>
          </cell>
          <cell r="Q122">
            <v>6.9461746174711925</v>
          </cell>
          <cell r="R122">
            <v>6.9193682171529911</v>
          </cell>
          <cell r="S122">
            <v>6.9061292736536615</v>
          </cell>
          <cell r="T122">
            <v>6.9061292736536615</v>
          </cell>
          <cell r="U122">
            <v>6.9061292736536615</v>
          </cell>
          <cell r="V122">
            <v>6.9061292736536615</v>
          </cell>
          <cell r="W122">
            <v>6.9061292736536615</v>
          </cell>
          <cell r="X122">
            <v>6.9061292736536615</v>
          </cell>
          <cell r="Y122">
            <v>6.9061292736536615</v>
          </cell>
          <cell r="Z122">
            <v>6.9061292736536615</v>
          </cell>
          <cell r="AA122">
            <v>6.9061292736536615</v>
          </cell>
          <cell r="AB122">
            <v>6.9061292736536615</v>
          </cell>
          <cell r="AC122">
            <v>6.9061292736536615</v>
          </cell>
          <cell r="AD122">
            <v>6.9061292736536615</v>
          </cell>
          <cell r="AE122">
            <v>6.9061292736536615</v>
          </cell>
          <cell r="AF122">
            <v>6.9061292736536615</v>
          </cell>
        </row>
        <row r="123">
          <cell r="A123" t="str">
            <v>Kansas</v>
          </cell>
          <cell r="B123">
            <v>6.7047610404946187</v>
          </cell>
          <cell r="C123">
            <v>6.6965411280459177</v>
          </cell>
          <cell r="D123">
            <v>6.6205594638761891</v>
          </cell>
          <cell r="E123">
            <v>6.5879709348239688</v>
          </cell>
          <cell r="F123">
            <v>6.5876625452885538</v>
          </cell>
          <cell r="G123">
            <v>6.5838427709367862</v>
          </cell>
          <cell r="H123">
            <v>6.5777802509865912</v>
          </cell>
          <cell r="I123">
            <v>6.5762313399431607</v>
          </cell>
          <cell r="J123">
            <v>6.5573649825870968</v>
          </cell>
          <cell r="K123">
            <v>6.5648839075409189</v>
          </cell>
          <cell r="L123">
            <v>6.6030362840857473</v>
          </cell>
          <cell r="M123">
            <v>6.6030362840857455</v>
          </cell>
          <cell r="N123">
            <v>6.5953304073498469</v>
          </cell>
          <cell r="O123">
            <v>6.535025849114235</v>
          </cell>
          <cell r="P123">
            <v>6.5075514587531433</v>
          </cell>
          <cell r="Q123">
            <v>6.5003075600936482</v>
          </cell>
          <cell r="R123">
            <v>6.4752218321580122</v>
          </cell>
          <cell r="S123">
            <v>6.4628326814015766</v>
          </cell>
          <cell r="T123">
            <v>6.4628326814015766</v>
          </cell>
          <cell r="U123">
            <v>6.4628326814015766</v>
          </cell>
          <cell r="V123">
            <v>6.4628326814015766</v>
          </cell>
          <cell r="W123">
            <v>6.4628326814015766</v>
          </cell>
          <cell r="X123">
            <v>6.4628326814015766</v>
          </cell>
          <cell r="Y123">
            <v>6.4628326814015766</v>
          </cell>
          <cell r="Z123">
            <v>6.4628326814015766</v>
          </cell>
          <cell r="AA123">
            <v>6.4628326814015766</v>
          </cell>
          <cell r="AB123">
            <v>6.4628326814015766</v>
          </cell>
          <cell r="AC123">
            <v>6.4628326814015766</v>
          </cell>
          <cell r="AD123">
            <v>6.4628326814015766</v>
          </cell>
          <cell r="AE123">
            <v>6.4628326814015766</v>
          </cell>
          <cell r="AF123">
            <v>6.4628326814015766</v>
          </cell>
        </row>
        <row r="124">
          <cell r="A124" t="str">
            <v>Kentucky</v>
          </cell>
          <cell r="B124">
            <v>7.2833290471679817</v>
          </cell>
          <cell r="C124">
            <v>7.2743998210939695</v>
          </cell>
          <cell r="D124">
            <v>7.1918615384680615</v>
          </cell>
          <cell r="E124">
            <v>7.156460876339013</v>
          </cell>
          <cell r="F124">
            <v>7.1561258752185362</v>
          </cell>
          <cell r="G124">
            <v>7.1519764844614633</v>
          </cell>
          <cell r="H124">
            <v>7.1453908168462172</v>
          </cell>
          <cell r="I124">
            <v>7.1437082469938469</v>
          </cell>
          <cell r="J124">
            <v>7.1232138717706697</v>
          </cell>
          <cell r="K124">
            <v>7.1313816206567076</v>
          </cell>
          <cell r="L124">
            <v>7.1728262464426429</v>
          </cell>
          <cell r="M124">
            <v>7.1728262464426447</v>
          </cell>
          <cell r="N124">
            <v>7.1644554133099625</v>
          </cell>
          <cell r="O124">
            <v>7.0989470472367611</v>
          </cell>
          <cell r="P124">
            <v>7.0691018336397926</v>
          </cell>
          <cell r="Q124">
            <v>7.0612328436485337</v>
          </cell>
          <cell r="R124">
            <v>7.0339824152082882</v>
          </cell>
          <cell r="S124">
            <v>7.020524178437566</v>
          </cell>
          <cell r="T124">
            <v>7.020524178437566</v>
          </cell>
          <cell r="U124">
            <v>7.020524178437566</v>
          </cell>
          <cell r="V124">
            <v>7.020524178437566</v>
          </cell>
          <cell r="W124">
            <v>7.020524178437566</v>
          </cell>
          <cell r="X124">
            <v>7.020524178437566</v>
          </cell>
          <cell r="Y124">
            <v>7.020524178437566</v>
          </cell>
          <cell r="Z124">
            <v>7.020524178437566</v>
          </cell>
          <cell r="AA124">
            <v>7.020524178437566</v>
          </cell>
          <cell r="AB124">
            <v>7.020524178437566</v>
          </cell>
          <cell r="AC124">
            <v>7.020524178437566</v>
          </cell>
          <cell r="AD124">
            <v>7.020524178437566</v>
          </cell>
          <cell r="AE124">
            <v>7.020524178437566</v>
          </cell>
          <cell r="AF124">
            <v>7.020524178437566</v>
          </cell>
        </row>
        <row r="125">
          <cell r="A125" t="str">
            <v>Louisiana</v>
          </cell>
          <cell r="B125">
            <v>7.2613438769530561</v>
          </cell>
          <cell r="C125">
            <v>7.2524416042892046</v>
          </cell>
          <cell r="D125">
            <v>7.1701524684725442</v>
          </cell>
          <cell r="E125">
            <v>7.1348586653879789</v>
          </cell>
          <cell r="F125">
            <v>7.1345246754886817</v>
          </cell>
          <cell r="G125">
            <v>7.1303878099191262</v>
          </cell>
          <cell r="H125">
            <v>7.1238220215407821</v>
          </cell>
          <cell r="I125">
            <v>7.1221445306274997</v>
          </cell>
          <cell r="J125">
            <v>7.1017120189182164</v>
          </cell>
          <cell r="K125">
            <v>7.109855112959151</v>
          </cell>
          <cell r="L125">
            <v>7.1511746356299417</v>
          </cell>
          <cell r="M125">
            <v>7.1511746356299399</v>
          </cell>
          <cell r="N125">
            <v>7.1428290703644839</v>
          </cell>
          <cell r="O125">
            <v>7.0775184452651212</v>
          </cell>
          <cell r="P125">
            <v>7.047763321254493</v>
          </cell>
          <cell r="Q125">
            <v>7.039918084286505</v>
          </cell>
          <cell r="R125">
            <v>7.0127499129163215</v>
          </cell>
          <cell r="S125">
            <v>6.9993323006490717</v>
          </cell>
          <cell r="T125">
            <v>6.9993323006490717</v>
          </cell>
          <cell r="U125">
            <v>6.9993323006490717</v>
          </cell>
          <cell r="V125">
            <v>6.9993323006490717</v>
          </cell>
          <cell r="W125">
            <v>6.9993323006490717</v>
          </cell>
          <cell r="X125">
            <v>6.9993323006490717</v>
          </cell>
          <cell r="Y125">
            <v>6.9993323006490717</v>
          </cell>
          <cell r="Z125">
            <v>6.9993323006490717</v>
          </cell>
          <cell r="AA125">
            <v>6.9993323006490717</v>
          </cell>
          <cell r="AB125">
            <v>6.9993323006490717</v>
          </cell>
          <cell r="AC125">
            <v>6.9993323006490717</v>
          </cell>
          <cell r="AD125">
            <v>6.9993323006490717</v>
          </cell>
          <cell r="AE125">
            <v>6.9993323006490717</v>
          </cell>
          <cell r="AF125">
            <v>6.9993323006490717</v>
          </cell>
        </row>
        <row r="126">
          <cell r="A126" t="str">
            <v>Maine</v>
          </cell>
          <cell r="B126">
            <v>7.1622944318681458</v>
          </cell>
          <cell r="C126">
            <v>7.1535135919834429</v>
          </cell>
          <cell r="D126">
            <v>7.0723469334075286</v>
          </cell>
          <cell r="E126">
            <v>7.0375345607123991</v>
          </cell>
          <cell r="F126">
            <v>7.037205126652184</v>
          </cell>
          <cell r="G126">
            <v>7.0331246906149545</v>
          </cell>
          <cell r="H126">
            <v>7.0266484638530882</v>
          </cell>
          <cell r="I126">
            <v>7.0249938550050119</v>
          </cell>
          <cell r="J126">
            <v>7.0048400560217443</v>
          </cell>
          <cell r="K126">
            <v>7.012872072972856</v>
          </cell>
          <cell r="L126">
            <v>7.0536279705267191</v>
          </cell>
          <cell r="M126">
            <v>7.0536279705267217</v>
          </cell>
          <cell r="N126">
            <v>7.04539624419004</v>
          </cell>
          <cell r="O126">
            <v>6.9809764984215459</v>
          </cell>
          <cell r="P126">
            <v>6.9516272536216555</v>
          </cell>
          <cell r="Q126">
            <v>6.9438890307796237</v>
          </cell>
          <cell r="R126">
            <v>6.9170914509065158</v>
          </cell>
          <cell r="S126">
            <v>6.9038568635823099</v>
          </cell>
          <cell r="T126">
            <v>6.9038568635823099</v>
          </cell>
          <cell r="U126">
            <v>6.9038568635823099</v>
          </cell>
          <cell r="V126">
            <v>6.9038568635823099</v>
          </cell>
          <cell r="W126">
            <v>6.9038568635823099</v>
          </cell>
          <cell r="X126">
            <v>6.9038568635823099</v>
          </cell>
          <cell r="Y126">
            <v>6.9038568635823099</v>
          </cell>
          <cell r="Z126">
            <v>6.9038568635823099</v>
          </cell>
          <cell r="AA126">
            <v>6.9038568635823099</v>
          </cell>
          <cell r="AB126">
            <v>6.9038568635823099</v>
          </cell>
          <cell r="AC126">
            <v>6.9038568635823099</v>
          </cell>
          <cell r="AD126">
            <v>6.9038568635823099</v>
          </cell>
          <cell r="AE126">
            <v>6.9038568635823099</v>
          </cell>
          <cell r="AF126">
            <v>6.9038568635823099</v>
          </cell>
        </row>
        <row r="127">
          <cell r="A127" t="str">
            <v>Maryland</v>
          </cell>
          <cell r="B127">
            <v>7.1622944318681458</v>
          </cell>
          <cell r="C127">
            <v>7.1535135919834421</v>
          </cell>
          <cell r="D127">
            <v>7.0723469334075286</v>
          </cell>
          <cell r="E127">
            <v>7.0375345607123991</v>
          </cell>
          <cell r="F127">
            <v>7.037205126652184</v>
          </cell>
          <cell r="G127">
            <v>7.0331246906149518</v>
          </cell>
          <cell r="H127">
            <v>7.0266484638530899</v>
          </cell>
          <cell r="I127">
            <v>7.0249938550050137</v>
          </cell>
          <cell r="J127">
            <v>7.0048400560217443</v>
          </cell>
          <cell r="K127">
            <v>7.012872072972856</v>
          </cell>
          <cell r="L127">
            <v>7.05362797052672</v>
          </cell>
          <cell r="M127">
            <v>7.05362797052672</v>
          </cell>
          <cell r="N127">
            <v>7.0453962441900417</v>
          </cell>
          <cell r="O127">
            <v>6.9809764984215459</v>
          </cell>
          <cell r="P127">
            <v>6.9516272536216572</v>
          </cell>
          <cell r="Q127">
            <v>6.9438890307796264</v>
          </cell>
          <cell r="R127">
            <v>6.9170914509065149</v>
          </cell>
          <cell r="S127">
            <v>6.9038568635823063</v>
          </cell>
          <cell r="T127">
            <v>6.9038568635823063</v>
          </cell>
          <cell r="U127">
            <v>6.9038568635823063</v>
          </cell>
          <cell r="V127">
            <v>6.9038568635823063</v>
          </cell>
          <cell r="W127">
            <v>6.9038568635823063</v>
          </cell>
          <cell r="X127">
            <v>6.9038568635823063</v>
          </cell>
          <cell r="Y127">
            <v>6.9038568635823063</v>
          </cell>
          <cell r="Z127">
            <v>6.9038568635823063</v>
          </cell>
          <cell r="AA127">
            <v>6.9038568635823063</v>
          </cell>
          <cell r="AB127">
            <v>6.9038568635823063</v>
          </cell>
          <cell r="AC127">
            <v>6.9038568635823063</v>
          </cell>
          <cell r="AD127">
            <v>6.9038568635823063</v>
          </cell>
          <cell r="AE127">
            <v>6.9038568635823063</v>
          </cell>
          <cell r="AF127">
            <v>6.9038568635823063</v>
          </cell>
        </row>
        <row r="128">
          <cell r="A128" t="str">
            <v>Massachusetts</v>
          </cell>
          <cell r="B128">
            <v>7.1622944318681441</v>
          </cell>
          <cell r="C128">
            <v>7.1535135919834447</v>
          </cell>
          <cell r="D128">
            <v>7.0723469334075268</v>
          </cell>
          <cell r="E128">
            <v>7.0375345607124009</v>
          </cell>
          <cell r="F128">
            <v>7.0372051266521822</v>
          </cell>
          <cell r="G128">
            <v>7.0331246906149536</v>
          </cell>
          <cell r="H128">
            <v>7.0266484638530882</v>
          </cell>
          <cell r="I128">
            <v>7.0249938550050119</v>
          </cell>
          <cell r="J128">
            <v>7.0048400560217443</v>
          </cell>
          <cell r="K128">
            <v>7.012872072972856</v>
          </cell>
          <cell r="L128">
            <v>7.05362797052672</v>
          </cell>
          <cell r="M128">
            <v>7.0536279705267191</v>
          </cell>
          <cell r="N128">
            <v>7.0453962441900417</v>
          </cell>
          <cell r="O128">
            <v>6.9809764984215459</v>
          </cell>
          <cell r="P128">
            <v>6.9516272536216555</v>
          </cell>
          <cell r="Q128">
            <v>6.9438890307796264</v>
          </cell>
          <cell r="R128">
            <v>6.9170914509065149</v>
          </cell>
          <cell r="S128">
            <v>6.9038568635823063</v>
          </cell>
          <cell r="T128">
            <v>6.9038568635823063</v>
          </cell>
          <cell r="U128">
            <v>6.9038568635823063</v>
          </cell>
          <cell r="V128">
            <v>6.9038568635823063</v>
          </cell>
          <cell r="W128">
            <v>6.9038568635823063</v>
          </cell>
          <cell r="X128">
            <v>6.9038568635823063</v>
          </cell>
          <cell r="Y128">
            <v>6.9038568635823063</v>
          </cell>
          <cell r="Z128">
            <v>6.9038568635823063</v>
          </cell>
          <cell r="AA128">
            <v>6.9038568635823063</v>
          </cell>
          <cell r="AB128">
            <v>6.9038568635823063</v>
          </cell>
          <cell r="AC128">
            <v>6.9038568635823063</v>
          </cell>
          <cell r="AD128">
            <v>6.9038568635823063</v>
          </cell>
          <cell r="AE128">
            <v>6.9038568635823063</v>
          </cell>
          <cell r="AF128">
            <v>6.9038568635823063</v>
          </cell>
        </row>
        <row r="129">
          <cell r="A129" t="str">
            <v>Michigan</v>
          </cell>
          <cell r="B129">
            <v>7.1646519068741465</v>
          </cell>
          <cell r="C129">
            <v>7.1558681767688981</v>
          </cell>
          <cell r="D129">
            <v>7.0746748021216606</v>
          </cell>
          <cell r="E129">
            <v>7.0398509709058921</v>
          </cell>
          <cell r="F129">
            <v>7.0395214284121925</v>
          </cell>
          <cell r="G129">
            <v>7.0354396492961415</v>
          </cell>
          <cell r="H129">
            <v>7.0289612908789962</v>
          </cell>
          <cell r="I129">
            <v>7.027306137415076</v>
          </cell>
          <cell r="J129">
            <v>7.0071457047925767</v>
          </cell>
          <cell r="K129">
            <v>7.0151803654885638</v>
          </cell>
          <cell r="L129">
            <v>7.0559496778790773</v>
          </cell>
          <cell r="M129">
            <v>7.0559496778790756</v>
          </cell>
          <cell r="N129">
            <v>7.047715242063016</v>
          </cell>
          <cell r="O129">
            <v>6.9832742924830846</v>
          </cell>
          <cell r="P129">
            <v>6.9539153873555302</v>
          </cell>
          <cell r="Q129">
            <v>6.9461746174711925</v>
          </cell>
          <cell r="R129">
            <v>6.9193682171529911</v>
          </cell>
          <cell r="S129">
            <v>6.9061292736536615</v>
          </cell>
          <cell r="T129">
            <v>6.9061292736536615</v>
          </cell>
          <cell r="U129">
            <v>6.9061292736536615</v>
          </cell>
          <cell r="V129">
            <v>6.9061292736536615</v>
          </cell>
          <cell r="W129">
            <v>6.9061292736536615</v>
          </cell>
          <cell r="X129">
            <v>6.9061292736536615</v>
          </cell>
          <cell r="Y129">
            <v>6.9061292736536615</v>
          </cell>
          <cell r="Z129">
            <v>6.9061292736536615</v>
          </cell>
          <cell r="AA129">
            <v>6.9061292736536615</v>
          </cell>
          <cell r="AB129">
            <v>6.9061292736536615</v>
          </cell>
          <cell r="AC129">
            <v>6.9061292736536615</v>
          </cell>
          <cell r="AD129">
            <v>6.9061292736536615</v>
          </cell>
          <cell r="AE129">
            <v>6.9061292736536615</v>
          </cell>
          <cell r="AF129">
            <v>6.9061292736536615</v>
          </cell>
        </row>
        <row r="130">
          <cell r="A130" t="str">
            <v>Minnesota</v>
          </cell>
          <cell r="B130">
            <v>7.1646519068741465</v>
          </cell>
          <cell r="C130">
            <v>7.155868176768899</v>
          </cell>
          <cell r="D130">
            <v>7.0746748021216606</v>
          </cell>
          <cell r="E130">
            <v>7.0398509709058921</v>
          </cell>
          <cell r="F130">
            <v>7.0395214284121908</v>
          </cell>
          <cell r="G130">
            <v>7.0354396492961415</v>
          </cell>
          <cell r="H130">
            <v>7.0289612908789953</v>
          </cell>
          <cell r="I130">
            <v>7.0273061374150778</v>
          </cell>
          <cell r="J130">
            <v>7.0071457047925758</v>
          </cell>
          <cell r="K130">
            <v>7.0151803654885638</v>
          </cell>
          <cell r="L130">
            <v>7.0559496778790756</v>
          </cell>
          <cell r="M130">
            <v>7.0559496778790756</v>
          </cell>
          <cell r="N130">
            <v>7.047715242063016</v>
          </cell>
          <cell r="O130">
            <v>6.9832742924830828</v>
          </cell>
          <cell r="P130">
            <v>6.9539153873555319</v>
          </cell>
          <cell r="Q130">
            <v>6.9461746174711898</v>
          </cell>
          <cell r="R130">
            <v>6.9193682171529902</v>
          </cell>
          <cell r="S130">
            <v>6.9061292736536615</v>
          </cell>
          <cell r="T130">
            <v>6.9061292736536615</v>
          </cell>
          <cell r="U130">
            <v>6.9061292736536615</v>
          </cell>
          <cell r="V130">
            <v>6.9061292736536615</v>
          </cell>
          <cell r="W130">
            <v>6.9061292736536615</v>
          </cell>
          <cell r="X130">
            <v>6.9061292736536615</v>
          </cell>
          <cell r="Y130">
            <v>6.9061292736536615</v>
          </cell>
          <cell r="Z130">
            <v>6.9061292736536615</v>
          </cell>
          <cell r="AA130">
            <v>6.9061292736536615</v>
          </cell>
          <cell r="AB130">
            <v>6.9061292736536615</v>
          </cell>
          <cell r="AC130">
            <v>6.9061292736536615</v>
          </cell>
          <cell r="AD130">
            <v>6.9061292736536615</v>
          </cell>
          <cell r="AE130">
            <v>6.9061292736536615</v>
          </cell>
          <cell r="AF130">
            <v>6.9061292736536615</v>
          </cell>
        </row>
        <row r="131">
          <cell r="A131" t="str">
            <v>Mississippi</v>
          </cell>
          <cell r="B131">
            <v>7.2833290471679817</v>
          </cell>
          <cell r="C131">
            <v>7.2743998210939695</v>
          </cell>
          <cell r="D131">
            <v>7.1918615384680589</v>
          </cell>
          <cell r="E131">
            <v>7.156460876339013</v>
          </cell>
          <cell r="F131">
            <v>7.156125875218537</v>
          </cell>
          <cell r="G131">
            <v>7.1519764844614615</v>
          </cell>
          <cell r="H131">
            <v>7.1453908168462164</v>
          </cell>
          <cell r="I131">
            <v>7.1437082469938469</v>
          </cell>
          <cell r="J131">
            <v>7.1232138717706688</v>
          </cell>
          <cell r="K131">
            <v>7.1313816206567076</v>
          </cell>
          <cell r="L131">
            <v>7.1728262464426447</v>
          </cell>
          <cell r="M131">
            <v>7.1728262464426447</v>
          </cell>
          <cell r="N131">
            <v>7.1644554133099652</v>
          </cell>
          <cell r="O131">
            <v>7.0989470472367602</v>
          </cell>
          <cell r="P131">
            <v>7.0691018336397935</v>
          </cell>
          <cell r="Q131">
            <v>7.0612328436485337</v>
          </cell>
          <cell r="R131">
            <v>7.0339824152082882</v>
          </cell>
          <cell r="S131">
            <v>7.0205241784375643</v>
          </cell>
          <cell r="T131">
            <v>7.0205241784375643</v>
          </cell>
          <cell r="U131">
            <v>7.0205241784375643</v>
          </cell>
          <cell r="V131">
            <v>7.0205241784375643</v>
          </cell>
          <cell r="W131">
            <v>7.0205241784375643</v>
          </cell>
          <cell r="X131">
            <v>7.0205241784375643</v>
          </cell>
          <cell r="Y131">
            <v>7.0205241784375643</v>
          </cell>
          <cell r="Z131">
            <v>7.0205241784375643</v>
          </cell>
          <cell r="AA131">
            <v>7.0205241784375643</v>
          </cell>
          <cell r="AB131">
            <v>7.0205241784375643</v>
          </cell>
          <cell r="AC131">
            <v>7.0205241784375643</v>
          </cell>
          <cell r="AD131">
            <v>7.0205241784375643</v>
          </cell>
          <cell r="AE131">
            <v>7.0205241784375643</v>
          </cell>
          <cell r="AF131">
            <v>7.0205241784375643</v>
          </cell>
        </row>
        <row r="132">
          <cell r="A132" t="str">
            <v>Missouri</v>
          </cell>
          <cell r="B132">
            <v>7.1646519068741465</v>
          </cell>
          <cell r="C132">
            <v>7.1558681767688981</v>
          </cell>
          <cell r="D132">
            <v>7.0746748021216606</v>
          </cell>
          <cell r="E132">
            <v>7.0398509709058921</v>
          </cell>
          <cell r="F132">
            <v>7.0395214284121899</v>
          </cell>
          <cell r="G132">
            <v>7.0354396492961415</v>
          </cell>
          <cell r="H132">
            <v>7.0289612908789962</v>
          </cell>
          <cell r="I132">
            <v>7.0273061374150769</v>
          </cell>
          <cell r="J132">
            <v>7.0071457047925758</v>
          </cell>
          <cell r="K132">
            <v>7.0151803654885629</v>
          </cell>
          <cell r="L132">
            <v>7.0559496778790773</v>
          </cell>
          <cell r="M132">
            <v>7.0559496778790756</v>
          </cell>
          <cell r="N132">
            <v>7.047715242063016</v>
          </cell>
          <cell r="O132">
            <v>6.9832742924830846</v>
          </cell>
          <cell r="P132">
            <v>6.9539153873555302</v>
          </cell>
          <cell r="Q132">
            <v>6.9461746174711916</v>
          </cell>
          <cell r="R132">
            <v>6.9193682171529902</v>
          </cell>
          <cell r="S132">
            <v>6.9061292736536615</v>
          </cell>
          <cell r="T132">
            <v>6.9061292736536615</v>
          </cell>
          <cell r="U132">
            <v>6.9061292736536615</v>
          </cell>
          <cell r="V132">
            <v>6.9061292736536615</v>
          </cell>
          <cell r="W132">
            <v>6.9061292736536615</v>
          </cell>
          <cell r="X132">
            <v>6.9061292736536615</v>
          </cell>
          <cell r="Y132">
            <v>6.9061292736536615</v>
          </cell>
          <cell r="Z132">
            <v>6.9061292736536615</v>
          </cell>
          <cell r="AA132">
            <v>6.9061292736536615</v>
          </cell>
          <cell r="AB132">
            <v>6.9061292736536615</v>
          </cell>
          <cell r="AC132">
            <v>6.9061292736536615</v>
          </cell>
          <cell r="AD132">
            <v>6.9061292736536615</v>
          </cell>
          <cell r="AE132">
            <v>6.9061292736536615</v>
          </cell>
          <cell r="AF132">
            <v>6.9061292736536615</v>
          </cell>
        </row>
        <row r="133">
          <cell r="A133" t="str">
            <v>Montana</v>
          </cell>
          <cell r="B133">
            <v>6.7047610404946187</v>
          </cell>
          <cell r="C133">
            <v>6.6965411280459151</v>
          </cell>
          <cell r="D133">
            <v>6.6205594638761909</v>
          </cell>
          <cell r="E133">
            <v>6.5879709348239679</v>
          </cell>
          <cell r="F133">
            <v>6.5876625452885538</v>
          </cell>
          <cell r="G133">
            <v>6.5838427709367853</v>
          </cell>
          <cell r="H133">
            <v>6.577780250986593</v>
          </cell>
          <cell r="I133">
            <v>6.5762313399431598</v>
          </cell>
          <cell r="J133">
            <v>6.5573649825870994</v>
          </cell>
          <cell r="K133">
            <v>6.5648839075409198</v>
          </cell>
          <cell r="L133">
            <v>6.6030362840857455</v>
          </cell>
          <cell r="M133">
            <v>6.6030362840857482</v>
          </cell>
          <cell r="N133">
            <v>6.595330407349846</v>
          </cell>
          <cell r="O133">
            <v>6.5350258491142377</v>
          </cell>
          <cell r="P133">
            <v>6.5075514587531424</v>
          </cell>
          <cell r="Q133">
            <v>6.5003075600936482</v>
          </cell>
          <cell r="R133">
            <v>6.4752218321580122</v>
          </cell>
          <cell r="S133">
            <v>6.4628326814015757</v>
          </cell>
          <cell r="T133">
            <v>6.4628326814015757</v>
          </cell>
          <cell r="U133">
            <v>6.4628326814015757</v>
          </cell>
          <cell r="V133">
            <v>6.4628326814015757</v>
          </cell>
          <cell r="W133">
            <v>6.4628326814015757</v>
          </cell>
          <cell r="X133">
            <v>6.4628326814015757</v>
          </cell>
          <cell r="Y133">
            <v>6.4628326814015757</v>
          </cell>
          <cell r="Z133">
            <v>6.4628326814015757</v>
          </cell>
          <cell r="AA133">
            <v>6.4628326814015757</v>
          </cell>
          <cell r="AB133">
            <v>6.4628326814015757</v>
          </cell>
          <cell r="AC133">
            <v>6.4628326814015757</v>
          </cell>
          <cell r="AD133">
            <v>6.4628326814015757</v>
          </cell>
          <cell r="AE133">
            <v>6.4628326814015757</v>
          </cell>
          <cell r="AF133">
            <v>6.4628326814015757</v>
          </cell>
        </row>
        <row r="134">
          <cell r="A134" t="str">
            <v>Nebraska</v>
          </cell>
          <cell r="B134">
            <v>6.7047610404946187</v>
          </cell>
          <cell r="C134">
            <v>6.6965411280459151</v>
          </cell>
          <cell r="D134">
            <v>6.6205594638761891</v>
          </cell>
          <cell r="E134">
            <v>6.5879709348239679</v>
          </cell>
          <cell r="F134">
            <v>6.5876625452885538</v>
          </cell>
          <cell r="G134">
            <v>6.5838427709367862</v>
          </cell>
          <cell r="H134">
            <v>6.5777802509865912</v>
          </cell>
          <cell r="I134">
            <v>6.5762313399431607</v>
          </cell>
          <cell r="J134">
            <v>6.5573649825870985</v>
          </cell>
          <cell r="K134">
            <v>6.5648839075409198</v>
          </cell>
          <cell r="L134">
            <v>6.6030362840857473</v>
          </cell>
          <cell r="M134">
            <v>6.6030362840857473</v>
          </cell>
          <cell r="N134">
            <v>6.5953304073498469</v>
          </cell>
          <cell r="O134">
            <v>6.5350258491142359</v>
          </cell>
          <cell r="P134">
            <v>6.5075514587531433</v>
          </cell>
          <cell r="Q134">
            <v>6.5003075600936482</v>
          </cell>
          <cell r="R134">
            <v>6.4752218321580122</v>
          </cell>
          <cell r="S134">
            <v>6.4628326814015766</v>
          </cell>
          <cell r="T134">
            <v>6.4628326814015766</v>
          </cell>
          <cell r="U134">
            <v>6.4628326814015766</v>
          </cell>
          <cell r="V134">
            <v>6.4628326814015766</v>
          </cell>
          <cell r="W134">
            <v>6.4628326814015766</v>
          </cell>
          <cell r="X134">
            <v>6.4628326814015766</v>
          </cell>
          <cell r="Y134">
            <v>6.4628326814015766</v>
          </cell>
          <cell r="Z134">
            <v>6.4628326814015766</v>
          </cell>
          <cell r="AA134">
            <v>6.4628326814015766</v>
          </cell>
          <cell r="AB134">
            <v>6.4628326814015766</v>
          </cell>
          <cell r="AC134">
            <v>6.4628326814015766</v>
          </cell>
          <cell r="AD134">
            <v>6.4628326814015766</v>
          </cell>
          <cell r="AE134">
            <v>6.4628326814015766</v>
          </cell>
          <cell r="AF134">
            <v>6.4628326814015766</v>
          </cell>
        </row>
        <row r="135">
          <cell r="A135" t="str">
            <v>Nevada</v>
          </cell>
          <cell r="B135">
            <v>9.3564152755243359</v>
          </cell>
          <cell r="C135">
            <v>9.3449444842561604</v>
          </cell>
          <cell r="D135">
            <v>9.2389129644147072</v>
          </cell>
          <cell r="E135">
            <v>9.1934360549186867</v>
          </cell>
          <cell r="F135">
            <v>9.1930057009444646</v>
          </cell>
          <cell r="G135">
            <v>9.1876752507049968</v>
          </cell>
          <cell r="H135">
            <v>9.1792150753269937</v>
          </cell>
          <cell r="I135">
            <v>9.1770535881599393</v>
          </cell>
          <cell r="J135">
            <v>9.1507258080804377</v>
          </cell>
          <cell r="K135">
            <v>9.1612183795335547</v>
          </cell>
          <cell r="L135">
            <v>9.2144595728506022</v>
          </cell>
          <cell r="M135">
            <v>9.2144595728506005</v>
          </cell>
          <cell r="N135">
            <v>9.2037061123815942</v>
          </cell>
          <cell r="O135">
            <v>9.11955180972239</v>
          </cell>
          <cell r="P135">
            <v>9.0812116206973581</v>
          </cell>
          <cell r="Q135">
            <v>9.0711028452074203</v>
          </cell>
          <cell r="R135">
            <v>9.0360960065390401</v>
          </cell>
          <cell r="S135">
            <v>9.0188070921857655</v>
          </cell>
          <cell r="T135">
            <v>9.0188070921857655</v>
          </cell>
          <cell r="U135">
            <v>9.0188070921857655</v>
          </cell>
          <cell r="V135">
            <v>9.0188070921857655</v>
          </cell>
          <cell r="W135">
            <v>9.0188070921857655</v>
          </cell>
          <cell r="X135">
            <v>9.0188070921857655</v>
          </cell>
          <cell r="Y135">
            <v>9.0188070921857655</v>
          </cell>
          <cell r="Z135">
            <v>9.0188070921857655</v>
          </cell>
          <cell r="AA135">
            <v>9.0188070921857655</v>
          </cell>
          <cell r="AB135">
            <v>9.0188070921857655</v>
          </cell>
          <cell r="AC135">
            <v>9.0188070921857655</v>
          </cell>
          <cell r="AD135">
            <v>9.0188070921857655</v>
          </cell>
          <cell r="AE135">
            <v>9.0188070921857655</v>
          </cell>
          <cell r="AF135">
            <v>9.0188070921857655</v>
          </cell>
        </row>
        <row r="136">
          <cell r="A136" t="str">
            <v>New Hampshire</v>
          </cell>
          <cell r="B136">
            <v>7.1622944318681458</v>
          </cell>
          <cell r="C136">
            <v>7.1535135919834447</v>
          </cell>
          <cell r="D136">
            <v>7.0723469334075286</v>
          </cell>
          <cell r="E136">
            <v>7.0375345607123991</v>
          </cell>
          <cell r="F136">
            <v>7.0372051266521831</v>
          </cell>
          <cell r="G136">
            <v>7.0331246906149536</v>
          </cell>
          <cell r="H136">
            <v>7.0266484638530899</v>
          </cell>
          <cell r="I136">
            <v>7.0249938550050093</v>
          </cell>
          <cell r="J136">
            <v>7.0048400560217434</v>
          </cell>
          <cell r="K136">
            <v>7.012872072972856</v>
          </cell>
          <cell r="L136">
            <v>7.0536279705267191</v>
          </cell>
          <cell r="M136">
            <v>7.05362797052672</v>
          </cell>
          <cell r="N136">
            <v>7.04539624419004</v>
          </cell>
          <cell r="O136">
            <v>6.9809764984215459</v>
          </cell>
          <cell r="P136">
            <v>6.9516272536216555</v>
          </cell>
          <cell r="Q136">
            <v>6.9438890307796273</v>
          </cell>
          <cell r="R136">
            <v>6.9170914509065149</v>
          </cell>
          <cell r="S136">
            <v>6.903856863582309</v>
          </cell>
          <cell r="T136">
            <v>6.903856863582309</v>
          </cell>
          <cell r="U136">
            <v>6.903856863582309</v>
          </cell>
          <cell r="V136">
            <v>6.903856863582309</v>
          </cell>
          <cell r="W136">
            <v>6.903856863582309</v>
          </cell>
          <cell r="X136">
            <v>6.903856863582309</v>
          </cell>
          <cell r="Y136">
            <v>6.903856863582309</v>
          </cell>
          <cell r="Z136">
            <v>6.903856863582309</v>
          </cell>
          <cell r="AA136">
            <v>6.903856863582309</v>
          </cell>
          <cell r="AB136">
            <v>6.903856863582309</v>
          </cell>
          <cell r="AC136">
            <v>6.903856863582309</v>
          </cell>
          <cell r="AD136">
            <v>6.903856863582309</v>
          </cell>
          <cell r="AE136">
            <v>6.903856863582309</v>
          </cell>
          <cell r="AF136">
            <v>6.903856863582309</v>
          </cell>
        </row>
        <row r="137">
          <cell r="A137" t="str">
            <v>New Jersey</v>
          </cell>
          <cell r="B137">
            <v>7.1622944318681458</v>
          </cell>
          <cell r="C137">
            <v>7.1535135919834421</v>
          </cell>
          <cell r="D137">
            <v>7.0723469334075304</v>
          </cell>
          <cell r="E137">
            <v>7.0375345607123982</v>
          </cell>
          <cell r="F137">
            <v>7.0372051266521831</v>
          </cell>
          <cell r="G137">
            <v>7.0331246906149545</v>
          </cell>
          <cell r="H137">
            <v>7.0266484638530899</v>
          </cell>
          <cell r="I137">
            <v>7.0249938550050137</v>
          </cell>
          <cell r="J137">
            <v>7.0048400560217443</v>
          </cell>
          <cell r="K137">
            <v>7.012872072972856</v>
          </cell>
          <cell r="L137">
            <v>7.0536279705267191</v>
          </cell>
          <cell r="M137">
            <v>7.05362797052672</v>
          </cell>
          <cell r="N137">
            <v>7.04539624419004</v>
          </cell>
          <cell r="O137">
            <v>6.9809764984215459</v>
          </cell>
          <cell r="P137">
            <v>6.9516272536216546</v>
          </cell>
          <cell r="Q137">
            <v>6.9438890307796264</v>
          </cell>
          <cell r="R137">
            <v>6.9170914509065149</v>
          </cell>
          <cell r="S137">
            <v>6.9038568635823081</v>
          </cell>
          <cell r="T137">
            <v>6.9038568635823081</v>
          </cell>
          <cell r="U137">
            <v>6.9038568635823081</v>
          </cell>
          <cell r="V137">
            <v>6.9038568635823081</v>
          </cell>
          <cell r="W137">
            <v>6.9038568635823081</v>
          </cell>
          <cell r="X137">
            <v>6.9038568635823081</v>
          </cell>
          <cell r="Y137">
            <v>6.9038568635823081</v>
          </cell>
          <cell r="Z137">
            <v>6.9038568635823081</v>
          </cell>
          <cell r="AA137">
            <v>6.9038568635823081</v>
          </cell>
          <cell r="AB137">
            <v>6.9038568635823081</v>
          </cell>
          <cell r="AC137">
            <v>6.9038568635823081</v>
          </cell>
          <cell r="AD137">
            <v>6.9038568635823081</v>
          </cell>
          <cell r="AE137">
            <v>6.9038568635823081</v>
          </cell>
          <cell r="AF137">
            <v>6.9038568635823081</v>
          </cell>
        </row>
        <row r="138">
          <cell r="A138" t="str">
            <v>New Mexico</v>
          </cell>
          <cell r="B138">
            <v>9.3564152755243342</v>
          </cell>
          <cell r="C138">
            <v>9.344944484256164</v>
          </cell>
          <cell r="D138">
            <v>9.238912964414709</v>
          </cell>
          <cell r="E138">
            <v>9.1934360549186849</v>
          </cell>
          <cell r="F138">
            <v>9.1930057009444628</v>
          </cell>
          <cell r="G138">
            <v>9.1876752507049968</v>
          </cell>
          <cell r="H138">
            <v>9.1792150753269901</v>
          </cell>
          <cell r="I138">
            <v>9.1770535881599393</v>
          </cell>
          <cell r="J138">
            <v>9.1507258080804394</v>
          </cell>
          <cell r="K138">
            <v>9.1612183795335529</v>
          </cell>
          <cell r="L138">
            <v>9.2144595728506005</v>
          </cell>
          <cell r="M138">
            <v>9.2144595728506005</v>
          </cell>
          <cell r="N138">
            <v>9.2037061123815924</v>
          </cell>
          <cell r="O138">
            <v>9.1195518097223918</v>
          </cell>
          <cell r="P138">
            <v>9.0812116206973545</v>
          </cell>
          <cell r="Q138">
            <v>9.0711028452074203</v>
          </cell>
          <cell r="R138">
            <v>9.0360960065390437</v>
          </cell>
          <cell r="S138">
            <v>9.0188070921857619</v>
          </cell>
          <cell r="T138">
            <v>9.0188070921857619</v>
          </cell>
          <cell r="U138">
            <v>9.0188070921857619</v>
          </cell>
          <cell r="V138">
            <v>9.0188070921857619</v>
          </cell>
          <cell r="W138">
            <v>9.0188070921857619</v>
          </cell>
          <cell r="X138">
            <v>9.0188070921857619</v>
          </cell>
          <cell r="Y138">
            <v>9.0188070921857619</v>
          </cell>
          <cell r="Z138">
            <v>9.0188070921857619</v>
          </cell>
          <cell r="AA138">
            <v>9.0188070921857619</v>
          </cell>
          <cell r="AB138">
            <v>9.0188070921857619</v>
          </cell>
          <cell r="AC138">
            <v>9.0188070921857619</v>
          </cell>
          <cell r="AD138">
            <v>9.0188070921857619</v>
          </cell>
          <cell r="AE138">
            <v>9.0188070921857619</v>
          </cell>
          <cell r="AF138">
            <v>9.0188070921857619</v>
          </cell>
        </row>
        <row r="139">
          <cell r="A139" t="str">
            <v>New York</v>
          </cell>
          <cell r="B139">
            <v>7.1622944318681441</v>
          </cell>
          <cell r="C139">
            <v>7.1535135919834429</v>
          </cell>
          <cell r="D139">
            <v>7.0723469334075286</v>
          </cell>
          <cell r="E139">
            <v>7.0375345607123991</v>
          </cell>
          <cell r="F139">
            <v>7.0372051266521831</v>
          </cell>
          <cell r="G139">
            <v>7.0331246906149518</v>
          </cell>
          <cell r="H139">
            <v>7.0266484638530882</v>
          </cell>
          <cell r="I139">
            <v>7.0249938550050093</v>
          </cell>
          <cell r="J139">
            <v>7.0048400560217443</v>
          </cell>
          <cell r="K139">
            <v>7.012872072972856</v>
          </cell>
          <cell r="L139">
            <v>7.0536279705267191</v>
          </cell>
          <cell r="M139">
            <v>7.0536279705267191</v>
          </cell>
          <cell r="N139">
            <v>7.0453962441900391</v>
          </cell>
          <cell r="O139">
            <v>6.9809764984215459</v>
          </cell>
          <cell r="P139">
            <v>6.9516272536216572</v>
          </cell>
          <cell r="Q139">
            <v>6.9438890307796264</v>
          </cell>
          <cell r="R139">
            <v>6.9170914509065149</v>
          </cell>
          <cell r="S139">
            <v>6.903856863582309</v>
          </cell>
          <cell r="T139">
            <v>6.903856863582309</v>
          </cell>
          <cell r="U139">
            <v>6.903856863582309</v>
          </cell>
          <cell r="V139">
            <v>6.903856863582309</v>
          </cell>
          <cell r="W139">
            <v>6.903856863582309</v>
          </cell>
          <cell r="X139">
            <v>6.903856863582309</v>
          </cell>
          <cell r="Y139">
            <v>6.903856863582309</v>
          </cell>
          <cell r="Z139">
            <v>6.903856863582309</v>
          </cell>
          <cell r="AA139">
            <v>6.903856863582309</v>
          </cell>
          <cell r="AB139">
            <v>6.903856863582309</v>
          </cell>
          <cell r="AC139">
            <v>6.903856863582309</v>
          </cell>
          <cell r="AD139">
            <v>6.903856863582309</v>
          </cell>
          <cell r="AE139">
            <v>6.903856863582309</v>
          </cell>
          <cell r="AF139">
            <v>6.903856863582309</v>
          </cell>
        </row>
        <row r="140">
          <cell r="A140" t="str">
            <v>North Carolina</v>
          </cell>
          <cell r="B140">
            <v>7.2833290471679799</v>
          </cell>
          <cell r="C140">
            <v>7.2743998210939687</v>
          </cell>
          <cell r="D140">
            <v>7.1918615384680615</v>
          </cell>
          <cell r="E140">
            <v>7.156460876339013</v>
          </cell>
          <cell r="F140">
            <v>7.156125875218537</v>
          </cell>
          <cell r="G140">
            <v>7.1519764844614615</v>
          </cell>
          <cell r="H140">
            <v>7.1453908168462164</v>
          </cell>
          <cell r="I140">
            <v>7.1437082469938469</v>
          </cell>
          <cell r="J140">
            <v>7.1232138717706688</v>
          </cell>
          <cell r="K140">
            <v>7.1313816206567076</v>
          </cell>
          <cell r="L140">
            <v>7.1728262464426447</v>
          </cell>
          <cell r="M140">
            <v>7.1728262464426447</v>
          </cell>
          <cell r="N140">
            <v>7.1644554133099634</v>
          </cell>
          <cell r="O140">
            <v>7.0989470472367602</v>
          </cell>
          <cell r="P140">
            <v>7.0691018336397935</v>
          </cell>
          <cell r="Q140">
            <v>7.0612328436485345</v>
          </cell>
          <cell r="R140">
            <v>7.0339824152082882</v>
          </cell>
          <cell r="S140">
            <v>7.0205241784375669</v>
          </cell>
          <cell r="T140">
            <v>7.0205241784375669</v>
          </cell>
          <cell r="U140">
            <v>7.0205241784375669</v>
          </cell>
          <cell r="V140">
            <v>7.0205241784375669</v>
          </cell>
          <cell r="W140">
            <v>7.0205241784375669</v>
          </cell>
          <cell r="X140">
            <v>7.0205241784375669</v>
          </cell>
          <cell r="Y140">
            <v>7.0205241784375669</v>
          </cell>
          <cell r="Z140">
            <v>7.0205241784375669</v>
          </cell>
          <cell r="AA140">
            <v>7.0205241784375669</v>
          </cell>
          <cell r="AB140">
            <v>7.0205241784375669</v>
          </cell>
          <cell r="AC140">
            <v>7.0205241784375669</v>
          </cell>
          <cell r="AD140">
            <v>7.0205241784375669</v>
          </cell>
          <cell r="AE140">
            <v>7.0205241784375669</v>
          </cell>
          <cell r="AF140">
            <v>7.0205241784375669</v>
          </cell>
        </row>
        <row r="141">
          <cell r="A141" t="str">
            <v>North Dakota</v>
          </cell>
          <cell r="B141">
            <v>6.7047610404946196</v>
          </cell>
          <cell r="C141">
            <v>6.6965411280459168</v>
          </cell>
          <cell r="D141">
            <v>6.6205594638761909</v>
          </cell>
          <cell r="E141">
            <v>6.5879709348239706</v>
          </cell>
          <cell r="F141">
            <v>6.5876625452885538</v>
          </cell>
          <cell r="G141">
            <v>6.5838427709367862</v>
          </cell>
          <cell r="H141">
            <v>6.5777802509865921</v>
          </cell>
          <cell r="I141">
            <v>6.5762313399431624</v>
          </cell>
          <cell r="J141">
            <v>6.5573649825870968</v>
          </cell>
          <cell r="K141">
            <v>6.5648839075409215</v>
          </cell>
          <cell r="L141">
            <v>6.6030362840857455</v>
          </cell>
          <cell r="M141">
            <v>6.6030362840857482</v>
          </cell>
          <cell r="N141">
            <v>6.595330407349846</v>
          </cell>
          <cell r="O141">
            <v>6.535025849114235</v>
          </cell>
          <cell r="P141">
            <v>6.5075514587531424</v>
          </cell>
          <cell r="Q141">
            <v>6.5003075600936491</v>
          </cell>
          <cell r="R141">
            <v>6.4752218321580104</v>
          </cell>
          <cell r="S141">
            <v>6.462832681401574</v>
          </cell>
          <cell r="T141">
            <v>6.462832681401574</v>
          </cell>
          <cell r="U141">
            <v>6.462832681401574</v>
          </cell>
          <cell r="V141">
            <v>6.462832681401574</v>
          </cell>
          <cell r="W141">
            <v>6.462832681401574</v>
          </cell>
          <cell r="X141">
            <v>6.462832681401574</v>
          </cell>
          <cell r="Y141">
            <v>6.462832681401574</v>
          </cell>
          <cell r="Z141">
            <v>6.462832681401574</v>
          </cell>
          <cell r="AA141">
            <v>6.462832681401574</v>
          </cell>
          <cell r="AB141">
            <v>6.462832681401574</v>
          </cell>
          <cell r="AC141">
            <v>6.462832681401574</v>
          </cell>
          <cell r="AD141">
            <v>6.462832681401574</v>
          </cell>
          <cell r="AE141">
            <v>6.462832681401574</v>
          </cell>
          <cell r="AF141">
            <v>6.462832681401574</v>
          </cell>
        </row>
        <row r="142">
          <cell r="A142" t="str">
            <v>Ohio</v>
          </cell>
          <cell r="B142">
            <v>7.1646519068741465</v>
          </cell>
          <cell r="C142">
            <v>7.1558681767688981</v>
          </cell>
          <cell r="D142">
            <v>7.0746748021216606</v>
          </cell>
          <cell r="E142">
            <v>7.0398509709058921</v>
          </cell>
          <cell r="F142">
            <v>7.0395214284121908</v>
          </cell>
          <cell r="G142">
            <v>7.0354396492961415</v>
          </cell>
          <cell r="H142">
            <v>7.028961290878998</v>
          </cell>
          <cell r="I142">
            <v>7.0273061374150769</v>
          </cell>
          <cell r="J142">
            <v>7.0071457047925767</v>
          </cell>
          <cell r="K142">
            <v>7.0151803654885638</v>
          </cell>
          <cell r="L142">
            <v>7.0559496778790756</v>
          </cell>
          <cell r="M142">
            <v>7.0559496778790756</v>
          </cell>
          <cell r="N142">
            <v>7.047715242063016</v>
          </cell>
          <cell r="O142">
            <v>6.9832742924830828</v>
          </cell>
          <cell r="P142">
            <v>6.9539153873555311</v>
          </cell>
          <cell r="Q142">
            <v>6.9461746174711925</v>
          </cell>
          <cell r="R142">
            <v>6.9193682171529902</v>
          </cell>
          <cell r="S142">
            <v>6.9061292736536597</v>
          </cell>
          <cell r="T142">
            <v>6.9061292736536597</v>
          </cell>
          <cell r="U142">
            <v>6.9061292736536597</v>
          </cell>
          <cell r="V142">
            <v>6.9061292736536597</v>
          </cell>
          <cell r="W142">
            <v>6.9061292736536597</v>
          </cell>
          <cell r="X142">
            <v>6.9061292736536597</v>
          </cell>
          <cell r="Y142">
            <v>6.9061292736536597</v>
          </cell>
          <cell r="Z142">
            <v>6.9061292736536597</v>
          </cell>
          <cell r="AA142">
            <v>6.9061292736536597</v>
          </cell>
          <cell r="AB142">
            <v>6.9061292736536597</v>
          </cell>
          <cell r="AC142">
            <v>6.9061292736536597</v>
          </cell>
          <cell r="AD142">
            <v>6.9061292736536597</v>
          </cell>
          <cell r="AE142">
            <v>6.9061292736536597</v>
          </cell>
          <cell r="AF142">
            <v>6.9061292736536597</v>
          </cell>
        </row>
        <row r="143">
          <cell r="A143" t="str">
            <v>Oklahoma</v>
          </cell>
          <cell r="B143">
            <v>7.2613438769530561</v>
          </cell>
          <cell r="C143">
            <v>7.2524416042892055</v>
          </cell>
          <cell r="D143">
            <v>7.1701524684725442</v>
          </cell>
          <cell r="E143">
            <v>7.1348586653879797</v>
          </cell>
          <cell r="F143">
            <v>7.1345246754886826</v>
          </cell>
          <cell r="G143">
            <v>7.1303878099191262</v>
          </cell>
          <cell r="H143">
            <v>7.123822021540783</v>
          </cell>
          <cell r="I143">
            <v>7.1221445306275015</v>
          </cell>
          <cell r="J143">
            <v>7.1017120189182164</v>
          </cell>
          <cell r="K143">
            <v>7.109855112959151</v>
          </cell>
          <cell r="L143">
            <v>7.1511746356299417</v>
          </cell>
          <cell r="M143">
            <v>7.1511746356299417</v>
          </cell>
          <cell r="N143">
            <v>7.1428290703644839</v>
          </cell>
          <cell r="O143">
            <v>7.0775184452651221</v>
          </cell>
          <cell r="P143">
            <v>7.0477633212544948</v>
          </cell>
          <cell r="Q143">
            <v>7.0399180842865068</v>
          </cell>
          <cell r="R143">
            <v>7.0127499129163215</v>
          </cell>
          <cell r="S143">
            <v>6.9993323006490717</v>
          </cell>
          <cell r="T143">
            <v>6.9993323006490717</v>
          </cell>
          <cell r="U143">
            <v>6.9993323006490717</v>
          </cell>
          <cell r="V143">
            <v>6.9993323006490717</v>
          </cell>
          <cell r="W143">
            <v>6.9993323006490717</v>
          </cell>
          <cell r="X143">
            <v>6.9993323006490717</v>
          </cell>
          <cell r="Y143">
            <v>6.9993323006490717</v>
          </cell>
          <cell r="Z143">
            <v>6.9993323006490717</v>
          </cell>
          <cell r="AA143">
            <v>6.9993323006490717</v>
          </cell>
          <cell r="AB143">
            <v>6.9993323006490717</v>
          </cell>
          <cell r="AC143">
            <v>6.9993323006490717</v>
          </cell>
          <cell r="AD143">
            <v>6.9993323006490717</v>
          </cell>
          <cell r="AE143">
            <v>6.9993323006490717</v>
          </cell>
          <cell r="AF143">
            <v>6.9993323006490717</v>
          </cell>
        </row>
        <row r="144">
          <cell r="A144" t="str">
            <v>Oregon</v>
          </cell>
          <cell r="B144">
            <v>9.3564152755243359</v>
          </cell>
          <cell r="C144">
            <v>9.3449444842561658</v>
          </cell>
          <cell r="D144">
            <v>9.238912964414709</v>
          </cell>
          <cell r="E144">
            <v>9.1934360549186867</v>
          </cell>
          <cell r="F144">
            <v>9.1930057009444646</v>
          </cell>
          <cell r="G144">
            <v>9.1876752507049932</v>
          </cell>
          <cell r="H144">
            <v>9.1792150753269883</v>
          </cell>
          <cell r="I144">
            <v>9.1770535881599393</v>
          </cell>
          <cell r="J144">
            <v>9.1507258080804377</v>
          </cell>
          <cell r="K144">
            <v>9.1612183795335564</v>
          </cell>
          <cell r="L144">
            <v>9.2144595728506005</v>
          </cell>
          <cell r="M144">
            <v>9.2144595728506005</v>
          </cell>
          <cell r="N144">
            <v>9.2037061123815924</v>
          </cell>
          <cell r="O144">
            <v>9.11955180972239</v>
          </cell>
          <cell r="P144">
            <v>9.0812116206973581</v>
          </cell>
          <cell r="Q144">
            <v>9.071102845207422</v>
          </cell>
          <cell r="R144">
            <v>9.0360960065390419</v>
          </cell>
          <cell r="S144">
            <v>9.0188070921857655</v>
          </cell>
          <cell r="T144">
            <v>9.0188070921857655</v>
          </cell>
          <cell r="U144">
            <v>9.0188070921857655</v>
          </cell>
          <cell r="V144">
            <v>9.0188070921857655</v>
          </cell>
          <cell r="W144">
            <v>9.0188070921857655</v>
          </cell>
          <cell r="X144">
            <v>9.0188070921857655</v>
          </cell>
          <cell r="Y144">
            <v>9.0188070921857655</v>
          </cell>
          <cell r="Z144">
            <v>9.0188070921857655</v>
          </cell>
          <cell r="AA144">
            <v>9.0188070921857655</v>
          </cell>
          <cell r="AB144">
            <v>9.0188070921857655</v>
          </cell>
          <cell r="AC144">
            <v>9.0188070921857655</v>
          </cell>
          <cell r="AD144">
            <v>9.0188070921857655</v>
          </cell>
          <cell r="AE144">
            <v>9.0188070921857655</v>
          </cell>
          <cell r="AF144">
            <v>9.0188070921857655</v>
          </cell>
        </row>
        <row r="145">
          <cell r="A145" t="str">
            <v>Pennsylvania</v>
          </cell>
          <cell r="B145">
            <v>7.1622944318681458</v>
          </cell>
          <cell r="C145">
            <v>7.1535135919834429</v>
          </cell>
          <cell r="D145">
            <v>7.0723469334075286</v>
          </cell>
          <cell r="E145">
            <v>7.0375345607123982</v>
          </cell>
          <cell r="F145">
            <v>7.0372051266521831</v>
          </cell>
          <cell r="G145">
            <v>7.0331246906149536</v>
          </cell>
          <cell r="H145">
            <v>7.0266484638530882</v>
          </cell>
          <cell r="I145">
            <v>7.0249938550050119</v>
          </cell>
          <cell r="J145">
            <v>7.0048400560217416</v>
          </cell>
          <cell r="K145">
            <v>7.012872072972856</v>
          </cell>
          <cell r="L145">
            <v>7.05362797052672</v>
          </cell>
          <cell r="M145">
            <v>7.0536279705267217</v>
          </cell>
          <cell r="N145">
            <v>7.04539624419004</v>
          </cell>
          <cell r="O145">
            <v>6.9809764984215459</v>
          </cell>
          <cell r="P145">
            <v>6.9516272536216572</v>
          </cell>
          <cell r="Q145">
            <v>6.9438890307796264</v>
          </cell>
          <cell r="R145">
            <v>6.9170914509065149</v>
          </cell>
          <cell r="S145">
            <v>6.9038568635823081</v>
          </cell>
          <cell r="T145">
            <v>6.9038568635823081</v>
          </cell>
          <cell r="U145">
            <v>6.9038568635823081</v>
          </cell>
          <cell r="V145">
            <v>6.9038568635823081</v>
          </cell>
          <cell r="W145">
            <v>6.9038568635823081</v>
          </cell>
          <cell r="X145">
            <v>6.9038568635823081</v>
          </cell>
          <cell r="Y145">
            <v>6.9038568635823081</v>
          </cell>
          <cell r="Z145">
            <v>6.9038568635823081</v>
          </cell>
          <cell r="AA145">
            <v>6.9038568635823081</v>
          </cell>
          <cell r="AB145">
            <v>6.9038568635823081</v>
          </cell>
          <cell r="AC145">
            <v>6.9038568635823081</v>
          </cell>
          <cell r="AD145">
            <v>6.9038568635823081</v>
          </cell>
          <cell r="AE145">
            <v>6.9038568635823081</v>
          </cell>
          <cell r="AF145">
            <v>6.9038568635823081</v>
          </cell>
        </row>
        <row r="146">
          <cell r="A146" t="str">
            <v>Rhode Island</v>
          </cell>
          <cell r="B146">
            <v>7.1622944318681441</v>
          </cell>
          <cell r="C146">
            <v>7.1535135919834421</v>
          </cell>
          <cell r="D146">
            <v>7.0723469334075286</v>
          </cell>
          <cell r="E146">
            <v>7.0375345607124009</v>
          </cell>
          <cell r="F146">
            <v>7.0372051266521858</v>
          </cell>
          <cell r="G146">
            <v>7.0331246906149536</v>
          </cell>
          <cell r="H146">
            <v>7.0266484638530899</v>
          </cell>
          <cell r="I146">
            <v>7.0249938550050111</v>
          </cell>
          <cell r="J146">
            <v>7.0048400560217443</v>
          </cell>
          <cell r="K146">
            <v>7.012872072972856</v>
          </cell>
          <cell r="L146">
            <v>7.05362797052672</v>
          </cell>
          <cell r="M146">
            <v>7.05362797052672</v>
          </cell>
          <cell r="N146">
            <v>7.04539624419004</v>
          </cell>
          <cell r="O146">
            <v>6.9809764984215468</v>
          </cell>
          <cell r="P146">
            <v>6.9516272536216555</v>
          </cell>
          <cell r="Q146">
            <v>6.9438890307796264</v>
          </cell>
          <cell r="R146">
            <v>6.9170914509065158</v>
          </cell>
          <cell r="S146">
            <v>6.903856863582309</v>
          </cell>
          <cell r="T146">
            <v>6.903856863582309</v>
          </cell>
          <cell r="U146">
            <v>6.903856863582309</v>
          </cell>
          <cell r="V146">
            <v>6.903856863582309</v>
          </cell>
          <cell r="W146">
            <v>6.903856863582309</v>
          </cell>
          <cell r="X146">
            <v>6.903856863582309</v>
          </cell>
          <cell r="Y146">
            <v>6.903856863582309</v>
          </cell>
          <cell r="Z146">
            <v>6.903856863582309</v>
          </cell>
          <cell r="AA146">
            <v>6.903856863582309</v>
          </cell>
          <cell r="AB146">
            <v>6.903856863582309</v>
          </cell>
          <cell r="AC146">
            <v>6.903856863582309</v>
          </cell>
          <cell r="AD146">
            <v>6.903856863582309</v>
          </cell>
          <cell r="AE146">
            <v>6.903856863582309</v>
          </cell>
          <cell r="AF146">
            <v>6.903856863582309</v>
          </cell>
        </row>
        <row r="147">
          <cell r="A147" t="str">
            <v>South Carolina</v>
          </cell>
          <cell r="B147">
            <v>7.2833290471679817</v>
          </cell>
          <cell r="C147">
            <v>7.2743998210939704</v>
          </cell>
          <cell r="D147">
            <v>7.1918615384680615</v>
          </cell>
          <cell r="E147">
            <v>7.1564608763390121</v>
          </cell>
          <cell r="F147">
            <v>7.156125875218537</v>
          </cell>
          <cell r="G147">
            <v>7.1519764844614633</v>
          </cell>
          <cell r="H147">
            <v>7.1453908168462172</v>
          </cell>
          <cell r="I147">
            <v>7.1437082469938487</v>
          </cell>
          <cell r="J147">
            <v>7.1232138717706714</v>
          </cell>
          <cell r="K147">
            <v>7.1313816206567076</v>
          </cell>
          <cell r="L147">
            <v>7.1728262464426447</v>
          </cell>
          <cell r="M147">
            <v>7.1728262464426447</v>
          </cell>
          <cell r="N147">
            <v>7.1644554133099634</v>
          </cell>
          <cell r="O147">
            <v>7.0989470472367611</v>
          </cell>
          <cell r="P147">
            <v>7.0691018336397953</v>
          </cell>
          <cell r="Q147">
            <v>7.0612328436485345</v>
          </cell>
          <cell r="R147">
            <v>7.0339824152082873</v>
          </cell>
          <cell r="S147">
            <v>7.020524178437566</v>
          </cell>
          <cell r="T147">
            <v>7.020524178437566</v>
          </cell>
          <cell r="U147">
            <v>7.020524178437566</v>
          </cell>
          <cell r="V147">
            <v>7.020524178437566</v>
          </cell>
          <cell r="W147">
            <v>7.020524178437566</v>
          </cell>
          <cell r="X147">
            <v>7.020524178437566</v>
          </cell>
          <cell r="Y147">
            <v>7.020524178437566</v>
          </cell>
          <cell r="Z147">
            <v>7.020524178437566</v>
          </cell>
          <cell r="AA147">
            <v>7.020524178437566</v>
          </cell>
          <cell r="AB147">
            <v>7.020524178437566</v>
          </cell>
          <cell r="AC147">
            <v>7.020524178437566</v>
          </cell>
          <cell r="AD147">
            <v>7.020524178437566</v>
          </cell>
          <cell r="AE147">
            <v>7.020524178437566</v>
          </cell>
          <cell r="AF147">
            <v>7.020524178437566</v>
          </cell>
        </row>
        <row r="148">
          <cell r="A148" t="str">
            <v>South Dakota</v>
          </cell>
          <cell r="B148">
            <v>6.7047610404946187</v>
          </cell>
          <cell r="C148">
            <v>6.6965411280459168</v>
          </cell>
          <cell r="D148">
            <v>6.6205594638761891</v>
          </cell>
          <cell r="E148">
            <v>6.5879709348239706</v>
          </cell>
          <cell r="F148">
            <v>6.587662545288552</v>
          </cell>
          <cell r="G148">
            <v>6.5838427709367835</v>
          </cell>
          <cell r="H148">
            <v>6.5777802509865895</v>
          </cell>
          <cell r="I148">
            <v>6.5762313399431624</v>
          </cell>
          <cell r="J148">
            <v>6.5573649825870985</v>
          </cell>
          <cell r="K148">
            <v>6.5648839075409189</v>
          </cell>
          <cell r="L148">
            <v>6.6030362840857482</v>
          </cell>
          <cell r="M148">
            <v>6.6030362840857473</v>
          </cell>
          <cell r="N148">
            <v>6.5953304073498469</v>
          </cell>
          <cell r="O148">
            <v>6.5350258491142359</v>
          </cell>
          <cell r="P148">
            <v>6.5075514587531433</v>
          </cell>
          <cell r="Q148">
            <v>6.5003075600936482</v>
          </cell>
          <cell r="R148">
            <v>6.4752218321580131</v>
          </cell>
          <cell r="S148">
            <v>6.4628326814015766</v>
          </cell>
          <cell r="T148">
            <v>6.4628326814015766</v>
          </cell>
          <cell r="U148">
            <v>6.4628326814015766</v>
          </cell>
          <cell r="V148">
            <v>6.4628326814015766</v>
          </cell>
          <cell r="W148">
            <v>6.4628326814015766</v>
          </cell>
          <cell r="X148">
            <v>6.4628326814015766</v>
          </cell>
          <cell r="Y148">
            <v>6.4628326814015766</v>
          </cell>
          <cell r="Z148">
            <v>6.4628326814015766</v>
          </cell>
          <cell r="AA148">
            <v>6.4628326814015766</v>
          </cell>
          <cell r="AB148">
            <v>6.4628326814015766</v>
          </cell>
          <cell r="AC148">
            <v>6.4628326814015766</v>
          </cell>
          <cell r="AD148">
            <v>6.4628326814015766</v>
          </cell>
          <cell r="AE148">
            <v>6.4628326814015766</v>
          </cell>
          <cell r="AF148">
            <v>6.4628326814015766</v>
          </cell>
        </row>
        <row r="149">
          <cell r="A149" t="str">
            <v>Tennessee</v>
          </cell>
          <cell r="B149">
            <v>7.2833290471679817</v>
          </cell>
          <cell r="C149">
            <v>7.2743998210939695</v>
          </cell>
          <cell r="D149">
            <v>7.1918615384680624</v>
          </cell>
          <cell r="E149">
            <v>7.1564608763390121</v>
          </cell>
          <cell r="F149">
            <v>7.1561258752185362</v>
          </cell>
          <cell r="G149">
            <v>7.1519764844614615</v>
          </cell>
          <cell r="H149">
            <v>7.1453908168462172</v>
          </cell>
          <cell r="I149">
            <v>7.1437082469938469</v>
          </cell>
          <cell r="J149">
            <v>7.1232138717706688</v>
          </cell>
          <cell r="K149">
            <v>7.1313816206567076</v>
          </cell>
          <cell r="L149">
            <v>7.1728262464426447</v>
          </cell>
          <cell r="M149">
            <v>7.1728262464426455</v>
          </cell>
          <cell r="N149">
            <v>7.1644554133099625</v>
          </cell>
          <cell r="O149">
            <v>7.0989470472367611</v>
          </cell>
          <cell r="P149">
            <v>7.0691018336397935</v>
          </cell>
          <cell r="Q149">
            <v>7.0612328436485345</v>
          </cell>
          <cell r="R149">
            <v>7.0339824152082882</v>
          </cell>
          <cell r="S149">
            <v>7.020524178437566</v>
          </cell>
          <cell r="T149">
            <v>7.020524178437566</v>
          </cell>
          <cell r="U149">
            <v>7.020524178437566</v>
          </cell>
          <cell r="V149">
            <v>7.020524178437566</v>
          </cell>
          <cell r="W149">
            <v>7.020524178437566</v>
          </cell>
          <cell r="X149">
            <v>7.020524178437566</v>
          </cell>
          <cell r="Y149">
            <v>7.020524178437566</v>
          </cell>
          <cell r="Z149">
            <v>7.020524178437566</v>
          </cell>
          <cell r="AA149">
            <v>7.020524178437566</v>
          </cell>
          <cell r="AB149">
            <v>7.020524178437566</v>
          </cell>
          <cell r="AC149">
            <v>7.020524178437566</v>
          </cell>
          <cell r="AD149">
            <v>7.020524178437566</v>
          </cell>
          <cell r="AE149">
            <v>7.020524178437566</v>
          </cell>
          <cell r="AF149">
            <v>7.020524178437566</v>
          </cell>
        </row>
        <row r="150">
          <cell r="A150" t="str">
            <v>Texas</v>
          </cell>
          <cell r="B150">
            <v>7.2613438769530561</v>
          </cell>
          <cell r="C150">
            <v>7.2524416042892073</v>
          </cell>
          <cell r="D150">
            <v>7.1701524684725415</v>
          </cell>
          <cell r="E150">
            <v>7.1348586653879762</v>
          </cell>
          <cell r="F150">
            <v>7.1345246754886817</v>
          </cell>
          <cell r="G150">
            <v>7.1303878099191245</v>
          </cell>
          <cell r="H150">
            <v>7.1238220215407804</v>
          </cell>
          <cell r="I150">
            <v>7.1221445306275015</v>
          </cell>
          <cell r="J150">
            <v>7.1017120189182146</v>
          </cell>
          <cell r="K150">
            <v>7.109855112959151</v>
          </cell>
          <cell r="L150">
            <v>7.1511746356299417</v>
          </cell>
          <cell r="M150">
            <v>7.1511746356299399</v>
          </cell>
          <cell r="N150">
            <v>7.1428290703644848</v>
          </cell>
          <cell r="O150">
            <v>7.0775184452651221</v>
          </cell>
          <cell r="P150">
            <v>7.047763321254493</v>
          </cell>
          <cell r="Q150">
            <v>7.039918084286505</v>
          </cell>
          <cell r="R150">
            <v>7.0127499129163215</v>
          </cell>
          <cell r="S150">
            <v>6.9993323006490717</v>
          </cell>
          <cell r="T150">
            <v>6.9993323006490717</v>
          </cell>
          <cell r="U150">
            <v>6.9993323006490717</v>
          </cell>
          <cell r="V150">
            <v>6.9993323006490717</v>
          </cell>
          <cell r="W150">
            <v>6.9993323006490717</v>
          </cell>
          <cell r="X150">
            <v>6.9993323006490717</v>
          </cell>
          <cell r="Y150">
            <v>6.9993323006490717</v>
          </cell>
          <cell r="Z150">
            <v>6.9993323006490717</v>
          </cell>
          <cell r="AA150">
            <v>6.9993323006490717</v>
          </cell>
          <cell r="AB150">
            <v>6.9993323006490717</v>
          </cell>
          <cell r="AC150">
            <v>6.9993323006490717</v>
          </cell>
          <cell r="AD150">
            <v>6.9993323006490717</v>
          </cell>
          <cell r="AE150">
            <v>6.9993323006490717</v>
          </cell>
          <cell r="AF150">
            <v>6.9993323006490717</v>
          </cell>
        </row>
        <row r="151">
          <cell r="A151" t="str">
            <v>Utah</v>
          </cell>
          <cell r="B151">
            <v>9.3564152755243359</v>
          </cell>
          <cell r="C151">
            <v>9.3449444842561658</v>
          </cell>
          <cell r="D151">
            <v>9.238912964414709</v>
          </cell>
          <cell r="E151">
            <v>9.1934360549186849</v>
          </cell>
          <cell r="F151">
            <v>9.1930057009444646</v>
          </cell>
          <cell r="G151">
            <v>9.187675250704995</v>
          </cell>
          <cell r="H151">
            <v>9.1792150753269883</v>
          </cell>
          <cell r="I151">
            <v>9.1770535881599393</v>
          </cell>
          <cell r="J151">
            <v>9.1507258080804394</v>
          </cell>
          <cell r="K151">
            <v>9.1612183795335564</v>
          </cell>
          <cell r="L151">
            <v>9.2144595728506022</v>
          </cell>
          <cell r="M151">
            <v>9.2144595728506022</v>
          </cell>
          <cell r="N151">
            <v>9.203706112381596</v>
          </cell>
          <cell r="O151">
            <v>9.1195518097223882</v>
          </cell>
          <cell r="P151">
            <v>9.0812116206973563</v>
          </cell>
          <cell r="Q151">
            <v>9.0711028452074185</v>
          </cell>
          <cell r="R151">
            <v>9.0360960065390437</v>
          </cell>
          <cell r="S151">
            <v>9.0188070921857637</v>
          </cell>
          <cell r="T151">
            <v>9.0188070921857637</v>
          </cell>
          <cell r="U151">
            <v>9.0188070921857637</v>
          </cell>
          <cell r="V151">
            <v>9.0188070921857637</v>
          </cell>
          <cell r="W151">
            <v>9.0188070921857637</v>
          </cell>
          <cell r="X151">
            <v>9.0188070921857637</v>
          </cell>
          <cell r="Y151">
            <v>9.0188070921857637</v>
          </cell>
          <cell r="Z151">
            <v>9.0188070921857637</v>
          </cell>
          <cell r="AA151">
            <v>9.0188070921857637</v>
          </cell>
          <cell r="AB151">
            <v>9.0188070921857637</v>
          </cell>
          <cell r="AC151">
            <v>9.0188070921857637</v>
          </cell>
          <cell r="AD151">
            <v>9.0188070921857637</v>
          </cell>
          <cell r="AE151">
            <v>9.0188070921857637</v>
          </cell>
          <cell r="AF151">
            <v>9.0188070921857637</v>
          </cell>
        </row>
        <row r="152">
          <cell r="A152" t="str">
            <v>Vermont</v>
          </cell>
          <cell r="B152">
            <v>7.1622944318681458</v>
          </cell>
          <cell r="C152">
            <v>7.1535135919834429</v>
          </cell>
          <cell r="D152">
            <v>7.0723469334075277</v>
          </cell>
          <cell r="E152">
            <v>7.0375345607124009</v>
          </cell>
          <cell r="F152">
            <v>7.0372051266521831</v>
          </cell>
          <cell r="G152">
            <v>7.0331246906149545</v>
          </cell>
          <cell r="H152">
            <v>7.0266484638530882</v>
          </cell>
          <cell r="I152">
            <v>7.0249938550050111</v>
          </cell>
          <cell r="J152">
            <v>7.0048400560217443</v>
          </cell>
          <cell r="K152">
            <v>7.012872072972856</v>
          </cell>
          <cell r="L152">
            <v>7.0536279705267217</v>
          </cell>
          <cell r="M152">
            <v>7.05362797052672</v>
          </cell>
          <cell r="N152">
            <v>7.0453962441900417</v>
          </cell>
          <cell r="O152">
            <v>6.9809764984215459</v>
          </cell>
          <cell r="P152">
            <v>6.9516272536216572</v>
          </cell>
          <cell r="Q152">
            <v>6.9438890307796264</v>
          </cell>
          <cell r="R152">
            <v>6.9170914509065149</v>
          </cell>
          <cell r="S152">
            <v>6.9038568635823063</v>
          </cell>
          <cell r="T152">
            <v>6.9038568635823063</v>
          </cell>
          <cell r="U152">
            <v>6.9038568635823063</v>
          </cell>
          <cell r="V152">
            <v>6.9038568635823063</v>
          </cell>
          <cell r="W152">
            <v>6.9038568635823063</v>
          </cell>
          <cell r="X152">
            <v>6.9038568635823063</v>
          </cell>
          <cell r="Y152">
            <v>6.9038568635823063</v>
          </cell>
          <cell r="Z152">
            <v>6.9038568635823063</v>
          </cell>
          <cell r="AA152">
            <v>6.9038568635823063</v>
          </cell>
          <cell r="AB152">
            <v>6.9038568635823063</v>
          </cell>
          <cell r="AC152">
            <v>6.9038568635823063</v>
          </cell>
          <cell r="AD152">
            <v>6.9038568635823063</v>
          </cell>
          <cell r="AE152">
            <v>6.9038568635823063</v>
          </cell>
          <cell r="AF152">
            <v>6.9038568635823063</v>
          </cell>
        </row>
        <row r="153">
          <cell r="A153" t="str">
            <v>Virginia</v>
          </cell>
          <cell r="B153">
            <v>7.283329047167979</v>
          </cell>
          <cell r="C153">
            <v>7.2743998210939695</v>
          </cell>
          <cell r="D153">
            <v>7.1918615384680615</v>
          </cell>
          <cell r="E153">
            <v>7.1564608763390121</v>
          </cell>
          <cell r="F153">
            <v>7.1561258752185362</v>
          </cell>
          <cell r="G153">
            <v>7.1519764844614615</v>
          </cell>
          <cell r="H153">
            <v>7.1453908168462164</v>
          </cell>
          <cell r="I153">
            <v>7.1437082469938469</v>
          </cell>
          <cell r="J153">
            <v>7.1232138717706688</v>
          </cell>
          <cell r="K153">
            <v>7.1313816206567084</v>
          </cell>
          <cell r="L153">
            <v>7.1728262464426447</v>
          </cell>
          <cell r="M153">
            <v>7.1728262464426429</v>
          </cell>
          <cell r="N153">
            <v>7.1644554133099634</v>
          </cell>
          <cell r="O153">
            <v>7.0989470472367611</v>
          </cell>
          <cell r="P153">
            <v>7.0691018336397926</v>
          </cell>
          <cell r="Q153">
            <v>7.0612328436485337</v>
          </cell>
          <cell r="R153">
            <v>7.0339824152082873</v>
          </cell>
          <cell r="S153">
            <v>7.020524178437566</v>
          </cell>
          <cell r="T153">
            <v>7.020524178437566</v>
          </cell>
          <cell r="U153">
            <v>7.020524178437566</v>
          </cell>
          <cell r="V153">
            <v>7.020524178437566</v>
          </cell>
          <cell r="W153">
            <v>7.020524178437566</v>
          </cell>
          <cell r="X153">
            <v>7.020524178437566</v>
          </cell>
          <cell r="Y153">
            <v>7.020524178437566</v>
          </cell>
          <cell r="Z153">
            <v>7.020524178437566</v>
          </cell>
          <cell r="AA153">
            <v>7.020524178437566</v>
          </cell>
          <cell r="AB153">
            <v>7.020524178437566</v>
          </cell>
          <cell r="AC153">
            <v>7.020524178437566</v>
          </cell>
          <cell r="AD153">
            <v>7.020524178437566</v>
          </cell>
          <cell r="AE153">
            <v>7.020524178437566</v>
          </cell>
          <cell r="AF153">
            <v>7.020524178437566</v>
          </cell>
        </row>
        <row r="154">
          <cell r="A154" t="str">
            <v>Washington</v>
          </cell>
          <cell r="B154">
            <v>9.3564152755243359</v>
          </cell>
          <cell r="C154">
            <v>9.3449444842561622</v>
          </cell>
          <cell r="D154">
            <v>9.238912964414709</v>
          </cell>
          <cell r="E154">
            <v>9.1934360549186849</v>
          </cell>
          <cell r="F154">
            <v>9.193005700944461</v>
          </cell>
          <cell r="G154">
            <v>9.187675250704995</v>
          </cell>
          <cell r="H154">
            <v>9.1792150753269937</v>
          </cell>
          <cell r="I154">
            <v>9.1770535881599375</v>
          </cell>
          <cell r="J154">
            <v>9.1507258080804377</v>
          </cell>
          <cell r="K154">
            <v>9.1612183795335582</v>
          </cell>
          <cell r="L154">
            <v>9.2144595728506022</v>
          </cell>
          <cell r="M154">
            <v>9.2144595728506022</v>
          </cell>
          <cell r="N154">
            <v>9.2037061123815942</v>
          </cell>
          <cell r="O154">
            <v>9.11955180972239</v>
          </cell>
          <cell r="P154">
            <v>9.0812116206973563</v>
          </cell>
          <cell r="Q154">
            <v>9.0711028452074203</v>
          </cell>
          <cell r="R154">
            <v>9.0360960065390401</v>
          </cell>
          <cell r="S154">
            <v>9.0188070921857655</v>
          </cell>
          <cell r="T154">
            <v>9.0188070921857655</v>
          </cell>
          <cell r="U154">
            <v>9.0188070921857655</v>
          </cell>
          <cell r="V154">
            <v>9.0188070921857655</v>
          </cell>
          <cell r="W154">
            <v>9.0188070921857655</v>
          </cell>
          <cell r="X154">
            <v>9.0188070921857655</v>
          </cell>
          <cell r="Y154">
            <v>9.0188070921857655</v>
          </cell>
          <cell r="Z154">
            <v>9.0188070921857655</v>
          </cell>
          <cell r="AA154">
            <v>9.0188070921857655</v>
          </cell>
          <cell r="AB154">
            <v>9.0188070921857655</v>
          </cell>
          <cell r="AC154">
            <v>9.0188070921857655</v>
          </cell>
          <cell r="AD154">
            <v>9.0188070921857655</v>
          </cell>
          <cell r="AE154">
            <v>9.0188070921857655</v>
          </cell>
          <cell r="AF154">
            <v>9.0188070921857655</v>
          </cell>
        </row>
        <row r="155">
          <cell r="A155" t="str">
            <v>West Virginia</v>
          </cell>
          <cell r="B155">
            <v>7.1622944318681432</v>
          </cell>
          <cell r="C155">
            <v>7.1535135919834429</v>
          </cell>
          <cell r="D155">
            <v>7.0723469334075286</v>
          </cell>
          <cell r="E155">
            <v>7.0375345607124018</v>
          </cell>
          <cell r="F155">
            <v>7.037205126652184</v>
          </cell>
          <cell r="G155">
            <v>7.0331246906149545</v>
          </cell>
          <cell r="H155">
            <v>7.0266484638530899</v>
          </cell>
          <cell r="I155">
            <v>7.0249938550050111</v>
          </cell>
          <cell r="J155">
            <v>7.0048400560217416</v>
          </cell>
          <cell r="K155">
            <v>7.012872072972856</v>
          </cell>
          <cell r="L155">
            <v>7.0536279705267217</v>
          </cell>
          <cell r="M155">
            <v>7.05362797052672</v>
          </cell>
          <cell r="N155">
            <v>7.04539624419004</v>
          </cell>
          <cell r="O155">
            <v>6.9809764984215459</v>
          </cell>
          <cell r="P155">
            <v>6.9516272536216572</v>
          </cell>
          <cell r="Q155">
            <v>6.9438890307796273</v>
          </cell>
          <cell r="R155">
            <v>6.9170914509065158</v>
          </cell>
          <cell r="S155">
            <v>6.9038568635823063</v>
          </cell>
          <cell r="T155">
            <v>6.9038568635823063</v>
          </cell>
          <cell r="U155">
            <v>6.9038568635823063</v>
          </cell>
          <cell r="V155">
            <v>6.9038568635823063</v>
          </cell>
          <cell r="W155">
            <v>6.9038568635823063</v>
          </cell>
          <cell r="X155">
            <v>6.9038568635823063</v>
          </cell>
          <cell r="Y155">
            <v>6.9038568635823063</v>
          </cell>
          <cell r="Z155">
            <v>6.9038568635823063</v>
          </cell>
          <cell r="AA155">
            <v>6.9038568635823063</v>
          </cell>
          <cell r="AB155">
            <v>6.9038568635823063</v>
          </cell>
          <cell r="AC155">
            <v>6.9038568635823063</v>
          </cell>
          <cell r="AD155">
            <v>6.9038568635823063</v>
          </cell>
          <cell r="AE155">
            <v>6.9038568635823063</v>
          </cell>
          <cell r="AF155">
            <v>6.9038568635823063</v>
          </cell>
        </row>
        <row r="156">
          <cell r="A156" t="str">
            <v>Wisconsin</v>
          </cell>
          <cell r="B156">
            <v>7.1646519068741465</v>
          </cell>
          <cell r="C156">
            <v>7.1558681767688981</v>
          </cell>
          <cell r="D156">
            <v>7.0746748021216606</v>
          </cell>
          <cell r="E156">
            <v>7.0398509709058921</v>
          </cell>
          <cell r="F156">
            <v>7.0395214284121925</v>
          </cell>
          <cell r="G156">
            <v>7.0354396492961406</v>
          </cell>
          <cell r="H156">
            <v>7.0289612908789953</v>
          </cell>
          <cell r="I156">
            <v>7.0273061374150769</v>
          </cell>
          <cell r="J156">
            <v>7.0071457047925758</v>
          </cell>
          <cell r="K156">
            <v>7.0151803654885638</v>
          </cell>
          <cell r="L156">
            <v>7.0559496778790756</v>
          </cell>
          <cell r="M156">
            <v>7.0559496778790747</v>
          </cell>
          <cell r="N156">
            <v>7.047715242063016</v>
          </cell>
          <cell r="O156">
            <v>6.9832742924830846</v>
          </cell>
          <cell r="P156">
            <v>6.9539153873555319</v>
          </cell>
          <cell r="Q156">
            <v>6.9461746174711898</v>
          </cell>
          <cell r="R156">
            <v>6.9193682171529929</v>
          </cell>
          <cell r="S156">
            <v>6.9061292736536615</v>
          </cell>
          <cell r="T156">
            <v>6.9061292736536615</v>
          </cell>
          <cell r="U156">
            <v>6.9061292736536615</v>
          </cell>
          <cell r="V156">
            <v>6.9061292736536615</v>
          </cell>
          <cell r="W156">
            <v>6.9061292736536615</v>
          </cell>
          <cell r="X156">
            <v>6.9061292736536615</v>
          </cell>
          <cell r="Y156">
            <v>6.9061292736536615</v>
          </cell>
          <cell r="Z156">
            <v>6.9061292736536615</v>
          </cell>
          <cell r="AA156">
            <v>6.9061292736536615</v>
          </cell>
          <cell r="AB156">
            <v>6.9061292736536615</v>
          </cell>
          <cell r="AC156">
            <v>6.9061292736536615</v>
          </cell>
          <cell r="AD156">
            <v>6.9061292736536615</v>
          </cell>
          <cell r="AE156">
            <v>6.9061292736536615</v>
          </cell>
          <cell r="AF156">
            <v>6.9061292736536615</v>
          </cell>
        </row>
        <row r="157">
          <cell r="A157" t="str">
            <v>Wyoming</v>
          </cell>
          <cell r="B157">
            <v>6.7047610404946187</v>
          </cell>
          <cell r="C157">
            <v>6.6965411280459168</v>
          </cell>
          <cell r="D157">
            <v>6.6205594638761909</v>
          </cell>
          <cell r="E157">
            <v>6.5879709348239679</v>
          </cell>
          <cell r="F157">
            <v>6.5876625452885547</v>
          </cell>
          <cell r="G157">
            <v>6.5838427709367862</v>
          </cell>
          <cell r="H157">
            <v>6.5777802509865895</v>
          </cell>
          <cell r="I157">
            <v>6.5762313399431607</v>
          </cell>
          <cell r="J157">
            <v>6.5573649825871012</v>
          </cell>
          <cell r="K157">
            <v>6.5648839075409189</v>
          </cell>
          <cell r="L157">
            <v>6.6030362840857482</v>
          </cell>
          <cell r="M157">
            <v>6.6030362840857473</v>
          </cell>
          <cell r="N157">
            <v>6.5953304073498469</v>
          </cell>
          <cell r="O157">
            <v>6.5350258491142377</v>
          </cell>
          <cell r="P157">
            <v>6.5075514587531433</v>
          </cell>
          <cell r="Q157">
            <v>6.5003075600936482</v>
          </cell>
          <cell r="R157">
            <v>6.4752218321580122</v>
          </cell>
          <cell r="S157">
            <v>6.4628326814015766</v>
          </cell>
          <cell r="T157">
            <v>6.4628326814015766</v>
          </cell>
          <cell r="U157">
            <v>6.4628326814015766</v>
          </cell>
          <cell r="V157">
            <v>6.4628326814015766</v>
          </cell>
          <cell r="W157">
            <v>6.4628326814015766</v>
          </cell>
          <cell r="X157">
            <v>6.4628326814015766</v>
          </cell>
          <cell r="Y157">
            <v>6.4628326814015766</v>
          </cell>
          <cell r="Z157">
            <v>6.4628326814015766</v>
          </cell>
          <cell r="AA157">
            <v>6.4628326814015766</v>
          </cell>
          <cell r="AB157">
            <v>6.4628326814015766</v>
          </cell>
          <cell r="AC157">
            <v>6.4628326814015766</v>
          </cell>
          <cell r="AD157">
            <v>6.4628326814015766</v>
          </cell>
          <cell r="AE157">
            <v>6.4628326814015766</v>
          </cell>
          <cell r="AF157">
            <v>6.4628326814015766</v>
          </cell>
        </row>
        <row r="159">
          <cell r="A159" t="str">
            <v>Beef Replacements</v>
          </cell>
          <cell r="B159">
            <v>1990</v>
          </cell>
          <cell r="C159">
            <v>1991</v>
          </cell>
          <cell r="D159">
            <v>1992</v>
          </cell>
          <cell r="E159">
            <v>1993</v>
          </cell>
          <cell r="F159">
            <v>1994</v>
          </cell>
          <cell r="G159">
            <v>1995</v>
          </cell>
          <cell r="H159">
            <v>1996</v>
          </cell>
          <cell r="I159">
            <v>1997</v>
          </cell>
          <cell r="J159">
            <v>1998</v>
          </cell>
          <cell r="K159">
            <v>1999</v>
          </cell>
          <cell r="L159">
            <v>2000</v>
          </cell>
          <cell r="M159">
            <v>2001</v>
          </cell>
          <cell r="N159">
            <v>2002</v>
          </cell>
          <cell r="O159">
            <v>2003</v>
          </cell>
          <cell r="P159">
            <v>2004</v>
          </cell>
          <cell r="Q159">
            <v>2005</v>
          </cell>
          <cell r="R159">
            <v>2006</v>
          </cell>
          <cell r="S159">
            <v>2007</v>
          </cell>
          <cell r="T159">
            <v>2008</v>
          </cell>
          <cell r="U159">
            <v>2009</v>
          </cell>
          <cell r="V159">
            <v>2010</v>
          </cell>
          <cell r="W159">
            <v>2011</v>
          </cell>
          <cell r="X159">
            <v>2012</v>
          </cell>
          <cell r="Y159">
            <v>2013</v>
          </cell>
          <cell r="Z159">
            <v>2014</v>
          </cell>
          <cell r="AA159">
            <v>2015</v>
          </cell>
          <cell r="AB159">
            <v>2016</v>
          </cell>
          <cell r="AC159">
            <v>2017</v>
          </cell>
          <cell r="AD159">
            <v>2018</v>
          </cell>
          <cell r="AE159">
            <v>2019</v>
          </cell>
          <cell r="AF159">
            <v>2020</v>
          </cell>
        </row>
        <row r="160">
          <cell r="A160" t="str">
            <v>Alabama</v>
          </cell>
          <cell r="B160">
            <v>7.5299841462951891</v>
          </cell>
          <cell r="C160">
            <v>7.5360539434353173</v>
          </cell>
          <cell r="D160">
            <v>7.5815853719660558</v>
          </cell>
          <cell r="E160">
            <v>7.5938723159462418</v>
          </cell>
          <cell r="F160">
            <v>7.5824290256080307</v>
          </cell>
          <cell r="G160">
            <v>7.570483711317185</v>
          </cell>
          <cell r="H160">
            <v>7.5703799072827014</v>
          </cell>
          <cell r="I160">
            <v>7.5683366129418586</v>
          </cell>
          <cell r="J160">
            <v>7.5776209747395615</v>
          </cell>
          <cell r="K160">
            <v>7.5851149499540407</v>
          </cell>
          <cell r="L160">
            <v>7.5739527928480301</v>
          </cell>
          <cell r="M160">
            <v>7.5688584686347058</v>
          </cell>
          <cell r="N160">
            <v>7.575205061170232</v>
          </cell>
          <cell r="O160">
            <v>7.594230434059531</v>
          </cell>
          <cell r="P160">
            <v>7.6183178422682669</v>
          </cell>
          <cell r="Q160">
            <v>7.6234471333035412</v>
          </cell>
          <cell r="R160">
            <v>7.6236162856934389</v>
          </cell>
          <cell r="S160">
            <v>7.6194858321960579</v>
          </cell>
          <cell r="T160">
            <v>7.6194858321960579</v>
          </cell>
          <cell r="U160">
            <v>7.6194858321960579</v>
          </cell>
          <cell r="V160">
            <v>7.6194858321960579</v>
          </cell>
          <cell r="W160">
            <v>7.6194858321960579</v>
          </cell>
          <cell r="X160">
            <v>7.6194858321960579</v>
          </cell>
          <cell r="Y160">
            <v>7.6194858321960579</v>
          </cell>
          <cell r="Z160">
            <v>7.6194858321960579</v>
          </cell>
          <cell r="AA160">
            <v>7.6194858321960579</v>
          </cell>
          <cell r="AB160">
            <v>7.6194858321960579</v>
          </cell>
          <cell r="AC160">
            <v>7.6194858321960579</v>
          </cell>
          <cell r="AD160">
            <v>7.6194858321960579</v>
          </cell>
          <cell r="AE160">
            <v>7.6194858321960579</v>
          </cell>
          <cell r="AF160">
            <v>7.6194858321960579</v>
          </cell>
        </row>
        <row r="161">
          <cell r="A161" t="str">
            <v>Alaska</v>
          </cell>
          <cell r="B161">
            <v>9.8552666309514994</v>
          </cell>
          <cell r="C161">
            <v>9.8639538107232259</v>
          </cell>
          <cell r="D161">
            <v>9.9299079540191038</v>
          </cell>
          <cell r="E161">
            <v>9.9479214388172963</v>
          </cell>
          <cell r="F161">
            <v>9.932681724287356</v>
          </cell>
          <cell r="G161">
            <v>9.9165717118130825</v>
          </cell>
          <cell r="H161">
            <v>9.9170794664214359</v>
          </cell>
          <cell r="I161">
            <v>9.9140397652756178</v>
          </cell>
          <cell r="J161">
            <v>9.9276652912905803</v>
          </cell>
          <cell r="K161">
            <v>9.9375056089779186</v>
          </cell>
          <cell r="L161">
            <v>9.9203469923355527</v>
          </cell>
          <cell r="M161">
            <v>9.9133967220876098</v>
          </cell>
          <cell r="N161">
            <v>9.9224466629045249</v>
          </cell>
          <cell r="O161">
            <v>9.9514597216848557</v>
          </cell>
          <cell r="P161">
            <v>9.985733566092458</v>
          </cell>
          <cell r="Q161">
            <v>9.9931017835351419</v>
          </cell>
          <cell r="R161">
            <v>9.9946122405148117</v>
          </cell>
          <cell r="S161">
            <v>9.9896111396649125</v>
          </cell>
          <cell r="T161">
            <v>9.9896111396649125</v>
          </cell>
          <cell r="U161">
            <v>9.9896111396649125</v>
          </cell>
          <cell r="V161">
            <v>9.9896111396649125</v>
          </cell>
          <cell r="W161">
            <v>9.9896111396649125</v>
          </cell>
          <cell r="X161">
            <v>9.9896111396649125</v>
          </cell>
          <cell r="Y161">
            <v>9.9896111396649125</v>
          </cell>
          <cell r="Z161">
            <v>9.9896111396649125</v>
          </cell>
          <cell r="AA161">
            <v>9.9896111396649125</v>
          </cell>
          <cell r="AB161">
            <v>9.9896111396649125</v>
          </cell>
          <cell r="AC161">
            <v>9.9896111396649125</v>
          </cell>
          <cell r="AD161">
            <v>9.9896111396649125</v>
          </cell>
          <cell r="AE161">
            <v>9.9896111396649125</v>
          </cell>
          <cell r="AF161">
            <v>9.9896111396649125</v>
          </cell>
        </row>
        <row r="162">
          <cell r="A162" t="str">
            <v>Arizona</v>
          </cell>
          <cell r="B162">
            <v>9.8552666309515011</v>
          </cell>
          <cell r="C162">
            <v>9.8639538107232241</v>
          </cell>
          <cell r="D162">
            <v>9.9299079540191038</v>
          </cell>
          <cell r="E162">
            <v>9.9479214388172963</v>
          </cell>
          <cell r="F162">
            <v>9.9326817242873524</v>
          </cell>
          <cell r="G162">
            <v>9.9165717118130807</v>
          </cell>
          <cell r="H162">
            <v>9.9170794664214341</v>
          </cell>
          <cell r="I162">
            <v>9.9140397652756178</v>
          </cell>
          <cell r="J162">
            <v>9.9276652912905803</v>
          </cell>
          <cell r="K162">
            <v>9.9375056089779221</v>
          </cell>
          <cell r="L162">
            <v>9.9203469923355527</v>
          </cell>
          <cell r="M162">
            <v>9.9133967220876098</v>
          </cell>
          <cell r="N162">
            <v>9.9224466629045249</v>
          </cell>
          <cell r="O162">
            <v>9.9514597216848593</v>
          </cell>
          <cell r="P162">
            <v>9.985733566092458</v>
          </cell>
          <cell r="Q162">
            <v>9.9931017835351401</v>
          </cell>
          <cell r="R162">
            <v>9.9946122405148135</v>
          </cell>
          <cell r="S162">
            <v>9.9896111396649125</v>
          </cell>
          <cell r="T162">
            <v>9.9896111396649125</v>
          </cell>
          <cell r="U162">
            <v>9.9896111396649125</v>
          </cell>
          <cell r="V162">
            <v>9.9896111396649125</v>
          </cell>
          <cell r="W162">
            <v>9.9896111396649125</v>
          </cell>
          <cell r="X162">
            <v>9.9896111396649125</v>
          </cell>
          <cell r="Y162">
            <v>9.9896111396649125</v>
          </cell>
          <cell r="Z162">
            <v>9.9896111396649125</v>
          </cell>
          <cell r="AA162">
            <v>9.9896111396649125</v>
          </cell>
          <cell r="AB162">
            <v>9.9896111396649125</v>
          </cell>
          <cell r="AC162">
            <v>9.9896111396649125</v>
          </cell>
          <cell r="AD162">
            <v>9.9896111396649125</v>
          </cell>
          <cell r="AE162">
            <v>9.9896111396649125</v>
          </cell>
          <cell r="AF162">
            <v>9.9896111396649125</v>
          </cell>
        </row>
        <row r="163">
          <cell r="A163" t="str">
            <v>Arkansas</v>
          </cell>
          <cell r="B163">
            <v>7.505760285266887</v>
          </cell>
          <cell r="C163">
            <v>7.5118049691984785</v>
          </cell>
          <cell r="D163">
            <v>7.5571420838487873</v>
          </cell>
          <cell r="E163">
            <v>7.5693749718264574</v>
          </cell>
          <cell r="F163">
            <v>7.5579704696695664</v>
          </cell>
          <cell r="G163">
            <v>7.5460671619877324</v>
          </cell>
          <cell r="H163">
            <v>7.5459588525110535</v>
          </cell>
          <cell r="I163">
            <v>7.5439248791253739</v>
          </cell>
          <cell r="J163">
            <v>7.5531682892015892</v>
          </cell>
          <cell r="K163">
            <v>7.5606379144340865</v>
          </cell>
          <cell r="L163">
            <v>7.5495308361021385</v>
          </cell>
          <cell r="M163">
            <v>7.5444550266793522</v>
          </cell>
          <cell r="N163">
            <v>7.5507756118720071</v>
          </cell>
          <cell r="O163">
            <v>7.5697088575047369</v>
          </cell>
          <cell r="P163">
            <v>7.5936981131439731</v>
          </cell>
          <cell r="Q163">
            <v>7.5988059784332114</v>
          </cell>
          <cell r="R163">
            <v>7.5989648940512984</v>
          </cell>
          <cell r="S163">
            <v>7.5948446840757873</v>
          </cell>
          <cell r="T163">
            <v>7.5948446840757873</v>
          </cell>
          <cell r="U163">
            <v>7.5948446840757873</v>
          </cell>
          <cell r="V163">
            <v>7.5948446840757873</v>
          </cell>
          <cell r="W163">
            <v>7.5948446840757873</v>
          </cell>
          <cell r="X163">
            <v>7.5948446840757873</v>
          </cell>
          <cell r="Y163">
            <v>7.5948446840757873</v>
          </cell>
          <cell r="Z163">
            <v>7.5948446840757873</v>
          </cell>
          <cell r="AA163">
            <v>7.5948446840757873</v>
          </cell>
          <cell r="AB163">
            <v>7.5948446840757873</v>
          </cell>
          <cell r="AC163">
            <v>7.5948446840757873</v>
          </cell>
          <cell r="AD163">
            <v>7.5948446840757873</v>
          </cell>
          <cell r="AE163">
            <v>7.5948446840757873</v>
          </cell>
          <cell r="AF163">
            <v>7.5948446840757873</v>
          </cell>
        </row>
        <row r="164">
          <cell r="A164" t="str">
            <v>California</v>
          </cell>
          <cell r="B164">
            <v>7.3316743000621099</v>
          </cell>
          <cell r="C164">
            <v>7.3375397609931854</v>
          </cell>
          <cell r="D164">
            <v>7.3814911701544599</v>
          </cell>
          <cell r="E164">
            <v>7.3933388440080838</v>
          </cell>
          <cell r="F164">
            <v>7.3822126515681834</v>
          </cell>
          <cell r="G164">
            <v>7.3706104229974159</v>
          </cell>
          <cell r="H164">
            <v>7.3704708214623844</v>
          </cell>
          <cell r="I164">
            <v>7.3685032166773414</v>
          </cell>
          <cell r="J164">
            <v>7.3774548137316991</v>
          </cell>
          <cell r="K164">
            <v>7.38474950092907</v>
          </cell>
          <cell r="L164">
            <v>7.3740339448887227</v>
          </cell>
          <cell r="M164">
            <v>7.3690907155131473</v>
          </cell>
          <cell r="N164">
            <v>7.3752256527921611</v>
          </cell>
          <cell r="O164">
            <v>7.393503764038746</v>
          </cell>
          <cell r="P164">
            <v>7.416792280709422</v>
          </cell>
          <cell r="Q164">
            <v>7.4217472745304249</v>
          </cell>
          <cell r="R164">
            <v>7.421834799241176</v>
          </cell>
          <cell r="S164">
            <v>7.4177888882995626</v>
          </cell>
          <cell r="T164">
            <v>7.4177888882995626</v>
          </cell>
          <cell r="U164">
            <v>7.4177888882995626</v>
          </cell>
          <cell r="V164">
            <v>7.4177888882995626</v>
          </cell>
          <cell r="W164">
            <v>7.4177888882995626</v>
          </cell>
          <cell r="X164">
            <v>7.4177888882995626</v>
          </cell>
          <cell r="Y164">
            <v>7.4177888882995626</v>
          </cell>
          <cell r="Z164">
            <v>7.4177888882995626</v>
          </cell>
          <cell r="AA164">
            <v>7.4177888882995626</v>
          </cell>
          <cell r="AB164">
            <v>7.4177888882995626</v>
          </cell>
          <cell r="AC164">
            <v>7.4177888882995626</v>
          </cell>
          <cell r="AD164">
            <v>7.4177888882995626</v>
          </cell>
          <cell r="AE164">
            <v>7.4177888882995626</v>
          </cell>
          <cell r="AF164">
            <v>7.4177888882995626</v>
          </cell>
        </row>
        <row r="165">
          <cell r="A165" t="str">
            <v>Colorado</v>
          </cell>
          <cell r="B165">
            <v>6.8952192950818878</v>
          </cell>
          <cell r="C165">
            <v>6.9006450064278573</v>
          </cell>
          <cell r="D165">
            <v>6.9412043546711395</v>
          </cell>
          <cell r="E165">
            <v>6.952111175130824</v>
          </cell>
          <cell r="F165">
            <v>6.9416793506903032</v>
          </cell>
          <cell r="G165">
            <v>6.9308258249838293</v>
          </cell>
          <cell r="H165">
            <v>6.9306160727742236</v>
          </cell>
          <cell r="I165">
            <v>6.9288101483226923</v>
          </cell>
          <cell r="J165">
            <v>6.9370491498331734</v>
          </cell>
          <cell r="K165">
            <v>6.9439056609367471</v>
          </cell>
          <cell r="L165">
            <v>6.9341388112721685</v>
          </cell>
          <cell r="M165">
            <v>6.9295243283541508</v>
          </cell>
          <cell r="N165">
            <v>6.935203414325195</v>
          </cell>
          <cell r="O165">
            <v>6.9518920738380796</v>
          </cell>
          <cell r="P165">
            <v>6.9734592019502362</v>
          </cell>
          <cell r="Q165">
            <v>6.9780393772339542</v>
          </cell>
          <cell r="R165">
            <v>6.9779645446544185</v>
          </cell>
          <cell r="S165">
            <v>6.9741101329449435</v>
          </cell>
          <cell r="T165">
            <v>6.9741101329449435</v>
          </cell>
          <cell r="U165">
            <v>6.9741101329449435</v>
          </cell>
          <cell r="V165">
            <v>6.9741101329449435</v>
          </cell>
          <cell r="W165">
            <v>6.9741101329449435</v>
          </cell>
          <cell r="X165">
            <v>6.9741101329449435</v>
          </cell>
          <cell r="Y165">
            <v>6.9741101329449435</v>
          </cell>
          <cell r="Z165">
            <v>6.9741101329449435</v>
          </cell>
          <cell r="AA165">
            <v>6.9741101329449435</v>
          </cell>
          <cell r="AB165">
            <v>6.9741101329449435</v>
          </cell>
          <cell r="AC165">
            <v>6.9741101329449435</v>
          </cell>
          <cell r="AD165">
            <v>6.9741101329449435</v>
          </cell>
          <cell r="AE165">
            <v>6.9741101329449435</v>
          </cell>
          <cell r="AF165">
            <v>6.9741101329449435</v>
          </cell>
        </row>
        <row r="166">
          <cell r="A166" t="str">
            <v>Connecticut</v>
          </cell>
          <cell r="B166">
            <v>7.3967357295736651</v>
          </cell>
          <cell r="C166">
            <v>7.402667914401353</v>
          </cell>
          <cell r="D166">
            <v>7.4471350013371902</v>
          </cell>
          <cell r="E166">
            <v>7.459125972476329</v>
          </cell>
          <cell r="F166">
            <v>7.4478958579136174</v>
          </cell>
          <cell r="G166">
            <v>7.4361812714528526</v>
          </cell>
          <cell r="H166">
            <v>7.4360531417839386</v>
          </cell>
          <cell r="I166">
            <v>7.4340608595518782</v>
          </cell>
          <cell r="J166">
            <v>7.443121005672392</v>
          </cell>
          <cell r="K166">
            <v>7.4504810615893815</v>
          </cell>
          <cell r="L166">
            <v>7.4396200645354513</v>
          </cell>
          <cell r="M166">
            <v>7.4346273837800823</v>
          </cell>
          <cell r="N166">
            <v>7.4408314459787386</v>
          </cell>
          <cell r="O166">
            <v>7.4593529769251514</v>
          </cell>
          <cell r="P166">
            <v>7.4829024298385685</v>
          </cell>
          <cell r="Q166">
            <v>7.4879143296506232</v>
          </cell>
          <cell r="R166">
            <v>7.4880280888310509</v>
          </cell>
          <cell r="S166">
            <v>7.4839542697442738</v>
          </cell>
          <cell r="T166">
            <v>7.4839542697442738</v>
          </cell>
          <cell r="U166">
            <v>7.4839542697442738</v>
          </cell>
          <cell r="V166">
            <v>7.4839542697442738</v>
          </cell>
          <cell r="W166">
            <v>7.4839542697442738</v>
          </cell>
          <cell r="X166">
            <v>7.4839542697442738</v>
          </cell>
          <cell r="Y166">
            <v>7.4839542697442738</v>
          </cell>
          <cell r="Z166">
            <v>7.4839542697442738</v>
          </cell>
          <cell r="AA166">
            <v>7.4839542697442738</v>
          </cell>
          <cell r="AB166">
            <v>7.4839542697442738</v>
          </cell>
          <cell r="AC166">
            <v>7.4839542697442738</v>
          </cell>
          <cell r="AD166">
            <v>7.4839542697442738</v>
          </cell>
          <cell r="AE166">
            <v>7.4839542697442738</v>
          </cell>
          <cell r="AF166">
            <v>7.4839542697442738</v>
          </cell>
        </row>
        <row r="167">
          <cell r="A167" t="str">
            <v>Delaware</v>
          </cell>
          <cell r="B167">
            <v>7.3967357295736651</v>
          </cell>
          <cell r="C167">
            <v>7.402667914401353</v>
          </cell>
          <cell r="D167">
            <v>7.4471350013371902</v>
          </cell>
          <cell r="E167">
            <v>7.459125972476329</v>
          </cell>
          <cell r="F167">
            <v>7.4478958579136174</v>
          </cell>
          <cell r="G167">
            <v>7.4361812714528508</v>
          </cell>
          <cell r="H167">
            <v>7.4360531417839386</v>
          </cell>
          <cell r="I167">
            <v>7.4340608595518782</v>
          </cell>
          <cell r="J167">
            <v>7.443121005672392</v>
          </cell>
          <cell r="K167">
            <v>7.4504810615893815</v>
          </cell>
          <cell r="L167">
            <v>7.4396200645354496</v>
          </cell>
          <cell r="M167">
            <v>7.4346273837800823</v>
          </cell>
          <cell r="N167">
            <v>7.4408314459787386</v>
          </cell>
          <cell r="O167">
            <v>7.4593529769251514</v>
          </cell>
          <cell r="P167">
            <v>7.4829024298385685</v>
          </cell>
          <cell r="Q167">
            <v>7.4879143296506205</v>
          </cell>
          <cell r="R167">
            <v>7.48802808883105</v>
          </cell>
          <cell r="S167">
            <v>7.4839542697442738</v>
          </cell>
          <cell r="T167">
            <v>7.4839542697442738</v>
          </cell>
          <cell r="U167">
            <v>7.4839542697442738</v>
          </cell>
          <cell r="V167">
            <v>7.4839542697442738</v>
          </cell>
          <cell r="W167">
            <v>7.4839542697442738</v>
          </cell>
          <cell r="X167">
            <v>7.4839542697442738</v>
          </cell>
          <cell r="Y167">
            <v>7.4839542697442738</v>
          </cell>
          <cell r="Z167">
            <v>7.4839542697442738</v>
          </cell>
          <cell r="AA167">
            <v>7.4839542697442738</v>
          </cell>
          <cell r="AB167">
            <v>7.4839542697442738</v>
          </cell>
          <cell r="AC167">
            <v>7.4839542697442738</v>
          </cell>
          <cell r="AD167">
            <v>7.4839542697442738</v>
          </cell>
          <cell r="AE167">
            <v>7.4839542697442738</v>
          </cell>
          <cell r="AF167">
            <v>7.4839542697442738</v>
          </cell>
        </row>
        <row r="168">
          <cell r="A168" t="str">
            <v>Florida</v>
          </cell>
          <cell r="B168">
            <v>7.5299841462951917</v>
          </cell>
          <cell r="C168">
            <v>7.5360539434353173</v>
          </cell>
          <cell r="D168">
            <v>7.5815853719660549</v>
          </cell>
          <cell r="E168">
            <v>7.5938723159462391</v>
          </cell>
          <cell r="F168">
            <v>7.5824290256080333</v>
          </cell>
          <cell r="G168">
            <v>7.5704837113171877</v>
          </cell>
          <cell r="H168">
            <v>7.5703799072827014</v>
          </cell>
          <cell r="I168">
            <v>7.5683366129418586</v>
          </cell>
          <cell r="J168">
            <v>7.5776209747395624</v>
          </cell>
          <cell r="K168">
            <v>7.5851149499540416</v>
          </cell>
          <cell r="L168">
            <v>7.5739527928480275</v>
          </cell>
          <cell r="M168">
            <v>7.5688584686347058</v>
          </cell>
          <cell r="N168">
            <v>7.5752050611702302</v>
          </cell>
          <cell r="O168">
            <v>7.594230434059531</v>
          </cell>
          <cell r="P168">
            <v>7.6183178422682651</v>
          </cell>
          <cell r="Q168">
            <v>7.6234471333035412</v>
          </cell>
          <cell r="R168">
            <v>7.6236162856934415</v>
          </cell>
          <cell r="S168">
            <v>7.6194858321960561</v>
          </cell>
          <cell r="T168">
            <v>7.6194858321960561</v>
          </cell>
          <cell r="U168">
            <v>7.6194858321960561</v>
          </cell>
          <cell r="V168">
            <v>7.6194858321960561</v>
          </cell>
          <cell r="W168">
            <v>7.6194858321960561</v>
          </cell>
          <cell r="X168">
            <v>7.6194858321960561</v>
          </cell>
          <cell r="Y168">
            <v>7.6194858321960561</v>
          </cell>
          <cell r="Z168">
            <v>7.6194858321960561</v>
          </cell>
          <cell r="AA168">
            <v>7.6194858321960561</v>
          </cell>
          <cell r="AB168">
            <v>7.6194858321960561</v>
          </cell>
          <cell r="AC168">
            <v>7.6194858321960561</v>
          </cell>
          <cell r="AD168">
            <v>7.6194858321960561</v>
          </cell>
          <cell r="AE168">
            <v>7.6194858321960561</v>
          </cell>
          <cell r="AF168">
            <v>7.6194858321960561</v>
          </cell>
        </row>
        <row r="169">
          <cell r="A169" t="str">
            <v>Georgia</v>
          </cell>
          <cell r="B169">
            <v>7.5299841462951891</v>
          </cell>
          <cell r="C169">
            <v>7.5360539434353173</v>
          </cell>
          <cell r="D169">
            <v>7.5815853719660558</v>
          </cell>
          <cell r="E169">
            <v>7.5938723159462391</v>
          </cell>
          <cell r="F169">
            <v>7.5824290256080316</v>
          </cell>
          <cell r="G169">
            <v>7.5704837113171841</v>
          </cell>
          <cell r="H169">
            <v>7.5703799072827023</v>
          </cell>
          <cell r="I169">
            <v>7.5683366129418594</v>
          </cell>
          <cell r="J169">
            <v>7.5776209747395624</v>
          </cell>
          <cell r="K169">
            <v>7.5851149499540416</v>
          </cell>
          <cell r="L169">
            <v>7.5739527928480284</v>
          </cell>
          <cell r="M169">
            <v>7.5688584686347058</v>
          </cell>
          <cell r="N169">
            <v>7.575205061170232</v>
          </cell>
          <cell r="O169">
            <v>7.5942304340595284</v>
          </cell>
          <cell r="P169">
            <v>7.6183178422682669</v>
          </cell>
          <cell r="Q169">
            <v>7.6234471333035412</v>
          </cell>
          <cell r="R169">
            <v>7.6236162856934362</v>
          </cell>
          <cell r="S169">
            <v>7.6194858321960561</v>
          </cell>
          <cell r="T169">
            <v>7.6194858321960561</v>
          </cell>
          <cell r="U169">
            <v>7.6194858321960561</v>
          </cell>
          <cell r="V169">
            <v>7.6194858321960561</v>
          </cell>
          <cell r="W169">
            <v>7.6194858321960561</v>
          </cell>
          <cell r="X169">
            <v>7.6194858321960561</v>
          </cell>
          <cell r="Y169">
            <v>7.6194858321960561</v>
          </cell>
          <cell r="Z169">
            <v>7.6194858321960561</v>
          </cell>
          <cell r="AA169">
            <v>7.6194858321960561</v>
          </cell>
          <cell r="AB169">
            <v>7.6194858321960561</v>
          </cell>
          <cell r="AC169">
            <v>7.6194858321960561</v>
          </cell>
          <cell r="AD169">
            <v>7.6194858321960561</v>
          </cell>
          <cell r="AE169">
            <v>7.6194858321960561</v>
          </cell>
          <cell r="AF169">
            <v>7.6194858321960561</v>
          </cell>
        </row>
        <row r="170">
          <cell r="A170" t="str">
            <v>Hawaii</v>
          </cell>
          <cell r="B170">
            <v>9.8552666309514994</v>
          </cell>
          <cell r="C170">
            <v>9.8639538107232241</v>
          </cell>
          <cell r="D170">
            <v>9.9299079540191038</v>
          </cell>
          <cell r="E170">
            <v>9.9479214388172945</v>
          </cell>
          <cell r="F170">
            <v>9.9326817242873542</v>
          </cell>
          <cell r="G170">
            <v>9.9165717118130825</v>
          </cell>
          <cell r="H170">
            <v>9.9170794664214377</v>
          </cell>
          <cell r="I170">
            <v>9.9140397652756231</v>
          </cell>
          <cell r="J170">
            <v>9.9276652912905803</v>
          </cell>
          <cell r="K170">
            <v>9.9375056089779203</v>
          </cell>
          <cell r="L170">
            <v>9.920346992335551</v>
          </cell>
          <cell r="M170">
            <v>9.9133967220876098</v>
          </cell>
          <cell r="N170">
            <v>9.9224466629045249</v>
          </cell>
          <cell r="O170">
            <v>9.9514597216848575</v>
          </cell>
          <cell r="P170">
            <v>9.985733566092458</v>
          </cell>
          <cell r="Q170">
            <v>9.9931017835351401</v>
          </cell>
          <cell r="R170">
            <v>9.9946122405148135</v>
          </cell>
          <cell r="S170">
            <v>9.9896111396649108</v>
          </cell>
          <cell r="T170">
            <v>9.9896111396649108</v>
          </cell>
          <cell r="U170">
            <v>9.9896111396649108</v>
          </cell>
          <cell r="V170">
            <v>9.9896111396649108</v>
          </cell>
          <cell r="W170">
            <v>9.9896111396649108</v>
          </cell>
          <cell r="X170">
            <v>9.9896111396649108</v>
          </cell>
          <cell r="Y170">
            <v>9.9896111396649108</v>
          </cell>
          <cell r="Z170">
            <v>9.9896111396649108</v>
          </cell>
          <cell r="AA170">
            <v>9.9896111396649108</v>
          </cell>
          <cell r="AB170">
            <v>9.9896111396649108</v>
          </cell>
          <cell r="AC170">
            <v>9.9896111396649108</v>
          </cell>
          <cell r="AD170">
            <v>9.9896111396649108</v>
          </cell>
          <cell r="AE170">
            <v>9.9896111396649108</v>
          </cell>
          <cell r="AF170">
            <v>9.9896111396649108</v>
          </cell>
        </row>
        <row r="171">
          <cell r="A171" t="str">
            <v>Idaho</v>
          </cell>
          <cell r="B171">
            <v>9.8552666309514994</v>
          </cell>
          <cell r="C171">
            <v>9.8639538107232259</v>
          </cell>
          <cell r="D171">
            <v>9.9299079540191055</v>
          </cell>
          <cell r="E171">
            <v>9.9479214388172963</v>
          </cell>
          <cell r="F171">
            <v>9.9326817242873542</v>
          </cell>
          <cell r="G171">
            <v>9.9165717118130825</v>
          </cell>
          <cell r="H171">
            <v>9.9170794664214341</v>
          </cell>
          <cell r="I171">
            <v>9.9140397652756196</v>
          </cell>
          <cell r="J171">
            <v>9.9276652912905803</v>
          </cell>
          <cell r="K171">
            <v>9.9375056089779186</v>
          </cell>
          <cell r="L171">
            <v>9.920346992335551</v>
          </cell>
          <cell r="M171">
            <v>9.9133967220876116</v>
          </cell>
          <cell r="N171">
            <v>9.9224466629045267</v>
          </cell>
          <cell r="O171">
            <v>9.9514597216848575</v>
          </cell>
          <cell r="P171">
            <v>9.985733566092458</v>
          </cell>
          <cell r="Q171">
            <v>9.9931017835351401</v>
          </cell>
          <cell r="R171">
            <v>9.9946122405148099</v>
          </cell>
          <cell r="S171">
            <v>9.9896111396649108</v>
          </cell>
          <cell r="T171">
            <v>9.9896111396649108</v>
          </cell>
          <cell r="U171">
            <v>9.9896111396649108</v>
          </cell>
          <cell r="V171">
            <v>9.9896111396649108</v>
          </cell>
          <cell r="W171">
            <v>9.9896111396649108</v>
          </cell>
          <cell r="X171">
            <v>9.9896111396649108</v>
          </cell>
          <cell r="Y171">
            <v>9.9896111396649108</v>
          </cell>
          <cell r="Z171">
            <v>9.9896111396649108</v>
          </cell>
          <cell r="AA171">
            <v>9.9896111396649108</v>
          </cell>
          <cell r="AB171">
            <v>9.9896111396649108</v>
          </cell>
          <cell r="AC171">
            <v>9.9896111396649108</v>
          </cell>
          <cell r="AD171">
            <v>9.9896111396649108</v>
          </cell>
          <cell r="AE171">
            <v>9.9896111396649108</v>
          </cell>
          <cell r="AF171">
            <v>9.9896111396649108</v>
          </cell>
        </row>
        <row r="172">
          <cell r="A172" t="str">
            <v>Illinois</v>
          </cell>
          <cell r="B172">
            <v>7.3993307830569552</v>
          </cell>
          <cell r="C172">
            <v>7.4052656354765514</v>
          </cell>
          <cell r="D172">
            <v>7.4497533441804169</v>
          </cell>
          <cell r="E172">
            <v>7.4617500471035072</v>
          </cell>
          <cell r="F172">
            <v>7.4505157852794364</v>
          </cell>
          <cell r="G172">
            <v>7.4387967132988519</v>
          </cell>
          <cell r="H172">
            <v>7.4386690465947796</v>
          </cell>
          <cell r="I172">
            <v>7.4366757770094791</v>
          </cell>
          <cell r="J172">
            <v>7.4457402650983591</v>
          </cell>
          <cell r="K172">
            <v>7.4531029285952446</v>
          </cell>
          <cell r="L172">
            <v>7.442236109077502</v>
          </cell>
          <cell r="M172">
            <v>7.4372414535234466</v>
          </cell>
          <cell r="N172">
            <v>7.4434482790858203</v>
          </cell>
          <cell r="O172">
            <v>7.4619795535974953</v>
          </cell>
          <cell r="P172">
            <v>7.4855394373061417</v>
          </cell>
          <cell r="Q172">
            <v>7.4905536123731675</v>
          </cell>
          <cell r="R172">
            <v>7.4906684287537573</v>
          </cell>
          <cell r="S172">
            <v>7.48659349991099</v>
          </cell>
          <cell r="T172">
            <v>7.48659349991099</v>
          </cell>
          <cell r="U172">
            <v>7.48659349991099</v>
          </cell>
          <cell r="V172">
            <v>7.48659349991099</v>
          </cell>
          <cell r="W172">
            <v>7.48659349991099</v>
          </cell>
          <cell r="X172">
            <v>7.48659349991099</v>
          </cell>
          <cell r="Y172">
            <v>7.48659349991099</v>
          </cell>
          <cell r="Z172">
            <v>7.48659349991099</v>
          </cell>
          <cell r="AA172">
            <v>7.48659349991099</v>
          </cell>
          <cell r="AB172">
            <v>7.48659349991099</v>
          </cell>
          <cell r="AC172">
            <v>7.48659349991099</v>
          </cell>
          <cell r="AD172">
            <v>7.48659349991099</v>
          </cell>
          <cell r="AE172">
            <v>7.48659349991099</v>
          </cell>
          <cell r="AF172">
            <v>7.48659349991099</v>
          </cell>
        </row>
        <row r="173">
          <cell r="A173" t="str">
            <v>Indiana</v>
          </cell>
          <cell r="B173">
            <v>7.3993307830569552</v>
          </cell>
          <cell r="C173">
            <v>7.4052656354765531</v>
          </cell>
          <cell r="D173">
            <v>7.4497533441804187</v>
          </cell>
          <cell r="E173">
            <v>7.4617500471035054</v>
          </cell>
          <cell r="F173">
            <v>7.4505157852794346</v>
          </cell>
          <cell r="G173">
            <v>7.4387967132988511</v>
          </cell>
          <cell r="H173">
            <v>7.4386690465947813</v>
          </cell>
          <cell r="I173">
            <v>7.4366757770094791</v>
          </cell>
          <cell r="J173">
            <v>7.4457402650983617</v>
          </cell>
          <cell r="K173">
            <v>7.4531029285952473</v>
          </cell>
          <cell r="L173">
            <v>7.442236109077502</v>
          </cell>
          <cell r="M173">
            <v>7.4372414535234492</v>
          </cell>
          <cell r="N173">
            <v>7.4434482790858194</v>
          </cell>
          <cell r="O173">
            <v>7.4619795535974909</v>
          </cell>
          <cell r="P173">
            <v>7.4855394373061444</v>
          </cell>
          <cell r="Q173">
            <v>7.4905536123731657</v>
          </cell>
          <cell r="R173">
            <v>7.4906684287537537</v>
          </cell>
          <cell r="S173">
            <v>7.4865934999109909</v>
          </cell>
          <cell r="T173">
            <v>7.4865934999109909</v>
          </cell>
          <cell r="U173">
            <v>7.4865934999109909</v>
          </cell>
          <cell r="V173">
            <v>7.4865934999109909</v>
          </cell>
          <cell r="W173">
            <v>7.4865934999109909</v>
          </cell>
          <cell r="X173">
            <v>7.4865934999109909</v>
          </cell>
          <cell r="Y173">
            <v>7.4865934999109909</v>
          </cell>
          <cell r="Z173">
            <v>7.4865934999109909</v>
          </cell>
          <cell r="AA173">
            <v>7.4865934999109909</v>
          </cell>
          <cell r="AB173">
            <v>7.4865934999109909</v>
          </cell>
          <cell r="AC173">
            <v>7.4865934999109909</v>
          </cell>
          <cell r="AD173">
            <v>7.4865934999109909</v>
          </cell>
          <cell r="AE173">
            <v>7.4865934999109909</v>
          </cell>
          <cell r="AF173">
            <v>7.4865934999109909</v>
          </cell>
        </row>
        <row r="174">
          <cell r="A174" t="str">
            <v>Iowa</v>
          </cell>
          <cell r="B174">
            <v>7.3993307830569526</v>
          </cell>
          <cell r="C174">
            <v>7.4052656354765514</v>
          </cell>
          <cell r="D174">
            <v>7.4497533441804196</v>
          </cell>
          <cell r="E174">
            <v>7.4617500471035054</v>
          </cell>
          <cell r="F174">
            <v>7.4505157852794364</v>
          </cell>
          <cell r="G174">
            <v>7.4387967132988519</v>
          </cell>
          <cell r="H174">
            <v>7.4386690465947787</v>
          </cell>
          <cell r="I174">
            <v>7.4366757770094809</v>
          </cell>
          <cell r="J174">
            <v>7.4457402650983617</v>
          </cell>
          <cell r="K174">
            <v>7.4531029285952446</v>
          </cell>
          <cell r="L174">
            <v>7.4422361090775038</v>
          </cell>
          <cell r="M174">
            <v>7.4372414535234492</v>
          </cell>
          <cell r="N174">
            <v>7.4434482790858203</v>
          </cell>
          <cell r="O174">
            <v>7.4619795535974927</v>
          </cell>
          <cell r="P174">
            <v>7.4855394373061435</v>
          </cell>
          <cell r="Q174">
            <v>7.4905536123731657</v>
          </cell>
          <cell r="R174">
            <v>7.4906684287537573</v>
          </cell>
          <cell r="S174">
            <v>7.4865934999109909</v>
          </cell>
          <cell r="T174">
            <v>7.4865934999109909</v>
          </cell>
          <cell r="U174">
            <v>7.4865934999109909</v>
          </cell>
          <cell r="V174">
            <v>7.4865934999109909</v>
          </cell>
          <cell r="W174">
            <v>7.4865934999109909</v>
          </cell>
          <cell r="X174">
            <v>7.4865934999109909</v>
          </cell>
          <cell r="Y174">
            <v>7.4865934999109909</v>
          </cell>
          <cell r="Z174">
            <v>7.4865934999109909</v>
          </cell>
          <cell r="AA174">
            <v>7.4865934999109909</v>
          </cell>
          <cell r="AB174">
            <v>7.4865934999109909</v>
          </cell>
          <cell r="AC174">
            <v>7.4865934999109909</v>
          </cell>
          <cell r="AD174">
            <v>7.4865934999109909</v>
          </cell>
          <cell r="AE174">
            <v>7.4865934999109909</v>
          </cell>
          <cell r="AF174">
            <v>7.4865934999109909</v>
          </cell>
        </row>
        <row r="175">
          <cell r="A175" t="str">
            <v>Kansas</v>
          </cell>
          <cell r="B175">
            <v>6.8952192950818851</v>
          </cell>
          <cell r="C175">
            <v>6.9006450064278546</v>
          </cell>
          <cell r="D175">
            <v>6.9412043546711395</v>
          </cell>
          <cell r="E175">
            <v>6.952111175130824</v>
          </cell>
          <cell r="F175">
            <v>6.9416793506903023</v>
          </cell>
          <cell r="G175">
            <v>6.9308258249838284</v>
          </cell>
          <cell r="H175">
            <v>6.9306160727742254</v>
          </cell>
          <cell r="I175">
            <v>6.9288101483226932</v>
          </cell>
          <cell r="J175">
            <v>6.9370491498331734</v>
          </cell>
          <cell r="K175">
            <v>6.9439056609367471</v>
          </cell>
          <cell r="L175">
            <v>6.9341388112721676</v>
          </cell>
          <cell r="M175">
            <v>6.9295243283541526</v>
          </cell>
          <cell r="N175">
            <v>6.9352034143251959</v>
          </cell>
          <cell r="O175">
            <v>6.9518920738380778</v>
          </cell>
          <cell r="P175">
            <v>6.9734592019502362</v>
          </cell>
          <cell r="Q175">
            <v>6.9780393772339533</v>
          </cell>
          <cell r="R175">
            <v>6.9779645446544176</v>
          </cell>
          <cell r="S175">
            <v>6.9741101329449435</v>
          </cell>
          <cell r="T175">
            <v>6.9741101329449435</v>
          </cell>
          <cell r="U175">
            <v>6.9741101329449435</v>
          </cell>
          <cell r="V175">
            <v>6.9741101329449435</v>
          </cell>
          <cell r="W175">
            <v>6.9741101329449435</v>
          </cell>
          <cell r="X175">
            <v>6.9741101329449435</v>
          </cell>
          <cell r="Y175">
            <v>6.9741101329449435</v>
          </cell>
          <cell r="Z175">
            <v>6.9741101329449435</v>
          </cell>
          <cell r="AA175">
            <v>6.9741101329449435</v>
          </cell>
          <cell r="AB175">
            <v>6.9741101329449435</v>
          </cell>
          <cell r="AC175">
            <v>6.9741101329449435</v>
          </cell>
          <cell r="AD175">
            <v>6.9741101329449435</v>
          </cell>
          <cell r="AE175">
            <v>6.9741101329449435</v>
          </cell>
          <cell r="AF175">
            <v>6.9741101329449435</v>
          </cell>
        </row>
        <row r="176">
          <cell r="A176" t="str">
            <v>Kentucky</v>
          </cell>
          <cell r="B176">
            <v>7.5299841462951873</v>
          </cell>
          <cell r="C176">
            <v>7.5360539434353173</v>
          </cell>
          <cell r="D176">
            <v>7.5815853719660575</v>
          </cell>
          <cell r="E176">
            <v>7.5938723159462409</v>
          </cell>
          <cell r="F176">
            <v>7.5824290256080316</v>
          </cell>
          <cell r="G176">
            <v>7.570483711317185</v>
          </cell>
          <cell r="H176">
            <v>7.5703799072827014</v>
          </cell>
          <cell r="I176">
            <v>7.5683366129418559</v>
          </cell>
          <cell r="J176">
            <v>7.5776209747395624</v>
          </cell>
          <cell r="K176">
            <v>7.5851149499540425</v>
          </cell>
          <cell r="L176">
            <v>7.5739527928480275</v>
          </cell>
          <cell r="M176">
            <v>7.5688584686347058</v>
          </cell>
          <cell r="N176">
            <v>7.5752050611702293</v>
          </cell>
          <cell r="O176">
            <v>7.5942304340595284</v>
          </cell>
          <cell r="P176">
            <v>7.6183178422682669</v>
          </cell>
          <cell r="Q176">
            <v>7.6234471333035421</v>
          </cell>
          <cell r="R176">
            <v>7.6236162856934389</v>
          </cell>
          <cell r="S176">
            <v>7.6194858321960561</v>
          </cell>
          <cell r="T176">
            <v>7.6194858321960561</v>
          </cell>
          <cell r="U176">
            <v>7.6194858321960561</v>
          </cell>
          <cell r="V176">
            <v>7.6194858321960561</v>
          </cell>
          <cell r="W176">
            <v>7.6194858321960561</v>
          </cell>
          <cell r="X176">
            <v>7.6194858321960561</v>
          </cell>
          <cell r="Y176">
            <v>7.6194858321960561</v>
          </cell>
          <cell r="Z176">
            <v>7.6194858321960561</v>
          </cell>
          <cell r="AA176">
            <v>7.6194858321960561</v>
          </cell>
          <cell r="AB176">
            <v>7.6194858321960561</v>
          </cell>
          <cell r="AC176">
            <v>7.6194858321960561</v>
          </cell>
          <cell r="AD176">
            <v>7.6194858321960561</v>
          </cell>
          <cell r="AE176">
            <v>7.6194858321960561</v>
          </cell>
          <cell r="AF176">
            <v>7.6194858321960561</v>
          </cell>
        </row>
        <row r="177">
          <cell r="A177" t="str">
            <v>Louisiana</v>
          </cell>
          <cell r="B177">
            <v>7.5057602852668861</v>
          </cell>
          <cell r="C177">
            <v>7.5118049691984803</v>
          </cell>
          <cell r="D177">
            <v>7.5571420838487855</v>
          </cell>
          <cell r="E177">
            <v>7.5693749718264582</v>
          </cell>
          <cell r="F177">
            <v>7.5579704696695664</v>
          </cell>
          <cell r="G177">
            <v>7.5460671619877306</v>
          </cell>
          <cell r="H177">
            <v>7.5459588525110526</v>
          </cell>
          <cell r="I177">
            <v>7.5439248791253739</v>
          </cell>
          <cell r="J177">
            <v>7.5531682892015874</v>
          </cell>
          <cell r="K177">
            <v>7.5606379144340865</v>
          </cell>
          <cell r="L177">
            <v>7.5495308361021385</v>
          </cell>
          <cell r="M177">
            <v>7.5444550266793504</v>
          </cell>
          <cell r="N177">
            <v>7.5507756118720115</v>
          </cell>
          <cell r="O177">
            <v>7.5697088575047387</v>
          </cell>
          <cell r="P177">
            <v>7.5936981131439731</v>
          </cell>
          <cell r="Q177">
            <v>7.5988059784332087</v>
          </cell>
          <cell r="R177">
            <v>7.5989648940512957</v>
          </cell>
          <cell r="S177">
            <v>7.5948446840757917</v>
          </cell>
          <cell r="T177">
            <v>7.5948446840757917</v>
          </cell>
          <cell r="U177">
            <v>7.5948446840757917</v>
          </cell>
          <cell r="V177">
            <v>7.5948446840757917</v>
          </cell>
          <cell r="W177">
            <v>7.5948446840757917</v>
          </cell>
          <cell r="X177">
            <v>7.5948446840757917</v>
          </cell>
          <cell r="Y177">
            <v>7.5948446840757917</v>
          </cell>
          <cell r="Z177">
            <v>7.5948446840757917</v>
          </cell>
          <cell r="AA177">
            <v>7.5948446840757917</v>
          </cell>
          <cell r="AB177">
            <v>7.5948446840757917</v>
          </cell>
          <cell r="AC177">
            <v>7.5948446840757917</v>
          </cell>
          <cell r="AD177">
            <v>7.5948446840757917</v>
          </cell>
          <cell r="AE177">
            <v>7.5948446840757917</v>
          </cell>
          <cell r="AF177">
            <v>7.5948446840757917</v>
          </cell>
        </row>
        <row r="178">
          <cell r="A178" t="str">
            <v>Maine</v>
          </cell>
          <cell r="B178">
            <v>7.3967357295736651</v>
          </cell>
          <cell r="C178">
            <v>7.4026679144013539</v>
          </cell>
          <cell r="D178">
            <v>7.4471350013371902</v>
          </cell>
          <cell r="E178">
            <v>7.4591259724763272</v>
          </cell>
          <cell r="F178">
            <v>7.447895857913613</v>
          </cell>
          <cell r="G178">
            <v>7.4361812714528526</v>
          </cell>
          <cell r="H178">
            <v>7.4360531417839377</v>
          </cell>
          <cell r="I178">
            <v>7.4340608595518773</v>
          </cell>
          <cell r="J178">
            <v>7.4431210056723938</v>
          </cell>
          <cell r="K178">
            <v>7.4504810615893824</v>
          </cell>
          <cell r="L178">
            <v>7.4396200645354513</v>
          </cell>
          <cell r="M178">
            <v>7.4346273837800805</v>
          </cell>
          <cell r="N178">
            <v>7.4408314459787386</v>
          </cell>
          <cell r="O178">
            <v>7.4593529769251532</v>
          </cell>
          <cell r="P178">
            <v>7.4829024298385685</v>
          </cell>
          <cell r="Q178">
            <v>7.4879143296506214</v>
          </cell>
          <cell r="R178">
            <v>7.4880280888310482</v>
          </cell>
          <cell r="S178">
            <v>7.4839542697442738</v>
          </cell>
          <cell r="T178">
            <v>7.4839542697442738</v>
          </cell>
          <cell r="U178">
            <v>7.4839542697442738</v>
          </cell>
          <cell r="V178">
            <v>7.4839542697442738</v>
          </cell>
          <cell r="W178">
            <v>7.4839542697442738</v>
          </cell>
          <cell r="X178">
            <v>7.4839542697442738</v>
          </cell>
          <cell r="Y178">
            <v>7.4839542697442738</v>
          </cell>
          <cell r="Z178">
            <v>7.4839542697442738</v>
          </cell>
          <cell r="AA178">
            <v>7.4839542697442738</v>
          </cell>
          <cell r="AB178">
            <v>7.4839542697442738</v>
          </cell>
          <cell r="AC178">
            <v>7.4839542697442738</v>
          </cell>
          <cell r="AD178">
            <v>7.4839542697442738</v>
          </cell>
          <cell r="AE178">
            <v>7.4839542697442738</v>
          </cell>
          <cell r="AF178">
            <v>7.4839542697442738</v>
          </cell>
        </row>
        <row r="179">
          <cell r="A179" t="str">
            <v>Maryland</v>
          </cell>
          <cell r="B179">
            <v>7.396735729573666</v>
          </cell>
          <cell r="C179">
            <v>7.402667914401353</v>
          </cell>
          <cell r="D179">
            <v>7.4471350013371902</v>
          </cell>
          <cell r="E179">
            <v>7.459125972476329</v>
          </cell>
          <cell r="F179">
            <v>7.4478958579136174</v>
          </cell>
          <cell r="G179">
            <v>7.4361812714528508</v>
          </cell>
          <cell r="H179">
            <v>7.4360531417839377</v>
          </cell>
          <cell r="I179">
            <v>7.4340608595518782</v>
          </cell>
          <cell r="J179">
            <v>7.4431210056723938</v>
          </cell>
          <cell r="K179">
            <v>7.4504810615893824</v>
          </cell>
          <cell r="L179">
            <v>7.4396200645354496</v>
          </cell>
          <cell r="M179">
            <v>7.4346273837800805</v>
          </cell>
          <cell r="N179">
            <v>7.4408314459787386</v>
          </cell>
          <cell r="O179">
            <v>7.4593529769251523</v>
          </cell>
          <cell r="P179">
            <v>7.4829024298385693</v>
          </cell>
          <cell r="Q179">
            <v>7.4879143296506232</v>
          </cell>
          <cell r="R179">
            <v>7.48802808883105</v>
          </cell>
          <cell r="S179">
            <v>7.4839542697442738</v>
          </cell>
          <cell r="T179">
            <v>7.4839542697442738</v>
          </cell>
          <cell r="U179">
            <v>7.4839542697442738</v>
          </cell>
          <cell r="V179">
            <v>7.4839542697442738</v>
          </cell>
          <cell r="W179">
            <v>7.4839542697442738</v>
          </cell>
          <cell r="X179">
            <v>7.4839542697442738</v>
          </cell>
          <cell r="Y179">
            <v>7.4839542697442738</v>
          </cell>
          <cell r="Z179">
            <v>7.4839542697442738</v>
          </cell>
          <cell r="AA179">
            <v>7.4839542697442738</v>
          </cell>
          <cell r="AB179">
            <v>7.4839542697442738</v>
          </cell>
          <cell r="AC179">
            <v>7.4839542697442738</v>
          </cell>
          <cell r="AD179">
            <v>7.4839542697442738</v>
          </cell>
          <cell r="AE179">
            <v>7.4839542697442738</v>
          </cell>
          <cell r="AF179">
            <v>7.4839542697442738</v>
          </cell>
        </row>
        <row r="180">
          <cell r="A180" t="str">
            <v>Massachusetts</v>
          </cell>
          <cell r="B180">
            <v>7.3967357295736651</v>
          </cell>
          <cell r="C180">
            <v>7.402667914401353</v>
          </cell>
          <cell r="D180">
            <v>7.4471350013371902</v>
          </cell>
          <cell r="E180">
            <v>7.4591259724763272</v>
          </cell>
          <cell r="F180">
            <v>7.4478958579136139</v>
          </cell>
          <cell r="G180">
            <v>7.4361812714528526</v>
          </cell>
          <cell r="H180">
            <v>7.4360531417839377</v>
          </cell>
          <cell r="I180">
            <v>7.4340608595518782</v>
          </cell>
          <cell r="J180">
            <v>7.443121005672392</v>
          </cell>
          <cell r="K180">
            <v>7.4504810615893842</v>
          </cell>
          <cell r="L180">
            <v>7.4396200645354513</v>
          </cell>
          <cell r="M180">
            <v>7.4346273837800823</v>
          </cell>
          <cell r="N180">
            <v>7.4408314459787386</v>
          </cell>
          <cell r="O180">
            <v>7.4593529769251514</v>
          </cell>
          <cell r="P180">
            <v>7.4829024298385685</v>
          </cell>
          <cell r="Q180">
            <v>7.4879143296506232</v>
          </cell>
          <cell r="R180">
            <v>7.4880280888310482</v>
          </cell>
          <cell r="S180">
            <v>7.4839542697442738</v>
          </cell>
          <cell r="T180">
            <v>7.4839542697442738</v>
          </cell>
          <cell r="U180">
            <v>7.4839542697442738</v>
          </cell>
          <cell r="V180">
            <v>7.4839542697442738</v>
          </cell>
          <cell r="W180">
            <v>7.4839542697442738</v>
          </cell>
          <cell r="X180">
            <v>7.4839542697442738</v>
          </cell>
          <cell r="Y180">
            <v>7.4839542697442738</v>
          </cell>
          <cell r="Z180">
            <v>7.4839542697442738</v>
          </cell>
          <cell r="AA180">
            <v>7.4839542697442738</v>
          </cell>
          <cell r="AB180">
            <v>7.4839542697442738</v>
          </cell>
          <cell r="AC180">
            <v>7.4839542697442738</v>
          </cell>
          <cell r="AD180">
            <v>7.4839542697442738</v>
          </cell>
          <cell r="AE180">
            <v>7.4839542697442738</v>
          </cell>
          <cell r="AF180">
            <v>7.4839542697442738</v>
          </cell>
        </row>
        <row r="181">
          <cell r="A181" t="str">
            <v>Michigan</v>
          </cell>
          <cell r="B181">
            <v>7.3993307830569544</v>
          </cell>
          <cell r="C181">
            <v>7.4052656354765514</v>
          </cell>
          <cell r="D181">
            <v>7.4497533441804187</v>
          </cell>
          <cell r="E181">
            <v>7.4617500471035072</v>
          </cell>
          <cell r="F181">
            <v>7.4505157852794346</v>
          </cell>
          <cell r="G181">
            <v>7.4387967132988519</v>
          </cell>
          <cell r="H181">
            <v>7.4386690465947796</v>
          </cell>
          <cell r="I181">
            <v>7.4366757770094774</v>
          </cell>
          <cell r="J181">
            <v>7.4457402650983591</v>
          </cell>
          <cell r="K181">
            <v>7.4531029285952446</v>
          </cell>
          <cell r="L181">
            <v>7.4422361090775038</v>
          </cell>
          <cell r="M181">
            <v>7.4372414535234483</v>
          </cell>
          <cell r="N181">
            <v>7.4434482790858203</v>
          </cell>
          <cell r="O181">
            <v>7.4619795535974935</v>
          </cell>
          <cell r="P181">
            <v>7.4855394373061444</v>
          </cell>
          <cell r="Q181">
            <v>7.4905536123731684</v>
          </cell>
          <cell r="R181">
            <v>7.4906684287537537</v>
          </cell>
          <cell r="S181">
            <v>7.4865934999109909</v>
          </cell>
          <cell r="T181">
            <v>7.4865934999109909</v>
          </cell>
          <cell r="U181">
            <v>7.4865934999109909</v>
          </cell>
          <cell r="V181">
            <v>7.4865934999109909</v>
          </cell>
          <cell r="W181">
            <v>7.4865934999109909</v>
          </cell>
          <cell r="X181">
            <v>7.4865934999109909</v>
          </cell>
          <cell r="Y181">
            <v>7.4865934999109909</v>
          </cell>
          <cell r="Z181">
            <v>7.4865934999109909</v>
          </cell>
          <cell r="AA181">
            <v>7.4865934999109909</v>
          </cell>
          <cell r="AB181">
            <v>7.4865934999109909</v>
          </cell>
          <cell r="AC181">
            <v>7.4865934999109909</v>
          </cell>
          <cell r="AD181">
            <v>7.4865934999109909</v>
          </cell>
          <cell r="AE181">
            <v>7.4865934999109909</v>
          </cell>
          <cell r="AF181">
            <v>7.4865934999109909</v>
          </cell>
        </row>
        <row r="182">
          <cell r="A182" t="str">
            <v>Minnesota</v>
          </cell>
          <cell r="B182">
            <v>7.3993307830569544</v>
          </cell>
          <cell r="C182">
            <v>7.4052656354765514</v>
          </cell>
          <cell r="D182">
            <v>7.4497533441804205</v>
          </cell>
          <cell r="E182">
            <v>7.4617500471035072</v>
          </cell>
          <cell r="F182">
            <v>7.4505157852794364</v>
          </cell>
          <cell r="G182">
            <v>7.4387967132988511</v>
          </cell>
          <cell r="H182">
            <v>7.4386690465947769</v>
          </cell>
          <cell r="I182">
            <v>7.4366757770094809</v>
          </cell>
          <cell r="J182">
            <v>7.4457402650983608</v>
          </cell>
          <cell r="K182">
            <v>7.4531029285952473</v>
          </cell>
          <cell r="L182">
            <v>7.4422361090775038</v>
          </cell>
          <cell r="M182">
            <v>7.4372414535234492</v>
          </cell>
          <cell r="N182">
            <v>7.4434482790858176</v>
          </cell>
          <cell r="O182">
            <v>7.4619795535974927</v>
          </cell>
          <cell r="P182">
            <v>7.4855394373061435</v>
          </cell>
          <cell r="Q182">
            <v>7.4905536123731675</v>
          </cell>
          <cell r="R182">
            <v>7.4906684287537528</v>
          </cell>
          <cell r="S182">
            <v>7.4865934999109909</v>
          </cell>
          <cell r="T182">
            <v>7.4865934999109909</v>
          </cell>
          <cell r="U182">
            <v>7.4865934999109909</v>
          </cell>
          <cell r="V182">
            <v>7.4865934999109909</v>
          </cell>
          <cell r="W182">
            <v>7.4865934999109909</v>
          </cell>
          <cell r="X182">
            <v>7.4865934999109909</v>
          </cell>
          <cell r="Y182">
            <v>7.4865934999109909</v>
          </cell>
          <cell r="Z182">
            <v>7.4865934999109909</v>
          </cell>
          <cell r="AA182">
            <v>7.4865934999109909</v>
          </cell>
          <cell r="AB182">
            <v>7.4865934999109909</v>
          </cell>
          <cell r="AC182">
            <v>7.4865934999109909</v>
          </cell>
          <cell r="AD182">
            <v>7.4865934999109909</v>
          </cell>
          <cell r="AE182">
            <v>7.4865934999109909</v>
          </cell>
          <cell r="AF182">
            <v>7.4865934999109909</v>
          </cell>
        </row>
        <row r="183">
          <cell r="A183" t="str">
            <v>Mississippi</v>
          </cell>
          <cell r="B183">
            <v>7.5299841462951891</v>
          </cell>
          <cell r="C183">
            <v>7.5360539434353182</v>
          </cell>
          <cell r="D183">
            <v>7.5815853719660549</v>
          </cell>
          <cell r="E183">
            <v>7.5938723159462391</v>
          </cell>
          <cell r="F183">
            <v>7.5824290256080316</v>
          </cell>
          <cell r="G183">
            <v>7.5704837113171868</v>
          </cell>
          <cell r="H183">
            <v>7.5703799072827032</v>
          </cell>
          <cell r="I183">
            <v>7.5683366129418568</v>
          </cell>
          <cell r="J183">
            <v>7.5776209747395642</v>
          </cell>
          <cell r="K183">
            <v>7.5851149499540416</v>
          </cell>
          <cell r="L183">
            <v>7.5739527928480301</v>
          </cell>
          <cell r="M183">
            <v>7.568858468634704</v>
          </cell>
          <cell r="N183">
            <v>7.575205061170232</v>
          </cell>
          <cell r="O183">
            <v>7.5942304340595284</v>
          </cell>
          <cell r="P183">
            <v>7.6183178422682669</v>
          </cell>
          <cell r="Q183">
            <v>7.623447133303543</v>
          </cell>
          <cell r="R183">
            <v>7.6236162856934389</v>
          </cell>
          <cell r="S183">
            <v>7.6194858321960561</v>
          </cell>
          <cell r="T183">
            <v>7.6194858321960561</v>
          </cell>
          <cell r="U183">
            <v>7.6194858321960561</v>
          </cell>
          <cell r="V183">
            <v>7.6194858321960561</v>
          </cell>
          <cell r="W183">
            <v>7.6194858321960561</v>
          </cell>
          <cell r="X183">
            <v>7.6194858321960561</v>
          </cell>
          <cell r="Y183">
            <v>7.6194858321960561</v>
          </cell>
          <cell r="Z183">
            <v>7.6194858321960561</v>
          </cell>
          <cell r="AA183">
            <v>7.6194858321960561</v>
          </cell>
          <cell r="AB183">
            <v>7.6194858321960561</v>
          </cell>
          <cell r="AC183">
            <v>7.6194858321960561</v>
          </cell>
          <cell r="AD183">
            <v>7.6194858321960561</v>
          </cell>
          <cell r="AE183">
            <v>7.6194858321960561</v>
          </cell>
          <cell r="AF183">
            <v>7.6194858321960561</v>
          </cell>
        </row>
        <row r="184">
          <cell r="A184" t="str">
            <v>Missouri</v>
          </cell>
          <cell r="B184">
            <v>7.3993307830569526</v>
          </cell>
          <cell r="C184">
            <v>7.4052656354765514</v>
          </cell>
          <cell r="D184">
            <v>7.4497533441804196</v>
          </cell>
          <cell r="E184">
            <v>7.4617500471035072</v>
          </cell>
          <cell r="F184">
            <v>7.4505157852794364</v>
          </cell>
          <cell r="G184">
            <v>7.4387967132988511</v>
          </cell>
          <cell r="H184">
            <v>7.4386690465947796</v>
          </cell>
          <cell r="I184">
            <v>7.4366757770094818</v>
          </cell>
          <cell r="J184">
            <v>7.4457402650983591</v>
          </cell>
          <cell r="K184">
            <v>7.4531029285952437</v>
          </cell>
          <cell r="L184">
            <v>7.442236109077502</v>
          </cell>
          <cell r="M184">
            <v>7.4372414535234457</v>
          </cell>
          <cell r="N184">
            <v>7.4434482790858203</v>
          </cell>
          <cell r="O184">
            <v>7.4619795535974909</v>
          </cell>
          <cell r="P184">
            <v>7.4855394373061444</v>
          </cell>
          <cell r="Q184">
            <v>7.4905536123731657</v>
          </cell>
          <cell r="R184">
            <v>7.4906684287537537</v>
          </cell>
          <cell r="S184">
            <v>7.4865934999109909</v>
          </cell>
          <cell r="T184">
            <v>7.4865934999109909</v>
          </cell>
          <cell r="U184">
            <v>7.4865934999109909</v>
          </cell>
          <cell r="V184">
            <v>7.4865934999109909</v>
          </cell>
          <cell r="W184">
            <v>7.4865934999109909</v>
          </cell>
          <cell r="X184">
            <v>7.4865934999109909</v>
          </cell>
          <cell r="Y184">
            <v>7.4865934999109909</v>
          </cell>
          <cell r="Z184">
            <v>7.4865934999109909</v>
          </cell>
          <cell r="AA184">
            <v>7.4865934999109909</v>
          </cell>
          <cell r="AB184">
            <v>7.4865934999109909</v>
          </cell>
          <cell r="AC184">
            <v>7.4865934999109909</v>
          </cell>
          <cell r="AD184">
            <v>7.4865934999109909</v>
          </cell>
          <cell r="AE184">
            <v>7.4865934999109909</v>
          </cell>
          <cell r="AF184">
            <v>7.4865934999109909</v>
          </cell>
        </row>
        <row r="185">
          <cell r="A185" t="str">
            <v>Montana</v>
          </cell>
          <cell r="B185">
            <v>6.8952192950818869</v>
          </cell>
          <cell r="C185">
            <v>6.9006450064278546</v>
          </cell>
          <cell r="D185">
            <v>6.9412043546711395</v>
          </cell>
          <cell r="E185">
            <v>6.952111175130824</v>
          </cell>
          <cell r="F185">
            <v>6.9416793506903023</v>
          </cell>
          <cell r="G185">
            <v>6.9308258249838293</v>
          </cell>
          <cell r="H185">
            <v>6.9306160727742236</v>
          </cell>
          <cell r="I185">
            <v>6.9288101483226949</v>
          </cell>
          <cell r="J185">
            <v>6.9370491498331752</v>
          </cell>
          <cell r="K185">
            <v>6.9439056609367498</v>
          </cell>
          <cell r="L185">
            <v>6.9341388112721685</v>
          </cell>
          <cell r="M185">
            <v>6.9295243283541526</v>
          </cell>
          <cell r="N185">
            <v>6.935203414325195</v>
          </cell>
          <cell r="O185">
            <v>6.9518920738380778</v>
          </cell>
          <cell r="P185">
            <v>6.9734592019502362</v>
          </cell>
          <cell r="Q185">
            <v>6.978039377233956</v>
          </cell>
          <cell r="R185">
            <v>6.9779645446544158</v>
          </cell>
          <cell r="S185">
            <v>6.9741101329449435</v>
          </cell>
          <cell r="T185">
            <v>6.9741101329449435</v>
          </cell>
          <cell r="U185">
            <v>6.9741101329449435</v>
          </cell>
          <cell r="V185">
            <v>6.9741101329449435</v>
          </cell>
          <cell r="W185">
            <v>6.9741101329449435</v>
          </cell>
          <cell r="X185">
            <v>6.9741101329449435</v>
          </cell>
          <cell r="Y185">
            <v>6.9741101329449435</v>
          </cell>
          <cell r="Z185">
            <v>6.9741101329449435</v>
          </cell>
          <cell r="AA185">
            <v>6.9741101329449435</v>
          </cell>
          <cell r="AB185">
            <v>6.9741101329449435</v>
          </cell>
          <cell r="AC185">
            <v>6.9741101329449435</v>
          </cell>
          <cell r="AD185">
            <v>6.9741101329449435</v>
          </cell>
          <cell r="AE185">
            <v>6.9741101329449435</v>
          </cell>
          <cell r="AF185">
            <v>6.9741101329449435</v>
          </cell>
        </row>
        <row r="186">
          <cell r="A186" t="str">
            <v>Nebraska</v>
          </cell>
          <cell r="B186">
            <v>6.8952192950818878</v>
          </cell>
          <cell r="C186">
            <v>6.9006450064278564</v>
          </cell>
          <cell r="D186">
            <v>6.9412043546711395</v>
          </cell>
          <cell r="E186">
            <v>6.952111175130824</v>
          </cell>
          <cell r="F186">
            <v>6.9416793506903023</v>
          </cell>
          <cell r="G186">
            <v>6.9308258249838293</v>
          </cell>
          <cell r="H186">
            <v>6.9306160727742263</v>
          </cell>
          <cell r="I186">
            <v>6.9288101483226932</v>
          </cell>
          <cell r="J186">
            <v>6.9370491498331734</v>
          </cell>
          <cell r="K186">
            <v>6.9439056609367507</v>
          </cell>
          <cell r="L186">
            <v>6.9341388112721685</v>
          </cell>
          <cell r="M186">
            <v>6.9295243283541526</v>
          </cell>
          <cell r="N186">
            <v>6.935203414325195</v>
          </cell>
          <cell r="O186">
            <v>6.9518920738380796</v>
          </cell>
          <cell r="P186">
            <v>6.9734592019502362</v>
          </cell>
          <cell r="Q186">
            <v>6.9780393772339542</v>
          </cell>
          <cell r="R186">
            <v>6.9779645446544185</v>
          </cell>
          <cell r="S186">
            <v>6.9741101329449435</v>
          </cell>
          <cell r="T186">
            <v>6.9741101329449435</v>
          </cell>
          <cell r="U186">
            <v>6.9741101329449435</v>
          </cell>
          <cell r="V186">
            <v>6.9741101329449435</v>
          </cell>
          <cell r="W186">
            <v>6.9741101329449435</v>
          </cell>
          <cell r="X186">
            <v>6.9741101329449435</v>
          </cell>
          <cell r="Y186">
            <v>6.9741101329449435</v>
          </cell>
          <cell r="Z186">
            <v>6.9741101329449435</v>
          </cell>
          <cell r="AA186">
            <v>6.9741101329449435</v>
          </cell>
          <cell r="AB186">
            <v>6.9741101329449435</v>
          </cell>
          <cell r="AC186">
            <v>6.9741101329449435</v>
          </cell>
          <cell r="AD186">
            <v>6.9741101329449435</v>
          </cell>
          <cell r="AE186">
            <v>6.9741101329449435</v>
          </cell>
          <cell r="AF186">
            <v>6.9741101329449435</v>
          </cell>
        </row>
        <row r="187">
          <cell r="A187" t="str">
            <v>Nevada</v>
          </cell>
          <cell r="B187">
            <v>9.8552666309514994</v>
          </cell>
          <cell r="C187">
            <v>9.8639538107232241</v>
          </cell>
          <cell r="D187">
            <v>9.9299079540191038</v>
          </cell>
          <cell r="E187">
            <v>9.9479214388172963</v>
          </cell>
          <cell r="F187">
            <v>9.9326817242873524</v>
          </cell>
          <cell r="G187">
            <v>9.9165717118130843</v>
          </cell>
          <cell r="H187">
            <v>9.9170794664214394</v>
          </cell>
          <cell r="I187">
            <v>9.9140397652756196</v>
          </cell>
          <cell r="J187">
            <v>9.9276652912905803</v>
          </cell>
          <cell r="K187">
            <v>9.9375056089779186</v>
          </cell>
          <cell r="L187">
            <v>9.9203469923355527</v>
          </cell>
          <cell r="M187">
            <v>9.9133967220876098</v>
          </cell>
          <cell r="N187">
            <v>9.9224466629045285</v>
          </cell>
          <cell r="O187">
            <v>9.9514597216848575</v>
          </cell>
          <cell r="P187">
            <v>9.985733566092458</v>
          </cell>
          <cell r="Q187">
            <v>9.9931017835351401</v>
          </cell>
          <cell r="R187">
            <v>9.9946122405148117</v>
          </cell>
          <cell r="S187">
            <v>9.989611139664909</v>
          </cell>
          <cell r="T187">
            <v>9.989611139664909</v>
          </cell>
          <cell r="U187">
            <v>9.989611139664909</v>
          </cell>
          <cell r="V187">
            <v>9.989611139664909</v>
          </cell>
          <cell r="W187">
            <v>9.989611139664909</v>
          </cell>
          <cell r="X187">
            <v>9.989611139664909</v>
          </cell>
          <cell r="Y187">
            <v>9.989611139664909</v>
          </cell>
          <cell r="Z187">
            <v>9.989611139664909</v>
          </cell>
          <cell r="AA187">
            <v>9.989611139664909</v>
          </cell>
          <cell r="AB187">
            <v>9.989611139664909</v>
          </cell>
          <cell r="AC187">
            <v>9.989611139664909</v>
          </cell>
          <cell r="AD187">
            <v>9.989611139664909</v>
          </cell>
          <cell r="AE187">
            <v>9.989611139664909</v>
          </cell>
          <cell r="AF187">
            <v>9.989611139664909</v>
          </cell>
        </row>
        <row r="188">
          <cell r="A188" t="str">
            <v>New Hampshire</v>
          </cell>
          <cell r="B188">
            <v>7.3967357295736651</v>
          </cell>
          <cell r="C188">
            <v>7.402667914401353</v>
          </cell>
          <cell r="D188">
            <v>7.4471350013371902</v>
          </cell>
          <cell r="E188">
            <v>7.459125972476329</v>
          </cell>
          <cell r="F188">
            <v>7.4478958579136174</v>
          </cell>
          <cell r="G188">
            <v>7.4361812714528508</v>
          </cell>
          <cell r="H188">
            <v>7.4360531417839386</v>
          </cell>
          <cell r="I188">
            <v>7.4340608595518782</v>
          </cell>
          <cell r="J188">
            <v>7.443121005672392</v>
          </cell>
          <cell r="K188">
            <v>7.4504810615893824</v>
          </cell>
          <cell r="L188">
            <v>7.4396200645354513</v>
          </cell>
          <cell r="M188">
            <v>7.434627383780084</v>
          </cell>
          <cell r="N188">
            <v>7.4408314459787386</v>
          </cell>
          <cell r="O188">
            <v>7.4593529769251496</v>
          </cell>
          <cell r="P188">
            <v>7.4829024298385685</v>
          </cell>
          <cell r="Q188">
            <v>7.4879143296506232</v>
          </cell>
          <cell r="R188">
            <v>7.4880280888310509</v>
          </cell>
          <cell r="S188">
            <v>7.4839542697442738</v>
          </cell>
          <cell r="T188">
            <v>7.4839542697442738</v>
          </cell>
          <cell r="U188">
            <v>7.4839542697442738</v>
          </cell>
          <cell r="V188">
            <v>7.4839542697442738</v>
          </cell>
          <cell r="W188">
            <v>7.4839542697442738</v>
          </cell>
          <cell r="X188">
            <v>7.4839542697442738</v>
          </cell>
          <cell r="Y188">
            <v>7.4839542697442738</v>
          </cell>
          <cell r="Z188">
            <v>7.4839542697442738</v>
          </cell>
          <cell r="AA188">
            <v>7.4839542697442738</v>
          </cell>
          <cell r="AB188">
            <v>7.4839542697442738</v>
          </cell>
          <cell r="AC188">
            <v>7.4839542697442738</v>
          </cell>
          <cell r="AD188">
            <v>7.4839542697442738</v>
          </cell>
          <cell r="AE188">
            <v>7.4839542697442738</v>
          </cell>
          <cell r="AF188">
            <v>7.4839542697442738</v>
          </cell>
        </row>
        <row r="189">
          <cell r="A189" t="str">
            <v>New Jersey</v>
          </cell>
          <cell r="B189">
            <v>7.3967357295736651</v>
          </cell>
          <cell r="C189">
            <v>7.402667914401353</v>
          </cell>
          <cell r="D189">
            <v>7.4471350013371902</v>
          </cell>
          <cell r="E189">
            <v>7.4591259724763281</v>
          </cell>
          <cell r="F189">
            <v>7.4478958579136174</v>
          </cell>
          <cell r="G189">
            <v>7.4361812714528508</v>
          </cell>
          <cell r="H189">
            <v>7.4360531417839386</v>
          </cell>
          <cell r="I189">
            <v>7.4340608595518782</v>
          </cell>
          <cell r="J189">
            <v>7.443121005672392</v>
          </cell>
          <cell r="K189">
            <v>7.4504810615893824</v>
          </cell>
          <cell r="L189">
            <v>7.4396200645354496</v>
          </cell>
          <cell r="M189">
            <v>7.434627383780084</v>
          </cell>
          <cell r="N189">
            <v>7.4408314459787386</v>
          </cell>
          <cell r="O189">
            <v>7.4593529769251496</v>
          </cell>
          <cell r="P189">
            <v>7.4829024298385685</v>
          </cell>
          <cell r="Q189">
            <v>7.4879143296506232</v>
          </cell>
          <cell r="R189">
            <v>7.4880280888310482</v>
          </cell>
          <cell r="S189">
            <v>7.4839542697442738</v>
          </cell>
          <cell r="T189">
            <v>7.4839542697442738</v>
          </cell>
          <cell r="U189">
            <v>7.4839542697442738</v>
          </cell>
          <cell r="V189">
            <v>7.4839542697442738</v>
          </cell>
          <cell r="W189">
            <v>7.4839542697442738</v>
          </cell>
          <cell r="X189">
            <v>7.4839542697442738</v>
          </cell>
          <cell r="Y189">
            <v>7.4839542697442738</v>
          </cell>
          <cell r="Z189">
            <v>7.4839542697442738</v>
          </cell>
          <cell r="AA189">
            <v>7.4839542697442738</v>
          </cell>
          <cell r="AB189">
            <v>7.4839542697442738</v>
          </cell>
          <cell r="AC189">
            <v>7.4839542697442738</v>
          </cell>
          <cell r="AD189">
            <v>7.4839542697442738</v>
          </cell>
          <cell r="AE189">
            <v>7.4839542697442738</v>
          </cell>
          <cell r="AF189">
            <v>7.4839542697442738</v>
          </cell>
        </row>
        <row r="190">
          <cell r="A190" t="str">
            <v>New Mexico</v>
          </cell>
          <cell r="B190">
            <v>9.8552666309515029</v>
          </cell>
          <cell r="C190">
            <v>9.8639538107232259</v>
          </cell>
          <cell r="D190">
            <v>9.9299079540191038</v>
          </cell>
          <cell r="E190">
            <v>9.9479214388172963</v>
          </cell>
          <cell r="F190">
            <v>9.9326817242873524</v>
          </cell>
          <cell r="G190">
            <v>9.9165717118130825</v>
          </cell>
          <cell r="H190">
            <v>9.9170794664214359</v>
          </cell>
          <cell r="I190">
            <v>9.9140397652756196</v>
          </cell>
          <cell r="J190">
            <v>9.9276652912905803</v>
          </cell>
          <cell r="K190">
            <v>9.9375056089779239</v>
          </cell>
          <cell r="L190">
            <v>9.920346992335551</v>
          </cell>
          <cell r="M190">
            <v>9.9133967220876116</v>
          </cell>
          <cell r="N190">
            <v>9.9224466629045249</v>
          </cell>
          <cell r="O190">
            <v>9.9514597216848575</v>
          </cell>
          <cell r="P190">
            <v>9.9857335660924598</v>
          </cell>
          <cell r="Q190">
            <v>9.9931017835351401</v>
          </cell>
          <cell r="R190">
            <v>9.9946122405148099</v>
          </cell>
          <cell r="S190">
            <v>9.9896111396649125</v>
          </cell>
          <cell r="T190">
            <v>9.9896111396649125</v>
          </cell>
          <cell r="U190">
            <v>9.9896111396649125</v>
          </cell>
          <cell r="V190">
            <v>9.9896111396649125</v>
          </cell>
          <cell r="W190">
            <v>9.9896111396649125</v>
          </cell>
          <cell r="X190">
            <v>9.9896111396649125</v>
          </cell>
          <cell r="Y190">
            <v>9.9896111396649125</v>
          </cell>
          <cell r="Z190">
            <v>9.9896111396649125</v>
          </cell>
          <cell r="AA190">
            <v>9.9896111396649125</v>
          </cell>
          <cell r="AB190">
            <v>9.9896111396649125</v>
          </cell>
          <cell r="AC190">
            <v>9.9896111396649125</v>
          </cell>
          <cell r="AD190">
            <v>9.9896111396649125</v>
          </cell>
          <cell r="AE190">
            <v>9.9896111396649125</v>
          </cell>
          <cell r="AF190">
            <v>9.9896111396649125</v>
          </cell>
        </row>
        <row r="191">
          <cell r="A191" t="str">
            <v>New York</v>
          </cell>
          <cell r="B191">
            <v>7.3967357295736651</v>
          </cell>
          <cell r="C191">
            <v>7.402667914401353</v>
          </cell>
          <cell r="D191">
            <v>7.447135001337192</v>
          </cell>
          <cell r="E191">
            <v>7.4591259724763281</v>
          </cell>
          <cell r="F191">
            <v>7.4478958579136147</v>
          </cell>
          <cell r="G191">
            <v>7.4361812714528552</v>
          </cell>
          <cell r="H191">
            <v>7.4360531417839386</v>
          </cell>
          <cell r="I191">
            <v>7.4340608595518782</v>
          </cell>
          <cell r="J191">
            <v>7.443121005672392</v>
          </cell>
          <cell r="K191">
            <v>7.4504810615893824</v>
          </cell>
          <cell r="L191">
            <v>7.4396200645354496</v>
          </cell>
          <cell r="M191">
            <v>7.4346273837800823</v>
          </cell>
          <cell r="N191">
            <v>7.4408314459787386</v>
          </cell>
          <cell r="O191">
            <v>7.4593529769251523</v>
          </cell>
          <cell r="P191">
            <v>7.4829024298385685</v>
          </cell>
          <cell r="Q191">
            <v>7.4879143296506214</v>
          </cell>
          <cell r="R191">
            <v>7.4880280888310509</v>
          </cell>
          <cell r="S191">
            <v>7.483954269744272</v>
          </cell>
          <cell r="T191">
            <v>7.483954269744272</v>
          </cell>
          <cell r="U191">
            <v>7.483954269744272</v>
          </cell>
          <cell r="V191">
            <v>7.483954269744272</v>
          </cell>
          <cell r="W191">
            <v>7.483954269744272</v>
          </cell>
          <cell r="X191">
            <v>7.483954269744272</v>
          </cell>
          <cell r="Y191">
            <v>7.483954269744272</v>
          </cell>
          <cell r="Z191">
            <v>7.483954269744272</v>
          </cell>
          <cell r="AA191">
            <v>7.483954269744272</v>
          </cell>
          <cell r="AB191">
            <v>7.483954269744272</v>
          </cell>
          <cell r="AC191">
            <v>7.483954269744272</v>
          </cell>
          <cell r="AD191">
            <v>7.483954269744272</v>
          </cell>
          <cell r="AE191">
            <v>7.483954269744272</v>
          </cell>
          <cell r="AF191">
            <v>7.483954269744272</v>
          </cell>
        </row>
        <row r="192">
          <cell r="A192" t="str">
            <v>North Carolina</v>
          </cell>
          <cell r="B192">
            <v>7.5299841462951891</v>
          </cell>
          <cell r="C192">
            <v>7.5360539434353155</v>
          </cell>
          <cell r="D192">
            <v>7.5815853719660575</v>
          </cell>
          <cell r="E192">
            <v>7.5938723159462391</v>
          </cell>
          <cell r="F192">
            <v>7.5824290256080316</v>
          </cell>
          <cell r="G192">
            <v>7.5704837113171868</v>
          </cell>
          <cell r="H192">
            <v>7.5703799072827023</v>
          </cell>
          <cell r="I192">
            <v>7.5683366129418568</v>
          </cell>
          <cell r="J192">
            <v>7.5776209747395642</v>
          </cell>
          <cell r="K192">
            <v>7.5851149499540425</v>
          </cell>
          <cell r="L192">
            <v>7.5739527928480284</v>
          </cell>
          <cell r="M192">
            <v>7.568858468634704</v>
          </cell>
          <cell r="N192">
            <v>7.575205061170232</v>
          </cell>
          <cell r="O192">
            <v>7.5942304340595292</v>
          </cell>
          <cell r="P192">
            <v>7.6183178422682651</v>
          </cell>
          <cell r="Q192">
            <v>7.6234471333035412</v>
          </cell>
          <cell r="R192">
            <v>7.6236162856934406</v>
          </cell>
          <cell r="S192">
            <v>7.6194858321960561</v>
          </cell>
          <cell r="T192">
            <v>7.6194858321960561</v>
          </cell>
          <cell r="U192">
            <v>7.6194858321960561</v>
          </cell>
          <cell r="V192">
            <v>7.6194858321960561</v>
          </cell>
          <cell r="W192">
            <v>7.6194858321960561</v>
          </cell>
          <cell r="X192">
            <v>7.6194858321960561</v>
          </cell>
          <cell r="Y192">
            <v>7.6194858321960561</v>
          </cell>
          <cell r="Z192">
            <v>7.6194858321960561</v>
          </cell>
          <cell r="AA192">
            <v>7.6194858321960561</v>
          </cell>
          <cell r="AB192">
            <v>7.6194858321960561</v>
          </cell>
          <cell r="AC192">
            <v>7.6194858321960561</v>
          </cell>
          <cell r="AD192">
            <v>7.6194858321960561</v>
          </cell>
          <cell r="AE192">
            <v>7.6194858321960561</v>
          </cell>
          <cell r="AF192">
            <v>7.6194858321960561</v>
          </cell>
        </row>
        <row r="193">
          <cell r="A193" t="str">
            <v>North Dakota</v>
          </cell>
          <cell r="B193">
            <v>6.8952192950818851</v>
          </cell>
          <cell r="C193">
            <v>6.9006450064278546</v>
          </cell>
          <cell r="D193">
            <v>6.9412043546711413</v>
          </cell>
          <cell r="E193">
            <v>6.952111175130824</v>
          </cell>
          <cell r="F193">
            <v>6.9416793506903023</v>
          </cell>
          <cell r="G193">
            <v>6.9308258249838302</v>
          </cell>
          <cell r="H193">
            <v>6.9306160727742254</v>
          </cell>
          <cell r="I193">
            <v>6.9288101483226905</v>
          </cell>
          <cell r="J193">
            <v>6.9370491498331752</v>
          </cell>
          <cell r="K193">
            <v>6.9439056609367498</v>
          </cell>
          <cell r="L193">
            <v>6.9341388112721685</v>
          </cell>
          <cell r="M193">
            <v>6.9295243283541508</v>
          </cell>
          <cell r="N193">
            <v>6.9352034143251942</v>
          </cell>
          <cell r="O193">
            <v>6.9518920738380778</v>
          </cell>
          <cell r="P193">
            <v>6.9734592019502353</v>
          </cell>
          <cell r="Q193">
            <v>6.9780393772339542</v>
          </cell>
          <cell r="R193">
            <v>6.9779645446544176</v>
          </cell>
          <cell r="S193">
            <v>6.9741101329449435</v>
          </cell>
          <cell r="T193">
            <v>6.9741101329449435</v>
          </cell>
          <cell r="U193">
            <v>6.9741101329449435</v>
          </cell>
          <cell r="V193">
            <v>6.9741101329449435</v>
          </cell>
          <cell r="W193">
            <v>6.9741101329449435</v>
          </cell>
          <cell r="X193">
            <v>6.9741101329449435</v>
          </cell>
          <cell r="Y193">
            <v>6.9741101329449435</v>
          </cell>
          <cell r="Z193">
            <v>6.9741101329449435</v>
          </cell>
          <cell r="AA193">
            <v>6.9741101329449435</v>
          </cell>
          <cell r="AB193">
            <v>6.9741101329449435</v>
          </cell>
          <cell r="AC193">
            <v>6.9741101329449435</v>
          </cell>
          <cell r="AD193">
            <v>6.9741101329449435</v>
          </cell>
          <cell r="AE193">
            <v>6.9741101329449435</v>
          </cell>
          <cell r="AF193">
            <v>6.9741101329449435</v>
          </cell>
        </row>
        <row r="194">
          <cell r="A194" t="str">
            <v>Ohio</v>
          </cell>
          <cell r="B194">
            <v>7.3993307830569544</v>
          </cell>
          <cell r="C194">
            <v>7.4052656354765514</v>
          </cell>
          <cell r="D194">
            <v>7.4497533441804196</v>
          </cell>
          <cell r="E194">
            <v>7.4617500471035072</v>
          </cell>
          <cell r="F194">
            <v>7.4505157852794364</v>
          </cell>
          <cell r="G194">
            <v>7.4387967132988519</v>
          </cell>
          <cell r="H194">
            <v>7.4386690465947796</v>
          </cell>
          <cell r="I194">
            <v>7.4366757770094809</v>
          </cell>
          <cell r="J194">
            <v>7.4457402650983591</v>
          </cell>
          <cell r="K194">
            <v>7.4531029285952446</v>
          </cell>
          <cell r="L194">
            <v>7.4422361090775038</v>
          </cell>
          <cell r="M194">
            <v>7.4372414535234466</v>
          </cell>
          <cell r="N194">
            <v>7.4434482790858203</v>
          </cell>
          <cell r="O194">
            <v>7.4619795535974935</v>
          </cell>
          <cell r="P194">
            <v>7.4855394373061417</v>
          </cell>
          <cell r="Q194">
            <v>7.4905536123731684</v>
          </cell>
          <cell r="R194">
            <v>7.4906684287537573</v>
          </cell>
          <cell r="S194">
            <v>7.48659349991099</v>
          </cell>
          <cell r="T194">
            <v>7.48659349991099</v>
          </cell>
          <cell r="U194">
            <v>7.48659349991099</v>
          </cell>
          <cell r="V194">
            <v>7.48659349991099</v>
          </cell>
          <cell r="W194">
            <v>7.48659349991099</v>
          </cell>
          <cell r="X194">
            <v>7.48659349991099</v>
          </cell>
          <cell r="Y194">
            <v>7.48659349991099</v>
          </cell>
          <cell r="Z194">
            <v>7.48659349991099</v>
          </cell>
          <cell r="AA194">
            <v>7.48659349991099</v>
          </cell>
          <cell r="AB194">
            <v>7.48659349991099</v>
          </cell>
          <cell r="AC194">
            <v>7.48659349991099</v>
          </cell>
          <cell r="AD194">
            <v>7.48659349991099</v>
          </cell>
          <cell r="AE194">
            <v>7.48659349991099</v>
          </cell>
          <cell r="AF194">
            <v>7.48659349991099</v>
          </cell>
        </row>
        <row r="195">
          <cell r="A195" t="str">
            <v>Oklahoma</v>
          </cell>
          <cell r="B195">
            <v>7.505760285266887</v>
          </cell>
          <cell r="C195">
            <v>7.5118049691984803</v>
          </cell>
          <cell r="D195">
            <v>7.5571420838487873</v>
          </cell>
          <cell r="E195">
            <v>7.5693749718264582</v>
          </cell>
          <cell r="F195">
            <v>7.5579704696695647</v>
          </cell>
          <cell r="G195">
            <v>7.5460671619877324</v>
          </cell>
          <cell r="H195">
            <v>7.5459588525110535</v>
          </cell>
          <cell r="I195">
            <v>7.5439248791253748</v>
          </cell>
          <cell r="J195">
            <v>7.5531682892015892</v>
          </cell>
          <cell r="K195">
            <v>7.5606379144340838</v>
          </cell>
          <cell r="L195">
            <v>7.5495308361021385</v>
          </cell>
          <cell r="M195">
            <v>7.5444550266793522</v>
          </cell>
          <cell r="N195">
            <v>7.5507756118720071</v>
          </cell>
          <cell r="O195">
            <v>7.569708857504736</v>
          </cell>
          <cell r="P195">
            <v>7.593698113143974</v>
          </cell>
          <cell r="Q195">
            <v>7.5988059784332105</v>
          </cell>
          <cell r="R195">
            <v>7.5989648940513002</v>
          </cell>
          <cell r="S195">
            <v>7.5948446840757917</v>
          </cell>
          <cell r="T195">
            <v>7.5948446840757917</v>
          </cell>
          <cell r="U195">
            <v>7.5948446840757917</v>
          </cell>
          <cell r="V195">
            <v>7.5948446840757917</v>
          </cell>
          <cell r="W195">
            <v>7.5948446840757917</v>
          </cell>
          <cell r="X195">
            <v>7.5948446840757917</v>
          </cell>
          <cell r="Y195">
            <v>7.5948446840757917</v>
          </cell>
          <cell r="Z195">
            <v>7.5948446840757917</v>
          </cell>
          <cell r="AA195">
            <v>7.5948446840757917</v>
          </cell>
          <cell r="AB195">
            <v>7.5948446840757917</v>
          </cell>
          <cell r="AC195">
            <v>7.5948446840757917</v>
          </cell>
          <cell r="AD195">
            <v>7.5948446840757917</v>
          </cell>
          <cell r="AE195">
            <v>7.5948446840757917</v>
          </cell>
          <cell r="AF195">
            <v>7.5948446840757917</v>
          </cell>
        </row>
        <row r="196">
          <cell r="A196" t="str">
            <v>Oregon</v>
          </cell>
          <cell r="B196">
            <v>9.8552666309514976</v>
          </cell>
          <cell r="C196">
            <v>9.8639538107232259</v>
          </cell>
          <cell r="D196">
            <v>9.9299079540191055</v>
          </cell>
          <cell r="E196">
            <v>9.9479214388172963</v>
          </cell>
          <cell r="F196">
            <v>9.932681724287356</v>
          </cell>
          <cell r="G196">
            <v>9.9165717118130861</v>
          </cell>
          <cell r="H196">
            <v>9.9170794664214341</v>
          </cell>
          <cell r="I196">
            <v>9.9140397652756196</v>
          </cell>
          <cell r="J196">
            <v>9.9276652912905803</v>
          </cell>
          <cell r="K196">
            <v>9.9375056089779221</v>
          </cell>
          <cell r="L196">
            <v>9.920346992335551</v>
          </cell>
          <cell r="M196">
            <v>9.9133967220876098</v>
          </cell>
          <cell r="N196">
            <v>9.9224466629045249</v>
          </cell>
          <cell r="O196">
            <v>9.9514597216848593</v>
          </cell>
          <cell r="P196">
            <v>9.9857335660924598</v>
          </cell>
          <cell r="Q196">
            <v>9.9931017835351401</v>
          </cell>
          <cell r="R196">
            <v>9.9946122405148117</v>
          </cell>
          <cell r="S196">
            <v>9.989611139664909</v>
          </cell>
          <cell r="T196">
            <v>9.989611139664909</v>
          </cell>
          <cell r="U196">
            <v>9.989611139664909</v>
          </cell>
          <cell r="V196">
            <v>9.989611139664909</v>
          </cell>
          <cell r="W196">
            <v>9.989611139664909</v>
          </cell>
          <cell r="X196">
            <v>9.989611139664909</v>
          </cell>
          <cell r="Y196">
            <v>9.989611139664909</v>
          </cell>
          <cell r="Z196">
            <v>9.989611139664909</v>
          </cell>
          <cell r="AA196">
            <v>9.989611139664909</v>
          </cell>
          <cell r="AB196">
            <v>9.989611139664909</v>
          </cell>
          <cell r="AC196">
            <v>9.989611139664909</v>
          </cell>
          <cell r="AD196">
            <v>9.989611139664909</v>
          </cell>
          <cell r="AE196">
            <v>9.989611139664909</v>
          </cell>
          <cell r="AF196">
            <v>9.989611139664909</v>
          </cell>
        </row>
        <row r="197">
          <cell r="A197" t="str">
            <v>Pennsylvania</v>
          </cell>
          <cell r="B197">
            <v>7.3967357295736642</v>
          </cell>
          <cell r="C197">
            <v>7.4026679144013547</v>
          </cell>
          <cell r="D197">
            <v>7.4471350013371893</v>
          </cell>
          <cell r="E197">
            <v>7.4591259724763272</v>
          </cell>
          <cell r="F197">
            <v>7.4478958579136139</v>
          </cell>
          <cell r="G197">
            <v>7.4361812714528508</v>
          </cell>
          <cell r="H197">
            <v>7.4360531417839377</v>
          </cell>
          <cell r="I197">
            <v>7.43406085955188</v>
          </cell>
          <cell r="J197">
            <v>7.4431210056723938</v>
          </cell>
          <cell r="K197">
            <v>7.4504810615893824</v>
          </cell>
          <cell r="L197">
            <v>7.4396200645354496</v>
          </cell>
          <cell r="M197">
            <v>7.4346273837800805</v>
          </cell>
          <cell r="N197">
            <v>7.4408314459787386</v>
          </cell>
          <cell r="O197">
            <v>7.4593529769251523</v>
          </cell>
          <cell r="P197">
            <v>7.4829024298385693</v>
          </cell>
          <cell r="Q197">
            <v>7.4879143296506214</v>
          </cell>
          <cell r="R197">
            <v>7.4880280888310482</v>
          </cell>
          <cell r="S197">
            <v>7.4839542697442711</v>
          </cell>
          <cell r="T197">
            <v>7.4839542697442711</v>
          </cell>
          <cell r="U197">
            <v>7.4839542697442711</v>
          </cell>
          <cell r="V197">
            <v>7.4839542697442711</v>
          </cell>
          <cell r="W197">
            <v>7.4839542697442711</v>
          </cell>
          <cell r="X197">
            <v>7.4839542697442711</v>
          </cell>
          <cell r="Y197">
            <v>7.4839542697442711</v>
          </cell>
          <cell r="Z197">
            <v>7.4839542697442711</v>
          </cell>
          <cell r="AA197">
            <v>7.4839542697442711</v>
          </cell>
          <cell r="AB197">
            <v>7.4839542697442711</v>
          </cell>
          <cell r="AC197">
            <v>7.4839542697442711</v>
          </cell>
          <cell r="AD197">
            <v>7.4839542697442711</v>
          </cell>
          <cell r="AE197">
            <v>7.4839542697442711</v>
          </cell>
          <cell r="AF197">
            <v>7.4839542697442711</v>
          </cell>
        </row>
        <row r="198">
          <cell r="A198" t="str">
            <v>Rhode Island</v>
          </cell>
          <cell r="B198">
            <v>7.396735729573666</v>
          </cell>
          <cell r="C198">
            <v>7.402667914401353</v>
          </cell>
          <cell r="D198">
            <v>7.447135001337192</v>
          </cell>
          <cell r="E198">
            <v>7.4591259724763281</v>
          </cell>
          <cell r="F198">
            <v>7.4478958579136174</v>
          </cell>
          <cell r="G198">
            <v>7.4361812714528535</v>
          </cell>
          <cell r="H198">
            <v>7.4360531417839386</v>
          </cell>
          <cell r="I198">
            <v>7.4340608595518782</v>
          </cell>
          <cell r="J198">
            <v>7.4431210056723938</v>
          </cell>
          <cell r="K198">
            <v>7.4504810615893842</v>
          </cell>
          <cell r="L198">
            <v>7.4396200645354496</v>
          </cell>
          <cell r="M198">
            <v>7.4346273837800823</v>
          </cell>
          <cell r="N198">
            <v>7.4408314459787377</v>
          </cell>
          <cell r="O198">
            <v>7.4593529769251514</v>
          </cell>
          <cell r="P198">
            <v>7.4829024298385685</v>
          </cell>
          <cell r="Q198">
            <v>7.4879143296506214</v>
          </cell>
          <cell r="R198">
            <v>7.4880280888310509</v>
          </cell>
          <cell r="S198">
            <v>7.483954269744272</v>
          </cell>
          <cell r="T198">
            <v>7.483954269744272</v>
          </cell>
          <cell r="U198">
            <v>7.483954269744272</v>
          </cell>
          <cell r="V198">
            <v>7.483954269744272</v>
          </cell>
          <cell r="W198">
            <v>7.483954269744272</v>
          </cell>
          <cell r="X198">
            <v>7.483954269744272</v>
          </cell>
          <cell r="Y198">
            <v>7.483954269744272</v>
          </cell>
          <cell r="Z198">
            <v>7.483954269744272</v>
          </cell>
          <cell r="AA198">
            <v>7.483954269744272</v>
          </cell>
          <cell r="AB198">
            <v>7.483954269744272</v>
          </cell>
          <cell r="AC198">
            <v>7.483954269744272</v>
          </cell>
          <cell r="AD198">
            <v>7.483954269744272</v>
          </cell>
          <cell r="AE198">
            <v>7.483954269744272</v>
          </cell>
          <cell r="AF198">
            <v>7.483954269744272</v>
          </cell>
        </row>
        <row r="199">
          <cell r="A199" t="str">
            <v>South Carolina</v>
          </cell>
          <cell r="B199">
            <v>7.5299841462951873</v>
          </cell>
          <cell r="C199">
            <v>7.5360539434353182</v>
          </cell>
          <cell r="D199">
            <v>7.5815853719660558</v>
          </cell>
          <cell r="E199">
            <v>7.5938723159462418</v>
          </cell>
          <cell r="F199">
            <v>7.5824290256080316</v>
          </cell>
          <cell r="G199">
            <v>7.5704837113171868</v>
          </cell>
          <cell r="H199">
            <v>7.5703799072827023</v>
          </cell>
          <cell r="I199">
            <v>7.5683366129418586</v>
          </cell>
          <cell r="J199">
            <v>7.5776209747395624</v>
          </cell>
          <cell r="K199">
            <v>7.5851149499540416</v>
          </cell>
          <cell r="L199">
            <v>7.5739527928480301</v>
          </cell>
          <cell r="M199">
            <v>7.568858468634704</v>
          </cell>
          <cell r="N199">
            <v>7.5752050611702302</v>
          </cell>
          <cell r="O199">
            <v>7.5942304340595292</v>
          </cell>
          <cell r="P199">
            <v>7.618317842268266</v>
          </cell>
          <cell r="Q199">
            <v>7.6234471333035421</v>
          </cell>
          <cell r="R199">
            <v>7.623616285693438</v>
          </cell>
          <cell r="S199">
            <v>7.6194858321960561</v>
          </cell>
          <cell r="T199">
            <v>7.6194858321960561</v>
          </cell>
          <cell r="U199">
            <v>7.6194858321960561</v>
          </cell>
          <cell r="V199">
            <v>7.6194858321960561</v>
          </cell>
          <cell r="W199">
            <v>7.6194858321960561</v>
          </cell>
          <cell r="X199">
            <v>7.6194858321960561</v>
          </cell>
          <cell r="Y199">
            <v>7.6194858321960561</v>
          </cell>
          <cell r="Z199">
            <v>7.6194858321960561</v>
          </cell>
          <cell r="AA199">
            <v>7.6194858321960561</v>
          </cell>
          <cell r="AB199">
            <v>7.6194858321960561</v>
          </cell>
          <cell r="AC199">
            <v>7.6194858321960561</v>
          </cell>
          <cell r="AD199">
            <v>7.6194858321960561</v>
          </cell>
          <cell r="AE199">
            <v>7.6194858321960561</v>
          </cell>
          <cell r="AF199">
            <v>7.6194858321960561</v>
          </cell>
        </row>
        <row r="200">
          <cell r="A200" t="str">
            <v>South Dakota</v>
          </cell>
          <cell r="B200">
            <v>6.8952192950818851</v>
          </cell>
          <cell r="C200">
            <v>6.9006450064278564</v>
          </cell>
          <cell r="D200">
            <v>6.9412043546711386</v>
          </cell>
          <cell r="E200">
            <v>6.9521111751308231</v>
          </cell>
          <cell r="F200">
            <v>6.9416793506903023</v>
          </cell>
          <cell r="G200">
            <v>6.9308258249838284</v>
          </cell>
          <cell r="H200">
            <v>6.9306160727742263</v>
          </cell>
          <cell r="I200">
            <v>6.9288101483226949</v>
          </cell>
          <cell r="J200">
            <v>6.9370491498331752</v>
          </cell>
          <cell r="K200">
            <v>6.9439056609367471</v>
          </cell>
          <cell r="L200">
            <v>6.9341388112721685</v>
          </cell>
          <cell r="M200">
            <v>6.9295243283541526</v>
          </cell>
          <cell r="N200">
            <v>6.9352034143251959</v>
          </cell>
          <cell r="O200">
            <v>6.9518920738380778</v>
          </cell>
          <cell r="P200">
            <v>6.9734592019502353</v>
          </cell>
          <cell r="Q200">
            <v>6.9780393772339542</v>
          </cell>
          <cell r="R200">
            <v>6.9779645446544185</v>
          </cell>
          <cell r="S200">
            <v>6.9741101329449453</v>
          </cell>
          <cell r="T200">
            <v>6.9741101329449453</v>
          </cell>
          <cell r="U200">
            <v>6.9741101329449453</v>
          </cell>
          <cell r="V200">
            <v>6.9741101329449453</v>
          </cell>
          <cell r="W200">
            <v>6.9741101329449453</v>
          </cell>
          <cell r="X200">
            <v>6.9741101329449453</v>
          </cell>
          <cell r="Y200">
            <v>6.9741101329449453</v>
          </cell>
          <cell r="Z200">
            <v>6.9741101329449453</v>
          </cell>
          <cell r="AA200">
            <v>6.9741101329449453</v>
          </cell>
          <cell r="AB200">
            <v>6.9741101329449453</v>
          </cell>
          <cell r="AC200">
            <v>6.9741101329449453</v>
          </cell>
          <cell r="AD200">
            <v>6.9741101329449453</v>
          </cell>
          <cell r="AE200">
            <v>6.9741101329449453</v>
          </cell>
          <cell r="AF200">
            <v>6.9741101329449453</v>
          </cell>
        </row>
        <row r="201">
          <cell r="A201" t="str">
            <v>Tennessee</v>
          </cell>
          <cell r="B201">
            <v>7.5299841462951873</v>
          </cell>
          <cell r="C201">
            <v>7.5360539434353147</v>
          </cell>
          <cell r="D201">
            <v>7.5815853719660549</v>
          </cell>
          <cell r="E201">
            <v>7.5938723159462436</v>
          </cell>
          <cell r="F201">
            <v>7.5824290256080342</v>
          </cell>
          <cell r="G201">
            <v>7.570483711317185</v>
          </cell>
          <cell r="H201">
            <v>7.5703799072827023</v>
          </cell>
          <cell r="I201">
            <v>7.5683366129418559</v>
          </cell>
          <cell r="J201">
            <v>7.5776209747395651</v>
          </cell>
          <cell r="K201">
            <v>7.5851149499540416</v>
          </cell>
          <cell r="L201">
            <v>7.5739527928480275</v>
          </cell>
          <cell r="M201">
            <v>7.568858468634704</v>
          </cell>
          <cell r="N201">
            <v>7.5752050611702302</v>
          </cell>
          <cell r="O201">
            <v>7.5942304340595292</v>
          </cell>
          <cell r="P201">
            <v>7.6183178422682669</v>
          </cell>
          <cell r="Q201">
            <v>7.6234471333035412</v>
          </cell>
          <cell r="R201">
            <v>7.623616285693438</v>
          </cell>
          <cell r="S201">
            <v>7.6194858321960588</v>
          </cell>
          <cell r="T201">
            <v>7.6194858321960588</v>
          </cell>
          <cell r="U201">
            <v>7.6194858321960588</v>
          </cell>
          <cell r="V201">
            <v>7.6194858321960588</v>
          </cell>
          <cell r="W201">
            <v>7.6194858321960588</v>
          </cell>
          <cell r="X201">
            <v>7.6194858321960588</v>
          </cell>
          <cell r="Y201">
            <v>7.6194858321960588</v>
          </cell>
          <cell r="Z201">
            <v>7.6194858321960588</v>
          </cell>
          <cell r="AA201">
            <v>7.6194858321960588</v>
          </cell>
          <cell r="AB201">
            <v>7.6194858321960588</v>
          </cell>
          <cell r="AC201">
            <v>7.6194858321960588</v>
          </cell>
          <cell r="AD201">
            <v>7.6194858321960588</v>
          </cell>
          <cell r="AE201">
            <v>7.6194858321960588</v>
          </cell>
          <cell r="AF201">
            <v>7.6194858321960588</v>
          </cell>
        </row>
        <row r="202">
          <cell r="A202" t="str">
            <v>Texas</v>
          </cell>
          <cell r="B202">
            <v>7.505760285266887</v>
          </cell>
          <cell r="C202">
            <v>7.5118049691984803</v>
          </cell>
          <cell r="D202">
            <v>7.5571420838487882</v>
          </cell>
          <cell r="E202">
            <v>7.5693749718264574</v>
          </cell>
          <cell r="F202">
            <v>7.5579704696695673</v>
          </cell>
          <cell r="G202">
            <v>7.5460671619877306</v>
          </cell>
          <cell r="H202">
            <v>7.5459588525110526</v>
          </cell>
          <cell r="I202">
            <v>7.5439248791253739</v>
          </cell>
          <cell r="J202">
            <v>7.5531682892015892</v>
          </cell>
          <cell r="K202">
            <v>7.5606379144340847</v>
          </cell>
          <cell r="L202">
            <v>7.5495308361021385</v>
          </cell>
          <cell r="M202">
            <v>7.5444550266793504</v>
          </cell>
          <cell r="N202">
            <v>7.5507756118720071</v>
          </cell>
          <cell r="O202">
            <v>7.569708857504736</v>
          </cell>
          <cell r="P202">
            <v>7.593698113143974</v>
          </cell>
          <cell r="Q202">
            <v>7.5988059784332105</v>
          </cell>
          <cell r="R202">
            <v>7.5989648940512975</v>
          </cell>
          <cell r="S202">
            <v>7.5948446840757891</v>
          </cell>
          <cell r="T202">
            <v>7.5948446840757891</v>
          </cell>
          <cell r="U202">
            <v>7.5948446840757891</v>
          </cell>
          <cell r="V202">
            <v>7.5948446840757891</v>
          </cell>
          <cell r="W202">
            <v>7.5948446840757891</v>
          </cell>
          <cell r="X202">
            <v>7.5948446840757891</v>
          </cell>
          <cell r="Y202">
            <v>7.5948446840757891</v>
          </cell>
          <cell r="Z202">
            <v>7.5948446840757891</v>
          </cell>
          <cell r="AA202">
            <v>7.5948446840757891</v>
          </cell>
          <cell r="AB202">
            <v>7.5948446840757891</v>
          </cell>
          <cell r="AC202">
            <v>7.5948446840757891</v>
          </cell>
          <cell r="AD202">
            <v>7.5948446840757891</v>
          </cell>
          <cell r="AE202">
            <v>7.5948446840757891</v>
          </cell>
          <cell r="AF202">
            <v>7.5948446840757891</v>
          </cell>
        </row>
        <row r="203">
          <cell r="A203" t="str">
            <v>Utah</v>
          </cell>
          <cell r="B203">
            <v>9.8552666309514994</v>
          </cell>
          <cell r="C203">
            <v>9.8639538107232259</v>
          </cell>
          <cell r="D203">
            <v>9.9299079540191055</v>
          </cell>
          <cell r="E203">
            <v>9.9479214388172963</v>
          </cell>
          <cell r="F203">
            <v>9.932681724287356</v>
          </cell>
          <cell r="G203">
            <v>9.9165717118130825</v>
          </cell>
          <cell r="H203">
            <v>9.9170794664214323</v>
          </cell>
          <cell r="I203">
            <v>9.9140397652756196</v>
          </cell>
          <cell r="J203">
            <v>9.9276652912905803</v>
          </cell>
          <cell r="K203">
            <v>9.9375056089779203</v>
          </cell>
          <cell r="L203">
            <v>9.9203469923355492</v>
          </cell>
          <cell r="M203">
            <v>9.9133967220876098</v>
          </cell>
          <cell r="N203">
            <v>9.9224466629045249</v>
          </cell>
          <cell r="O203">
            <v>9.9514597216848575</v>
          </cell>
          <cell r="P203">
            <v>9.985733566092458</v>
          </cell>
          <cell r="Q203">
            <v>9.9931017835351401</v>
          </cell>
          <cell r="R203">
            <v>9.9946122405148135</v>
          </cell>
          <cell r="S203">
            <v>9.9896111396649072</v>
          </cell>
          <cell r="T203">
            <v>9.9896111396649072</v>
          </cell>
          <cell r="U203">
            <v>9.9896111396649072</v>
          </cell>
          <cell r="V203">
            <v>9.9896111396649072</v>
          </cell>
          <cell r="W203">
            <v>9.9896111396649072</v>
          </cell>
          <cell r="X203">
            <v>9.9896111396649072</v>
          </cell>
          <cell r="Y203">
            <v>9.9896111396649072</v>
          </cell>
          <cell r="Z203">
            <v>9.9896111396649072</v>
          </cell>
          <cell r="AA203">
            <v>9.9896111396649072</v>
          </cell>
          <cell r="AB203">
            <v>9.9896111396649072</v>
          </cell>
          <cell r="AC203">
            <v>9.9896111396649072</v>
          </cell>
          <cell r="AD203">
            <v>9.9896111396649072</v>
          </cell>
          <cell r="AE203">
            <v>9.9896111396649072</v>
          </cell>
          <cell r="AF203">
            <v>9.9896111396649072</v>
          </cell>
        </row>
        <row r="204">
          <cell r="A204" t="str">
            <v>Vermont</v>
          </cell>
          <cell r="B204">
            <v>7.3967357295736651</v>
          </cell>
          <cell r="C204">
            <v>7.402667914401353</v>
          </cell>
          <cell r="D204">
            <v>7.4471350013371902</v>
          </cell>
          <cell r="E204">
            <v>7.4591259724763272</v>
          </cell>
          <cell r="F204">
            <v>7.4478958579136174</v>
          </cell>
          <cell r="G204">
            <v>7.4361812714528526</v>
          </cell>
          <cell r="H204">
            <v>7.4360531417839386</v>
          </cell>
          <cell r="I204">
            <v>7.4340608595518773</v>
          </cell>
          <cell r="J204">
            <v>7.4431210056723938</v>
          </cell>
          <cell r="K204">
            <v>7.4504810615893815</v>
          </cell>
          <cell r="L204">
            <v>7.4396200645354513</v>
          </cell>
          <cell r="M204">
            <v>7.4346273837800823</v>
          </cell>
          <cell r="N204">
            <v>7.4408314459787386</v>
          </cell>
          <cell r="O204">
            <v>7.4593529769251523</v>
          </cell>
          <cell r="P204">
            <v>7.4829024298385685</v>
          </cell>
          <cell r="Q204">
            <v>7.4879143296506232</v>
          </cell>
          <cell r="R204">
            <v>7.4880280888310482</v>
          </cell>
          <cell r="S204">
            <v>7.4839542697442738</v>
          </cell>
          <cell r="T204">
            <v>7.4839542697442738</v>
          </cell>
          <cell r="U204">
            <v>7.4839542697442738</v>
          </cell>
          <cell r="V204">
            <v>7.4839542697442738</v>
          </cell>
          <cell r="W204">
            <v>7.4839542697442738</v>
          </cell>
          <cell r="X204">
            <v>7.4839542697442738</v>
          </cell>
          <cell r="Y204">
            <v>7.4839542697442738</v>
          </cell>
          <cell r="Z204">
            <v>7.4839542697442738</v>
          </cell>
          <cell r="AA204">
            <v>7.4839542697442738</v>
          </cell>
          <cell r="AB204">
            <v>7.4839542697442738</v>
          </cell>
          <cell r="AC204">
            <v>7.4839542697442738</v>
          </cell>
          <cell r="AD204">
            <v>7.4839542697442738</v>
          </cell>
          <cell r="AE204">
            <v>7.4839542697442738</v>
          </cell>
          <cell r="AF204">
            <v>7.4839542697442738</v>
          </cell>
        </row>
        <row r="205">
          <cell r="A205" t="str">
            <v>Virginia</v>
          </cell>
          <cell r="B205">
            <v>7.5299841462951891</v>
          </cell>
          <cell r="C205">
            <v>7.5360539434353147</v>
          </cell>
          <cell r="D205">
            <v>7.5815853719660558</v>
          </cell>
          <cell r="E205">
            <v>7.5938723159462409</v>
          </cell>
          <cell r="F205">
            <v>7.5824290256080316</v>
          </cell>
          <cell r="G205">
            <v>7.5704837113171841</v>
          </cell>
          <cell r="H205">
            <v>7.5703799072827032</v>
          </cell>
          <cell r="I205">
            <v>7.5683366129418586</v>
          </cell>
          <cell r="J205">
            <v>7.5776209747395642</v>
          </cell>
          <cell r="K205">
            <v>7.5851149499540416</v>
          </cell>
          <cell r="L205">
            <v>7.5739527928480284</v>
          </cell>
          <cell r="M205">
            <v>7.568858468634704</v>
          </cell>
          <cell r="N205">
            <v>7.5752050611702328</v>
          </cell>
          <cell r="O205">
            <v>7.594230434059531</v>
          </cell>
          <cell r="P205">
            <v>7.6183178422682669</v>
          </cell>
          <cell r="Q205">
            <v>7.6234471333035421</v>
          </cell>
          <cell r="R205">
            <v>7.623616285693438</v>
          </cell>
          <cell r="S205">
            <v>7.6194858321960579</v>
          </cell>
          <cell r="T205">
            <v>7.6194858321960579</v>
          </cell>
          <cell r="U205">
            <v>7.6194858321960579</v>
          </cell>
          <cell r="V205">
            <v>7.6194858321960579</v>
          </cell>
          <cell r="W205">
            <v>7.6194858321960579</v>
          </cell>
          <cell r="X205">
            <v>7.6194858321960579</v>
          </cell>
          <cell r="Y205">
            <v>7.6194858321960579</v>
          </cell>
          <cell r="Z205">
            <v>7.6194858321960579</v>
          </cell>
          <cell r="AA205">
            <v>7.6194858321960579</v>
          </cell>
          <cell r="AB205">
            <v>7.6194858321960579</v>
          </cell>
          <cell r="AC205">
            <v>7.6194858321960579</v>
          </cell>
          <cell r="AD205">
            <v>7.6194858321960579</v>
          </cell>
          <cell r="AE205">
            <v>7.6194858321960579</v>
          </cell>
          <cell r="AF205">
            <v>7.6194858321960579</v>
          </cell>
        </row>
        <row r="206">
          <cell r="A206" t="str">
            <v>Washington</v>
          </cell>
          <cell r="B206">
            <v>9.8552666309515011</v>
          </cell>
          <cell r="C206">
            <v>9.8639538107232259</v>
          </cell>
          <cell r="D206">
            <v>9.929907954019102</v>
          </cell>
          <cell r="E206">
            <v>9.9479214388172945</v>
          </cell>
          <cell r="F206">
            <v>9.932681724287356</v>
          </cell>
          <cell r="G206">
            <v>9.9165717118130825</v>
          </cell>
          <cell r="H206">
            <v>9.9170794664214377</v>
          </cell>
          <cell r="I206">
            <v>9.9140397652756231</v>
          </cell>
          <cell r="J206">
            <v>9.9276652912905803</v>
          </cell>
          <cell r="K206">
            <v>9.9375056089779221</v>
          </cell>
          <cell r="L206">
            <v>9.9203469923355527</v>
          </cell>
          <cell r="M206">
            <v>9.9133967220876116</v>
          </cell>
          <cell r="N206">
            <v>9.9224466629045267</v>
          </cell>
          <cell r="O206">
            <v>9.9514597216848575</v>
          </cell>
          <cell r="P206">
            <v>9.9857335660924598</v>
          </cell>
          <cell r="Q206">
            <v>9.9931017835351401</v>
          </cell>
          <cell r="R206">
            <v>9.9946122405148135</v>
          </cell>
          <cell r="S206">
            <v>9.989611139664909</v>
          </cell>
          <cell r="T206">
            <v>9.989611139664909</v>
          </cell>
          <cell r="U206">
            <v>9.989611139664909</v>
          </cell>
          <cell r="V206">
            <v>9.989611139664909</v>
          </cell>
          <cell r="W206">
            <v>9.989611139664909</v>
          </cell>
          <cell r="X206">
            <v>9.989611139664909</v>
          </cell>
          <cell r="Y206">
            <v>9.989611139664909</v>
          </cell>
          <cell r="Z206">
            <v>9.989611139664909</v>
          </cell>
          <cell r="AA206">
            <v>9.989611139664909</v>
          </cell>
          <cell r="AB206">
            <v>9.989611139664909</v>
          </cell>
          <cell r="AC206">
            <v>9.989611139664909</v>
          </cell>
          <cell r="AD206">
            <v>9.989611139664909</v>
          </cell>
          <cell r="AE206">
            <v>9.989611139664909</v>
          </cell>
          <cell r="AF206">
            <v>9.989611139664909</v>
          </cell>
        </row>
        <row r="207">
          <cell r="A207" t="str">
            <v>West Virginia</v>
          </cell>
          <cell r="B207">
            <v>7.3967357295736642</v>
          </cell>
          <cell r="C207">
            <v>7.4026679144013539</v>
          </cell>
          <cell r="D207">
            <v>7.4471350013371929</v>
          </cell>
          <cell r="E207">
            <v>7.4591259724763272</v>
          </cell>
          <cell r="F207">
            <v>7.4478958579136147</v>
          </cell>
          <cell r="G207">
            <v>7.4361812714528508</v>
          </cell>
          <cell r="H207">
            <v>7.4360531417839377</v>
          </cell>
          <cell r="I207">
            <v>7.43406085955188</v>
          </cell>
          <cell r="J207">
            <v>7.4431210056723955</v>
          </cell>
          <cell r="K207">
            <v>7.4504810615893824</v>
          </cell>
          <cell r="L207">
            <v>7.4396200645354496</v>
          </cell>
          <cell r="M207">
            <v>7.4346273837800814</v>
          </cell>
          <cell r="N207">
            <v>7.4408314459787386</v>
          </cell>
          <cell r="O207">
            <v>7.4593529769251532</v>
          </cell>
          <cell r="P207">
            <v>7.4829024298385693</v>
          </cell>
          <cell r="Q207">
            <v>7.4879143296506205</v>
          </cell>
          <cell r="R207">
            <v>7.4880280888310482</v>
          </cell>
          <cell r="S207">
            <v>7.4839542697442747</v>
          </cell>
          <cell r="T207">
            <v>7.4839542697442747</v>
          </cell>
          <cell r="U207">
            <v>7.4839542697442747</v>
          </cell>
          <cell r="V207">
            <v>7.4839542697442747</v>
          </cell>
          <cell r="W207">
            <v>7.4839542697442747</v>
          </cell>
          <cell r="X207">
            <v>7.4839542697442747</v>
          </cell>
          <cell r="Y207">
            <v>7.4839542697442747</v>
          </cell>
          <cell r="Z207">
            <v>7.4839542697442747</v>
          </cell>
          <cell r="AA207">
            <v>7.4839542697442747</v>
          </cell>
          <cell r="AB207">
            <v>7.4839542697442747</v>
          </cell>
          <cell r="AC207">
            <v>7.4839542697442747</v>
          </cell>
          <cell r="AD207">
            <v>7.4839542697442747</v>
          </cell>
          <cell r="AE207">
            <v>7.4839542697442747</v>
          </cell>
          <cell r="AF207">
            <v>7.4839542697442747</v>
          </cell>
        </row>
        <row r="208">
          <cell r="A208" t="str">
            <v>Wisconsin</v>
          </cell>
          <cell r="B208">
            <v>7.3993307830569544</v>
          </cell>
          <cell r="C208">
            <v>7.4052656354765531</v>
          </cell>
          <cell r="D208">
            <v>7.4497533441804205</v>
          </cell>
          <cell r="E208">
            <v>7.4617500471035054</v>
          </cell>
          <cell r="F208">
            <v>7.4505157852794346</v>
          </cell>
          <cell r="G208">
            <v>7.4387967132988511</v>
          </cell>
          <cell r="H208">
            <v>7.4386690465947787</v>
          </cell>
          <cell r="I208">
            <v>7.4366757770094791</v>
          </cell>
          <cell r="J208">
            <v>7.4457402650983617</v>
          </cell>
          <cell r="K208">
            <v>7.4531029285952446</v>
          </cell>
          <cell r="L208">
            <v>7.4422361090775038</v>
          </cell>
          <cell r="M208">
            <v>7.4372414535234492</v>
          </cell>
          <cell r="N208">
            <v>7.4434482790858203</v>
          </cell>
          <cell r="O208">
            <v>7.4619795535974935</v>
          </cell>
          <cell r="P208">
            <v>7.4855394373061435</v>
          </cell>
          <cell r="Q208">
            <v>7.4905536123731684</v>
          </cell>
          <cell r="R208">
            <v>7.4906684287537573</v>
          </cell>
          <cell r="S208">
            <v>7.4865934999109935</v>
          </cell>
          <cell r="T208">
            <v>7.4865934999109935</v>
          </cell>
          <cell r="U208">
            <v>7.4865934999109935</v>
          </cell>
          <cell r="V208">
            <v>7.4865934999109935</v>
          </cell>
          <cell r="W208">
            <v>7.4865934999109935</v>
          </cell>
          <cell r="X208">
            <v>7.4865934999109935</v>
          </cell>
          <cell r="Y208">
            <v>7.4865934999109935</v>
          </cell>
          <cell r="Z208">
            <v>7.4865934999109935</v>
          </cell>
          <cell r="AA208">
            <v>7.4865934999109935</v>
          </cell>
          <cell r="AB208">
            <v>7.4865934999109935</v>
          </cell>
          <cell r="AC208">
            <v>7.4865934999109935</v>
          </cell>
          <cell r="AD208">
            <v>7.4865934999109935</v>
          </cell>
          <cell r="AE208">
            <v>7.4865934999109935</v>
          </cell>
          <cell r="AF208">
            <v>7.4865934999109935</v>
          </cell>
        </row>
        <row r="209">
          <cell r="A209" t="str">
            <v>Wyoming</v>
          </cell>
          <cell r="B209">
            <v>6.8952192950818869</v>
          </cell>
          <cell r="C209">
            <v>6.9006450064278564</v>
          </cell>
          <cell r="D209">
            <v>6.9412043546711395</v>
          </cell>
          <cell r="E209">
            <v>6.9521111751308231</v>
          </cell>
          <cell r="F209">
            <v>6.9416793506903023</v>
          </cell>
          <cell r="G209">
            <v>6.9308258249838284</v>
          </cell>
          <cell r="H209">
            <v>6.9306160727742236</v>
          </cell>
          <cell r="I209">
            <v>6.9288101483226949</v>
          </cell>
          <cell r="J209">
            <v>6.9370491498331726</v>
          </cell>
          <cell r="K209">
            <v>6.9439056609367489</v>
          </cell>
          <cell r="L209">
            <v>6.9341388112721676</v>
          </cell>
          <cell r="M209">
            <v>6.9295243283541534</v>
          </cell>
          <cell r="N209">
            <v>6.935203414325195</v>
          </cell>
          <cell r="O209">
            <v>6.9518920738380796</v>
          </cell>
          <cell r="P209">
            <v>6.9734592019502379</v>
          </cell>
          <cell r="Q209">
            <v>6.9780393772339542</v>
          </cell>
          <cell r="R209">
            <v>6.9779645446544158</v>
          </cell>
          <cell r="S209">
            <v>6.9741101329449462</v>
          </cell>
          <cell r="T209">
            <v>6.9741101329449462</v>
          </cell>
          <cell r="U209">
            <v>6.9741101329449462</v>
          </cell>
          <cell r="V209">
            <v>6.9741101329449462</v>
          </cell>
          <cell r="W209">
            <v>6.9741101329449462</v>
          </cell>
          <cell r="X209">
            <v>6.9741101329449462</v>
          </cell>
          <cell r="Y209">
            <v>6.9741101329449462</v>
          </cell>
          <cell r="Z209">
            <v>6.9741101329449462</v>
          </cell>
          <cell r="AA209">
            <v>6.9741101329449462</v>
          </cell>
          <cell r="AB209">
            <v>6.9741101329449462</v>
          </cell>
          <cell r="AC209">
            <v>6.9741101329449462</v>
          </cell>
          <cell r="AD209">
            <v>6.9741101329449462</v>
          </cell>
          <cell r="AE209">
            <v>6.9741101329449462</v>
          </cell>
          <cell r="AF209">
            <v>6.9741101329449462</v>
          </cell>
        </row>
        <row r="211">
          <cell r="A211" t="str">
            <v>Steer Stockers</v>
          </cell>
          <cell r="B211">
            <v>1990</v>
          </cell>
          <cell r="C211">
            <v>1991</v>
          </cell>
          <cell r="D211">
            <v>1992</v>
          </cell>
          <cell r="E211">
            <v>1993</v>
          </cell>
          <cell r="F211">
            <v>1994</v>
          </cell>
          <cell r="G211">
            <v>1995</v>
          </cell>
          <cell r="H211">
            <v>1996</v>
          </cell>
          <cell r="I211">
            <v>1997</v>
          </cell>
          <cell r="J211">
            <v>1998</v>
          </cell>
          <cell r="K211">
            <v>1999</v>
          </cell>
          <cell r="L211">
            <v>2000</v>
          </cell>
          <cell r="M211">
            <v>2001</v>
          </cell>
          <cell r="N211">
            <v>2002</v>
          </cell>
          <cell r="O211">
            <v>2003</v>
          </cell>
          <cell r="P211">
            <v>2004</v>
          </cell>
          <cell r="Q211">
            <v>2005</v>
          </cell>
          <cell r="R211">
            <v>2006</v>
          </cell>
          <cell r="S211">
            <v>2007</v>
          </cell>
          <cell r="T211">
            <v>2008</v>
          </cell>
          <cell r="U211">
            <v>2009</v>
          </cell>
          <cell r="V211">
            <v>2010</v>
          </cell>
          <cell r="W211">
            <v>2011</v>
          </cell>
          <cell r="X211">
            <v>2012</v>
          </cell>
          <cell r="Y211">
            <v>2013</v>
          </cell>
          <cell r="Z211">
            <v>2014</v>
          </cell>
          <cell r="AA211">
            <v>2015</v>
          </cell>
          <cell r="AB211">
            <v>2016</v>
          </cell>
          <cell r="AC211">
            <v>2017</v>
          </cell>
          <cell r="AD211">
            <v>2018</v>
          </cell>
          <cell r="AE211">
            <v>2019</v>
          </cell>
          <cell r="AF211">
            <v>2020</v>
          </cell>
        </row>
        <row r="212">
          <cell r="A212" t="str">
            <v>Alabama</v>
          </cell>
          <cell r="B212">
            <v>8.0659099007677018</v>
          </cell>
          <cell r="C212">
            <v>8.0989381615450284</v>
          </cell>
          <cell r="D212">
            <v>7.9370938386556107</v>
          </cell>
          <cell r="E212">
            <v>7.9000772267876789</v>
          </cell>
          <cell r="F212">
            <v>7.9344054631506671</v>
          </cell>
          <cell r="G212">
            <v>7.854601459051608</v>
          </cell>
          <cell r="H212">
            <v>7.8213372251499518</v>
          </cell>
          <cell r="I212">
            <v>7.9218328712060915</v>
          </cell>
          <cell r="J212">
            <v>7.9567427782022975</v>
          </cell>
          <cell r="K212">
            <v>8.0847755865398216</v>
          </cell>
          <cell r="L212">
            <v>8.2951621179357655</v>
          </cell>
          <cell r="M212">
            <v>8.1925613898602716</v>
          </cell>
          <cell r="N212">
            <v>8.2171348140345692</v>
          </cell>
          <cell r="O212">
            <v>8.2656935808985406</v>
          </cell>
          <cell r="P212">
            <v>8.1563478501583333</v>
          </cell>
          <cell r="Q212">
            <v>8.1848160141874455</v>
          </cell>
          <cell r="R212">
            <v>8.084098215274329</v>
          </cell>
          <cell r="S212">
            <v>8.0790185934377821</v>
          </cell>
          <cell r="T212">
            <v>8.0790185934377821</v>
          </cell>
          <cell r="U212">
            <v>8.0790185934377821</v>
          </cell>
          <cell r="V212">
            <v>8.0790185934377821</v>
          </cell>
          <cell r="W212">
            <v>8.0790185934377821</v>
          </cell>
          <cell r="X212">
            <v>8.0790185934377821</v>
          </cell>
          <cell r="Y212">
            <v>8.0790185934377821</v>
          </cell>
          <cell r="Z212">
            <v>8.0790185934377821</v>
          </cell>
          <cell r="AA212">
            <v>8.0790185934377821</v>
          </cell>
          <cell r="AB212">
            <v>8.0790185934377821</v>
          </cell>
          <cell r="AC212">
            <v>8.0790185934377821</v>
          </cell>
          <cell r="AD212">
            <v>8.0790185934377821</v>
          </cell>
          <cell r="AE212">
            <v>8.0790185934377821</v>
          </cell>
          <cell r="AF212">
            <v>8.0790185934377821</v>
          </cell>
        </row>
        <row r="213">
          <cell r="A213" t="str">
            <v>Alaska</v>
          </cell>
          <cell r="B213">
            <v>10.59650324509354</v>
          </cell>
          <cell r="C213">
            <v>10.642481894807183</v>
          </cell>
          <cell r="D213">
            <v>10.423085031136061</v>
          </cell>
          <cell r="E213">
            <v>10.373394083792565</v>
          </cell>
          <cell r="F213">
            <v>10.420608350519526</v>
          </cell>
          <cell r="G213">
            <v>10.313209563681214</v>
          </cell>
          <cell r="H213">
            <v>10.268067078783805</v>
          </cell>
          <cell r="I213">
            <v>10.405981790192175</v>
          </cell>
          <cell r="J213">
            <v>10.454052552618823</v>
          </cell>
          <cell r="K213">
            <v>10.629336189525144</v>
          </cell>
          <cell r="L213">
            <v>10.917147003589589</v>
          </cell>
          <cell r="M213">
            <v>10.776911693796198</v>
          </cell>
          <cell r="N213">
            <v>10.81069605738586</v>
          </cell>
          <cell r="O213">
            <v>10.87640880269506</v>
          </cell>
          <cell r="P213">
            <v>10.726449277396082</v>
          </cell>
          <cell r="Q213">
            <v>10.7655941892349</v>
          </cell>
          <cell r="R213">
            <v>10.628101712666936</v>
          </cell>
          <cell r="S213">
            <v>10.621191137924189</v>
          </cell>
          <cell r="T213">
            <v>10.621191137924189</v>
          </cell>
          <cell r="U213">
            <v>10.621191137924189</v>
          </cell>
          <cell r="V213">
            <v>10.621191137924189</v>
          </cell>
          <cell r="W213">
            <v>10.621191137924189</v>
          </cell>
          <cell r="X213">
            <v>10.621191137924189</v>
          </cell>
          <cell r="Y213">
            <v>10.621191137924189</v>
          </cell>
          <cell r="Z213">
            <v>10.621191137924189</v>
          </cell>
          <cell r="AA213">
            <v>10.621191137924189</v>
          </cell>
          <cell r="AB213">
            <v>10.621191137924189</v>
          </cell>
          <cell r="AC213">
            <v>10.621191137924189</v>
          </cell>
          <cell r="AD213">
            <v>10.621191137924189</v>
          </cell>
          <cell r="AE213">
            <v>10.621191137924189</v>
          </cell>
          <cell r="AF213">
            <v>10.621191137924189</v>
          </cell>
        </row>
        <row r="214">
          <cell r="A214" t="str">
            <v>Arizona</v>
          </cell>
          <cell r="B214">
            <v>10.596503245093542</v>
          </cell>
          <cell r="C214">
            <v>10.642481894807183</v>
          </cell>
          <cell r="D214">
            <v>10.423085031136063</v>
          </cell>
          <cell r="E214">
            <v>10.373394083792565</v>
          </cell>
          <cell r="F214">
            <v>10.420608350519524</v>
          </cell>
          <cell r="G214">
            <v>10.313209563681216</v>
          </cell>
          <cell r="H214">
            <v>10.268067078783803</v>
          </cell>
          <cell r="I214">
            <v>10.405981790192174</v>
          </cell>
          <cell r="J214">
            <v>10.454052552618819</v>
          </cell>
          <cell r="K214">
            <v>10.629336189525148</v>
          </cell>
          <cell r="L214">
            <v>10.917147003589589</v>
          </cell>
          <cell r="M214">
            <v>10.776911693796198</v>
          </cell>
          <cell r="N214">
            <v>10.810696057385858</v>
          </cell>
          <cell r="O214">
            <v>10.87640880269506</v>
          </cell>
          <cell r="P214">
            <v>10.726449277396084</v>
          </cell>
          <cell r="Q214">
            <v>10.765594189234903</v>
          </cell>
          <cell r="R214">
            <v>10.628101712666934</v>
          </cell>
          <cell r="S214">
            <v>10.621191137924191</v>
          </cell>
          <cell r="T214">
            <v>10.621191137924191</v>
          </cell>
          <cell r="U214">
            <v>10.621191137924191</v>
          </cell>
          <cell r="V214">
            <v>10.621191137924191</v>
          </cell>
          <cell r="W214">
            <v>10.621191137924191</v>
          </cell>
          <cell r="X214">
            <v>10.621191137924191</v>
          </cell>
          <cell r="Y214">
            <v>10.621191137924191</v>
          </cell>
          <cell r="Z214">
            <v>10.621191137924191</v>
          </cell>
          <cell r="AA214">
            <v>10.621191137924191</v>
          </cell>
          <cell r="AB214">
            <v>10.621191137924191</v>
          </cell>
          <cell r="AC214">
            <v>10.621191137924191</v>
          </cell>
          <cell r="AD214">
            <v>10.621191137924191</v>
          </cell>
          <cell r="AE214">
            <v>10.621191137924191</v>
          </cell>
          <cell r="AF214">
            <v>10.621191137924191</v>
          </cell>
        </row>
        <row r="215">
          <cell r="A215" t="str">
            <v>Arkansas</v>
          </cell>
          <cell r="B215">
            <v>8.0396625992178592</v>
          </cell>
          <cell r="C215">
            <v>8.072563922339496</v>
          </cell>
          <cell r="D215">
            <v>7.9112972038395863</v>
          </cell>
          <cell r="E215">
            <v>7.8744090238292586</v>
          </cell>
          <cell r="F215">
            <v>7.9086096428794272</v>
          </cell>
          <cell r="G215">
            <v>7.8290845564492475</v>
          </cell>
          <cell r="H215">
            <v>7.7959394099325241</v>
          </cell>
          <cell r="I215">
            <v>7.8960637482708487</v>
          </cell>
          <cell r="J215">
            <v>7.9308434508862389</v>
          </cell>
          <cell r="K215">
            <v>8.0584063779645341</v>
          </cell>
          <cell r="L215">
            <v>8.2680224390261703</v>
          </cell>
          <cell r="M215">
            <v>8.1657965233554801</v>
          </cell>
          <cell r="N215">
            <v>8.1902786947722923</v>
          </cell>
          <cell r="O215">
            <v>8.2386650159339023</v>
          </cell>
          <cell r="P215">
            <v>8.1297225357937304</v>
          </cell>
          <cell r="Q215">
            <v>8.1580849394648745</v>
          </cell>
          <cell r="R215">
            <v>8.0577338019142157</v>
          </cell>
          <cell r="S215">
            <v>8.0526724937833247</v>
          </cell>
          <cell r="T215">
            <v>8.0526724937833247</v>
          </cell>
          <cell r="U215">
            <v>8.0526724937833247</v>
          </cell>
          <cell r="V215">
            <v>8.0526724937833247</v>
          </cell>
          <cell r="W215">
            <v>8.0526724937833247</v>
          </cell>
          <cell r="X215">
            <v>8.0526724937833247</v>
          </cell>
          <cell r="Y215">
            <v>8.0526724937833247</v>
          </cell>
          <cell r="Z215">
            <v>8.0526724937833247</v>
          </cell>
          <cell r="AA215">
            <v>8.0526724937833247</v>
          </cell>
          <cell r="AB215">
            <v>8.0526724937833247</v>
          </cell>
          <cell r="AC215">
            <v>8.0526724937833247</v>
          </cell>
          <cell r="AD215">
            <v>8.0526724937833247</v>
          </cell>
          <cell r="AE215">
            <v>8.0526724937833247</v>
          </cell>
          <cell r="AF215">
            <v>8.0526724937833247</v>
          </cell>
        </row>
        <row r="216">
          <cell r="A216" t="str">
            <v>California</v>
          </cell>
          <cell r="B216">
            <v>7.8511022726773305</v>
          </cell>
          <cell r="C216">
            <v>7.8830959964202787</v>
          </cell>
          <cell r="D216">
            <v>7.7259674736358326</v>
          </cell>
          <cell r="E216">
            <v>7.6900001763556309</v>
          </cell>
          <cell r="F216">
            <v>7.7232875252979083</v>
          </cell>
          <cell r="G216">
            <v>7.6457619127269894</v>
          </cell>
          <cell r="H216">
            <v>7.6134698821887676</v>
          </cell>
          <cell r="I216">
            <v>7.710936579215252</v>
          </cell>
          <cell r="J216">
            <v>7.7447845803486617</v>
          </cell>
          <cell r="K216">
            <v>7.8689837046697262</v>
          </cell>
          <cell r="L216">
            <v>8.0730837705024676</v>
          </cell>
          <cell r="M216">
            <v>7.9735414163262286</v>
          </cell>
          <cell r="N216">
            <v>7.997370534451731</v>
          </cell>
          <cell r="O216">
            <v>8.0445212105227508</v>
          </cell>
          <cell r="P216">
            <v>7.9384651512227835</v>
          </cell>
          <cell r="Q216">
            <v>7.9660706861659021</v>
          </cell>
          <cell r="R216">
            <v>7.8683450023067127</v>
          </cell>
          <cell r="S216">
            <v>7.863414863644528</v>
          </cell>
          <cell r="T216">
            <v>7.863414863644528</v>
          </cell>
          <cell r="U216">
            <v>7.863414863644528</v>
          </cell>
          <cell r="V216">
            <v>7.863414863644528</v>
          </cell>
          <cell r="W216">
            <v>7.863414863644528</v>
          </cell>
          <cell r="X216">
            <v>7.863414863644528</v>
          </cell>
          <cell r="Y216">
            <v>7.863414863644528</v>
          </cell>
          <cell r="Z216">
            <v>7.863414863644528</v>
          </cell>
          <cell r="AA216">
            <v>7.863414863644528</v>
          </cell>
          <cell r="AB216">
            <v>7.863414863644528</v>
          </cell>
          <cell r="AC216">
            <v>7.863414863644528</v>
          </cell>
          <cell r="AD216">
            <v>7.863414863644528</v>
          </cell>
          <cell r="AE216">
            <v>7.863414863644528</v>
          </cell>
          <cell r="AF216">
            <v>7.863414863644528</v>
          </cell>
        </row>
        <row r="217">
          <cell r="A217" t="str">
            <v>Colorado</v>
          </cell>
          <cell r="B217">
            <v>7.3788719137507091</v>
          </cell>
          <cell r="C217">
            <v>7.4086256629764735</v>
          </cell>
          <cell r="D217">
            <v>7.2617743982070584</v>
          </cell>
          <cell r="E217">
            <v>7.2280998267903103</v>
          </cell>
          <cell r="F217">
            <v>7.2591269754209051</v>
          </cell>
          <cell r="G217">
            <v>7.1865762225420768</v>
          </cell>
          <cell r="H217">
            <v>7.1564023400807022</v>
          </cell>
          <cell r="I217">
            <v>7.24728837608476</v>
          </cell>
          <cell r="J217">
            <v>7.2788311952686664</v>
          </cell>
          <cell r="K217">
            <v>7.3946963581514389</v>
          </cell>
          <cell r="L217">
            <v>7.5851278256998365</v>
          </cell>
          <cell r="M217">
            <v>7.4922367230291851</v>
          </cell>
          <cell r="N217">
            <v>7.5144494869107357</v>
          </cell>
          <cell r="O217">
            <v>7.5585300972912455</v>
          </cell>
          <cell r="P217">
            <v>7.4596223204812508</v>
          </cell>
          <cell r="Q217">
            <v>7.485354616992276</v>
          </cell>
          <cell r="R217">
            <v>7.3941380931145391</v>
          </cell>
          <cell r="S217">
            <v>7.3895334282516059</v>
          </cell>
          <cell r="T217">
            <v>7.3895334282516059</v>
          </cell>
          <cell r="U217">
            <v>7.3895334282516059</v>
          </cell>
          <cell r="V217">
            <v>7.3895334282516059</v>
          </cell>
          <cell r="W217">
            <v>7.3895334282516059</v>
          </cell>
          <cell r="X217">
            <v>7.3895334282516059</v>
          </cell>
          <cell r="Y217">
            <v>7.3895334282516059</v>
          </cell>
          <cell r="Z217">
            <v>7.3895334282516059</v>
          </cell>
          <cell r="AA217">
            <v>7.3895334282516059</v>
          </cell>
          <cell r="AB217">
            <v>7.3895334282516059</v>
          </cell>
          <cell r="AC217">
            <v>7.3895334282516059</v>
          </cell>
          <cell r="AD217">
            <v>7.3895334282516059</v>
          </cell>
          <cell r="AE217">
            <v>7.3895334282516059</v>
          </cell>
          <cell r="AF217">
            <v>7.3895334282516059</v>
          </cell>
        </row>
        <row r="218">
          <cell r="A218" t="str">
            <v>Connecticut</v>
          </cell>
          <cell r="B218">
            <v>7.9215594275385479</v>
          </cell>
          <cell r="C218">
            <v>7.9538913967555009</v>
          </cell>
          <cell r="D218">
            <v>7.7952189235703724</v>
          </cell>
          <cell r="E218">
            <v>7.7589078941135101</v>
          </cell>
          <cell r="F218">
            <v>7.792535769223619</v>
          </cell>
          <cell r="G218">
            <v>7.7142639124590087</v>
          </cell>
          <cell r="H218">
            <v>7.6816536019541388</v>
          </cell>
          <cell r="I218">
            <v>7.7801113312867889</v>
          </cell>
          <cell r="J218">
            <v>7.8143067139936333</v>
          </cell>
          <cell r="K218">
            <v>7.9397603253273834</v>
          </cell>
          <cell r="L218">
            <v>8.145917577578663</v>
          </cell>
          <cell r="M218">
            <v>8.045374353370029</v>
          </cell>
          <cell r="N218">
            <v>8.06944697602456</v>
          </cell>
          <cell r="O218">
            <v>8.1170587037908231</v>
          </cell>
          <cell r="P218">
            <v>8.0099262700288669</v>
          </cell>
          <cell r="Q218">
            <v>8.0378140174629724</v>
          </cell>
          <cell r="R218">
            <v>7.9391090838300871</v>
          </cell>
          <cell r="S218">
            <v>7.9341300138804023</v>
          </cell>
          <cell r="T218">
            <v>7.9341300138804023</v>
          </cell>
          <cell r="U218">
            <v>7.9341300138804023</v>
          </cell>
          <cell r="V218">
            <v>7.9341300138804023</v>
          </cell>
          <cell r="W218">
            <v>7.9341300138804023</v>
          </cell>
          <cell r="X218">
            <v>7.9341300138804023</v>
          </cell>
          <cell r="Y218">
            <v>7.9341300138804023</v>
          </cell>
          <cell r="Z218">
            <v>7.9341300138804023</v>
          </cell>
          <cell r="AA218">
            <v>7.9341300138804023</v>
          </cell>
          <cell r="AB218">
            <v>7.9341300138804023</v>
          </cell>
          <cell r="AC218">
            <v>7.9341300138804023</v>
          </cell>
          <cell r="AD218">
            <v>7.9341300138804023</v>
          </cell>
          <cell r="AE218">
            <v>7.9341300138804023</v>
          </cell>
          <cell r="AF218">
            <v>7.9341300138804023</v>
          </cell>
        </row>
        <row r="219">
          <cell r="A219" t="str">
            <v>Delaware</v>
          </cell>
          <cell r="B219">
            <v>7.9215594275385479</v>
          </cell>
          <cell r="C219">
            <v>7.9538913967555018</v>
          </cell>
          <cell r="D219">
            <v>7.7952189235703715</v>
          </cell>
          <cell r="E219">
            <v>7.7589078941135092</v>
          </cell>
          <cell r="F219">
            <v>7.7925357692236217</v>
          </cell>
          <cell r="G219">
            <v>7.714263912459006</v>
          </cell>
          <cell r="H219">
            <v>7.6816536019541388</v>
          </cell>
          <cell r="I219">
            <v>7.780111331286788</v>
          </cell>
          <cell r="J219">
            <v>7.8143067139936324</v>
          </cell>
          <cell r="K219">
            <v>7.9397603253273861</v>
          </cell>
          <cell r="L219">
            <v>8.1459175775786594</v>
          </cell>
          <cell r="M219">
            <v>8.045374353370029</v>
          </cell>
          <cell r="N219">
            <v>8.06944697602456</v>
          </cell>
          <cell r="O219">
            <v>8.1170587037908231</v>
          </cell>
          <cell r="P219">
            <v>8.0099262700288669</v>
          </cell>
          <cell r="Q219">
            <v>8.0378140174629724</v>
          </cell>
          <cell r="R219">
            <v>7.9391090838300844</v>
          </cell>
          <cell r="S219">
            <v>7.9341300138804023</v>
          </cell>
          <cell r="T219">
            <v>7.9341300138804023</v>
          </cell>
          <cell r="U219">
            <v>7.9341300138804023</v>
          </cell>
          <cell r="V219">
            <v>7.9341300138804023</v>
          </cell>
          <cell r="W219">
            <v>7.9341300138804023</v>
          </cell>
          <cell r="X219">
            <v>7.9341300138804023</v>
          </cell>
          <cell r="Y219">
            <v>7.9341300138804023</v>
          </cell>
          <cell r="Z219">
            <v>7.9341300138804023</v>
          </cell>
          <cell r="AA219">
            <v>7.9341300138804023</v>
          </cell>
          <cell r="AB219">
            <v>7.9341300138804023</v>
          </cell>
          <cell r="AC219">
            <v>7.9341300138804023</v>
          </cell>
          <cell r="AD219">
            <v>7.9341300138804023</v>
          </cell>
          <cell r="AE219">
            <v>7.9341300138804023</v>
          </cell>
          <cell r="AF219">
            <v>7.9341300138804023</v>
          </cell>
        </row>
        <row r="220">
          <cell r="A220" t="str">
            <v>Florida</v>
          </cell>
          <cell r="B220">
            <v>8.0659099007677</v>
          </cell>
          <cell r="C220">
            <v>8.0989381615450249</v>
          </cell>
          <cell r="D220">
            <v>7.9370938386556098</v>
          </cell>
          <cell r="E220">
            <v>7.9000772267876789</v>
          </cell>
          <cell r="F220">
            <v>7.9344054631506671</v>
          </cell>
          <cell r="G220">
            <v>7.8546014590516071</v>
          </cell>
          <cell r="H220">
            <v>7.8213372251499544</v>
          </cell>
          <cell r="I220">
            <v>7.9218328712060915</v>
          </cell>
          <cell r="J220">
            <v>7.9567427782022975</v>
          </cell>
          <cell r="K220">
            <v>8.0847755865398199</v>
          </cell>
          <cell r="L220">
            <v>8.2951621179357655</v>
          </cell>
          <cell r="M220">
            <v>8.1925613898602716</v>
          </cell>
          <cell r="N220">
            <v>8.2171348140345692</v>
          </cell>
          <cell r="O220">
            <v>8.2656935808985406</v>
          </cell>
          <cell r="P220">
            <v>8.1563478501583351</v>
          </cell>
          <cell r="Q220">
            <v>8.1848160141874473</v>
          </cell>
          <cell r="R220">
            <v>8.084098215274329</v>
          </cell>
          <cell r="S220">
            <v>8.0790185934377838</v>
          </cell>
          <cell r="T220">
            <v>8.0790185934377838</v>
          </cell>
          <cell r="U220">
            <v>8.0790185934377838</v>
          </cell>
          <cell r="V220">
            <v>8.0790185934377838</v>
          </cell>
          <cell r="W220">
            <v>8.0790185934377838</v>
          </cell>
          <cell r="X220">
            <v>8.0790185934377838</v>
          </cell>
          <cell r="Y220">
            <v>8.0790185934377838</v>
          </cell>
          <cell r="Z220">
            <v>8.0790185934377838</v>
          </cell>
          <cell r="AA220">
            <v>8.0790185934377838</v>
          </cell>
          <cell r="AB220">
            <v>8.0790185934377838</v>
          </cell>
          <cell r="AC220">
            <v>8.0790185934377838</v>
          </cell>
          <cell r="AD220">
            <v>8.0790185934377838</v>
          </cell>
          <cell r="AE220">
            <v>8.0790185934377838</v>
          </cell>
          <cell r="AF220">
            <v>8.0790185934377838</v>
          </cell>
        </row>
        <row r="221">
          <cell r="A221" t="str">
            <v>Georgia</v>
          </cell>
          <cell r="B221">
            <v>8.0659099007677</v>
          </cell>
          <cell r="C221">
            <v>8.0989381615450249</v>
          </cell>
          <cell r="D221">
            <v>7.9370938386556098</v>
          </cell>
          <cell r="E221">
            <v>7.900077226787678</v>
          </cell>
          <cell r="F221">
            <v>7.9344054631506653</v>
          </cell>
          <cell r="G221">
            <v>7.8546014590516098</v>
          </cell>
          <cell r="H221">
            <v>7.8213372251499562</v>
          </cell>
          <cell r="I221">
            <v>7.9218328712060888</v>
          </cell>
          <cell r="J221">
            <v>7.9567427782022975</v>
          </cell>
          <cell r="K221">
            <v>8.0847755865398234</v>
          </cell>
          <cell r="L221">
            <v>8.2951621179357655</v>
          </cell>
          <cell r="M221">
            <v>8.1925613898602716</v>
          </cell>
          <cell r="N221">
            <v>8.217134814034571</v>
          </cell>
          <cell r="O221">
            <v>8.2656935808985406</v>
          </cell>
          <cell r="P221">
            <v>8.1563478501583351</v>
          </cell>
          <cell r="Q221">
            <v>8.1848160141874473</v>
          </cell>
          <cell r="R221">
            <v>8.0840982152743273</v>
          </cell>
          <cell r="S221">
            <v>8.0790185934377821</v>
          </cell>
          <cell r="T221">
            <v>8.0790185934377821</v>
          </cell>
          <cell r="U221">
            <v>8.0790185934377821</v>
          </cell>
          <cell r="V221">
            <v>8.0790185934377821</v>
          </cell>
          <cell r="W221">
            <v>8.0790185934377821</v>
          </cell>
          <cell r="X221">
            <v>8.0790185934377821</v>
          </cell>
          <cell r="Y221">
            <v>8.0790185934377821</v>
          </cell>
          <cell r="Z221">
            <v>8.0790185934377821</v>
          </cell>
          <cell r="AA221">
            <v>8.0790185934377821</v>
          </cell>
          <cell r="AB221">
            <v>8.0790185934377821</v>
          </cell>
          <cell r="AC221">
            <v>8.0790185934377821</v>
          </cell>
          <cell r="AD221">
            <v>8.0790185934377821</v>
          </cell>
          <cell r="AE221">
            <v>8.0790185934377821</v>
          </cell>
          <cell r="AF221">
            <v>8.0790185934377821</v>
          </cell>
        </row>
        <row r="222">
          <cell r="A222" t="str">
            <v>Hawaii</v>
          </cell>
          <cell r="B222">
            <v>10.596503245093544</v>
          </cell>
          <cell r="C222">
            <v>10.642481894807183</v>
          </cell>
          <cell r="D222">
            <v>10.423085031136061</v>
          </cell>
          <cell r="E222">
            <v>10.373394083792567</v>
          </cell>
          <cell r="F222">
            <v>10.420608350519522</v>
          </cell>
          <cell r="G222">
            <v>10.313209563681212</v>
          </cell>
          <cell r="H222">
            <v>10.268067078783805</v>
          </cell>
          <cell r="I222">
            <v>10.405981790192175</v>
          </cell>
          <cell r="J222">
            <v>10.454052552618823</v>
          </cell>
          <cell r="K222">
            <v>10.629336189525144</v>
          </cell>
          <cell r="L222">
            <v>10.917147003589593</v>
          </cell>
          <cell r="M222">
            <v>10.776911693796194</v>
          </cell>
          <cell r="N222">
            <v>10.81069605738586</v>
          </cell>
          <cell r="O222">
            <v>10.876408802695062</v>
          </cell>
          <cell r="P222">
            <v>10.726449277396085</v>
          </cell>
          <cell r="Q222">
            <v>10.765594189234902</v>
          </cell>
          <cell r="R222">
            <v>10.628101712666936</v>
          </cell>
          <cell r="S222">
            <v>10.621191137924193</v>
          </cell>
          <cell r="T222">
            <v>10.621191137924193</v>
          </cell>
          <cell r="U222">
            <v>10.621191137924193</v>
          </cell>
          <cell r="V222">
            <v>10.621191137924193</v>
          </cell>
          <cell r="W222">
            <v>10.621191137924193</v>
          </cell>
          <cell r="X222">
            <v>10.621191137924193</v>
          </cell>
          <cell r="Y222">
            <v>10.621191137924193</v>
          </cell>
          <cell r="Z222">
            <v>10.621191137924193</v>
          </cell>
          <cell r="AA222">
            <v>10.621191137924193</v>
          </cell>
          <cell r="AB222">
            <v>10.621191137924193</v>
          </cell>
          <cell r="AC222">
            <v>10.621191137924193</v>
          </cell>
          <cell r="AD222">
            <v>10.621191137924193</v>
          </cell>
          <cell r="AE222">
            <v>10.621191137924193</v>
          </cell>
          <cell r="AF222">
            <v>10.621191137924193</v>
          </cell>
        </row>
        <row r="223">
          <cell r="A223" t="str">
            <v>Idaho</v>
          </cell>
          <cell r="B223">
            <v>10.59650324509354</v>
          </cell>
          <cell r="C223">
            <v>10.642481894807183</v>
          </cell>
          <cell r="D223">
            <v>10.423085031136063</v>
          </cell>
          <cell r="E223">
            <v>10.373394083792565</v>
          </cell>
          <cell r="F223">
            <v>10.420608350519524</v>
          </cell>
          <cell r="G223">
            <v>10.313209563681218</v>
          </cell>
          <cell r="H223">
            <v>10.268067078783805</v>
          </cell>
          <cell r="I223">
            <v>10.405981790192175</v>
          </cell>
          <cell r="J223">
            <v>10.454052552618821</v>
          </cell>
          <cell r="K223">
            <v>10.629336189525148</v>
          </cell>
          <cell r="L223">
            <v>10.917147003589589</v>
          </cell>
          <cell r="M223">
            <v>10.776911693796198</v>
          </cell>
          <cell r="N223">
            <v>10.810696057385854</v>
          </cell>
          <cell r="O223">
            <v>10.876408802695064</v>
          </cell>
          <cell r="P223">
            <v>10.72644927739608</v>
          </cell>
          <cell r="Q223">
            <v>10.7655941892349</v>
          </cell>
          <cell r="R223">
            <v>10.628101712666936</v>
          </cell>
          <cell r="S223">
            <v>10.621191137924193</v>
          </cell>
          <cell r="T223">
            <v>10.621191137924193</v>
          </cell>
          <cell r="U223">
            <v>10.621191137924193</v>
          </cell>
          <cell r="V223">
            <v>10.621191137924193</v>
          </cell>
          <cell r="W223">
            <v>10.621191137924193</v>
          </cell>
          <cell r="X223">
            <v>10.621191137924193</v>
          </cell>
          <cell r="Y223">
            <v>10.621191137924193</v>
          </cell>
          <cell r="Z223">
            <v>10.621191137924193</v>
          </cell>
          <cell r="AA223">
            <v>10.621191137924193</v>
          </cell>
          <cell r="AB223">
            <v>10.621191137924193</v>
          </cell>
          <cell r="AC223">
            <v>10.621191137924193</v>
          </cell>
          <cell r="AD223">
            <v>10.621191137924193</v>
          </cell>
          <cell r="AE223">
            <v>10.621191137924193</v>
          </cell>
          <cell r="AF223">
            <v>10.621191137924193</v>
          </cell>
        </row>
        <row r="224">
          <cell r="A224" t="str">
            <v>Illinois</v>
          </cell>
          <cell r="B224">
            <v>7.9243700298127351</v>
          </cell>
          <cell r="C224">
            <v>7.9567155134217895</v>
          </cell>
          <cell r="D224">
            <v>7.797981394415384</v>
          </cell>
          <cell r="E224">
            <v>7.761656644361997</v>
          </cell>
          <cell r="F224">
            <v>7.7952981209275105</v>
          </cell>
          <cell r="G224">
            <v>7.7169964745745911</v>
          </cell>
          <cell r="H224">
            <v>7.6843734556249297</v>
          </cell>
          <cell r="I224">
            <v>7.7828707670084141</v>
          </cell>
          <cell r="J224">
            <v>7.8170800254048967</v>
          </cell>
          <cell r="K224">
            <v>7.9425837381325737</v>
          </cell>
          <cell r="L224">
            <v>8.1488231481674198</v>
          </cell>
          <cell r="M224">
            <v>8.0482399531612963</v>
          </cell>
          <cell r="N224">
            <v>8.0723223018900168</v>
          </cell>
          <cell r="O224">
            <v>8.1199524373571581</v>
          </cell>
          <cell r="P224">
            <v>8.0127770136982885</v>
          </cell>
          <cell r="Q224">
            <v>8.0406760333259424</v>
          </cell>
          <cell r="R224">
            <v>7.9419319935799706</v>
          </cell>
          <cell r="S224">
            <v>7.9369509697475698</v>
          </cell>
          <cell r="T224">
            <v>7.9369509697475698</v>
          </cell>
          <cell r="U224">
            <v>7.9369509697475698</v>
          </cell>
          <cell r="V224">
            <v>7.9369509697475698</v>
          </cell>
          <cell r="W224">
            <v>7.9369509697475698</v>
          </cell>
          <cell r="X224">
            <v>7.9369509697475698</v>
          </cell>
          <cell r="Y224">
            <v>7.9369509697475698</v>
          </cell>
          <cell r="Z224">
            <v>7.9369509697475698</v>
          </cell>
          <cell r="AA224">
            <v>7.9369509697475698</v>
          </cell>
          <cell r="AB224">
            <v>7.9369509697475698</v>
          </cell>
          <cell r="AC224">
            <v>7.9369509697475698</v>
          </cell>
          <cell r="AD224">
            <v>7.9369509697475698</v>
          </cell>
          <cell r="AE224">
            <v>7.9369509697475698</v>
          </cell>
          <cell r="AF224">
            <v>7.9369509697475698</v>
          </cell>
        </row>
        <row r="225">
          <cell r="A225" t="str">
            <v>Indiana</v>
          </cell>
          <cell r="B225">
            <v>7.9243700298127342</v>
          </cell>
          <cell r="C225">
            <v>7.9567155134217895</v>
          </cell>
          <cell r="D225">
            <v>7.797981394415384</v>
          </cell>
          <cell r="E225">
            <v>7.7616566443619979</v>
          </cell>
          <cell r="F225">
            <v>7.7952981209275096</v>
          </cell>
          <cell r="G225">
            <v>7.7169964745745903</v>
          </cell>
          <cell r="H225">
            <v>7.6843734556249315</v>
          </cell>
          <cell r="I225">
            <v>7.7828707670084123</v>
          </cell>
          <cell r="J225">
            <v>7.8170800254048975</v>
          </cell>
          <cell r="K225">
            <v>7.9425837381325737</v>
          </cell>
          <cell r="L225">
            <v>8.1488231481674198</v>
          </cell>
          <cell r="M225">
            <v>8.0482399531612945</v>
          </cell>
          <cell r="N225">
            <v>8.0723223018900168</v>
          </cell>
          <cell r="O225">
            <v>8.1199524373571563</v>
          </cell>
          <cell r="P225">
            <v>8.0127770136982903</v>
          </cell>
          <cell r="Q225">
            <v>8.0406760333259459</v>
          </cell>
          <cell r="R225">
            <v>7.9419319935799706</v>
          </cell>
          <cell r="S225">
            <v>7.9369509697475715</v>
          </cell>
          <cell r="T225">
            <v>7.9369509697475715</v>
          </cell>
          <cell r="U225">
            <v>7.9369509697475715</v>
          </cell>
          <cell r="V225">
            <v>7.9369509697475715</v>
          </cell>
          <cell r="W225">
            <v>7.9369509697475715</v>
          </cell>
          <cell r="X225">
            <v>7.9369509697475715</v>
          </cell>
          <cell r="Y225">
            <v>7.9369509697475715</v>
          </cell>
          <cell r="Z225">
            <v>7.9369509697475715</v>
          </cell>
          <cell r="AA225">
            <v>7.9369509697475715</v>
          </cell>
          <cell r="AB225">
            <v>7.9369509697475715</v>
          </cell>
          <cell r="AC225">
            <v>7.9369509697475715</v>
          </cell>
          <cell r="AD225">
            <v>7.9369509697475715</v>
          </cell>
          <cell r="AE225">
            <v>7.9369509697475715</v>
          </cell>
          <cell r="AF225">
            <v>7.9369509697475715</v>
          </cell>
        </row>
        <row r="226">
          <cell r="A226" t="str">
            <v>Iowa</v>
          </cell>
          <cell r="B226">
            <v>7.9243700298127324</v>
          </cell>
          <cell r="C226">
            <v>7.9567155134217877</v>
          </cell>
          <cell r="D226">
            <v>7.7979813944153831</v>
          </cell>
          <cell r="E226">
            <v>7.7616566443619979</v>
          </cell>
          <cell r="F226">
            <v>7.7952981209275105</v>
          </cell>
          <cell r="G226">
            <v>7.7169964745745911</v>
          </cell>
          <cell r="H226">
            <v>7.6843734556249315</v>
          </cell>
          <cell r="I226">
            <v>7.7828707670084132</v>
          </cell>
          <cell r="J226">
            <v>7.8170800254048967</v>
          </cell>
          <cell r="K226">
            <v>7.9425837381325737</v>
          </cell>
          <cell r="L226">
            <v>8.1488231481674163</v>
          </cell>
          <cell r="M226">
            <v>8.0482399531612945</v>
          </cell>
          <cell r="N226">
            <v>8.0723223018900168</v>
          </cell>
          <cell r="O226">
            <v>8.1199524373571581</v>
          </cell>
          <cell r="P226">
            <v>8.0127770136982903</v>
          </cell>
          <cell r="Q226">
            <v>8.0406760333259442</v>
          </cell>
          <cell r="R226">
            <v>7.9419319935799679</v>
          </cell>
          <cell r="S226">
            <v>7.9369509697475689</v>
          </cell>
          <cell r="T226">
            <v>7.9369509697475689</v>
          </cell>
          <cell r="U226">
            <v>7.9369509697475689</v>
          </cell>
          <cell r="V226">
            <v>7.9369509697475689</v>
          </cell>
          <cell r="W226">
            <v>7.9369509697475689</v>
          </cell>
          <cell r="X226">
            <v>7.9369509697475689</v>
          </cell>
          <cell r="Y226">
            <v>7.9369509697475689</v>
          </cell>
          <cell r="Z226">
            <v>7.9369509697475689</v>
          </cell>
          <cell r="AA226">
            <v>7.9369509697475689</v>
          </cell>
          <cell r="AB226">
            <v>7.9369509697475689</v>
          </cell>
          <cell r="AC226">
            <v>7.9369509697475689</v>
          </cell>
          <cell r="AD226">
            <v>7.9369509697475689</v>
          </cell>
          <cell r="AE226">
            <v>7.9369509697475689</v>
          </cell>
          <cell r="AF226">
            <v>7.9369509697475689</v>
          </cell>
        </row>
        <row r="227">
          <cell r="A227" t="str">
            <v>Kansas</v>
          </cell>
          <cell r="B227">
            <v>7.3788719137507099</v>
          </cell>
          <cell r="C227">
            <v>7.4086256629764735</v>
          </cell>
          <cell r="D227">
            <v>7.2617743982070584</v>
          </cell>
          <cell r="E227">
            <v>7.2280998267903076</v>
          </cell>
          <cell r="F227">
            <v>7.2591269754209069</v>
          </cell>
          <cell r="G227">
            <v>7.1865762225420777</v>
          </cell>
          <cell r="H227">
            <v>7.1564023400807022</v>
          </cell>
          <cell r="I227">
            <v>7.24728837608476</v>
          </cell>
          <cell r="J227">
            <v>7.2788311952686673</v>
          </cell>
          <cell r="K227">
            <v>7.3946963581514416</v>
          </cell>
          <cell r="L227">
            <v>7.5851278256998365</v>
          </cell>
          <cell r="M227">
            <v>7.4922367230291833</v>
          </cell>
          <cell r="N227">
            <v>7.5144494869107339</v>
          </cell>
          <cell r="O227">
            <v>7.5585300972912428</v>
          </cell>
          <cell r="P227">
            <v>7.4596223204812508</v>
          </cell>
          <cell r="Q227">
            <v>7.4853546169922787</v>
          </cell>
          <cell r="R227">
            <v>7.3941380931145391</v>
          </cell>
          <cell r="S227">
            <v>7.3895334282516076</v>
          </cell>
          <cell r="T227">
            <v>7.3895334282516076</v>
          </cell>
          <cell r="U227">
            <v>7.3895334282516076</v>
          </cell>
          <cell r="V227">
            <v>7.3895334282516076</v>
          </cell>
          <cell r="W227">
            <v>7.3895334282516076</v>
          </cell>
          <cell r="X227">
            <v>7.3895334282516076</v>
          </cell>
          <cell r="Y227">
            <v>7.3895334282516076</v>
          </cell>
          <cell r="Z227">
            <v>7.3895334282516076</v>
          </cell>
          <cell r="AA227">
            <v>7.3895334282516076</v>
          </cell>
          <cell r="AB227">
            <v>7.3895334282516076</v>
          </cell>
          <cell r="AC227">
            <v>7.3895334282516076</v>
          </cell>
          <cell r="AD227">
            <v>7.3895334282516076</v>
          </cell>
          <cell r="AE227">
            <v>7.3895334282516076</v>
          </cell>
          <cell r="AF227">
            <v>7.3895334282516076</v>
          </cell>
        </row>
        <row r="228">
          <cell r="A228" t="str">
            <v>Kentucky</v>
          </cell>
          <cell r="B228">
            <v>8.0659099007676982</v>
          </cell>
          <cell r="C228">
            <v>8.0989381615450249</v>
          </cell>
          <cell r="D228">
            <v>7.9370938386556107</v>
          </cell>
          <cell r="E228">
            <v>7.9000772267876789</v>
          </cell>
          <cell r="F228">
            <v>7.9344054631506671</v>
          </cell>
          <cell r="G228">
            <v>7.854601459051608</v>
          </cell>
          <cell r="H228">
            <v>7.8213372251499562</v>
          </cell>
          <cell r="I228">
            <v>7.9218328712060906</v>
          </cell>
          <cell r="J228">
            <v>7.9567427782022975</v>
          </cell>
          <cell r="K228">
            <v>8.0847755865398216</v>
          </cell>
          <cell r="L228">
            <v>8.2951621179357655</v>
          </cell>
          <cell r="M228">
            <v>8.1925613898602716</v>
          </cell>
          <cell r="N228">
            <v>8.2171348140345692</v>
          </cell>
          <cell r="O228">
            <v>8.2656935808985423</v>
          </cell>
          <cell r="P228">
            <v>8.1563478501583333</v>
          </cell>
          <cell r="Q228">
            <v>8.1848160141874473</v>
          </cell>
          <cell r="R228">
            <v>8.084098215274329</v>
          </cell>
          <cell r="S228">
            <v>8.0790185934377821</v>
          </cell>
          <cell r="T228">
            <v>8.0790185934377821</v>
          </cell>
          <cell r="U228">
            <v>8.0790185934377821</v>
          </cell>
          <cell r="V228">
            <v>8.0790185934377821</v>
          </cell>
          <cell r="W228">
            <v>8.0790185934377821</v>
          </cell>
          <cell r="X228">
            <v>8.0790185934377821</v>
          </cell>
          <cell r="Y228">
            <v>8.0790185934377821</v>
          </cell>
          <cell r="Z228">
            <v>8.0790185934377821</v>
          </cell>
          <cell r="AA228">
            <v>8.0790185934377821</v>
          </cell>
          <cell r="AB228">
            <v>8.0790185934377821</v>
          </cell>
          <cell r="AC228">
            <v>8.0790185934377821</v>
          </cell>
          <cell r="AD228">
            <v>8.0790185934377821</v>
          </cell>
          <cell r="AE228">
            <v>8.0790185934377821</v>
          </cell>
          <cell r="AF228">
            <v>8.0790185934377821</v>
          </cell>
        </row>
        <row r="229">
          <cell r="A229" t="str">
            <v>Louisiana</v>
          </cell>
          <cell r="B229">
            <v>8.0396625992178592</v>
          </cell>
          <cell r="C229">
            <v>8.0725639223394978</v>
          </cell>
          <cell r="D229">
            <v>7.9112972038395846</v>
          </cell>
          <cell r="E229">
            <v>7.8744090238292612</v>
          </cell>
          <cell r="F229">
            <v>7.9086096428794264</v>
          </cell>
          <cell r="G229">
            <v>7.8290845564492475</v>
          </cell>
          <cell r="H229">
            <v>7.7959394099325223</v>
          </cell>
          <cell r="I229">
            <v>7.8960637482708504</v>
          </cell>
          <cell r="J229">
            <v>7.9308434508862362</v>
          </cell>
          <cell r="K229">
            <v>8.0584063779645341</v>
          </cell>
          <cell r="L229">
            <v>8.2680224390261703</v>
          </cell>
          <cell r="M229">
            <v>8.1657965233554801</v>
          </cell>
          <cell r="N229">
            <v>8.1902786947722905</v>
          </cell>
          <cell r="O229">
            <v>8.2386650159338988</v>
          </cell>
          <cell r="P229">
            <v>8.1297225357937286</v>
          </cell>
          <cell r="Q229">
            <v>8.1580849394648727</v>
          </cell>
          <cell r="R229">
            <v>8.0577338019142157</v>
          </cell>
          <cell r="S229">
            <v>8.0526724937833229</v>
          </cell>
          <cell r="T229">
            <v>8.0526724937833229</v>
          </cell>
          <cell r="U229">
            <v>8.0526724937833229</v>
          </cell>
          <cell r="V229">
            <v>8.0526724937833229</v>
          </cell>
          <cell r="W229">
            <v>8.0526724937833229</v>
          </cell>
          <cell r="X229">
            <v>8.0526724937833229</v>
          </cell>
          <cell r="Y229">
            <v>8.0526724937833229</v>
          </cell>
          <cell r="Z229">
            <v>8.0526724937833229</v>
          </cell>
          <cell r="AA229">
            <v>8.0526724937833229</v>
          </cell>
          <cell r="AB229">
            <v>8.0526724937833229</v>
          </cell>
          <cell r="AC229">
            <v>8.0526724937833229</v>
          </cell>
          <cell r="AD229">
            <v>8.0526724937833229</v>
          </cell>
          <cell r="AE229">
            <v>8.0526724937833229</v>
          </cell>
          <cell r="AF229">
            <v>8.0526724937833229</v>
          </cell>
        </row>
        <row r="230">
          <cell r="A230" t="str">
            <v>Maine</v>
          </cell>
          <cell r="B230">
            <v>7.9215594275385497</v>
          </cell>
          <cell r="C230">
            <v>7.9538913967555009</v>
          </cell>
          <cell r="D230">
            <v>7.7952189235703724</v>
          </cell>
          <cell r="E230">
            <v>7.7589078941135101</v>
          </cell>
          <cell r="F230">
            <v>7.792535769223619</v>
          </cell>
          <cell r="G230">
            <v>7.714263912459006</v>
          </cell>
          <cell r="H230">
            <v>7.6816536019541388</v>
          </cell>
          <cell r="I230">
            <v>7.7801113312867889</v>
          </cell>
          <cell r="J230">
            <v>7.8143067139936333</v>
          </cell>
          <cell r="K230">
            <v>7.9397603253273861</v>
          </cell>
          <cell r="L230">
            <v>8.1459175775786594</v>
          </cell>
          <cell r="M230">
            <v>8.045374353370029</v>
          </cell>
          <cell r="N230">
            <v>8.06944697602456</v>
          </cell>
          <cell r="O230">
            <v>8.1170587037908177</v>
          </cell>
          <cell r="P230">
            <v>8.0099262700288687</v>
          </cell>
          <cell r="Q230">
            <v>8.0378140174629724</v>
          </cell>
          <cell r="R230">
            <v>7.9391090838300871</v>
          </cell>
          <cell r="S230">
            <v>7.9341300138804041</v>
          </cell>
          <cell r="T230">
            <v>7.9341300138804041</v>
          </cell>
          <cell r="U230">
            <v>7.9341300138804041</v>
          </cell>
          <cell r="V230">
            <v>7.9341300138804041</v>
          </cell>
          <cell r="W230">
            <v>7.9341300138804041</v>
          </cell>
          <cell r="X230">
            <v>7.9341300138804041</v>
          </cell>
          <cell r="Y230">
            <v>7.9341300138804041</v>
          </cell>
          <cell r="Z230">
            <v>7.9341300138804041</v>
          </cell>
          <cell r="AA230">
            <v>7.9341300138804041</v>
          </cell>
          <cell r="AB230">
            <v>7.9341300138804041</v>
          </cell>
          <cell r="AC230">
            <v>7.9341300138804041</v>
          </cell>
          <cell r="AD230">
            <v>7.9341300138804041</v>
          </cell>
          <cell r="AE230">
            <v>7.9341300138804041</v>
          </cell>
          <cell r="AF230">
            <v>7.9341300138804041</v>
          </cell>
        </row>
        <row r="231">
          <cell r="A231" t="str">
            <v>Maryland</v>
          </cell>
          <cell r="B231">
            <v>7.9215594275385497</v>
          </cell>
          <cell r="C231">
            <v>7.9538913967555009</v>
          </cell>
          <cell r="D231">
            <v>7.7952189235703724</v>
          </cell>
          <cell r="E231">
            <v>7.7589078941135101</v>
          </cell>
          <cell r="F231">
            <v>7.792535769223619</v>
          </cell>
          <cell r="G231">
            <v>7.714263912459006</v>
          </cell>
          <cell r="H231">
            <v>7.681653601954137</v>
          </cell>
          <cell r="I231">
            <v>7.7801113312867907</v>
          </cell>
          <cell r="J231">
            <v>7.8143067139936324</v>
          </cell>
          <cell r="K231">
            <v>7.9397603253273852</v>
          </cell>
          <cell r="L231">
            <v>8.145917577578663</v>
          </cell>
          <cell r="M231">
            <v>8.0453743533700308</v>
          </cell>
          <cell r="N231">
            <v>8.06944697602456</v>
          </cell>
          <cell r="O231">
            <v>8.1170587037908195</v>
          </cell>
          <cell r="P231">
            <v>8.0099262700288669</v>
          </cell>
          <cell r="Q231">
            <v>8.0378140174629724</v>
          </cell>
          <cell r="R231">
            <v>7.9391090838300862</v>
          </cell>
          <cell r="S231">
            <v>7.9341300138804014</v>
          </cell>
          <cell r="T231">
            <v>7.9341300138804014</v>
          </cell>
          <cell r="U231">
            <v>7.9341300138804014</v>
          </cell>
          <cell r="V231">
            <v>7.9341300138804014</v>
          </cell>
          <cell r="W231">
            <v>7.9341300138804014</v>
          </cell>
          <cell r="X231">
            <v>7.9341300138804014</v>
          </cell>
          <cell r="Y231">
            <v>7.9341300138804014</v>
          </cell>
          <cell r="Z231">
            <v>7.9341300138804014</v>
          </cell>
          <cell r="AA231">
            <v>7.9341300138804014</v>
          </cell>
          <cell r="AB231">
            <v>7.9341300138804014</v>
          </cell>
          <cell r="AC231">
            <v>7.9341300138804014</v>
          </cell>
          <cell r="AD231">
            <v>7.9341300138804014</v>
          </cell>
          <cell r="AE231">
            <v>7.9341300138804014</v>
          </cell>
          <cell r="AF231">
            <v>7.9341300138804014</v>
          </cell>
        </row>
        <row r="232">
          <cell r="A232" t="str">
            <v>Massachusetts</v>
          </cell>
          <cell r="B232">
            <v>7.9215594275385497</v>
          </cell>
          <cell r="C232">
            <v>7.9538913967555009</v>
          </cell>
          <cell r="D232">
            <v>7.7952189235703724</v>
          </cell>
          <cell r="E232">
            <v>7.7589078941135101</v>
          </cell>
          <cell r="F232">
            <v>7.7925357692236217</v>
          </cell>
          <cell r="G232">
            <v>7.7142639124590087</v>
          </cell>
          <cell r="H232">
            <v>7.6816536019541388</v>
          </cell>
          <cell r="I232">
            <v>7.7801113312867889</v>
          </cell>
          <cell r="J232">
            <v>7.8143067139936333</v>
          </cell>
          <cell r="K232">
            <v>7.9397603253273852</v>
          </cell>
          <cell r="L232">
            <v>8.145917577578663</v>
          </cell>
          <cell r="M232">
            <v>8.045374353370029</v>
          </cell>
          <cell r="N232">
            <v>8.06944697602456</v>
          </cell>
          <cell r="O232">
            <v>8.1170587037908231</v>
          </cell>
          <cell r="P232">
            <v>8.0099262700288669</v>
          </cell>
          <cell r="Q232">
            <v>8.0378140174629706</v>
          </cell>
          <cell r="R232">
            <v>7.9391090838300871</v>
          </cell>
          <cell r="S232">
            <v>7.9341300138804023</v>
          </cell>
          <cell r="T232">
            <v>7.9341300138804023</v>
          </cell>
          <cell r="U232">
            <v>7.9341300138804023</v>
          </cell>
          <cell r="V232">
            <v>7.9341300138804023</v>
          </cell>
          <cell r="W232">
            <v>7.9341300138804023</v>
          </cell>
          <cell r="X232">
            <v>7.9341300138804023</v>
          </cell>
          <cell r="Y232">
            <v>7.9341300138804023</v>
          </cell>
          <cell r="Z232">
            <v>7.9341300138804023</v>
          </cell>
          <cell r="AA232">
            <v>7.9341300138804023</v>
          </cell>
          <cell r="AB232">
            <v>7.9341300138804023</v>
          </cell>
          <cell r="AC232">
            <v>7.9341300138804023</v>
          </cell>
          <cell r="AD232">
            <v>7.9341300138804023</v>
          </cell>
          <cell r="AE232">
            <v>7.9341300138804023</v>
          </cell>
          <cell r="AF232">
            <v>7.9341300138804023</v>
          </cell>
        </row>
        <row r="233">
          <cell r="A233" t="str">
            <v>Michigan</v>
          </cell>
          <cell r="B233">
            <v>7.9243700298127324</v>
          </cell>
          <cell r="C233">
            <v>7.9567155134217895</v>
          </cell>
          <cell r="D233">
            <v>7.797981394415384</v>
          </cell>
          <cell r="E233">
            <v>7.7616566443619996</v>
          </cell>
          <cell r="F233">
            <v>7.7952981209275078</v>
          </cell>
          <cell r="G233">
            <v>7.7169964745745929</v>
          </cell>
          <cell r="H233">
            <v>7.6843734556249315</v>
          </cell>
          <cell r="I233">
            <v>7.7828707670084105</v>
          </cell>
          <cell r="J233">
            <v>7.8170800254048967</v>
          </cell>
          <cell r="K233">
            <v>7.9425837381325737</v>
          </cell>
          <cell r="L233">
            <v>8.1488231481674198</v>
          </cell>
          <cell r="M233">
            <v>8.0482399531612963</v>
          </cell>
          <cell r="N233">
            <v>8.072322301890015</v>
          </cell>
          <cell r="O233">
            <v>8.1199524373571563</v>
          </cell>
          <cell r="P233">
            <v>8.0127770136982885</v>
          </cell>
          <cell r="Q233">
            <v>8.0406760333259442</v>
          </cell>
          <cell r="R233">
            <v>7.9419319935799706</v>
          </cell>
          <cell r="S233">
            <v>7.9369509697475698</v>
          </cell>
          <cell r="T233">
            <v>7.9369509697475698</v>
          </cell>
          <cell r="U233">
            <v>7.9369509697475698</v>
          </cell>
          <cell r="V233">
            <v>7.9369509697475698</v>
          </cell>
          <cell r="W233">
            <v>7.9369509697475698</v>
          </cell>
          <cell r="X233">
            <v>7.9369509697475698</v>
          </cell>
          <cell r="Y233">
            <v>7.9369509697475698</v>
          </cell>
          <cell r="Z233">
            <v>7.9369509697475698</v>
          </cell>
          <cell r="AA233">
            <v>7.9369509697475698</v>
          </cell>
          <cell r="AB233">
            <v>7.9369509697475698</v>
          </cell>
          <cell r="AC233">
            <v>7.9369509697475698</v>
          </cell>
          <cell r="AD233">
            <v>7.9369509697475698</v>
          </cell>
          <cell r="AE233">
            <v>7.9369509697475698</v>
          </cell>
          <cell r="AF233">
            <v>7.9369509697475698</v>
          </cell>
        </row>
        <row r="234">
          <cell r="A234" t="str">
            <v>Minnesota</v>
          </cell>
          <cell r="B234">
            <v>7.9243700298127342</v>
          </cell>
          <cell r="C234">
            <v>7.9567155134217877</v>
          </cell>
          <cell r="D234">
            <v>7.7979813944153857</v>
          </cell>
          <cell r="E234">
            <v>7.7616566443619979</v>
          </cell>
          <cell r="F234">
            <v>7.7952981209275105</v>
          </cell>
          <cell r="G234">
            <v>7.7169964745745911</v>
          </cell>
          <cell r="H234">
            <v>7.6843734556249323</v>
          </cell>
          <cell r="I234">
            <v>7.7828707670084141</v>
          </cell>
          <cell r="J234">
            <v>7.8170800254048949</v>
          </cell>
          <cell r="K234">
            <v>7.9425837381325737</v>
          </cell>
          <cell r="L234">
            <v>8.148823148167418</v>
          </cell>
          <cell r="M234">
            <v>8.048239953161298</v>
          </cell>
          <cell r="N234">
            <v>8.0723223018900168</v>
          </cell>
          <cell r="O234">
            <v>8.1199524373571581</v>
          </cell>
          <cell r="P234">
            <v>8.0127770136982885</v>
          </cell>
          <cell r="Q234">
            <v>8.0406760333259442</v>
          </cell>
          <cell r="R234">
            <v>7.9419319935799679</v>
          </cell>
          <cell r="S234">
            <v>7.9369509697475698</v>
          </cell>
          <cell r="T234">
            <v>7.9369509697475698</v>
          </cell>
          <cell r="U234">
            <v>7.9369509697475698</v>
          </cell>
          <cell r="V234">
            <v>7.9369509697475698</v>
          </cell>
          <cell r="W234">
            <v>7.9369509697475698</v>
          </cell>
          <cell r="X234">
            <v>7.9369509697475698</v>
          </cell>
          <cell r="Y234">
            <v>7.9369509697475698</v>
          </cell>
          <cell r="Z234">
            <v>7.9369509697475698</v>
          </cell>
          <cell r="AA234">
            <v>7.9369509697475698</v>
          </cell>
          <cell r="AB234">
            <v>7.9369509697475698</v>
          </cell>
          <cell r="AC234">
            <v>7.9369509697475698</v>
          </cell>
          <cell r="AD234">
            <v>7.9369509697475698</v>
          </cell>
          <cell r="AE234">
            <v>7.9369509697475698</v>
          </cell>
          <cell r="AF234">
            <v>7.9369509697475698</v>
          </cell>
        </row>
        <row r="235">
          <cell r="A235" t="str">
            <v>Mississippi</v>
          </cell>
          <cell r="B235">
            <v>8.0659099007677018</v>
          </cell>
          <cell r="C235">
            <v>8.0989381615450267</v>
          </cell>
          <cell r="D235">
            <v>7.9370938386556107</v>
          </cell>
          <cell r="E235">
            <v>7.900077226787678</v>
          </cell>
          <cell r="F235">
            <v>7.9344054631506671</v>
          </cell>
          <cell r="G235">
            <v>7.8546014590516071</v>
          </cell>
          <cell r="H235">
            <v>7.8213372251499544</v>
          </cell>
          <cell r="I235">
            <v>7.9218328712060915</v>
          </cell>
          <cell r="J235">
            <v>7.9567427782022992</v>
          </cell>
          <cell r="K235">
            <v>8.0847755865398199</v>
          </cell>
          <cell r="L235">
            <v>8.2951621179357637</v>
          </cell>
          <cell r="M235">
            <v>8.1925613898602716</v>
          </cell>
          <cell r="N235">
            <v>8.2171348140345692</v>
          </cell>
          <cell r="O235">
            <v>8.2656935808985406</v>
          </cell>
          <cell r="P235">
            <v>8.1563478501583351</v>
          </cell>
          <cell r="Q235">
            <v>8.1848160141874491</v>
          </cell>
          <cell r="R235">
            <v>8.084098215274329</v>
          </cell>
          <cell r="S235">
            <v>8.0790185934377821</v>
          </cell>
          <cell r="T235">
            <v>8.0790185934377821</v>
          </cell>
          <cell r="U235">
            <v>8.0790185934377821</v>
          </cell>
          <cell r="V235">
            <v>8.0790185934377821</v>
          </cell>
          <cell r="W235">
            <v>8.0790185934377821</v>
          </cell>
          <cell r="X235">
            <v>8.0790185934377821</v>
          </cell>
          <cell r="Y235">
            <v>8.0790185934377821</v>
          </cell>
          <cell r="Z235">
            <v>8.0790185934377821</v>
          </cell>
          <cell r="AA235">
            <v>8.0790185934377821</v>
          </cell>
          <cell r="AB235">
            <v>8.0790185934377821</v>
          </cell>
          <cell r="AC235">
            <v>8.0790185934377821</v>
          </cell>
          <cell r="AD235">
            <v>8.0790185934377821</v>
          </cell>
          <cell r="AE235">
            <v>8.0790185934377821</v>
          </cell>
          <cell r="AF235">
            <v>8.0790185934377821</v>
          </cell>
        </row>
        <row r="236">
          <cell r="A236" t="str">
            <v>Missouri</v>
          </cell>
          <cell r="B236">
            <v>7.9243700298127351</v>
          </cell>
          <cell r="C236">
            <v>7.9567155134217895</v>
          </cell>
          <cell r="D236">
            <v>7.7979813944153857</v>
          </cell>
          <cell r="E236">
            <v>7.7616566443619979</v>
          </cell>
          <cell r="F236">
            <v>7.7952981209275078</v>
          </cell>
          <cell r="G236">
            <v>7.7169964745745911</v>
          </cell>
          <cell r="H236">
            <v>7.6843734556249288</v>
          </cell>
          <cell r="I236">
            <v>7.7828707670084132</v>
          </cell>
          <cell r="J236">
            <v>7.8170800254048967</v>
          </cell>
          <cell r="K236">
            <v>7.9425837381325737</v>
          </cell>
          <cell r="L236">
            <v>8.1488231481674198</v>
          </cell>
          <cell r="M236">
            <v>8.0482399531612927</v>
          </cell>
          <cell r="N236">
            <v>8.0723223018900168</v>
          </cell>
          <cell r="O236">
            <v>8.1199524373571563</v>
          </cell>
          <cell r="P236">
            <v>8.0127770136982868</v>
          </cell>
          <cell r="Q236">
            <v>8.0406760333259459</v>
          </cell>
          <cell r="R236">
            <v>7.9419319935799679</v>
          </cell>
          <cell r="S236">
            <v>7.9369509697475698</v>
          </cell>
          <cell r="T236">
            <v>7.9369509697475698</v>
          </cell>
          <cell r="U236">
            <v>7.9369509697475698</v>
          </cell>
          <cell r="V236">
            <v>7.9369509697475698</v>
          </cell>
          <cell r="W236">
            <v>7.9369509697475698</v>
          </cell>
          <cell r="X236">
            <v>7.9369509697475698</v>
          </cell>
          <cell r="Y236">
            <v>7.9369509697475698</v>
          </cell>
          <cell r="Z236">
            <v>7.9369509697475698</v>
          </cell>
          <cell r="AA236">
            <v>7.9369509697475698</v>
          </cell>
          <cell r="AB236">
            <v>7.9369509697475698</v>
          </cell>
          <cell r="AC236">
            <v>7.9369509697475698</v>
          </cell>
          <cell r="AD236">
            <v>7.9369509697475698</v>
          </cell>
          <cell r="AE236">
            <v>7.9369509697475698</v>
          </cell>
          <cell r="AF236">
            <v>7.9369509697475698</v>
          </cell>
        </row>
        <row r="237">
          <cell r="A237" t="str">
            <v>Montana</v>
          </cell>
          <cell r="B237">
            <v>7.3788719137507126</v>
          </cell>
          <cell r="C237">
            <v>7.4086256629764762</v>
          </cell>
          <cell r="D237">
            <v>7.2617743982070593</v>
          </cell>
          <cell r="E237">
            <v>7.2280998267903103</v>
          </cell>
          <cell r="F237">
            <v>7.2591269754209042</v>
          </cell>
          <cell r="G237">
            <v>7.1865762225420768</v>
          </cell>
          <cell r="H237">
            <v>7.1564023400807004</v>
          </cell>
          <cell r="I237">
            <v>7.24728837608476</v>
          </cell>
          <cell r="J237">
            <v>7.2788311952686664</v>
          </cell>
          <cell r="K237">
            <v>7.3946963581514398</v>
          </cell>
          <cell r="L237">
            <v>7.5851278256998356</v>
          </cell>
          <cell r="M237">
            <v>7.4922367230291824</v>
          </cell>
          <cell r="N237">
            <v>7.5144494869107357</v>
          </cell>
          <cell r="O237">
            <v>7.5585300972912437</v>
          </cell>
          <cell r="P237">
            <v>7.45962232048125</v>
          </cell>
          <cell r="Q237">
            <v>7.4853546169922769</v>
          </cell>
          <cell r="R237">
            <v>7.3941380931145373</v>
          </cell>
          <cell r="S237">
            <v>7.3895334282516076</v>
          </cell>
          <cell r="T237">
            <v>7.3895334282516076</v>
          </cell>
          <cell r="U237">
            <v>7.3895334282516076</v>
          </cell>
          <cell r="V237">
            <v>7.3895334282516076</v>
          </cell>
          <cell r="W237">
            <v>7.3895334282516076</v>
          </cell>
          <cell r="X237">
            <v>7.3895334282516076</v>
          </cell>
          <cell r="Y237">
            <v>7.3895334282516076</v>
          </cell>
          <cell r="Z237">
            <v>7.3895334282516076</v>
          </cell>
          <cell r="AA237">
            <v>7.3895334282516076</v>
          </cell>
          <cell r="AB237">
            <v>7.3895334282516076</v>
          </cell>
          <cell r="AC237">
            <v>7.3895334282516076</v>
          </cell>
          <cell r="AD237">
            <v>7.3895334282516076</v>
          </cell>
          <cell r="AE237">
            <v>7.3895334282516076</v>
          </cell>
          <cell r="AF237">
            <v>7.3895334282516076</v>
          </cell>
        </row>
        <row r="238">
          <cell r="A238" t="str">
            <v>Nebraska</v>
          </cell>
          <cell r="B238">
            <v>7.3788719137507099</v>
          </cell>
          <cell r="C238">
            <v>7.4086256629764744</v>
          </cell>
          <cell r="D238">
            <v>7.2617743982070575</v>
          </cell>
          <cell r="E238">
            <v>7.2280998267903103</v>
          </cell>
          <cell r="F238">
            <v>7.2591269754209069</v>
          </cell>
          <cell r="G238">
            <v>7.1865762225420777</v>
          </cell>
          <cell r="H238">
            <v>7.1564023400807031</v>
          </cell>
          <cell r="I238">
            <v>7.24728837608476</v>
          </cell>
          <cell r="J238">
            <v>7.2788311952686691</v>
          </cell>
          <cell r="K238">
            <v>7.3946963581514389</v>
          </cell>
          <cell r="L238">
            <v>7.5851278256998356</v>
          </cell>
          <cell r="M238">
            <v>7.4922367230291824</v>
          </cell>
          <cell r="N238">
            <v>7.5144494869107339</v>
          </cell>
          <cell r="O238">
            <v>7.5585300972912437</v>
          </cell>
          <cell r="P238">
            <v>7.4596223204812508</v>
          </cell>
          <cell r="Q238">
            <v>7.4853546169922787</v>
          </cell>
          <cell r="R238">
            <v>7.3941380931145391</v>
          </cell>
          <cell r="S238">
            <v>7.3895334282516076</v>
          </cell>
          <cell r="T238">
            <v>7.3895334282516076</v>
          </cell>
          <cell r="U238">
            <v>7.3895334282516076</v>
          </cell>
          <cell r="V238">
            <v>7.3895334282516076</v>
          </cell>
          <cell r="W238">
            <v>7.3895334282516076</v>
          </cell>
          <cell r="X238">
            <v>7.3895334282516076</v>
          </cell>
          <cell r="Y238">
            <v>7.3895334282516076</v>
          </cell>
          <cell r="Z238">
            <v>7.3895334282516076</v>
          </cell>
          <cell r="AA238">
            <v>7.3895334282516076</v>
          </cell>
          <cell r="AB238">
            <v>7.3895334282516076</v>
          </cell>
          <cell r="AC238">
            <v>7.3895334282516076</v>
          </cell>
          <cell r="AD238">
            <v>7.3895334282516076</v>
          </cell>
          <cell r="AE238">
            <v>7.3895334282516076</v>
          </cell>
          <cell r="AF238">
            <v>7.3895334282516076</v>
          </cell>
        </row>
        <row r="239">
          <cell r="A239" t="str">
            <v>Nevada</v>
          </cell>
          <cell r="B239">
            <v>10.596503245093542</v>
          </cell>
          <cell r="C239">
            <v>10.642481894807183</v>
          </cell>
          <cell r="D239">
            <v>10.423085031136063</v>
          </cell>
          <cell r="E239">
            <v>10.373394083792569</v>
          </cell>
          <cell r="F239">
            <v>10.420608350519522</v>
          </cell>
          <cell r="G239">
            <v>10.313209563681211</v>
          </cell>
          <cell r="H239">
            <v>10.268067078783808</v>
          </cell>
          <cell r="I239">
            <v>10.405981790192174</v>
          </cell>
          <cell r="J239">
            <v>10.454052552618819</v>
          </cell>
          <cell r="K239">
            <v>10.629336189525148</v>
          </cell>
          <cell r="L239">
            <v>10.917147003589587</v>
          </cell>
          <cell r="M239">
            <v>10.776911693796198</v>
          </cell>
          <cell r="N239">
            <v>10.81069605738586</v>
          </cell>
          <cell r="O239">
            <v>10.876408802695064</v>
          </cell>
          <cell r="P239">
            <v>10.726449277396085</v>
          </cell>
          <cell r="Q239">
            <v>10.7655941892349</v>
          </cell>
          <cell r="R239">
            <v>10.628101712666934</v>
          </cell>
          <cell r="S239">
            <v>10.621191137924193</v>
          </cell>
          <cell r="T239">
            <v>10.621191137924193</v>
          </cell>
          <cell r="U239">
            <v>10.621191137924193</v>
          </cell>
          <cell r="V239">
            <v>10.621191137924193</v>
          </cell>
          <cell r="W239">
            <v>10.621191137924193</v>
          </cell>
          <cell r="X239">
            <v>10.621191137924193</v>
          </cell>
          <cell r="Y239">
            <v>10.621191137924193</v>
          </cell>
          <cell r="Z239">
            <v>10.621191137924193</v>
          </cell>
          <cell r="AA239">
            <v>10.621191137924193</v>
          </cell>
          <cell r="AB239">
            <v>10.621191137924193</v>
          </cell>
          <cell r="AC239">
            <v>10.621191137924193</v>
          </cell>
          <cell r="AD239">
            <v>10.621191137924193</v>
          </cell>
          <cell r="AE239">
            <v>10.621191137924193</v>
          </cell>
          <cell r="AF239">
            <v>10.621191137924193</v>
          </cell>
        </row>
        <row r="240">
          <cell r="A240" t="str">
            <v>New Hampshire</v>
          </cell>
          <cell r="B240">
            <v>7.9215594275385479</v>
          </cell>
          <cell r="C240">
            <v>7.9538913967555009</v>
          </cell>
          <cell r="D240">
            <v>7.7952189235703724</v>
          </cell>
          <cell r="E240">
            <v>7.7589078941135101</v>
          </cell>
          <cell r="F240">
            <v>7.792535769223619</v>
          </cell>
          <cell r="G240">
            <v>7.7142639124590087</v>
          </cell>
          <cell r="H240">
            <v>7.6816536019541388</v>
          </cell>
          <cell r="I240">
            <v>7.7801113312867889</v>
          </cell>
          <cell r="J240">
            <v>7.8143067139936333</v>
          </cell>
          <cell r="K240">
            <v>7.9397603253273852</v>
          </cell>
          <cell r="L240">
            <v>8.1459175775786594</v>
          </cell>
          <cell r="M240">
            <v>8.045374353370029</v>
          </cell>
          <cell r="N240">
            <v>8.06944697602456</v>
          </cell>
          <cell r="O240">
            <v>8.1170587037908213</v>
          </cell>
          <cell r="P240">
            <v>8.0099262700288669</v>
          </cell>
          <cell r="Q240">
            <v>8.0378140174629724</v>
          </cell>
          <cell r="R240">
            <v>7.9391090838300844</v>
          </cell>
          <cell r="S240">
            <v>7.9341300138804041</v>
          </cell>
          <cell r="T240">
            <v>7.9341300138804041</v>
          </cell>
          <cell r="U240">
            <v>7.9341300138804041</v>
          </cell>
          <cell r="V240">
            <v>7.9341300138804041</v>
          </cell>
          <cell r="W240">
            <v>7.9341300138804041</v>
          </cell>
          <cell r="X240">
            <v>7.9341300138804041</v>
          </cell>
          <cell r="Y240">
            <v>7.9341300138804041</v>
          </cell>
          <cell r="Z240">
            <v>7.9341300138804041</v>
          </cell>
          <cell r="AA240">
            <v>7.9341300138804041</v>
          </cell>
          <cell r="AB240">
            <v>7.9341300138804041</v>
          </cell>
          <cell r="AC240">
            <v>7.9341300138804041</v>
          </cell>
          <cell r="AD240">
            <v>7.9341300138804041</v>
          </cell>
          <cell r="AE240">
            <v>7.9341300138804041</v>
          </cell>
          <cell r="AF240">
            <v>7.9341300138804041</v>
          </cell>
        </row>
        <row r="241">
          <cell r="A241" t="str">
            <v>New Jersey</v>
          </cell>
          <cell r="B241">
            <v>7.9215594275385479</v>
          </cell>
          <cell r="C241">
            <v>7.9538913967555009</v>
          </cell>
          <cell r="D241">
            <v>7.7952189235703724</v>
          </cell>
          <cell r="E241">
            <v>7.7589078941135092</v>
          </cell>
          <cell r="F241">
            <v>7.792535769223619</v>
          </cell>
          <cell r="G241">
            <v>7.7142639124590087</v>
          </cell>
          <cell r="H241">
            <v>7.6816536019541388</v>
          </cell>
          <cell r="I241">
            <v>7.7801113312867907</v>
          </cell>
          <cell r="J241">
            <v>7.8143067139936333</v>
          </cell>
          <cell r="K241">
            <v>7.9397603253273852</v>
          </cell>
          <cell r="L241">
            <v>8.1459175775786594</v>
          </cell>
          <cell r="M241">
            <v>8.045374353370029</v>
          </cell>
          <cell r="N241">
            <v>8.06944697602456</v>
          </cell>
          <cell r="O241">
            <v>8.1170587037908195</v>
          </cell>
          <cell r="P241">
            <v>8.0099262700288669</v>
          </cell>
          <cell r="Q241">
            <v>8.0378140174629724</v>
          </cell>
          <cell r="R241">
            <v>7.9391090838300844</v>
          </cell>
          <cell r="S241">
            <v>7.9341300138804023</v>
          </cell>
          <cell r="T241">
            <v>7.9341300138804023</v>
          </cell>
          <cell r="U241">
            <v>7.9341300138804023</v>
          </cell>
          <cell r="V241">
            <v>7.9341300138804023</v>
          </cell>
          <cell r="W241">
            <v>7.9341300138804023</v>
          </cell>
          <cell r="X241">
            <v>7.9341300138804023</v>
          </cell>
          <cell r="Y241">
            <v>7.9341300138804023</v>
          </cell>
          <cell r="Z241">
            <v>7.9341300138804023</v>
          </cell>
          <cell r="AA241">
            <v>7.9341300138804023</v>
          </cell>
          <cell r="AB241">
            <v>7.9341300138804023</v>
          </cell>
          <cell r="AC241">
            <v>7.9341300138804023</v>
          </cell>
          <cell r="AD241">
            <v>7.9341300138804023</v>
          </cell>
          <cell r="AE241">
            <v>7.9341300138804023</v>
          </cell>
          <cell r="AF241">
            <v>7.9341300138804023</v>
          </cell>
        </row>
        <row r="242">
          <cell r="A242" t="str">
            <v>New Mexico</v>
          </cell>
          <cell r="B242">
            <v>10.596503245093546</v>
          </cell>
          <cell r="C242">
            <v>10.642481894807183</v>
          </cell>
          <cell r="D242">
            <v>10.423085031136063</v>
          </cell>
          <cell r="E242">
            <v>10.373394083792569</v>
          </cell>
          <cell r="F242">
            <v>10.420608350519522</v>
          </cell>
          <cell r="G242">
            <v>10.313209563681212</v>
          </cell>
          <cell r="H242">
            <v>10.268067078783805</v>
          </cell>
          <cell r="I242">
            <v>10.405981790192174</v>
          </cell>
          <cell r="J242">
            <v>10.454052552618817</v>
          </cell>
          <cell r="K242">
            <v>10.629336189525148</v>
          </cell>
          <cell r="L242">
            <v>10.917147003589591</v>
          </cell>
          <cell r="M242">
            <v>10.776911693796199</v>
          </cell>
          <cell r="N242">
            <v>10.81069605738586</v>
          </cell>
          <cell r="O242">
            <v>10.876408802695064</v>
          </cell>
          <cell r="P242">
            <v>10.72644927739608</v>
          </cell>
          <cell r="Q242">
            <v>10.765594189234903</v>
          </cell>
          <cell r="R242">
            <v>10.628101712666936</v>
          </cell>
          <cell r="S242">
            <v>10.621191137924191</v>
          </cell>
          <cell r="T242">
            <v>10.621191137924191</v>
          </cell>
          <cell r="U242">
            <v>10.621191137924191</v>
          </cell>
          <cell r="V242">
            <v>10.621191137924191</v>
          </cell>
          <cell r="W242">
            <v>10.621191137924191</v>
          </cell>
          <cell r="X242">
            <v>10.621191137924191</v>
          </cell>
          <cell r="Y242">
            <v>10.621191137924191</v>
          </cell>
          <cell r="Z242">
            <v>10.621191137924191</v>
          </cell>
          <cell r="AA242">
            <v>10.621191137924191</v>
          </cell>
          <cell r="AB242">
            <v>10.621191137924191</v>
          </cell>
          <cell r="AC242">
            <v>10.621191137924191</v>
          </cell>
          <cell r="AD242">
            <v>10.621191137924191</v>
          </cell>
          <cell r="AE242">
            <v>10.621191137924191</v>
          </cell>
          <cell r="AF242">
            <v>10.621191137924191</v>
          </cell>
        </row>
        <row r="243">
          <cell r="A243" t="str">
            <v>New York</v>
          </cell>
          <cell r="B243">
            <v>7.9215594275385479</v>
          </cell>
          <cell r="C243">
            <v>7.9538913967555009</v>
          </cell>
          <cell r="D243">
            <v>7.7952189235703724</v>
          </cell>
          <cell r="E243">
            <v>7.7589078941135101</v>
          </cell>
          <cell r="F243">
            <v>7.7925357692236208</v>
          </cell>
          <cell r="G243">
            <v>7.7142639124590051</v>
          </cell>
          <cell r="H243">
            <v>7.681653601954137</v>
          </cell>
          <cell r="I243">
            <v>7.7801113312867889</v>
          </cell>
          <cell r="J243">
            <v>7.8143067139936333</v>
          </cell>
          <cell r="K243">
            <v>7.9397603253273834</v>
          </cell>
          <cell r="L243">
            <v>8.145917577578663</v>
          </cell>
          <cell r="M243">
            <v>8.0453743533700308</v>
          </cell>
          <cell r="N243">
            <v>8.06944697602456</v>
          </cell>
          <cell r="O243">
            <v>8.1170587037908231</v>
          </cell>
          <cell r="P243">
            <v>8.0099262700288651</v>
          </cell>
          <cell r="Q243">
            <v>8.0378140174629689</v>
          </cell>
          <cell r="R243">
            <v>7.9391090838300862</v>
          </cell>
          <cell r="S243">
            <v>7.9341300138804014</v>
          </cell>
          <cell r="T243">
            <v>7.9341300138804014</v>
          </cell>
          <cell r="U243">
            <v>7.9341300138804014</v>
          </cell>
          <cell r="V243">
            <v>7.9341300138804014</v>
          </cell>
          <cell r="W243">
            <v>7.9341300138804014</v>
          </cell>
          <cell r="X243">
            <v>7.9341300138804014</v>
          </cell>
          <cell r="Y243">
            <v>7.9341300138804014</v>
          </cell>
          <cell r="Z243">
            <v>7.9341300138804014</v>
          </cell>
          <cell r="AA243">
            <v>7.9341300138804014</v>
          </cell>
          <cell r="AB243">
            <v>7.9341300138804014</v>
          </cell>
          <cell r="AC243">
            <v>7.9341300138804014</v>
          </cell>
          <cell r="AD243">
            <v>7.9341300138804014</v>
          </cell>
          <cell r="AE243">
            <v>7.9341300138804014</v>
          </cell>
          <cell r="AF243">
            <v>7.9341300138804014</v>
          </cell>
        </row>
        <row r="244">
          <cell r="A244" t="str">
            <v>North Carolina</v>
          </cell>
          <cell r="B244">
            <v>8.0659099007676982</v>
          </cell>
          <cell r="C244">
            <v>8.0989381615450267</v>
          </cell>
          <cell r="D244">
            <v>7.937093838655608</v>
          </cell>
          <cell r="E244">
            <v>7.9000772267876789</v>
          </cell>
          <cell r="F244">
            <v>7.934405463150668</v>
          </cell>
          <cell r="G244">
            <v>7.8546014590516071</v>
          </cell>
          <cell r="H244">
            <v>7.8213372251499536</v>
          </cell>
          <cell r="I244">
            <v>7.9218328712060915</v>
          </cell>
          <cell r="J244">
            <v>7.9567427782022975</v>
          </cell>
          <cell r="K244">
            <v>8.0847755865398216</v>
          </cell>
          <cell r="L244">
            <v>8.2951621179357655</v>
          </cell>
          <cell r="M244">
            <v>8.1925613898602716</v>
          </cell>
          <cell r="N244">
            <v>8.217134814034571</v>
          </cell>
          <cell r="O244">
            <v>8.2656935808985406</v>
          </cell>
          <cell r="P244">
            <v>8.1563478501583351</v>
          </cell>
          <cell r="Q244">
            <v>8.1848160141874491</v>
          </cell>
          <cell r="R244">
            <v>8.084098215274329</v>
          </cell>
          <cell r="S244">
            <v>8.0790185934377803</v>
          </cell>
          <cell r="T244">
            <v>8.0790185934377803</v>
          </cell>
          <cell r="U244">
            <v>8.0790185934377803</v>
          </cell>
          <cell r="V244">
            <v>8.0790185934377803</v>
          </cell>
          <cell r="W244">
            <v>8.0790185934377803</v>
          </cell>
          <cell r="X244">
            <v>8.0790185934377803</v>
          </cell>
          <cell r="Y244">
            <v>8.0790185934377803</v>
          </cell>
          <cell r="Z244">
            <v>8.0790185934377803</v>
          </cell>
          <cell r="AA244">
            <v>8.0790185934377803</v>
          </cell>
          <cell r="AB244">
            <v>8.0790185934377803</v>
          </cell>
          <cell r="AC244">
            <v>8.0790185934377803</v>
          </cell>
          <cell r="AD244">
            <v>8.0790185934377803</v>
          </cell>
          <cell r="AE244">
            <v>8.0790185934377803</v>
          </cell>
          <cell r="AF244">
            <v>8.0790185934377803</v>
          </cell>
        </row>
        <row r="245">
          <cell r="A245" t="str">
            <v>North Dakota</v>
          </cell>
          <cell r="B245">
            <v>7.3788719137507117</v>
          </cell>
          <cell r="C245">
            <v>7.4086256629764744</v>
          </cell>
          <cell r="D245">
            <v>7.2617743982070575</v>
          </cell>
          <cell r="E245">
            <v>7.2280998267903085</v>
          </cell>
          <cell r="F245">
            <v>7.2591269754209042</v>
          </cell>
          <cell r="G245">
            <v>7.1865762225420777</v>
          </cell>
          <cell r="H245">
            <v>7.1564023400807022</v>
          </cell>
          <cell r="I245">
            <v>7.24728837608476</v>
          </cell>
          <cell r="J245">
            <v>7.2788311952686673</v>
          </cell>
          <cell r="K245">
            <v>7.394696358151438</v>
          </cell>
          <cell r="L245">
            <v>7.5851278256998365</v>
          </cell>
          <cell r="M245">
            <v>7.4922367230291815</v>
          </cell>
          <cell r="N245">
            <v>7.5144494869107357</v>
          </cell>
          <cell r="O245">
            <v>7.5585300972912428</v>
          </cell>
          <cell r="P245">
            <v>7.45962232048125</v>
          </cell>
          <cell r="Q245">
            <v>7.4853546169922769</v>
          </cell>
          <cell r="R245">
            <v>7.3941380931145373</v>
          </cell>
          <cell r="S245">
            <v>7.3895334282516059</v>
          </cell>
          <cell r="T245">
            <v>7.3895334282516059</v>
          </cell>
          <cell r="U245">
            <v>7.3895334282516059</v>
          </cell>
          <cell r="V245">
            <v>7.3895334282516059</v>
          </cell>
          <cell r="W245">
            <v>7.3895334282516059</v>
          </cell>
          <cell r="X245">
            <v>7.3895334282516059</v>
          </cell>
          <cell r="Y245">
            <v>7.3895334282516059</v>
          </cell>
          <cell r="Z245">
            <v>7.3895334282516059</v>
          </cell>
          <cell r="AA245">
            <v>7.3895334282516059</v>
          </cell>
          <cell r="AB245">
            <v>7.3895334282516059</v>
          </cell>
          <cell r="AC245">
            <v>7.3895334282516059</v>
          </cell>
          <cell r="AD245">
            <v>7.3895334282516059</v>
          </cell>
          <cell r="AE245">
            <v>7.3895334282516059</v>
          </cell>
          <cell r="AF245">
            <v>7.3895334282516059</v>
          </cell>
        </row>
        <row r="246">
          <cell r="A246" t="str">
            <v>Ohio</v>
          </cell>
          <cell r="B246">
            <v>7.9243700298127315</v>
          </cell>
          <cell r="C246">
            <v>7.9567155134217895</v>
          </cell>
          <cell r="D246">
            <v>7.797981394415384</v>
          </cell>
          <cell r="E246">
            <v>7.761656644361997</v>
          </cell>
          <cell r="F246">
            <v>7.7952981209275096</v>
          </cell>
          <cell r="G246">
            <v>7.7169964745745911</v>
          </cell>
          <cell r="H246">
            <v>7.6843734556249315</v>
          </cell>
          <cell r="I246">
            <v>7.7828707670084105</v>
          </cell>
          <cell r="J246">
            <v>7.8170800254048975</v>
          </cell>
          <cell r="K246">
            <v>7.9425837381325737</v>
          </cell>
          <cell r="L246">
            <v>8.148823148167418</v>
          </cell>
          <cell r="M246">
            <v>8.0482399531612945</v>
          </cell>
          <cell r="N246">
            <v>8.0723223018900168</v>
          </cell>
          <cell r="O246">
            <v>8.1199524373571546</v>
          </cell>
          <cell r="P246">
            <v>8.0127770136982885</v>
          </cell>
          <cell r="Q246">
            <v>8.0406760333259442</v>
          </cell>
          <cell r="R246">
            <v>7.9419319935799688</v>
          </cell>
          <cell r="S246">
            <v>7.9369509697475715</v>
          </cell>
          <cell r="T246">
            <v>7.9369509697475715</v>
          </cell>
          <cell r="U246">
            <v>7.9369509697475715</v>
          </cell>
          <cell r="V246">
            <v>7.9369509697475715</v>
          </cell>
          <cell r="W246">
            <v>7.9369509697475715</v>
          </cell>
          <cell r="X246">
            <v>7.9369509697475715</v>
          </cell>
          <cell r="Y246">
            <v>7.9369509697475715</v>
          </cell>
          <cell r="Z246">
            <v>7.9369509697475715</v>
          </cell>
          <cell r="AA246">
            <v>7.9369509697475715</v>
          </cell>
          <cell r="AB246">
            <v>7.9369509697475715</v>
          </cell>
          <cell r="AC246">
            <v>7.9369509697475715</v>
          </cell>
          <cell r="AD246">
            <v>7.9369509697475715</v>
          </cell>
          <cell r="AE246">
            <v>7.9369509697475715</v>
          </cell>
          <cell r="AF246">
            <v>7.9369509697475715</v>
          </cell>
        </row>
        <row r="247">
          <cell r="A247" t="str">
            <v>Oklahoma</v>
          </cell>
          <cell r="B247">
            <v>8.0396625992178592</v>
          </cell>
          <cell r="C247">
            <v>8.072563922339496</v>
          </cell>
          <cell r="D247">
            <v>7.9112972038395863</v>
          </cell>
          <cell r="E247">
            <v>7.8744090238292559</v>
          </cell>
          <cell r="F247">
            <v>7.9086096428794299</v>
          </cell>
          <cell r="G247">
            <v>7.8290845564492475</v>
          </cell>
          <cell r="H247">
            <v>7.7959394099325241</v>
          </cell>
          <cell r="I247">
            <v>7.8960637482708478</v>
          </cell>
          <cell r="J247">
            <v>7.9308434508862362</v>
          </cell>
          <cell r="K247">
            <v>8.0584063779645341</v>
          </cell>
          <cell r="L247">
            <v>8.2680224390261703</v>
          </cell>
          <cell r="M247">
            <v>8.1657965233554783</v>
          </cell>
          <cell r="N247">
            <v>8.1902786947722923</v>
          </cell>
          <cell r="O247">
            <v>8.2386650159339023</v>
          </cell>
          <cell r="P247">
            <v>8.1297225357937268</v>
          </cell>
          <cell r="Q247">
            <v>8.1580849394648745</v>
          </cell>
          <cell r="R247">
            <v>8.0577338019142157</v>
          </cell>
          <cell r="S247">
            <v>8.0526724937833247</v>
          </cell>
          <cell r="T247">
            <v>8.0526724937833247</v>
          </cell>
          <cell r="U247">
            <v>8.0526724937833247</v>
          </cell>
          <cell r="V247">
            <v>8.0526724937833247</v>
          </cell>
          <cell r="W247">
            <v>8.0526724937833247</v>
          </cell>
          <cell r="X247">
            <v>8.0526724937833247</v>
          </cell>
          <cell r="Y247">
            <v>8.0526724937833247</v>
          </cell>
          <cell r="Z247">
            <v>8.0526724937833247</v>
          </cell>
          <cell r="AA247">
            <v>8.0526724937833247</v>
          </cell>
          <cell r="AB247">
            <v>8.0526724937833247</v>
          </cell>
          <cell r="AC247">
            <v>8.0526724937833247</v>
          </cell>
          <cell r="AD247">
            <v>8.0526724937833247</v>
          </cell>
          <cell r="AE247">
            <v>8.0526724937833247</v>
          </cell>
          <cell r="AF247">
            <v>8.0526724937833247</v>
          </cell>
        </row>
        <row r="248">
          <cell r="A248" t="str">
            <v>Oregon</v>
          </cell>
          <cell r="B248">
            <v>10.596503245093544</v>
          </cell>
          <cell r="C248">
            <v>10.642481894807185</v>
          </cell>
          <cell r="D248">
            <v>10.423085031136061</v>
          </cell>
          <cell r="E248">
            <v>10.373394083792565</v>
          </cell>
          <cell r="F248">
            <v>10.420608350519522</v>
          </cell>
          <cell r="G248">
            <v>10.313209563681218</v>
          </cell>
          <cell r="H248">
            <v>10.268067078783805</v>
          </cell>
          <cell r="I248">
            <v>10.405981790192175</v>
          </cell>
          <cell r="J248">
            <v>10.454052552618821</v>
          </cell>
          <cell r="K248">
            <v>10.629336189525148</v>
          </cell>
          <cell r="L248">
            <v>10.917147003589593</v>
          </cell>
          <cell r="M248">
            <v>10.776911693796198</v>
          </cell>
          <cell r="N248">
            <v>10.810696057385858</v>
          </cell>
          <cell r="O248">
            <v>10.876408802695062</v>
          </cell>
          <cell r="P248">
            <v>10.72644927739608</v>
          </cell>
          <cell r="Q248">
            <v>10.765594189234903</v>
          </cell>
          <cell r="R248">
            <v>10.628101712666936</v>
          </cell>
          <cell r="S248">
            <v>10.621191137924191</v>
          </cell>
          <cell r="T248">
            <v>10.621191137924191</v>
          </cell>
          <cell r="U248">
            <v>10.621191137924191</v>
          </cell>
          <cell r="V248">
            <v>10.621191137924191</v>
          </cell>
          <cell r="W248">
            <v>10.621191137924191</v>
          </cell>
          <cell r="X248">
            <v>10.621191137924191</v>
          </cell>
          <cell r="Y248">
            <v>10.621191137924191</v>
          </cell>
          <cell r="Z248">
            <v>10.621191137924191</v>
          </cell>
          <cell r="AA248">
            <v>10.621191137924191</v>
          </cell>
          <cell r="AB248">
            <v>10.621191137924191</v>
          </cell>
          <cell r="AC248">
            <v>10.621191137924191</v>
          </cell>
          <cell r="AD248">
            <v>10.621191137924191</v>
          </cell>
          <cell r="AE248">
            <v>10.621191137924191</v>
          </cell>
          <cell r="AF248">
            <v>10.621191137924191</v>
          </cell>
        </row>
        <row r="249">
          <cell r="A249" t="str">
            <v>Pennsylvania</v>
          </cell>
          <cell r="B249">
            <v>7.9215594275385524</v>
          </cell>
          <cell r="C249">
            <v>7.9538913967555009</v>
          </cell>
          <cell r="D249">
            <v>7.7952189235703724</v>
          </cell>
          <cell r="E249">
            <v>7.7589078941135101</v>
          </cell>
          <cell r="F249">
            <v>7.7925357692236181</v>
          </cell>
          <cell r="G249">
            <v>7.714263912459006</v>
          </cell>
          <cell r="H249">
            <v>7.6816536019541397</v>
          </cell>
          <cell r="I249">
            <v>7.7801113312867907</v>
          </cell>
          <cell r="J249">
            <v>7.8143067139936333</v>
          </cell>
          <cell r="K249">
            <v>7.9397603253273861</v>
          </cell>
          <cell r="L249">
            <v>8.1459175775786594</v>
          </cell>
          <cell r="M249">
            <v>8.045374353370029</v>
          </cell>
          <cell r="N249">
            <v>8.06944697602456</v>
          </cell>
          <cell r="O249">
            <v>8.1170587037908231</v>
          </cell>
          <cell r="P249">
            <v>8.0099262700288669</v>
          </cell>
          <cell r="Q249">
            <v>8.0378140174629724</v>
          </cell>
          <cell r="R249">
            <v>7.9391090838300862</v>
          </cell>
          <cell r="S249">
            <v>7.9341300138804023</v>
          </cell>
          <cell r="T249">
            <v>7.9341300138804023</v>
          </cell>
          <cell r="U249">
            <v>7.9341300138804023</v>
          </cell>
          <cell r="V249">
            <v>7.9341300138804023</v>
          </cell>
          <cell r="W249">
            <v>7.9341300138804023</v>
          </cell>
          <cell r="X249">
            <v>7.9341300138804023</v>
          </cell>
          <cell r="Y249">
            <v>7.9341300138804023</v>
          </cell>
          <cell r="Z249">
            <v>7.9341300138804023</v>
          </cell>
          <cell r="AA249">
            <v>7.9341300138804023</v>
          </cell>
          <cell r="AB249">
            <v>7.9341300138804023</v>
          </cell>
          <cell r="AC249">
            <v>7.9341300138804023</v>
          </cell>
          <cell r="AD249">
            <v>7.9341300138804023</v>
          </cell>
          <cell r="AE249">
            <v>7.9341300138804023</v>
          </cell>
          <cell r="AF249">
            <v>7.9341300138804023</v>
          </cell>
        </row>
        <row r="250">
          <cell r="A250" t="str">
            <v>Rhode Island</v>
          </cell>
          <cell r="B250">
            <v>7.9215594275385479</v>
          </cell>
          <cell r="C250">
            <v>7.9538913967555009</v>
          </cell>
          <cell r="D250">
            <v>7.7952189235703715</v>
          </cell>
          <cell r="E250">
            <v>7.7589078941135101</v>
          </cell>
          <cell r="F250">
            <v>7.7925357692236217</v>
          </cell>
          <cell r="G250">
            <v>7.7142639124590087</v>
          </cell>
          <cell r="H250">
            <v>7.6816536019541388</v>
          </cell>
          <cell r="I250">
            <v>7.7801113312867916</v>
          </cell>
          <cell r="J250">
            <v>7.8143067139936333</v>
          </cell>
          <cell r="K250">
            <v>7.9397603253273852</v>
          </cell>
          <cell r="L250">
            <v>8.1459175775786594</v>
          </cell>
          <cell r="M250">
            <v>8.0453743533700308</v>
          </cell>
          <cell r="N250">
            <v>8.06944697602456</v>
          </cell>
          <cell r="O250">
            <v>8.1170587037908195</v>
          </cell>
          <cell r="P250">
            <v>8.0099262700288669</v>
          </cell>
          <cell r="Q250">
            <v>8.0378140174629724</v>
          </cell>
          <cell r="R250">
            <v>7.9391090838300871</v>
          </cell>
          <cell r="S250">
            <v>7.9341300138804041</v>
          </cell>
          <cell r="T250">
            <v>7.9341300138804041</v>
          </cell>
          <cell r="U250">
            <v>7.9341300138804041</v>
          </cell>
          <cell r="V250">
            <v>7.9341300138804041</v>
          </cell>
          <cell r="W250">
            <v>7.9341300138804041</v>
          </cell>
          <cell r="X250">
            <v>7.9341300138804041</v>
          </cell>
          <cell r="Y250">
            <v>7.9341300138804041</v>
          </cell>
          <cell r="Z250">
            <v>7.9341300138804041</v>
          </cell>
          <cell r="AA250">
            <v>7.9341300138804041</v>
          </cell>
          <cell r="AB250">
            <v>7.9341300138804041</v>
          </cell>
          <cell r="AC250">
            <v>7.9341300138804041</v>
          </cell>
          <cell r="AD250">
            <v>7.9341300138804041</v>
          </cell>
          <cell r="AE250">
            <v>7.9341300138804041</v>
          </cell>
          <cell r="AF250">
            <v>7.9341300138804041</v>
          </cell>
        </row>
        <row r="251">
          <cell r="A251" t="str">
            <v>South Carolina</v>
          </cell>
          <cell r="B251">
            <v>8.0659099007677</v>
          </cell>
          <cell r="C251">
            <v>8.0989381615450249</v>
          </cell>
          <cell r="D251">
            <v>7.9370938386556098</v>
          </cell>
          <cell r="E251">
            <v>7.9000772267876833</v>
          </cell>
          <cell r="F251">
            <v>7.9344054631506653</v>
          </cell>
          <cell r="G251">
            <v>7.854601459051608</v>
          </cell>
          <cell r="H251">
            <v>7.8213372251499562</v>
          </cell>
          <cell r="I251">
            <v>7.9218328712060924</v>
          </cell>
          <cell r="J251">
            <v>7.9567427782022992</v>
          </cell>
          <cell r="K251">
            <v>8.0847755865398199</v>
          </cell>
          <cell r="L251">
            <v>8.2951621179357655</v>
          </cell>
          <cell r="M251">
            <v>8.1925613898602716</v>
          </cell>
          <cell r="N251">
            <v>8.217134814034571</v>
          </cell>
          <cell r="O251">
            <v>8.2656935808985406</v>
          </cell>
          <cell r="P251">
            <v>8.1563478501583369</v>
          </cell>
          <cell r="Q251">
            <v>8.1848160141874491</v>
          </cell>
          <cell r="R251">
            <v>8.084098215274329</v>
          </cell>
          <cell r="S251">
            <v>8.0790185934377803</v>
          </cell>
          <cell r="T251">
            <v>8.0790185934377803</v>
          </cell>
          <cell r="U251">
            <v>8.0790185934377803</v>
          </cell>
          <cell r="V251">
            <v>8.0790185934377803</v>
          </cell>
          <cell r="W251">
            <v>8.0790185934377803</v>
          </cell>
          <cell r="X251">
            <v>8.0790185934377803</v>
          </cell>
          <cell r="Y251">
            <v>8.0790185934377803</v>
          </cell>
          <cell r="Z251">
            <v>8.0790185934377803</v>
          </cell>
          <cell r="AA251">
            <v>8.0790185934377803</v>
          </cell>
          <cell r="AB251">
            <v>8.0790185934377803</v>
          </cell>
          <cell r="AC251">
            <v>8.0790185934377803</v>
          </cell>
          <cell r="AD251">
            <v>8.0790185934377803</v>
          </cell>
          <cell r="AE251">
            <v>8.0790185934377803</v>
          </cell>
          <cell r="AF251">
            <v>8.0790185934377803</v>
          </cell>
        </row>
        <row r="252">
          <cell r="A252" t="str">
            <v>South Dakota</v>
          </cell>
          <cell r="B252">
            <v>7.3788719137507091</v>
          </cell>
          <cell r="C252">
            <v>7.4086256629764744</v>
          </cell>
          <cell r="D252">
            <v>7.2617743982070584</v>
          </cell>
          <cell r="E252">
            <v>7.2280998267903112</v>
          </cell>
          <cell r="F252">
            <v>7.2591269754209069</v>
          </cell>
          <cell r="G252">
            <v>7.1865762225420768</v>
          </cell>
          <cell r="H252">
            <v>7.1564023400807022</v>
          </cell>
          <cell r="I252">
            <v>7.2472883760847617</v>
          </cell>
          <cell r="J252">
            <v>7.2788311952686655</v>
          </cell>
          <cell r="K252">
            <v>7.3946963581514389</v>
          </cell>
          <cell r="L252">
            <v>7.5851278256998338</v>
          </cell>
          <cell r="M252">
            <v>7.4922367230291824</v>
          </cell>
          <cell r="N252">
            <v>7.5144494869107339</v>
          </cell>
          <cell r="O252">
            <v>7.5585300972912428</v>
          </cell>
          <cell r="P252">
            <v>7.4596223204812526</v>
          </cell>
          <cell r="Q252">
            <v>7.4853546169922769</v>
          </cell>
          <cell r="R252">
            <v>7.3941380931145364</v>
          </cell>
          <cell r="S252">
            <v>7.3895334282516059</v>
          </cell>
          <cell r="T252">
            <v>7.3895334282516059</v>
          </cell>
          <cell r="U252">
            <v>7.3895334282516059</v>
          </cell>
          <cell r="V252">
            <v>7.3895334282516059</v>
          </cell>
          <cell r="W252">
            <v>7.3895334282516059</v>
          </cell>
          <cell r="X252">
            <v>7.3895334282516059</v>
          </cell>
          <cell r="Y252">
            <v>7.3895334282516059</v>
          </cell>
          <cell r="Z252">
            <v>7.3895334282516059</v>
          </cell>
          <cell r="AA252">
            <v>7.3895334282516059</v>
          </cell>
          <cell r="AB252">
            <v>7.3895334282516059</v>
          </cell>
          <cell r="AC252">
            <v>7.3895334282516059</v>
          </cell>
          <cell r="AD252">
            <v>7.3895334282516059</v>
          </cell>
          <cell r="AE252">
            <v>7.3895334282516059</v>
          </cell>
          <cell r="AF252">
            <v>7.3895334282516059</v>
          </cell>
        </row>
        <row r="253">
          <cell r="A253" t="str">
            <v>Tennessee</v>
          </cell>
          <cell r="B253">
            <v>8.0659099007676982</v>
          </cell>
          <cell r="C253">
            <v>8.0989381615450249</v>
          </cell>
          <cell r="D253">
            <v>7.937093838655608</v>
          </cell>
          <cell r="E253">
            <v>7.9000772267876815</v>
          </cell>
          <cell r="F253">
            <v>7.9344054631506671</v>
          </cell>
          <cell r="G253">
            <v>7.8546014590516053</v>
          </cell>
          <cell r="H253">
            <v>7.8213372251499518</v>
          </cell>
          <cell r="I253">
            <v>7.9218328712060915</v>
          </cell>
          <cell r="J253">
            <v>7.9567427782022992</v>
          </cell>
          <cell r="K253">
            <v>8.0847755865398199</v>
          </cell>
          <cell r="L253">
            <v>8.2951621179357655</v>
          </cell>
          <cell r="M253">
            <v>8.1925613898602716</v>
          </cell>
          <cell r="N253">
            <v>8.2171348140345692</v>
          </cell>
          <cell r="O253">
            <v>8.2656935808985406</v>
          </cell>
          <cell r="P253">
            <v>8.1563478501583333</v>
          </cell>
          <cell r="Q253">
            <v>8.1848160141874491</v>
          </cell>
          <cell r="R253">
            <v>8.084098215274329</v>
          </cell>
          <cell r="S253">
            <v>8.0790185934377821</v>
          </cell>
          <cell r="T253">
            <v>8.0790185934377821</v>
          </cell>
          <cell r="U253">
            <v>8.0790185934377821</v>
          </cell>
          <cell r="V253">
            <v>8.0790185934377821</v>
          </cell>
          <cell r="W253">
            <v>8.0790185934377821</v>
          </cell>
          <cell r="X253">
            <v>8.0790185934377821</v>
          </cell>
          <cell r="Y253">
            <v>8.0790185934377821</v>
          </cell>
          <cell r="Z253">
            <v>8.0790185934377821</v>
          </cell>
          <cell r="AA253">
            <v>8.0790185934377821</v>
          </cell>
          <cell r="AB253">
            <v>8.0790185934377821</v>
          </cell>
          <cell r="AC253">
            <v>8.0790185934377821</v>
          </cell>
          <cell r="AD253">
            <v>8.0790185934377821</v>
          </cell>
          <cell r="AE253">
            <v>8.0790185934377821</v>
          </cell>
          <cell r="AF253">
            <v>8.0790185934377821</v>
          </cell>
        </row>
        <row r="254">
          <cell r="A254" t="str">
            <v>Texas</v>
          </cell>
          <cell r="B254">
            <v>8.0396625992178592</v>
          </cell>
          <cell r="C254">
            <v>8.0725639223394978</v>
          </cell>
          <cell r="D254">
            <v>7.9112972038395846</v>
          </cell>
          <cell r="E254">
            <v>7.8744090238292568</v>
          </cell>
          <cell r="F254">
            <v>7.9086096428794272</v>
          </cell>
          <cell r="G254">
            <v>7.8290845564492475</v>
          </cell>
          <cell r="H254">
            <v>7.7959394099325223</v>
          </cell>
          <cell r="I254">
            <v>7.8960637482708504</v>
          </cell>
          <cell r="J254">
            <v>7.9308434508862344</v>
          </cell>
          <cell r="K254">
            <v>8.0584063779645323</v>
          </cell>
          <cell r="L254">
            <v>8.2680224390261703</v>
          </cell>
          <cell r="M254">
            <v>8.1657965233554783</v>
          </cell>
          <cell r="N254">
            <v>8.1902786947722923</v>
          </cell>
          <cell r="O254">
            <v>8.2386650159338988</v>
          </cell>
          <cell r="P254">
            <v>8.1297225357937304</v>
          </cell>
          <cell r="Q254">
            <v>8.1580849394648745</v>
          </cell>
          <cell r="R254">
            <v>8.0577338019142175</v>
          </cell>
          <cell r="S254">
            <v>8.0526724937833247</v>
          </cell>
          <cell r="T254">
            <v>8.0526724937833247</v>
          </cell>
          <cell r="U254">
            <v>8.0526724937833247</v>
          </cell>
          <cell r="V254">
            <v>8.0526724937833247</v>
          </cell>
          <cell r="W254">
            <v>8.0526724937833247</v>
          </cell>
          <cell r="X254">
            <v>8.0526724937833247</v>
          </cell>
          <cell r="Y254">
            <v>8.0526724937833247</v>
          </cell>
          <cell r="Z254">
            <v>8.0526724937833247</v>
          </cell>
          <cell r="AA254">
            <v>8.0526724937833247</v>
          </cell>
          <cell r="AB254">
            <v>8.0526724937833247</v>
          </cell>
          <cell r="AC254">
            <v>8.0526724937833247</v>
          </cell>
          <cell r="AD254">
            <v>8.0526724937833247</v>
          </cell>
          <cell r="AE254">
            <v>8.0526724937833247</v>
          </cell>
          <cell r="AF254">
            <v>8.0526724937833247</v>
          </cell>
        </row>
        <row r="255">
          <cell r="A255" t="str">
            <v>Utah</v>
          </cell>
          <cell r="B255">
            <v>10.596503245093542</v>
          </cell>
          <cell r="C255">
            <v>10.642481894807185</v>
          </cell>
          <cell r="D255">
            <v>10.423085031136061</v>
          </cell>
          <cell r="E255">
            <v>10.373394083792567</v>
          </cell>
          <cell r="F255">
            <v>10.420608350519524</v>
          </cell>
          <cell r="G255">
            <v>10.313209563681211</v>
          </cell>
          <cell r="H255">
            <v>10.268067078783803</v>
          </cell>
          <cell r="I255">
            <v>10.405981790192175</v>
          </cell>
          <cell r="J255">
            <v>10.454052552618823</v>
          </cell>
          <cell r="K255">
            <v>10.629336189525146</v>
          </cell>
          <cell r="L255">
            <v>10.917147003589589</v>
          </cell>
          <cell r="M255">
            <v>10.776911693796198</v>
          </cell>
          <cell r="N255">
            <v>10.810696057385858</v>
          </cell>
          <cell r="O255">
            <v>10.87640880269506</v>
          </cell>
          <cell r="P255">
            <v>10.726449277396082</v>
          </cell>
          <cell r="Q255">
            <v>10.765594189234902</v>
          </cell>
          <cell r="R255">
            <v>10.628101712666934</v>
          </cell>
          <cell r="S255">
            <v>10.621191137924191</v>
          </cell>
          <cell r="T255">
            <v>10.621191137924191</v>
          </cell>
          <cell r="U255">
            <v>10.621191137924191</v>
          </cell>
          <cell r="V255">
            <v>10.621191137924191</v>
          </cell>
          <cell r="W255">
            <v>10.621191137924191</v>
          </cell>
          <cell r="X255">
            <v>10.621191137924191</v>
          </cell>
          <cell r="Y255">
            <v>10.621191137924191</v>
          </cell>
          <cell r="Z255">
            <v>10.621191137924191</v>
          </cell>
          <cell r="AA255">
            <v>10.621191137924191</v>
          </cell>
          <cell r="AB255">
            <v>10.621191137924191</v>
          </cell>
          <cell r="AC255">
            <v>10.621191137924191</v>
          </cell>
          <cell r="AD255">
            <v>10.621191137924191</v>
          </cell>
          <cell r="AE255">
            <v>10.621191137924191</v>
          </cell>
          <cell r="AF255">
            <v>10.621191137924191</v>
          </cell>
        </row>
        <row r="256">
          <cell r="A256" t="str">
            <v>Vermont</v>
          </cell>
          <cell r="B256">
            <v>7.9215594275385497</v>
          </cell>
          <cell r="C256">
            <v>7.9538913967555009</v>
          </cell>
          <cell r="D256">
            <v>7.7952189235703724</v>
          </cell>
          <cell r="E256">
            <v>7.7589078941135101</v>
          </cell>
          <cell r="F256">
            <v>7.7925357692236217</v>
          </cell>
          <cell r="G256">
            <v>7.7142639124590087</v>
          </cell>
          <cell r="H256">
            <v>7.6816536019541388</v>
          </cell>
          <cell r="I256">
            <v>7.7801113312867907</v>
          </cell>
          <cell r="J256">
            <v>7.8143067139936333</v>
          </cell>
          <cell r="K256">
            <v>7.9397603253273834</v>
          </cell>
          <cell r="L256">
            <v>8.1459175775786594</v>
          </cell>
          <cell r="M256">
            <v>8.045374353370029</v>
          </cell>
          <cell r="N256">
            <v>8.06944697602456</v>
          </cell>
          <cell r="O256">
            <v>8.1170587037908213</v>
          </cell>
          <cell r="P256">
            <v>8.0099262700288669</v>
          </cell>
          <cell r="Q256">
            <v>8.0378140174629706</v>
          </cell>
          <cell r="R256">
            <v>7.9391090838300871</v>
          </cell>
          <cell r="S256">
            <v>7.9341300138804023</v>
          </cell>
          <cell r="T256">
            <v>7.9341300138804023</v>
          </cell>
          <cell r="U256">
            <v>7.9341300138804023</v>
          </cell>
          <cell r="V256">
            <v>7.9341300138804023</v>
          </cell>
          <cell r="W256">
            <v>7.9341300138804023</v>
          </cell>
          <cell r="X256">
            <v>7.9341300138804023</v>
          </cell>
          <cell r="Y256">
            <v>7.9341300138804023</v>
          </cell>
          <cell r="Z256">
            <v>7.9341300138804023</v>
          </cell>
          <cell r="AA256">
            <v>7.9341300138804023</v>
          </cell>
          <cell r="AB256">
            <v>7.9341300138804023</v>
          </cell>
          <cell r="AC256">
            <v>7.9341300138804023</v>
          </cell>
          <cell r="AD256">
            <v>7.9341300138804023</v>
          </cell>
          <cell r="AE256">
            <v>7.9341300138804023</v>
          </cell>
          <cell r="AF256">
            <v>7.9341300138804023</v>
          </cell>
        </row>
        <row r="257">
          <cell r="A257" t="str">
            <v>Virginia</v>
          </cell>
          <cell r="B257">
            <v>8.0659099007677</v>
          </cell>
          <cell r="C257">
            <v>8.0989381615450284</v>
          </cell>
          <cell r="D257">
            <v>7.9370938386556098</v>
          </cell>
          <cell r="E257">
            <v>7.9000772267876771</v>
          </cell>
          <cell r="F257">
            <v>7.9344054631506653</v>
          </cell>
          <cell r="G257">
            <v>7.854601459051608</v>
          </cell>
          <cell r="H257">
            <v>7.8213372251499562</v>
          </cell>
          <cell r="I257">
            <v>7.9218328712060924</v>
          </cell>
          <cell r="J257">
            <v>7.9567427782022992</v>
          </cell>
          <cell r="K257">
            <v>8.0847755865398199</v>
          </cell>
          <cell r="L257">
            <v>8.2951621179357655</v>
          </cell>
          <cell r="M257">
            <v>8.1925613898602716</v>
          </cell>
          <cell r="N257">
            <v>8.2171348140345692</v>
          </cell>
          <cell r="O257">
            <v>8.2656935808985406</v>
          </cell>
          <cell r="P257">
            <v>8.1563478501583351</v>
          </cell>
          <cell r="Q257">
            <v>8.1848160141874491</v>
          </cell>
          <cell r="R257">
            <v>8.0840982152743273</v>
          </cell>
          <cell r="S257">
            <v>8.0790185934377803</v>
          </cell>
          <cell r="T257">
            <v>8.0790185934377803</v>
          </cell>
          <cell r="U257">
            <v>8.0790185934377803</v>
          </cell>
          <cell r="V257">
            <v>8.0790185934377803</v>
          </cell>
          <cell r="W257">
            <v>8.0790185934377803</v>
          </cell>
          <cell r="X257">
            <v>8.0790185934377803</v>
          </cell>
          <cell r="Y257">
            <v>8.0790185934377803</v>
          </cell>
          <cell r="Z257">
            <v>8.0790185934377803</v>
          </cell>
          <cell r="AA257">
            <v>8.0790185934377803</v>
          </cell>
          <cell r="AB257">
            <v>8.0790185934377803</v>
          </cell>
          <cell r="AC257">
            <v>8.0790185934377803</v>
          </cell>
          <cell r="AD257">
            <v>8.0790185934377803</v>
          </cell>
          <cell r="AE257">
            <v>8.0790185934377803</v>
          </cell>
          <cell r="AF257">
            <v>8.0790185934377803</v>
          </cell>
        </row>
        <row r="258">
          <cell r="A258" t="str">
            <v>Washington</v>
          </cell>
          <cell r="B258">
            <v>10.596503245093542</v>
          </cell>
          <cell r="C258">
            <v>10.642481894807185</v>
          </cell>
          <cell r="D258">
            <v>10.423085031136059</v>
          </cell>
          <cell r="E258">
            <v>10.373394083792565</v>
          </cell>
          <cell r="F258">
            <v>10.420608350519524</v>
          </cell>
          <cell r="G258">
            <v>10.313209563681211</v>
          </cell>
          <cell r="H258">
            <v>10.268067078783805</v>
          </cell>
          <cell r="I258">
            <v>10.405981790192174</v>
          </cell>
          <cell r="J258">
            <v>10.454052552618819</v>
          </cell>
          <cell r="K258">
            <v>10.629336189525144</v>
          </cell>
          <cell r="L258">
            <v>10.917147003589589</v>
          </cell>
          <cell r="M258">
            <v>10.776911693796198</v>
          </cell>
          <cell r="N258">
            <v>10.810696057385858</v>
          </cell>
          <cell r="O258">
            <v>10.876408802695062</v>
          </cell>
          <cell r="P258">
            <v>10.726449277396082</v>
          </cell>
          <cell r="Q258">
            <v>10.765594189234903</v>
          </cell>
          <cell r="R258">
            <v>10.628101712666936</v>
          </cell>
          <cell r="S258">
            <v>10.621191137924193</v>
          </cell>
          <cell r="T258">
            <v>10.621191137924193</v>
          </cell>
          <cell r="U258">
            <v>10.621191137924193</v>
          </cell>
          <cell r="V258">
            <v>10.621191137924193</v>
          </cell>
          <cell r="W258">
            <v>10.621191137924193</v>
          </cell>
          <cell r="X258">
            <v>10.621191137924193</v>
          </cell>
          <cell r="Y258">
            <v>10.621191137924193</v>
          </cell>
          <cell r="Z258">
            <v>10.621191137924193</v>
          </cell>
          <cell r="AA258">
            <v>10.621191137924193</v>
          </cell>
          <cell r="AB258">
            <v>10.621191137924193</v>
          </cell>
          <cell r="AC258">
            <v>10.621191137924193</v>
          </cell>
          <cell r="AD258">
            <v>10.621191137924193</v>
          </cell>
          <cell r="AE258">
            <v>10.621191137924193</v>
          </cell>
          <cell r="AF258">
            <v>10.621191137924193</v>
          </cell>
        </row>
        <row r="259">
          <cell r="A259" t="str">
            <v>West Virginia</v>
          </cell>
          <cell r="B259">
            <v>7.9215594275385497</v>
          </cell>
          <cell r="C259">
            <v>7.9538913967555009</v>
          </cell>
          <cell r="D259">
            <v>7.7952189235703724</v>
          </cell>
          <cell r="E259">
            <v>7.7589078941135101</v>
          </cell>
          <cell r="F259">
            <v>7.792535769223619</v>
          </cell>
          <cell r="G259">
            <v>7.7142639124590051</v>
          </cell>
          <cell r="H259">
            <v>7.6816536019541397</v>
          </cell>
          <cell r="I259">
            <v>7.7801113312867907</v>
          </cell>
          <cell r="J259">
            <v>7.8143067139936333</v>
          </cell>
          <cell r="K259">
            <v>7.9397603253273852</v>
          </cell>
          <cell r="L259">
            <v>8.1459175775786612</v>
          </cell>
          <cell r="M259">
            <v>8.0453743533700308</v>
          </cell>
          <cell r="N259">
            <v>8.0694469760245582</v>
          </cell>
          <cell r="O259">
            <v>8.1170587037908213</v>
          </cell>
          <cell r="P259">
            <v>8.0099262700288669</v>
          </cell>
          <cell r="Q259">
            <v>8.0378140174629724</v>
          </cell>
          <cell r="R259">
            <v>7.9391090838300817</v>
          </cell>
          <cell r="S259">
            <v>7.9341300138804023</v>
          </cell>
          <cell r="T259">
            <v>7.9341300138804023</v>
          </cell>
          <cell r="U259">
            <v>7.9341300138804023</v>
          </cell>
          <cell r="V259">
            <v>7.9341300138804023</v>
          </cell>
          <cell r="W259">
            <v>7.9341300138804023</v>
          </cell>
          <cell r="X259">
            <v>7.9341300138804023</v>
          </cell>
          <cell r="Y259">
            <v>7.9341300138804023</v>
          </cell>
          <cell r="Z259">
            <v>7.9341300138804023</v>
          </cell>
          <cell r="AA259">
            <v>7.9341300138804023</v>
          </cell>
          <cell r="AB259">
            <v>7.9341300138804023</v>
          </cell>
          <cell r="AC259">
            <v>7.9341300138804023</v>
          </cell>
          <cell r="AD259">
            <v>7.9341300138804023</v>
          </cell>
          <cell r="AE259">
            <v>7.9341300138804023</v>
          </cell>
          <cell r="AF259">
            <v>7.9341300138804023</v>
          </cell>
        </row>
        <row r="260">
          <cell r="A260" t="str">
            <v>Wisconsin</v>
          </cell>
          <cell r="B260">
            <v>7.9243700298127342</v>
          </cell>
          <cell r="C260">
            <v>7.9567155134217895</v>
          </cell>
          <cell r="D260">
            <v>7.797981394415384</v>
          </cell>
          <cell r="E260">
            <v>7.7616566443620005</v>
          </cell>
          <cell r="F260">
            <v>7.7952981209275105</v>
          </cell>
          <cell r="G260">
            <v>7.7169964745745929</v>
          </cell>
          <cell r="H260">
            <v>7.6843734556249341</v>
          </cell>
          <cell r="I260">
            <v>7.7828707670084132</v>
          </cell>
          <cell r="J260">
            <v>7.8170800254048949</v>
          </cell>
          <cell r="K260">
            <v>7.9425837381325737</v>
          </cell>
          <cell r="L260">
            <v>8.148823148167418</v>
          </cell>
          <cell r="M260">
            <v>8.0482399531612945</v>
          </cell>
          <cell r="N260">
            <v>8.0723223018900168</v>
          </cell>
          <cell r="O260">
            <v>8.1199524373571563</v>
          </cell>
          <cell r="P260">
            <v>8.0127770136982885</v>
          </cell>
          <cell r="Q260">
            <v>8.0406760333259424</v>
          </cell>
          <cell r="R260">
            <v>7.9419319935799679</v>
          </cell>
          <cell r="S260">
            <v>7.9369509697475698</v>
          </cell>
          <cell r="T260">
            <v>7.9369509697475698</v>
          </cell>
          <cell r="U260">
            <v>7.9369509697475698</v>
          </cell>
          <cell r="V260">
            <v>7.9369509697475698</v>
          </cell>
          <cell r="W260">
            <v>7.9369509697475698</v>
          </cell>
          <cell r="X260">
            <v>7.9369509697475698</v>
          </cell>
          <cell r="Y260">
            <v>7.9369509697475698</v>
          </cell>
          <cell r="Z260">
            <v>7.9369509697475698</v>
          </cell>
          <cell r="AA260">
            <v>7.9369509697475698</v>
          </cell>
          <cell r="AB260">
            <v>7.9369509697475698</v>
          </cell>
          <cell r="AC260">
            <v>7.9369509697475698</v>
          </cell>
          <cell r="AD260">
            <v>7.9369509697475698</v>
          </cell>
          <cell r="AE260">
            <v>7.9369509697475698</v>
          </cell>
          <cell r="AF260">
            <v>7.9369509697475698</v>
          </cell>
        </row>
        <row r="261">
          <cell r="A261" t="str">
            <v>Wyoming</v>
          </cell>
          <cell r="B261">
            <v>7.3788719137507117</v>
          </cell>
          <cell r="C261">
            <v>7.4086256629764744</v>
          </cell>
          <cell r="D261">
            <v>7.2617743982070548</v>
          </cell>
          <cell r="E261">
            <v>7.2280998267903076</v>
          </cell>
          <cell r="F261">
            <v>7.2591269754209042</v>
          </cell>
          <cell r="G261">
            <v>7.1865762225420777</v>
          </cell>
          <cell r="H261">
            <v>7.1564023400807031</v>
          </cell>
          <cell r="I261">
            <v>7.24728837608476</v>
          </cell>
          <cell r="J261">
            <v>7.2788311952686673</v>
          </cell>
          <cell r="K261">
            <v>7.3946963581514398</v>
          </cell>
          <cell r="L261">
            <v>7.5851278256998338</v>
          </cell>
          <cell r="M261">
            <v>7.4922367230291833</v>
          </cell>
          <cell r="N261">
            <v>7.5144494869107366</v>
          </cell>
          <cell r="O261">
            <v>7.5585300972912437</v>
          </cell>
          <cell r="P261">
            <v>7.4596223204812535</v>
          </cell>
          <cell r="Q261">
            <v>7.485354616992276</v>
          </cell>
          <cell r="R261">
            <v>7.3941380931145391</v>
          </cell>
          <cell r="S261">
            <v>7.3895334282516076</v>
          </cell>
          <cell r="T261">
            <v>7.3895334282516076</v>
          </cell>
          <cell r="U261">
            <v>7.3895334282516076</v>
          </cell>
          <cell r="V261">
            <v>7.3895334282516076</v>
          </cell>
          <cell r="W261">
            <v>7.3895334282516076</v>
          </cell>
          <cell r="X261">
            <v>7.3895334282516076</v>
          </cell>
          <cell r="Y261">
            <v>7.3895334282516076</v>
          </cell>
          <cell r="Z261">
            <v>7.3895334282516076</v>
          </cell>
          <cell r="AA261">
            <v>7.3895334282516076</v>
          </cell>
          <cell r="AB261">
            <v>7.3895334282516076</v>
          </cell>
          <cell r="AC261">
            <v>7.3895334282516076</v>
          </cell>
          <cell r="AD261">
            <v>7.3895334282516076</v>
          </cell>
          <cell r="AE261">
            <v>7.3895334282516076</v>
          </cell>
          <cell r="AF261">
            <v>7.3895334282516076</v>
          </cell>
        </row>
        <row r="263">
          <cell r="A263" t="str">
            <v>Heifer Stockers</v>
          </cell>
          <cell r="B263">
            <v>1990</v>
          </cell>
          <cell r="C263">
            <v>1991</v>
          </cell>
          <cell r="D263">
            <v>1992</v>
          </cell>
          <cell r="E263">
            <v>1993</v>
          </cell>
          <cell r="F263">
            <v>1994</v>
          </cell>
          <cell r="G263">
            <v>1995</v>
          </cell>
          <cell r="H263">
            <v>1996</v>
          </cell>
          <cell r="I263">
            <v>1997</v>
          </cell>
          <cell r="J263">
            <v>1998</v>
          </cell>
          <cell r="K263">
            <v>1999</v>
          </cell>
          <cell r="L263">
            <v>2000</v>
          </cell>
          <cell r="M263">
            <v>2001</v>
          </cell>
          <cell r="N263">
            <v>2002</v>
          </cell>
          <cell r="O263">
            <v>2003</v>
          </cell>
          <cell r="P263">
            <v>2004</v>
          </cell>
          <cell r="Q263">
            <v>2005</v>
          </cell>
          <cell r="R263">
            <v>2006</v>
          </cell>
          <cell r="S263">
            <v>2007</v>
          </cell>
          <cell r="T263">
            <v>2008</v>
          </cell>
          <cell r="U263">
            <v>2009</v>
          </cell>
          <cell r="V263">
            <v>2010</v>
          </cell>
          <cell r="W263">
            <v>2011</v>
          </cell>
          <cell r="X263">
            <v>2012</v>
          </cell>
          <cell r="Y263">
            <v>2013</v>
          </cell>
          <cell r="Z263">
            <v>2014</v>
          </cell>
          <cell r="AA263">
            <v>2015</v>
          </cell>
          <cell r="AB263">
            <v>2016</v>
          </cell>
          <cell r="AC263">
            <v>2017</v>
          </cell>
          <cell r="AD263">
            <v>2018</v>
          </cell>
          <cell r="AE263">
            <v>2019</v>
          </cell>
          <cell r="AF263">
            <v>2020</v>
          </cell>
        </row>
        <row r="264">
          <cell r="A264" t="str">
            <v>Alabama</v>
          </cell>
          <cell r="B264">
            <v>8.1251576591458612</v>
          </cell>
          <cell r="C264">
            <v>8.2328158446911726</v>
          </cell>
          <cell r="D264">
            <v>8.1509164228710915</v>
          </cell>
          <cell r="E264">
            <v>8.1602390853446263</v>
          </cell>
          <cell r="F264">
            <v>8.2170123371642312</v>
          </cell>
          <cell r="G264">
            <v>8.1949255871876314</v>
          </cell>
          <cell r="H264">
            <v>8.1949951277224642</v>
          </cell>
          <cell r="I264">
            <v>8.3283736768567938</v>
          </cell>
          <cell r="J264">
            <v>8.3881231433983086</v>
          </cell>
          <cell r="K264">
            <v>8.5425747892016215</v>
          </cell>
          <cell r="L264">
            <v>8.8052427861084244</v>
          </cell>
          <cell r="M264">
            <v>8.6874647634366404</v>
          </cell>
          <cell r="N264">
            <v>8.7127869514357172</v>
          </cell>
          <cell r="O264">
            <v>8.7624068523337755</v>
          </cell>
          <cell r="P264">
            <v>8.6310997099024362</v>
          </cell>
          <cell r="Q264">
            <v>8.6080208886855818</v>
          </cell>
          <cell r="R264">
            <v>8.4880281829868345</v>
          </cell>
          <cell r="S264">
            <v>8.517278823351301</v>
          </cell>
          <cell r="T264">
            <v>8.517278823351301</v>
          </cell>
          <cell r="U264">
            <v>8.517278823351301</v>
          </cell>
          <cell r="V264">
            <v>8.517278823351301</v>
          </cell>
          <cell r="W264">
            <v>8.517278823351301</v>
          </cell>
          <cell r="X264">
            <v>8.517278823351301</v>
          </cell>
          <cell r="Y264">
            <v>8.517278823351301</v>
          </cell>
          <cell r="Z264">
            <v>8.517278823351301</v>
          </cell>
          <cell r="AA264">
            <v>8.517278823351301</v>
          </cell>
          <cell r="AB264">
            <v>8.517278823351301</v>
          </cell>
          <cell r="AC264">
            <v>8.517278823351301</v>
          </cell>
          <cell r="AD264">
            <v>8.517278823351301</v>
          </cell>
          <cell r="AE264">
            <v>8.517278823351301</v>
          </cell>
          <cell r="AF264">
            <v>8.517278823351301</v>
          </cell>
        </row>
        <row r="265">
          <cell r="A265" t="str">
            <v>Alaska</v>
          </cell>
          <cell r="B265">
            <v>10.670309062280065</v>
          </cell>
          <cell r="C265">
            <v>10.819510195670585</v>
          </cell>
          <cell r="D265">
            <v>10.710026577644346</v>
          </cell>
          <cell r="E265">
            <v>10.724728226576863</v>
          </cell>
          <cell r="F265">
            <v>10.803931780364405</v>
          </cell>
          <cell r="G265">
            <v>10.775776785336667</v>
          </cell>
          <cell r="H265">
            <v>10.77704235318771</v>
          </cell>
          <cell r="I265">
            <v>10.960814895559528</v>
          </cell>
          <cell r="J265">
            <v>11.043502018369329</v>
          </cell>
          <cell r="K265">
            <v>11.255919714055393</v>
          </cell>
          <cell r="L265">
            <v>11.616441416294247</v>
          </cell>
          <cell r="M265">
            <v>11.455164555776166</v>
          </cell>
          <cell r="N265">
            <v>11.49005033168118</v>
          </cell>
          <cell r="O265">
            <v>11.557352448011795</v>
          </cell>
          <cell r="P265">
            <v>11.377217789535424</v>
          </cell>
          <cell r="Q265">
            <v>11.346347501405953</v>
          </cell>
          <cell r="R265">
            <v>11.182129183426746</v>
          </cell>
          <cell r="S265">
            <v>11.221943382283833</v>
          </cell>
          <cell r="T265">
            <v>11.221943382283833</v>
          </cell>
          <cell r="U265">
            <v>11.221943382283833</v>
          </cell>
          <cell r="V265">
            <v>11.221943382283833</v>
          </cell>
          <cell r="W265">
            <v>11.221943382283833</v>
          </cell>
          <cell r="X265">
            <v>11.221943382283833</v>
          </cell>
          <cell r="Y265">
            <v>11.221943382283833</v>
          </cell>
          <cell r="Z265">
            <v>11.221943382283833</v>
          </cell>
          <cell r="AA265">
            <v>11.221943382283833</v>
          </cell>
          <cell r="AB265">
            <v>11.221943382283833</v>
          </cell>
          <cell r="AC265">
            <v>11.221943382283833</v>
          </cell>
          <cell r="AD265">
            <v>11.221943382283833</v>
          </cell>
          <cell r="AE265">
            <v>11.221943382283833</v>
          </cell>
          <cell r="AF265">
            <v>11.221943382283833</v>
          </cell>
        </row>
        <row r="266">
          <cell r="A266" t="str">
            <v>Arizona</v>
          </cell>
          <cell r="B266">
            <v>10.670309062280063</v>
          </cell>
          <cell r="C266">
            <v>10.819510195670585</v>
          </cell>
          <cell r="D266">
            <v>10.710026577644346</v>
          </cell>
          <cell r="E266">
            <v>10.724728226576865</v>
          </cell>
          <cell r="F266">
            <v>10.803931780364406</v>
          </cell>
          <cell r="G266">
            <v>10.775776785336667</v>
          </cell>
          <cell r="H266">
            <v>10.777042353187706</v>
          </cell>
          <cell r="I266">
            <v>10.960814895559526</v>
          </cell>
          <cell r="J266">
            <v>11.043502018369326</v>
          </cell>
          <cell r="K266">
            <v>11.255919714055389</v>
          </cell>
          <cell r="L266">
            <v>11.616441416294247</v>
          </cell>
          <cell r="M266">
            <v>11.455164555776166</v>
          </cell>
          <cell r="N266">
            <v>11.49005033168118</v>
          </cell>
          <cell r="O266">
            <v>11.557352448011798</v>
          </cell>
          <cell r="P266">
            <v>11.377217789535418</v>
          </cell>
          <cell r="Q266">
            <v>11.346347501405955</v>
          </cell>
          <cell r="R266">
            <v>11.182129183426746</v>
          </cell>
          <cell r="S266">
            <v>11.221943382283834</v>
          </cell>
          <cell r="T266">
            <v>11.221943382283834</v>
          </cell>
          <cell r="U266">
            <v>11.221943382283834</v>
          </cell>
          <cell r="V266">
            <v>11.221943382283834</v>
          </cell>
          <cell r="W266">
            <v>11.221943382283834</v>
          </cell>
          <cell r="X266">
            <v>11.221943382283834</v>
          </cell>
          <cell r="Y266">
            <v>11.221943382283834</v>
          </cell>
          <cell r="Z266">
            <v>11.221943382283834</v>
          </cell>
          <cell r="AA266">
            <v>11.221943382283834</v>
          </cell>
          <cell r="AB266">
            <v>11.221943382283834</v>
          </cell>
          <cell r="AC266">
            <v>11.221943382283834</v>
          </cell>
          <cell r="AD266">
            <v>11.221943382283834</v>
          </cell>
          <cell r="AE266">
            <v>11.221943382283834</v>
          </cell>
          <cell r="AF266">
            <v>11.221943382283834</v>
          </cell>
        </row>
        <row r="267">
          <cell r="A267" t="str">
            <v>Arkansas</v>
          </cell>
          <cell r="B267">
            <v>8.0987478633692156</v>
          </cell>
          <cell r="C267">
            <v>8.2059973224198721</v>
          </cell>
          <cell r="D267">
            <v>8.1243786142210634</v>
          </cell>
          <cell r="E267">
            <v>8.1336524872293392</v>
          </cell>
          <cell r="F267">
            <v>8.1902062677120604</v>
          </cell>
          <cell r="G267">
            <v>8.1681849145859715</v>
          </cell>
          <cell r="H267">
            <v>8.16824539985946</v>
          </cell>
          <cell r="I267">
            <v>8.3011256492159848</v>
          </cell>
          <cell r="J267">
            <v>8.3606491656547295</v>
          </cell>
          <cell r="K267">
            <v>8.5145267148540729</v>
          </cell>
          <cell r="L267">
            <v>8.7762238353283077</v>
          </cell>
          <cell r="M267">
            <v>8.6588783036322514</v>
          </cell>
          <cell r="N267">
            <v>8.684105917085061</v>
          </cell>
          <cell r="O267">
            <v>8.7335484506347854</v>
          </cell>
          <cell r="P267">
            <v>8.6027259754622456</v>
          </cell>
          <cell r="Q267">
            <v>8.5797263961048191</v>
          </cell>
          <cell r="R267">
            <v>8.4601736283568236</v>
          </cell>
          <cell r="S267">
            <v>8.4893186590681342</v>
          </cell>
          <cell r="T267">
            <v>8.4893186590681342</v>
          </cell>
          <cell r="U267">
            <v>8.4893186590681342</v>
          </cell>
          <cell r="V267">
            <v>8.4893186590681342</v>
          </cell>
          <cell r="W267">
            <v>8.4893186590681342</v>
          </cell>
          <cell r="X267">
            <v>8.4893186590681342</v>
          </cell>
          <cell r="Y267">
            <v>8.4893186590681342</v>
          </cell>
          <cell r="Z267">
            <v>8.4893186590681342</v>
          </cell>
          <cell r="AA267">
            <v>8.4893186590681342</v>
          </cell>
          <cell r="AB267">
            <v>8.4893186590681342</v>
          </cell>
          <cell r="AC267">
            <v>8.4893186590681342</v>
          </cell>
          <cell r="AD267">
            <v>8.4893186590681342</v>
          </cell>
          <cell r="AE267">
            <v>8.4893186590681342</v>
          </cell>
          <cell r="AF267">
            <v>8.4893186590681342</v>
          </cell>
        </row>
        <row r="268">
          <cell r="A268" t="str">
            <v>California</v>
          </cell>
          <cell r="B268">
            <v>7.9090134538827614</v>
          </cell>
          <cell r="C268">
            <v>8.0133395876040456</v>
          </cell>
          <cell r="D268">
            <v>7.9337343702018055</v>
          </cell>
          <cell r="E268">
            <v>7.9426618359014238</v>
          </cell>
          <cell r="F268">
            <v>7.9976466442353784</v>
          </cell>
          <cell r="G268">
            <v>7.976096538695022</v>
          </cell>
          <cell r="H268">
            <v>7.9760939307216647</v>
          </cell>
          <cell r="I268">
            <v>8.1054086656107476</v>
          </cell>
          <cell r="J268">
            <v>8.1633159548917398</v>
          </cell>
          <cell r="K268">
            <v>8.3130850692062666</v>
          </cell>
          <cell r="L268">
            <v>8.5678331993917016</v>
          </cell>
          <cell r="M268">
            <v>8.4535837513675638</v>
          </cell>
          <cell r="N268">
            <v>8.478134644318823</v>
          </cell>
          <cell r="O268">
            <v>8.5263065016947355</v>
          </cell>
          <cell r="P268">
            <v>8.398953134838548</v>
          </cell>
          <cell r="Q268">
            <v>8.3765219090069341</v>
          </cell>
          <cell r="R268">
            <v>8.2601186706107566</v>
          </cell>
          <cell r="S268">
            <v>8.2885073166459051</v>
          </cell>
          <cell r="T268">
            <v>8.2885073166459051</v>
          </cell>
          <cell r="U268">
            <v>8.2885073166459051</v>
          </cell>
          <cell r="V268">
            <v>8.2885073166459051</v>
          </cell>
          <cell r="W268">
            <v>8.2885073166459051</v>
          </cell>
          <cell r="X268">
            <v>8.2885073166459051</v>
          </cell>
          <cell r="Y268">
            <v>8.2885073166459051</v>
          </cell>
          <cell r="Z268">
            <v>8.2885073166459051</v>
          </cell>
          <cell r="AA268">
            <v>8.2885073166459051</v>
          </cell>
          <cell r="AB268">
            <v>8.2885073166459051</v>
          </cell>
          <cell r="AC268">
            <v>8.2885073166459051</v>
          </cell>
          <cell r="AD268">
            <v>8.2885073166459051</v>
          </cell>
          <cell r="AE268">
            <v>8.2885073166459051</v>
          </cell>
          <cell r="AF268">
            <v>8.2885073166459051</v>
          </cell>
        </row>
        <row r="269">
          <cell r="A269" t="str">
            <v>Colorado</v>
          </cell>
          <cell r="B269">
            <v>7.4337913077997833</v>
          </cell>
          <cell r="C269">
            <v>7.5308953428912062</v>
          </cell>
          <cell r="D269">
            <v>7.456308610905892</v>
          </cell>
          <cell r="E269">
            <v>7.4643998414018098</v>
          </cell>
          <cell r="F269">
            <v>7.5155142326885027</v>
          </cell>
          <cell r="G269">
            <v>7.4951553061291358</v>
          </cell>
          <cell r="H269">
            <v>7.4950096668991018</v>
          </cell>
          <cell r="I269">
            <v>7.6155039754231204</v>
          </cell>
          <cell r="J269">
            <v>7.6694170626275771</v>
          </cell>
          <cell r="K269">
            <v>7.8090183154025707</v>
          </cell>
          <cell r="L269">
            <v>8.0465604237574251</v>
          </cell>
          <cell r="M269">
            <v>7.9399812823545934</v>
          </cell>
          <cell r="N269">
            <v>7.9628580508243783</v>
          </cell>
          <cell r="O269">
            <v>8.0078746023589424</v>
          </cell>
          <cell r="P269">
            <v>7.8891119154016627</v>
          </cell>
          <cell r="Q269">
            <v>7.8680970480582078</v>
          </cell>
          <cell r="R269">
            <v>7.7594975581341492</v>
          </cell>
          <cell r="S269">
            <v>7.7860096022670753</v>
          </cell>
          <cell r="T269">
            <v>7.7860096022670753</v>
          </cell>
          <cell r="U269">
            <v>7.7860096022670753</v>
          </cell>
          <cell r="V269">
            <v>7.7860096022670753</v>
          </cell>
          <cell r="W269">
            <v>7.7860096022670753</v>
          </cell>
          <cell r="X269">
            <v>7.7860096022670753</v>
          </cell>
          <cell r="Y269">
            <v>7.7860096022670753</v>
          </cell>
          <cell r="Z269">
            <v>7.7860096022670753</v>
          </cell>
          <cell r="AA269">
            <v>7.7860096022670753</v>
          </cell>
          <cell r="AB269">
            <v>7.7860096022670753</v>
          </cell>
          <cell r="AC269">
            <v>7.7860096022670753</v>
          </cell>
          <cell r="AD269">
            <v>7.7860096022670753</v>
          </cell>
          <cell r="AE269">
            <v>7.7860096022670753</v>
          </cell>
          <cell r="AF269">
            <v>7.7860096022670753</v>
          </cell>
        </row>
        <row r="270">
          <cell r="A270" t="str">
            <v>Connecticut</v>
          </cell>
          <cell r="B270">
            <v>7.9799106954935111</v>
          </cell>
          <cell r="C270">
            <v>8.0853264936383624</v>
          </cell>
          <cell r="D270">
            <v>8.0049695656408861</v>
          </cell>
          <cell r="E270">
            <v>8.121006309919931</v>
          </cell>
          <cell r="F270">
            <v>8.121006309919931</v>
          </cell>
          <cell r="G270">
            <v>8.121006309919931</v>
          </cell>
          <cell r="H270">
            <v>8.121006309919931</v>
          </cell>
          <cell r="I270">
            <v>8.121006309919931</v>
          </cell>
          <cell r="J270">
            <v>8.2370430541989741</v>
          </cell>
          <cell r="K270">
            <v>8.388344062253676</v>
          </cell>
          <cell r="L270">
            <v>8.6456834500146744</v>
          </cell>
          <cell r="M270">
            <v>8.5302793672971209</v>
          </cell>
          <cell r="N270">
            <v>8.5550825678954645</v>
          </cell>
          <cell r="O270">
            <v>8.6037284997110106</v>
          </cell>
          <cell r="P270">
            <v>8.4750814857550232</v>
          </cell>
          <cell r="Q270">
            <v>8.452438078518302</v>
          </cell>
          <cell r="R270">
            <v>8.3348602459430072</v>
          </cell>
          <cell r="S270">
            <v>8.3635310464825103</v>
          </cell>
          <cell r="T270">
            <v>8.3635310464825103</v>
          </cell>
          <cell r="U270">
            <v>8.3635310464825103</v>
          </cell>
          <cell r="V270">
            <v>8.3635310464825103</v>
          </cell>
          <cell r="W270">
            <v>8.3635310464825103</v>
          </cell>
          <cell r="X270">
            <v>8.3635310464825103</v>
          </cell>
          <cell r="Y270">
            <v>8.3635310464825103</v>
          </cell>
          <cell r="Z270">
            <v>8.3635310464825103</v>
          </cell>
          <cell r="AA270">
            <v>8.3635310464825103</v>
          </cell>
          <cell r="AB270">
            <v>8.3635310464825103</v>
          </cell>
          <cell r="AC270">
            <v>8.3635310464825103</v>
          </cell>
          <cell r="AD270">
            <v>8.3635310464825103</v>
          </cell>
          <cell r="AE270">
            <v>8.3635310464825103</v>
          </cell>
          <cell r="AF270">
            <v>8.3635310464825103</v>
          </cell>
        </row>
        <row r="271">
          <cell r="A271" t="str">
            <v>Delaware</v>
          </cell>
          <cell r="B271">
            <v>7.9799106954935111</v>
          </cell>
          <cell r="C271">
            <v>8.0853264936383624</v>
          </cell>
          <cell r="D271">
            <v>8.0049695656408861</v>
          </cell>
          <cell r="E271">
            <v>8.0140256285847382</v>
          </cell>
          <cell r="F271">
            <v>8.06959511437082</v>
          </cell>
          <cell r="G271">
            <v>8.0478686281424743</v>
          </cell>
          <cell r="H271">
            <v>8.0478891932126153</v>
          </cell>
          <cell r="I271">
            <v>8.1785332841500598</v>
          </cell>
          <cell r="J271">
            <v>8.2370430541989741</v>
          </cell>
          <cell r="K271">
            <v>8.388344062253676</v>
          </cell>
          <cell r="L271">
            <v>8.6456834500146744</v>
          </cell>
          <cell r="M271">
            <v>8.5302793672971209</v>
          </cell>
          <cell r="N271">
            <v>8.5550825678954627</v>
          </cell>
          <cell r="O271">
            <v>8.6037284997110124</v>
          </cell>
          <cell r="P271">
            <v>8.4750814857550232</v>
          </cell>
          <cell r="Q271">
            <v>8.452438078518302</v>
          </cell>
          <cell r="R271">
            <v>8.3348602459430072</v>
          </cell>
          <cell r="S271">
            <v>8.3635310464825121</v>
          </cell>
          <cell r="T271">
            <v>8.3635310464825121</v>
          </cell>
          <cell r="U271">
            <v>8.3635310464825121</v>
          </cell>
          <cell r="V271">
            <v>8.3635310464825121</v>
          </cell>
          <cell r="W271">
            <v>8.3635310464825121</v>
          </cell>
          <cell r="X271">
            <v>8.3635310464825121</v>
          </cell>
          <cell r="Y271">
            <v>8.3635310464825121</v>
          </cell>
          <cell r="Z271">
            <v>8.3635310464825121</v>
          </cell>
          <cell r="AA271">
            <v>8.3635310464825121</v>
          </cell>
          <cell r="AB271">
            <v>8.3635310464825121</v>
          </cell>
          <cell r="AC271">
            <v>8.3635310464825121</v>
          </cell>
          <cell r="AD271">
            <v>8.3635310464825121</v>
          </cell>
          <cell r="AE271">
            <v>8.3635310464825121</v>
          </cell>
          <cell r="AF271">
            <v>8.3635310464825121</v>
          </cell>
        </row>
        <row r="272">
          <cell r="A272" t="str">
            <v>Florida</v>
          </cell>
          <cell r="B272">
            <v>8.1251576591458612</v>
          </cell>
          <cell r="C272">
            <v>8.2328158446911708</v>
          </cell>
          <cell r="D272">
            <v>8.1509164228710915</v>
          </cell>
          <cell r="E272">
            <v>8.1602390853446227</v>
          </cell>
          <cell r="F272">
            <v>8.2170123371642294</v>
          </cell>
          <cell r="G272">
            <v>8.1949255871876279</v>
          </cell>
          <cell r="H272">
            <v>8.1949951277224606</v>
          </cell>
          <cell r="I272">
            <v>8.3283736768567938</v>
          </cell>
          <cell r="J272">
            <v>8.3881231433983086</v>
          </cell>
          <cell r="K272">
            <v>8.5425747892016215</v>
          </cell>
          <cell r="L272">
            <v>8.8052427861084208</v>
          </cell>
          <cell r="M272">
            <v>8.6874647634366404</v>
          </cell>
          <cell r="N272">
            <v>8.7127869514357155</v>
          </cell>
          <cell r="O272">
            <v>8.7624068523337773</v>
          </cell>
          <cell r="P272">
            <v>8.6310997099024362</v>
          </cell>
          <cell r="Q272">
            <v>8.6080208886855818</v>
          </cell>
          <cell r="R272">
            <v>8.488028182986838</v>
          </cell>
          <cell r="S272">
            <v>8.517278823351301</v>
          </cell>
          <cell r="T272">
            <v>8.517278823351301</v>
          </cell>
          <cell r="U272">
            <v>8.517278823351301</v>
          </cell>
          <cell r="V272">
            <v>8.517278823351301</v>
          </cell>
          <cell r="W272">
            <v>8.517278823351301</v>
          </cell>
          <cell r="X272">
            <v>8.517278823351301</v>
          </cell>
          <cell r="Y272">
            <v>8.517278823351301</v>
          </cell>
          <cell r="Z272">
            <v>8.517278823351301</v>
          </cell>
          <cell r="AA272">
            <v>8.517278823351301</v>
          </cell>
          <cell r="AB272">
            <v>8.517278823351301</v>
          </cell>
          <cell r="AC272">
            <v>8.517278823351301</v>
          </cell>
          <cell r="AD272">
            <v>8.517278823351301</v>
          </cell>
          <cell r="AE272">
            <v>8.517278823351301</v>
          </cell>
          <cell r="AF272">
            <v>8.517278823351301</v>
          </cell>
        </row>
        <row r="273">
          <cell r="A273" t="str">
            <v>Georgia</v>
          </cell>
          <cell r="B273">
            <v>8.1251576591458594</v>
          </cell>
          <cell r="C273">
            <v>8.2328158446911708</v>
          </cell>
          <cell r="D273">
            <v>8.1509164228710915</v>
          </cell>
          <cell r="E273">
            <v>8.1602390853446245</v>
          </cell>
          <cell r="F273">
            <v>8.2170123371642312</v>
          </cell>
          <cell r="G273">
            <v>8.1949255871876279</v>
          </cell>
          <cell r="H273">
            <v>8.1949951277224642</v>
          </cell>
          <cell r="I273">
            <v>8.328373676856792</v>
          </cell>
          <cell r="J273">
            <v>8.3881231433983103</v>
          </cell>
          <cell r="K273">
            <v>8.5425747892016215</v>
          </cell>
          <cell r="L273">
            <v>8.8052427861084244</v>
          </cell>
          <cell r="M273">
            <v>8.6874647634366422</v>
          </cell>
          <cell r="N273">
            <v>8.7127869514357137</v>
          </cell>
          <cell r="O273">
            <v>8.7624068523337737</v>
          </cell>
          <cell r="P273">
            <v>8.631099709902438</v>
          </cell>
          <cell r="Q273">
            <v>8.6080208886855836</v>
          </cell>
          <cell r="R273">
            <v>8.4880281829868363</v>
          </cell>
          <cell r="S273">
            <v>8.517278823351301</v>
          </cell>
          <cell r="T273">
            <v>8.517278823351301</v>
          </cell>
          <cell r="U273">
            <v>8.517278823351301</v>
          </cell>
          <cell r="V273">
            <v>8.517278823351301</v>
          </cell>
          <cell r="W273">
            <v>8.517278823351301</v>
          </cell>
          <cell r="X273">
            <v>8.517278823351301</v>
          </cell>
          <cell r="Y273">
            <v>8.517278823351301</v>
          </cell>
          <cell r="Z273">
            <v>8.517278823351301</v>
          </cell>
          <cell r="AA273">
            <v>8.517278823351301</v>
          </cell>
          <cell r="AB273">
            <v>8.517278823351301</v>
          </cell>
          <cell r="AC273">
            <v>8.517278823351301</v>
          </cell>
          <cell r="AD273">
            <v>8.517278823351301</v>
          </cell>
          <cell r="AE273">
            <v>8.517278823351301</v>
          </cell>
          <cell r="AF273">
            <v>8.517278823351301</v>
          </cell>
        </row>
        <row r="274">
          <cell r="A274" t="str">
            <v>Hawaii</v>
          </cell>
          <cell r="B274">
            <v>10.670309062280063</v>
          </cell>
          <cell r="C274">
            <v>10.819510195670587</v>
          </cell>
          <cell r="D274">
            <v>10.710026577644346</v>
          </cell>
          <cell r="E274">
            <v>10.724728226576865</v>
          </cell>
          <cell r="F274">
            <v>10.803931780364403</v>
          </cell>
          <cell r="G274">
            <v>10.775776785336669</v>
          </cell>
          <cell r="H274">
            <v>10.777042353187712</v>
          </cell>
          <cell r="I274">
            <v>10.960814895559526</v>
          </cell>
          <cell r="J274">
            <v>11.043502018369326</v>
          </cell>
          <cell r="K274">
            <v>11.255919714055389</v>
          </cell>
          <cell r="L274">
            <v>11.616441416294251</v>
          </cell>
          <cell r="M274">
            <v>11.455164555776166</v>
          </cell>
          <cell r="N274">
            <v>11.49005033168118</v>
          </cell>
          <cell r="O274">
            <v>11.5573524480118</v>
          </cell>
          <cell r="P274">
            <v>11.377217789535418</v>
          </cell>
          <cell r="Q274">
            <v>11.346347501405955</v>
          </cell>
          <cell r="R274">
            <v>11.182129183426746</v>
          </cell>
          <cell r="S274">
            <v>11.221943382283833</v>
          </cell>
          <cell r="T274">
            <v>11.221943382283833</v>
          </cell>
          <cell r="U274">
            <v>11.221943382283833</v>
          </cell>
          <cell r="V274">
            <v>11.221943382283833</v>
          </cell>
          <cell r="W274">
            <v>11.221943382283833</v>
          </cell>
          <cell r="X274">
            <v>11.221943382283833</v>
          </cell>
          <cell r="Y274">
            <v>11.221943382283833</v>
          </cell>
          <cell r="Z274">
            <v>11.221943382283833</v>
          </cell>
          <cell r="AA274">
            <v>11.221943382283833</v>
          </cell>
          <cell r="AB274">
            <v>11.221943382283833</v>
          </cell>
          <cell r="AC274">
            <v>11.221943382283833</v>
          </cell>
          <cell r="AD274">
            <v>11.221943382283833</v>
          </cell>
          <cell r="AE274">
            <v>11.221943382283833</v>
          </cell>
          <cell r="AF274">
            <v>11.221943382283833</v>
          </cell>
        </row>
        <row r="275">
          <cell r="A275" t="str">
            <v>Idaho</v>
          </cell>
          <cell r="B275">
            <v>10.670309062280063</v>
          </cell>
          <cell r="C275">
            <v>10.819510195670583</v>
          </cell>
          <cell r="D275">
            <v>10.710026577644346</v>
          </cell>
          <cell r="E275">
            <v>10.724728226576866</v>
          </cell>
          <cell r="F275">
            <v>10.803931780364405</v>
          </cell>
          <cell r="G275">
            <v>10.775776785336667</v>
          </cell>
          <cell r="H275">
            <v>10.777042353187708</v>
          </cell>
          <cell r="I275">
            <v>10.960814895559524</v>
          </cell>
          <cell r="J275">
            <v>11.043502018369326</v>
          </cell>
          <cell r="K275">
            <v>11.255919714055389</v>
          </cell>
          <cell r="L275">
            <v>11.616441416294247</v>
          </cell>
          <cell r="M275">
            <v>11.455164555776166</v>
          </cell>
          <cell r="N275">
            <v>11.49005033168118</v>
          </cell>
          <cell r="O275">
            <v>11.5573524480118</v>
          </cell>
          <cell r="P275">
            <v>11.37721778953542</v>
          </cell>
          <cell r="Q275">
            <v>11.346347501405955</v>
          </cell>
          <cell r="R275">
            <v>11.182129183426746</v>
          </cell>
          <cell r="S275">
            <v>11.221943382283829</v>
          </cell>
          <cell r="T275">
            <v>11.221943382283829</v>
          </cell>
          <cell r="U275">
            <v>11.221943382283829</v>
          </cell>
          <cell r="V275">
            <v>11.221943382283829</v>
          </cell>
          <cell r="W275">
            <v>11.221943382283829</v>
          </cell>
          <cell r="X275">
            <v>11.221943382283829</v>
          </cell>
          <cell r="Y275">
            <v>11.221943382283829</v>
          </cell>
          <cell r="Z275">
            <v>11.221943382283829</v>
          </cell>
          <cell r="AA275">
            <v>11.221943382283829</v>
          </cell>
          <cell r="AB275">
            <v>11.221943382283829</v>
          </cell>
          <cell r="AC275">
            <v>11.221943382283829</v>
          </cell>
          <cell r="AD275">
            <v>11.221943382283829</v>
          </cell>
          <cell r="AE275">
            <v>11.221943382283829</v>
          </cell>
          <cell r="AF275">
            <v>11.221943382283829</v>
          </cell>
        </row>
        <row r="276">
          <cell r="A276" t="str">
            <v>Illinois</v>
          </cell>
          <cell r="B276">
            <v>7.9827388198221971</v>
          </cell>
          <cell r="C276">
            <v>8.0881981501082372</v>
          </cell>
          <cell r="D276">
            <v>8.0078112200018285</v>
          </cell>
          <cell r="E276">
            <v>8.0168724331610619</v>
          </cell>
          <cell r="F276">
            <v>8.0724652805778305</v>
          </cell>
          <cell r="G276">
            <v>8.0507317654993571</v>
          </cell>
          <cell r="H276">
            <v>8.0507532647009477</v>
          </cell>
          <cell r="I276">
            <v>8.1814504557851713</v>
          </cell>
          <cell r="J276">
            <v>8.2399842941199584</v>
          </cell>
          <cell r="K276">
            <v>8.3913464897063257</v>
          </cell>
          <cell r="L276">
            <v>8.6487893732428258</v>
          </cell>
          <cell r="M276">
            <v>8.5333391767679938</v>
          </cell>
          <cell r="N276">
            <v>8.5581524555814674</v>
          </cell>
          <cell r="O276">
            <v>8.6068173162070654</v>
          </cell>
          <cell r="P276">
            <v>8.4781186341685846</v>
          </cell>
          <cell r="Q276">
            <v>8.4554667582489049</v>
          </cell>
          <cell r="R276">
            <v>8.3378420154487785</v>
          </cell>
          <cell r="S276">
            <v>8.3665240828943759</v>
          </cell>
          <cell r="T276">
            <v>8.3665240828943759</v>
          </cell>
          <cell r="U276">
            <v>8.3665240828943759</v>
          </cell>
          <cell r="V276">
            <v>8.3665240828943759</v>
          </cell>
          <cell r="W276">
            <v>8.3665240828943759</v>
          </cell>
          <cell r="X276">
            <v>8.3665240828943759</v>
          </cell>
          <cell r="Y276">
            <v>8.3665240828943759</v>
          </cell>
          <cell r="Z276">
            <v>8.3665240828943759</v>
          </cell>
          <cell r="AA276">
            <v>8.3665240828943759</v>
          </cell>
          <cell r="AB276">
            <v>8.3665240828943759</v>
          </cell>
          <cell r="AC276">
            <v>8.3665240828943759</v>
          </cell>
          <cell r="AD276">
            <v>8.3665240828943759</v>
          </cell>
          <cell r="AE276">
            <v>8.3665240828943759</v>
          </cell>
          <cell r="AF276">
            <v>8.3665240828943759</v>
          </cell>
        </row>
        <row r="277">
          <cell r="A277" t="str">
            <v>Indiana</v>
          </cell>
          <cell r="B277">
            <v>7.982738819822198</v>
          </cell>
          <cell r="C277">
            <v>8.0881981501082372</v>
          </cell>
          <cell r="D277">
            <v>8.0078112200018285</v>
          </cell>
          <cell r="E277">
            <v>8.0168724331610584</v>
          </cell>
          <cell r="F277">
            <v>8.0724652805778323</v>
          </cell>
          <cell r="G277">
            <v>8.0507317654993589</v>
          </cell>
          <cell r="H277">
            <v>8.0507532647009441</v>
          </cell>
          <cell r="I277">
            <v>8.1814504557851713</v>
          </cell>
          <cell r="J277">
            <v>8.2399842941199584</v>
          </cell>
          <cell r="K277">
            <v>8.3913464897063257</v>
          </cell>
          <cell r="L277">
            <v>8.6487893732428294</v>
          </cell>
          <cell r="M277">
            <v>8.5333391767679903</v>
          </cell>
          <cell r="N277">
            <v>8.558152455581471</v>
          </cell>
          <cell r="O277">
            <v>8.6068173162070654</v>
          </cell>
          <cell r="P277">
            <v>8.4781186341685864</v>
          </cell>
          <cell r="Q277">
            <v>8.4554667582489049</v>
          </cell>
          <cell r="R277">
            <v>8.337842015448782</v>
          </cell>
          <cell r="S277">
            <v>8.3665240828943741</v>
          </cell>
          <cell r="T277">
            <v>8.3665240828943741</v>
          </cell>
          <cell r="U277">
            <v>8.3665240828943741</v>
          </cell>
          <cell r="V277">
            <v>8.3665240828943741</v>
          </cell>
          <cell r="W277">
            <v>8.3665240828943741</v>
          </cell>
          <cell r="X277">
            <v>8.3665240828943741</v>
          </cell>
          <cell r="Y277">
            <v>8.3665240828943741</v>
          </cell>
          <cell r="Z277">
            <v>8.3665240828943741</v>
          </cell>
          <cell r="AA277">
            <v>8.3665240828943741</v>
          </cell>
          <cell r="AB277">
            <v>8.3665240828943741</v>
          </cell>
          <cell r="AC277">
            <v>8.3665240828943741</v>
          </cell>
          <cell r="AD277">
            <v>8.3665240828943741</v>
          </cell>
          <cell r="AE277">
            <v>8.3665240828943741</v>
          </cell>
          <cell r="AF277">
            <v>8.3665240828943741</v>
          </cell>
        </row>
        <row r="278">
          <cell r="A278" t="str">
            <v>Iowa</v>
          </cell>
          <cell r="B278">
            <v>7.9827388198221998</v>
          </cell>
          <cell r="C278">
            <v>8.0881981501082372</v>
          </cell>
          <cell r="D278">
            <v>8.0078112200018285</v>
          </cell>
          <cell r="E278">
            <v>8.0168724331610601</v>
          </cell>
          <cell r="F278">
            <v>8.0724652805778305</v>
          </cell>
          <cell r="G278">
            <v>8.0507317654993589</v>
          </cell>
          <cell r="H278">
            <v>8.0507532647009441</v>
          </cell>
          <cell r="I278">
            <v>8.1814504557851713</v>
          </cell>
          <cell r="J278">
            <v>8.2399842941199584</v>
          </cell>
          <cell r="K278">
            <v>8.3913464897063257</v>
          </cell>
          <cell r="L278">
            <v>8.6487893732428276</v>
          </cell>
          <cell r="M278">
            <v>8.5333391767679938</v>
          </cell>
          <cell r="N278">
            <v>8.5581524555814692</v>
          </cell>
          <cell r="O278">
            <v>8.6068173162070654</v>
          </cell>
          <cell r="P278">
            <v>8.4781186341685864</v>
          </cell>
          <cell r="Q278">
            <v>8.4554667582489085</v>
          </cell>
          <cell r="R278">
            <v>8.337842015448782</v>
          </cell>
          <cell r="S278">
            <v>8.3665240828943759</v>
          </cell>
          <cell r="T278">
            <v>8.3665240828943759</v>
          </cell>
          <cell r="U278">
            <v>8.3665240828943759</v>
          </cell>
          <cell r="V278">
            <v>8.3665240828943759</v>
          </cell>
          <cell r="W278">
            <v>8.3665240828943759</v>
          </cell>
          <cell r="X278">
            <v>8.3665240828943759</v>
          </cell>
          <cell r="Y278">
            <v>8.3665240828943759</v>
          </cell>
          <cell r="Z278">
            <v>8.3665240828943759</v>
          </cell>
          <cell r="AA278">
            <v>8.3665240828943759</v>
          </cell>
          <cell r="AB278">
            <v>8.3665240828943759</v>
          </cell>
          <cell r="AC278">
            <v>8.3665240828943759</v>
          </cell>
          <cell r="AD278">
            <v>8.3665240828943759</v>
          </cell>
          <cell r="AE278">
            <v>8.3665240828943759</v>
          </cell>
          <cell r="AF278">
            <v>8.3665240828943759</v>
          </cell>
        </row>
        <row r="279">
          <cell r="A279" t="str">
            <v>Kansas</v>
          </cell>
          <cell r="B279">
            <v>7.433791307799785</v>
          </cell>
          <cell r="C279">
            <v>7.5308953428912062</v>
          </cell>
          <cell r="D279">
            <v>7.4563086109058938</v>
          </cell>
          <cell r="E279">
            <v>7.4643998414018089</v>
          </cell>
          <cell r="F279">
            <v>7.5155142326885036</v>
          </cell>
          <cell r="G279">
            <v>7.4951553061291332</v>
          </cell>
          <cell r="H279">
            <v>7.4950096668991044</v>
          </cell>
          <cell r="I279">
            <v>7.6155039754231186</v>
          </cell>
          <cell r="J279">
            <v>7.6694170626275762</v>
          </cell>
          <cell r="K279">
            <v>7.8090183154025716</v>
          </cell>
          <cell r="L279">
            <v>8.0465604237574233</v>
          </cell>
          <cell r="M279">
            <v>7.9399812823545908</v>
          </cell>
          <cell r="N279">
            <v>7.9628580508243774</v>
          </cell>
          <cell r="O279">
            <v>8.0078746023589424</v>
          </cell>
          <cell r="P279">
            <v>7.8891119154016627</v>
          </cell>
          <cell r="Q279">
            <v>7.8680970480582086</v>
          </cell>
          <cell r="R279">
            <v>7.7594975581341492</v>
          </cell>
          <cell r="S279">
            <v>7.7860096022670762</v>
          </cell>
          <cell r="T279">
            <v>7.7860096022670762</v>
          </cell>
          <cell r="U279">
            <v>7.7860096022670762</v>
          </cell>
          <cell r="V279">
            <v>7.7860096022670762</v>
          </cell>
          <cell r="W279">
            <v>7.7860096022670762</v>
          </cell>
          <cell r="X279">
            <v>7.7860096022670762</v>
          </cell>
          <cell r="Y279">
            <v>7.7860096022670762</v>
          </cell>
          <cell r="Z279">
            <v>7.7860096022670762</v>
          </cell>
          <cell r="AA279">
            <v>7.7860096022670762</v>
          </cell>
          <cell r="AB279">
            <v>7.7860096022670762</v>
          </cell>
          <cell r="AC279">
            <v>7.7860096022670762</v>
          </cell>
          <cell r="AD279">
            <v>7.7860096022670762</v>
          </cell>
          <cell r="AE279">
            <v>7.7860096022670762</v>
          </cell>
          <cell r="AF279">
            <v>7.7860096022670762</v>
          </cell>
        </row>
        <row r="280">
          <cell r="A280" t="str">
            <v>Kentucky</v>
          </cell>
          <cell r="B280">
            <v>8.1251576591458594</v>
          </cell>
          <cell r="C280">
            <v>8.2328158446911708</v>
          </cell>
          <cell r="D280">
            <v>8.1509164228710898</v>
          </cell>
          <cell r="E280">
            <v>8.1602390853446245</v>
          </cell>
          <cell r="F280">
            <v>8.2170123371642276</v>
          </cell>
          <cell r="G280">
            <v>8.1949255871876314</v>
          </cell>
          <cell r="H280">
            <v>8.1949951277224642</v>
          </cell>
          <cell r="I280">
            <v>8.3283736768567938</v>
          </cell>
          <cell r="J280">
            <v>8.3881231433983086</v>
          </cell>
          <cell r="K280">
            <v>8.5425747892016233</v>
          </cell>
          <cell r="L280">
            <v>8.8052427861084244</v>
          </cell>
          <cell r="M280">
            <v>8.6874647634366404</v>
          </cell>
          <cell r="N280">
            <v>8.7127869514357155</v>
          </cell>
          <cell r="O280">
            <v>8.7624068523337719</v>
          </cell>
          <cell r="P280">
            <v>8.631099709902438</v>
          </cell>
          <cell r="Q280">
            <v>8.6080208886855836</v>
          </cell>
          <cell r="R280">
            <v>8.4880281829868345</v>
          </cell>
          <cell r="S280">
            <v>8.517278823351301</v>
          </cell>
          <cell r="T280">
            <v>8.517278823351301</v>
          </cell>
          <cell r="U280">
            <v>8.517278823351301</v>
          </cell>
          <cell r="V280">
            <v>8.517278823351301</v>
          </cell>
          <cell r="W280">
            <v>8.517278823351301</v>
          </cell>
          <cell r="X280">
            <v>8.517278823351301</v>
          </cell>
          <cell r="Y280">
            <v>8.517278823351301</v>
          </cell>
          <cell r="Z280">
            <v>8.517278823351301</v>
          </cell>
          <cell r="AA280">
            <v>8.517278823351301</v>
          </cell>
          <cell r="AB280">
            <v>8.517278823351301</v>
          </cell>
          <cell r="AC280">
            <v>8.517278823351301</v>
          </cell>
          <cell r="AD280">
            <v>8.517278823351301</v>
          </cell>
          <cell r="AE280">
            <v>8.517278823351301</v>
          </cell>
          <cell r="AF280">
            <v>8.517278823351301</v>
          </cell>
        </row>
        <row r="281">
          <cell r="A281" t="str">
            <v>Louisiana</v>
          </cell>
          <cell r="B281">
            <v>8.0987478633692156</v>
          </cell>
          <cell r="C281">
            <v>8.2059973224198739</v>
          </cell>
          <cell r="D281">
            <v>8.1243786142210652</v>
          </cell>
          <cell r="E281">
            <v>8.1336524872293392</v>
          </cell>
          <cell r="F281">
            <v>8.1902062677120622</v>
          </cell>
          <cell r="G281">
            <v>8.1681849145859733</v>
          </cell>
          <cell r="H281">
            <v>8.1682453998594617</v>
          </cell>
          <cell r="I281">
            <v>8.3011256492159831</v>
          </cell>
          <cell r="J281">
            <v>8.360649165654733</v>
          </cell>
          <cell r="K281">
            <v>8.5145267148540729</v>
          </cell>
          <cell r="L281">
            <v>8.7762238353283095</v>
          </cell>
          <cell r="M281">
            <v>8.6588783036322514</v>
          </cell>
          <cell r="N281">
            <v>8.6841059170850574</v>
          </cell>
          <cell r="O281">
            <v>8.7335484506347836</v>
          </cell>
          <cell r="P281">
            <v>8.6027259754622438</v>
          </cell>
          <cell r="Q281">
            <v>8.5797263961048191</v>
          </cell>
          <cell r="R281">
            <v>8.4601736283568236</v>
          </cell>
          <cell r="S281">
            <v>8.489318659068136</v>
          </cell>
          <cell r="T281">
            <v>8.489318659068136</v>
          </cell>
          <cell r="U281">
            <v>8.489318659068136</v>
          </cell>
          <cell r="V281">
            <v>8.489318659068136</v>
          </cell>
          <cell r="W281">
            <v>8.489318659068136</v>
          </cell>
          <cell r="X281">
            <v>8.489318659068136</v>
          </cell>
          <cell r="Y281">
            <v>8.489318659068136</v>
          </cell>
          <cell r="Z281">
            <v>8.489318659068136</v>
          </cell>
          <cell r="AA281">
            <v>8.489318659068136</v>
          </cell>
          <cell r="AB281">
            <v>8.489318659068136</v>
          </cell>
          <cell r="AC281">
            <v>8.489318659068136</v>
          </cell>
          <cell r="AD281">
            <v>8.489318659068136</v>
          </cell>
          <cell r="AE281">
            <v>8.489318659068136</v>
          </cell>
          <cell r="AF281">
            <v>8.489318659068136</v>
          </cell>
        </row>
        <row r="282">
          <cell r="A282" t="str">
            <v>Maine</v>
          </cell>
          <cell r="B282">
            <v>7.9799106954935111</v>
          </cell>
          <cell r="C282">
            <v>8.0853264936383606</v>
          </cell>
          <cell r="D282">
            <v>8.0049695656408861</v>
          </cell>
          <cell r="E282">
            <v>8.0140256285847382</v>
          </cell>
          <cell r="F282">
            <v>8.06959511437082</v>
          </cell>
          <cell r="G282">
            <v>8.0478686281424743</v>
          </cell>
          <cell r="H282">
            <v>8.0478891932126153</v>
          </cell>
          <cell r="I282">
            <v>8.1785332841500598</v>
          </cell>
          <cell r="J282">
            <v>8.2370430541989741</v>
          </cell>
          <cell r="K282">
            <v>8.388344062253676</v>
          </cell>
          <cell r="L282">
            <v>8.6456834500146744</v>
          </cell>
          <cell r="M282">
            <v>8.5302793672971209</v>
          </cell>
          <cell r="N282">
            <v>8.5550825678954645</v>
          </cell>
          <cell r="O282">
            <v>8.6037284997110106</v>
          </cell>
          <cell r="P282">
            <v>8.4750814857550214</v>
          </cell>
          <cell r="Q282">
            <v>8.452438078518302</v>
          </cell>
          <cell r="R282">
            <v>8.3348602459430072</v>
          </cell>
          <cell r="S282">
            <v>8.3635310464825103</v>
          </cell>
          <cell r="T282">
            <v>8.3635310464825103</v>
          </cell>
          <cell r="U282">
            <v>8.3635310464825103</v>
          </cell>
          <cell r="V282">
            <v>8.3635310464825103</v>
          </cell>
          <cell r="W282">
            <v>8.3635310464825103</v>
          </cell>
          <cell r="X282">
            <v>8.3635310464825103</v>
          </cell>
          <cell r="Y282">
            <v>8.3635310464825103</v>
          </cell>
          <cell r="Z282">
            <v>8.3635310464825103</v>
          </cell>
          <cell r="AA282">
            <v>8.3635310464825103</v>
          </cell>
          <cell r="AB282">
            <v>8.3635310464825103</v>
          </cell>
          <cell r="AC282">
            <v>8.3635310464825103</v>
          </cell>
          <cell r="AD282">
            <v>8.3635310464825103</v>
          </cell>
          <cell r="AE282">
            <v>8.3635310464825103</v>
          </cell>
          <cell r="AF282">
            <v>8.3635310464825103</v>
          </cell>
        </row>
        <row r="283">
          <cell r="A283" t="str">
            <v>Maryland</v>
          </cell>
          <cell r="B283">
            <v>7.9799106954935137</v>
          </cell>
          <cell r="C283">
            <v>8.0853264936383606</v>
          </cell>
          <cell r="D283">
            <v>8.0049695656408879</v>
          </cell>
          <cell r="E283">
            <v>8.0140256285847364</v>
          </cell>
          <cell r="F283">
            <v>8.06959511437082</v>
          </cell>
          <cell r="G283">
            <v>8.0478686281424743</v>
          </cell>
          <cell r="H283">
            <v>8.0478891932126135</v>
          </cell>
          <cell r="I283">
            <v>8.178533284150058</v>
          </cell>
          <cell r="J283">
            <v>8.2370430541989741</v>
          </cell>
          <cell r="K283">
            <v>8.388344062253676</v>
          </cell>
          <cell r="L283">
            <v>8.6456834500146762</v>
          </cell>
          <cell r="M283">
            <v>8.5302793672971209</v>
          </cell>
          <cell r="N283">
            <v>8.5550825678954663</v>
          </cell>
          <cell r="O283">
            <v>8.6037284997110124</v>
          </cell>
          <cell r="P283">
            <v>8.4750814857550214</v>
          </cell>
          <cell r="Q283">
            <v>8.4524380785183002</v>
          </cell>
          <cell r="R283">
            <v>8.3348602459430108</v>
          </cell>
          <cell r="S283">
            <v>8.3635310464825103</v>
          </cell>
          <cell r="T283">
            <v>8.3635310464825103</v>
          </cell>
          <cell r="U283">
            <v>8.3635310464825103</v>
          </cell>
          <cell r="V283">
            <v>8.3635310464825103</v>
          </cell>
          <cell r="W283">
            <v>8.3635310464825103</v>
          </cell>
          <cell r="X283">
            <v>8.3635310464825103</v>
          </cell>
          <cell r="Y283">
            <v>8.3635310464825103</v>
          </cell>
          <cell r="Z283">
            <v>8.3635310464825103</v>
          </cell>
          <cell r="AA283">
            <v>8.3635310464825103</v>
          </cell>
          <cell r="AB283">
            <v>8.3635310464825103</v>
          </cell>
          <cell r="AC283">
            <v>8.3635310464825103</v>
          </cell>
          <cell r="AD283">
            <v>8.3635310464825103</v>
          </cell>
          <cell r="AE283">
            <v>8.3635310464825103</v>
          </cell>
          <cell r="AF283">
            <v>8.3635310464825103</v>
          </cell>
        </row>
        <row r="284">
          <cell r="A284" t="str">
            <v>Massachusetts</v>
          </cell>
          <cell r="B284">
            <v>7.9799106954935111</v>
          </cell>
          <cell r="C284">
            <v>8.0853264936383624</v>
          </cell>
          <cell r="D284">
            <v>8.0049695656408861</v>
          </cell>
          <cell r="E284">
            <v>8.0140256285847382</v>
          </cell>
          <cell r="F284">
            <v>8.06959511437082</v>
          </cell>
          <cell r="G284">
            <v>8.0478686281424743</v>
          </cell>
          <cell r="H284">
            <v>8.0478891932126153</v>
          </cell>
          <cell r="I284">
            <v>8.1785332841500598</v>
          </cell>
          <cell r="J284">
            <v>8.2370430541989741</v>
          </cell>
          <cell r="K284">
            <v>8.388344062253676</v>
          </cell>
          <cell r="L284">
            <v>8.6456834500146744</v>
          </cell>
          <cell r="M284">
            <v>8.5302793672971209</v>
          </cell>
          <cell r="N284">
            <v>8.5550825678954645</v>
          </cell>
          <cell r="O284">
            <v>8.6037284997110106</v>
          </cell>
          <cell r="P284">
            <v>8.4750814857550232</v>
          </cell>
          <cell r="Q284">
            <v>8.452438078518302</v>
          </cell>
          <cell r="R284">
            <v>8.3348602459430072</v>
          </cell>
          <cell r="S284">
            <v>8.3635310464825103</v>
          </cell>
          <cell r="T284">
            <v>8.3635310464825103</v>
          </cell>
          <cell r="U284">
            <v>8.3635310464825103</v>
          </cell>
          <cell r="V284">
            <v>8.3635310464825103</v>
          </cell>
          <cell r="W284">
            <v>8.3635310464825103</v>
          </cell>
          <cell r="X284">
            <v>8.3635310464825103</v>
          </cell>
          <cell r="Y284">
            <v>8.3635310464825103</v>
          </cell>
          <cell r="Z284">
            <v>8.3635310464825103</v>
          </cell>
          <cell r="AA284">
            <v>8.3635310464825103</v>
          </cell>
          <cell r="AB284">
            <v>8.3635310464825103</v>
          </cell>
          <cell r="AC284">
            <v>8.3635310464825103</v>
          </cell>
          <cell r="AD284">
            <v>8.3635310464825103</v>
          </cell>
          <cell r="AE284">
            <v>8.3635310464825103</v>
          </cell>
          <cell r="AF284">
            <v>8.3635310464825103</v>
          </cell>
        </row>
        <row r="285">
          <cell r="A285" t="str">
            <v>Michigan</v>
          </cell>
          <cell r="B285">
            <v>7.9827388198221971</v>
          </cell>
          <cell r="C285">
            <v>8.0881981501082389</v>
          </cell>
          <cell r="D285">
            <v>8.0078112200018268</v>
          </cell>
          <cell r="E285">
            <v>8.0168724331610584</v>
          </cell>
          <cell r="F285">
            <v>8.0724652805778305</v>
          </cell>
          <cell r="G285">
            <v>8.0507317654993571</v>
          </cell>
          <cell r="H285">
            <v>8.0507532647009459</v>
          </cell>
          <cell r="I285">
            <v>8.1814504557851695</v>
          </cell>
          <cell r="J285">
            <v>8.2399842941199584</v>
          </cell>
          <cell r="K285">
            <v>8.3913464897063257</v>
          </cell>
          <cell r="L285">
            <v>8.6487893732428258</v>
          </cell>
          <cell r="M285">
            <v>8.5333391767679903</v>
          </cell>
          <cell r="N285">
            <v>8.5581524555814656</v>
          </cell>
          <cell r="O285">
            <v>8.6068173162070671</v>
          </cell>
          <cell r="P285">
            <v>8.4781186341685846</v>
          </cell>
          <cell r="Q285">
            <v>8.4554667582489067</v>
          </cell>
          <cell r="R285">
            <v>8.337842015448782</v>
          </cell>
          <cell r="S285">
            <v>8.3665240828943759</v>
          </cell>
          <cell r="T285">
            <v>8.3665240828943759</v>
          </cell>
          <cell r="U285">
            <v>8.3665240828943759</v>
          </cell>
          <cell r="V285">
            <v>8.3665240828943759</v>
          </cell>
          <cell r="W285">
            <v>8.3665240828943759</v>
          </cell>
          <cell r="X285">
            <v>8.3665240828943759</v>
          </cell>
          <cell r="Y285">
            <v>8.3665240828943759</v>
          </cell>
          <cell r="Z285">
            <v>8.3665240828943759</v>
          </cell>
          <cell r="AA285">
            <v>8.3665240828943759</v>
          </cell>
          <cell r="AB285">
            <v>8.3665240828943759</v>
          </cell>
          <cell r="AC285">
            <v>8.3665240828943759</v>
          </cell>
          <cell r="AD285">
            <v>8.3665240828943759</v>
          </cell>
          <cell r="AE285">
            <v>8.3665240828943759</v>
          </cell>
          <cell r="AF285">
            <v>8.3665240828943759</v>
          </cell>
        </row>
        <row r="286">
          <cell r="A286" t="str">
            <v>Minnesota</v>
          </cell>
          <cell r="B286">
            <v>7.982738819822198</v>
          </cell>
          <cell r="C286">
            <v>8.0881981501082372</v>
          </cell>
          <cell r="D286">
            <v>8.0078112200018285</v>
          </cell>
          <cell r="E286">
            <v>8.0168724331610619</v>
          </cell>
          <cell r="F286">
            <v>8.0724652805778305</v>
          </cell>
          <cell r="G286">
            <v>8.0507317654993571</v>
          </cell>
          <cell r="H286">
            <v>8.0507532647009459</v>
          </cell>
          <cell r="I286">
            <v>8.181450455785173</v>
          </cell>
          <cell r="J286">
            <v>8.2399842941199584</v>
          </cell>
          <cell r="K286">
            <v>8.3913464897063257</v>
          </cell>
          <cell r="L286">
            <v>8.6487893732428276</v>
          </cell>
          <cell r="M286">
            <v>8.5333391767679903</v>
          </cell>
          <cell r="N286">
            <v>8.5581524555814674</v>
          </cell>
          <cell r="O286">
            <v>8.6068173162070654</v>
          </cell>
          <cell r="P286">
            <v>8.4781186341685846</v>
          </cell>
          <cell r="Q286">
            <v>8.4554667582489049</v>
          </cell>
          <cell r="R286">
            <v>8.3378420154487802</v>
          </cell>
          <cell r="S286">
            <v>8.3665240828943777</v>
          </cell>
          <cell r="T286">
            <v>8.3665240828943777</v>
          </cell>
          <cell r="U286">
            <v>8.3665240828943777</v>
          </cell>
          <cell r="V286">
            <v>8.3665240828943777</v>
          </cell>
          <cell r="W286">
            <v>8.3665240828943777</v>
          </cell>
          <cell r="X286">
            <v>8.3665240828943777</v>
          </cell>
          <cell r="Y286">
            <v>8.3665240828943777</v>
          </cell>
          <cell r="Z286">
            <v>8.3665240828943777</v>
          </cell>
          <cell r="AA286">
            <v>8.3665240828943777</v>
          </cell>
          <cell r="AB286">
            <v>8.3665240828943777</v>
          </cell>
          <cell r="AC286">
            <v>8.3665240828943777</v>
          </cell>
          <cell r="AD286">
            <v>8.3665240828943777</v>
          </cell>
          <cell r="AE286">
            <v>8.3665240828943777</v>
          </cell>
          <cell r="AF286">
            <v>8.3665240828943777</v>
          </cell>
        </row>
        <row r="287">
          <cell r="A287" t="str">
            <v>Mississippi</v>
          </cell>
          <cell r="B287">
            <v>8.1251576591458612</v>
          </cell>
          <cell r="C287">
            <v>8.2328158446911708</v>
          </cell>
          <cell r="D287">
            <v>8.1509164228710915</v>
          </cell>
          <cell r="E287">
            <v>8.1602390853446245</v>
          </cell>
          <cell r="F287">
            <v>8.2170123371642294</v>
          </cell>
          <cell r="G287">
            <v>8.1949255871876279</v>
          </cell>
          <cell r="H287">
            <v>8.1949951277224624</v>
          </cell>
          <cell r="I287">
            <v>8.3283736768567938</v>
          </cell>
          <cell r="J287">
            <v>8.3881231433983103</v>
          </cell>
          <cell r="K287">
            <v>8.5425747892016233</v>
          </cell>
          <cell r="L287">
            <v>8.8052427861084244</v>
          </cell>
          <cell r="M287">
            <v>8.6874647634366404</v>
          </cell>
          <cell r="N287">
            <v>8.7127869514357137</v>
          </cell>
          <cell r="O287">
            <v>8.7624068523337773</v>
          </cell>
          <cell r="P287">
            <v>8.631099709902438</v>
          </cell>
          <cell r="Q287">
            <v>8.6080208886855836</v>
          </cell>
          <cell r="R287">
            <v>8.4880281829868327</v>
          </cell>
          <cell r="S287">
            <v>8.5172788233512993</v>
          </cell>
          <cell r="T287">
            <v>8.5172788233512993</v>
          </cell>
          <cell r="U287">
            <v>8.5172788233512993</v>
          </cell>
          <cell r="V287">
            <v>8.5172788233512993</v>
          </cell>
          <cell r="W287">
            <v>8.5172788233512993</v>
          </cell>
          <cell r="X287">
            <v>8.5172788233512993</v>
          </cell>
          <cell r="Y287">
            <v>8.5172788233512993</v>
          </cell>
          <cell r="Z287">
            <v>8.5172788233512993</v>
          </cell>
          <cell r="AA287">
            <v>8.5172788233512993</v>
          </cell>
          <cell r="AB287">
            <v>8.5172788233512993</v>
          </cell>
          <cell r="AC287">
            <v>8.5172788233512993</v>
          </cell>
          <cell r="AD287">
            <v>8.5172788233512993</v>
          </cell>
          <cell r="AE287">
            <v>8.5172788233512993</v>
          </cell>
          <cell r="AF287">
            <v>8.5172788233512993</v>
          </cell>
        </row>
        <row r="288">
          <cell r="A288" t="str">
            <v>Missouri</v>
          </cell>
          <cell r="B288">
            <v>7.9827388198221971</v>
          </cell>
          <cell r="C288">
            <v>8.0881981501082372</v>
          </cell>
          <cell r="D288">
            <v>8.0078112200018268</v>
          </cell>
          <cell r="E288">
            <v>8.0168724331610601</v>
          </cell>
          <cell r="F288">
            <v>8.0724652805778305</v>
          </cell>
          <cell r="G288">
            <v>8.0507317654993571</v>
          </cell>
          <cell r="H288">
            <v>8.0507532647009477</v>
          </cell>
          <cell r="I288">
            <v>8.1814504557851713</v>
          </cell>
          <cell r="J288">
            <v>8.2399842941199584</v>
          </cell>
          <cell r="K288">
            <v>8.3913464897063275</v>
          </cell>
          <cell r="L288">
            <v>8.6487893732428258</v>
          </cell>
          <cell r="M288">
            <v>8.533339176767992</v>
          </cell>
          <cell r="N288">
            <v>8.5581524555814674</v>
          </cell>
          <cell r="O288">
            <v>8.6068173162070654</v>
          </cell>
          <cell r="P288">
            <v>8.4781186341685846</v>
          </cell>
          <cell r="Q288">
            <v>8.4554667582489049</v>
          </cell>
          <cell r="R288">
            <v>8.337842015448782</v>
          </cell>
          <cell r="S288">
            <v>8.3665240828943759</v>
          </cell>
          <cell r="T288">
            <v>8.3665240828943759</v>
          </cell>
          <cell r="U288">
            <v>8.3665240828943759</v>
          </cell>
          <cell r="V288">
            <v>8.3665240828943759</v>
          </cell>
          <cell r="W288">
            <v>8.3665240828943759</v>
          </cell>
          <cell r="X288">
            <v>8.3665240828943759</v>
          </cell>
          <cell r="Y288">
            <v>8.3665240828943759</v>
          </cell>
          <cell r="Z288">
            <v>8.3665240828943759</v>
          </cell>
          <cell r="AA288">
            <v>8.3665240828943759</v>
          </cell>
          <cell r="AB288">
            <v>8.3665240828943759</v>
          </cell>
          <cell r="AC288">
            <v>8.3665240828943759</v>
          </cell>
          <cell r="AD288">
            <v>8.3665240828943759</v>
          </cell>
          <cell r="AE288">
            <v>8.3665240828943759</v>
          </cell>
          <cell r="AF288">
            <v>8.3665240828943759</v>
          </cell>
        </row>
        <row r="289">
          <cell r="A289" t="str">
            <v>Montana</v>
          </cell>
          <cell r="B289">
            <v>7.433791307799785</v>
          </cell>
          <cell r="C289">
            <v>7.5308953428912044</v>
          </cell>
          <cell r="D289">
            <v>7.4563086109058938</v>
          </cell>
          <cell r="E289">
            <v>7.4643998414018098</v>
          </cell>
          <cell r="F289">
            <v>7.5155142326885036</v>
          </cell>
          <cell r="G289">
            <v>7.4951553061291332</v>
          </cell>
          <cell r="H289">
            <v>7.4950096668991026</v>
          </cell>
          <cell r="I289">
            <v>7.6155039754231177</v>
          </cell>
          <cell r="J289">
            <v>7.6694170626275797</v>
          </cell>
          <cell r="K289">
            <v>7.8090183154025716</v>
          </cell>
          <cell r="L289">
            <v>8.0465604237574251</v>
          </cell>
          <cell r="M289">
            <v>7.9399812823545943</v>
          </cell>
          <cell r="N289">
            <v>7.9628580508243774</v>
          </cell>
          <cell r="O289">
            <v>8.0078746023589442</v>
          </cell>
          <cell r="P289">
            <v>7.8891119154016627</v>
          </cell>
          <cell r="Q289">
            <v>7.8680970480582113</v>
          </cell>
          <cell r="R289">
            <v>7.7594975581341474</v>
          </cell>
          <cell r="S289">
            <v>7.7860096022670762</v>
          </cell>
          <cell r="T289">
            <v>7.7860096022670762</v>
          </cell>
          <cell r="U289">
            <v>7.7860096022670762</v>
          </cell>
          <cell r="V289">
            <v>7.7860096022670762</v>
          </cell>
          <cell r="W289">
            <v>7.7860096022670762</v>
          </cell>
          <cell r="X289">
            <v>7.7860096022670762</v>
          </cell>
          <cell r="Y289">
            <v>7.7860096022670762</v>
          </cell>
          <cell r="Z289">
            <v>7.7860096022670762</v>
          </cell>
          <cell r="AA289">
            <v>7.7860096022670762</v>
          </cell>
          <cell r="AB289">
            <v>7.7860096022670762</v>
          </cell>
          <cell r="AC289">
            <v>7.7860096022670762</v>
          </cell>
          <cell r="AD289">
            <v>7.7860096022670762</v>
          </cell>
          <cell r="AE289">
            <v>7.7860096022670762</v>
          </cell>
          <cell r="AF289">
            <v>7.7860096022670762</v>
          </cell>
        </row>
        <row r="290">
          <cell r="A290" t="str">
            <v>Nebraska</v>
          </cell>
          <cell r="B290">
            <v>7.433791307799785</v>
          </cell>
          <cell r="C290">
            <v>7.5308953428912071</v>
          </cell>
          <cell r="D290">
            <v>7.4563086109058938</v>
          </cell>
          <cell r="E290">
            <v>7.4643998414018098</v>
          </cell>
          <cell r="F290">
            <v>7.5155142326885036</v>
          </cell>
          <cell r="G290">
            <v>7.4951553061291349</v>
          </cell>
          <cell r="H290">
            <v>7.4950096668991018</v>
          </cell>
          <cell r="I290">
            <v>7.6155039754231204</v>
          </cell>
          <cell r="J290">
            <v>7.6694170626275797</v>
          </cell>
          <cell r="K290">
            <v>7.8090183154025707</v>
          </cell>
          <cell r="L290">
            <v>8.0465604237574251</v>
          </cell>
          <cell r="M290">
            <v>7.9399812823545934</v>
          </cell>
          <cell r="N290">
            <v>7.9628580508243783</v>
          </cell>
          <cell r="O290">
            <v>8.0078746023589442</v>
          </cell>
          <cell r="P290">
            <v>7.8891119154016609</v>
          </cell>
          <cell r="Q290">
            <v>7.8680970480582086</v>
          </cell>
          <cell r="R290">
            <v>7.7594975581341474</v>
          </cell>
          <cell r="S290">
            <v>7.7860096022670779</v>
          </cell>
          <cell r="T290">
            <v>7.7860096022670779</v>
          </cell>
          <cell r="U290">
            <v>7.7860096022670779</v>
          </cell>
          <cell r="V290">
            <v>7.7860096022670779</v>
          </cell>
          <cell r="W290">
            <v>7.7860096022670779</v>
          </cell>
          <cell r="X290">
            <v>7.7860096022670779</v>
          </cell>
          <cell r="Y290">
            <v>7.7860096022670779</v>
          </cell>
          <cell r="Z290">
            <v>7.7860096022670779</v>
          </cell>
          <cell r="AA290">
            <v>7.7860096022670779</v>
          </cell>
          <cell r="AB290">
            <v>7.7860096022670779</v>
          </cell>
          <cell r="AC290">
            <v>7.7860096022670779</v>
          </cell>
          <cell r="AD290">
            <v>7.7860096022670779</v>
          </cell>
          <cell r="AE290">
            <v>7.7860096022670779</v>
          </cell>
          <cell r="AF290">
            <v>7.7860096022670779</v>
          </cell>
        </row>
        <row r="291">
          <cell r="A291" t="str">
            <v>Nevada</v>
          </cell>
          <cell r="B291">
            <v>10.670309062280063</v>
          </cell>
          <cell r="C291">
            <v>10.819510195670587</v>
          </cell>
          <cell r="D291">
            <v>10.710026577644346</v>
          </cell>
          <cell r="E291">
            <v>10.724728226576865</v>
          </cell>
          <cell r="F291">
            <v>10.803931780364405</v>
          </cell>
          <cell r="G291">
            <v>10.775776785336667</v>
          </cell>
          <cell r="H291">
            <v>10.777042353187708</v>
          </cell>
          <cell r="I291">
            <v>10.960814895559528</v>
          </cell>
          <cell r="J291">
            <v>11.043502018369324</v>
          </cell>
          <cell r="K291">
            <v>11.255919714055389</v>
          </cell>
          <cell r="L291">
            <v>11.616441416294247</v>
          </cell>
          <cell r="M291">
            <v>11.455164555776166</v>
          </cell>
          <cell r="N291">
            <v>11.49005033168118</v>
          </cell>
          <cell r="O291">
            <v>11.557352448011795</v>
          </cell>
          <cell r="P291">
            <v>11.377217789535424</v>
          </cell>
          <cell r="Q291">
            <v>11.346347501405953</v>
          </cell>
          <cell r="R291">
            <v>11.182129183426746</v>
          </cell>
          <cell r="S291">
            <v>11.221943382283833</v>
          </cell>
          <cell r="T291">
            <v>11.221943382283833</v>
          </cell>
          <cell r="U291">
            <v>11.221943382283833</v>
          </cell>
          <cell r="V291">
            <v>11.221943382283833</v>
          </cell>
          <cell r="W291">
            <v>11.221943382283833</v>
          </cell>
          <cell r="X291">
            <v>11.221943382283833</v>
          </cell>
          <cell r="Y291">
            <v>11.221943382283833</v>
          </cell>
          <cell r="Z291">
            <v>11.221943382283833</v>
          </cell>
          <cell r="AA291">
            <v>11.221943382283833</v>
          </cell>
          <cell r="AB291">
            <v>11.221943382283833</v>
          </cell>
          <cell r="AC291">
            <v>11.221943382283833</v>
          </cell>
          <cell r="AD291">
            <v>11.221943382283833</v>
          </cell>
          <cell r="AE291">
            <v>11.221943382283833</v>
          </cell>
          <cell r="AF291">
            <v>11.221943382283833</v>
          </cell>
        </row>
        <row r="292">
          <cell r="A292" t="str">
            <v>New Hampshire</v>
          </cell>
          <cell r="B292">
            <v>8.0478891932126153</v>
          </cell>
          <cell r="C292">
            <v>8.0478891932126153</v>
          </cell>
          <cell r="D292">
            <v>8.0478891932126153</v>
          </cell>
          <cell r="E292">
            <v>8.0478891932126153</v>
          </cell>
          <cell r="F292">
            <v>8.0478891932126153</v>
          </cell>
          <cell r="G292">
            <v>8.0478891932126153</v>
          </cell>
          <cell r="H292">
            <v>8.0478891932126153</v>
          </cell>
          <cell r="I292">
            <v>8.1785332841500598</v>
          </cell>
          <cell r="J292">
            <v>8.2370430541989741</v>
          </cell>
          <cell r="K292">
            <v>8.388344062253676</v>
          </cell>
          <cell r="L292">
            <v>8.6456834500146744</v>
          </cell>
          <cell r="M292">
            <v>8.5302793672971209</v>
          </cell>
          <cell r="N292">
            <v>8.5550825678954645</v>
          </cell>
          <cell r="O292">
            <v>8.6037284997110106</v>
          </cell>
          <cell r="P292">
            <v>8.4750814857550232</v>
          </cell>
          <cell r="Q292">
            <v>8.452438078518302</v>
          </cell>
          <cell r="R292">
            <v>8.3348602459430072</v>
          </cell>
          <cell r="S292">
            <v>8.3635310464825103</v>
          </cell>
          <cell r="T292">
            <v>8.3635310464825103</v>
          </cell>
          <cell r="U292">
            <v>8.3635310464825103</v>
          </cell>
          <cell r="V292">
            <v>8.3635310464825103</v>
          </cell>
          <cell r="W292">
            <v>8.3635310464825103</v>
          </cell>
          <cell r="X292">
            <v>8.3635310464825103</v>
          </cell>
          <cell r="Y292">
            <v>8.3635310464825103</v>
          </cell>
          <cell r="Z292">
            <v>8.3635310464825103</v>
          </cell>
          <cell r="AA292">
            <v>8.3635310464825103</v>
          </cell>
          <cell r="AB292">
            <v>8.3635310464825103</v>
          </cell>
          <cell r="AC292">
            <v>8.3635310464825103</v>
          </cell>
          <cell r="AD292">
            <v>8.3635310464825103</v>
          </cell>
          <cell r="AE292">
            <v>8.3635310464825103</v>
          </cell>
          <cell r="AF292">
            <v>8.3635310464825103</v>
          </cell>
        </row>
        <row r="293">
          <cell r="A293" t="str">
            <v>New Jersey</v>
          </cell>
          <cell r="B293">
            <v>7.9799106954935111</v>
          </cell>
          <cell r="C293">
            <v>8.0853264936383624</v>
          </cell>
          <cell r="D293">
            <v>8.0049695656408861</v>
          </cell>
          <cell r="E293">
            <v>8.0140256285847382</v>
          </cell>
          <cell r="F293">
            <v>8.06959511437082</v>
          </cell>
          <cell r="G293">
            <v>8.0478686281424743</v>
          </cell>
          <cell r="H293">
            <v>8.0478891932126153</v>
          </cell>
          <cell r="I293">
            <v>8.1785332841500598</v>
          </cell>
          <cell r="J293">
            <v>8.2370430541989741</v>
          </cell>
          <cell r="K293">
            <v>8.388344062253676</v>
          </cell>
          <cell r="L293">
            <v>8.6456834500146744</v>
          </cell>
          <cell r="M293">
            <v>8.5302793672971209</v>
          </cell>
          <cell r="N293">
            <v>8.5550825678954645</v>
          </cell>
          <cell r="O293">
            <v>8.6037284997110106</v>
          </cell>
          <cell r="P293">
            <v>8.4750814857550214</v>
          </cell>
          <cell r="Q293">
            <v>8.452438078518302</v>
          </cell>
          <cell r="R293">
            <v>8.3348602459430072</v>
          </cell>
          <cell r="S293">
            <v>8.3635310464825103</v>
          </cell>
          <cell r="T293">
            <v>8.3635310464825103</v>
          </cell>
          <cell r="U293">
            <v>8.3635310464825103</v>
          </cell>
          <cell r="V293">
            <v>8.3635310464825103</v>
          </cell>
          <cell r="W293">
            <v>8.3635310464825103</v>
          </cell>
          <cell r="X293">
            <v>8.3635310464825103</v>
          </cell>
          <cell r="Y293">
            <v>8.3635310464825103</v>
          </cell>
          <cell r="Z293">
            <v>8.3635310464825103</v>
          </cell>
          <cell r="AA293">
            <v>8.3635310464825103</v>
          </cell>
          <cell r="AB293">
            <v>8.3635310464825103</v>
          </cell>
          <cell r="AC293">
            <v>8.3635310464825103</v>
          </cell>
          <cell r="AD293">
            <v>8.3635310464825103</v>
          </cell>
          <cell r="AE293">
            <v>8.3635310464825103</v>
          </cell>
          <cell r="AF293">
            <v>8.3635310464825103</v>
          </cell>
        </row>
        <row r="294">
          <cell r="A294" t="str">
            <v>New Mexico</v>
          </cell>
          <cell r="B294">
            <v>10.670309062280063</v>
          </cell>
          <cell r="C294">
            <v>10.819510195670585</v>
          </cell>
          <cell r="D294">
            <v>10.710026577644348</v>
          </cell>
          <cell r="E294">
            <v>10.724728226576866</v>
          </cell>
          <cell r="F294">
            <v>10.80393178036441</v>
          </cell>
          <cell r="G294">
            <v>10.775776785336665</v>
          </cell>
          <cell r="H294">
            <v>10.777042353187708</v>
          </cell>
          <cell r="I294">
            <v>10.960814895559526</v>
          </cell>
          <cell r="J294">
            <v>11.043502018369329</v>
          </cell>
          <cell r="K294">
            <v>11.255919714055393</v>
          </cell>
          <cell r="L294">
            <v>11.616441416294251</v>
          </cell>
          <cell r="M294">
            <v>11.455164555776166</v>
          </cell>
          <cell r="N294">
            <v>11.49005033168118</v>
          </cell>
          <cell r="O294">
            <v>11.557352448011798</v>
          </cell>
          <cell r="P294">
            <v>11.37721778953542</v>
          </cell>
          <cell r="Q294">
            <v>11.346347501405953</v>
          </cell>
          <cell r="R294">
            <v>11.182129183426747</v>
          </cell>
          <cell r="S294">
            <v>11.221943382283829</v>
          </cell>
          <cell r="T294">
            <v>11.221943382283829</v>
          </cell>
          <cell r="U294">
            <v>11.221943382283829</v>
          </cell>
          <cell r="V294">
            <v>11.221943382283829</v>
          </cell>
          <cell r="W294">
            <v>11.221943382283829</v>
          </cell>
          <cell r="X294">
            <v>11.221943382283829</v>
          </cell>
          <cell r="Y294">
            <v>11.221943382283829</v>
          </cell>
          <cell r="Z294">
            <v>11.221943382283829</v>
          </cell>
          <cell r="AA294">
            <v>11.221943382283829</v>
          </cell>
          <cell r="AB294">
            <v>11.221943382283829</v>
          </cell>
          <cell r="AC294">
            <v>11.221943382283829</v>
          </cell>
          <cell r="AD294">
            <v>11.221943382283829</v>
          </cell>
          <cell r="AE294">
            <v>11.221943382283829</v>
          </cell>
          <cell r="AF294">
            <v>11.221943382283829</v>
          </cell>
        </row>
        <row r="295">
          <cell r="A295" t="str">
            <v>New York</v>
          </cell>
          <cell r="B295">
            <v>7.9799106954935111</v>
          </cell>
          <cell r="C295">
            <v>8.0853264936383624</v>
          </cell>
          <cell r="D295">
            <v>8.0049695656408861</v>
          </cell>
          <cell r="E295">
            <v>8.0140256285847382</v>
          </cell>
          <cell r="F295">
            <v>8.0695951143708182</v>
          </cell>
          <cell r="G295">
            <v>8.0478686281424743</v>
          </cell>
          <cell r="H295">
            <v>8.0478891932126171</v>
          </cell>
          <cell r="I295">
            <v>8.178533284150058</v>
          </cell>
          <cell r="J295">
            <v>8.2370430541989723</v>
          </cell>
          <cell r="K295">
            <v>8.3883440622536778</v>
          </cell>
          <cell r="L295">
            <v>8.645683450014678</v>
          </cell>
          <cell r="M295">
            <v>8.5302793672971227</v>
          </cell>
          <cell r="N295">
            <v>8.5550825678954645</v>
          </cell>
          <cell r="O295">
            <v>8.6037284997110124</v>
          </cell>
          <cell r="P295">
            <v>8.4750814857550214</v>
          </cell>
          <cell r="Q295">
            <v>8.452438078518302</v>
          </cell>
          <cell r="R295">
            <v>8.3348602459430108</v>
          </cell>
          <cell r="S295">
            <v>8.3635310464825121</v>
          </cell>
          <cell r="T295">
            <v>8.3635310464825121</v>
          </cell>
          <cell r="U295">
            <v>8.3635310464825121</v>
          </cell>
          <cell r="V295">
            <v>8.3635310464825121</v>
          </cell>
          <cell r="W295">
            <v>8.3635310464825121</v>
          </cell>
          <cell r="X295">
            <v>8.3635310464825121</v>
          </cell>
          <cell r="Y295">
            <v>8.3635310464825121</v>
          </cell>
          <cell r="Z295">
            <v>8.3635310464825121</v>
          </cell>
          <cell r="AA295">
            <v>8.3635310464825121</v>
          </cell>
          <cell r="AB295">
            <v>8.3635310464825121</v>
          </cell>
          <cell r="AC295">
            <v>8.3635310464825121</v>
          </cell>
          <cell r="AD295">
            <v>8.3635310464825121</v>
          </cell>
          <cell r="AE295">
            <v>8.3635310464825121</v>
          </cell>
          <cell r="AF295">
            <v>8.3635310464825121</v>
          </cell>
        </row>
        <row r="296">
          <cell r="A296" t="str">
            <v>North Carolina</v>
          </cell>
          <cell r="B296">
            <v>8.1251576591458612</v>
          </cell>
          <cell r="C296">
            <v>8.2328158446911726</v>
          </cell>
          <cell r="D296">
            <v>8.1509164228710898</v>
          </cell>
          <cell r="E296">
            <v>8.1602390853446245</v>
          </cell>
          <cell r="F296">
            <v>8.2170123371642312</v>
          </cell>
          <cell r="G296">
            <v>8.1949255871876296</v>
          </cell>
          <cell r="H296">
            <v>8.1949951277224589</v>
          </cell>
          <cell r="I296">
            <v>8.3283736768567938</v>
          </cell>
          <cell r="J296">
            <v>8.3881231433983103</v>
          </cell>
          <cell r="K296">
            <v>8.5425747892016215</v>
          </cell>
          <cell r="L296">
            <v>8.8052427861084244</v>
          </cell>
          <cell r="M296">
            <v>8.6874647634366422</v>
          </cell>
          <cell r="N296">
            <v>8.7127869514357155</v>
          </cell>
          <cell r="O296">
            <v>8.7624068523337737</v>
          </cell>
          <cell r="P296">
            <v>8.631099709902438</v>
          </cell>
          <cell r="Q296">
            <v>8.6080208886855818</v>
          </cell>
          <cell r="R296">
            <v>8.4880281829868345</v>
          </cell>
          <cell r="S296">
            <v>8.517278823351301</v>
          </cell>
          <cell r="T296">
            <v>8.517278823351301</v>
          </cell>
          <cell r="U296">
            <v>8.517278823351301</v>
          </cell>
          <cell r="V296">
            <v>8.517278823351301</v>
          </cell>
          <cell r="W296">
            <v>8.517278823351301</v>
          </cell>
          <cell r="X296">
            <v>8.517278823351301</v>
          </cell>
          <cell r="Y296">
            <v>8.517278823351301</v>
          </cell>
          <cell r="Z296">
            <v>8.517278823351301</v>
          </cell>
          <cell r="AA296">
            <v>8.517278823351301</v>
          </cell>
          <cell r="AB296">
            <v>8.517278823351301</v>
          </cell>
          <cell r="AC296">
            <v>8.517278823351301</v>
          </cell>
          <cell r="AD296">
            <v>8.517278823351301</v>
          </cell>
          <cell r="AE296">
            <v>8.517278823351301</v>
          </cell>
          <cell r="AF296">
            <v>8.517278823351301</v>
          </cell>
        </row>
        <row r="297">
          <cell r="A297" t="str">
            <v>North Dakota</v>
          </cell>
          <cell r="B297">
            <v>7.433791307799785</v>
          </cell>
          <cell r="C297">
            <v>7.5308953428912089</v>
          </cell>
          <cell r="D297">
            <v>7.4563086109058938</v>
          </cell>
          <cell r="E297">
            <v>7.4643998414018089</v>
          </cell>
          <cell r="F297">
            <v>7.5155142326885036</v>
          </cell>
          <cell r="G297">
            <v>7.4951553061291332</v>
          </cell>
          <cell r="H297">
            <v>7.4950096668991018</v>
          </cell>
          <cell r="I297">
            <v>7.6155039754231204</v>
          </cell>
          <cell r="J297">
            <v>7.6694170626275797</v>
          </cell>
          <cell r="K297">
            <v>7.8090183154025716</v>
          </cell>
          <cell r="L297">
            <v>8.0465604237574251</v>
          </cell>
          <cell r="M297">
            <v>7.9399812823545943</v>
          </cell>
          <cell r="N297">
            <v>7.9628580508243774</v>
          </cell>
          <cell r="O297">
            <v>8.0078746023589424</v>
          </cell>
          <cell r="P297">
            <v>7.8891119154016609</v>
          </cell>
          <cell r="Q297">
            <v>7.8680970480582104</v>
          </cell>
          <cell r="R297">
            <v>7.7594975581341474</v>
          </cell>
          <cell r="S297">
            <v>7.7860096022670762</v>
          </cell>
          <cell r="T297">
            <v>7.7860096022670762</v>
          </cell>
          <cell r="U297">
            <v>7.7860096022670762</v>
          </cell>
          <cell r="V297">
            <v>7.7860096022670762</v>
          </cell>
          <cell r="W297">
            <v>7.7860096022670762</v>
          </cell>
          <cell r="X297">
            <v>7.7860096022670762</v>
          </cell>
          <cell r="Y297">
            <v>7.7860096022670762</v>
          </cell>
          <cell r="Z297">
            <v>7.7860096022670762</v>
          </cell>
          <cell r="AA297">
            <v>7.7860096022670762</v>
          </cell>
          <cell r="AB297">
            <v>7.7860096022670762</v>
          </cell>
          <cell r="AC297">
            <v>7.7860096022670762</v>
          </cell>
          <cell r="AD297">
            <v>7.7860096022670762</v>
          </cell>
          <cell r="AE297">
            <v>7.7860096022670762</v>
          </cell>
          <cell r="AF297">
            <v>7.7860096022670762</v>
          </cell>
        </row>
        <row r="298">
          <cell r="A298" t="str">
            <v>Ohio</v>
          </cell>
          <cell r="B298">
            <v>7.9827388198221954</v>
          </cell>
          <cell r="C298">
            <v>8.0881981501082389</v>
          </cell>
          <cell r="D298">
            <v>8.007811220001825</v>
          </cell>
          <cell r="E298">
            <v>8.0168724331610584</v>
          </cell>
          <cell r="F298">
            <v>8.0724652805778323</v>
          </cell>
          <cell r="G298">
            <v>8.0507317654993589</v>
          </cell>
          <cell r="H298">
            <v>8.0507532647009477</v>
          </cell>
          <cell r="I298">
            <v>8.1814504557851748</v>
          </cell>
          <cell r="J298">
            <v>8.2399842941199584</v>
          </cell>
          <cell r="K298">
            <v>8.3913464897063275</v>
          </cell>
          <cell r="L298">
            <v>8.6487893732428258</v>
          </cell>
          <cell r="M298">
            <v>8.5333391767679903</v>
          </cell>
          <cell r="N298">
            <v>8.558152455581471</v>
          </cell>
          <cell r="O298">
            <v>8.6068173162070654</v>
          </cell>
          <cell r="P298">
            <v>8.4781186341685846</v>
          </cell>
          <cell r="Q298">
            <v>8.4554667582489049</v>
          </cell>
          <cell r="R298">
            <v>8.337842015448782</v>
          </cell>
          <cell r="S298">
            <v>8.3665240828943777</v>
          </cell>
          <cell r="T298">
            <v>8.3665240828943777</v>
          </cell>
          <cell r="U298">
            <v>8.3665240828943777</v>
          </cell>
          <cell r="V298">
            <v>8.3665240828943777</v>
          </cell>
          <cell r="W298">
            <v>8.3665240828943777</v>
          </cell>
          <cell r="X298">
            <v>8.3665240828943777</v>
          </cell>
          <cell r="Y298">
            <v>8.3665240828943777</v>
          </cell>
          <cell r="Z298">
            <v>8.3665240828943777</v>
          </cell>
          <cell r="AA298">
            <v>8.3665240828943777</v>
          </cell>
          <cell r="AB298">
            <v>8.3665240828943777</v>
          </cell>
          <cell r="AC298">
            <v>8.3665240828943777</v>
          </cell>
          <cell r="AD298">
            <v>8.3665240828943777</v>
          </cell>
          <cell r="AE298">
            <v>8.3665240828943777</v>
          </cell>
          <cell r="AF298">
            <v>8.3665240828943777</v>
          </cell>
        </row>
        <row r="299">
          <cell r="A299" t="str">
            <v>Oklahoma</v>
          </cell>
          <cell r="B299">
            <v>8.0987478633692174</v>
          </cell>
          <cell r="C299">
            <v>8.2059973224198739</v>
          </cell>
          <cell r="D299">
            <v>8.1243786142210634</v>
          </cell>
          <cell r="E299">
            <v>8.1336524872293374</v>
          </cell>
          <cell r="F299">
            <v>8.1902062677120604</v>
          </cell>
          <cell r="G299">
            <v>8.1681849145859733</v>
          </cell>
          <cell r="H299">
            <v>8.1682453998594582</v>
          </cell>
          <cell r="I299">
            <v>8.3011256492159831</v>
          </cell>
          <cell r="J299">
            <v>8.3606491656547295</v>
          </cell>
          <cell r="K299">
            <v>8.5145267148540711</v>
          </cell>
          <cell r="L299">
            <v>8.7762238353283095</v>
          </cell>
          <cell r="M299">
            <v>8.6588783036322514</v>
          </cell>
          <cell r="N299">
            <v>8.6841059170850574</v>
          </cell>
          <cell r="O299">
            <v>8.7335484506347818</v>
          </cell>
          <cell r="P299">
            <v>8.6027259754622456</v>
          </cell>
          <cell r="Q299">
            <v>8.5797263961048191</v>
          </cell>
          <cell r="R299">
            <v>8.4601736283568219</v>
          </cell>
          <cell r="S299">
            <v>8.4893186590681378</v>
          </cell>
          <cell r="T299">
            <v>8.4893186590681378</v>
          </cell>
          <cell r="U299">
            <v>8.4893186590681378</v>
          </cell>
          <cell r="V299">
            <v>8.4893186590681378</v>
          </cell>
          <cell r="W299">
            <v>8.4893186590681378</v>
          </cell>
          <cell r="X299">
            <v>8.4893186590681378</v>
          </cell>
          <cell r="Y299">
            <v>8.4893186590681378</v>
          </cell>
          <cell r="Z299">
            <v>8.4893186590681378</v>
          </cell>
          <cell r="AA299">
            <v>8.4893186590681378</v>
          </cell>
          <cell r="AB299">
            <v>8.4893186590681378</v>
          </cell>
          <cell r="AC299">
            <v>8.4893186590681378</v>
          </cell>
          <cell r="AD299">
            <v>8.4893186590681378</v>
          </cell>
          <cell r="AE299">
            <v>8.4893186590681378</v>
          </cell>
          <cell r="AF299">
            <v>8.4893186590681378</v>
          </cell>
        </row>
        <row r="300">
          <cell r="A300" t="str">
            <v>Oregon</v>
          </cell>
          <cell r="B300">
            <v>10.670309062280063</v>
          </cell>
          <cell r="C300">
            <v>10.819510195670581</v>
          </cell>
          <cell r="D300">
            <v>10.710026577644346</v>
          </cell>
          <cell r="E300">
            <v>10.724728226576865</v>
          </cell>
          <cell r="F300">
            <v>10.803931780364405</v>
          </cell>
          <cell r="G300">
            <v>10.775776785336667</v>
          </cell>
          <cell r="H300">
            <v>10.777042353187708</v>
          </cell>
          <cell r="I300">
            <v>10.960814895559524</v>
          </cell>
          <cell r="J300">
            <v>11.043502018369329</v>
          </cell>
          <cell r="K300">
            <v>11.255919714055393</v>
          </cell>
          <cell r="L300">
            <v>11.616441416294245</v>
          </cell>
          <cell r="M300">
            <v>11.455164555776168</v>
          </cell>
          <cell r="N300">
            <v>11.490050331681182</v>
          </cell>
          <cell r="O300">
            <v>11.557352448011798</v>
          </cell>
          <cell r="P300">
            <v>11.37721778953542</v>
          </cell>
          <cell r="Q300">
            <v>11.346347501405955</v>
          </cell>
          <cell r="R300">
            <v>11.182129183426746</v>
          </cell>
          <cell r="S300">
            <v>11.221943382283834</v>
          </cell>
          <cell r="T300">
            <v>11.221943382283834</v>
          </cell>
          <cell r="U300">
            <v>11.221943382283834</v>
          </cell>
          <cell r="V300">
            <v>11.221943382283834</v>
          </cell>
          <cell r="W300">
            <v>11.221943382283834</v>
          </cell>
          <cell r="X300">
            <v>11.221943382283834</v>
          </cell>
          <cell r="Y300">
            <v>11.221943382283834</v>
          </cell>
          <cell r="Z300">
            <v>11.221943382283834</v>
          </cell>
          <cell r="AA300">
            <v>11.221943382283834</v>
          </cell>
          <cell r="AB300">
            <v>11.221943382283834</v>
          </cell>
          <cell r="AC300">
            <v>11.221943382283834</v>
          </cell>
          <cell r="AD300">
            <v>11.221943382283834</v>
          </cell>
          <cell r="AE300">
            <v>11.221943382283834</v>
          </cell>
          <cell r="AF300">
            <v>11.221943382283834</v>
          </cell>
        </row>
        <row r="301">
          <cell r="A301" t="str">
            <v>Pennsylvania</v>
          </cell>
          <cell r="B301">
            <v>7.9799106954935146</v>
          </cell>
          <cell r="C301">
            <v>8.0853264936383624</v>
          </cell>
          <cell r="D301">
            <v>8.0049695656408879</v>
          </cell>
          <cell r="E301">
            <v>8.01402562858474</v>
          </cell>
          <cell r="F301">
            <v>8.0695951143708182</v>
          </cell>
          <cell r="G301">
            <v>8.0478686281424743</v>
          </cell>
          <cell r="H301">
            <v>8.0478891932126171</v>
          </cell>
          <cell r="I301">
            <v>8.1785332841500562</v>
          </cell>
          <cell r="J301">
            <v>8.2370430541989705</v>
          </cell>
          <cell r="K301">
            <v>8.3883440622536778</v>
          </cell>
          <cell r="L301">
            <v>8.645683450014678</v>
          </cell>
          <cell r="M301">
            <v>8.5302793672971227</v>
          </cell>
          <cell r="N301">
            <v>8.5550825678954645</v>
          </cell>
          <cell r="O301">
            <v>8.6037284997110159</v>
          </cell>
          <cell r="P301">
            <v>8.475081485755025</v>
          </cell>
          <cell r="Q301">
            <v>8.4524380785183002</v>
          </cell>
          <cell r="R301">
            <v>8.3348602459430108</v>
          </cell>
          <cell r="S301">
            <v>8.3635310464825139</v>
          </cell>
          <cell r="T301">
            <v>8.3635310464825139</v>
          </cell>
          <cell r="U301">
            <v>8.3635310464825139</v>
          </cell>
          <cell r="V301">
            <v>8.3635310464825139</v>
          </cell>
          <cell r="W301">
            <v>8.3635310464825139</v>
          </cell>
          <cell r="X301">
            <v>8.3635310464825139</v>
          </cell>
          <cell r="Y301">
            <v>8.3635310464825139</v>
          </cell>
          <cell r="Z301">
            <v>8.3635310464825139</v>
          </cell>
          <cell r="AA301">
            <v>8.3635310464825139</v>
          </cell>
          <cell r="AB301">
            <v>8.3635310464825139</v>
          </cell>
          <cell r="AC301">
            <v>8.3635310464825139</v>
          </cell>
          <cell r="AD301">
            <v>8.3635310464825139</v>
          </cell>
          <cell r="AE301">
            <v>8.3635310464825139</v>
          </cell>
          <cell r="AF301">
            <v>8.3635310464825139</v>
          </cell>
        </row>
        <row r="302">
          <cell r="A302" t="str">
            <v>Rhode Island</v>
          </cell>
          <cell r="B302">
            <v>8.0478686281424743</v>
          </cell>
          <cell r="C302">
            <v>8.0478686281424743</v>
          </cell>
          <cell r="D302">
            <v>8.0478686281424743</v>
          </cell>
          <cell r="E302">
            <v>8.0478686281424743</v>
          </cell>
          <cell r="F302">
            <v>8.0478686281424743</v>
          </cell>
          <cell r="G302">
            <v>8.0478686281424743</v>
          </cell>
          <cell r="H302">
            <v>8.0478891932126135</v>
          </cell>
          <cell r="I302">
            <v>8.1785332841500615</v>
          </cell>
          <cell r="J302">
            <v>8.2370430541989741</v>
          </cell>
          <cell r="K302">
            <v>8.388344062253676</v>
          </cell>
          <cell r="L302">
            <v>8.6456834500146762</v>
          </cell>
          <cell r="M302">
            <v>8.5302793672971209</v>
          </cell>
          <cell r="N302">
            <v>8.5550825678954645</v>
          </cell>
          <cell r="O302">
            <v>8.6037284997110106</v>
          </cell>
          <cell r="P302">
            <v>8.4750814857550232</v>
          </cell>
          <cell r="Q302">
            <v>8.4524380785183002</v>
          </cell>
          <cell r="R302">
            <v>8.3348602459430108</v>
          </cell>
          <cell r="S302">
            <v>8.3635310464825121</v>
          </cell>
          <cell r="T302">
            <v>8.3635310464825121</v>
          </cell>
          <cell r="U302">
            <v>8.3635310464825121</v>
          </cell>
          <cell r="V302">
            <v>8.3635310464825121</v>
          </cell>
          <cell r="W302">
            <v>8.3635310464825121</v>
          </cell>
          <cell r="X302">
            <v>8.3635310464825121</v>
          </cell>
          <cell r="Y302">
            <v>8.3635310464825121</v>
          </cell>
          <cell r="Z302">
            <v>8.3635310464825121</v>
          </cell>
          <cell r="AA302">
            <v>8.3635310464825121</v>
          </cell>
          <cell r="AB302">
            <v>8.3635310464825121</v>
          </cell>
          <cell r="AC302">
            <v>8.3635310464825121</v>
          </cell>
          <cell r="AD302">
            <v>8.3635310464825121</v>
          </cell>
          <cell r="AE302">
            <v>8.3635310464825121</v>
          </cell>
          <cell r="AF302">
            <v>8.3635310464825121</v>
          </cell>
        </row>
        <row r="303">
          <cell r="A303" t="str">
            <v>South Carolina</v>
          </cell>
          <cell r="B303">
            <v>8.1251576591458594</v>
          </cell>
          <cell r="C303">
            <v>8.232815844691169</v>
          </cell>
          <cell r="D303">
            <v>8.1509164228710898</v>
          </cell>
          <cell r="E303">
            <v>8.1602390853446227</v>
          </cell>
          <cell r="F303">
            <v>8.2170123371642276</v>
          </cell>
          <cell r="G303">
            <v>8.1949255871876296</v>
          </cell>
          <cell r="H303">
            <v>8.1949951277224642</v>
          </cell>
          <cell r="I303">
            <v>8.3283736768567938</v>
          </cell>
          <cell r="J303">
            <v>8.3881231433983103</v>
          </cell>
          <cell r="K303">
            <v>8.5425747892016233</v>
          </cell>
          <cell r="L303">
            <v>8.8052427861084244</v>
          </cell>
          <cell r="M303">
            <v>8.6874647634366404</v>
          </cell>
          <cell r="N303">
            <v>8.7127869514357137</v>
          </cell>
          <cell r="O303">
            <v>8.7624068523337755</v>
          </cell>
          <cell r="P303">
            <v>8.631099709902438</v>
          </cell>
          <cell r="Q303">
            <v>8.6080208886855818</v>
          </cell>
          <cell r="R303">
            <v>8.488028182986838</v>
          </cell>
          <cell r="S303">
            <v>8.5172788233513028</v>
          </cell>
          <cell r="T303">
            <v>8.5172788233513028</v>
          </cell>
          <cell r="U303">
            <v>8.5172788233513028</v>
          </cell>
          <cell r="V303">
            <v>8.5172788233513028</v>
          </cell>
          <cell r="W303">
            <v>8.5172788233513028</v>
          </cell>
          <cell r="X303">
            <v>8.5172788233513028</v>
          </cell>
          <cell r="Y303">
            <v>8.5172788233513028</v>
          </cell>
          <cell r="Z303">
            <v>8.5172788233513028</v>
          </cell>
          <cell r="AA303">
            <v>8.5172788233513028</v>
          </cell>
          <cell r="AB303">
            <v>8.5172788233513028</v>
          </cell>
          <cell r="AC303">
            <v>8.5172788233513028</v>
          </cell>
          <cell r="AD303">
            <v>8.5172788233513028</v>
          </cell>
          <cell r="AE303">
            <v>8.5172788233513028</v>
          </cell>
          <cell r="AF303">
            <v>8.5172788233513028</v>
          </cell>
        </row>
        <row r="304">
          <cell r="A304" t="str">
            <v>South Dakota</v>
          </cell>
          <cell r="B304">
            <v>7.433791307799785</v>
          </cell>
          <cell r="C304">
            <v>7.5308953428912071</v>
          </cell>
          <cell r="D304">
            <v>7.456308610905892</v>
          </cell>
          <cell r="E304">
            <v>7.4643998414018098</v>
          </cell>
          <cell r="F304">
            <v>7.5155142326885045</v>
          </cell>
          <cell r="G304">
            <v>7.4951553061291358</v>
          </cell>
          <cell r="H304">
            <v>7.4950096668991026</v>
          </cell>
          <cell r="I304">
            <v>7.6155039754231204</v>
          </cell>
          <cell r="J304">
            <v>7.6694170626275788</v>
          </cell>
          <cell r="K304">
            <v>7.8090183154025743</v>
          </cell>
          <cell r="L304">
            <v>8.0465604237574269</v>
          </cell>
          <cell r="M304">
            <v>7.9399812823545943</v>
          </cell>
          <cell r="N304">
            <v>7.9628580508243783</v>
          </cell>
          <cell r="O304">
            <v>8.0078746023589424</v>
          </cell>
          <cell r="P304">
            <v>7.8891119154016609</v>
          </cell>
          <cell r="Q304">
            <v>7.8680970480582086</v>
          </cell>
          <cell r="R304">
            <v>7.7594975581341492</v>
          </cell>
          <cell r="S304">
            <v>7.7860096022670779</v>
          </cell>
          <cell r="T304">
            <v>7.7860096022670779</v>
          </cell>
          <cell r="U304">
            <v>7.7860096022670779</v>
          </cell>
          <cell r="V304">
            <v>7.7860096022670779</v>
          </cell>
          <cell r="W304">
            <v>7.7860096022670779</v>
          </cell>
          <cell r="X304">
            <v>7.7860096022670779</v>
          </cell>
          <cell r="Y304">
            <v>7.7860096022670779</v>
          </cell>
          <cell r="Z304">
            <v>7.7860096022670779</v>
          </cell>
          <cell r="AA304">
            <v>7.7860096022670779</v>
          </cell>
          <cell r="AB304">
            <v>7.7860096022670779</v>
          </cell>
          <cell r="AC304">
            <v>7.7860096022670779</v>
          </cell>
          <cell r="AD304">
            <v>7.7860096022670779</v>
          </cell>
          <cell r="AE304">
            <v>7.7860096022670779</v>
          </cell>
          <cell r="AF304">
            <v>7.7860096022670779</v>
          </cell>
        </row>
        <row r="305">
          <cell r="A305" t="str">
            <v>Tennessee</v>
          </cell>
          <cell r="B305">
            <v>8.1251576591458594</v>
          </cell>
          <cell r="C305">
            <v>8.2328158446911726</v>
          </cell>
          <cell r="D305">
            <v>8.1509164228710898</v>
          </cell>
          <cell r="E305">
            <v>8.1602390853446245</v>
          </cell>
          <cell r="F305">
            <v>8.2170123371642312</v>
          </cell>
          <cell r="G305">
            <v>8.1949255871876296</v>
          </cell>
          <cell r="H305">
            <v>8.1949951277224642</v>
          </cell>
          <cell r="I305">
            <v>8.3283736768567955</v>
          </cell>
          <cell r="J305">
            <v>8.3881231433983086</v>
          </cell>
          <cell r="K305">
            <v>8.5425747892016215</v>
          </cell>
          <cell r="L305">
            <v>8.8052427861084226</v>
          </cell>
          <cell r="M305">
            <v>8.6874647634366404</v>
          </cell>
          <cell r="N305">
            <v>8.7127869514357137</v>
          </cell>
          <cell r="O305">
            <v>8.7624068523337755</v>
          </cell>
          <cell r="P305">
            <v>8.631099709902438</v>
          </cell>
          <cell r="Q305">
            <v>8.6080208886855836</v>
          </cell>
          <cell r="R305">
            <v>8.4880281829868363</v>
          </cell>
          <cell r="S305">
            <v>8.517278823351301</v>
          </cell>
          <cell r="T305">
            <v>8.517278823351301</v>
          </cell>
          <cell r="U305">
            <v>8.517278823351301</v>
          </cell>
          <cell r="V305">
            <v>8.517278823351301</v>
          </cell>
          <cell r="W305">
            <v>8.517278823351301</v>
          </cell>
          <cell r="X305">
            <v>8.517278823351301</v>
          </cell>
          <cell r="Y305">
            <v>8.517278823351301</v>
          </cell>
          <cell r="Z305">
            <v>8.517278823351301</v>
          </cell>
          <cell r="AA305">
            <v>8.517278823351301</v>
          </cell>
          <cell r="AB305">
            <v>8.517278823351301</v>
          </cell>
          <cell r="AC305">
            <v>8.517278823351301</v>
          </cell>
          <cell r="AD305">
            <v>8.517278823351301</v>
          </cell>
          <cell r="AE305">
            <v>8.517278823351301</v>
          </cell>
          <cell r="AF305">
            <v>8.517278823351301</v>
          </cell>
        </row>
        <row r="306">
          <cell r="A306" t="str">
            <v>Texas</v>
          </cell>
          <cell r="B306">
            <v>8.0987478633692156</v>
          </cell>
          <cell r="C306">
            <v>8.2059973224198721</v>
          </cell>
          <cell r="D306">
            <v>8.1243786142210634</v>
          </cell>
          <cell r="E306">
            <v>8.1336524872293392</v>
          </cell>
          <cell r="F306">
            <v>8.1902062677120604</v>
          </cell>
          <cell r="G306">
            <v>8.1681849145859733</v>
          </cell>
          <cell r="H306">
            <v>8.1682453998594617</v>
          </cell>
          <cell r="I306">
            <v>8.3011256492159813</v>
          </cell>
          <cell r="J306">
            <v>8.360649165654733</v>
          </cell>
          <cell r="K306">
            <v>8.5145267148540729</v>
          </cell>
          <cell r="L306">
            <v>8.7762238353283095</v>
          </cell>
          <cell r="M306">
            <v>8.6588783036322514</v>
          </cell>
          <cell r="N306">
            <v>8.6841059170850574</v>
          </cell>
          <cell r="O306">
            <v>8.7335484506347854</v>
          </cell>
          <cell r="P306">
            <v>8.6027259754622456</v>
          </cell>
          <cell r="Q306">
            <v>8.5797263961048191</v>
          </cell>
          <cell r="R306">
            <v>8.4601736283568236</v>
          </cell>
          <cell r="S306">
            <v>8.4893186590681342</v>
          </cell>
          <cell r="T306">
            <v>8.4893186590681342</v>
          </cell>
          <cell r="U306">
            <v>8.4893186590681342</v>
          </cell>
          <cell r="V306">
            <v>8.4893186590681342</v>
          </cell>
          <cell r="W306">
            <v>8.4893186590681342</v>
          </cell>
          <cell r="X306">
            <v>8.4893186590681342</v>
          </cell>
          <cell r="Y306">
            <v>8.4893186590681342</v>
          </cell>
          <cell r="Z306">
            <v>8.4893186590681342</v>
          </cell>
          <cell r="AA306">
            <v>8.4893186590681342</v>
          </cell>
          <cell r="AB306">
            <v>8.4893186590681342</v>
          </cell>
          <cell r="AC306">
            <v>8.4893186590681342</v>
          </cell>
          <cell r="AD306">
            <v>8.4893186590681342</v>
          </cell>
          <cell r="AE306">
            <v>8.4893186590681342</v>
          </cell>
          <cell r="AF306">
            <v>8.4893186590681342</v>
          </cell>
        </row>
        <row r="307">
          <cell r="A307" t="str">
            <v>Utah</v>
          </cell>
          <cell r="B307">
            <v>10.670309062280063</v>
          </cell>
          <cell r="C307">
            <v>10.819510195670587</v>
          </cell>
          <cell r="D307">
            <v>10.710026577644348</v>
          </cell>
          <cell r="E307">
            <v>10.724728226576861</v>
          </cell>
          <cell r="F307">
            <v>10.803931780364408</v>
          </cell>
          <cell r="G307">
            <v>10.775776785336669</v>
          </cell>
          <cell r="H307">
            <v>10.777042353187712</v>
          </cell>
          <cell r="I307">
            <v>10.960814895559526</v>
          </cell>
          <cell r="J307">
            <v>11.043502018369326</v>
          </cell>
          <cell r="K307">
            <v>11.255919714055389</v>
          </cell>
          <cell r="L307">
            <v>11.616441416294251</v>
          </cell>
          <cell r="M307">
            <v>11.455164555776163</v>
          </cell>
          <cell r="N307">
            <v>11.490050331681179</v>
          </cell>
          <cell r="O307">
            <v>11.557352448011795</v>
          </cell>
          <cell r="P307">
            <v>11.377217789535424</v>
          </cell>
          <cell r="Q307">
            <v>11.346347501405955</v>
          </cell>
          <cell r="R307">
            <v>11.182129183426746</v>
          </cell>
          <cell r="S307">
            <v>11.221943382283833</v>
          </cell>
          <cell r="T307">
            <v>11.221943382283833</v>
          </cell>
          <cell r="U307">
            <v>11.221943382283833</v>
          </cell>
          <cell r="V307">
            <v>11.221943382283833</v>
          </cell>
          <cell r="W307">
            <v>11.221943382283833</v>
          </cell>
          <cell r="X307">
            <v>11.221943382283833</v>
          </cell>
          <cell r="Y307">
            <v>11.221943382283833</v>
          </cell>
          <cell r="Z307">
            <v>11.221943382283833</v>
          </cell>
          <cell r="AA307">
            <v>11.221943382283833</v>
          </cell>
          <cell r="AB307">
            <v>11.221943382283833</v>
          </cell>
          <cell r="AC307">
            <v>11.221943382283833</v>
          </cell>
          <cell r="AD307">
            <v>11.221943382283833</v>
          </cell>
          <cell r="AE307">
            <v>11.221943382283833</v>
          </cell>
          <cell r="AF307">
            <v>11.221943382283833</v>
          </cell>
        </row>
        <row r="308">
          <cell r="A308" t="str">
            <v>Vermont</v>
          </cell>
          <cell r="B308">
            <v>7.9799106954935111</v>
          </cell>
          <cell r="C308">
            <v>8.0853264936383624</v>
          </cell>
          <cell r="D308">
            <v>8.0049695656408861</v>
          </cell>
          <cell r="E308">
            <v>8.0140256285847382</v>
          </cell>
          <cell r="F308">
            <v>8.06959511437082</v>
          </cell>
          <cell r="G308">
            <v>8.0478686281424743</v>
          </cell>
          <cell r="H308">
            <v>8.0478891932126153</v>
          </cell>
          <cell r="I308">
            <v>8.1785332841500598</v>
          </cell>
          <cell r="J308">
            <v>8.2370430541989741</v>
          </cell>
          <cell r="K308">
            <v>8.388344062253676</v>
          </cell>
          <cell r="L308">
            <v>8.645683450014678</v>
          </cell>
          <cell r="M308">
            <v>8.5302793672971209</v>
          </cell>
          <cell r="N308">
            <v>8.5550825678954645</v>
          </cell>
          <cell r="O308">
            <v>8.6037284997110124</v>
          </cell>
          <cell r="P308">
            <v>8.4750814857550214</v>
          </cell>
          <cell r="Q308">
            <v>8.452438078518302</v>
          </cell>
          <cell r="R308">
            <v>8.3348602459430072</v>
          </cell>
          <cell r="S308">
            <v>8.3635310464825103</v>
          </cell>
          <cell r="T308">
            <v>8.3635310464825103</v>
          </cell>
          <cell r="U308">
            <v>8.3635310464825103</v>
          </cell>
          <cell r="V308">
            <v>8.3635310464825103</v>
          </cell>
          <cell r="W308">
            <v>8.3635310464825103</v>
          </cell>
          <cell r="X308">
            <v>8.3635310464825103</v>
          </cell>
          <cell r="Y308">
            <v>8.3635310464825103</v>
          </cell>
          <cell r="Z308">
            <v>8.3635310464825103</v>
          </cell>
          <cell r="AA308">
            <v>8.3635310464825103</v>
          </cell>
          <cell r="AB308">
            <v>8.3635310464825103</v>
          </cell>
          <cell r="AC308">
            <v>8.3635310464825103</v>
          </cell>
          <cell r="AD308">
            <v>8.3635310464825103</v>
          </cell>
          <cell r="AE308">
            <v>8.3635310464825103</v>
          </cell>
          <cell r="AF308">
            <v>8.3635310464825103</v>
          </cell>
        </row>
        <row r="309">
          <cell r="A309" t="str">
            <v>Virginia</v>
          </cell>
          <cell r="B309">
            <v>8.1251576591458594</v>
          </cell>
          <cell r="C309">
            <v>8.2328158446911743</v>
          </cell>
          <cell r="D309">
            <v>8.1509164228710915</v>
          </cell>
          <cell r="E309">
            <v>8.1602390853446227</v>
          </cell>
          <cell r="F309">
            <v>8.2170123371642294</v>
          </cell>
          <cell r="G309">
            <v>8.1949255871876296</v>
          </cell>
          <cell r="H309">
            <v>8.1949951277224642</v>
          </cell>
          <cell r="I309">
            <v>8.3283736768567938</v>
          </cell>
          <cell r="J309">
            <v>8.3881231433983086</v>
          </cell>
          <cell r="K309">
            <v>8.5425747892016215</v>
          </cell>
          <cell r="L309">
            <v>8.8052427861084208</v>
          </cell>
          <cell r="M309">
            <v>8.6874647634366404</v>
          </cell>
          <cell r="N309">
            <v>8.7127869514357155</v>
          </cell>
          <cell r="O309">
            <v>8.7624068523337773</v>
          </cell>
          <cell r="P309">
            <v>8.6310997099024398</v>
          </cell>
          <cell r="Q309">
            <v>8.6080208886855836</v>
          </cell>
          <cell r="R309">
            <v>8.4880281829868345</v>
          </cell>
          <cell r="S309">
            <v>8.5172788233512993</v>
          </cell>
          <cell r="T309">
            <v>8.5172788233512993</v>
          </cell>
          <cell r="U309">
            <v>8.5172788233512993</v>
          </cell>
          <cell r="V309">
            <v>8.5172788233512993</v>
          </cell>
          <cell r="W309">
            <v>8.5172788233512993</v>
          </cell>
          <cell r="X309">
            <v>8.5172788233512993</v>
          </cell>
          <cell r="Y309">
            <v>8.5172788233512993</v>
          </cell>
          <cell r="Z309">
            <v>8.5172788233512993</v>
          </cell>
          <cell r="AA309">
            <v>8.5172788233512993</v>
          </cell>
          <cell r="AB309">
            <v>8.5172788233512993</v>
          </cell>
          <cell r="AC309">
            <v>8.5172788233512993</v>
          </cell>
          <cell r="AD309">
            <v>8.5172788233512993</v>
          </cell>
          <cell r="AE309">
            <v>8.5172788233512993</v>
          </cell>
          <cell r="AF309">
            <v>8.5172788233512993</v>
          </cell>
        </row>
        <row r="310">
          <cell r="A310" t="str">
            <v>Washington</v>
          </cell>
          <cell r="B310">
            <v>10.670309062280063</v>
          </cell>
          <cell r="C310">
            <v>10.819510195670587</v>
          </cell>
          <cell r="D310">
            <v>10.710026577644346</v>
          </cell>
          <cell r="E310">
            <v>10.724728226576866</v>
          </cell>
          <cell r="F310">
            <v>10.803931780364406</v>
          </cell>
          <cell r="G310">
            <v>10.775776785336669</v>
          </cell>
          <cell r="H310">
            <v>10.777042353187708</v>
          </cell>
          <cell r="I310">
            <v>10.960814895559526</v>
          </cell>
          <cell r="J310">
            <v>11.043502018369331</v>
          </cell>
          <cell r="K310">
            <v>11.255919714055389</v>
          </cell>
          <cell r="L310">
            <v>11.616441416294247</v>
          </cell>
          <cell r="M310">
            <v>11.455164555776166</v>
          </cell>
          <cell r="N310">
            <v>11.490050331681182</v>
          </cell>
          <cell r="O310">
            <v>11.557352448011798</v>
          </cell>
          <cell r="P310">
            <v>11.37721778953542</v>
          </cell>
          <cell r="Q310">
            <v>11.346347501405956</v>
          </cell>
          <cell r="R310">
            <v>11.182129183426746</v>
          </cell>
          <cell r="S310">
            <v>11.221943382283834</v>
          </cell>
          <cell r="T310">
            <v>11.221943382283834</v>
          </cell>
          <cell r="U310">
            <v>11.221943382283834</v>
          </cell>
          <cell r="V310">
            <v>11.221943382283834</v>
          </cell>
          <cell r="W310">
            <v>11.221943382283834</v>
          </cell>
          <cell r="X310">
            <v>11.221943382283834</v>
          </cell>
          <cell r="Y310">
            <v>11.221943382283834</v>
          </cell>
          <cell r="Z310">
            <v>11.221943382283834</v>
          </cell>
          <cell r="AA310">
            <v>11.221943382283834</v>
          </cell>
          <cell r="AB310">
            <v>11.221943382283834</v>
          </cell>
          <cell r="AC310">
            <v>11.221943382283834</v>
          </cell>
          <cell r="AD310">
            <v>11.221943382283834</v>
          </cell>
          <cell r="AE310">
            <v>11.221943382283834</v>
          </cell>
          <cell r="AF310">
            <v>11.221943382283834</v>
          </cell>
        </row>
        <row r="311">
          <cell r="A311" t="str">
            <v>West Virginia</v>
          </cell>
          <cell r="B311">
            <v>7.9799106954935128</v>
          </cell>
          <cell r="C311">
            <v>8.0853264936383624</v>
          </cell>
          <cell r="D311">
            <v>8.0049695656408861</v>
          </cell>
          <cell r="E311">
            <v>8.0140256285847382</v>
          </cell>
          <cell r="F311">
            <v>8.06959511437082</v>
          </cell>
          <cell r="G311">
            <v>8.0478686281424743</v>
          </cell>
          <cell r="H311">
            <v>8.0478891932126135</v>
          </cell>
          <cell r="I311">
            <v>8.178533284150058</v>
          </cell>
          <cell r="J311">
            <v>8.2370430541989705</v>
          </cell>
          <cell r="K311">
            <v>8.388344062253676</v>
          </cell>
          <cell r="L311">
            <v>8.6456834500146709</v>
          </cell>
          <cell r="M311">
            <v>8.5302793672971209</v>
          </cell>
          <cell r="N311">
            <v>8.5550825678954663</v>
          </cell>
          <cell r="O311">
            <v>8.6037284997110106</v>
          </cell>
          <cell r="P311">
            <v>8.4750814857550214</v>
          </cell>
          <cell r="Q311">
            <v>8.452438078518302</v>
          </cell>
          <cell r="R311">
            <v>8.3348602459430108</v>
          </cell>
          <cell r="S311">
            <v>8.3635310464825121</v>
          </cell>
          <cell r="T311">
            <v>8.3635310464825121</v>
          </cell>
          <cell r="U311">
            <v>8.3635310464825121</v>
          </cell>
          <cell r="V311">
            <v>8.3635310464825121</v>
          </cell>
          <cell r="W311">
            <v>8.3635310464825121</v>
          </cell>
          <cell r="X311">
            <v>8.3635310464825121</v>
          </cell>
          <cell r="Y311">
            <v>8.3635310464825121</v>
          </cell>
          <cell r="Z311">
            <v>8.3635310464825121</v>
          </cell>
          <cell r="AA311">
            <v>8.3635310464825121</v>
          </cell>
          <cell r="AB311">
            <v>8.3635310464825121</v>
          </cell>
          <cell r="AC311">
            <v>8.3635310464825121</v>
          </cell>
          <cell r="AD311">
            <v>8.3635310464825121</v>
          </cell>
          <cell r="AE311">
            <v>8.3635310464825121</v>
          </cell>
          <cell r="AF311">
            <v>8.3635310464825121</v>
          </cell>
        </row>
        <row r="312">
          <cell r="A312" t="str">
            <v>Wisconsin</v>
          </cell>
          <cell r="B312">
            <v>7.982738819822198</v>
          </cell>
          <cell r="C312">
            <v>8.0881981501082354</v>
          </cell>
          <cell r="D312">
            <v>8.0078112200018285</v>
          </cell>
          <cell r="E312">
            <v>8.0168724331610584</v>
          </cell>
          <cell r="F312">
            <v>8.0724652805778323</v>
          </cell>
          <cell r="G312">
            <v>8.0507317654993571</v>
          </cell>
          <cell r="H312">
            <v>8.0507532647009441</v>
          </cell>
          <cell r="I312">
            <v>8.1814504557851713</v>
          </cell>
          <cell r="J312">
            <v>8.2399842941199584</v>
          </cell>
          <cell r="K312">
            <v>8.3913464897063257</v>
          </cell>
          <cell r="L312">
            <v>8.6487893732428311</v>
          </cell>
          <cell r="M312">
            <v>8.5333391767679903</v>
          </cell>
          <cell r="N312">
            <v>8.5581524555814656</v>
          </cell>
          <cell r="O312">
            <v>8.6068173162070654</v>
          </cell>
          <cell r="P312">
            <v>8.4781186341685881</v>
          </cell>
          <cell r="Q312">
            <v>8.4554667582489067</v>
          </cell>
          <cell r="R312">
            <v>8.337842015448782</v>
          </cell>
          <cell r="S312">
            <v>8.3665240828943759</v>
          </cell>
          <cell r="T312">
            <v>8.3665240828943759</v>
          </cell>
          <cell r="U312">
            <v>8.3665240828943759</v>
          </cell>
          <cell r="V312">
            <v>8.3665240828943759</v>
          </cell>
          <cell r="W312">
            <v>8.3665240828943759</v>
          </cell>
          <cell r="X312">
            <v>8.3665240828943759</v>
          </cell>
          <cell r="Y312">
            <v>8.3665240828943759</v>
          </cell>
          <cell r="Z312">
            <v>8.3665240828943759</v>
          </cell>
          <cell r="AA312">
            <v>8.3665240828943759</v>
          </cell>
          <cell r="AB312">
            <v>8.3665240828943759</v>
          </cell>
          <cell r="AC312">
            <v>8.3665240828943759</v>
          </cell>
          <cell r="AD312">
            <v>8.3665240828943759</v>
          </cell>
          <cell r="AE312">
            <v>8.3665240828943759</v>
          </cell>
          <cell r="AF312">
            <v>8.3665240828943759</v>
          </cell>
        </row>
        <row r="313">
          <cell r="A313" t="str">
            <v>Wyoming</v>
          </cell>
          <cell r="B313">
            <v>7.4337913077997841</v>
          </cell>
          <cell r="C313">
            <v>7.5308953428912071</v>
          </cell>
          <cell r="D313">
            <v>7.456308610905892</v>
          </cell>
          <cell r="E313">
            <v>7.4643998414018107</v>
          </cell>
          <cell r="F313">
            <v>7.5155142326885045</v>
          </cell>
          <cell r="G313">
            <v>7.4951553061291358</v>
          </cell>
          <cell r="H313">
            <v>7.4950096668991026</v>
          </cell>
          <cell r="I313">
            <v>7.6155039754231204</v>
          </cell>
          <cell r="J313">
            <v>7.6694170626275788</v>
          </cell>
          <cell r="K313">
            <v>7.8090183154025743</v>
          </cell>
          <cell r="L313">
            <v>8.0465604237574251</v>
          </cell>
          <cell r="M313">
            <v>7.9399812823545943</v>
          </cell>
          <cell r="N313">
            <v>7.9628580508243774</v>
          </cell>
          <cell r="O313">
            <v>8.0078746023589442</v>
          </cell>
          <cell r="P313">
            <v>7.8891119154016627</v>
          </cell>
          <cell r="Q313">
            <v>7.8680970480582086</v>
          </cell>
          <cell r="R313">
            <v>7.7594975581341492</v>
          </cell>
          <cell r="S313">
            <v>7.7860096022670753</v>
          </cell>
          <cell r="T313">
            <v>7.7860096022670753</v>
          </cell>
          <cell r="U313">
            <v>7.7860096022670753</v>
          </cell>
          <cell r="V313">
            <v>7.7860096022670753</v>
          </cell>
          <cell r="W313">
            <v>7.7860096022670753</v>
          </cell>
          <cell r="X313">
            <v>7.7860096022670753</v>
          </cell>
          <cell r="Y313">
            <v>7.7860096022670753</v>
          </cell>
          <cell r="Z313">
            <v>7.7860096022670753</v>
          </cell>
          <cell r="AA313">
            <v>7.7860096022670753</v>
          </cell>
          <cell r="AB313">
            <v>7.7860096022670753</v>
          </cell>
          <cell r="AC313">
            <v>7.7860096022670753</v>
          </cell>
          <cell r="AD313">
            <v>7.7860096022670753</v>
          </cell>
          <cell r="AE313">
            <v>7.7860096022670753</v>
          </cell>
          <cell r="AF313">
            <v>7.7860096022670753</v>
          </cell>
        </row>
        <row r="315">
          <cell r="A315" t="str">
            <v>Steer Feedlot</v>
          </cell>
          <cell r="B315">
            <v>1990</v>
          </cell>
          <cell r="C315">
            <v>1991</v>
          </cell>
          <cell r="D315">
            <v>1992</v>
          </cell>
          <cell r="E315">
            <v>1993</v>
          </cell>
          <cell r="F315">
            <v>1994</v>
          </cell>
          <cell r="G315">
            <v>1995</v>
          </cell>
          <cell r="H315">
            <v>1996</v>
          </cell>
          <cell r="I315">
            <v>1997</v>
          </cell>
          <cell r="J315">
            <v>1998</v>
          </cell>
          <cell r="K315">
            <v>1999</v>
          </cell>
          <cell r="L315">
            <v>2000</v>
          </cell>
          <cell r="M315">
            <v>2001</v>
          </cell>
          <cell r="N315">
            <v>2002</v>
          </cell>
          <cell r="O315">
            <v>2003</v>
          </cell>
          <cell r="P315">
            <v>2004</v>
          </cell>
          <cell r="Q315">
            <v>2005</v>
          </cell>
          <cell r="R315">
            <v>2006</v>
          </cell>
          <cell r="S315">
            <v>2007</v>
          </cell>
          <cell r="T315">
            <v>2008</v>
          </cell>
          <cell r="U315">
            <v>2009</v>
          </cell>
          <cell r="V315">
            <v>2010</v>
          </cell>
          <cell r="W315">
            <v>2011</v>
          </cell>
          <cell r="X315">
            <v>2012</v>
          </cell>
          <cell r="Y315">
            <v>2013</v>
          </cell>
          <cell r="Z315">
            <v>2014</v>
          </cell>
          <cell r="AA315">
            <v>2015</v>
          </cell>
          <cell r="AB315">
            <v>2016</v>
          </cell>
          <cell r="AC315">
            <v>2017</v>
          </cell>
          <cell r="AD315">
            <v>2018</v>
          </cell>
          <cell r="AE315">
            <v>2019</v>
          </cell>
          <cell r="AF315">
            <v>2020</v>
          </cell>
        </row>
        <row r="316">
          <cell r="A316" t="str">
            <v>Alabama</v>
          </cell>
          <cell r="B316">
            <v>5.3624297824087073</v>
          </cell>
          <cell r="C316">
            <v>4.7978669643632728</v>
          </cell>
          <cell r="D316">
            <v>4.2547472471948193</v>
          </cell>
          <cell r="E316">
            <v>4.5017592559352444</v>
          </cell>
          <cell r="F316">
            <v>4.1637504128290868</v>
          </cell>
          <cell r="G316">
            <v>3.7100197443267611</v>
          </cell>
          <cell r="H316">
            <v>3.6472168156592168</v>
          </cell>
          <cell r="I316">
            <v>3.3657545533868589</v>
          </cell>
          <cell r="J316">
            <v>3.4011110813735468</v>
          </cell>
          <cell r="K316">
            <v>3.2831313458163569</v>
          </cell>
          <cell r="L316">
            <v>3.3169326299967907</v>
          </cell>
          <cell r="M316">
            <v>3.2952988587889567</v>
          </cell>
          <cell r="N316">
            <v>3.2445347803330047</v>
          </cell>
          <cell r="O316">
            <v>3.1104952074184244</v>
          </cell>
          <cell r="P316">
            <v>3.2458570547230745</v>
          </cell>
          <cell r="Q316">
            <v>3.2826768916533187</v>
          </cell>
          <cell r="R316">
            <v>3.0554092840512759</v>
          </cell>
          <cell r="S316">
            <v>3.2099166176922664</v>
          </cell>
          <cell r="T316">
            <v>3.2099166176922664</v>
          </cell>
          <cell r="U316">
            <v>3.2099166176922664</v>
          </cell>
          <cell r="V316">
            <v>3.2099166176922664</v>
          </cell>
          <cell r="W316">
            <v>3.2099166176922664</v>
          </cell>
          <cell r="X316">
            <v>3.2099166176922664</v>
          </cell>
          <cell r="Y316">
            <v>3.2099166176922664</v>
          </cell>
          <cell r="Z316">
            <v>3.2099166176922664</v>
          </cell>
          <cell r="AA316">
            <v>3.2099166176922664</v>
          </cell>
          <cell r="AB316">
            <v>3.2099166176922664</v>
          </cell>
          <cell r="AC316">
            <v>3.2099166176922664</v>
          </cell>
          <cell r="AD316">
            <v>3.2099166176922664</v>
          </cell>
          <cell r="AE316">
            <v>3.2099166176922664</v>
          </cell>
          <cell r="AF316">
            <v>3.2099166176922664</v>
          </cell>
        </row>
        <row r="317">
          <cell r="A317" t="str">
            <v>Alaska</v>
          </cell>
          <cell r="B317">
            <v>4.9679596580845002</v>
          </cell>
          <cell r="C317">
            <v>4.798696747455538</v>
          </cell>
          <cell r="D317">
            <v>4.341413850394761</v>
          </cell>
          <cell r="E317">
            <v>4.459533112271024</v>
          </cell>
          <cell r="F317">
            <v>3.7588717212473988</v>
          </cell>
          <cell r="G317">
            <v>3.5028922333166532</v>
          </cell>
          <cell r="H317">
            <v>3.3060291006951519</v>
          </cell>
          <cell r="I317">
            <v>3.5568084373577329</v>
          </cell>
          <cell r="J317">
            <v>3.4285961610549549</v>
          </cell>
          <cell r="K317">
            <v>3.6419508469689279</v>
          </cell>
          <cell r="L317">
            <v>3.343758951023895</v>
          </cell>
          <cell r="M317">
            <v>3.2834940710190992</v>
          </cell>
          <cell r="N317">
            <v>3.2662823954642448</v>
          </cell>
          <cell r="O317">
            <v>3.3095999133724567</v>
          </cell>
          <cell r="P317">
            <v>3.07171674731529</v>
          </cell>
          <cell r="Q317">
            <v>3.1940517403832427</v>
          </cell>
          <cell r="R317">
            <v>3.1566016179014098</v>
          </cell>
          <cell r="S317">
            <v>3.198754139739854</v>
          </cell>
          <cell r="T317">
            <v>3.198754139739854</v>
          </cell>
          <cell r="U317">
            <v>3.198754139739854</v>
          </cell>
          <cell r="V317">
            <v>3.198754139739854</v>
          </cell>
          <cell r="W317">
            <v>3.198754139739854</v>
          </cell>
          <cell r="X317">
            <v>3.198754139739854</v>
          </cell>
          <cell r="Y317">
            <v>3.198754139739854</v>
          </cell>
          <cell r="Z317">
            <v>3.198754139739854</v>
          </cell>
          <cell r="AA317">
            <v>3.198754139739854</v>
          </cell>
          <cell r="AB317">
            <v>3.198754139739854</v>
          </cell>
          <cell r="AC317">
            <v>3.198754139739854</v>
          </cell>
          <cell r="AD317">
            <v>3.198754139739854</v>
          </cell>
          <cell r="AE317">
            <v>3.198754139739854</v>
          </cell>
          <cell r="AF317">
            <v>3.198754139739854</v>
          </cell>
        </row>
        <row r="318">
          <cell r="A318" t="str">
            <v>Arizona</v>
          </cell>
          <cell r="B318">
            <v>5.2293963795947924</v>
          </cell>
          <cell r="C318">
            <v>4.7415418603245953</v>
          </cell>
          <cell r="D318">
            <v>4.2856126024656547</v>
          </cell>
          <cell r="E318">
            <v>4.2109789213162649</v>
          </cell>
          <cell r="F318">
            <v>3.9061631788763123</v>
          </cell>
          <cell r="G318">
            <v>3.6342949760456253</v>
          </cell>
          <cell r="H318">
            <v>3.3746469512966017</v>
          </cell>
          <cell r="I318">
            <v>3.348450279746165</v>
          </cell>
          <cell r="J318">
            <v>3.2994846051060374</v>
          </cell>
          <cell r="K318">
            <v>3.3522814509956329</v>
          </cell>
          <cell r="L318">
            <v>3.2061711057904922</v>
          </cell>
          <cell r="M318">
            <v>3.2494803707102191</v>
          </cell>
          <cell r="N318">
            <v>3.2392006606105603</v>
          </cell>
          <cell r="O318">
            <v>3.2266305956629884</v>
          </cell>
          <cell r="P318">
            <v>3.237145676067966</v>
          </cell>
          <cell r="Q318">
            <v>3.1569754773480945</v>
          </cell>
          <cell r="R318">
            <v>3.1706798514674004</v>
          </cell>
          <cell r="S318">
            <v>3.1531780834712726</v>
          </cell>
          <cell r="T318">
            <v>3.1531780834712726</v>
          </cell>
          <cell r="U318">
            <v>3.1531780834712726</v>
          </cell>
          <cell r="V318">
            <v>3.1531780834712726</v>
          </cell>
          <cell r="W318">
            <v>3.1531780834712726</v>
          </cell>
          <cell r="X318">
            <v>3.1531780834712726</v>
          </cell>
          <cell r="Y318">
            <v>3.1531780834712726</v>
          </cell>
          <cell r="Z318">
            <v>3.1531780834712726</v>
          </cell>
          <cell r="AA318">
            <v>3.1531780834712726</v>
          </cell>
          <cell r="AB318">
            <v>3.1531780834712726</v>
          </cell>
          <cell r="AC318">
            <v>3.1531780834712726</v>
          </cell>
          <cell r="AD318">
            <v>3.1531780834712726</v>
          </cell>
          <cell r="AE318">
            <v>3.1531780834712726</v>
          </cell>
          <cell r="AF318">
            <v>3.1531780834712726</v>
          </cell>
        </row>
        <row r="319">
          <cell r="A319" t="str">
            <v>Arkansas</v>
          </cell>
          <cell r="B319">
            <v>5.29043523500353</v>
          </cell>
          <cell r="C319">
            <v>4.5479837131500549</v>
          </cell>
          <cell r="D319">
            <v>4.1989323964133911</v>
          </cell>
          <cell r="E319">
            <v>4.2162881128191403</v>
          </cell>
          <cell r="F319">
            <v>4.1637504128290868</v>
          </cell>
          <cell r="G319">
            <v>3.5061453681852459</v>
          </cell>
          <cell r="H319">
            <v>3.2814125394737599</v>
          </cell>
          <cell r="I319">
            <v>3.3464631861223535</v>
          </cell>
          <cell r="J319">
            <v>3.622053284043866</v>
          </cell>
          <cell r="K319">
            <v>3.1613798785776304</v>
          </cell>
          <cell r="L319">
            <v>3.4829223522233108</v>
          </cell>
          <cell r="M319">
            <v>3.2952988587889567</v>
          </cell>
          <cell r="N319">
            <v>3.1360743459766498</v>
          </cell>
          <cell r="O319">
            <v>3.2014521917075274</v>
          </cell>
          <cell r="P319">
            <v>3.4726961833153398</v>
          </cell>
          <cell r="Q319">
            <v>3.2056300874516639</v>
          </cell>
          <cell r="R319">
            <v>3.6339637860306198</v>
          </cell>
          <cell r="S319">
            <v>3.4803168905216455</v>
          </cell>
          <cell r="T319">
            <v>3.4803168905216455</v>
          </cell>
          <cell r="U319">
            <v>3.4803168905216455</v>
          </cell>
          <cell r="V319">
            <v>3.4803168905216455</v>
          </cell>
          <cell r="W319">
            <v>3.4803168905216455</v>
          </cell>
          <cell r="X319">
            <v>3.4803168905216455</v>
          </cell>
          <cell r="Y319">
            <v>3.4803168905216455</v>
          </cell>
          <cell r="Z319">
            <v>3.4803168905216455</v>
          </cell>
          <cell r="AA319">
            <v>3.4803168905216455</v>
          </cell>
          <cell r="AB319">
            <v>3.4803168905216455</v>
          </cell>
          <cell r="AC319">
            <v>3.4803168905216455</v>
          </cell>
          <cell r="AD319">
            <v>3.4803168905216455</v>
          </cell>
          <cell r="AE319">
            <v>3.4803168905216455</v>
          </cell>
          <cell r="AF319">
            <v>3.4803168905216455</v>
          </cell>
        </row>
        <row r="320">
          <cell r="A320" t="str">
            <v>California</v>
          </cell>
          <cell r="B320">
            <v>5.1769336271045496</v>
          </cell>
          <cell r="C320">
            <v>4.7807181137898178</v>
          </cell>
          <cell r="D320">
            <v>4.301749226800232</v>
          </cell>
          <cell r="E320">
            <v>4.1744766827667812</v>
          </cell>
          <cell r="F320">
            <v>3.9595759163514694</v>
          </cell>
          <cell r="G320">
            <v>3.5775013998347767</v>
          </cell>
          <cell r="H320">
            <v>3.4567075361991608</v>
          </cell>
          <cell r="I320">
            <v>3.3413188215184855</v>
          </cell>
          <cell r="J320">
            <v>3.2948888685512778</v>
          </cell>
          <cell r="K320">
            <v>3.283131345816356</v>
          </cell>
          <cell r="L320">
            <v>3.3004336515827104</v>
          </cell>
          <cell r="M320">
            <v>3.2583105237767347</v>
          </cell>
          <cell r="N320">
            <v>3.219114366030734</v>
          </cell>
          <cell r="O320">
            <v>3.1876708304516033</v>
          </cell>
          <cell r="P320">
            <v>3.2299185059218205</v>
          </cell>
          <cell r="Q320">
            <v>3.1858260098025224</v>
          </cell>
          <cell r="R320">
            <v>3.1622815022894541</v>
          </cell>
          <cell r="S320">
            <v>3.1531780834712717</v>
          </cell>
          <cell r="T320">
            <v>3.1531780834712717</v>
          </cell>
          <cell r="U320">
            <v>3.1531780834712717</v>
          </cell>
          <cell r="V320">
            <v>3.1531780834712717</v>
          </cell>
          <cell r="W320">
            <v>3.1531780834712717</v>
          </cell>
          <cell r="X320">
            <v>3.1531780834712717</v>
          </cell>
          <cell r="Y320">
            <v>3.1531780834712717</v>
          </cell>
          <cell r="Z320">
            <v>3.1531780834712717</v>
          </cell>
          <cell r="AA320">
            <v>3.1531780834712717</v>
          </cell>
          <cell r="AB320">
            <v>3.1531780834712717</v>
          </cell>
          <cell r="AC320">
            <v>3.1531780834712717</v>
          </cell>
          <cell r="AD320">
            <v>3.1531780834712717</v>
          </cell>
          <cell r="AE320">
            <v>3.1531780834712717</v>
          </cell>
          <cell r="AF320">
            <v>3.1531780834712717</v>
          </cell>
        </row>
        <row r="321">
          <cell r="A321" t="str">
            <v>Colorado</v>
          </cell>
          <cell r="B321">
            <v>5.1734440954701162</v>
          </cell>
          <cell r="C321">
            <v>4.6529766758446858</v>
          </cell>
          <cell r="D321">
            <v>4.2787536346276918</v>
          </cell>
          <cell r="E321">
            <v>4.2102614997977978</v>
          </cell>
          <cell r="F321">
            <v>3.8885408991535924</v>
          </cell>
          <cell r="G321">
            <v>3.6125719112053813</v>
          </cell>
          <cell r="H321">
            <v>3.366015326643117</v>
          </cell>
          <cell r="I321">
            <v>3.3462924660580651</v>
          </cell>
          <cell r="J321">
            <v>3.3131516349663346</v>
          </cell>
          <cell r="K321">
            <v>3.2768338561315948</v>
          </cell>
          <cell r="L321">
            <v>3.3017169054593598</v>
          </cell>
          <cell r="M321">
            <v>3.2836997293426151</v>
          </cell>
          <cell r="N321">
            <v>3.2512575345286461</v>
          </cell>
          <cell r="O321">
            <v>3.2757920346361216</v>
          </cell>
          <cell r="P321">
            <v>3.2347537007546037</v>
          </cell>
          <cell r="Q321">
            <v>3.190218914299241</v>
          </cell>
          <cell r="R321">
            <v>3.1666047596309506</v>
          </cell>
          <cell r="S321">
            <v>3.1488355329352054</v>
          </cell>
          <cell r="T321">
            <v>3.1488355329352054</v>
          </cell>
          <cell r="U321">
            <v>3.1488355329352054</v>
          </cell>
          <cell r="V321">
            <v>3.1488355329352054</v>
          </cell>
          <cell r="W321">
            <v>3.1488355329352054</v>
          </cell>
          <cell r="X321">
            <v>3.1488355329352054</v>
          </cell>
          <cell r="Y321">
            <v>3.1488355329352054</v>
          </cell>
          <cell r="Z321">
            <v>3.1488355329352054</v>
          </cell>
          <cell r="AA321">
            <v>3.1488355329352054</v>
          </cell>
          <cell r="AB321">
            <v>3.1488355329352054</v>
          </cell>
          <cell r="AC321">
            <v>3.1488355329352054</v>
          </cell>
          <cell r="AD321">
            <v>3.1488355329352054</v>
          </cell>
          <cell r="AE321">
            <v>3.1488355329352054</v>
          </cell>
          <cell r="AF321">
            <v>3.1488355329352054</v>
          </cell>
        </row>
        <row r="322">
          <cell r="A322" t="str">
            <v>Connecticut</v>
          </cell>
          <cell r="B322">
            <v>4.9679596580845011</v>
          </cell>
          <cell r="C322">
            <v>4.7986967474555398</v>
          </cell>
          <cell r="D322">
            <v>4.252549615486199</v>
          </cell>
          <cell r="E322">
            <v>5.0601325153754377</v>
          </cell>
          <cell r="F322">
            <v>3.8012326494474813</v>
          </cell>
          <cell r="G322">
            <v>3.6874327287211264</v>
          </cell>
          <cell r="H322">
            <v>3.3356286246175277</v>
          </cell>
          <cell r="I322">
            <v>3.5103426155246922</v>
          </cell>
          <cell r="J322">
            <v>3.3381213748608594</v>
          </cell>
          <cell r="K322">
            <v>3.4820903749069942</v>
          </cell>
          <cell r="L322">
            <v>3.2632092748322212</v>
          </cell>
          <cell r="M322">
            <v>3.4689978788311531</v>
          </cell>
          <cell r="N322">
            <v>3.2356770923237033</v>
          </cell>
          <cell r="O322">
            <v>3.1634539387187819</v>
          </cell>
          <cell r="P322">
            <v>3.2368962124370144</v>
          </cell>
          <cell r="Q322">
            <v>3.1623418238737675</v>
          </cell>
          <cell r="R322">
            <v>3.2888888146035051</v>
          </cell>
          <cell r="S322">
            <v>3.0749962320065909</v>
          </cell>
          <cell r="T322">
            <v>3.0749962320065909</v>
          </cell>
          <cell r="U322">
            <v>3.0749962320065909</v>
          </cell>
          <cell r="V322">
            <v>3.0749962320065909</v>
          </cell>
          <cell r="W322">
            <v>3.0749962320065909</v>
          </cell>
          <cell r="X322">
            <v>3.0749962320065909</v>
          </cell>
          <cell r="Y322">
            <v>3.0749962320065909</v>
          </cell>
          <cell r="Z322">
            <v>3.0749962320065909</v>
          </cell>
          <cell r="AA322">
            <v>3.0749962320065909</v>
          </cell>
          <cell r="AB322">
            <v>3.0749962320065909</v>
          </cell>
          <cell r="AC322">
            <v>3.0749962320065909</v>
          </cell>
          <cell r="AD322">
            <v>3.0749962320065909</v>
          </cell>
          <cell r="AE322">
            <v>3.0749962320065909</v>
          </cell>
          <cell r="AF322">
            <v>3.0749962320065909</v>
          </cell>
        </row>
        <row r="323">
          <cell r="A323" t="str">
            <v>Delaware</v>
          </cell>
          <cell r="B323">
            <v>4.9028645881389856</v>
          </cell>
          <cell r="C323">
            <v>4.9730575792787066</v>
          </cell>
          <cell r="D323">
            <v>4.3254978680230778</v>
          </cell>
          <cell r="E323">
            <v>4.6096829630471285</v>
          </cell>
          <cell r="F323">
            <v>3.788524370987457</v>
          </cell>
          <cell r="G323">
            <v>3.6874327287211255</v>
          </cell>
          <cell r="H323">
            <v>3.2566965608245262</v>
          </cell>
          <cell r="I323">
            <v>3.8838563371826011</v>
          </cell>
          <cell r="J323">
            <v>3.4118415710190106</v>
          </cell>
          <cell r="K323">
            <v>3.7883776659164097</v>
          </cell>
          <cell r="L323">
            <v>3.4584812171150627</v>
          </cell>
          <cell r="M323">
            <v>3.2788564758237979</v>
          </cell>
          <cell r="N323">
            <v>3.7219613533345202</v>
          </cell>
          <cell r="O323">
            <v>3.4611587019021925</v>
          </cell>
          <cell r="P323">
            <v>2.8711303920622098</v>
          </cell>
          <cell r="Q323">
            <v>3.3773505260599732</v>
          </cell>
          <cell r="R323">
            <v>3.1819741622424207</v>
          </cell>
          <cell r="S323">
            <v>3.0498859318867999</v>
          </cell>
          <cell r="T323">
            <v>3.0498859318867999</v>
          </cell>
          <cell r="U323">
            <v>3.0498859318867999</v>
          </cell>
          <cell r="V323">
            <v>3.0498859318867999</v>
          </cell>
          <cell r="W323">
            <v>3.0498859318867999</v>
          </cell>
          <cell r="X323">
            <v>3.0498859318867999</v>
          </cell>
          <cell r="Y323">
            <v>3.0498859318867999</v>
          </cell>
          <cell r="Z323">
            <v>3.0498859318867999</v>
          </cell>
          <cell r="AA323">
            <v>3.0498859318867999</v>
          </cell>
          <cell r="AB323">
            <v>3.0498859318867999</v>
          </cell>
          <cell r="AC323">
            <v>3.0498859318867999</v>
          </cell>
          <cell r="AD323">
            <v>3.0498859318867999</v>
          </cell>
          <cell r="AE323">
            <v>3.0498859318867999</v>
          </cell>
          <cell r="AF323">
            <v>3.0498859318867999</v>
          </cell>
        </row>
        <row r="324">
          <cell r="A324" t="str">
            <v>Florida</v>
          </cell>
          <cell r="B324">
            <v>5.0474536375110519</v>
          </cell>
          <cell r="C324">
            <v>5.2094393781262243</v>
          </cell>
          <cell r="D324">
            <v>4.3599272326673786</v>
          </cell>
          <cell r="E324">
            <v>4.3844581868829726</v>
          </cell>
          <cell r="F324">
            <v>3.7570691285580344</v>
          </cell>
          <cell r="G324">
            <v>3.656983546979387</v>
          </cell>
          <cell r="H324">
            <v>3.3750946565140292</v>
          </cell>
          <cell r="I324">
            <v>3.3530736800897825</v>
          </cell>
          <cell r="J324">
            <v>3.4285961610549562</v>
          </cell>
          <cell r="K324">
            <v>3.7736006474905182</v>
          </cell>
          <cell r="L324">
            <v>3.3437589510238936</v>
          </cell>
          <cell r="M324">
            <v>3.4380805775291439</v>
          </cell>
          <cell r="N324">
            <v>3.2555705393650549</v>
          </cell>
          <cell r="O324">
            <v>3.2229948913554662</v>
          </cell>
          <cell r="P324">
            <v>3.2086418302451416</v>
          </cell>
          <cell r="Q324">
            <v>3.2257616568927197</v>
          </cell>
          <cell r="R324">
            <v>3.1251046663056732</v>
          </cell>
          <cell r="S324">
            <v>3.0584951776421545</v>
          </cell>
          <cell r="T324">
            <v>3.0584951776421545</v>
          </cell>
          <cell r="U324">
            <v>3.0584951776421545</v>
          </cell>
          <cell r="V324">
            <v>3.0584951776421545</v>
          </cell>
          <cell r="W324">
            <v>3.0584951776421545</v>
          </cell>
          <cell r="X324">
            <v>3.0584951776421545</v>
          </cell>
          <cell r="Y324">
            <v>3.0584951776421545</v>
          </cell>
          <cell r="Z324">
            <v>3.0584951776421545</v>
          </cell>
          <cell r="AA324">
            <v>3.0584951776421545</v>
          </cell>
          <cell r="AB324">
            <v>3.0584951776421545</v>
          </cell>
          <cell r="AC324">
            <v>3.0584951776421545</v>
          </cell>
          <cell r="AD324">
            <v>3.0584951776421545</v>
          </cell>
          <cell r="AE324">
            <v>3.0584951776421545</v>
          </cell>
          <cell r="AF324">
            <v>3.0584951776421545</v>
          </cell>
        </row>
        <row r="325">
          <cell r="A325" t="str">
            <v>Georgia</v>
          </cell>
          <cell r="B325">
            <v>5.2655140455171239</v>
          </cell>
          <cell r="C325">
            <v>4.5985115764468469</v>
          </cell>
          <cell r="D325">
            <v>4.2051340465002154</v>
          </cell>
          <cell r="E325">
            <v>4.2797261446227184</v>
          </cell>
          <cell r="F325">
            <v>4.0539097026987232</v>
          </cell>
          <cell r="G325">
            <v>3.5191933282583028</v>
          </cell>
          <cell r="H325">
            <v>3.6055429107773289</v>
          </cell>
          <cell r="I325">
            <v>3.7322905314124841</v>
          </cell>
          <cell r="J325">
            <v>3.3161333111157316</v>
          </cell>
          <cell r="K325">
            <v>3.8310129483906286</v>
          </cell>
          <cell r="L325">
            <v>3.1647753846224806</v>
          </cell>
          <cell r="M325">
            <v>3.2952988587889558</v>
          </cell>
          <cell r="N325">
            <v>3.2445347803330051</v>
          </cell>
          <cell r="O325">
            <v>3.2014521917075265</v>
          </cell>
          <cell r="P325">
            <v>3.13257516234416</v>
          </cell>
          <cell r="Q325">
            <v>3.1517718517039417</v>
          </cell>
          <cell r="R325">
            <v>3.2000762834842584</v>
          </cell>
          <cell r="S325">
            <v>3.0910948216304299</v>
          </cell>
          <cell r="T325">
            <v>3.0910948216304299</v>
          </cell>
          <cell r="U325">
            <v>3.0910948216304299</v>
          </cell>
          <cell r="V325">
            <v>3.0910948216304299</v>
          </cell>
          <cell r="W325">
            <v>3.0910948216304299</v>
          </cell>
          <cell r="X325">
            <v>3.0910948216304299</v>
          </cell>
          <cell r="Y325">
            <v>3.0910948216304299</v>
          </cell>
          <cell r="Z325">
            <v>3.0910948216304299</v>
          </cell>
          <cell r="AA325">
            <v>3.0910948216304299</v>
          </cell>
          <cell r="AB325">
            <v>3.0910948216304299</v>
          </cell>
          <cell r="AC325">
            <v>3.0910948216304299</v>
          </cell>
          <cell r="AD325">
            <v>3.0910948216304299</v>
          </cell>
          <cell r="AE325">
            <v>3.0910948216304299</v>
          </cell>
          <cell r="AF325">
            <v>3.0910948216304299</v>
          </cell>
        </row>
        <row r="326">
          <cell r="A326" t="str">
            <v>Hawaii</v>
          </cell>
          <cell r="B326">
            <v>5.4186755225690035</v>
          </cell>
          <cell r="C326">
            <v>4.7292715620694494</v>
          </cell>
          <cell r="D326">
            <v>4.5524264513624377</v>
          </cell>
          <cell r="E326">
            <v>4.9610336138632087</v>
          </cell>
          <cell r="F326">
            <v>3.9233317954359546</v>
          </cell>
          <cell r="G326">
            <v>3.7961798063701901</v>
          </cell>
          <cell r="H326">
            <v>3.3119490054796281</v>
          </cell>
          <cell r="I326">
            <v>3.5468514755363669</v>
          </cell>
          <cell r="J326">
            <v>3.3280686208392929</v>
          </cell>
          <cell r="K326">
            <v>4.0115829792026245</v>
          </cell>
          <cell r="L326">
            <v>3.2344415333351959</v>
          </cell>
          <cell r="M326">
            <v>3.5280218176804445</v>
          </cell>
          <cell r="N326">
            <v>3.1782071342042428</v>
          </cell>
          <cell r="O326">
            <v>3.2962760638313813</v>
          </cell>
          <cell r="P326">
            <v>3.1238786836695192</v>
          </cell>
          <cell r="Q326">
            <v>3.2627565594871091</v>
          </cell>
          <cell r="R326">
            <v>3.1251046663056732</v>
          </cell>
          <cell r="S326">
            <v>3.1194221476031476</v>
          </cell>
          <cell r="T326">
            <v>3.1194221476031476</v>
          </cell>
          <cell r="U326">
            <v>3.1194221476031476</v>
          </cell>
          <cell r="V326">
            <v>3.1194221476031476</v>
          </cell>
          <cell r="W326">
            <v>3.1194221476031476</v>
          </cell>
          <cell r="X326">
            <v>3.1194221476031476</v>
          </cell>
          <cell r="Y326">
            <v>3.1194221476031476</v>
          </cell>
          <cell r="Z326">
            <v>3.1194221476031476</v>
          </cell>
          <cell r="AA326">
            <v>3.1194221476031476</v>
          </cell>
          <cell r="AB326">
            <v>3.1194221476031476</v>
          </cell>
          <cell r="AC326">
            <v>3.1194221476031476</v>
          </cell>
          <cell r="AD326">
            <v>3.1194221476031476</v>
          </cell>
          <cell r="AE326">
            <v>3.1194221476031476</v>
          </cell>
          <cell r="AF326">
            <v>3.1194221476031476</v>
          </cell>
        </row>
        <row r="327">
          <cell r="A327" t="str">
            <v>Idaho</v>
          </cell>
          <cell r="B327">
            <v>5.2850356439481407</v>
          </cell>
          <cell r="C327">
            <v>4.535312148686911</v>
          </cell>
          <cell r="D327">
            <v>4.2706943474180861</v>
          </cell>
          <cell r="E327">
            <v>4.2480071287209284</v>
          </cell>
          <cell r="F327">
            <v>3.8994278483442555</v>
          </cell>
          <cell r="G327">
            <v>3.6118580076660307</v>
          </cell>
          <cell r="H327">
            <v>3.3971733863678923</v>
          </cell>
          <cell r="I327">
            <v>3.3657545533868602</v>
          </cell>
          <cell r="J327">
            <v>3.2873272872995236</v>
          </cell>
          <cell r="K327">
            <v>3.2831313458163556</v>
          </cell>
          <cell r="L327">
            <v>3.2879502975445409</v>
          </cell>
          <cell r="M327">
            <v>3.280666110872033</v>
          </cell>
          <cell r="N327">
            <v>3.2323936869349046</v>
          </cell>
          <cell r="O327">
            <v>3.2461851348005286</v>
          </cell>
          <cell r="P327">
            <v>3.2434061546659034</v>
          </cell>
          <cell r="Q327">
            <v>3.2126935418131906</v>
          </cell>
          <cell r="R327">
            <v>3.2076011654554821</v>
          </cell>
          <cell r="S327">
            <v>3.1809540199189454</v>
          </cell>
          <cell r="T327">
            <v>3.1809540199189454</v>
          </cell>
          <cell r="U327">
            <v>3.1809540199189454</v>
          </cell>
          <cell r="V327">
            <v>3.1809540199189454</v>
          </cell>
          <cell r="W327">
            <v>3.1809540199189454</v>
          </cell>
          <cell r="X327">
            <v>3.1809540199189454</v>
          </cell>
          <cell r="Y327">
            <v>3.1809540199189454</v>
          </cell>
          <cell r="Z327">
            <v>3.1809540199189454</v>
          </cell>
          <cell r="AA327">
            <v>3.1809540199189454</v>
          </cell>
          <cell r="AB327">
            <v>3.1809540199189454</v>
          </cell>
          <cell r="AC327">
            <v>3.1809540199189454</v>
          </cell>
          <cell r="AD327">
            <v>3.1809540199189454</v>
          </cell>
          <cell r="AE327">
            <v>3.1809540199189454</v>
          </cell>
          <cell r="AF327">
            <v>3.1809540199189454</v>
          </cell>
        </row>
        <row r="328">
          <cell r="A328" t="str">
            <v>Illinois</v>
          </cell>
          <cell r="B328">
            <v>5.2346975208833904</v>
          </cell>
          <cell r="C328">
            <v>4.6115470202949131</v>
          </cell>
          <cell r="D328">
            <v>4.2941459653934739</v>
          </cell>
          <cell r="E328">
            <v>4.2643472278218493</v>
          </cell>
          <cell r="F328">
            <v>3.8923792466246598</v>
          </cell>
          <cell r="G328">
            <v>3.6797298370143068</v>
          </cell>
          <cell r="H328">
            <v>3.3828030743396558</v>
          </cell>
          <cell r="I328">
            <v>3.4003334192383328</v>
          </cell>
          <cell r="J328">
            <v>3.3365279759776083</v>
          </cell>
          <cell r="K328">
            <v>3.2831313458163556</v>
          </cell>
          <cell r="L328">
            <v>3.3359522856685802</v>
          </cell>
          <cell r="M328">
            <v>3.3270031459422893</v>
          </cell>
          <cell r="N328">
            <v>3.2445347803330047</v>
          </cell>
          <cell r="O328">
            <v>3.2226049787515048</v>
          </cell>
          <cell r="P328">
            <v>3.2777996589633185</v>
          </cell>
          <cell r="Q328">
            <v>3.1854487892758732</v>
          </cell>
          <cell r="R328">
            <v>3.1860030589723149</v>
          </cell>
          <cell r="S328">
            <v>3.1303544457700831</v>
          </cell>
          <cell r="T328">
            <v>3.1303544457700831</v>
          </cell>
          <cell r="U328">
            <v>3.1303544457700831</v>
          </cell>
          <cell r="V328">
            <v>3.1303544457700831</v>
          </cell>
          <cell r="W328">
            <v>3.1303544457700831</v>
          </cell>
          <cell r="X328">
            <v>3.1303544457700831</v>
          </cell>
          <cell r="Y328">
            <v>3.1303544457700831</v>
          </cell>
          <cell r="Z328">
            <v>3.1303544457700831</v>
          </cell>
          <cell r="AA328">
            <v>3.1303544457700831</v>
          </cell>
          <cell r="AB328">
            <v>3.1303544457700831</v>
          </cell>
          <cell r="AC328">
            <v>3.1303544457700831</v>
          </cell>
          <cell r="AD328">
            <v>3.1303544457700831</v>
          </cell>
          <cell r="AE328">
            <v>3.1303544457700831</v>
          </cell>
          <cell r="AF328">
            <v>3.1303544457700831</v>
          </cell>
        </row>
        <row r="329">
          <cell r="A329" t="str">
            <v>Indiana</v>
          </cell>
          <cell r="B329">
            <v>5.1709549222885522</v>
          </cell>
          <cell r="C329">
            <v>4.7300510552773352</v>
          </cell>
          <cell r="D329">
            <v>4.2760100474925062</v>
          </cell>
          <cell r="E329">
            <v>4.2480071287209293</v>
          </cell>
          <cell r="F329">
            <v>3.9331869407907387</v>
          </cell>
          <cell r="G329">
            <v>3.5828021336144555</v>
          </cell>
          <cell r="H329">
            <v>3.3971733863678915</v>
          </cell>
          <cell r="I329">
            <v>3.3657545533868598</v>
          </cell>
          <cell r="J329">
            <v>3.3761176195330145</v>
          </cell>
          <cell r="K329">
            <v>3.2941996610198769</v>
          </cell>
          <cell r="L329">
            <v>3.4398288666452728</v>
          </cell>
          <cell r="M329">
            <v>3.3817650964798656</v>
          </cell>
          <cell r="N329">
            <v>3.22685101386186</v>
          </cell>
          <cell r="O329">
            <v>3.2014521917075274</v>
          </cell>
          <cell r="P329">
            <v>3.2870804458372245</v>
          </cell>
          <cell r="Q329">
            <v>3.1378209255810057</v>
          </cell>
          <cell r="R329">
            <v>3.2147309751640964</v>
          </cell>
          <cell r="S329">
            <v>3.1754830021337979</v>
          </cell>
          <cell r="T329">
            <v>3.1754830021337979</v>
          </cell>
          <cell r="U329">
            <v>3.1754830021337979</v>
          </cell>
          <cell r="V329">
            <v>3.1754830021337979</v>
          </cell>
          <cell r="W329">
            <v>3.1754830021337979</v>
          </cell>
          <cell r="X329">
            <v>3.1754830021337979</v>
          </cell>
          <cell r="Y329">
            <v>3.1754830021337979</v>
          </cell>
          <cell r="Z329">
            <v>3.1754830021337979</v>
          </cell>
          <cell r="AA329">
            <v>3.1754830021337979</v>
          </cell>
          <cell r="AB329">
            <v>3.1754830021337979</v>
          </cell>
          <cell r="AC329">
            <v>3.1754830021337979</v>
          </cell>
          <cell r="AD329">
            <v>3.1754830021337979</v>
          </cell>
          <cell r="AE329">
            <v>3.1754830021337979</v>
          </cell>
          <cell r="AF329">
            <v>3.1754830021337979</v>
          </cell>
        </row>
        <row r="330">
          <cell r="A330" t="str">
            <v>Iowa</v>
          </cell>
          <cell r="B330">
            <v>5.1493846931484875</v>
          </cell>
          <cell r="C330">
            <v>4.6699998066893489</v>
          </cell>
          <cell r="D330">
            <v>4.3308584073513137</v>
          </cell>
          <cell r="E330">
            <v>4.2419484402902503</v>
          </cell>
          <cell r="F330">
            <v>3.8797377326710354</v>
          </cell>
          <cell r="G330">
            <v>3.6086650544735503</v>
          </cell>
          <cell r="H330">
            <v>3.4018038202436576</v>
          </cell>
          <cell r="I330">
            <v>3.3291009555842983</v>
          </cell>
          <cell r="J330">
            <v>3.3161333111157316</v>
          </cell>
          <cell r="K330">
            <v>3.2759694948023133</v>
          </cell>
          <cell r="L330">
            <v>3.2837346855514866</v>
          </cell>
          <cell r="M330">
            <v>3.3179447781841942</v>
          </cell>
          <cell r="N330">
            <v>3.2564973282399543</v>
          </cell>
          <cell r="O330">
            <v>3.1722458206055211</v>
          </cell>
          <cell r="P330">
            <v>3.3109863736362639</v>
          </cell>
          <cell r="Q330">
            <v>3.2194498894633479</v>
          </cell>
          <cell r="R330">
            <v>3.174804040795856</v>
          </cell>
          <cell r="S330">
            <v>3.1801895446038726</v>
          </cell>
          <cell r="T330">
            <v>3.1801895446038726</v>
          </cell>
          <cell r="U330">
            <v>3.1801895446038726</v>
          </cell>
          <cell r="V330">
            <v>3.1801895446038726</v>
          </cell>
          <cell r="W330">
            <v>3.1801895446038726</v>
          </cell>
          <cell r="X330">
            <v>3.1801895446038726</v>
          </cell>
          <cell r="Y330">
            <v>3.1801895446038726</v>
          </cell>
          <cell r="Z330">
            <v>3.1801895446038726</v>
          </cell>
          <cell r="AA330">
            <v>3.1801895446038726</v>
          </cell>
          <cell r="AB330">
            <v>3.1801895446038726</v>
          </cell>
          <cell r="AC330">
            <v>3.1801895446038726</v>
          </cell>
          <cell r="AD330">
            <v>3.1801895446038726</v>
          </cell>
          <cell r="AE330">
            <v>3.1801895446038726</v>
          </cell>
          <cell r="AF330">
            <v>3.1801895446038726</v>
          </cell>
        </row>
        <row r="331">
          <cell r="A331" t="str">
            <v>Kansas</v>
          </cell>
          <cell r="B331">
            <v>5.1367415460288388</v>
          </cell>
          <cell r="C331">
            <v>4.6264716589035686</v>
          </cell>
          <cell r="D331">
            <v>4.259654047263516</v>
          </cell>
          <cell r="E331">
            <v>4.1970357748090974</v>
          </cell>
          <cell r="F331">
            <v>3.8943176120975473</v>
          </cell>
          <cell r="G331">
            <v>3.5956901922160274</v>
          </cell>
          <cell r="H331">
            <v>3.3651165364587481</v>
          </cell>
          <cell r="I331">
            <v>3.3641034904227816</v>
          </cell>
          <cell r="J331">
            <v>3.2946199515567915</v>
          </cell>
          <cell r="K331">
            <v>3.3186421904276524</v>
          </cell>
          <cell r="L331">
            <v>3.2764857673023551</v>
          </cell>
          <cell r="M331">
            <v>3.2797702283465076</v>
          </cell>
          <cell r="N331">
            <v>3.2316738592630805</v>
          </cell>
          <cell r="O331">
            <v>3.2603305967160985</v>
          </cell>
          <cell r="P331">
            <v>3.1990274394434315</v>
          </cell>
          <cell r="Q331">
            <v>3.2090756749450917</v>
          </cell>
          <cell r="R331">
            <v>3.1585984027287468</v>
          </cell>
          <cell r="S331">
            <v>3.1400675587612379</v>
          </cell>
          <cell r="T331">
            <v>3.1400675587612379</v>
          </cell>
          <cell r="U331">
            <v>3.1400675587612379</v>
          </cell>
          <cell r="V331">
            <v>3.1400675587612379</v>
          </cell>
          <cell r="W331">
            <v>3.1400675587612379</v>
          </cell>
          <cell r="X331">
            <v>3.1400675587612379</v>
          </cell>
          <cell r="Y331">
            <v>3.1400675587612379</v>
          </cell>
          <cell r="Z331">
            <v>3.1400675587612379</v>
          </cell>
          <cell r="AA331">
            <v>3.1400675587612379</v>
          </cell>
          <cell r="AB331">
            <v>3.1400675587612379</v>
          </cell>
          <cell r="AC331">
            <v>3.1400675587612379</v>
          </cell>
          <cell r="AD331">
            <v>3.1400675587612379</v>
          </cell>
          <cell r="AE331">
            <v>3.1400675587612379</v>
          </cell>
          <cell r="AF331">
            <v>3.1400675587612379</v>
          </cell>
        </row>
        <row r="332">
          <cell r="A332" t="str">
            <v>Kentucky</v>
          </cell>
          <cell r="B332">
            <v>5.3174331902804708</v>
          </cell>
          <cell r="C332">
            <v>4.4744886392638135</v>
          </cell>
          <cell r="D332">
            <v>4.2547472471948202</v>
          </cell>
          <cell r="E332">
            <v>4.2480071287209284</v>
          </cell>
          <cell r="F332">
            <v>3.8439201098024394</v>
          </cell>
          <cell r="G332">
            <v>3.6040050687331733</v>
          </cell>
          <cell r="H332">
            <v>3.6472168156592168</v>
          </cell>
          <cell r="I332">
            <v>3.4573885478932667</v>
          </cell>
          <cell r="J332">
            <v>3.3161333111157316</v>
          </cell>
          <cell r="K332">
            <v>3.4048828130550839</v>
          </cell>
          <cell r="L332">
            <v>3.3169326299967912</v>
          </cell>
          <cell r="M332">
            <v>3.1764077819639569</v>
          </cell>
          <cell r="N332">
            <v>3.3801103232784491</v>
          </cell>
          <cell r="O332">
            <v>3.4288446524302856</v>
          </cell>
          <cell r="P332">
            <v>3.2434061546659043</v>
          </cell>
          <cell r="Q332">
            <v>3.2056300874516639</v>
          </cell>
          <cell r="R332">
            <v>3.0217507923842688</v>
          </cell>
          <cell r="S332">
            <v>3.0305010308273821</v>
          </cell>
          <cell r="T332">
            <v>3.0305010308273821</v>
          </cell>
          <cell r="U332">
            <v>3.0305010308273821</v>
          </cell>
          <cell r="V332">
            <v>3.0305010308273821</v>
          </cell>
          <cell r="W332">
            <v>3.0305010308273821</v>
          </cell>
          <cell r="X332">
            <v>3.0305010308273821</v>
          </cell>
          <cell r="Y332">
            <v>3.0305010308273821</v>
          </cell>
          <cell r="Z332">
            <v>3.0305010308273821</v>
          </cell>
          <cell r="AA332">
            <v>3.0305010308273821</v>
          </cell>
          <cell r="AB332">
            <v>3.0305010308273821</v>
          </cell>
          <cell r="AC332">
            <v>3.0305010308273821</v>
          </cell>
          <cell r="AD332">
            <v>3.0305010308273821</v>
          </cell>
          <cell r="AE332">
            <v>3.0305010308273821</v>
          </cell>
          <cell r="AF332">
            <v>3.0305010308273821</v>
          </cell>
        </row>
        <row r="333">
          <cell r="A333" t="str">
            <v>Louisiana</v>
          </cell>
          <cell r="B333">
            <v>5.1824434138957622</v>
          </cell>
          <cell r="C333">
            <v>4.7592820505729989</v>
          </cell>
          <cell r="D333">
            <v>4.2051340465002154</v>
          </cell>
          <cell r="E333">
            <v>4.6793857449852654</v>
          </cell>
          <cell r="F333">
            <v>4.1508279763431615</v>
          </cell>
          <cell r="G333">
            <v>3.4343815877834332</v>
          </cell>
          <cell r="H333">
            <v>3.6749994189138091</v>
          </cell>
          <cell r="I333">
            <v>3.3657545533868598</v>
          </cell>
          <cell r="J333">
            <v>3.9959554731782534</v>
          </cell>
          <cell r="K333">
            <v>3.082592275915562</v>
          </cell>
          <cell r="L333">
            <v>3.3045168010843615</v>
          </cell>
          <cell r="M333">
            <v>3.4063276734892427</v>
          </cell>
          <cell r="N333">
            <v>3.2567026867576527</v>
          </cell>
          <cell r="O333">
            <v>3.2229948913554662</v>
          </cell>
          <cell r="P333">
            <v>3.1506459931144519</v>
          </cell>
          <cell r="Q333">
            <v>3.2035647153360856</v>
          </cell>
          <cell r="R333">
            <v>3.1466552121343354</v>
          </cell>
          <cell r="S333">
            <v>3.1448083850868933</v>
          </cell>
          <cell r="T333">
            <v>3.1448083850868933</v>
          </cell>
          <cell r="U333">
            <v>3.1448083850868933</v>
          </cell>
          <cell r="V333">
            <v>3.1448083850868933</v>
          </cell>
          <cell r="W333">
            <v>3.1448083850868933</v>
          </cell>
          <cell r="X333">
            <v>3.1448083850868933</v>
          </cell>
          <cell r="Y333">
            <v>3.1448083850868933</v>
          </cell>
          <cell r="Z333">
            <v>3.1448083850868933</v>
          </cell>
          <cell r="AA333">
            <v>3.1448083850868933</v>
          </cell>
          <cell r="AB333">
            <v>3.1448083850868933</v>
          </cell>
          <cell r="AC333">
            <v>3.1448083850868933</v>
          </cell>
          <cell r="AD333">
            <v>3.1448083850868933</v>
          </cell>
          <cell r="AE333">
            <v>3.1448083850868933</v>
          </cell>
          <cell r="AF333">
            <v>3.1448083850868933</v>
          </cell>
        </row>
        <row r="334">
          <cell r="A334" t="str">
            <v>Maine</v>
          </cell>
          <cell r="B334">
            <v>5.0144561366170128</v>
          </cell>
          <cell r="C334">
            <v>4.7214231969884519</v>
          </cell>
          <cell r="D334">
            <v>4.4006566736671369</v>
          </cell>
          <cell r="E334">
            <v>4.7898627839784522</v>
          </cell>
          <cell r="F334">
            <v>3.7518115665473859</v>
          </cell>
          <cell r="G334">
            <v>3.9411759099022774</v>
          </cell>
          <cell r="H334">
            <v>3.2645897672038244</v>
          </cell>
          <cell r="I334">
            <v>3.4251552754974495</v>
          </cell>
          <cell r="J334">
            <v>3.5190709472490527</v>
          </cell>
          <cell r="K334">
            <v>3.7955422809107828</v>
          </cell>
          <cell r="L334">
            <v>3.2229344367363852</v>
          </cell>
          <cell r="M334">
            <v>3.4380805775291443</v>
          </cell>
          <cell r="N334">
            <v>3.2555705393650549</v>
          </cell>
          <cell r="O334">
            <v>3.2229948913554649</v>
          </cell>
          <cell r="P334">
            <v>3.1238786836695183</v>
          </cell>
          <cell r="Q334">
            <v>3.2257616568927197</v>
          </cell>
          <cell r="R334">
            <v>3.0568612711815764</v>
          </cell>
          <cell r="S334">
            <v>3.322512047473118</v>
          </cell>
          <cell r="T334">
            <v>3.322512047473118</v>
          </cell>
          <cell r="U334">
            <v>3.322512047473118</v>
          </cell>
          <cell r="V334">
            <v>3.322512047473118</v>
          </cell>
          <cell r="W334">
            <v>3.322512047473118</v>
          </cell>
          <cell r="X334">
            <v>3.322512047473118</v>
          </cell>
          <cell r="Y334">
            <v>3.322512047473118</v>
          </cell>
          <cell r="Z334">
            <v>3.322512047473118</v>
          </cell>
          <cell r="AA334">
            <v>3.322512047473118</v>
          </cell>
          <cell r="AB334">
            <v>3.322512047473118</v>
          </cell>
          <cell r="AC334">
            <v>3.322512047473118</v>
          </cell>
          <cell r="AD334">
            <v>3.322512047473118</v>
          </cell>
          <cell r="AE334">
            <v>3.322512047473118</v>
          </cell>
          <cell r="AF334">
            <v>3.322512047473118</v>
          </cell>
        </row>
        <row r="335">
          <cell r="A335" t="str">
            <v>Maryland</v>
          </cell>
          <cell r="B335">
            <v>5.1824434138957622</v>
          </cell>
          <cell r="C335">
            <v>4.5663574816216173</v>
          </cell>
          <cell r="D335">
            <v>4.2845151676115814</v>
          </cell>
          <cell r="E335">
            <v>4.1845690969173504</v>
          </cell>
          <cell r="F335">
            <v>3.8708418524814499</v>
          </cell>
          <cell r="G335">
            <v>3.5615991984957378</v>
          </cell>
          <cell r="H335">
            <v>3.4707155714535758</v>
          </cell>
          <cell r="I335">
            <v>3.5656832686735647</v>
          </cell>
          <cell r="J335">
            <v>3.225490356174062</v>
          </cell>
          <cell r="K335">
            <v>3.3393243306957685</v>
          </cell>
          <cell r="L335">
            <v>3.2095275156149263</v>
          </cell>
          <cell r="M335">
            <v>3.6281938738989536</v>
          </cell>
          <cell r="N335">
            <v>3.1506747890630815</v>
          </cell>
          <cell r="O335">
            <v>3.2014521917075274</v>
          </cell>
          <cell r="P335">
            <v>3.3267843469020608</v>
          </cell>
          <cell r="Q335">
            <v>3.1703128156440297</v>
          </cell>
          <cell r="R335">
            <v>3.1748040407958564</v>
          </cell>
          <cell r="S335">
            <v>3.2513197255863844</v>
          </cell>
          <cell r="T335">
            <v>3.2513197255863844</v>
          </cell>
          <cell r="U335">
            <v>3.2513197255863844</v>
          </cell>
          <cell r="V335">
            <v>3.2513197255863844</v>
          </cell>
          <cell r="W335">
            <v>3.2513197255863844</v>
          </cell>
          <cell r="X335">
            <v>3.2513197255863844</v>
          </cell>
          <cell r="Y335">
            <v>3.2513197255863844</v>
          </cell>
          <cell r="Z335">
            <v>3.2513197255863844</v>
          </cell>
          <cell r="AA335">
            <v>3.2513197255863844</v>
          </cell>
          <cell r="AB335">
            <v>3.2513197255863844</v>
          </cell>
          <cell r="AC335">
            <v>3.2513197255863844</v>
          </cell>
          <cell r="AD335">
            <v>3.2513197255863844</v>
          </cell>
          <cell r="AE335">
            <v>3.2513197255863844</v>
          </cell>
          <cell r="AF335">
            <v>3.2513197255863844</v>
          </cell>
        </row>
        <row r="336">
          <cell r="A336" t="str">
            <v>Massachusetts</v>
          </cell>
          <cell r="B336">
            <v>5.2120661703801847</v>
          </cell>
          <cell r="C336">
            <v>4.798696747455538</v>
          </cell>
          <cell r="D336">
            <v>4.4006566736671369</v>
          </cell>
          <cell r="E336">
            <v>4.6096829630471285</v>
          </cell>
          <cell r="F336">
            <v>3.727101025097336</v>
          </cell>
          <cell r="G336">
            <v>3.5859354562486656</v>
          </cell>
          <cell r="H336">
            <v>3.3356286246175264</v>
          </cell>
          <cell r="I336">
            <v>3.6381236255655551</v>
          </cell>
          <cell r="J336">
            <v>3.579387471378451</v>
          </cell>
          <cell r="K336">
            <v>3.948179730790887</v>
          </cell>
          <cell r="L336">
            <v>3.1251241156464986</v>
          </cell>
          <cell r="M336">
            <v>3.4689978788311531</v>
          </cell>
          <cell r="N336">
            <v>3.3019885824615427</v>
          </cell>
          <cell r="O336">
            <v>3.1549480883421146</v>
          </cell>
          <cell r="P336">
            <v>3.1556648636353768</v>
          </cell>
          <cell r="Q336">
            <v>3.3500645296098672</v>
          </cell>
          <cell r="R336">
            <v>3.1251046663056732</v>
          </cell>
          <cell r="S336">
            <v>3.0749962320065909</v>
          </cell>
          <cell r="T336">
            <v>3.0749962320065909</v>
          </cell>
          <cell r="U336">
            <v>3.0749962320065909</v>
          </cell>
          <cell r="V336">
            <v>3.0749962320065909</v>
          </cell>
          <cell r="W336">
            <v>3.0749962320065909</v>
          </cell>
          <cell r="X336">
            <v>3.0749962320065909</v>
          </cell>
          <cell r="Y336">
            <v>3.0749962320065909</v>
          </cell>
          <cell r="Z336">
            <v>3.0749962320065909</v>
          </cell>
          <cell r="AA336">
            <v>3.0749962320065909</v>
          </cell>
          <cell r="AB336">
            <v>3.0749962320065909</v>
          </cell>
          <cell r="AC336">
            <v>3.0749962320065909</v>
          </cell>
          <cell r="AD336">
            <v>3.0749962320065909</v>
          </cell>
          <cell r="AE336">
            <v>3.0749962320065909</v>
          </cell>
          <cell r="AF336">
            <v>3.0749962320065909</v>
          </cell>
        </row>
        <row r="337">
          <cell r="A337" t="str">
            <v>Michigan</v>
          </cell>
          <cell r="B337">
            <v>5.1578998181894509</v>
          </cell>
          <cell r="C337">
            <v>4.6726057949571596</v>
          </cell>
          <cell r="D337">
            <v>4.2972728477901931</v>
          </cell>
          <cell r="E337">
            <v>4.2234969800695463</v>
          </cell>
          <cell r="F337">
            <v>3.8837642889673751</v>
          </cell>
          <cell r="G337">
            <v>3.6342949760456253</v>
          </cell>
          <cell r="H337">
            <v>3.4180103388088354</v>
          </cell>
          <cell r="I337">
            <v>3.3657545533868598</v>
          </cell>
          <cell r="J337">
            <v>3.3161333111157307</v>
          </cell>
          <cell r="K337">
            <v>3.283131345816356</v>
          </cell>
          <cell r="L337">
            <v>3.3169326299967925</v>
          </cell>
          <cell r="M337">
            <v>3.3203285591731673</v>
          </cell>
          <cell r="N337">
            <v>3.2445347803330047</v>
          </cell>
          <cell r="O337">
            <v>3.2267180206767225</v>
          </cell>
          <cell r="P337">
            <v>3.1778947179089219</v>
          </cell>
          <cell r="Q337">
            <v>3.2502413781560433</v>
          </cell>
          <cell r="R337">
            <v>3.174804040795856</v>
          </cell>
          <cell r="S337">
            <v>3.1952387872348917</v>
          </cell>
          <cell r="T337">
            <v>3.1952387872348917</v>
          </cell>
          <cell r="U337">
            <v>3.1952387872348917</v>
          </cell>
          <cell r="V337">
            <v>3.1952387872348917</v>
          </cell>
          <cell r="W337">
            <v>3.1952387872348917</v>
          </cell>
          <cell r="X337">
            <v>3.1952387872348917</v>
          </cell>
          <cell r="Y337">
            <v>3.1952387872348917</v>
          </cell>
          <cell r="Z337">
            <v>3.1952387872348917</v>
          </cell>
          <cell r="AA337">
            <v>3.1952387872348917</v>
          </cell>
          <cell r="AB337">
            <v>3.1952387872348917</v>
          </cell>
          <cell r="AC337">
            <v>3.1952387872348917</v>
          </cell>
          <cell r="AD337">
            <v>3.1952387872348917</v>
          </cell>
          <cell r="AE337">
            <v>3.1952387872348917</v>
          </cell>
          <cell r="AF337">
            <v>3.1952387872348917</v>
          </cell>
        </row>
        <row r="338">
          <cell r="A338" t="str">
            <v>Minnesota</v>
          </cell>
          <cell r="B338">
            <v>5.2004420507470543</v>
          </cell>
          <cell r="C338">
            <v>4.6344485059573968</v>
          </cell>
          <cell r="D338">
            <v>4.2979587445739904</v>
          </cell>
          <cell r="E338">
            <v>4.2153269305190832</v>
          </cell>
          <cell r="F338">
            <v>3.9044940308302136</v>
          </cell>
          <cell r="G338">
            <v>3.6322756488914623</v>
          </cell>
          <cell r="H338">
            <v>3.3651165364587481</v>
          </cell>
          <cell r="I338">
            <v>3.417198199425544</v>
          </cell>
          <cell r="J338">
            <v>3.3417869776086562</v>
          </cell>
          <cell r="K338">
            <v>3.2763673754142055</v>
          </cell>
          <cell r="L338">
            <v>3.2929078017797941</v>
          </cell>
          <cell r="M338">
            <v>3.2870994741803354</v>
          </cell>
          <cell r="N338">
            <v>3.2516703352248704</v>
          </cell>
          <cell r="O338">
            <v>3.1787129456352514</v>
          </cell>
          <cell r="P338">
            <v>3.2286132495917461</v>
          </cell>
          <cell r="Q338">
            <v>3.2348581744648781</v>
          </cell>
          <cell r="R338">
            <v>3.1748040407958573</v>
          </cell>
          <cell r="S338">
            <v>3.1617869994462824</v>
          </cell>
          <cell r="T338">
            <v>3.1617869994462824</v>
          </cell>
          <cell r="U338">
            <v>3.1617869994462824</v>
          </cell>
          <cell r="V338">
            <v>3.1617869994462824</v>
          </cell>
          <cell r="W338">
            <v>3.1617869994462824</v>
          </cell>
          <cell r="X338">
            <v>3.1617869994462824</v>
          </cell>
          <cell r="Y338">
            <v>3.1617869994462824</v>
          </cell>
          <cell r="Z338">
            <v>3.1617869994462824</v>
          </cell>
          <cell r="AA338">
            <v>3.1617869994462824</v>
          </cell>
          <cell r="AB338">
            <v>3.1617869994462824</v>
          </cell>
          <cell r="AC338">
            <v>3.1617869994462824</v>
          </cell>
          <cell r="AD338">
            <v>3.1617869994462824</v>
          </cell>
          <cell r="AE338">
            <v>3.1617869994462824</v>
          </cell>
          <cell r="AF338">
            <v>3.1617869994462824</v>
          </cell>
        </row>
        <row r="339">
          <cell r="A339" t="str">
            <v>Mississippi</v>
          </cell>
          <cell r="B339">
            <v>5.4524229666651811</v>
          </cell>
          <cell r="C339">
            <v>4.6378110256776832</v>
          </cell>
          <cell r="D339">
            <v>4.2547472471948184</v>
          </cell>
          <cell r="E339">
            <v>4.194084801687886</v>
          </cell>
          <cell r="F339">
            <v>4.2800523412024125</v>
          </cell>
          <cell r="G339">
            <v>3.7100197443267611</v>
          </cell>
          <cell r="H339">
            <v>3.3971733863678928</v>
          </cell>
          <cell r="I339">
            <v>3.3657545533868589</v>
          </cell>
          <cell r="J339">
            <v>3.4294370047928187</v>
          </cell>
          <cell r="K339">
            <v>3.1738802911385475</v>
          </cell>
          <cell r="L339">
            <v>3.4368077149004792</v>
          </cell>
          <cell r="M339">
            <v>3.2808440166217827</v>
          </cell>
          <cell r="N339">
            <v>3.2340597389057071</v>
          </cell>
          <cell r="O339">
            <v>3.2288754792702004</v>
          </cell>
          <cell r="P339">
            <v>3.151002890573718</v>
          </cell>
          <cell r="Q339">
            <v>3.1559285823325252</v>
          </cell>
          <cell r="R339">
            <v>3.2217828093981438</v>
          </cell>
          <cell r="S339">
            <v>3.1024979892806486</v>
          </cell>
          <cell r="T339">
            <v>3.1024979892806486</v>
          </cell>
          <cell r="U339">
            <v>3.1024979892806486</v>
          </cell>
          <cell r="V339">
            <v>3.1024979892806486</v>
          </cell>
          <cell r="W339">
            <v>3.1024979892806486</v>
          </cell>
          <cell r="X339">
            <v>3.1024979892806486</v>
          </cell>
          <cell r="Y339">
            <v>3.1024979892806486</v>
          </cell>
          <cell r="Z339">
            <v>3.1024979892806486</v>
          </cell>
          <cell r="AA339">
            <v>3.1024979892806486</v>
          </cell>
          <cell r="AB339">
            <v>3.1024979892806486</v>
          </cell>
          <cell r="AC339">
            <v>3.1024979892806486</v>
          </cell>
          <cell r="AD339">
            <v>3.1024979892806486</v>
          </cell>
          <cell r="AE339">
            <v>3.1024979892806486</v>
          </cell>
          <cell r="AF339">
            <v>3.1024979892806486</v>
          </cell>
        </row>
        <row r="340">
          <cell r="A340" t="str">
            <v>Missouri</v>
          </cell>
          <cell r="B340">
            <v>5.2124411419812535</v>
          </cell>
          <cell r="C340">
            <v>4.6214787870362937</v>
          </cell>
          <cell r="D340">
            <v>4.3291670482367239</v>
          </cell>
          <cell r="E340">
            <v>4.1709752329594405</v>
          </cell>
          <cell r="F340">
            <v>3.8439201098024407</v>
          </cell>
          <cell r="G340">
            <v>3.9069041418577077</v>
          </cell>
          <cell r="H340">
            <v>3.2721516717222294</v>
          </cell>
          <cell r="I340">
            <v>3.385045920651367</v>
          </cell>
          <cell r="J340">
            <v>3.2991377570641682</v>
          </cell>
          <cell r="K340">
            <v>3.2657382790679677</v>
          </cell>
          <cell r="L340">
            <v>3.3397562168029382</v>
          </cell>
          <cell r="M340">
            <v>3.379221971841897</v>
          </cell>
          <cell r="N340">
            <v>3.3316904865122177</v>
          </cell>
          <cell r="O340">
            <v>3.2014521917075265</v>
          </cell>
          <cell r="P340">
            <v>3.2786815436888928</v>
          </cell>
          <cell r="Q340">
            <v>3.1753581401879765</v>
          </cell>
          <cell r="R340">
            <v>3.1748040407958564</v>
          </cell>
          <cell r="S340">
            <v>3.1204642027662355</v>
          </cell>
          <cell r="T340">
            <v>3.1204642027662355</v>
          </cell>
          <cell r="U340">
            <v>3.1204642027662355</v>
          </cell>
          <cell r="V340">
            <v>3.1204642027662355</v>
          </cell>
          <cell r="W340">
            <v>3.1204642027662355</v>
          </cell>
          <cell r="X340">
            <v>3.1204642027662355</v>
          </cell>
          <cell r="Y340">
            <v>3.1204642027662355</v>
          </cell>
          <cell r="Z340">
            <v>3.1204642027662355</v>
          </cell>
          <cell r="AA340">
            <v>3.1204642027662355</v>
          </cell>
          <cell r="AB340">
            <v>3.1204642027662355</v>
          </cell>
          <cell r="AC340">
            <v>3.1204642027662355</v>
          </cell>
          <cell r="AD340">
            <v>3.1204642027662355</v>
          </cell>
          <cell r="AE340">
            <v>3.1204642027662355</v>
          </cell>
          <cell r="AF340">
            <v>3.1204642027662355</v>
          </cell>
        </row>
        <row r="341">
          <cell r="A341" t="str">
            <v>Montana</v>
          </cell>
          <cell r="B341">
            <v>5.2499383020881165</v>
          </cell>
          <cell r="C341">
            <v>4.6378110256776814</v>
          </cell>
          <cell r="D341">
            <v>4.2547472471948193</v>
          </cell>
          <cell r="E341">
            <v>4.3558517827870125</v>
          </cell>
          <cell r="F341">
            <v>3.769028716531738</v>
          </cell>
          <cell r="G341">
            <v>3.6464109389706074</v>
          </cell>
          <cell r="H341">
            <v>3.3773286697574689</v>
          </cell>
          <cell r="I341">
            <v>3.4519983129223015</v>
          </cell>
          <cell r="J341">
            <v>3.3373777536801859</v>
          </cell>
          <cell r="K341">
            <v>3.3353105460615251</v>
          </cell>
          <cell r="L341">
            <v>3.3169326299967916</v>
          </cell>
          <cell r="M341">
            <v>3.3745595766722891</v>
          </cell>
          <cell r="N341">
            <v>3.1864309762135283</v>
          </cell>
          <cell r="O341">
            <v>3.2014521917075265</v>
          </cell>
          <cell r="P341">
            <v>3.243406154665903</v>
          </cell>
          <cell r="Q341">
            <v>3.2762646310669323</v>
          </cell>
          <cell r="R341">
            <v>3.2165458358171981</v>
          </cell>
          <cell r="S341">
            <v>3.153178083471273</v>
          </cell>
          <cell r="T341">
            <v>3.153178083471273</v>
          </cell>
          <cell r="U341">
            <v>3.153178083471273</v>
          </cell>
          <cell r="V341">
            <v>3.153178083471273</v>
          </cell>
          <cell r="W341">
            <v>3.153178083471273</v>
          </cell>
          <cell r="X341">
            <v>3.153178083471273</v>
          </cell>
          <cell r="Y341">
            <v>3.153178083471273</v>
          </cell>
          <cell r="Z341">
            <v>3.153178083471273</v>
          </cell>
          <cell r="AA341">
            <v>3.153178083471273</v>
          </cell>
          <cell r="AB341">
            <v>3.153178083471273</v>
          </cell>
          <cell r="AC341">
            <v>3.153178083471273</v>
          </cell>
          <cell r="AD341">
            <v>3.153178083471273</v>
          </cell>
          <cell r="AE341">
            <v>3.153178083471273</v>
          </cell>
          <cell r="AF341">
            <v>3.153178083471273</v>
          </cell>
        </row>
        <row r="342">
          <cell r="A342" t="str">
            <v>Nebraska</v>
          </cell>
          <cell r="B342">
            <v>5.153610646124271</v>
          </cell>
          <cell r="C342">
            <v>4.6515301061364465</v>
          </cell>
          <cell r="D342">
            <v>4.3130863877100811</v>
          </cell>
          <cell r="E342">
            <v>4.212565223628788</v>
          </cell>
          <cell r="F342">
            <v>3.8960538731135466</v>
          </cell>
          <cell r="G342">
            <v>3.6411648519309248</v>
          </cell>
          <cell r="H342">
            <v>3.3786972709030163</v>
          </cell>
          <cell r="I342">
            <v>3.3343843570693523</v>
          </cell>
          <cell r="J342">
            <v>3.3043103169929049</v>
          </cell>
          <cell r="K342">
            <v>3.2912481102989384</v>
          </cell>
          <cell r="L342">
            <v>3.2796696311296145</v>
          </cell>
          <cell r="M342">
            <v>3.2766492781105243</v>
          </cell>
          <cell r="N342">
            <v>3.2699551946352758</v>
          </cell>
          <cell r="O342">
            <v>3.2212254491616807</v>
          </cell>
          <cell r="P342">
            <v>3.2153298246271973</v>
          </cell>
          <cell r="Q342">
            <v>3.2021984497051732</v>
          </cell>
          <cell r="R342">
            <v>3.1518460535341175</v>
          </cell>
          <cell r="S342">
            <v>3.1350037053018083</v>
          </cell>
          <cell r="T342">
            <v>3.1350037053018083</v>
          </cell>
          <cell r="U342">
            <v>3.1350037053018083</v>
          </cell>
          <cell r="V342">
            <v>3.1350037053018083</v>
          </cell>
          <cell r="W342">
            <v>3.1350037053018083</v>
          </cell>
          <cell r="X342">
            <v>3.1350037053018083</v>
          </cell>
          <cell r="Y342">
            <v>3.1350037053018083</v>
          </cell>
          <cell r="Z342">
            <v>3.1350037053018083</v>
          </cell>
          <cell r="AA342">
            <v>3.1350037053018083</v>
          </cell>
          <cell r="AB342">
            <v>3.1350037053018083</v>
          </cell>
          <cell r="AC342">
            <v>3.1350037053018083</v>
          </cell>
          <cell r="AD342">
            <v>3.1350037053018083</v>
          </cell>
          <cell r="AE342">
            <v>3.1350037053018083</v>
          </cell>
          <cell r="AF342">
            <v>3.1350037053018083</v>
          </cell>
        </row>
        <row r="343">
          <cell r="A343" t="str">
            <v>Nevada</v>
          </cell>
          <cell r="B343">
            <v>5.2017276676650051</v>
          </cell>
          <cell r="C343">
            <v>4.5006202210900312</v>
          </cell>
          <cell r="D343">
            <v>4.2547472471948193</v>
          </cell>
          <cell r="E343">
            <v>4.3154100375122306</v>
          </cell>
          <cell r="F343">
            <v>4.1249831033713118</v>
          </cell>
          <cell r="G343">
            <v>3.6040050687331733</v>
          </cell>
          <cell r="H343">
            <v>3.4540014384795574</v>
          </cell>
          <cell r="I343">
            <v>3.3217702360237849</v>
          </cell>
          <cell r="J343">
            <v>3.3302962728253678</v>
          </cell>
          <cell r="K343">
            <v>3.4657585466744476</v>
          </cell>
          <cell r="L343">
            <v>3.2082488833008549</v>
          </cell>
          <cell r="M343">
            <v>3.2192085696209567</v>
          </cell>
          <cell r="N343">
            <v>3.346216437542088</v>
          </cell>
          <cell r="O343">
            <v>3.3151484220689071</v>
          </cell>
          <cell r="P343">
            <v>3.3492323217348741</v>
          </cell>
          <cell r="Q343">
            <v>3.3327722659591488</v>
          </cell>
          <cell r="R343">
            <v>3.2895939771045466</v>
          </cell>
          <cell r="S343">
            <v>3.153178083471273</v>
          </cell>
          <cell r="T343">
            <v>3.153178083471273</v>
          </cell>
          <cell r="U343">
            <v>3.153178083471273</v>
          </cell>
          <cell r="V343">
            <v>3.153178083471273</v>
          </cell>
          <cell r="W343">
            <v>3.153178083471273</v>
          </cell>
          <cell r="X343">
            <v>3.153178083471273</v>
          </cell>
          <cell r="Y343">
            <v>3.153178083471273</v>
          </cell>
          <cell r="Z343">
            <v>3.153178083471273</v>
          </cell>
          <cell r="AA343">
            <v>3.153178083471273</v>
          </cell>
          <cell r="AB343">
            <v>3.153178083471273</v>
          </cell>
          <cell r="AC343">
            <v>3.153178083471273</v>
          </cell>
          <cell r="AD343">
            <v>3.153178083471273</v>
          </cell>
          <cell r="AE343">
            <v>3.153178083471273</v>
          </cell>
          <cell r="AF343">
            <v>3.153178083471273</v>
          </cell>
        </row>
        <row r="344">
          <cell r="A344" t="str">
            <v>New Hampshire</v>
          </cell>
          <cell r="B344">
            <v>4.967959658084502</v>
          </cell>
          <cell r="C344">
            <v>4.798696747455538</v>
          </cell>
          <cell r="D344">
            <v>4.252549615486199</v>
          </cell>
          <cell r="E344">
            <v>4.6096829630471277</v>
          </cell>
          <cell r="F344">
            <v>3.8012326494474813</v>
          </cell>
          <cell r="G344">
            <v>3.6874327287211264</v>
          </cell>
          <cell r="H344">
            <v>3.2172305289280239</v>
          </cell>
          <cell r="I344">
            <v>3.5103426155246917</v>
          </cell>
          <cell r="J344">
            <v>3.6547831265401984</v>
          </cell>
          <cell r="K344">
            <v>3.5497959866038129</v>
          </cell>
          <cell r="L344">
            <v>3.2632092748322226</v>
          </cell>
          <cell r="M344">
            <v>3.5153738307841684</v>
          </cell>
          <cell r="N344">
            <v>3.3019885824615418</v>
          </cell>
          <cell r="O344">
            <v>3.2229948913554645</v>
          </cell>
          <cell r="P344">
            <v>3.06736991928577</v>
          </cell>
          <cell r="Q344">
            <v>3.3145494231192547</v>
          </cell>
          <cell r="R344">
            <v>3.1251046663056723</v>
          </cell>
          <cell r="S344">
            <v>3.1575015038287653</v>
          </cell>
          <cell r="T344">
            <v>3.1575015038287653</v>
          </cell>
          <cell r="U344">
            <v>3.1575015038287653</v>
          </cell>
          <cell r="V344">
            <v>3.1575015038287653</v>
          </cell>
          <cell r="W344">
            <v>3.1575015038287653</v>
          </cell>
          <cell r="X344">
            <v>3.1575015038287653</v>
          </cell>
          <cell r="Y344">
            <v>3.1575015038287653</v>
          </cell>
          <cell r="Z344">
            <v>3.1575015038287653</v>
          </cell>
          <cell r="AA344">
            <v>3.1575015038287653</v>
          </cell>
          <cell r="AB344">
            <v>3.1575015038287653</v>
          </cell>
          <cell r="AC344">
            <v>3.1575015038287653</v>
          </cell>
          <cell r="AD344">
            <v>3.1575015038287653</v>
          </cell>
          <cell r="AE344">
            <v>3.1575015038287653</v>
          </cell>
          <cell r="AF344">
            <v>3.1575015038287653</v>
          </cell>
        </row>
        <row r="345">
          <cell r="A345" t="str">
            <v>New Jersey</v>
          </cell>
          <cell r="B345">
            <v>5.4524229666651811</v>
          </cell>
          <cell r="C345">
            <v>4.6949738609225378</v>
          </cell>
          <cell r="D345">
            <v>4.2547472471948193</v>
          </cell>
          <cell r="E345">
            <v>3.8885249485006477</v>
          </cell>
          <cell r="F345">
            <v>4.0862157939135368</v>
          </cell>
          <cell r="G345">
            <v>3.6040050687331737</v>
          </cell>
          <cell r="H345">
            <v>3.3971733863678928</v>
          </cell>
          <cell r="I345">
            <v>3.2435758940449855</v>
          </cell>
          <cell r="J345">
            <v>3.4860888516313637</v>
          </cell>
          <cell r="K345">
            <v>3.2831313458163569</v>
          </cell>
          <cell r="L345">
            <v>3.4690898753711017</v>
          </cell>
          <cell r="M345">
            <v>3.5330810124389553</v>
          </cell>
          <cell r="N345">
            <v>3.2445347803330047</v>
          </cell>
          <cell r="O345">
            <v>3.2014521917075274</v>
          </cell>
          <cell r="P345">
            <v>5.7354242244457003</v>
          </cell>
          <cell r="Q345">
            <v>3.2701555400059865</v>
          </cell>
          <cell r="R345">
            <v>3.1251046663056732</v>
          </cell>
          <cell r="S345">
            <v>3.2812594115620288</v>
          </cell>
          <cell r="T345">
            <v>3.2812594115620288</v>
          </cell>
          <cell r="U345">
            <v>3.2812594115620288</v>
          </cell>
          <cell r="V345">
            <v>3.2812594115620288</v>
          </cell>
          <cell r="W345">
            <v>3.2812594115620288</v>
          </cell>
          <cell r="X345">
            <v>3.2812594115620288</v>
          </cell>
          <cell r="Y345">
            <v>3.2812594115620288</v>
          </cell>
          <cell r="Z345">
            <v>3.2812594115620288</v>
          </cell>
          <cell r="AA345">
            <v>3.2812594115620288</v>
          </cell>
          <cell r="AB345">
            <v>3.2812594115620288</v>
          </cell>
          <cell r="AC345">
            <v>3.2812594115620288</v>
          </cell>
          <cell r="AD345">
            <v>3.2812594115620288</v>
          </cell>
          <cell r="AE345">
            <v>3.2812594115620288</v>
          </cell>
          <cell r="AF345">
            <v>3.2812594115620288</v>
          </cell>
        </row>
        <row r="346">
          <cell r="A346" t="str">
            <v>New Mexico</v>
          </cell>
          <cell r="B346">
            <v>5.2373545093742884</v>
          </cell>
          <cell r="C346">
            <v>4.7083947005017643</v>
          </cell>
          <cell r="D346">
            <v>4.2361422969343421</v>
          </cell>
          <cell r="E346">
            <v>4.206528415618588</v>
          </cell>
          <cell r="F346">
            <v>3.8101455598960445</v>
          </cell>
          <cell r="G346">
            <v>3.631363694692809</v>
          </cell>
          <cell r="H346">
            <v>3.4553942828940585</v>
          </cell>
          <cell r="I346">
            <v>3.3630791082917826</v>
          </cell>
          <cell r="J346">
            <v>3.3548223772493722</v>
          </cell>
          <cell r="K346">
            <v>3.2986082272450088</v>
          </cell>
          <cell r="L346">
            <v>3.3248028323437375</v>
          </cell>
          <cell r="M346">
            <v>3.2994342005915649</v>
          </cell>
          <cell r="N346">
            <v>3.2708966914612843</v>
          </cell>
          <cell r="O346">
            <v>3.159413249389035</v>
          </cell>
          <cell r="P346">
            <v>3.2593567653545601</v>
          </cell>
          <cell r="Q346">
            <v>3.1686310407960461</v>
          </cell>
          <cell r="R346">
            <v>3.1202186165371781</v>
          </cell>
          <cell r="S346">
            <v>3.1784351237214845</v>
          </cell>
          <cell r="T346">
            <v>3.1784351237214845</v>
          </cell>
          <cell r="U346">
            <v>3.1784351237214845</v>
          </cell>
          <cell r="V346">
            <v>3.1784351237214845</v>
          </cell>
          <cell r="W346">
            <v>3.1784351237214845</v>
          </cell>
          <cell r="X346">
            <v>3.1784351237214845</v>
          </cell>
          <cell r="Y346">
            <v>3.1784351237214845</v>
          </cell>
          <cell r="Z346">
            <v>3.1784351237214845</v>
          </cell>
          <cell r="AA346">
            <v>3.1784351237214845</v>
          </cell>
          <cell r="AB346">
            <v>3.1784351237214845</v>
          </cell>
          <cell r="AC346">
            <v>3.1784351237214845</v>
          </cell>
          <cell r="AD346">
            <v>3.1784351237214845</v>
          </cell>
          <cell r="AE346">
            <v>3.1784351237214845</v>
          </cell>
          <cell r="AF346">
            <v>3.1784351237214845</v>
          </cell>
        </row>
        <row r="347">
          <cell r="A347" t="str">
            <v>New York</v>
          </cell>
          <cell r="B347">
            <v>5.2124411419812535</v>
          </cell>
          <cell r="C347">
            <v>4.5509235161055033</v>
          </cell>
          <cell r="D347">
            <v>4.1803274461529139</v>
          </cell>
          <cell r="E347">
            <v>4.1709752329594405</v>
          </cell>
          <cell r="F347">
            <v>4.0474484844557592</v>
          </cell>
          <cell r="G347">
            <v>3.6040050687331733</v>
          </cell>
          <cell r="H347">
            <v>3.3277168782314139</v>
          </cell>
          <cell r="I347">
            <v>3.3657545533868602</v>
          </cell>
          <cell r="J347">
            <v>3.3161333111157316</v>
          </cell>
          <cell r="K347">
            <v>3.283131345816356</v>
          </cell>
          <cell r="L347">
            <v>3.3169326299967912</v>
          </cell>
          <cell r="M347">
            <v>3.2952988587889567</v>
          </cell>
          <cell r="N347">
            <v>3.325880106100271</v>
          </cell>
          <cell r="O347">
            <v>3.3151484220689071</v>
          </cell>
          <cell r="P347">
            <v>3.2434061546659043</v>
          </cell>
          <cell r="Q347">
            <v>3.1503508794049306</v>
          </cell>
          <cell r="R347">
            <v>3.30234841447218</v>
          </cell>
          <cell r="S347">
            <v>3.1041072624137165</v>
          </cell>
          <cell r="T347">
            <v>3.1041072624137165</v>
          </cell>
          <cell r="U347">
            <v>3.1041072624137165</v>
          </cell>
          <cell r="V347">
            <v>3.1041072624137165</v>
          </cell>
          <cell r="W347">
            <v>3.1041072624137165</v>
          </cell>
          <cell r="X347">
            <v>3.1041072624137165</v>
          </cell>
          <cell r="Y347">
            <v>3.1041072624137165</v>
          </cell>
          <cell r="Z347">
            <v>3.1041072624137165</v>
          </cell>
          <cell r="AA347">
            <v>3.1041072624137165</v>
          </cell>
          <cell r="AB347">
            <v>3.1041072624137165</v>
          </cell>
          <cell r="AC347">
            <v>3.1041072624137165</v>
          </cell>
          <cell r="AD347">
            <v>3.1041072624137165</v>
          </cell>
          <cell r="AE347">
            <v>3.1041072624137165</v>
          </cell>
          <cell r="AF347">
            <v>3.1041072624137165</v>
          </cell>
        </row>
        <row r="348">
          <cell r="A348" t="str">
            <v>North Carolina</v>
          </cell>
          <cell r="B348">
            <v>5.2634372797265865</v>
          </cell>
          <cell r="C348">
            <v>4.6949738609225378</v>
          </cell>
          <cell r="D348">
            <v>4.2547472471948193</v>
          </cell>
          <cell r="E348">
            <v>4.4277482188310691</v>
          </cell>
          <cell r="F348">
            <v>3.8923792466246598</v>
          </cell>
          <cell r="G348">
            <v>3.6040050687331733</v>
          </cell>
          <cell r="H348">
            <v>3.6055429107773289</v>
          </cell>
          <cell r="I348">
            <v>3.3657545533868589</v>
          </cell>
          <cell r="J348">
            <v>3.3161333111157316</v>
          </cell>
          <cell r="K348">
            <v>3.374444946245402</v>
          </cell>
          <cell r="L348">
            <v>3.5908156716705504</v>
          </cell>
          <cell r="M348">
            <v>3.2952988587889567</v>
          </cell>
          <cell r="N348">
            <v>3.2445347803330051</v>
          </cell>
          <cell r="O348">
            <v>3.3151484220689071</v>
          </cell>
          <cell r="P348">
            <v>3.1516901432061295</v>
          </cell>
          <cell r="Q348">
            <v>3.3115819028745679</v>
          </cell>
          <cell r="R348">
            <v>3.174804040795856</v>
          </cell>
          <cell r="S348">
            <v>3.153178083471273</v>
          </cell>
          <cell r="T348">
            <v>3.153178083471273</v>
          </cell>
          <cell r="U348">
            <v>3.153178083471273</v>
          </cell>
          <cell r="V348">
            <v>3.153178083471273</v>
          </cell>
          <cell r="W348">
            <v>3.153178083471273</v>
          </cell>
          <cell r="X348">
            <v>3.153178083471273</v>
          </cell>
          <cell r="Y348">
            <v>3.153178083471273</v>
          </cell>
          <cell r="Z348">
            <v>3.153178083471273</v>
          </cell>
          <cell r="AA348">
            <v>3.153178083471273</v>
          </cell>
          <cell r="AB348">
            <v>3.153178083471273</v>
          </cell>
          <cell r="AC348">
            <v>3.153178083471273</v>
          </cell>
          <cell r="AD348">
            <v>3.153178083471273</v>
          </cell>
          <cell r="AE348">
            <v>3.153178083471273</v>
          </cell>
          <cell r="AF348">
            <v>3.153178083471273</v>
          </cell>
        </row>
        <row r="349">
          <cell r="A349" t="str">
            <v>North Dakota</v>
          </cell>
          <cell r="B349">
            <v>5.1824434138957614</v>
          </cell>
          <cell r="C349">
            <v>4.5920807574817983</v>
          </cell>
          <cell r="D349">
            <v>4.1517044457521823</v>
          </cell>
          <cell r="E349">
            <v>4.2094911808401854</v>
          </cell>
          <cell r="F349">
            <v>3.8439201098024394</v>
          </cell>
          <cell r="G349">
            <v>3.5191933282583032</v>
          </cell>
          <cell r="H349">
            <v>3.5360864026408514</v>
          </cell>
          <cell r="I349">
            <v>3.2741205588804538</v>
          </cell>
          <cell r="J349">
            <v>3.4618094887005575</v>
          </cell>
          <cell r="K349">
            <v>3.2587810523686107</v>
          </cell>
          <cell r="L349">
            <v>3.3495377540055715</v>
          </cell>
          <cell r="M349">
            <v>3.3318807285812642</v>
          </cell>
          <cell r="N349">
            <v>3.2642151010831491</v>
          </cell>
          <cell r="O349">
            <v>3.1494767721137529</v>
          </cell>
          <cell r="P349">
            <v>3.2786815436888928</v>
          </cell>
          <cell r="Q349">
            <v>3.2409473592592968</v>
          </cell>
          <cell r="R349">
            <v>3.174804040795856</v>
          </cell>
          <cell r="S349">
            <v>3.1531780834712717</v>
          </cell>
          <cell r="T349">
            <v>3.1531780834712717</v>
          </cell>
          <cell r="U349">
            <v>3.1531780834712717</v>
          </cell>
          <cell r="V349">
            <v>3.1531780834712717</v>
          </cell>
          <cell r="W349">
            <v>3.1531780834712717</v>
          </cell>
          <cell r="X349">
            <v>3.1531780834712717</v>
          </cell>
          <cell r="Y349">
            <v>3.1531780834712717</v>
          </cell>
          <cell r="Z349">
            <v>3.1531780834712717</v>
          </cell>
          <cell r="AA349">
            <v>3.1531780834712717</v>
          </cell>
          <cell r="AB349">
            <v>3.1531780834712717</v>
          </cell>
          <cell r="AC349">
            <v>3.1531780834712717</v>
          </cell>
          <cell r="AD349">
            <v>3.1531780834712717</v>
          </cell>
          <cell r="AE349">
            <v>3.1531780834712717</v>
          </cell>
          <cell r="AF349">
            <v>3.1531780834712717</v>
          </cell>
        </row>
        <row r="350">
          <cell r="A350" t="str">
            <v>Ohio</v>
          </cell>
          <cell r="B350">
            <v>5.1567310755367695</v>
          </cell>
          <cell r="C350">
            <v>4.640243486751932</v>
          </cell>
          <cell r="D350">
            <v>4.2745925274726613</v>
          </cell>
          <cell r="E350">
            <v>4.273087280829321</v>
          </cell>
          <cell r="F350">
            <v>3.8519966326061423</v>
          </cell>
          <cell r="G350">
            <v>3.6322756488914627</v>
          </cell>
          <cell r="H350">
            <v>3.3794398098224083</v>
          </cell>
          <cell r="I350">
            <v>3.429898349541344</v>
          </cell>
          <cell r="J350">
            <v>3.3646920369773405</v>
          </cell>
          <cell r="K350">
            <v>3.2729853902131296</v>
          </cell>
          <cell r="L350">
            <v>3.2929078017797955</v>
          </cell>
          <cell r="M350">
            <v>3.2952988587889567</v>
          </cell>
          <cell r="N350">
            <v>3.2671307041572444</v>
          </cell>
          <cell r="O350">
            <v>3.2014521917075274</v>
          </cell>
          <cell r="P350">
            <v>3.1975481489360162</v>
          </cell>
          <cell r="Q350">
            <v>3.2056300874516639</v>
          </cell>
          <cell r="R350">
            <v>3.2258217902663855</v>
          </cell>
          <cell r="S350">
            <v>3.139915699401663</v>
          </cell>
          <cell r="T350">
            <v>3.139915699401663</v>
          </cell>
          <cell r="U350">
            <v>3.139915699401663</v>
          </cell>
          <cell r="V350">
            <v>3.139915699401663</v>
          </cell>
          <cell r="W350">
            <v>3.139915699401663</v>
          </cell>
          <cell r="X350">
            <v>3.139915699401663</v>
          </cell>
          <cell r="Y350">
            <v>3.139915699401663</v>
          </cell>
          <cell r="Z350">
            <v>3.139915699401663</v>
          </cell>
          <cell r="AA350">
            <v>3.139915699401663</v>
          </cell>
          <cell r="AB350">
            <v>3.139915699401663</v>
          </cell>
          <cell r="AC350">
            <v>3.139915699401663</v>
          </cell>
          <cell r="AD350">
            <v>3.139915699401663</v>
          </cell>
          <cell r="AE350">
            <v>3.139915699401663</v>
          </cell>
          <cell r="AF350">
            <v>3.139915699401663</v>
          </cell>
        </row>
        <row r="351">
          <cell r="A351" t="str">
            <v>Oklahoma</v>
          </cell>
          <cell r="B351">
            <v>5.149215161247219</v>
          </cell>
          <cell r="C351">
            <v>4.687178928843692</v>
          </cell>
          <cell r="D351">
            <v>4.2353333860534521</v>
          </cell>
          <cell r="E351">
            <v>4.2480071287209284</v>
          </cell>
          <cell r="F351">
            <v>3.8476477357118406</v>
          </cell>
          <cell r="G351">
            <v>3.6151645082693395</v>
          </cell>
          <cell r="H351">
            <v>3.3620267196000362</v>
          </cell>
          <cell r="I351">
            <v>3.3794996525628207</v>
          </cell>
          <cell r="J351">
            <v>3.2887841436764353</v>
          </cell>
          <cell r="K351">
            <v>3.3007339675858107</v>
          </cell>
          <cell r="L351">
            <v>3.2959454237382655</v>
          </cell>
          <cell r="M351">
            <v>3.3182176205865463</v>
          </cell>
          <cell r="N351">
            <v>3.3002507568859261</v>
          </cell>
          <cell r="O351">
            <v>3.2348922594608744</v>
          </cell>
          <cell r="P351">
            <v>3.2179294848159667</v>
          </cell>
          <cell r="Q351">
            <v>3.2115992038135182</v>
          </cell>
          <cell r="R351">
            <v>3.1503155210500031</v>
          </cell>
          <cell r="S351">
            <v>3.1808236164614452</v>
          </cell>
          <cell r="T351">
            <v>3.1808236164614452</v>
          </cell>
          <cell r="U351">
            <v>3.1808236164614452</v>
          </cell>
          <cell r="V351">
            <v>3.1808236164614452</v>
          </cell>
          <cell r="W351">
            <v>3.1808236164614452</v>
          </cell>
          <cell r="X351">
            <v>3.1808236164614452</v>
          </cell>
          <cell r="Y351">
            <v>3.1808236164614452</v>
          </cell>
          <cell r="Z351">
            <v>3.1808236164614452</v>
          </cell>
          <cell r="AA351">
            <v>3.1808236164614452</v>
          </cell>
          <cell r="AB351">
            <v>3.1808236164614452</v>
          </cell>
          <cell r="AC351">
            <v>3.1808236164614452</v>
          </cell>
          <cell r="AD351">
            <v>3.1808236164614452</v>
          </cell>
          <cell r="AE351">
            <v>3.1808236164614452</v>
          </cell>
          <cell r="AF351">
            <v>3.1808236164614452</v>
          </cell>
        </row>
        <row r="352">
          <cell r="A352" t="str">
            <v>Oregon</v>
          </cell>
          <cell r="B352">
            <v>5.2274400060239987</v>
          </cell>
          <cell r="C352">
            <v>4.6606761597756243</v>
          </cell>
          <cell r="D352">
            <v>4.2810130593272557</v>
          </cell>
          <cell r="E352">
            <v>4.1671236381713648</v>
          </cell>
          <cell r="F352">
            <v>3.9892975202690977</v>
          </cell>
          <cell r="G352">
            <v>3.5191933282583032</v>
          </cell>
          <cell r="H352">
            <v>3.5013581485726109</v>
          </cell>
          <cell r="I352">
            <v>3.3657545533868589</v>
          </cell>
          <cell r="J352">
            <v>3.4294370047928173</v>
          </cell>
          <cell r="K352">
            <v>3.25503485337665</v>
          </cell>
          <cell r="L352">
            <v>3.4538741508336708</v>
          </cell>
          <cell r="M352">
            <v>3.252065739943502</v>
          </cell>
          <cell r="N352">
            <v>3.2852074432166374</v>
          </cell>
          <cell r="O352">
            <v>3.1601081079397528</v>
          </cell>
          <cell r="P352">
            <v>3.0815543697368906</v>
          </cell>
          <cell r="Q352">
            <v>3.2321180413073907</v>
          </cell>
          <cell r="R352">
            <v>3.2807639820038794</v>
          </cell>
          <cell r="S352">
            <v>3.0168702472002846</v>
          </cell>
          <cell r="T352">
            <v>3.0168702472002846</v>
          </cell>
          <cell r="U352">
            <v>3.0168702472002846</v>
          </cell>
          <cell r="V352">
            <v>3.0168702472002846</v>
          </cell>
          <cell r="W352">
            <v>3.0168702472002846</v>
          </cell>
          <cell r="X352">
            <v>3.0168702472002846</v>
          </cell>
          <cell r="Y352">
            <v>3.0168702472002846</v>
          </cell>
          <cell r="Z352">
            <v>3.0168702472002846</v>
          </cell>
          <cell r="AA352">
            <v>3.0168702472002846</v>
          </cell>
          <cell r="AB352">
            <v>3.0168702472002846</v>
          </cell>
          <cell r="AC352">
            <v>3.0168702472002846</v>
          </cell>
          <cell r="AD352">
            <v>3.0168702472002846</v>
          </cell>
          <cell r="AE352">
            <v>3.0168702472002846</v>
          </cell>
          <cell r="AF352">
            <v>3.0168702472002846</v>
          </cell>
        </row>
        <row r="353">
          <cell r="A353" t="str">
            <v>Pennsylvania</v>
          </cell>
          <cell r="B353">
            <v>5.1486959697995838</v>
          </cell>
          <cell r="C353">
            <v>4.6647111834399668</v>
          </cell>
          <cell r="D353">
            <v>4.2826546725855339</v>
          </cell>
          <cell r="E353">
            <v>4.2162881128191403</v>
          </cell>
          <cell r="F353">
            <v>3.9440689925683592</v>
          </cell>
          <cell r="G353">
            <v>3.5775013998347762</v>
          </cell>
          <cell r="H353">
            <v>3.424955989622485</v>
          </cell>
          <cell r="I353">
            <v>3.3657545533868602</v>
          </cell>
          <cell r="J353">
            <v>3.3161333111157316</v>
          </cell>
          <cell r="K353">
            <v>3.2831313458163556</v>
          </cell>
          <cell r="L353">
            <v>3.3169326299967912</v>
          </cell>
          <cell r="M353">
            <v>3.2952988587889567</v>
          </cell>
          <cell r="N353">
            <v>3.2445347803330051</v>
          </cell>
          <cell r="O353">
            <v>3.2014521917075265</v>
          </cell>
          <cell r="P353">
            <v>3.243406154665903</v>
          </cell>
          <cell r="Q353">
            <v>3.2056300874516643</v>
          </cell>
          <cell r="R353">
            <v>3.1748040407958551</v>
          </cell>
          <cell r="S353">
            <v>3.1531780834712726</v>
          </cell>
          <cell r="T353">
            <v>3.1531780834712726</v>
          </cell>
          <cell r="U353">
            <v>3.1531780834712726</v>
          </cell>
          <cell r="V353">
            <v>3.1531780834712726</v>
          </cell>
          <cell r="W353">
            <v>3.1531780834712726</v>
          </cell>
          <cell r="X353">
            <v>3.1531780834712726</v>
          </cell>
          <cell r="Y353">
            <v>3.1531780834712726</v>
          </cell>
          <cell r="Z353">
            <v>3.1531780834712726</v>
          </cell>
          <cell r="AA353">
            <v>3.1531780834712726</v>
          </cell>
          <cell r="AB353">
            <v>3.1531780834712726</v>
          </cell>
          <cell r="AC353">
            <v>3.1531780834712726</v>
          </cell>
          <cell r="AD353">
            <v>3.1531780834712726</v>
          </cell>
          <cell r="AE353">
            <v>3.1531780834712726</v>
          </cell>
          <cell r="AF353">
            <v>3.1531780834712726</v>
          </cell>
        </row>
        <row r="354">
          <cell r="A354" t="str">
            <v>Rhode Island</v>
          </cell>
          <cell r="B354">
            <v>4.9679596580845002</v>
          </cell>
          <cell r="C354">
            <v>4.798696747455538</v>
          </cell>
          <cell r="D354">
            <v>4.252549615486199</v>
          </cell>
          <cell r="E354">
            <v>4.6096829630471277</v>
          </cell>
          <cell r="F354">
            <v>3.9000748152476747</v>
          </cell>
          <cell r="G354">
            <v>3.4336895475399745</v>
          </cell>
          <cell r="H354">
            <v>3.3356286246175264</v>
          </cell>
          <cell r="I354">
            <v>3.6125674235573833</v>
          </cell>
          <cell r="J354">
            <v>3.3532005058932079</v>
          </cell>
          <cell r="K354">
            <v>3.7077757472297224</v>
          </cell>
          <cell r="L354">
            <v>3.4645834653114007</v>
          </cell>
          <cell r="M354">
            <v>3.2649436902378945</v>
          </cell>
          <cell r="N354">
            <v>3.2246251773007306</v>
          </cell>
          <cell r="O354">
            <v>3.2229948913554649</v>
          </cell>
          <cell r="P354">
            <v>3.1238786836695192</v>
          </cell>
          <cell r="Q354">
            <v>3.1623418238737671</v>
          </cell>
          <cell r="R354">
            <v>3.1933480614297709</v>
          </cell>
          <cell r="S354">
            <v>3.256507830015376</v>
          </cell>
          <cell r="T354">
            <v>3.256507830015376</v>
          </cell>
          <cell r="U354">
            <v>3.256507830015376</v>
          </cell>
          <cell r="V354">
            <v>3.256507830015376</v>
          </cell>
          <cell r="W354">
            <v>3.256507830015376</v>
          </cell>
          <cell r="X354">
            <v>3.256507830015376</v>
          </cell>
          <cell r="Y354">
            <v>3.256507830015376</v>
          </cell>
          <cell r="Z354">
            <v>3.256507830015376</v>
          </cell>
          <cell r="AA354">
            <v>3.256507830015376</v>
          </cell>
          <cell r="AB354">
            <v>3.256507830015376</v>
          </cell>
          <cell r="AC354">
            <v>3.256507830015376</v>
          </cell>
          <cell r="AD354">
            <v>3.256507830015376</v>
          </cell>
          <cell r="AE354">
            <v>3.256507830015376</v>
          </cell>
          <cell r="AF354">
            <v>3.256507830015376</v>
          </cell>
        </row>
        <row r="355">
          <cell r="A355" t="str">
            <v>South Carolina</v>
          </cell>
          <cell r="B355">
            <v>5.2777303148732049</v>
          </cell>
          <cell r="C355">
            <v>4.7271279557477692</v>
          </cell>
          <cell r="D355">
            <v>4.2845151676115814</v>
          </cell>
          <cell r="E355">
            <v>4.2865230766016742</v>
          </cell>
          <cell r="F355">
            <v>4.047448484455761</v>
          </cell>
          <cell r="G355">
            <v>3.7857445126078946</v>
          </cell>
          <cell r="H355">
            <v>3.3450810052655333</v>
          </cell>
          <cell r="I355">
            <v>3.487933212728735</v>
          </cell>
          <cell r="J355">
            <v>3.267574585254124</v>
          </cell>
          <cell r="K355">
            <v>3.3440070794357215</v>
          </cell>
          <cell r="L355">
            <v>3.3169326299967907</v>
          </cell>
          <cell r="M355">
            <v>3.5330810124389553</v>
          </cell>
          <cell r="N355">
            <v>3.2445347803330047</v>
          </cell>
          <cell r="O355">
            <v>3.2014521917075274</v>
          </cell>
          <cell r="P355">
            <v>3.8318125295562364</v>
          </cell>
          <cell r="Q355">
            <v>3.2733265316569353</v>
          </cell>
          <cell r="R355">
            <v>3.2888888146035051</v>
          </cell>
          <cell r="S355">
            <v>3.0929321606635853</v>
          </cell>
          <cell r="T355">
            <v>3.0929321606635853</v>
          </cell>
          <cell r="U355">
            <v>3.0929321606635853</v>
          </cell>
          <cell r="V355">
            <v>3.0929321606635853</v>
          </cell>
          <cell r="W355">
            <v>3.0929321606635853</v>
          </cell>
          <cell r="X355">
            <v>3.0929321606635853</v>
          </cell>
          <cell r="Y355">
            <v>3.0929321606635853</v>
          </cell>
          <cell r="Z355">
            <v>3.0929321606635853</v>
          </cell>
          <cell r="AA355">
            <v>3.0929321606635853</v>
          </cell>
          <cell r="AB355">
            <v>3.0929321606635853</v>
          </cell>
          <cell r="AC355">
            <v>3.0929321606635853</v>
          </cell>
          <cell r="AD355">
            <v>3.0929321606635853</v>
          </cell>
          <cell r="AE355">
            <v>3.0929321606635853</v>
          </cell>
          <cell r="AF355">
            <v>3.0929321606635853</v>
          </cell>
        </row>
        <row r="356">
          <cell r="A356" t="str">
            <v>South Dakota</v>
          </cell>
          <cell r="B356">
            <v>5.1824434138957622</v>
          </cell>
          <cell r="C356">
            <v>4.5985115764468469</v>
          </cell>
          <cell r="D356">
            <v>4.3009388478415183</v>
          </cell>
          <cell r="E356">
            <v>4.1687095889664558</v>
          </cell>
          <cell r="F356">
            <v>3.9592194353449619</v>
          </cell>
          <cell r="G356">
            <v>3.5416434948545916</v>
          </cell>
          <cell r="H356">
            <v>3.409801842392707</v>
          </cell>
          <cell r="I356">
            <v>3.3772088027001606</v>
          </cell>
          <cell r="J356">
            <v>3.3270981846973857</v>
          </cell>
          <cell r="K356">
            <v>3.2239009022948131</v>
          </cell>
          <cell r="L356">
            <v>3.3296124004446503</v>
          </cell>
          <cell r="M356">
            <v>3.2644180596136323</v>
          </cell>
          <cell r="N356">
            <v>3.2610236977182616</v>
          </cell>
          <cell r="O356">
            <v>3.1726683359198362</v>
          </cell>
          <cell r="P356">
            <v>3.2678637577218437</v>
          </cell>
          <cell r="Q356">
            <v>3.179142133595938</v>
          </cell>
          <cell r="R356">
            <v>3.174804040795856</v>
          </cell>
          <cell r="S356">
            <v>3.1298110258248171</v>
          </cell>
          <cell r="T356">
            <v>3.1298110258248171</v>
          </cell>
          <cell r="U356">
            <v>3.1298110258248171</v>
          </cell>
          <cell r="V356">
            <v>3.1298110258248171</v>
          </cell>
          <cell r="W356">
            <v>3.1298110258248171</v>
          </cell>
          <cell r="X356">
            <v>3.1298110258248171</v>
          </cell>
          <cell r="Y356">
            <v>3.1298110258248171</v>
          </cell>
          <cell r="Z356">
            <v>3.1298110258248171</v>
          </cell>
          <cell r="AA356">
            <v>3.1298110258248171</v>
          </cell>
          <cell r="AB356">
            <v>3.1298110258248171</v>
          </cell>
          <cell r="AC356">
            <v>3.1298110258248171</v>
          </cell>
          <cell r="AD356">
            <v>3.1298110258248171</v>
          </cell>
          <cell r="AE356">
            <v>3.1298110258248171</v>
          </cell>
          <cell r="AF356">
            <v>3.1298110258248171</v>
          </cell>
        </row>
        <row r="357">
          <cell r="A357" t="str">
            <v>Tennessee</v>
          </cell>
          <cell r="B357">
            <v>5.1824434138957614</v>
          </cell>
          <cell r="C357">
            <v>4.8664623666570987</v>
          </cell>
          <cell r="D357">
            <v>4.0761397246942472</v>
          </cell>
          <cell r="E357">
            <v>4.2480071287209293</v>
          </cell>
          <cell r="F357">
            <v>3.8923792466246576</v>
          </cell>
          <cell r="G357">
            <v>3.5725933130017404</v>
          </cell>
          <cell r="H357">
            <v>3.5430320534544988</v>
          </cell>
          <cell r="I357">
            <v>3.3657545533868589</v>
          </cell>
          <cell r="J357">
            <v>3.3161333111157316</v>
          </cell>
          <cell r="K357">
            <v>3.4048828130550839</v>
          </cell>
          <cell r="L357">
            <v>3.5451684980582572</v>
          </cell>
          <cell r="M357">
            <v>3.2952988587889567</v>
          </cell>
          <cell r="N357">
            <v>3.2445347803330051</v>
          </cell>
          <cell r="O357">
            <v>3.6562371131530447</v>
          </cell>
          <cell r="P357">
            <v>3.2434061546659043</v>
          </cell>
          <cell r="Q357">
            <v>3.2056300874516639</v>
          </cell>
          <cell r="R357">
            <v>3.0026191363328198</v>
          </cell>
          <cell r="S357">
            <v>3.2232792564106387</v>
          </cell>
          <cell r="T357">
            <v>3.2232792564106387</v>
          </cell>
          <cell r="U357">
            <v>3.2232792564106387</v>
          </cell>
          <cell r="V357">
            <v>3.2232792564106387</v>
          </cell>
          <cell r="W357">
            <v>3.2232792564106387</v>
          </cell>
          <cell r="X357">
            <v>3.2232792564106387</v>
          </cell>
          <cell r="Y357">
            <v>3.2232792564106387</v>
          </cell>
          <cell r="Z357">
            <v>3.2232792564106387</v>
          </cell>
          <cell r="AA357">
            <v>3.2232792564106387</v>
          </cell>
          <cell r="AB357">
            <v>3.2232792564106387</v>
          </cell>
          <cell r="AC357">
            <v>3.2232792564106387</v>
          </cell>
          <cell r="AD357">
            <v>3.2232792564106387</v>
          </cell>
          <cell r="AE357">
            <v>3.2232792564106387</v>
          </cell>
          <cell r="AF357">
            <v>3.2232792564106387</v>
          </cell>
        </row>
        <row r="358">
          <cell r="A358" t="str">
            <v>Texas</v>
          </cell>
          <cell r="B358">
            <v>5.174729712388066</v>
          </cell>
          <cell r="C358">
            <v>4.6441897111556498</v>
          </cell>
          <cell r="D358">
            <v>4.2854710182671658</v>
          </cell>
          <cell r="E358">
            <v>4.1866321223418561</v>
          </cell>
          <cell r="F358">
            <v>3.8540379515565291</v>
          </cell>
          <cell r="G358">
            <v>3.6663666426117532</v>
          </cell>
          <cell r="H358">
            <v>3.3575594083432847</v>
          </cell>
          <cell r="I358">
            <v>3.3657545533868598</v>
          </cell>
          <cell r="J358">
            <v>3.2887978045992314</v>
          </cell>
          <cell r="K358">
            <v>3.3005244125647462</v>
          </cell>
          <cell r="L358">
            <v>3.2886972648757844</v>
          </cell>
          <cell r="M358">
            <v>3.2904461617756908</v>
          </cell>
          <cell r="N358">
            <v>3.2515715732194468</v>
          </cell>
          <cell r="O358">
            <v>3.2445189456322923</v>
          </cell>
          <cell r="P358">
            <v>3.2096160451807236</v>
          </cell>
          <cell r="Q358">
            <v>3.2258855815766307</v>
          </cell>
          <cell r="R358">
            <v>3.1418949805571867</v>
          </cell>
          <cell r="S358">
            <v>3.1616973232382097</v>
          </cell>
          <cell r="T358">
            <v>3.1616973232382097</v>
          </cell>
          <cell r="U358">
            <v>3.1616973232382097</v>
          </cell>
          <cell r="V358">
            <v>3.1616973232382097</v>
          </cell>
          <cell r="W358">
            <v>3.1616973232382097</v>
          </cell>
          <cell r="X358">
            <v>3.1616973232382097</v>
          </cell>
          <cell r="Y358">
            <v>3.1616973232382097</v>
          </cell>
          <cell r="Z358">
            <v>3.1616973232382097</v>
          </cell>
          <cell r="AA358">
            <v>3.1616973232382097</v>
          </cell>
          <cell r="AB358">
            <v>3.1616973232382097</v>
          </cell>
          <cell r="AC358">
            <v>3.1616973232382097</v>
          </cell>
          <cell r="AD358">
            <v>3.1616973232382097</v>
          </cell>
          <cell r="AE358">
            <v>3.1616973232382097</v>
          </cell>
          <cell r="AF358">
            <v>3.1616973232382097</v>
          </cell>
        </row>
        <row r="359">
          <cell r="A359" t="str">
            <v>Utah</v>
          </cell>
          <cell r="B359">
            <v>5.2746315538658077</v>
          </cell>
          <cell r="C359">
            <v>4.5861446168986806</v>
          </cell>
          <cell r="D359">
            <v>4.2726079994448778</v>
          </cell>
          <cell r="E359">
            <v>4.1736315052270792</v>
          </cell>
          <cell r="F359">
            <v>4.0043736961693428</v>
          </cell>
          <cell r="G359">
            <v>3.497990393139585</v>
          </cell>
          <cell r="H359">
            <v>3.3971733863678928</v>
          </cell>
          <cell r="I359">
            <v>3.4390617489919855</v>
          </cell>
          <cell r="J359">
            <v>3.4011110813735472</v>
          </cell>
          <cell r="K359">
            <v>3.2831313458163569</v>
          </cell>
          <cell r="L359">
            <v>3.3821428780143523</v>
          </cell>
          <cell r="M359">
            <v>3.2952988587889567</v>
          </cell>
          <cell r="N359">
            <v>3.4072254318675372</v>
          </cell>
          <cell r="O359">
            <v>3.125654704799941</v>
          </cell>
          <cell r="P359">
            <v>3.1778947179089214</v>
          </cell>
          <cell r="Q359">
            <v>3.2056300874516634</v>
          </cell>
          <cell r="R359">
            <v>3.2513306650016496</v>
          </cell>
          <cell r="S359">
            <v>3.1531780834712717</v>
          </cell>
          <cell r="T359">
            <v>3.1531780834712717</v>
          </cell>
          <cell r="U359">
            <v>3.1531780834712717</v>
          </cell>
          <cell r="V359">
            <v>3.1531780834712717</v>
          </cell>
          <cell r="W359">
            <v>3.1531780834712717</v>
          </cell>
          <cell r="X359">
            <v>3.1531780834712717</v>
          </cell>
          <cell r="Y359">
            <v>3.1531780834712717</v>
          </cell>
          <cell r="Z359">
            <v>3.1531780834712717</v>
          </cell>
          <cell r="AA359">
            <v>3.1531780834712717</v>
          </cell>
          <cell r="AB359">
            <v>3.1531780834712717</v>
          </cell>
          <cell r="AC359">
            <v>3.1531780834712717</v>
          </cell>
          <cell r="AD359">
            <v>3.1531780834712717</v>
          </cell>
          <cell r="AE359">
            <v>3.1531780834712717</v>
          </cell>
          <cell r="AF359">
            <v>3.1531780834712717</v>
          </cell>
        </row>
        <row r="360">
          <cell r="A360" t="str">
            <v>Vermont</v>
          </cell>
          <cell r="B360">
            <v>5.2120661703801847</v>
          </cell>
          <cell r="C360">
            <v>4.798696747455538</v>
          </cell>
          <cell r="D360">
            <v>4.252549615486199</v>
          </cell>
          <cell r="E360">
            <v>4.909982664599335</v>
          </cell>
          <cell r="F360">
            <v>3.727101025097336</v>
          </cell>
          <cell r="G360">
            <v>3.5859354562486656</v>
          </cell>
          <cell r="H360">
            <v>3.2764295767727756</v>
          </cell>
          <cell r="I360">
            <v>3.4373248955013405</v>
          </cell>
          <cell r="J360">
            <v>3.6095457334431496</v>
          </cell>
          <cell r="K360">
            <v>3.7955422809107828</v>
          </cell>
          <cell r="L360">
            <v>3.0870068581629395</v>
          </cell>
          <cell r="M360">
            <v>3.4557476068445778</v>
          </cell>
          <cell r="N360">
            <v>3.3019885824615418</v>
          </cell>
          <cell r="O360">
            <v>3.1634539387187819</v>
          </cell>
          <cell r="P360">
            <v>3.2368962124370144</v>
          </cell>
          <cell r="Q360">
            <v>3.1623418238737675</v>
          </cell>
          <cell r="R360">
            <v>3.0739221199626008</v>
          </cell>
          <cell r="S360">
            <v>3.1575015038287653</v>
          </cell>
          <cell r="T360">
            <v>3.1575015038287653</v>
          </cell>
          <cell r="U360">
            <v>3.1575015038287653</v>
          </cell>
          <cell r="V360">
            <v>3.1575015038287653</v>
          </cell>
          <cell r="W360">
            <v>3.1575015038287653</v>
          </cell>
          <cell r="X360">
            <v>3.1575015038287653</v>
          </cell>
          <cell r="Y360">
            <v>3.1575015038287653</v>
          </cell>
          <cell r="Z360">
            <v>3.1575015038287653</v>
          </cell>
          <cell r="AA360">
            <v>3.1575015038287653</v>
          </cell>
          <cell r="AB360">
            <v>3.1575015038287653</v>
          </cell>
          <cell r="AC360">
            <v>3.1575015038287653</v>
          </cell>
          <cell r="AD360">
            <v>3.1575015038287653</v>
          </cell>
          <cell r="AE360">
            <v>3.1575015038287653</v>
          </cell>
          <cell r="AF360">
            <v>3.1575015038287653</v>
          </cell>
        </row>
        <row r="361">
          <cell r="A361" t="str">
            <v>Virginia</v>
          </cell>
          <cell r="B361">
            <v>5.3624297824087073</v>
          </cell>
          <cell r="C361">
            <v>4.6214787870362963</v>
          </cell>
          <cell r="D361">
            <v>4.2547472471948202</v>
          </cell>
          <cell r="E361">
            <v>4.1806042199296245</v>
          </cell>
          <cell r="F361">
            <v>3.892379246624659</v>
          </cell>
          <cell r="G361">
            <v>3.6040050687331733</v>
          </cell>
          <cell r="H361">
            <v>3.4567075361991608</v>
          </cell>
          <cell r="I361">
            <v>3.4268438830577987</v>
          </cell>
          <cell r="J361">
            <v>3.3161333111157316</v>
          </cell>
          <cell r="K361">
            <v>3.283131345816356</v>
          </cell>
          <cell r="L361">
            <v>3.3676517117882283</v>
          </cell>
          <cell r="M361">
            <v>3.2477424280589573</v>
          </cell>
          <cell r="N361">
            <v>3.2897266279814854</v>
          </cell>
          <cell r="O361">
            <v>3.1700877143664576</v>
          </cell>
          <cell r="P361">
            <v>3.2434061546659043</v>
          </cell>
          <cell r="Q361">
            <v>3.1915031787286088</v>
          </cell>
          <cell r="R361">
            <v>3.2076011654554817</v>
          </cell>
          <cell r="S361">
            <v>3.1204642027662355</v>
          </cell>
          <cell r="T361">
            <v>3.1204642027662355</v>
          </cell>
          <cell r="U361">
            <v>3.1204642027662355</v>
          </cell>
          <cell r="V361">
            <v>3.1204642027662355</v>
          </cell>
          <cell r="W361">
            <v>3.1204642027662355</v>
          </cell>
          <cell r="X361">
            <v>3.1204642027662355</v>
          </cell>
          <cell r="Y361">
            <v>3.1204642027662355</v>
          </cell>
          <cell r="Z361">
            <v>3.1204642027662355</v>
          </cell>
          <cell r="AA361">
            <v>3.1204642027662355</v>
          </cell>
          <cell r="AB361">
            <v>3.1204642027662355</v>
          </cell>
          <cell r="AC361">
            <v>3.1204642027662355</v>
          </cell>
          <cell r="AD361">
            <v>3.1204642027662355</v>
          </cell>
          <cell r="AE361">
            <v>3.1204642027662355</v>
          </cell>
          <cell r="AF361">
            <v>3.1204642027662355</v>
          </cell>
        </row>
        <row r="362">
          <cell r="A362" t="str">
            <v>Washington</v>
          </cell>
          <cell r="B362">
            <v>5.2459680145473913</v>
          </cell>
          <cell r="C362">
            <v>4.6532604406087241</v>
          </cell>
          <cell r="D362">
            <v>4.2857196499405834</v>
          </cell>
          <cell r="E362">
            <v>4.2103194807946087</v>
          </cell>
          <cell r="F362">
            <v>3.84644641551355</v>
          </cell>
          <cell r="G362">
            <v>3.7535129445702822</v>
          </cell>
          <cell r="H362">
            <v>3.372068624390852</v>
          </cell>
          <cell r="I362">
            <v>3.3725006143321168</v>
          </cell>
          <cell r="J362">
            <v>3.2532497611249482</v>
          </cell>
          <cell r="K362">
            <v>3.2742227018720595</v>
          </cell>
          <cell r="L362">
            <v>3.2586596424066299</v>
          </cell>
          <cell r="M362">
            <v>3.2579996974320946</v>
          </cell>
          <cell r="N362">
            <v>3.2526693129097319</v>
          </cell>
          <cell r="O362">
            <v>3.3450684826903219</v>
          </cell>
          <cell r="P362">
            <v>3.2098515163269616</v>
          </cell>
          <cell r="Q362">
            <v>3.227363793179439</v>
          </cell>
          <cell r="R362">
            <v>3.2932968782757941</v>
          </cell>
          <cell r="S362">
            <v>3.0692066249770589</v>
          </cell>
          <cell r="T362">
            <v>3.0692066249770589</v>
          </cell>
          <cell r="U362">
            <v>3.0692066249770589</v>
          </cell>
          <cell r="V362">
            <v>3.0692066249770589</v>
          </cell>
          <cell r="W362">
            <v>3.0692066249770589</v>
          </cell>
          <cell r="X362">
            <v>3.0692066249770589</v>
          </cell>
          <cell r="Y362">
            <v>3.0692066249770589</v>
          </cell>
          <cell r="Z362">
            <v>3.0692066249770589</v>
          </cell>
          <cell r="AA362">
            <v>3.0692066249770589</v>
          </cell>
          <cell r="AB362">
            <v>3.0692066249770589</v>
          </cell>
          <cell r="AC362">
            <v>3.0692066249770589</v>
          </cell>
          <cell r="AD362">
            <v>3.0692066249770589</v>
          </cell>
          <cell r="AE362">
            <v>3.0692066249770589</v>
          </cell>
          <cell r="AF362">
            <v>3.0692066249770589</v>
          </cell>
        </row>
        <row r="363">
          <cell r="A363" t="str">
            <v>West Virginia</v>
          </cell>
          <cell r="B363">
            <v>5.4138544591266928</v>
          </cell>
          <cell r="C363">
            <v>4.4806132287543345</v>
          </cell>
          <cell r="D363">
            <v>4.1909588463017577</v>
          </cell>
          <cell r="E363">
            <v>4.4636964368530965</v>
          </cell>
          <cell r="F363">
            <v>4.0585248585865541</v>
          </cell>
          <cell r="G363">
            <v>3.4767874580208677</v>
          </cell>
          <cell r="H363">
            <v>3.4434777251255455</v>
          </cell>
          <cell r="I363">
            <v>3.4115715506400619</v>
          </cell>
          <cell r="J363">
            <v>3.2481510949094798</v>
          </cell>
          <cell r="K363">
            <v>3.2831313458163569</v>
          </cell>
          <cell r="L363">
            <v>3.5125633740494742</v>
          </cell>
          <cell r="M363">
            <v>3.2952988587889567</v>
          </cell>
          <cell r="N363">
            <v>3.1936939517284624</v>
          </cell>
          <cell r="O363">
            <v>3.2664214661997431</v>
          </cell>
          <cell r="P363">
            <v>3.4268381775854535</v>
          </cell>
          <cell r="Q363">
            <v>3.0845422983969173</v>
          </cell>
          <cell r="R363">
            <v>3.0727685418547974</v>
          </cell>
          <cell r="S363">
            <v>3.1041072624137165</v>
          </cell>
          <cell r="T363">
            <v>3.1041072624137165</v>
          </cell>
          <cell r="U363">
            <v>3.1041072624137165</v>
          </cell>
          <cell r="V363">
            <v>3.1041072624137165</v>
          </cell>
          <cell r="W363">
            <v>3.1041072624137165</v>
          </cell>
          <cell r="X363">
            <v>3.1041072624137165</v>
          </cell>
          <cell r="Y363">
            <v>3.1041072624137165</v>
          </cell>
          <cell r="Z363">
            <v>3.1041072624137165</v>
          </cell>
          <cell r="AA363">
            <v>3.1041072624137165</v>
          </cell>
          <cell r="AB363">
            <v>3.1041072624137165</v>
          </cell>
          <cell r="AC363">
            <v>3.1041072624137165</v>
          </cell>
          <cell r="AD363">
            <v>3.1041072624137165</v>
          </cell>
          <cell r="AE363">
            <v>3.1041072624137165</v>
          </cell>
          <cell r="AF363">
            <v>3.1041072624137165</v>
          </cell>
        </row>
        <row r="364">
          <cell r="A364" t="str">
            <v>Wisconsin</v>
          </cell>
          <cell r="B364">
            <v>5.0924502296392884</v>
          </cell>
          <cell r="C364">
            <v>4.5920807574817983</v>
          </cell>
          <cell r="D364">
            <v>4.286641447641351</v>
          </cell>
          <cell r="E364">
            <v>4.2480071287209284</v>
          </cell>
          <cell r="F364">
            <v>3.8790112088805992</v>
          </cell>
          <cell r="G364">
            <v>3.5898697786540281</v>
          </cell>
          <cell r="H364">
            <v>3.3971733863678928</v>
          </cell>
          <cell r="I364">
            <v>3.3657545533868602</v>
          </cell>
          <cell r="J364">
            <v>3.3051684375340793</v>
          </cell>
          <cell r="K364">
            <v>3.23240156780022</v>
          </cell>
          <cell r="L364">
            <v>3.2929078017797955</v>
          </cell>
          <cell r="M364">
            <v>3.3217190980834008</v>
          </cell>
          <cell r="N364">
            <v>3.2038621174493711</v>
          </cell>
          <cell r="O364">
            <v>3.2014521917075265</v>
          </cell>
          <cell r="P364">
            <v>3.2215690090802429</v>
          </cell>
          <cell r="Q364">
            <v>3.1773762700055559</v>
          </cell>
          <cell r="R364">
            <v>3.1648223072037958</v>
          </cell>
          <cell r="S364">
            <v>3.1327319080306228</v>
          </cell>
          <cell r="T364">
            <v>3.1327319080306228</v>
          </cell>
          <cell r="U364">
            <v>3.1327319080306228</v>
          </cell>
          <cell r="V364">
            <v>3.1327319080306228</v>
          </cell>
          <cell r="W364">
            <v>3.1327319080306228</v>
          </cell>
          <cell r="X364">
            <v>3.1327319080306228</v>
          </cell>
          <cell r="Y364">
            <v>3.1327319080306228</v>
          </cell>
          <cell r="Z364">
            <v>3.1327319080306228</v>
          </cell>
          <cell r="AA364">
            <v>3.1327319080306228</v>
          </cell>
          <cell r="AB364">
            <v>3.1327319080306228</v>
          </cell>
          <cell r="AC364">
            <v>3.1327319080306228</v>
          </cell>
          <cell r="AD364">
            <v>3.1327319080306228</v>
          </cell>
          <cell r="AE364">
            <v>3.1327319080306228</v>
          </cell>
          <cell r="AF364">
            <v>3.1327319080306228</v>
          </cell>
        </row>
        <row r="365">
          <cell r="A365" t="str">
            <v>Wyoming</v>
          </cell>
          <cell r="B365">
            <v>5.4272248750733665</v>
          </cell>
          <cell r="C365">
            <v>4.9522066195243797</v>
          </cell>
          <cell r="D365">
            <v>4.020856443920259</v>
          </cell>
          <cell r="E365">
            <v>4.3378776737759992</v>
          </cell>
          <cell r="F365">
            <v>3.8719753995416193</v>
          </cell>
          <cell r="G365">
            <v>3.5828021336144555</v>
          </cell>
          <cell r="H365">
            <v>3.4191070205162539</v>
          </cell>
          <cell r="I365">
            <v>3.4344800492666647</v>
          </cell>
          <cell r="J365">
            <v>3.2961385416433053</v>
          </cell>
          <cell r="K365">
            <v>3.2283431855589297</v>
          </cell>
          <cell r="L365">
            <v>3.3676517117882283</v>
          </cell>
          <cell r="M365">
            <v>3.3547443972014559</v>
          </cell>
          <cell r="N365">
            <v>3.2445347803330051</v>
          </cell>
          <cell r="O365">
            <v>3.2317711864705623</v>
          </cell>
          <cell r="P365">
            <v>3.1287611403411848</v>
          </cell>
          <cell r="Q365">
            <v>3.3115819028745688</v>
          </cell>
          <cell r="R365">
            <v>3.1748040407958551</v>
          </cell>
          <cell r="S365">
            <v>3.0986549489628779</v>
          </cell>
          <cell r="T365">
            <v>3.0986549489628779</v>
          </cell>
          <cell r="U365">
            <v>3.0986549489628779</v>
          </cell>
          <cell r="V365">
            <v>3.0986549489628779</v>
          </cell>
          <cell r="W365">
            <v>3.0986549489628779</v>
          </cell>
          <cell r="X365">
            <v>3.0986549489628779</v>
          </cell>
          <cell r="Y365">
            <v>3.0986549489628779</v>
          </cell>
          <cell r="Z365">
            <v>3.0986549489628779</v>
          </cell>
          <cell r="AA365">
            <v>3.0986549489628779</v>
          </cell>
          <cell r="AB365">
            <v>3.0986549489628779</v>
          </cell>
          <cell r="AC365">
            <v>3.0986549489628779</v>
          </cell>
          <cell r="AD365">
            <v>3.0986549489628779</v>
          </cell>
          <cell r="AE365">
            <v>3.0986549489628779</v>
          </cell>
          <cell r="AF365">
            <v>3.0986549489628779</v>
          </cell>
        </row>
        <row r="367">
          <cell r="A367" t="str">
            <v>Heifer Feedlot</v>
          </cell>
          <cell r="B367">
            <v>1990</v>
          </cell>
          <cell r="C367">
            <v>1991</v>
          </cell>
          <cell r="D367">
            <v>1992</v>
          </cell>
          <cell r="E367">
            <v>1993</v>
          </cell>
          <cell r="F367">
            <v>1994</v>
          </cell>
          <cell r="G367">
            <v>1995</v>
          </cell>
          <cell r="H367">
            <v>1996</v>
          </cell>
          <cell r="I367">
            <v>1997</v>
          </cell>
          <cell r="J367">
            <v>1998</v>
          </cell>
          <cell r="K367">
            <v>1999</v>
          </cell>
          <cell r="L367">
            <v>2000</v>
          </cell>
          <cell r="M367">
            <v>2001</v>
          </cell>
          <cell r="N367">
            <v>2002</v>
          </cell>
          <cell r="O367">
            <v>2003</v>
          </cell>
          <cell r="P367">
            <v>2004</v>
          </cell>
          <cell r="Q367">
            <v>2005</v>
          </cell>
          <cell r="R367">
            <v>2006</v>
          </cell>
          <cell r="S367">
            <v>2007</v>
          </cell>
          <cell r="T367">
            <v>2008</v>
          </cell>
          <cell r="U367">
            <v>2009</v>
          </cell>
          <cell r="V367">
            <v>2010</v>
          </cell>
          <cell r="W367">
            <v>2011</v>
          </cell>
          <cell r="X367">
            <v>2012</v>
          </cell>
          <cell r="Y367">
            <v>2013</v>
          </cell>
          <cell r="Z367">
            <v>2014</v>
          </cell>
          <cell r="AA367">
            <v>2015</v>
          </cell>
          <cell r="AB367">
            <v>2016</v>
          </cell>
          <cell r="AC367">
            <v>2017</v>
          </cell>
          <cell r="AD367">
            <v>2018</v>
          </cell>
          <cell r="AE367">
            <v>2019</v>
          </cell>
          <cell r="AF367">
            <v>2020</v>
          </cell>
        </row>
        <row r="368">
          <cell r="A368" t="str">
            <v>Alabama</v>
          </cell>
          <cell r="B368">
            <v>5.9650009860012503</v>
          </cell>
          <cell r="C368">
            <v>5.4750655162784696</v>
          </cell>
          <cell r="D368">
            <v>4.8147332224660557</v>
          </cell>
          <cell r="E368">
            <v>5.003135465299037</v>
          </cell>
          <cell r="F368">
            <v>4.6344819276432885</v>
          </cell>
          <cell r="G368">
            <v>4.1148462083253543</v>
          </cell>
          <cell r="H368">
            <v>4.0570114678938074</v>
          </cell>
          <cell r="I368">
            <v>3.7278299950638147</v>
          </cell>
          <cell r="J368">
            <v>3.7842215984630387</v>
          </cell>
          <cell r="K368">
            <v>3.6379573879681377</v>
          </cell>
          <cell r="L368">
            <v>3.6702424615904059</v>
          </cell>
          <cell r="M368">
            <v>3.6411940986803919</v>
          </cell>
          <cell r="N368">
            <v>3.5867907034068769</v>
          </cell>
          <cell r="O368">
            <v>3.4296861713248594</v>
          </cell>
          <cell r="P368">
            <v>3.5883655395041196</v>
          </cell>
          <cell r="Q368">
            <v>3.633697524009051</v>
          </cell>
          <cell r="R368">
            <v>3.3532868086574652</v>
          </cell>
          <cell r="S368">
            <v>3.5481663464751541</v>
          </cell>
          <cell r="T368">
            <v>3.5481663464751541</v>
          </cell>
          <cell r="U368">
            <v>3.5481663464751541</v>
          </cell>
          <cell r="V368">
            <v>3.5481663464751541</v>
          </cell>
          <cell r="W368">
            <v>3.5481663464751541</v>
          </cell>
          <cell r="X368">
            <v>3.5481663464751541</v>
          </cell>
          <cell r="Y368">
            <v>3.5481663464751541</v>
          </cell>
          <cell r="Z368">
            <v>3.5481663464751541</v>
          </cell>
          <cell r="AA368">
            <v>3.5481663464751541</v>
          </cell>
          <cell r="AB368">
            <v>3.5481663464751541</v>
          </cell>
          <cell r="AC368">
            <v>3.5481663464751541</v>
          </cell>
          <cell r="AD368">
            <v>3.5481663464751541</v>
          </cell>
          <cell r="AE368">
            <v>3.5481663464751541</v>
          </cell>
          <cell r="AF368">
            <v>3.5481663464751541</v>
          </cell>
        </row>
        <row r="369">
          <cell r="A369" t="str">
            <v>Alaska</v>
          </cell>
          <cell r="B369">
            <v>5.4591469705950875</v>
          </cell>
          <cell r="C369">
            <v>5.4761370418148072</v>
          </cell>
          <cell r="D369">
            <v>4.9337096277592698</v>
          </cell>
          <cell r="E369">
            <v>4.9519900388981108</v>
          </cell>
          <cell r="F369">
            <v>4.1555404247191099</v>
          </cell>
          <cell r="G369">
            <v>3.8739290024717037</v>
          </cell>
          <cell r="H369">
            <v>3.649747198721685</v>
          </cell>
          <cell r="I369">
            <v>3.9531815506087691</v>
          </cell>
          <cell r="J369">
            <v>3.8206412937481971</v>
          </cell>
          <cell r="K369">
            <v>4.0895664718061937</v>
          </cell>
          <cell r="L369">
            <v>3.7040298514788792</v>
          </cell>
          <cell r="M369">
            <v>3.6265145536491596</v>
          </cell>
          <cell r="N369">
            <v>3.6158876849538513</v>
          </cell>
          <cell r="O369">
            <v>3.6832947866564769</v>
          </cell>
          <cell r="P369">
            <v>3.3713682683774016</v>
          </cell>
          <cell r="Q369">
            <v>3.520040892245488</v>
          </cell>
          <cell r="R369">
            <v>3.4763677089497294</v>
          </cell>
          <cell r="S369">
            <v>3.5345006097483438</v>
          </cell>
          <cell r="T369">
            <v>3.5345006097483438</v>
          </cell>
          <cell r="U369">
            <v>3.5345006097483438</v>
          </cell>
          <cell r="V369">
            <v>3.5345006097483438</v>
          </cell>
          <cell r="W369">
            <v>3.5345006097483438</v>
          </cell>
          <cell r="X369">
            <v>3.5345006097483438</v>
          </cell>
          <cell r="Y369">
            <v>3.5345006097483438</v>
          </cell>
          <cell r="Z369">
            <v>3.5345006097483438</v>
          </cell>
          <cell r="AA369">
            <v>3.5345006097483438</v>
          </cell>
          <cell r="AB369">
            <v>3.5345006097483438</v>
          </cell>
          <cell r="AC369">
            <v>3.5345006097483438</v>
          </cell>
          <cell r="AD369">
            <v>3.5345006097483438</v>
          </cell>
          <cell r="AE369">
            <v>3.5345006097483438</v>
          </cell>
          <cell r="AF369">
            <v>3.5345006097483438</v>
          </cell>
        </row>
        <row r="370">
          <cell r="A370" t="str">
            <v>Arizona</v>
          </cell>
          <cell r="B370">
            <v>5.7944038308634482</v>
          </cell>
          <cell r="C370">
            <v>5.4023311018549558</v>
          </cell>
          <cell r="D370">
            <v>4.8571053575519327</v>
          </cell>
          <cell r="E370">
            <v>4.6509346031660135</v>
          </cell>
          <cell r="F370">
            <v>4.3297753092695883</v>
          </cell>
          <cell r="G370">
            <v>4.0267680988591721</v>
          </cell>
          <cell r="H370">
            <v>3.7316540129230829</v>
          </cell>
          <cell r="I370">
            <v>3.7074192873542522</v>
          </cell>
          <cell r="J370">
            <v>3.6495592528752057</v>
          </cell>
          <cell r="K370">
            <v>3.724989490590787</v>
          </cell>
          <cell r="L370">
            <v>3.5307398142009698</v>
          </cell>
          <cell r="M370">
            <v>3.5842176775767278</v>
          </cell>
          <cell r="N370">
            <v>3.5796539768188498</v>
          </cell>
          <cell r="O370">
            <v>3.5776130365517589</v>
          </cell>
          <cell r="P370">
            <v>3.5775102388327871</v>
          </cell>
          <cell r="Q370">
            <v>3.4724927288340299</v>
          </cell>
          <cell r="R370">
            <v>3.4934911569017575</v>
          </cell>
          <cell r="S370">
            <v>3.4787038244227215</v>
          </cell>
          <cell r="T370">
            <v>3.4787038244227215</v>
          </cell>
          <cell r="U370">
            <v>3.4787038244227215</v>
          </cell>
          <cell r="V370">
            <v>3.4787038244227215</v>
          </cell>
          <cell r="W370">
            <v>3.4787038244227215</v>
          </cell>
          <cell r="X370">
            <v>3.4787038244227215</v>
          </cell>
          <cell r="Y370">
            <v>3.4787038244227215</v>
          </cell>
          <cell r="Z370">
            <v>3.4787038244227215</v>
          </cell>
          <cell r="AA370">
            <v>3.4787038244227215</v>
          </cell>
          <cell r="AB370">
            <v>3.4787038244227215</v>
          </cell>
          <cell r="AC370">
            <v>3.4787038244227215</v>
          </cell>
          <cell r="AD370">
            <v>3.4787038244227215</v>
          </cell>
          <cell r="AE370">
            <v>3.4787038244227215</v>
          </cell>
          <cell r="AF370">
            <v>3.4787038244227215</v>
          </cell>
        </row>
        <row r="371">
          <cell r="A371" t="str">
            <v>Arkansas</v>
          </cell>
          <cell r="B371">
            <v>5.8726778196913818</v>
          </cell>
          <cell r="C371">
            <v>5.1523832547640325</v>
          </cell>
          <cell r="D371">
            <v>4.7381102781857622</v>
          </cell>
          <cell r="E371">
            <v>4.6573652368847371</v>
          </cell>
          <cell r="F371">
            <v>4.6344819276432885</v>
          </cell>
          <cell r="G371">
            <v>3.8777128366856357</v>
          </cell>
          <cell r="H371">
            <v>3.6203632397581651</v>
          </cell>
          <cell r="I371">
            <v>3.7050754740287521</v>
          </cell>
          <cell r="J371">
            <v>4.076985810543075</v>
          </cell>
          <cell r="K371">
            <v>3.4847213782222735</v>
          </cell>
          <cell r="L371">
            <v>3.8793042802676885</v>
          </cell>
          <cell r="M371">
            <v>3.6411940986803923</v>
          </cell>
          <cell r="N371">
            <v>3.4416772627836596</v>
          </cell>
          <cell r="O371">
            <v>3.5455421714619173</v>
          </cell>
          <cell r="P371">
            <v>3.8710311246406932</v>
          </cell>
          <cell r="Q371">
            <v>3.5348894528440029</v>
          </cell>
          <cell r="R371">
            <v>4.0569864493557617</v>
          </cell>
          <cell r="S371">
            <v>3.8792056511078314</v>
          </cell>
          <cell r="T371">
            <v>3.8792056511078314</v>
          </cell>
          <cell r="U371">
            <v>3.8792056511078314</v>
          </cell>
          <cell r="V371">
            <v>3.8792056511078314</v>
          </cell>
          <cell r="W371">
            <v>3.8792056511078314</v>
          </cell>
          <cell r="X371">
            <v>3.8792056511078314</v>
          </cell>
          <cell r="Y371">
            <v>3.8792056511078314</v>
          </cell>
          <cell r="Z371">
            <v>3.8792056511078314</v>
          </cell>
          <cell r="AA371">
            <v>3.8792056511078314</v>
          </cell>
          <cell r="AB371">
            <v>3.8792056511078314</v>
          </cell>
          <cell r="AC371">
            <v>3.8792056511078314</v>
          </cell>
          <cell r="AD371">
            <v>3.8792056511078314</v>
          </cell>
          <cell r="AE371">
            <v>3.8792056511078314</v>
          </cell>
          <cell r="AF371">
            <v>3.8792056511078314</v>
          </cell>
        </row>
        <row r="372">
          <cell r="A372" t="str">
            <v>California</v>
          </cell>
          <cell r="B372">
            <v>5.7271275217844932</v>
          </cell>
          <cell r="C372">
            <v>5.4529206551941449</v>
          </cell>
          <cell r="D372">
            <v>4.8792578071231461</v>
          </cell>
          <cell r="E372">
            <v>4.6067221226220356</v>
          </cell>
          <cell r="F372">
            <v>4.3929586214407239</v>
          </cell>
          <cell r="G372">
            <v>3.9607095167595374</v>
          </cell>
          <cell r="H372">
            <v>3.8296069657182832</v>
          </cell>
          <cell r="I372">
            <v>3.699007601752736</v>
          </cell>
          <cell r="J372">
            <v>3.6434695734245599</v>
          </cell>
          <cell r="K372">
            <v>3.6379573879681391</v>
          </cell>
          <cell r="L372">
            <v>3.6494622205773033</v>
          </cell>
          <cell r="M372">
            <v>3.5951981909158626</v>
          </cell>
          <cell r="N372">
            <v>3.5527797407608106</v>
          </cell>
          <cell r="O372">
            <v>3.5279882320472118</v>
          </cell>
          <cell r="P372">
            <v>3.5685044191978759</v>
          </cell>
          <cell r="Q372">
            <v>3.5094918684277436</v>
          </cell>
          <cell r="R372">
            <v>3.4832761896363373</v>
          </cell>
          <cell r="S372">
            <v>3.4787038244227202</v>
          </cell>
          <cell r="T372">
            <v>3.4787038244227202</v>
          </cell>
          <cell r="U372">
            <v>3.4787038244227202</v>
          </cell>
          <cell r="V372">
            <v>3.4787038244227202</v>
          </cell>
          <cell r="W372">
            <v>3.4787038244227202</v>
          </cell>
          <cell r="X372">
            <v>3.4787038244227202</v>
          </cell>
          <cell r="Y372">
            <v>3.4787038244227202</v>
          </cell>
          <cell r="Z372">
            <v>3.4787038244227202</v>
          </cell>
          <cell r="AA372">
            <v>3.4787038244227202</v>
          </cell>
          <cell r="AB372">
            <v>3.4787038244227202</v>
          </cell>
          <cell r="AC372">
            <v>3.4787038244227202</v>
          </cell>
          <cell r="AD372">
            <v>3.4787038244227202</v>
          </cell>
          <cell r="AE372">
            <v>3.4787038244227202</v>
          </cell>
          <cell r="AF372">
            <v>3.4787038244227202</v>
          </cell>
        </row>
        <row r="373">
          <cell r="A373" t="str">
            <v>Colorado</v>
          </cell>
          <cell r="B373">
            <v>5.7226526744378408</v>
          </cell>
          <cell r="C373">
            <v>5.2879640369129541</v>
          </cell>
          <cell r="D373">
            <v>4.8476893275328488</v>
          </cell>
          <cell r="E373">
            <v>4.6500656431737672</v>
          </cell>
          <cell r="F373">
            <v>4.3089294576334414</v>
          </cell>
          <cell r="G373">
            <v>4.0015012472547324</v>
          </cell>
          <cell r="H373">
            <v>3.7213507336662666</v>
          </cell>
          <cell r="I373">
            <v>3.7048741065859638</v>
          </cell>
          <cell r="J373">
            <v>3.6676690443960887</v>
          </cell>
          <cell r="K373">
            <v>3.6300313874640393</v>
          </cell>
          <cell r="L373">
            <v>3.6510784615449889</v>
          </cell>
          <cell r="M373">
            <v>3.6267702948517941</v>
          </cell>
          <cell r="N373">
            <v>3.5957853381562503</v>
          </cell>
          <cell r="O373">
            <v>3.6402321715739343</v>
          </cell>
          <cell r="P373">
            <v>3.5745295841909712</v>
          </cell>
          <cell r="Q373">
            <v>3.5151255144255331</v>
          </cell>
          <cell r="R373">
            <v>3.4885345959359149</v>
          </cell>
          <cell r="S373">
            <v>3.4733874284932718</v>
          </cell>
          <cell r="T373">
            <v>3.4733874284932718</v>
          </cell>
          <cell r="U373">
            <v>3.4733874284932718</v>
          </cell>
          <cell r="V373">
            <v>3.4733874284932718</v>
          </cell>
          <cell r="W373">
            <v>3.4733874284932718</v>
          </cell>
          <cell r="X373">
            <v>3.4733874284932718</v>
          </cell>
          <cell r="Y373">
            <v>3.4733874284932718</v>
          </cell>
          <cell r="Z373">
            <v>3.4733874284932718</v>
          </cell>
          <cell r="AA373">
            <v>3.4733874284932718</v>
          </cell>
          <cell r="AB373">
            <v>3.4733874284932718</v>
          </cell>
          <cell r="AC373">
            <v>3.4733874284932718</v>
          </cell>
          <cell r="AD373">
            <v>3.4733874284932718</v>
          </cell>
          <cell r="AE373">
            <v>3.4733874284932718</v>
          </cell>
          <cell r="AF373">
            <v>3.4733874284932718</v>
          </cell>
        </row>
        <row r="374">
          <cell r="A374" t="str">
            <v>Connecticut</v>
          </cell>
          <cell r="B374">
            <v>5.4591469705950875</v>
          </cell>
          <cell r="C374">
            <v>5.4761370418148099</v>
          </cell>
          <cell r="D374">
            <v>4.8117163011700095</v>
          </cell>
          <cell r="E374">
            <v>5.6794519831424841</v>
          </cell>
          <cell r="F374">
            <v>4.205650265121311</v>
          </cell>
          <cell r="G374">
            <v>4.088574465562913</v>
          </cell>
          <cell r="H374">
            <v>3.6850791522164306</v>
          </cell>
          <cell r="I374">
            <v>3.8983742626745062</v>
          </cell>
          <cell r="J374">
            <v>3.7007557346603814</v>
          </cell>
          <cell r="K374">
            <v>3.8883665896985837</v>
          </cell>
          <cell r="L374">
            <v>3.6025786196037122</v>
          </cell>
          <cell r="M374">
            <v>3.8571931184256747</v>
          </cell>
          <cell r="N374">
            <v>3.5749396575335646</v>
          </cell>
          <cell r="O374">
            <v>3.4971420883030553</v>
          </cell>
          <cell r="P374">
            <v>3.5771993807209119</v>
          </cell>
          <cell r="Q374">
            <v>3.479374757944766</v>
          </cell>
          <cell r="R374">
            <v>3.6372694951596185</v>
          </cell>
          <cell r="S374">
            <v>3.3829891808206614</v>
          </cell>
          <cell r="T374">
            <v>3.3829891808206614</v>
          </cell>
          <cell r="U374">
            <v>3.3829891808206614</v>
          </cell>
          <cell r="V374">
            <v>3.3829891808206614</v>
          </cell>
          <cell r="W374">
            <v>3.3829891808206614</v>
          </cell>
          <cell r="X374">
            <v>3.3829891808206614</v>
          </cell>
          <cell r="Y374">
            <v>3.3829891808206614</v>
          </cell>
          <cell r="Z374">
            <v>3.3829891808206614</v>
          </cell>
          <cell r="AA374">
            <v>3.3829891808206614</v>
          </cell>
          <cell r="AB374">
            <v>3.3829891808206614</v>
          </cell>
          <cell r="AC374">
            <v>3.3829891808206614</v>
          </cell>
          <cell r="AD374">
            <v>3.3829891808206614</v>
          </cell>
          <cell r="AE374">
            <v>3.3829891808206614</v>
          </cell>
          <cell r="AF374">
            <v>3.3829891808206614</v>
          </cell>
        </row>
        <row r="375">
          <cell r="A375" t="str">
            <v>Delaware</v>
          </cell>
          <cell r="B375">
            <v>5.3756714410565802</v>
          </cell>
          <cell r="C375">
            <v>5.7012947795146065</v>
          </cell>
          <cell r="D375">
            <v>4.911860076728356</v>
          </cell>
          <cell r="E375">
            <v>5.1338555249592046</v>
          </cell>
          <cell r="F375">
            <v>4.1906173130006517</v>
          </cell>
          <cell r="G375">
            <v>4.0885744655629122</v>
          </cell>
          <cell r="H375">
            <v>3.5908606095637734</v>
          </cell>
          <cell r="I375">
            <v>4.3389405387614532</v>
          </cell>
          <cell r="J375">
            <v>3.7984402642874899</v>
          </cell>
          <cell r="K375">
            <v>4.2738588007955176</v>
          </cell>
          <cell r="L375">
            <v>3.8485209999071452</v>
          </cell>
          <cell r="M375">
            <v>3.6207475895297474</v>
          </cell>
          <cell r="N375">
            <v>4.2255583154336991</v>
          </cell>
          <cell r="O375">
            <v>3.8763420293933581</v>
          </cell>
          <cell r="P375">
            <v>3.1214164199908812</v>
          </cell>
          <cell r="Q375">
            <v>3.7551109856423568</v>
          </cell>
          <cell r="R375">
            <v>3.5072285012783464</v>
          </cell>
          <cell r="S375">
            <v>3.3522477314730152</v>
          </cell>
          <cell r="T375">
            <v>3.3522477314730152</v>
          </cell>
          <cell r="U375">
            <v>3.3522477314730152</v>
          </cell>
          <cell r="V375">
            <v>3.3522477314730152</v>
          </cell>
          <cell r="W375">
            <v>3.3522477314730152</v>
          </cell>
          <cell r="X375">
            <v>3.3522477314730152</v>
          </cell>
          <cell r="Y375">
            <v>3.3522477314730152</v>
          </cell>
          <cell r="Z375">
            <v>3.3522477314730152</v>
          </cell>
          <cell r="AA375">
            <v>3.3522477314730152</v>
          </cell>
          <cell r="AB375">
            <v>3.3522477314730152</v>
          </cell>
          <cell r="AC375">
            <v>3.3522477314730152</v>
          </cell>
          <cell r="AD375">
            <v>3.3522477314730152</v>
          </cell>
          <cell r="AE375">
            <v>3.3522477314730152</v>
          </cell>
          <cell r="AF375">
            <v>3.3522477314730152</v>
          </cell>
        </row>
        <row r="376">
          <cell r="A376" t="str">
            <v>Florida</v>
          </cell>
          <cell r="B376">
            <v>5.5610871333955698</v>
          </cell>
          <cell r="C376">
            <v>6.0065421823022502</v>
          </cell>
          <cell r="D376">
            <v>4.9591249041320324</v>
          </cell>
          <cell r="E376">
            <v>4.8610572958675649</v>
          </cell>
          <cell r="F376">
            <v>4.1534080910849731</v>
          </cell>
          <cell r="G376">
            <v>4.0531579641528639</v>
          </cell>
          <cell r="H376">
            <v>3.7321884235427576</v>
          </cell>
          <cell r="I376">
            <v>3.712872672743162</v>
          </cell>
          <cell r="J376">
            <v>3.8206412937481966</v>
          </cell>
          <cell r="K376">
            <v>4.2552604923654016</v>
          </cell>
          <cell r="L376">
            <v>3.7040298514788779</v>
          </cell>
          <cell r="M376">
            <v>3.8187466909629211</v>
          </cell>
          <cell r="N376">
            <v>3.60155587535675</v>
          </cell>
          <cell r="O376">
            <v>3.5729820765211158</v>
          </cell>
          <cell r="P376">
            <v>3.5419914272937323</v>
          </cell>
          <cell r="Q376">
            <v>3.5607070265462126</v>
          </cell>
          <cell r="R376">
            <v>3.438057759852136</v>
          </cell>
          <cell r="S376">
            <v>3.3627876569636368</v>
          </cell>
          <cell r="T376">
            <v>3.3627876569636368</v>
          </cell>
          <cell r="U376">
            <v>3.3627876569636368</v>
          </cell>
          <cell r="V376">
            <v>3.3627876569636368</v>
          </cell>
          <cell r="W376">
            <v>3.3627876569636368</v>
          </cell>
          <cell r="X376">
            <v>3.3627876569636368</v>
          </cell>
          <cell r="Y376">
            <v>3.3627876569636368</v>
          </cell>
          <cell r="Z376">
            <v>3.3627876569636368</v>
          </cell>
          <cell r="AA376">
            <v>3.3627876569636368</v>
          </cell>
          <cell r="AB376">
            <v>3.3627876569636368</v>
          </cell>
          <cell r="AC376">
            <v>3.3627876569636368</v>
          </cell>
          <cell r="AD376">
            <v>3.3627876569636368</v>
          </cell>
          <cell r="AE376">
            <v>3.3627876569636368</v>
          </cell>
          <cell r="AF376">
            <v>3.3627876569636368</v>
          </cell>
        </row>
        <row r="377">
          <cell r="A377" t="str">
            <v>Georgia</v>
          </cell>
          <cell r="B377">
            <v>5.8407198005841181</v>
          </cell>
          <cell r="C377">
            <v>5.217631506173201</v>
          </cell>
          <cell r="D377">
            <v>4.7466239386613482</v>
          </cell>
          <cell r="E377">
            <v>4.7342030654212479</v>
          </cell>
          <cell r="F377">
            <v>4.5045485034203896</v>
          </cell>
          <cell r="G377">
            <v>3.8928893724705773</v>
          </cell>
          <cell r="H377">
            <v>4.0072667330429113</v>
          </cell>
          <cell r="I377">
            <v>4.160165894729996</v>
          </cell>
          <cell r="J377">
            <v>3.6716199784322563</v>
          </cell>
          <cell r="K377">
            <v>4.3275194318245198</v>
          </cell>
          <cell r="L377">
            <v>3.4786024611362309</v>
          </cell>
          <cell r="M377">
            <v>3.6411940986803915</v>
          </cell>
          <cell r="N377">
            <v>3.5867907034068764</v>
          </cell>
          <cell r="O377">
            <v>3.545542171461916</v>
          </cell>
          <cell r="P377">
            <v>3.4472043007293909</v>
          </cell>
          <cell r="Q377">
            <v>3.4658193798445245</v>
          </cell>
          <cell r="R377">
            <v>3.5292462302393646</v>
          </cell>
          <cell r="S377">
            <v>3.4026979845836127</v>
          </cell>
          <cell r="T377">
            <v>3.4026979845836127</v>
          </cell>
          <cell r="U377">
            <v>3.4026979845836127</v>
          </cell>
          <cell r="V377">
            <v>3.4026979845836127</v>
          </cell>
          <cell r="W377">
            <v>3.4026979845836127</v>
          </cell>
          <cell r="X377">
            <v>3.4026979845836127</v>
          </cell>
          <cell r="Y377">
            <v>3.4026979845836127</v>
          </cell>
          <cell r="Z377">
            <v>3.4026979845836127</v>
          </cell>
          <cell r="AA377">
            <v>3.4026979845836127</v>
          </cell>
          <cell r="AB377">
            <v>3.4026979845836127</v>
          </cell>
          <cell r="AC377">
            <v>3.4026979845836127</v>
          </cell>
          <cell r="AD377">
            <v>3.4026979845836127</v>
          </cell>
          <cell r="AE377">
            <v>3.4026979845836127</v>
          </cell>
          <cell r="AF377">
            <v>3.4026979845836127</v>
          </cell>
        </row>
        <row r="378">
          <cell r="A378" t="str">
            <v>Hawaii</v>
          </cell>
          <cell r="B378">
            <v>6.0371284596808374</v>
          </cell>
          <cell r="C378">
            <v>5.3864860719411727</v>
          </cell>
          <cell r="D378">
            <v>5.22338892529429</v>
          </cell>
          <cell r="E378">
            <v>5.5594207623421621</v>
          </cell>
          <cell r="F378">
            <v>4.3500845109864805</v>
          </cell>
          <cell r="G378">
            <v>4.2150619705988035</v>
          </cell>
          <cell r="H378">
            <v>3.6568135894206328</v>
          </cell>
          <cell r="I378">
            <v>3.9414371317657122</v>
          </cell>
          <cell r="J378">
            <v>3.6874351169839583</v>
          </cell>
          <cell r="K378">
            <v>4.5547842987608957</v>
          </cell>
          <cell r="L378">
            <v>3.5663460367911521</v>
          </cell>
          <cell r="M378">
            <v>3.9305908435818382</v>
          </cell>
          <cell r="N378">
            <v>3.4980483615999116</v>
          </cell>
          <cell r="O378">
            <v>3.6663236004818058</v>
          </cell>
          <cell r="P378">
            <v>3.4363675670121938</v>
          </cell>
          <cell r="Q378">
            <v>3.6081508498970574</v>
          </cell>
          <cell r="R378">
            <v>3.4380577598521378</v>
          </cell>
          <cell r="S378">
            <v>3.4373778988972652</v>
          </cell>
          <cell r="T378">
            <v>3.4373778988972652</v>
          </cell>
          <cell r="U378">
            <v>3.4373778988972652</v>
          </cell>
          <cell r="V378">
            <v>3.4373778988972652</v>
          </cell>
          <cell r="W378">
            <v>3.4373778988972652</v>
          </cell>
          <cell r="X378">
            <v>3.4373778988972652</v>
          </cell>
          <cell r="Y378">
            <v>3.4373778988972652</v>
          </cell>
          <cell r="Z378">
            <v>3.4373778988972652</v>
          </cell>
          <cell r="AA378">
            <v>3.4373778988972652</v>
          </cell>
          <cell r="AB378">
            <v>3.4373778988972652</v>
          </cell>
          <cell r="AC378">
            <v>3.4373778988972652</v>
          </cell>
          <cell r="AD378">
            <v>3.4373778988972652</v>
          </cell>
          <cell r="AE378">
            <v>3.4373778988972652</v>
          </cell>
          <cell r="AF378">
            <v>3.4373778988972652</v>
          </cell>
        </row>
        <row r="379">
          <cell r="A379" t="str">
            <v>Idaho</v>
          </cell>
          <cell r="B379">
            <v>5.8657535822181428</v>
          </cell>
          <cell r="C379">
            <v>5.1360200569184711</v>
          </cell>
          <cell r="D379">
            <v>4.836625492260425</v>
          </cell>
          <cell r="E379">
            <v>4.6957841511529912</v>
          </cell>
          <cell r="F379">
            <v>4.3218079121336395</v>
          </cell>
          <cell r="G379">
            <v>4.0006708812395635</v>
          </cell>
          <cell r="H379">
            <v>3.7585430587884332</v>
          </cell>
          <cell r="I379">
            <v>3.7278299950638147</v>
          </cell>
          <cell r="J379">
            <v>3.6334499377438556</v>
          </cell>
          <cell r="K379">
            <v>3.6379573879681364</v>
          </cell>
          <cell r="L379">
            <v>3.6337396043610393</v>
          </cell>
          <cell r="M379">
            <v>3.6229979153889298</v>
          </cell>
          <cell r="N379">
            <v>3.5705466615460679</v>
          </cell>
          <cell r="O379">
            <v>3.6025205321850589</v>
          </cell>
          <cell r="P379">
            <v>3.5853114583891426</v>
          </cell>
          <cell r="Q379">
            <v>3.5439479246191352</v>
          </cell>
          <cell r="R379">
            <v>3.5383987936043217</v>
          </cell>
          <cell r="S379">
            <v>3.5127086964997574</v>
          </cell>
          <cell r="T379">
            <v>3.5127086964997574</v>
          </cell>
          <cell r="U379">
            <v>3.5127086964997574</v>
          </cell>
          <cell r="V379">
            <v>3.5127086964997574</v>
          </cell>
          <cell r="W379">
            <v>3.5127086964997574</v>
          </cell>
          <cell r="X379">
            <v>3.5127086964997574</v>
          </cell>
          <cell r="Y379">
            <v>3.5127086964997574</v>
          </cell>
          <cell r="Z379">
            <v>3.5127086964997574</v>
          </cell>
          <cell r="AA379">
            <v>3.5127086964997574</v>
          </cell>
          <cell r="AB379">
            <v>3.5127086964997574</v>
          </cell>
          <cell r="AC379">
            <v>3.5127086964997574</v>
          </cell>
          <cell r="AD379">
            <v>3.5127086964997574</v>
          </cell>
          <cell r="AE379">
            <v>3.5127086964997574</v>
          </cell>
          <cell r="AF379">
            <v>3.5127086964997574</v>
          </cell>
        </row>
        <row r="380">
          <cell r="A380" t="str">
            <v>Illinois</v>
          </cell>
          <cell r="B380">
            <v>5.8012018199676092</v>
          </cell>
          <cell r="C380">
            <v>5.2344645931460816</v>
          </cell>
          <cell r="D380">
            <v>4.8688200066639098</v>
          </cell>
          <cell r="E380">
            <v>4.7155757130487599</v>
          </cell>
          <cell r="F380">
            <v>4.3134699383867163</v>
          </cell>
          <cell r="G380">
            <v>4.0796149645388819</v>
          </cell>
          <cell r="H380">
            <v>3.7413897019432962</v>
          </cell>
          <cell r="I380">
            <v>3.7686164006926988</v>
          </cell>
          <cell r="J380">
            <v>3.6986443672396438</v>
          </cell>
          <cell r="K380">
            <v>3.6379573879681359</v>
          </cell>
          <cell r="L380">
            <v>3.6941974616471791</v>
          </cell>
          <cell r="M380">
            <v>3.6806191624785596</v>
          </cell>
          <cell r="N380">
            <v>3.5867907034068764</v>
          </cell>
          <cell r="O380">
            <v>3.572485427307742</v>
          </cell>
          <cell r="P380">
            <v>3.6281694083268761</v>
          </cell>
          <cell r="Q380">
            <v>3.5090081049150537</v>
          </cell>
          <cell r="R380">
            <v>3.5121288748326736</v>
          </cell>
          <cell r="S380">
            <v>3.4507618365144559</v>
          </cell>
          <cell r="T380">
            <v>3.4507618365144559</v>
          </cell>
          <cell r="U380">
            <v>3.4507618365144559</v>
          </cell>
          <cell r="V380">
            <v>3.4507618365144559</v>
          </cell>
          <cell r="W380">
            <v>3.4507618365144559</v>
          </cell>
          <cell r="X380">
            <v>3.4507618365144559</v>
          </cell>
          <cell r="Y380">
            <v>3.4507618365144559</v>
          </cell>
          <cell r="Z380">
            <v>3.4507618365144559</v>
          </cell>
          <cell r="AA380">
            <v>3.4507618365144559</v>
          </cell>
          <cell r="AB380">
            <v>3.4507618365144559</v>
          </cell>
          <cell r="AC380">
            <v>3.4507618365144559</v>
          </cell>
          <cell r="AD380">
            <v>3.4507618365144559</v>
          </cell>
          <cell r="AE380">
            <v>3.4507618365144559</v>
          </cell>
          <cell r="AF380">
            <v>3.4507618365144559</v>
          </cell>
        </row>
        <row r="381">
          <cell r="A381" t="str">
            <v>Indiana</v>
          </cell>
          <cell r="B381">
            <v>5.7194606500707428</v>
          </cell>
          <cell r="C381">
            <v>5.3874926565359154</v>
          </cell>
          <cell r="D381">
            <v>4.8439229155252166</v>
          </cell>
          <cell r="E381">
            <v>4.6957841511529912</v>
          </cell>
          <cell r="F381">
            <v>4.3617424179741704</v>
          </cell>
          <cell r="G381">
            <v>3.9668749844221698</v>
          </cell>
          <cell r="H381">
            <v>3.7585430587884314</v>
          </cell>
          <cell r="I381">
            <v>3.7278299950638147</v>
          </cell>
          <cell r="J381">
            <v>3.751103474924574</v>
          </cell>
          <cell r="K381">
            <v>3.651887934308669</v>
          </cell>
          <cell r="L381">
            <v>3.8250286158033941</v>
          </cell>
          <cell r="M381">
            <v>3.7487169999481238</v>
          </cell>
          <cell r="N381">
            <v>3.5631309033052641</v>
          </cell>
          <cell r="O381">
            <v>3.5455421714619173</v>
          </cell>
          <cell r="P381">
            <v>3.6397342519608675</v>
          </cell>
          <cell r="Q381">
            <v>3.4479281238027348</v>
          </cell>
          <cell r="R381">
            <v>3.5470708279814374</v>
          </cell>
          <cell r="S381">
            <v>3.5060107671512504</v>
          </cell>
          <cell r="T381">
            <v>3.5060107671512504</v>
          </cell>
          <cell r="U381">
            <v>3.5060107671512504</v>
          </cell>
          <cell r="V381">
            <v>3.5060107671512504</v>
          </cell>
          <cell r="W381">
            <v>3.5060107671512504</v>
          </cell>
          <cell r="X381">
            <v>3.5060107671512504</v>
          </cell>
          <cell r="Y381">
            <v>3.5060107671512504</v>
          </cell>
          <cell r="Z381">
            <v>3.5060107671512504</v>
          </cell>
          <cell r="AA381">
            <v>3.5060107671512504</v>
          </cell>
          <cell r="AB381">
            <v>3.5060107671512504</v>
          </cell>
          <cell r="AC381">
            <v>3.5060107671512504</v>
          </cell>
          <cell r="AD381">
            <v>3.5060107671512504</v>
          </cell>
          <cell r="AE381">
            <v>3.5060107671512504</v>
          </cell>
          <cell r="AF381">
            <v>3.5060107671512504</v>
          </cell>
        </row>
        <row r="382">
          <cell r="A382" t="str">
            <v>Iowa</v>
          </cell>
          <cell r="B382">
            <v>5.6917997795740849</v>
          </cell>
          <cell r="C382">
            <v>5.3099465520769069</v>
          </cell>
          <cell r="D382">
            <v>4.9192190555755477</v>
          </cell>
          <cell r="E382">
            <v>4.6884457068545595</v>
          </cell>
          <cell r="F382">
            <v>4.2985159637319077</v>
          </cell>
          <cell r="G382">
            <v>3.9969570464244661</v>
          </cell>
          <cell r="H382">
            <v>3.7640702515496414</v>
          </cell>
          <cell r="I382">
            <v>3.6845964050971958</v>
          </cell>
          <cell r="J382">
            <v>3.6716199784322563</v>
          </cell>
          <cell r="K382">
            <v>3.6289435050419088</v>
          </cell>
          <cell r="L382">
            <v>3.6284300978549502</v>
          </cell>
          <cell r="M382">
            <v>3.6693548585362268</v>
          </cell>
          <cell r="N382">
            <v>3.6027958622991432</v>
          </cell>
          <cell r="O382">
            <v>3.5083407035279994</v>
          </cell>
          <cell r="P382">
            <v>3.669523570547494</v>
          </cell>
          <cell r="Q382">
            <v>3.5526125497953478</v>
          </cell>
          <cell r="R382">
            <v>3.4985074354695964</v>
          </cell>
          <cell r="S382">
            <v>3.5117727825893805</v>
          </cell>
          <cell r="T382">
            <v>3.5117727825893805</v>
          </cell>
          <cell r="U382">
            <v>3.5117727825893805</v>
          </cell>
          <cell r="V382">
            <v>3.5117727825893805</v>
          </cell>
          <cell r="W382">
            <v>3.5117727825893805</v>
          </cell>
          <cell r="X382">
            <v>3.5117727825893805</v>
          </cell>
          <cell r="Y382">
            <v>3.5117727825893805</v>
          </cell>
          <cell r="Z382">
            <v>3.5117727825893805</v>
          </cell>
          <cell r="AA382">
            <v>3.5117727825893805</v>
          </cell>
          <cell r="AB382">
            <v>3.5117727825893805</v>
          </cell>
          <cell r="AC382">
            <v>3.5117727825893805</v>
          </cell>
          <cell r="AD382">
            <v>3.5117727825893805</v>
          </cell>
          <cell r="AE382">
            <v>3.5117727825893805</v>
          </cell>
          <cell r="AF382">
            <v>3.5117727825893805</v>
          </cell>
        </row>
        <row r="383">
          <cell r="A383" t="str">
            <v>Kansas</v>
          </cell>
          <cell r="B383">
            <v>5.6755866715502501</v>
          </cell>
          <cell r="C383">
            <v>5.2537372579411219</v>
          </cell>
          <cell r="D383">
            <v>4.8214693054797086</v>
          </cell>
          <cell r="E383">
            <v>4.6340462938960432</v>
          </cell>
          <cell r="F383">
            <v>4.3157628811671191</v>
          </cell>
          <cell r="G383">
            <v>3.9818655332489628</v>
          </cell>
          <cell r="H383">
            <v>3.7202778781338965</v>
          </cell>
          <cell r="I383">
            <v>3.725882536056309</v>
          </cell>
          <cell r="J383">
            <v>3.6431132391839576</v>
          </cell>
          <cell r="K383">
            <v>3.6826512241440139</v>
          </cell>
          <cell r="L383">
            <v>3.6193001829886633</v>
          </cell>
          <cell r="M383">
            <v>3.6218838633506767</v>
          </cell>
          <cell r="N383">
            <v>3.5695835760602499</v>
          </cell>
          <cell r="O383">
            <v>3.620538242979209</v>
          </cell>
          <cell r="P383">
            <v>3.5300108778243273</v>
          </cell>
          <cell r="Q383">
            <v>3.539308219563579</v>
          </cell>
          <cell r="R383">
            <v>3.4787964114500856</v>
          </cell>
          <cell r="S383">
            <v>3.4626531786967911</v>
          </cell>
          <cell r="T383">
            <v>3.4626531786967911</v>
          </cell>
          <cell r="U383">
            <v>3.4626531786967911</v>
          </cell>
          <cell r="V383">
            <v>3.4626531786967911</v>
          </cell>
          <cell r="W383">
            <v>3.4626531786967911</v>
          </cell>
          <cell r="X383">
            <v>3.4626531786967911</v>
          </cell>
          <cell r="Y383">
            <v>3.4626531786967911</v>
          </cell>
          <cell r="Z383">
            <v>3.4626531786967911</v>
          </cell>
          <cell r="AA383">
            <v>3.4626531786967911</v>
          </cell>
          <cell r="AB383">
            <v>3.4626531786967911</v>
          </cell>
          <cell r="AC383">
            <v>3.4626531786967911</v>
          </cell>
          <cell r="AD383">
            <v>3.4626531786967911</v>
          </cell>
          <cell r="AE383">
            <v>3.4626531786967911</v>
          </cell>
          <cell r="AF383">
            <v>3.4626531786967911</v>
          </cell>
        </row>
        <row r="384">
          <cell r="A384" t="str">
            <v>Kentucky</v>
          </cell>
          <cell r="B384">
            <v>5.907299007057583</v>
          </cell>
          <cell r="C384">
            <v>5.0574767072597853</v>
          </cell>
          <cell r="D384">
            <v>4.8147332224660548</v>
          </cell>
          <cell r="E384">
            <v>4.6957841511529912</v>
          </cell>
          <cell r="F384">
            <v>4.2561463688766148</v>
          </cell>
          <cell r="G384">
            <v>3.9915368550727011</v>
          </cell>
          <cell r="H384">
            <v>4.0570114678938083</v>
          </cell>
          <cell r="I384">
            <v>3.8359139699803602</v>
          </cell>
          <cell r="J384">
            <v>3.6716199784322563</v>
          </cell>
          <cell r="K384">
            <v>3.7911933977139989</v>
          </cell>
          <cell r="L384">
            <v>3.6702424615904059</v>
          </cell>
          <cell r="M384">
            <v>3.4933501094372614</v>
          </cell>
          <cell r="N384">
            <v>3.7681825041858961</v>
          </cell>
          <cell r="O384">
            <v>3.8351821718045591</v>
          </cell>
          <cell r="P384">
            <v>3.5853114583891426</v>
          </cell>
          <cell r="Q384">
            <v>3.5348894528440029</v>
          </cell>
          <cell r="R384">
            <v>3.3123477641742074</v>
          </cell>
          <cell r="S384">
            <v>3.3285156394158024</v>
          </cell>
          <cell r="T384">
            <v>3.3285156394158024</v>
          </cell>
          <cell r="U384">
            <v>3.3285156394158024</v>
          </cell>
          <cell r="V384">
            <v>3.3285156394158024</v>
          </cell>
          <cell r="W384">
            <v>3.3285156394158024</v>
          </cell>
          <cell r="X384">
            <v>3.3285156394158024</v>
          </cell>
          <cell r="Y384">
            <v>3.3285156394158024</v>
          </cell>
          <cell r="Z384">
            <v>3.3285156394158024</v>
          </cell>
          <cell r="AA384">
            <v>3.3285156394158024</v>
          </cell>
          <cell r="AB384">
            <v>3.3285156394158024</v>
          </cell>
          <cell r="AC384">
            <v>3.3285156394158024</v>
          </cell>
          <cell r="AD384">
            <v>3.3285156394158024</v>
          </cell>
          <cell r="AE384">
            <v>3.3285156394158024</v>
          </cell>
          <cell r="AF384">
            <v>3.3285156394158024</v>
          </cell>
        </row>
        <row r="385">
          <cell r="A385" t="str">
            <v>Louisiana</v>
          </cell>
          <cell r="B385">
            <v>5.7341930702265751</v>
          </cell>
          <cell r="C385">
            <v>5.42523957883874</v>
          </cell>
          <cell r="D385">
            <v>4.7466239386613482</v>
          </cell>
          <cell r="E385">
            <v>5.2182813852012675</v>
          </cell>
          <cell r="F385">
            <v>4.6191956424405936</v>
          </cell>
          <cell r="G385">
            <v>3.7942418898684562</v>
          </cell>
          <cell r="H385">
            <v>4.0901746244610715</v>
          </cell>
          <cell r="I385">
            <v>3.7278299950638147</v>
          </cell>
          <cell r="J385">
            <v>4.572432938678519</v>
          </cell>
          <cell r="K385">
            <v>3.3855595518953261</v>
          </cell>
          <cell r="L385">
            <v>3.654604892360207</v>
          </cell>
          <cell r="M385">
            <v>3.7792611708660417</v>
          </cell>
          <cell r="N385">
            <v>3.6030706194605102</v>
          </cell>
          <cell r="O385">
            <v>3.5729820765211167</v>
          </cell>
          <cell r="P385">
            <v>3.4697224702589962</v>
          </cell>
          <cell r="Q385">
            <v>3.5322407325357057</v>
          </cell>
          <cell r="R385">
            <v>3.4642698302873312</v>
          </cell>
          <cell r="S385">
            <v>3.4684571663696104</v>
          </cell>
          <cell r="T385">
            <v>3.4684571663696104</v>
          </cell>
          <cell r="U385">
            <v>3.4684571663696104</v>
          </cell>
          <cell r="V385">
            <v>3.4684571663696104</v>
          </cell>
          <cell r="W385">
            <v>3.4684571663696104</v>
          </cell>
          <cell r="X385">
            <v>3.4684571663696104</v>
          </cell>
          <cell r="Y385">
            <v>3.4684571663696104</v>
          </cell>
          <cell r="Z385">
            <v>3.4684571663696104</v>
          </cell>
          <cell r="AA385">
            <v>3.4684571663696104</v>
          </cell>
          <cell r="AB385">
            <v>3.4684571663696104</v>
          </cell>
          <cell r="AC385">
            <v>3.4684571663696104</v>
          </cell>
          <cell r="AD385">
            <v>3.4684571663696104</v>
          </cell>
          <cell r="AE385">
            <v>3.4684571663696104</v>
          </cell>
          <cell r="AF385">
            <v>3.4684571663696104</v>
          </cell>
        </row>
        <row r="386">
          <cell r="A386" t="str">
            <v>Maine</v>
          </cell>
          <cell r="B386">
            <v>5.5187723488368796</v>
          </cell>
          <cell r="C386">
            <v>5.3763512262433064</v>
          </cell>
          <cell r="D386">
            <v>5.0150385121521115</v>
          </cell>
          <cell r="E386">
            <v>5.3520941082325155</v>
          </cell>
          <cell r="F386">
            <v>4.1471887846520756</v>
          </cell>
          <cell r="G386">
            <v>4.3837119773133262</v>
          </cell>
          <cell r="H386">
            <v>3.6002824638290378</v>
          </cell>
          <cell r="I386">
            <v>3.7978942347950282</v>
          </cell>
          <cell r="J386">
            <v>3.94052685283601</v>
          </cell>
          <cell r="K386">
            <v>4.2828761624586029</v>
          </cell>
          <cell r="L386">
            <v>3.5518530036661291</v>
          </cell>
          <cell r="M386">
            <v>3.8187466909629215</v>
          </cell>
          <cell r="N386">
            <v>3.6015558753567505</v>
          </cell>
          <cell r="O386">
            <v>3.5729820765211171</v>
          </cell>
          <cell r="P386">
            <v>3.4363675670121938</v>
          </cell>
          <cell r="Q386">
            <v>3.5607070265462126</v>
          </cell>
          <cell r="R386">
            <v>3.3550528701406863</v>
          </cell>
          <cell r="S386">
            <v>3.6860120386760267</v>
          </cell>
          <cell r="T386">
            <v>3.6860120386760267</v>
          </cell>
          <cell r="U386">
            <v>3.6860120386760267</v>
          </cell>
          <cell r="V386">
            <v>3.6860120386760267</v>
          </cell>
          <cell r="W386">
            <v>3.6860120386760267</v>
          </cell>
          <cell r="X386">
            <v>3.6860120386760267</v>
          </cell>
          <cell r="Y386">
            <v>3.6860120386760267</v>
          </cell>
          <cell r="Z386">
            <v>3.6860120386760267</v>
          </cell>
          <cell r="AA386">
            <v>3.6860120386760267</v>
          </cell>
          <cell r="AB386">
            <v>3.6860120386760267</v>
          </cell>
          <cell r="AC386">
            <v>3.6860120386760267</v>
          </cell>
          <cell r="AD386">
            <v>3.6860120386760267</v>
          </cell>
          <cell r="AE386">
            <v>3.6860120386760267</v>
          </cell>
          <cell r="AF386">
            <v>3.6860120386760267</v>
          </cell>
        </row>
        <row r="387">
          <cell r="A387" t="str">
            <v>Maryland</v>
          </cell>
          <cell r="B387">
            <v>5.7341930702265769</v>
          </cell>
          <cell r="C387">
            <v>5.1761098916400936</v>
          </cell>
          <cell r="D387">
            <v>4.8555987927488786</v>
          </cell>
          <cell r="E387">
            <v>4.6189463226164804</v>
          </cell>
          <cell r="F387">
            <v>4.2879927963822242</v>
          </cell>
          <cell r="G387">
            <v>3.9422131137716399</v>
          </cell>
          <cell r="H387">
            <v>3.8463278849958948</v>
          </cell>
          <cell r="I387">
            <v>3.9636495766999138</v>
          </cell>
          <cell r="J387">
            <v>3.5515115837327547</v>
          </cell>
          <cell r="K387">
            <v>3.7086817001585346</v>
          </cell>
          <cell r="L387">
            <v>3.534967167152165</v>
          </cell>
          <cell r="M387">
            <v>4.0551572685611577</v>
          </cell>
          <cell r="N387">
            <v>3.4612117644060159</v>
          </cell>
          <cell r="O387">
            <v>3.5455421714619164</v>
          </cell>
          <cell r="P387">
            <v>3.6892095188442533</v>
          </cell>
          <cell r="Q387">
            <v>3.4895970939683427</v>
          </cell>
          <cell r="R387">
            <v>3.4985074354695973</v>
          </cell>
          <cell r="S387">
            <v>3.5988543724282529</v>
          </cell>
          <cell r="T387">
            <v>3.5988543724282529</v>
          </cell>
          <cell r="U387">
            <v>3.5988543724282529</v>
          </cell>
          <cell r="V387">
            <v>3.5988543724282529</v>
          </cell>
          <cell r="W387">
            <v>3.5988543724282529</v>
          </cell>
          <cell r="X387">
            <v>3.5988543724282529</v>
          </cell>
          <cell r="Y387">
            <v>3.5988543724282529</v>
          </cell>
          <cell r="Z387">
            <v>3.5988543724282529</v>
          </cell>
          <cell r="AA387">
            <v>3.5988543724282529</v>
          </cell>
          <cell r="AB387">
            <v>3.5988543724282529</v>
          </cell>
          <cell r="AC387">
            <v>3.5988543724282529</v>
          </cell>
          <cell r="AD387">
            <v>3.5988543724282529</v>
          </cell>
          <cell r="AE387">
            <v>3.5988543724282529</v>
          </cell>
          <cell r="AF387">
            <v>3.5988543724282529</v>
          </cell>
        </row>
        <row r="388">
          <cell r="A388" t="str">
            <v>Massachusetts</v>
          </cell>
          <cell r="B388">
            <v>5.7721802063644914</v>
          </cell>
          <cell r="C388">
            <v>5.4761370418148072</v>
          </cell>
          <cell r="D388">
            <v>5.0150385121521115</v>
          </cell>
          <cell r="E388">
            <v>5.1338555249592037</v>
          </cell>
          <cell r="F388">
            <v>4.1179580444174588</v>
          </cell>
          <cell r="G388">
            <v>3.9705194608627488</v>
          </cell>
          <cell r="H388">
            <v>3.6850791522164301</v>
          </cell>
          <cell r="I388">
            <v>4.0490943044937255</v>
          </cell>
          <cell r="J388">
            <v>4.0204505588945532</v>
          </cell>
          <cell r="K388">
            <v>4.4749851718026123</v>
          </cell>
          <cell r="L388">
            <v>3.4286622221034264</v>
          </cell>
          <cell r="M388">
            <v>3.8571931184256747</v>
          </cell>
          <cell r="N388">
            <v>3.6636603836108552</v>
          </cell>
          <cell r="O388">
            <v>3.4863078042719038</v>
          </cell>
          <cell r="P388">
            <v>3.4759765146177717</v>
          </cell>
          <cell r="Q388">
            <v>3.7201182730050499</v>
          </cell>
          <cell r="R388">
            <v>3.438057759852136</v>
          </cell>
          <cell r="S388">
            <v>3.3829891808206614</v>
          </cell>
          <cell r="T388">
            <v>3.3829891808206614</v>
          </cell>
          <cell r="U388">
            <v>3.3829891808206614</v>
          </cell>
          <cell r="V388">
            <v>3.3829891808206614</v>
          </cell>
          <cell r="W388">
            <v>3.3829891808206614</v>
          </cell>
          <cell r="X388">
            <v>3.3829891808206614</v>
          </cell>
          <cell r="Y388">
            <v>3.3829891808206614</v>
          </cell>
          <cell r="Z388">
            <v>3.3829891808206614</v>
          </cell>
          <cell r="AA388">
            <v>3.3829891808206614</v>
          </cell>
          <cell r="AB388">
            <v>3.3829891808206614</v>
          </cell>
          <cell r="AC388">
            <v>3.3829891808206614</v>
          </cell>
          <cell r="AD388">
            <v>3.3829891808206614</v>
          </cell>
          <cell r="AE388">
            <v>3.3829891808206614</v>
          </cell>
          <cell r="AF388">
            <v>3.3829891808206614</v>
          </cell>
        </row>
        <row r="389">
          <cell r="A389" t="str">
            <v>Michigan</v>
          </cell>
          <cell r="B389">
            <v>5.7027192635300299</v>
          </cell>
          <cell r="C389">
            <v>5.3133117483581902</v>
          </cell>
          <cell r="D389">
            <v>4.8731126085843748</v>
          </cell>
          <cell r="E389">
            <v>4.6660968083093399</v>
          </cell>
          <cell r="F389">
            <v>4.3032790815849191</v>
          </cell>
          <cell r="G389">
            <v>4.0267680988591721</v>
          </cell>
          <cell r="H389">
            <v>3.7834154262138799</v>
          </cell>
          <cell r="I389">
            <v>3.7278299950638147</v>
          </cell>
          <cell r="J389">
            <v>3.6716199784322558</v>
          </cell>
          <cell r="K389">
            <v>3.6379573879681391</v>
          </cell>
          <cell r="L389">
            <v>3.6702424615904059</v>
          </cell>
          <cell r="M389">
            <v>3.6723191490473672</v>
          </cell>
          <cell r="N389">
            <v>3.5867907034068769</v>
          </cell>
          <cell r="O389">
            <v>3.5777243937222107</v>
          </cell>
          <cell r="P389">
            <v>3.5036772680315571</v>
          </cell>
          <cell r="Q389">
            <v>3.5921008535290477</v>
          </cell>
          <cell r="R389">
            <v>3.498507435469596</v>
          </cell>
          <cell r="S389">
            <v>3.530196916425091</v>
          </cell>
          <cell r="T389">
            <v>3.530196916425091</v>
          </cell>
          <cell r="U389">
            <v>3.530196916425091</v>
          </cell>
          <cell r="V389">
            <v>3.530196916425091</v>
          </cell>
          <cell r="W389">
            <v>3.530196916425091</v>
          </cell>
          <cell r="X389">
            <v>3.530196916425091</v>
          </cell>
          <cell r="Y389">
            <v>3.530196916425091</v>
          </cell>
          <cell r="Z389">
            <v>3.530196916425091</v>
          </cell>
          <cell r="AA389">
            <v>3.530196916425091</v>
          </cell>
          <cell r="AB389">
            <v>3.530196916425091</v>
          </cell>
          <cell r="AC389">
            <v>3.530196916425091</v>
          </cell>
          <cell r="AD389">
            <v>3.530196916425091</v>
          </cell>
          <cell r="AE389">
            <v>3.530196916425091</v>
          </cell>
          <cell r="AF389">
            <v>3.530196916425091</v>
          </cell>
        </row>
        <row r="390">
          <cell r="A390" t="str">
            <v>Minnesota</v>
          </cell>
          <cell r="B390">
            <v>5.7572738618040438</v>
          </cell>
          <cell r="C390">
            <v>5.2640380165337328</v>
          </cell>
          <cell r="D390">
            <v>4.8740542115862819</v>
          </cell>
          <cell r="E390">
            <v>4.6562010273614556</v>
          </cell>
          <cell r="F390">
            <v>4.3278008307642422</v>
          </cell>
          <cell r="G390">
            <v>4.0244193492734084</v>
          </cell>
          <cell r="H390">
            <v>3.720277878133897</v>
          </cell>
          <cell r="I390">
            <v>3.78850871782398</v>
          </cell>
          <cell r="J390">
            <v>3.705612920328341</v>
          </cell>
          <cell r="K390">
            <v>3.6294442763155899</v>
          </cell>
          <cell r="L390">
            <v>3.6399835141502734</v>
          </cell>
          <cell r="M390">
            <v>3.63099796149121</v>
          </cell>
          <cell r="N390">
            <v>3.5963376402899825</v>
          </cell>
          <cell r="O390">
            <v>3.5165781714276521</v>
          </cell>
          <cell r="P390">
            <v>3.5668779315342056</v>
          </cell>
          <cell r="Q390">
            <v>3.5723727843273072</v>
          </cell>
          <cell r="R390">
            <v>3.4985074354695964</v>
          </cell>
          <cell r="S390">
            <v>3.4892433461775911</v>
          </cell>
          <cell r="T390">
            <v>3.4892433461775911</v>
          </cell>
          <cell r="U390">
            <v>3.4892433461775911</v>
          </cell>
          <cell r="V390">
            <v>3.4892433461775911</v>
          </cell>
          <cell r="W390">
            <v>3.4892433461775911</v>
          </cell>
          <cell r="X390">
            <v>3.4892433461775911</v>
          </cell>
          <cell r="Y390">
            <v>3.4892433461775911</v>
          </cell>
          <cell r="Z390">
            <v>3.4892433461775911</v>
          </cell>
          <cell r="AA390">
            <v>3.4892433461775911</v>
          </cell>
          <cell r="AB390">
            <v>3.4892433461775911</v>
          </cell>
          <cell r="AC390">
            <v>3.4892433461775911</v>
          </cell>
          <cell r="AD390">
            <v>3.4892433461775911</v>
          </cell>
          <cell r="AE390">
            <v>3.4892433461775911</v>
          </cell>
          <cell r="AF390">
            <v>3.4892433461775911</v>
          </cell>
        </row>
        <row r="391">
          <cell r="A391" t="str">
            <v>Mississippi</v>
          </cell>
          <cell r="B391">
            <v>6.0804049438885865</v>
          </cell>
          <cell r="C391">
            <v>5.268380146158111</v>
          </cell>
          <cell r="D391">
            <v>4.8147332224660548</v>
          </cell>
          <cell r="E391">
            <v>4.630471996896957</v>
          </cell>
          <cell r="F391">
            <v>4.7720584944675331</v>
          </cell>
          <cell r="G391">
            <v>4.1148462083253543</v>
          </cell>
          <cell r="H391">
            <v>3.7585430587884323</v>
          </cell>
          <cell r="I391">
            <v>3.7278299950638143</v>
          </cell>
          <cell r="J391">
            <v>3.8217554718066324</v>
          </cell>
          <cell r="K391">
            <v>3.5004543577456833</v>
          </cell>
          <cell r="L391">
            <v>3.8212235158863983</v>
          </cell>
          <cell r="M391">
            <v>3.6232191455809226</v>
          </cell>
          <cell r="N391">
            <v>3.5727757373853368</v>
          </cell>
          <cell r="O391">
            <v>3.5804724457278381</v>
          </cell>
          <cell r="P391">
            <v>3.4701672023022874</v>
          </cell>
          <cell r="Q391">
            <v>3.4711501465131587</v>
          </cell>
          <cell r="R391">
            <v>3.5556480202766934</v>
          </cell>
          <cell r="S391">
            <v>3.4166583872490346</v>
          </cell>
          <cell r="T391">
            <v>3.4166583872490346</v>
          </cell>
          <cell r="U391">
            <v>3.4166583872490346</v>
          </cell>
          <cell r="V391">
            <v>3.4166583872490346</v>
          </cell>
          <cell r="W391">
            <v>3.4166583872490346</v>
          </cell>
          <cell r="X391">
            <v>3.4166583872490346</v>
          </cell>
          <cell r="Y391">
            <v>3.4166583872490346</v>
          </cell>
          <cell r="Z391">
            <v>3.4166583872490346</v>
          </cell>
          <cell r="AA391">
            <v>3.4166583872490346</v>
          </cell>
          <cell r="AB391">
            <v>3.4166583872490346</v>
          </cell>
          <cell r="AC391">
            <v>3.4166583872490346</v>
          </cell>
          <cell r="AD391">
            <v>3.4166583872490346</v>
          </cell>
          <cell r="AE391">
            <v>3.4166583872490346</v>
          </cell>
          <cell r="AF391">
            <v>3.4166583872490346</v>
          </cell>
        </row>
        <row r="392">
          <cell r="A392" t="str">
            <v>Missouri</v>
          </cell>
          <cell r="B392">
            <v>5.7726610561890235</v>
          </cell>
          <cell r="C392">
            <v>5.2472898022682761</v>
          </cell>
          <cell r="D392">
            <v>4.9168971481731152</v>
          </cell>
          <cell r="E392">
            <v>4.6024810736443706</v>
          </cell>
          <cell r="F392">
            <v>4.256146368876613</v>
          </cell>
          <cell r="G392">
            <v>4.3438492929374242</v>
          </cell>
          <cell r="H392">
            <v>3.6093088542357448</v>
          </cell>
          <cell r="I392">
            <v>3.7505845160988769</v>
          </cell>
          <cell r="J392">
            <v>3.6490996544260992</v>
          </cell>
          <cell r="K392">
            <v>3.616066529433013</v>
          </cell>
          <cell r="L392">
            <v>3.6989884616585327</v>
          </cell>
          <cell r="M392">
            <v>3.7455545616755432</v>
          </cell>
          <cell r="N392">
            <v>3.7033997181933889</v>
          </cell>
          <cell r="O392">
            <v>3.5455421714619173</v>
          </cell>
          <cell r="P392">
            <v>3.62926833012015</v>
          </cell>
          <cell r="Q392">
            <v>3.4960674309505793</v>
          </cell>
          <cell r="R392">
            <v>3.4985074354695964</v>
          </cell>
          <cell r="S392">
            <v>3.4386536417542088</v>
          </cell>
          <cell r="T392">
            <v>3.4386536417542088</v>
          </cell>
          <cell r="U392">
            <v>3.4386536417542088</v>
          </cell>
          <cell r="V392">
            <v>3.4386536417542088</v>
          </cell>
          <cell r="W392">
            <v>3.4386536417542088</v>
          </cell>
          <cell r="X392">
            <v>3.4386536417542088</v>
          </cell>
          <cell r="Y392">
            <v>3.4386536417542088</v>
          </cell>
          <cell r="Z392">
            <v>3.4386536417542088</v>
          </cell>
          <cell r="AA392">
            <v>3.4386536417542088</v>
          </cell>
          <cell r="AB392">
            <v>3.4386536417542088</v>
          </cell>
          <cell r="AC392">
            <v>3.4386536417542088</v>
          </cell>
          <cell r="AD392">
            <v>3.4386536417542088</v>
          </cell>
          <cell r="AE392">
            <v>3.4386536417542088</v>
          </cell>
          <cell r="AF392">
            <v>3.4386536417542088</v>
          </cell>
        </row>
        <row r="393">
          <cell r="A393" t="str">
            <v>Montana</v>
          </cell>
          <cell r="B393">
            <v>5.8207460386420777</v>
          </cell>
          <cell r="C393">
            <v>5.2683801461581119</v>
          </cell>
          <cell r="D393">
            <v>4.8147332224660557</v>
          </cell>
          <cell r="E393">
            <v>4.8264084596650596</v>
          </cell>
          <cell r="F393">
            <v>4.1675553978155477</v>
          </cell>
          <cell r="G393">
            <v>4.0408605963737623</v>
          </cell>
          <cell r="H393">
            <v>3.7348550898118149</v>
          </cell>
          <cell r="I393">
            <v>3.8295560891029168</v>
          </cell>
          <cell r="J393">
            <v>3.6997703834399518</v>
          </cell>
          <cell r="K393">
            <v>3.703629963573507</v>
          </cell>
          <cell r="L393">
            <v>3.6702424615904059</v>
          </cell>
          <cell r="M393">
            <v>3.7397567581758127</v>
          </cell>
          <cell r="N393">
            <v>3.5090513602158668</v>
          </cell>
          <cell r="O393">
            <v>3.5455421714619173</v>
          </cell>
          <cell r="P393">
            <v>3.5853114583891434</v>
          </cell>
          <cell r="Q393">
            <v>3.6254741705953237</v>
          </cell>
          <cell r="R393">
            <v>3.5492782549137938</v>
          </cell>
          <cell r="S393">
            <v>3.4787038244227206</v>
          </cell>
          <cell r="T393">
            <v>3.4787038244227206</v>
          </cell>
          <cell r="U393">
            <v>3.4787038244227206</v>
          </cell>
          <cell r="V393">
            <v>3.4787038244227206</v>
          </cell>
          <cell r="W393">
            <v>3.4787038244227206</v>
          </cell>
          <cell r="X393">
            <v>3.4787038244227206</v>
          </cell>
          <cell r="Y393">
            <v>3.4787038244227206</v>
          </cell>
          <cell r="Z393">
            <v>3.4787038244227206</v>
          </cell>
          <cell r="AA393">
            <v>3.4787038244227206</v>
          </cell>
          <cell r="AB393">
            <v>3.4787038244227206</v>
          </cell>
          <cell r="AC393">
            <v>3.4787038244227206</v>
          </cell>
          <cell r="AD393">
            <v>3.4787038244227206</v>
          </cell>
          <cell r="AE393">
            <v>3.4787038244227206</v>
          </cell>
          <cell r="AF393">
            <v>3.4787038244227206</v>
          </cell>
        </row>
        <row r="394">
          <cell r="A394" t="str">
            <v>Nebraska</v>
          </cell>
          <cell r="B394">
            <v>5.6972189866316052</v>
          </cell>
          <cell r="C394">
            <v>5.2860960350255697</v>
          </cell>
          <cell r="D394">
            <v>4.8948215260354067</v>
          </cell>
          <cell r="E394">
            <v>4.6528559746466795</v>
          </cell>
          <cell r="F394">
            <v>4.3178167493448285</v>
          </cell>
          <cell r="G394">
            <v>4.0347586902334234</v>
          </cell>
          <cell r="H394">
            <v>3.7364887428446845</v>
          </cell>
          <cell r="I394">
            <v>3.6908282739212135</v>
          </cell>
          <cell r="J394">
            <v>3.6559536660801477</v>
          </cell>
          <cell r="K394">
            <v>3.6481731219511948</v>
          </cell>
          <cell r="L394">
            <v>3.6233102165812205</v>
          </cell>
          <cell r="M394">
            <v>3.6180028846814687</v>
          </cell>
          <cell r="N394">
            <v>3.6208016660529427</v>
          </cell>
          <cell r="O394">
            <v>3.5707282584482338</v>
          </cell>
          <cell r="P394">
            <v>3.5503253768073204</v>
          </cell>
          <cell r="Q394">
            <v>3.5304885758682301</v>
          </cell>
          <cell r="R394">
            <v>3.4705834847752888</v>
          </cell>
          <cell r="S394">
            <v>3.4564537229402146</v>
          </cell>
          <cell r="T394">
            <v>3.4564537229402146</v>
          </cell>
          <cell r="U394">
            <v>3.4564537229402146</v>
          </cell>
          <cell r="V394">
            <v>3.4564537229402146</v>
          </cell>
          <cell r="W394">
            <v>3.4564537229402146</v>
          </cell>
          <cell r="X394">
            <v>3.4564537229402146</v>
          </cell>
          <cell r="Y394">
            <v>3.4564537229402146</v>
          </cell>
          <cell r="Z394">
            <v>3.4564537229402146</v>
          </cell>
          <cell r="AA394">
            <v>3.4564537229402146</v>
          </cell>
          <cell r="AB394">
            <v>3.4564537229402146</v>
          </cell>
          <cell r="AC394">
            <v>3.4564537229402146</v>
          </cell>
          <cell r="AD394">
            <v>3.4564537229402146</v>
          </cell>
          <cell r="AE394">
            <v>3.4564537229402146</v>
          </cell>
          <cell r="AF394">
            <v>3.4564537229402146</v>
          </cell>
        </row>
        <row r="395">
          <cell r="A395" t="str">
            <v>Nevada</v>
          </cell>
          <cell r="B395">
            <v>5.7589224897738625</v>
          </cell>
          <cell r="C395">
            <v>5.0912212574835181</v>
          </cell>
          <cell r="D395">
            <v>4.8147332224660557</v>
          </cell>
          <cell r="E395">
            <v>4.7774243439730348</v>
          </cell>
          <cell r="F395">
            <v>4.5886230720352046</v>
          </cell>
          <cell r="G395">
            <v>3.9915368550727006</v>
          </cell>
          <cell r="H395">
            <v>3.8263767881305624</v>
          </cell>
          <cell r="I395">
            <v>3.6759496871038735</v>
          </cell>
          <cell r="J395">
            <v>3.6903869151040531</v>
          </cell>
          <cell r="K395">
            <v>3.8678114025869315</v>
          </cell>
          <cell r="L395">
            <v>3.5333567469802802</v>
          </cell>
          <cell r="M395">
            <v>3.54657394556479</v>
          </cell>
          <cell r="N395">
            <v>3.722834553991142</v>
          </cell>
          <cell r="O395">
            <v>3.6903621716332378</v>
          </cell>
          <cell r="P395">
            <v>3.7171820735821668</v>
          </cell>
          <cell r="Q395">
            <v>3.6979419447963799</v>
          </cell>
          <cell r="R395">
            <v>3.6381271889411382</v>
          </cell>
          <cell r="S395">
            <v>3.4787038244227202</v>
          </cell>
          <cell r="T395">
            <v>3.4787038244227202</v>
          </cell>
          <cell r="U395">
            <v>3.4787038244227202</v>
          </cell>
          <cell r="V395">
            <v>3.4787038244227202</v>
          </cell>
          <cell r="W395">
            <v>3.4787038244227202</v>
          </cell>
          <cell r="X395">
            <v>3.4787038244227202</v>
          </cell>
          <cell r="Y395">
            <v>3.4787038244227202</v>
          </cell>
          <cell r="Z395">
            <v>3.4787038244227202</v>
          </cell>
          <cell r="AA395">
            <v>3.4787038244227202</v>
          </cell>
          <cell r="AB395">
            <v>3.4787038244227202</v>
          </cell>
          <cell r="AC395">
            <v>3.4787038244227202</v>
          </cell>
          <cell r="AD395">
            <v>3.4787038244227202</v>
          </cell>
          <cell r="AE395">
            <v>3.4787038244227202</v>
          </cell>
          <cell r="AF395">
            <v>3.4787038244227202</v>
          </cell>
        </row>
        <row r="396">
          <cell r="A396" t="str">
            <v>New Hampshire</v>
          </cell>
          <cell r="B396">
            <v>5.4591469705950892</v>
          </cell>
          <cell r="C396">
            <v>5.4761370418148072</v>
          </cell>
          <cell r="D396">
            <v>4.8117163011700077</v>
          </cell>
          <cell r="E396">
            <v>5.1338555249592046</v>
          </cell>
          <cell r="F396">
            <v>4.205650265121311</v>
          </cell>
          <cell r="G396">
            <v>4.088574465562913</v>
          </cell>
          <cell r="H396">
            <v>3.5437513382374437</v>
          </cell>
          <cell r="I396">
            <v>3.8983742626745079</v>
          </cell>
          <cell r="J396">
            <v>4.1203551914677323</v>
          </cell>
          <cell r="K396">
            <v>3.9735806574147485</v>
          </cell>
          <cell r="L396">
            <v>3.6025786196037122</v>
          </cell>
          <cell r="M396">
            <v>3.9148627596198047</v>
          </cell>
          <cell r="N396">
            <v>3.6636603836108548</v>
          </cell>
          <cell r="O396">
            <v>3.5729820765211158</v>
          </cell>
          <cell r="P396">
            <v>3.365951660157835</v>
          </cell>
          <cell r="Q396">
            <v>3.6745722025882395</v>
          </cell>
          <cell r="R396">
            <v>3.4380577598521365</v>
          </cell>
          <cell r="S396">
            <v>3.4839968001057833</v>
          </cell>
          <cell r="T396">
            <v>3.4839968001057833</v>
          </cell>
          <cell r="U396">
            <v>3.4839968001057833</v>
          </cell>
          <cell r="V396">
            <v>3.4839968001057833</v>
          </cell>
          <cell r="W396">
            <v>3.4839968001057833</v>
          </cell>
          <cell r="X396">
            <v>3.4839968001057833</v>
          </cell>
          <cell r="Y396">
            <v>3.4839968001057833</v>
          </cell>
          <cell r="Z396">
            <v>3.4839968001057833</v>
          </cell>
          <cell r="AA396">
            <v>3.4839968001057833</v>
          </cell>
          <cell r="AB396">
            <v>3.4839968001057833</v>
          </cell>
          <cell r="AC396">
            <v>3.4839968001057833</v>
          </cell>
          <cell r="AD396">
            <v>3.4839968001057833</v>
          </cell>
          <cell r="AE396">
            <v>3.4839968001057833</v>
          </cell>
          <cell r="AF396">
            <v>3.4839968001057833</v>
          </cell>
        </row>
        <row r="397">
          <cell r="A397" t="str">
            <v>New Jersey</v>
          </cell>
          <cell r="B397">
            <v>6.0804049438885865</v>
          </cell>
          <cell r="C397">
            <v>5.3421963497725242</v>
          </cell>
          <cell r="D397">
            <v>4.8147332224660557</v>
          </cell>
          <cell r="E397">
            <v>4.2603697894460941</v>
          </cell>
          <cell r="F397">
            <v>4.5427642164271234</v>
          </cell>
          <cell r="G397">
            <v>3.9915368550727002</v>
          </cell>
          <cell r="H397">
            <v>3.7585430587884323</v>
          </cell>
          <cell r="I397">
            <v>3.5837180285084216</v>
          </cell>
          <cell r="J397">
            <v>3.8968232184938221</v>
          </cell>
          <cell r="K397">
            <v>3.6379573879681377</v>
          </cell>
          <cell r="L397">
            <v>3.8618824620445817</v>
          </cell>
          <cell r="M397">
            <v>3.9368820771666524</v>
          </cell>
          <cell r="N397">
            <v>3.5867907034068769</v>
          </cell>
          <cell r="O397">
            <v>3.5455421714619164</v>
          </cell>
          <cell r="P397">
            <v>6.6906299730417391</v>
          </cell>
          <cell r="Q397">
            <v>3.6176396145672265</v>
          </cell>
          <cell r="R397">
            <v>3.438057759852136</v>
          </cell>
          <cell r="S397">
            <v>3.6355082290334657</v>
          </cell>
          <cell r="T397">
            <v>3.6355082290334657</v>
          </cell>
          <cell r="U397">
            <v>3.6355082290334657</v>
          </cell>
          <cell r="V397">
            <v>3.6355082290334657</v>
          </cell>
          <cell r="W397">
            <v>3.6355082290334657</v>
          </cell>
          <cell r="X397">
            <v>3.6355082290334657</v>
          </cell>
          <cell r="Y397">
            <v>3.6355082290334657</v>
          </cell>
          <cell r="Z397">
            <v>3.6355082290334657</v>
          </cell>
          <cell r="AA397">
            <v>3.6355082290334657</v>
          </cell>
          <cell r="AB397">
            <v>3.6355082290334657</v>
          </cell>
          <cell r="AC397">
            <v>3.6355082290334657</v>
          </cell>
          <cell r="AD397">
            <v>3.6355082290334657</v>
          </cell>
          <cell r="AE397">
            <v>3.6355082290334657</v>
          </cell>
          <cell r="AF397">
            <v>3.6355082290334657</v>
          </cell>
        </row>
        <row r="398">
          <cell r="A398" t="str">
            <v>New Mexico</v>
          </cell>
          <cell r="B398">
            <v>5.8046090445307135</v>
          </cell>
          <cell r="C398">
            <v>5.3595271106211273</v>
          </cell>
          <cell r="D398">
            <v>4.7891922410392915</v>
          </cell>
          <cell r="E398">
            <v>4.6455440324945041</v>
          </cell>
          <cell r="F398">
            <v>4.216193578005937</v>
          </cell>
          <cell r="G398">
            <v>4.0233586236540297</v>
          </cell>
          <cell r="H398">
            <v>3.8280393795360066</v>
          </cell>
          <cell r="I398">
            <v>3.7246742585699004</v>
          </cell>
          <cell r="J398">
            <v>3.7228857566576528</v>
          </cell>
          <cell r="K398">
            <v>3.6574365417493899</v>
          </cell>
          <cell r="L398">
            <v>3.6801548754070019</v>
          </cell>
          <cell r="M398">
            <v>3.6463364983062405</v>
          </cell>
          <cell r="N398">
            <v>3.6220613313361314</v>
          </cell>
          <cell r="O398">
            <v>3.4919952806422678</v>
          </cell>
          <cell r="P398">
            <v>3.6051876090849033</v>
          </cell>
          <cell r="Q398">
            <v>3.4874403149742643</v>
          </cell>
          <cell r="R398">
            <v>3.4321148254271852</v>
          </cell>
          <cell r="S398">
            <v>3.5096249213359085</v>
          </cell>
          <cell r="T398">
            <v>3.5096249213359085</v>
          </cell>
          <cell r="U398">
            <v>3.5096249213359085</v>
          </cell>
          <cell r="V398">
            <v>3.5096249213359085</v>
          </cell>
          <cell r="W398">
            <v>3.5096249213359085</v>
          </cell>
          <cell r="X398">
            <v>3.5096249213359085</v>
          </cell>
          <cell r="Y398">
            <v>3.5096249213359085</v>
          </cell>
          <cell r="Z398">
            <v>3.5096249213359085</v>
          </cell>
          <cell r="AA398">
            <v>3.5096249213359085</v>
          </cell>
          <cell r="AB398">
            <v>3.5096249213359085</v>
          </cell>
          <cell r="AC398">
            <v>3.5096249213359085</v>
          </cell>
          <cell r="AD398">
            <v>3.5096249213359085</v>
          </cell>
          <cell r="AE398">
            <v>3.5096249213359085</v>
          </cell>
          <cell r="AF398">
            <v>3.5096249213359085</v>
          </cell>
        </row>
        <row r="399">
          <cell r="A399" t="str">
            <v>New York</v>
          </cell>
          <cell r="B399">
            <v>5.7726610561890199</v>
          </cell>
          <cell r="C399">
            <v>5.1561795166642002</v>
          </cell>
          <cell r="D399">
            <v>4.7125692967589972</v>
          </cell>
          <cell r="E399">
            <v>4.6024810736443715</v>
          </cell>
          <cell r="F399">
            <v>4.496905360819043</v>
          </cell>
          <cell r="G399">
            <v>3.9915368550727006</v>
          </cell>
          <cell r="H399">
            <v>3.6756351673702743</v>
          </cell>
          <cell r="I399">
            <v>3.7278299950638147</v>
          </cell>
          <cell r="J399">
            <v>3.6716199784322558</v>
          </cell>
          <cell r="K399">
            <v>3.6379573879681359</v>
          </cell>
          <cell r="L399">
            <v>3.6702424615904059</v>
          </cell>
          <cell r="M399">
            <v>3.6411940986803915</v>
          </cell>
          <cell r="N399">
            <v>3.6956257838742883</v>
          </cell>
          <cell r="O399">
            <v>3.6903621716332378</v>
          </cell>
          <cell r="P399">
            <v>3.5853114583891426</v>
          </cell>
          <cell r="Q399">
            <v>3.4639970650386225</v>
          </cell>
          <cell r="R399">
            <v>3.6536404948824206</v>
          </cell>
          <cell r="S399">
            <v>3.4186285504199523</v>
          </cell>
          <cell r="T399">
            <v>3.4186285504199523</v>
          </cell>
          <cell r="U399">
            <v>3.4186285504199523</v>
          </cell>
          <cell r="V399">
            <v>3.4186285504199523</v>
          </cell>
          <cell r="W399">
            <v>3.4186285504199523</v>
          </cell>
          <cell r="X399">
            <v>3.4186285504199523</v>
          </cell>
          <cell r="Y399">
            <v>3.4186285504199523</v>
          </cell>
          <cell r="Z399">
            <v>3.4186285504199523</v>
          </cell>
          <cell r="AA399">
            <v>3.4186285504199523</v>
          </cell>
          <cell r="AB399">
            <v>3.4186285504199523</v>
          </cell>
          <cell r="AC399">
            <v>3.4186285504199523</v>
          </cell>
          <cell r="AD399">
            <v>3.4186285504199523</v>
          </cell>
          <cell r="AE399">
            <v>3.4186285504199523</v>
          </cell>
          <cell r="AF399">
            <v>3.4186285504199523</v>
          </cell>
        </row>
        <row r="400">
          <cell r="A400" t="str">
            <v>North Carolina</v>
          </cell>
          <cell r="B400">
            <v>5.8380566323251788</v>
          </cell>
          <cell r="C400">
            <v>5.3421963497725242</v>
          </cell>
          <cell r="D400">
            <v>4.8147332224660548</v>
          </cell>
          <cell r="E400">
            <v>4.9134913320064397</v>
          </cell>
          <cell r="F400">
            <v>4.3134699383867146</v>
          </cell>
          <cell r="G400">
            <v>3.9915368550727002</v>
          </cell>
          <cell r="H400">
            <v>4.0072667330429113</v>
          </cell>
          <cell r="I400">
            <v>3.7278299950638147</v>
          </cell>
          <cell r="J400">
            <v>3.6716199784322563</v>
          </cell>
          <cell r="K400">
            <v>3.7528843952775346</v>
          </cell>
          <cell r="L400">
            <v>4.0151944624079237</v>
          </cell>
          <cell r="M400">
            <v>3.6411940986803919</v>
          </cell>
          <cell r="N400">
            <v>3.5867907034068756</v>
          </cell>
          <cell r="O400">
            <v>3.6903621716332378</v>
          </cell>
          <cell r="P400">
            <v>3.4710235918885219</v>
          </cell>
          <cell r="Q400">
            <v>3.6707665294709857</v>
          </cell>
          <cell r="R400">
            <v>3.4985074354695973</v>
          </cell>
          <cell r="S400">
            <v>3.4787038244227202</v>
          </cell>
          <cell r="T400">
            <v>3.4787038244227202</v>
          </cell>
          <cell r="U400">
            <v>3.4787038244227202</v>
          </cell>
          <cell r="V400">
            <v>3.4787038244227202</v>
          </cell>
          <cell r="W400">
            <v>3.4787038244227202</v>
          </cell>
          <cell r="X400">
            <v>3.4787038244227202</v>
          </cell>
          <cell r="Y400">
            <v>3.4787038244227202</v>
          </cell>
          <cell r="Z400">
            <v>3.4787038244227202</v>
          </cell>
          <cell r="AA400">
            <v>3.4787038244227202</v>
          </cell>
          <cell r="AB400">
            <v>3.4787038244227202</v>
          </cell>
          <cell r="AC400">
            <v>3.4787038244227202</v>
          </cell>
          <cell r="AD400">
            <v>3.4787038244227202</v>
          </cell>
          <cell r="AE400">
            <v>3.4787038244227202</v>
          </cell>
          <cell r="AF400">
            <v>3.4787038244227202</v>
          </cell>
        </row>
        <row r="401">
          <cell r="A401" t="str">
            <v>North Dakota</v>
          </cell>
          <cell r="B401">
            <v>5.734193070226576</v>
          </cell>
          <cell r="C401">
            <v>5.209327183266578</v>
          </cell>
          <cell r="D401">
            <v>4.6732754791793587</v>
          </cell>
          <cell r="E401">
            <v>4.6491326123986809</v>
          </cell>
          <cell r="F401">
            <v>4.2561463688766148</v>
          </cell>
          <cell r="G401">
            <v>3.8928893724705782</v>
          </cell>
          <cell r="H401">
            <v>3.9243588416247519</v>
          </cell>
          <cell r="I401">
            <v>3.6197460201472702</v>
          </cell>
          <cell r="J401">
            <v>3.8646513270564551</v>
          </cell>
          <cell r="K401">
            <v>3.6073101860189647</v>
          </cell>
          <cell r="L401">
            <v>3.7113081759734436</v>
          </cell>
          <cell r="M401">
            <v>3.6866845569090478</v>
          </cell>
          <cell r="N401">
            <v>3.6131217712618948</v>
          </cell>
          <cell r="O401">
            <v>3.4793387428121703</v>
          </cell>
          <cell r="P401">
            <v>3.62926833012015</v>
          </cell>
          <cell r="Q401">
            <v>3.5801818117196635</v>
          </cell>
          <cell r="R401">
            <v>3.498507435469596</v>
          </cell>
          <cell r="S401">
            <v>3.4787038244227206</v>
          </cell>
          <cell r="T401">
            <v>3.4787038244227206</v>
          </cell>
          <cell r="U401">
            <v>3.4787038244227206</v>
          </cell>
          <cell r="V401">
            <v>3.4787038244227206</v>
          </cell>
          <cell r="W401">
            <v>3.4787038244227206</v>
          </cell>
          <cell r="X401">
            <v>3.4787038244227206</v>
          </cell>
          <cell r="Y401">
            <v>3.4787038244227206</v>
          </cell>
          <cell r="Z401">
            <v>3.4787038244227206</v>
          </cell>
          <cell r="AA401">
            <v>3.4787038244227206</v>
          </cell>
          <cell r="AB401">
            <v>3.4787038244227206</v>
          </cell>
          <cell r="AC401">
            <v>3.4787038244227206</v>
          </cell>
          <cell r="AD401">
            <v>3.4787038244227206</v>
          </cell>
          <cell r="AE401">
            <v>3.4787038244227206</v>
          </cell>
          <cell r="AF401">
            <v>3.4787038244227206</v>
          </cell>
        </row>
        <row r="402">
          <cell r="A402" t="str">
            <v>Ohio</v>
          </cell>
          <cell r="B402">
            <v>5.7012205108301943</v>
          </cell>
          <cell r="C402">
            <v>5.2715212612055335</v>
          </cell>
          <cell r="D402">
            <v>4.8419769359879385</v>
          </cell>
          <cell r="E402">
            <v>4.7261618973185877</v>
          </cell>
          <cell r="F402">
            <v>4.265700297128296</v>
          </cell>
          <cell r="G402">
            <v>4.0244193492734066</v>
          </cell>
          <cell r="H402">
            <v>3.7373750865114554</v>
          </cell>
          <cell r="I402">
            <v>3.8034887775053972</v>
          </cell>
          <cell r="J402">
            <v>3.7359637613069894</v>
          </cell>
          <cell r="K402">
            <v>3.6251877204893148</v>
          </cell>
          <cell r="L402">
            <v>3.6399835141502725</v>
          </cell>
          <cell r="M402">
            <v>3.6411940986803919</v>
          </cell>
          <cell r="N402">
            <v>3.6170226702033785</v>
          </cell>
          <cell r="O402">
            <v>3.5455421714619164</v>
          </cell>
          <cell r="P402">
            <v>3.5281675251388327</v>
          </cell>
          <cell r="Q402">
            <v>3.5348894528440029</v>
          </cell>
          <cell r="R402">
            <v>3.5605606592347274</v>
          </cell>
          <cell r="S402">
            <v>3.462467263881432</v>
          </cell>
          <cell r="T402">
            <v>3.462467263881432</v>
          </cell>
          <cell r="U402">
            <v>3.462467263881432</v>
          </cell>
          <cell r="V402">
            <v>3.462467263881432</v>
          </cell>
          <cell r="W402">
            <v>3.462467263881432</v>
          </cell>
          <cell r="X402">
            <v>3.462467263881432</v>
          </cell>
          <cell r="Y402">
            <v>3.462467263881432</v>
          </cell>
          <cell r="Z402">
            <v>3.462467263881432</v>
          </cell>
          <cell r="AA402">
            <v>3.462467263881432</v>
          </cell>
          <cell r="AB402">
            <v>3.462467263881432</v>
          </cell>
          <cell r="AC402">
            <v>3.462467263881432</v>
          </cell>
          <cell r="AD402">
            <v>3.462467263881432</v>
          </cell>
          <cell r="AE402">
            <v>3.462467263881432</v>
          </cell>
          <cell r="AF402">
            <v>3.462467263881432</v>
          </cell>
        </row>
        <row r="403">
          <cell r="A403" t="str">
            <v>Oklahoma</v>
          </cell>
          <cell r="B403">
            <v>5.6915823780835586</v>
          </cell>
          <cell r="C403">
            <v>5.3321305038251046</v>
          </cell>
          <cell r="D403">
            <v>4.7880817635859527</v>
          </cell>
          <cell r="E403">
            <v>4.6957841511529921</v>
          </cell>
          <cell r="F403">
            <v>4.2605558742235461</v>
          </cell>
          <cell r="G403">
            <v>4.0045167869940315</v>
          </cell>
          <cell r="H403">
            <v>3.7165896679503265</v>
          </cell>
          <cell r="I403">
            <v>3.7440425913012971</v>
          </cell>
          <cell r="J403">
            <v>3.6353803765832691</v>
          </cell>
          <cell r="K403">
            <v>3.6601119917868141</v>
          </cell>
          <cell r="L403">
            <v>3.6438093580794844</v>
          </cell>
          <cell r="M403">
            <v>3.669694144799549</v>
          </cell>
          <cell r="N403">
            <v>3.6613352790694882</v>
          </cell>
          <cell r="O403">
            <v>3.5881362891593636</v>
          </cell>
          <cell r="P403">
            <v>3.5535648288056367</v>
          </cell>
          <cell r="Q403">
            <v>3.5425444994145381</v>
          </cell>
          <cell r="R403">
            <v>3.4687218880623347</v>
          </cell>
          <cell r="S403">
            <v>3.5125490492130109</v>
          </cell>
          <cell r="T403">
            <v>3.5125490492130109</v>
          </cell>
          <cell r="U403">
            <v>3.5125490492130109</v>
          </cell>
          <cell r="V403">
            <v>3.5125490492130109</v>
          </cell>
          <cell r="W403">
            <v>3.5125490492130109</v>
          </cell>
          <cell r="X403">
            <v>3.5125490492130109</v>
          </cell>
          <cell r="Y403">
            <v>3.5125490492130109</v>
          </cell>
          <cell r="Z403">
            <v>3.5125490492130109</v>
          </cell>
          <cell r="AA403">
            <v>3.5125490492130109</v>
          </cell>
          <cell r="AB403">
            <v>3.5125490492130109</v>
          </cell>
          <cell r="AC403">
            <v>3.5125490492130109</v>
          </cell>
          <cell r="AD403">
            <v>3.5125490492130109</v>
          </cell>
          <cell r="AE403">
            <v>3.5125490492130109</v>
          </cell>
          <cell r="AF403">
            <v>3.5125490492130109</v>
          </cell>
        </row>
        <row r="404">
          <cell r="A404" t="str">
            <v>Oregon</v>
          </cell>
          <cell r="B404">
            <v>5.7918950491702441</v>
          </cell>
          <cell r="C404">
            <v>5.2979066276038758</v>
          </cell>
          <cell r="D404">
            <v>4.8507910785979576</v>
          </cell>
          <cell r="E404">
            <v>4.5978159197689399</v>
          </cell>
          <cell r="F404">
            <v>4.4281170774069212</v>
          </cell>
          <cell r="G404">
            <v>3.8928893724705782</v>
          </cell>
          <cell r="H404">
            <v>3.8829048959156709</v>
          </cell>
          <cell r="I404">
            <v>3.7278299950638147</v>
          </cell>
          <cell r="J404">
            <v>3.8217554718066329</v>
          </cell>
          <cell r="K404">
            <v>3.6025952318729373</v>
          </cell>
          <cell r="L404">
            <v>3.8427184619991648</v>
          </cell>
          <cell r="M404">
            <v>3.5874326480465264</v>
          </cell>
          <cell r="N404">
            <v>3.641208243640583</v>
          </cell>
          <cell r="O404">
            <v>3.4928803532177999</v>
          </cell>
          <cell r="P404">
            <v>3.3836269880939307</v>
          </cell>
          <cell r="Q404">
            <v>3.5688587220007477</v>
          </cell>
          <cell r="R404">
            <v>3.6273872079048646</v>
          </cell>
          <cell r="S404">
            <v>3.3118280633039223</v>
          </cell>
          <cell r="T404">
            <v>3.3118280633039223</v>
          </cell>
          <cell r="U404">
            <v>3.3118280633039223</v>
          </cell>
          <cell r="V404">
            <v>3.3118280633039223</v>
          </cell>
          <cell r="W404">
            <v>3.3118280633039223</v>
          </cell>
          <cell r="X404">
            <v>3.3118280633039223</v>
          </cell>
          <cell r="Y404">
            <v>3.3118280633039223</v>
          </cell>
          <cell r="Z404">
            <v>3.3118280633039223</v>
          </cell>
          <cell r="AA404">
            <v>3.3118280633039223</v>
          </cell>
          <cell r="AB404">
            <v>3.3118280633039223</v>
          </cell>
          <cell r="AC404">
            <v>3.3118280633039223</v>
          </cell>
          <cell r="AD404">
            <v>3.3118280633039223</v>
          </cell>
          <cell r="AE404">
            <v>3.3118280633039223</v>
          </cell>
          <cell r="AF404">
            <v>3.3118280633039223</v>
          </cell>
        </row>
        <row r="405">
          <cell r="A405" t="str">
            <v>Pennsylvania</v>
          </cell>
          <cell r="B405">
            <v>5.6909165860188242</v>
          </cell>
          <cell r="C405">
            <v>5.3031171831531294</v>
          </cell>
          <cell r="D405">
            <v>4.8530446946062016</v>
          </cell>
          <cell r="E405">
            <v>4.6573652368847354</v>
          </cell>
          <cell r="F405">
            <v>4.3746150791974916</v>
          </cell>
          <cell r="G405">
            <v>3.9607095167595379</v>
          </cell>
          <cell r="H405">
            <v>3.791706215355696</v>
          </cell>
          <cell r="I405">
            <v>3.7278299950638156</v>
          </cell>
          <cell r="J405">
            <v>3.6716199784322558</v>
          </cell>
          <cell r="K405">
            <v>3.6379573879681364</v>
          </cell>
          <cell r="L405">
            <v>3.6702424615904059</v>
          </cell>
          <cell r="M405">
            <v>3.6411940986803923</v>
          </cell>
          <cell r="N405">
            <v>3.5867907034068764</v>
          </cell>
          <cell r="O405">
            <v>3.5455421714619173</v>
          </cell>
          <cell r="P405">
            <v>3.5853114583891439</v>
          </cell>
          <cell r="Q405">
            <v>3.5348894528440029</v>
          </cell>
          <cell r="R405">
            <v>3.498507435469596</v>
          </cell>
          <cell r="S405">
            <v>3.4787038244227202</v>
          </cell>
          <cell r="T405">
            <v>3.4787038244227202</v>
          </cell>
          <cell r="U405">
            <v>3.4787038244227202</v>
          </cell>
          <cell r="V405">
            <v>3.4787038244227202</v>
          </cell>
          <cell r="W405">
            <v>3.4787038244227202</v>
          </cell>
          <cell r="X405">
            <v>3.4787038244227202</v>
          </cell>
          <cell r="Y405">
            <v>3.4787038244227202</v>
          </cell>
          <cell r="Z405">
            <v>3.4787038244227202</v>
          </cell>
          <cell r="AA405">
            <v>3.4787038244227202</v>
          </cell>
          <cell r="AB405">
            <v>3.4787038244227202</v>
          </cell>
          <cell r="AC405">
            <v>3.4787038244227202</v>
          </cell>
          <cell r="AD405">
            <v>3.4787038244227202</v>
          </cell>
          <cell r="AE405">
            <v>3.4787038244227202</v>
          </cell>
          <cell r="AF405">
            <v>3.4787038244227202</v>
          </cell>
        </row>
        <row r="406">
          <cell r="A406" t="str">
            <v>Rhode Island</v>
          </cell>
          <cell r="B406">
            <v>5.4591469705950875</v>
          </cell>
          <cell r="C406">
            <v>5.4761370418148081</v>
          </cell>
          <cell r="D406">
            <v>4.8117163011700086</v>
          </cell>
          <cell r="E406">
            <v>5.1338555249592046</v>
          </cell>
          <cell r="F406">
            <v>4.3225732260597836</v>
          </cell>
          <cell r="G406">
            <v>3.7934369538125003</v>
          </cell>
          <cell r="H406">
            <v>3.6850791522164306</v>
          </cell>
          <cell r="I406">
            <v>4.0189502961298817</v>
          </cell>
          <cell r="J406">
            <v>3.7207366611750174</v>
          </cell>
          <cell r="K406">
            <v>4.1724134820857985</v>
          </cell>
          <cell r="L406">
            <v>3.8562066992916288</v>
          </cell>
          <cell r="M406">
            <v>3.6034466971715089</v>
          </cell>
          <cell r="N406">
            <v>3.5601528698540146</v>
          </cell>
          <cell r="O406">
            <v>3.5729820765211158</v>
          </cell>
          <cell r="P406">
            <v>3.4363675670121943</v>
          </cell>
          <cell r="Q406">
            <v>3.4793747579447647</v>
          </cell>
          <cell r="R406">
            <v>3.5210626495635884</v>
          </cell>
          <cell r="S406">
            <v>3.6052059432479293</v>
          </cell>
          <cell r="T406">
            <v>3.6052059432479293</v>
          </cell>
          <cell r="U406">
            <v>3.6052059432479293</v>
          </cell>
          <cell r="V406">
            <v>3.6052059432479293</v>
          </cell>
          <cell r="W406">
            <v>3.6052059432479293</v>
          </cell>
          <cell r="X406">
            <v>3.6052059432479293</v>
          </cell>
          <cell r="Y406">
            <v>3.6052059432479293</v>
          </cell>
          <cell r="Z406">
            <v>3.6052059432479293</v>
          </cell>
          <cell r="AA406">
            <v>3.6052059432479293</v>
          </cell>
          <cell r="AB406">
            <v>3.6052059432479293</v>
          </cell>
          <cell r="AC406">
            <v>3.6052059432479293</v>
          </cell>
          <cell r="AD406">
            <v>3.6052059432479293</v>
          </cell>
          <cell r="AE406">
            <v>3.6052059432479293</v>
          </cell>
          <cell r="AF406">
            <v>3.6052059432479293</v>
          </cell>
        </row>
        <row r="407">
          <cell r="A407" t="str">
            <v>South Carolina</v>
          </cell>
          <cell r="B407">
            <v>5.8563854962249335</v>
          </cell>
          <cell r="C407">
            <v>5.3837179643056334</v>
          </cell>
          <cell r="D407">
            <v>4.8555987927488786</v>
          </cell>
          <cell r="E407">
            <v>4.7424356899073006</v>
          </cell>
          <cell r="F407">
            <v>4.4969053608190439</v>
          </cell>
          <cell r="G407">
            <v>4.2029243177915356</v>
          </cell>
          <cell r="H407">
            <v>3.6963621402248132</v>
          </cell>
          <cell r="I407">
            <v>3.8719419616192083</v>
          </cell>
          <cell r="J407">
            <v>3.6072761955575228</v>
          </cell>
          <cell r="K407">
            <v>3.7145753928410681</v>
          </cell>
          <cell r="L407">
            <v>3.6702424615904063</v>
          </cell>
          <cell r="M407">
            <v>3.9368820771666524</v>
          </cell>
          <cell r="N407">
            <v>3.5867907034068769</v>
          </cell>
          <cell r="O407">
            <v>3.5455421714619164</v>
          </cell>
          <cell r="P407">
            <v>4.318528136167096</v>
          </cell>
          <cell r="Q407">
            <v>3.6217062279973002</v>
          </cell>
          <cell r="R407">
            <v>3.6372694951596185</v>
          </cell>
          <cell r="S407">
            <v>3.4049473589261225</v>
          </cell>
          <cell r="T407">
            <v>3.4049473589261225</v>
          </cell>
          <cell r="U407">
            <v>3.4049473589261225</v>
          </cell>
          <cell r="V407">
            <v>3.4049473589261225</v>
          </cell>
          <cell r="W407">
            <v>3.4049473589261225</v>
          </cell>
          <cell r="X407">
            <v>3.4049473589261225</v>
          </cell>
          <cell r="Y407">
            <v>3.4049473589261225</v>
          </cell>
          <cell r="Z407">
            <v>3.4049473589261225</v>
          </cell>
          <cell r="AA407">
            <v>3.4049473589261225</v>
          </cell>
          <cell r="AB407">
            <v>3.4049473589261225</v>
          </cell>
          <cell r="AC407">
            <v>3.4049473589261225</v>
          </cell>
          <cell r="AD407">
            <v>3.4049473589261225</v>
          </cell>
          <cell r="AE407">
            <v>3.4049473589261225</v>
          </cell>
          <cell r="AF407">
            <v>3.4049473589261225</v>
          </cell>
        </row>
        <row r="408">
          <cell r="A408" t="str">
            <v>South Dakota</v>
          </cell>
          <cell r="B408">
            <v>5.7341930702265769</v>
          </cell>
          <cell r="C408">
            <v>5.217631506173201</v>
          </cell>
          <cell r="D408">
            <v>4.8781453142842297</v>
          </cell>
          <cell r="E408">
            <v>4.5997368654823525</v>
          </cell>
          <cell r="F408">
            <v>4.3925369308144422</v>
          </cell>
          <cell r="G408">
            <v>3.9190019413946691</v>
          </cell>
          <cell r="H408">
            <v>3.7736172208644616</v>
          </cell>
          <cell r="I408">
            <v>3.7413404919283835</v>
          </cell>
          <cell r="J408">
            <v>3.6861492197265506</v>
          </cell>
          <cell r="K408">
            <v>3.5634101399836622</v>
          </cell>
          <cell r="L408">
            <v>3.6862124616282532</v>
          </cell>
          <cell r="M408">
            <v>3.6027930625133457</v>
          </cell>
          <cell r="N408">
            <v>3.6088518683664872</v>
          </cell>
          <cell r="O408">
            <v>3.5088788802793043</v>
          </cell>
          <cell r="P408">
            <v>3.6157882227893086</v>
          </cell>
          <cell r="Q408">
            <v>3.5009201836872581</v>
          </cell>
          <cell r="R408">
            <v>3.4985074354695964</v>
          </cell>
          <cell r="S408">
            <v>3.4500965510880688</v>
          </cell>
          <cell r="T408">
            <v>3.4500965510880688</v>
          </cell>
          <cell r="U408">
            <v>3.4500965510880688</v>
          </cell>
          <cell r="V408">
            <v>3.4500965510880688</v>
          </cell>
          <cell r="W408">
            <v>3.4500965510880688</v>
          </cell>
          <cell r="X408">
            <v>3.4500965510880688</v>
          </cell>
          <cell r="Y408">
            <v>3.4500965510880688</v>
          </cell>
          <cell r="Z408">
            <v>3.4500965510880688</v>
          </cell>
          <cell r="AA408">
            <v>3.4500965510880688</v>
          </cell>
          <cell r="AB408">
            <v>3.4500965510880688</v>
          </cell>
          <cell r="AC408">
            <v>3.4500965510880688</v>
          </cell>
          <cell r="AD408">
            <v>3.4500965510880688</v>
          </cell>
          <cell r="AE408">
            <v>3.4500965510880688</v>
          </cell>
          <cell r="AF408">
            <v>3.4500965510880688</v>
          </cell>
        </row>
        <row r="409">
          <cell r="A409" t="str">
            <v>Tennessee</v>
          </cell>
          <cell r="B409">
            <v>5.734193070226576</v>
          </cell>
          <cell r="C409">
            <v>5.5636449606157674</v>
          </cell>
          <cell r="D409">
            <v>4.5695398007691139</v>
          </cell>
          <cell r="E409">
            <v>4.6957841511529912</v>
          </cell>
          <cell r="F409">
            <v>4.3134699383867154</v>
          </cell>
          <cell r="G409">
            <v>3.9550007504052473</v>
          </cell>
          <cell r="H409">
            <v>3.932649630766567</v>
          </cell>
          <cell r="I409">
            <v>3.7278299950638147</v>
          </cell>
          <cell r="J409">
            <v>3.6716199784322563</v>
          </cell>
          <cell r="K409">
            <v>3.7911933977139989</v>
          </cell>
          <cell r="L409">
            <v>3.9577024622716714</v>
          </cell>
          <cell r="M409">
            <v>3.6411940986803919</v>
          </cell>
          <cell r="N409">
            <v>3.5867907034068756</v>
          </cell>
          <cell r="O409">
            <v>4.1248221721472023</v>
          </cell>
          <cell r="P409">
            <v>3.5853114583891426</v>
          </cell>
          <cell r="Q409">
            <v>3.5348894528440029</v>
          </cell>
          <cell r="R409">
            <v>3.2890778052622851</v>
          </cell>
          <cell r="S409">
            <v>3.5645256444266717</v>
          </cell>
          <cell r="T409">
            <v>3.5645256444266717</v>
          </cell>
          <cell r="U409">
            <v>3.5645256444266717</v>
          </cell>
          <cell r="V409">
            <v>3.5645256444266717</v>
          </cell>
          <cell r="W409">
            <v>3.5645256444266717</v>
          </cell>
          <cell r="X409">
            <v>3.5645256444266717</v>
          </cell>
          <cell r="Y409">
            <v>3.5645256444266717</v>
          </cell>
          <cell r="Z409">
            <v>3.5645256444266717</v>
          </cell>
          <cell r="AA409">
            <v>3.5645256444266717</v>
          </cell>
          <cell r="AB409">
            <v>3.5645256444266717</v>
          </cell>
          <cell r="AC409">
            <v>3.5645256444266717</v>
          </cell>
          <cell r="AD409">
            <v>3.5645256444266717</v>
          </cell>
          <cell r="AE409">
            <v>3.5645256444266717</v>
          </cell>
          <cell r="AF409">
            <v>3.5645256444266717</v>
          </cell>
        </row>
        <row r="410">
          <cell r="A410" t="str">
            <v>Texas</v>
          </cell>
          <cell r="B410">
            <v>5.7243013024076612</v>
          </cell>
          <cell r="C410">
            <v>5.2766171474198043</v>
          </cell>
          <cell r="D410">
            <v>4.8569109899597951</v>
          </cell>
          <cell r="E410">
            <v>4.6214451137883987</v>
          </cell>
          <cell r="F410">
            <v>4.2681150262468543</v>
          </cell>
          <cell r="G410">
            <v>4.0640717687507326</v>
          </cell>
          <cell r="H410">
            <v>3.7112571891583026</v>
          </cell>
          <cell r="I410">
            <v>3.7278299950638143</v>
          </cell>
          <cell r="J410">
            <v>3.635398478282494</v>
          </cell>
          <cell r="K410">
            <v>3.6598482465032598</v>
          </cell>
          <cell r="L410">
            <v>3.6346803996504562</v>
          </cell>
          <cell r="M410">
            <v>3.635159650139856</v>
          </cell>
          <cell r="N410">
            <v>3.596205502755268</v>
          </cell>
          <cell r="O410">
            <v>3.6003982321328722</v>
          </cell>
          <cell r="P410">
            <v>3.5432054023099666</v>
          </cell>
          <cell r="Q410">
            <v>3.5608659527873963</v>
          </cell>
          <cell r="R410">
            <v>3.4584799293548891</v>
          </cell>
          <cell r="S410">
            <v>3.4891335594926445</v>
          </cell>
          <cell r="T410">
            <v>3.4891335594926445</v>
          </cell>
          <cell r="U410">
            <v>3.4891335594926445</v>
          </cell>
          <cell r="V410">
            <v>3.4891335594926445</v>
          </cell>
          <cell r="W410">
            <v>3.4891335594926445</v>
          </cell>
          <cell r="X410">
            <v>3.4891335594926445</v>
          </cell>
          <cell r="Y410">
            <v>3.4891335594926445</v>
          </cell>
          <cell r="Z410">
            <v>3.4891335594926445</v>
          </cell>
          <cell r="AA410">
            <v>3.4891335594926445</v>
          </cell>
          <cell r="AB410">
            <v>3.4891335594926445</v>
          </cell>
          <cell r="AC410">
            <v>3.4891335594926445</v>
          </cell>
          <cell r="AD410">
            <v>3.4891335594926445</v>
          </cell>
          <cell r="AE410">
            <v>3.4891335594926445</v>
          </cell>
          <cell r="AF410">
            <v>3.4891335594926445</v>
          </cell>
        </row>
        <row r="411">
          <cell r="A411" t="str">
            <v>Utah</v>
          </cell>
          <cell r="B411">
            <v>5.8524117587940934</v>
          </cell>
          <cell r="C411">
            <v>5.2016616544296985</v>
          </cell>
          <cell r="D411">
            <v>4.8392525646357489</v>
          </cell>
          <cell r="E411">
            <v>4.6056984211446688</v>
          </cell>
          <cell r="F411">
            <v>4.4459510768100623</v>
          </cell>
          <cell r="G411">
            <v>3.8682275018200465</v>
          </cell>
          <cell r="H411">
            <v>3.7585430587884332</v>
          </cell>
          <cell r="I411">
            <v>3.8142971749970522</v>
          </cell>
          <cell r="J411">
            <v>3.7842215984630392</v>
          </cell>
          <cell r="K411">
            <v>3.6379573879681364</v>
          </cell>
          <cell r="L411">
            <v>3.7523738903564814</v>
          </cell>
          <cell r="M411">
            <v>3.6411940986803919</v>
          </cell>
          <cell r="N411">
            <v>3.8044608643417002</v>
          </cell>
          <cell r="O411">
            <v>3.4489955046810357</v>
          </cell>
          <cell r="P411">
            <v>3.5036772680315575</v>
          </cell>
          <cell r="Q411">
            <v>3.5348894528440034</v>
          </cell>
          <cell r="R411">
            <v>3.5915872711172896</v>
          </cell>
          <cell r="S411">
            <v>3.4787038244227206</v>
          </cell>
          <cell r="T411">
            <v>3.4787038244227206</v>
          </cell>
          <cell r="U411">
            <v>3.4787038244227206</v>
          </cell>
          <cell r="V411">
            <v>3.4787038244227206</v>
          </cell>
          <cell r="W411">
            <v>3.4787038244227206</v>
          </cell>
          <cell r="X411">
            <v>3.4787038244227206</v>
          </cell>
          <cell r="Y411">
            <v>3.4787038244227206</v>
          </cell>
          <cell r="Z411">
            <v>3.4787038244227206</v>
          </cell>
          <cell r="AA411">
            <v>3.4787038244227206</v>
          </cell>
          <cell r="AB411">
            <v>3.4787038244227206</v>
          </cell>
          <cell r="AC411">
            <v>3.4787038244227206</v>
          </cell>
          <cell r="AD411">
            <v>3.4787038244227206</v>
          </cell>
          <cell r="AE411">
            <v>3.4787038244227206</v>
          </cell>
          <cell r="AF411">
            <v>3.4787038244227206</v>
          </cell>
        </row>
        <row r="412">
          <cell r="A412" t="str">
            <v>Vermont</v>
          </cell>
          <cell r="B412">
            <v>5.7721802063644914</v>
          </cell>
          <cell r="C412">
            <v>5.4761370418148072</v>
          </cell>
          <cell r="D412">
            <v>4.8117163011700077</v>
          </cell>
          <cell r="E412">
            <v>5.4975864970813912</v>
          </cell>
          <cell r="F412">
            <v>4.1179580444174588</v>
          </cell>
          <cell r="G412">
            <v>3.9705194608627488</v>
          </cell>
          <cell r="H412">
            <v>3.6144152452269371</v>
          </cell>
          <cell r="I412">
            <v>3.8122485244920967</v>
          </cell>
          <cell r="J412">
            <v>4.0604124119238234</v>
          </cell>
          <cell r="K412">
            <v>4.2828761624586029</v>
          </cell>
          <cell r="L412">
            <v>3.3806540498767852</v>
          </cell>
          <cell r="M412">
            <v>3.8407160780844949</v>
          </cell>
          <cell r="N412">
            <v>3.6636603836108552</v>
          </cell>
          <cell r="O412">
            <v>3.4971420883030553</v>
          </cell>
          <cell r="P412">
            <v>3.5771993807209119</v>
          </cell>
          <cell r="Q412">
            <v>3.479374757944766</v>
          </cell>
          <cell r="R412">
            <v>3.3758040925685497</v>
          </cell>
          <cell r="S412">
            <v>3.4839968001057833</v>
          </cell>
          <cell r="T412">
            <v>3.4839968001057833</v>
          </cell>
          <cell r="U412">
            <v>3.4839968001057833</v>
          </cell>
          <cell r="V412">
            <v>3.4839968001057833</v>
          </cell>
          <cell r="W412">
            <v>3.4839968001057833</v>
          </cell>
          <cell r="X412">
            <v>3.4839968001057833</v>
          </cell>
          <cell r="Y412">
            <v>3.4839968001057833</v>
          </cell>
          <cell r="Z412">
            <v>3.4839968001057833</v>
          </cell>
          <cell r="AA412">
            <v>3.4839968001057833</v>
          </cell>
          <cell r="AB412">
            <v>3.4839968001057833</v>
          </cell>
          <cell r="AC412">
            <v>3.4839968001057833</v>
          </cell>
          <cell r="AD412">
            <v>3.4839968001057833</v>
          </cell>
          <cell r="AE412">
            <v>3.4839968001057833</v>
          </cell>
          <cell r="AF412">
            <v>3.4839968001057833</v>
          </cell>
        </row>
        <row r="413">
          <cell r="A413" t="str">
            <v>Virginia</v>
          </cell>
          <cell r="B413">
            <v>5.9650009860012503</v>
          </cell>
          <cell r="C413">
            <v>5.2472898022682779</v>
          </cell>
          <cell r="D413">
            <v>4.8147332224660548</v>
          </cell>
          <cell r="E413">
            <v>4.6141439583329475</v>
          </cell>
          <cell r="F413">
            <v>4.3134699383867163</v>
          </cell>
          <cell r="G413">
            <v>3.9915368550727011</v>
          </cell>
          <cell r="H413">
            <v>3.8296069657182832</v>
          </cell>
          <cell r="I413">
            <v>3.7998859783415115</v>
          </cell>
          <cell r="J413">
            <v>3.6716199784322558</v>
          </cell>
          <cell r="K413">
            <v>3.6379573879681359</v>
          </cell>
          <cell r="L413">
            <v>3.7341224617417983</v>
          </cell>
          <cell r="M413">
            <v>3.5820565029831406</v>
          </cell>
          <cell r="N413">
            <v>3.6472546369998842</v>
          </cell>
          <cell r="O413">
            <v>3.5055918265870689</v>
          </cell>
          <cell r="P413">
            <v>3.5853114583891421</v>
          </cell>
          <cell r="Q413">
            <v>3.5167725092937396</v>
          </cell>
          <cell r="R413">
            <v>3.5383987936043226</v>
          </cell>
          <cell r="S413">
            <v>3.4386536417542093</v>
          </cell>
          <cell r="T413">
            <v>3.4386536417542093</v>
          </cell>
          <cell r="U413">
            <v>3.4386536417542093</v>
          </cell>
          <cell r="V413">
            <v>3.4386536417542093</v>
          </cell>
          <cell r="W413">
            <v>3.4386536417542093</v>
          </cell>
          <cell r="X413">
            <v>3.4386536417542093</v>
          </cell>
          <cell r="Y413">
            <v>3.4386536417542093</v>
          </cell>
          <cell r="Z413">
            <v>3.4386536417542093</v>
          </cell>
          <cell r="AA413">
            <v>3.4386536417542093</v>
          </cell>
          <cell r="AB413">
            <v>3.4386536417542093</v>
          </cell>
          <cell r="AC413">
            <v>3.4386536417542093</v>
          </cell>
          <cell r="AD413">
            <v>3.4386536417542093</v>
          </cell>
          <cell r="AE413">
            <v>3.4386536417542093</v>
          </cell>
          <cell r="AF413">
            <v>3.4386536417542093</v>
          </cell>
        </row>
        <row r="414">
          <cell r="A414" t="str">
            <v>Washington</v>
          </cell>
          <cell r="B414">
            <v>5.8156546875588147</v>
          </cell>
          <cell r="C414">
            <v>5.288330471459302</v>
          </cell>
          <cell r="D414">
            <v>4.8572523129337331</v>
          </cell>
          <cell r="E414">
            <v>4.650135871296623</v>
          </cell>
          <cell r="F414">
            <v>4.2591348014103163</v>
          </cell>
          <cell r="G414">
            <v>4.1654346609418269</v>
          </cell>
          <cell r="H414">
            <v>3.7285763510469283</v>
          </cell>
          <cell r="I414">
            <v>3.7357870975116572</v>
          </cell>
          <cell r="J414">
            <v>3.5882947796094773</v>
          </cell>
          <cell r="K414">
            <v>3.626744997011123</v>
          </cell>
          <cell r="L414">
            <v>3.5968484188632757</v>
          </cell>
          <cell r="M414">
            <v>3.5948116706825477</v>
          </cell>
          <cell r="N414">
            <v>3.5976742114536178</v>
          </cell>
          <cell r="O414">
            <v>3.7284726979941119</v>
          </cell>
          <cell r="P414">
            <v>3.5434988243035495</v>
          </cell>
          <cell r="Q414">
            <v>3.562761673690563</v>
          </cell>
          <cell r="R414">
            <v>3.6426310519563478</v>
          </cell>
          <cell r="S414">
            <v>3.3759012165035474</v>
          </cell>
          <cell r="T414">
            <v>3.3759012165035474</v>
          </cell>
          <cell r="U414">
            <v>3.3759012165035474</v>
          </cell>
          <cell r="V414">
            <v>3.3759012165035474</v>
          </cell>
          <cell r="W414">
            <v>3.3759012165035474</v>
          </cell>
          <cell r="X414">
            <v>3.3759012165035474</v>
          </cell>
          <cell r="Y414">
            <v>3.3759012165035474</v>
          </cell>
          <cell r="Z414">
            <v>3.3759012165035474</v>
          </cell>
          <cell r="AA414">
            <v>3.3759012165035474</v>
          </cell>
          <cell r="AB414">
            <v>3.3759012165035474</v>
          </cell>
          <cell r="AC414">
            <v>3.3759012165035474</v>
          </cell>
          <cell r="AD414">
            <v>3.3759012165035474</v>
          </cell>
          <cell r="AE414">
            <v>3.3759012165035474</v>
          </cell>
          <cell r="AF414">
            <v>3.3759012165035474</v>
          </cell>
        </row>
        <row r="415">
          <cell r="A415" t="str">
            <v>West Virginia</v>
          </cell>
          <cell r="B415">
            <v>6.0309461047940154</v>
          </cell>
          <cell r="C415">
            <v>5.0653855862184729</v>
          </cell>
          <cell r="D415">
            <v>4.7271641432885767</v>
          </cell>
          <cell r="E415">
            <v>4.9570327681771289</v>
          </cell>
          <cell r="F415">
            <v>4.5100078909927799</v>
          </cell>
          <cell r="G415">
            <v>3.8435656311695174</v>
          </cell>
          <cell r="H415">
            <v>3.8138149864005375</v>
          </cell>
          <cell r="I415">
            <v>3.781871982522087</v>
          </cell>
          <cell r="J415">
            <v>3.5815386824076305</v>
          </cell>
          <cell r="K415">
            <v>3.6379573879681364</v>
          </cell>
          <cell r="L415">
            <v>3.9166367478886319</v>
          </cell>
          <cell r="M415">
            <v>3.6411940986803915</v>
          </cell>
          <cell r="N415">
            <v>3.5187687781147439</v>
          </cell>
          <cell r="O415">
            <v>3.6282964572741006</v>
          </cell>
          <cell r="P415">
            <v>3.8138871913903829</v>
          </cell>
          <cell r="Q415">
            <v>3.3796013652703114</v>
          </cell>
          <cell r="R415">
            <v>3.374400987939338</v>
          </cell>
          <cell r="S415">
            <v>3.4186285504199523</v>
          </cell>
          <cell r="T415">
            <v>3.4186285504199523</v>
          </cell>
          <cell r="U415">
            <v>3.4186285504199523</v>
          </cell>
          <cell r="V415">
            <v>3.4186285504199523</v>
          </cell>
          <cell r="W415">
            <v>3.4186285504199523</v>
          </cell>
          <cell r="X415">
            <v>3.4186285504199523</v>
          </cell>
          <cell r="Y415">
            <v>3.4186285504199523</v>
          </cell>
          <cell r="Z415">
            <v>3.4186285504199523</v>
          </cell>
          <cell r="AA415">
            <v>3.4186285504199523</v>
          </cell>
          <cell r="AB415">
            <v>3.4186285504199523</v>
          </cell>
          <cell r="AC415">
            <v>3.4186285504199523</v>
          </cell>
          <cell r="AD415">
            <v>3.4186285504199523</v>
          </cell>
          <cell r="AE415">
            <v>3.4186285504199523</v>
          </cell>
          <cell r="AF415">
            <v>3.4186285504199523</v>
          </cell>
        </row>
        <row r="416">
          <cell r="A416" t="str">
            <v>Wisconsin</v>
          </cell>
          <cell r="B416">
            <v>5.6187891123392397</v>
          </cell>
          <cell r="C416">
            <v>5.209327183266578</v>
          </cell>
          <cell r="D416">
            <v>4.8585177620547952</v>
          </cell>
          <cell r="E416">
            <v>4.6957841511529912</v>
          </cell>
          <cell r="F416">
            <v>4.2976565399011699</v>
          </cell>
          <cell r="G416">
            <v>3.9750956079723463</v>
          </cell>
          <cell r="H416">
            <v>3.7585430587884323</v>
          </cell>
          <cell r="I416">
            <v>3.7278299950638156</v>
          </cell>
          <cell r="J416">
            <v>3.657090737137962</v>
          </cell>
          <cell r="K416">
            <v>3.5741090505740276</v>
          </cell>
          <cell r="L416">
            <v>3.6399835141502725</v>
          </cell>
          <cell r="M416">
            <v>3.6740483185121993</v>
          </cell>
          <cell r="N416">
            <v>3.5323731631731707</v>
          </cell>
          <cell r="O416">
            <v>3.5455421714619164</v>
          </cell>
          <cell r="P416">
            <v>3.5581000616032812</v>
          </cell>
          <cell r="Q416">
            <v>3.4986555657434746</v>
          </cell>
          <cell r="R416">
            <v>3.4863665873416374</v>
          </cell>
          <cell r="S416">
            <v>3.4536724602549018</v>
          </cell>
          <cell r="T416">
            <v>3.4536724602549018</v>
          </cell>
          <cell r="U416">
            <v>3.4536724602549018</v>
          </cell>
          <cell r="V416">
            <v>3.4536724602549018</v>
          </cell>
          <cell r="W416">
            <v>3.4536724602549018</v>
          </cell>
          <cell r="X416">
            <v>3.4536724602549018</v>
          </cell>
          <cell r="Y416">
            <v>3.4536724602549018</v>
          </cell>
          <cell r="Z416">
            <v>3.4536724602549018</v>
          </cell>
          <cell r="AA416">
            <v>3.4536724602549018</v>
          </cell>
          <cell r="AB416">
            <v>3.4536724602549018</v>
          </cell>
          <cell r="AC416">
            <v>3.4536724602549018</v>
          </cell>
          <cell r="AD416">
            <v>3.4536724602549018</v>
          </cell>
          <cell r="AE416">
            <v>3.4536724602549018</v>
          </cell>
          <cell r="AF416">
            <v>3.4536724602549018</v>
          </cell>
        </row>
        <row r="417">
          <cell r="A417" t="str">
            <v>Wyoming</v>
          </cell>
          <cell r="B417">
            <v>6.0480918356801343</v>
          </cell>
          <cell r="C417">
            <v>5.6743692660373863</v>
          </cell>
          <cell r="D417">
            <v>4.4936465988152987</v>
          </cell>
          <cell r="E417">
            <v>4.8046377415797146</v>
          </cell>
          <cell r="F417">
            <v>4.289333698592988</v>
          </cell>
          <cell r="G417">
            <v>3.9668749844221698</v>
          </cell>
          <cell r="H417">
            <v>3.7847244981836403</v>
          </cell>
          <cell r="I417">
            <v>3.8088929762512245</v>
          </cell>
          <cell r="J417">
            <v>3.6451254796014836</v>
          </cell>
          <cell r="K417">
            <v>3.5690011835824991</v>
          </cell>
          <cell r="L417">
            <v>3.7341224617417983</v>
          </cell>
          <cell r="M417">
            <v>3.7151160933019569</v>
          </cell>
          <cell r="N417">
            <v>3.5867907034068756</v>
          </cell>
          <cell r="O417">
            <v>3.5841608381742693</v>
          </cell>
          <cell r="P417">
            <v>3.4424516252633683</v>
          </cell>
          <cell r="Q417">
            <v>3.6707665294709835</v>
          </cell>
          <cell r="R417">
            <v>3.4985074354695964</v>
          </cell>
          <cell r="S417">
            <v>3.4119535199752007</v>
          </cell>
          <cell r="T417">
            <v>3.4119535199752007</v>
          </cell>
          <cell r="U417">
            <v>3.4119535199752007</v>
          </cell>
          <cell r="V417">
            <v>3.4119535199752007</v>
          </cell>
          <cell r="W417">
            <v>3.4119535199752007</v>
          </cell>
          <cell r="X417">
            <v>3.4119535199752007</v>
          </cell>
          <cell r="Y417">
            <v>3.4119535199752007</v>
          </cell>
          <cell r="Z417">
            <v>3.4119535199752007</v>
          </cell>
          <cell r="AA417">
            <v>3.4119535199752007</v>
          </cell>
          <cell r="AB417">
            <v>3.4119535199752007</v>
          </cell>
          <cell r="AC417">
            <v>3.4119535199752007</v>
          </cell>
          <cell r="AD417">
            <v>3.4119535199752007</v>
          </cell>
          <cell r="AE417">
            <v>3.4119535199752007</v>
          </cell>
          <cell r="AF417">
            <v>3.4119535199752007</v>
          </cell>
        </row>
      </sheetData>
      <sheetData sheetId="20"/>
      <sheetData sheetId="21">
        <row r="3">
          <cell r="B3" t="str">
            <v>State</v>
          </cell>
          <cell r="C3" t="str">
            <v>Pasture, Range &amp; Paddocks</v>
          </cell>
          <cell r="D3" t="str">
            <v>Drylot</v>
          </cell>
        </row>
        <row r="4">
          <cell r="B4" t="str">
            <v>AL</v>
          </cell>
          <cell r="C4">
            <v>1.4E-2</v>
          </cell>
          <cell r="D4">
            <v>1.9E-2</v>
          </cell>
        </row>
        <row r="5">
          <cell r="B5" t="str">
            <v>AK</v>
          </cell>
          <cell r="C5">
            <v>1.4999999999999999E-2</v>
          </cell>
          <cell r="D5">
            <v>1.4999999999999999E-2</v>
          </cell>
        </row>
        <row r="6">
          <cell r="B6" t="str">
            <v>AZ</v>
          </cell>
          <cell r="C6">
            <v>1.4E-2</v>
          </cell>
          <cell r="D6">
            <v>1.9E-2</v>
          </cell>
          <cell r="P6">
            <v>1.4999999999999999E-2</v>
          </cell>
        </row>
        <row r="7">
          <cell r="B7" t="str">
            <v>AR</v>
          </cell>
          <cell r="C7">
            <v>1.2999999999999999E-2</v>
          </cell>
          <cell r="D7">
            <v>1.7999999999999999E-2</v>
          </cell>
          <cell r="P7">
            <v>1.4999999999999999E-2</v>
          </cell>
        </row>
        <row r="8">
          <cell r="B8" t="str">
            <v>CA</v>
          </cell>
          <cell r="C8">
            <v>1.2E-2</v>
          </cell>
          <cell r="D8">
            <v>1.4E-2</v>
          </cell>
        </row>
        <row r="9">
          <cell r="B9" t="str">
            <v>CO</v>
          </cell>
          <cell r="C9">
            <v>8.9999999999999993E-3</v>
          </cell>
          <cell r="D9">
            <v>0.01</v>
          </cell>
        </row>
        <row r="10">
          <cell r="B10" t="str">
            <v>CT</v>
          </cell>
          <cell r="C10">
            <v>8.9999999999999993E-3</v>
          </cell>
          <cell r="D10">
            <v>0.01</v>
          </cell>
        </row>
        <row r="11">
          <cell r="B11" t="str">
            <v>DE</v>
          </cell>
          <cell r="C11">
            <v>1.2E-2</v>
          </cell>
          <cell r="D11">
            <v>1.4E-2</v>
          </cell>
        </row>
        <row r="12">
          <cell r="B12" t="str">
            <v>FL</v>
          </cell>
          <cell r="C12">
            <v>1.4999999999999999E-2</v>
          </cell>
          <cell r="D12">
            <v>2.4E-2</v>
          </cell>
        </row>
        <row r="13">
          <cell r="B13" t="str">
            <v>GA</v>
          </cell>
          <cell r="C13">
            <v>1.4E-2</v>
          </cell>
          <cell r="D13">
            <v>1.7999999999999999E-2</v>
          </cell>
        </row>
        <row r="14">
          <cell r="B14" t="str">
            <v>HI</v>
          </cell>
          <cell r="C14">
            <v>1.4999999999999999E-2</v>
          </cell>
          <cell r="D14">
            <v>1.4999999999999999E-2</v>
          </cell>
        </row>
        <row r="15">
          <cell r="B15" t="str">
            <v>ID</v>
          </cell>
          <cell r="C15">
            <v>8.0000000000000002E-3</v>
          </cell>
          <cell r="D15">
            <v>8.0000000000000002E-3</v>
          </cell>
        </row>
        <row r="16">
          <cell r="B16" t="str">
            <v>IL</v>
          </cell>
          <cell r="C16">
            <v>1.0999999999999999E-2</v>
          </cell>
          <cell r="D16">
            <v>1.2999999999999999E-2</v>
          </cell>
        </row>
        <row r="17">
          <cell r="B17" t="str">
            <v>IN</v>
          </cell>
          <cell r="C17">
            <v>0.01</v>
          </cell>
          <cell r="D17">
            <v>1.2E-2</v>
          </cell>
        </row>
        <row r="18">
          <cell r="B18" t="str">
            <v>IA</v>
          </cell>
          <cell r="C18">
            <v>8.9999999999999993E-3</v>
          </cell>
          <cell r="D18">
            <v>1.0999999999999999E-2</v>
          </cell>
        </row>
        <row r="19">
          <cell r="B19" t="str">
            <v>KS</v>
          </cell>
          <cell r="C19">
            <v>1.0999999999999999E-2</v>
          </cell>
          <cell r="D19">
            <v>1.4999999999999999E-2</v>
          </cell>
        </row>
        <row r="20">
          <cell r="B20" t="str">
            <v>KY</v>
          </cell>
          <cell r="C20">
            <v>1.2E-2</v>
          </cell>
          <cell r="D20">
            <v>1.4999999999999999E-2</v>
          </cell>
        </row>
        <row r="21">
          <cell r="B21" t="str">
            <v>LA</v>
          </cell>
          <cell r="C21">
            <v>1.4E-2</v>
          </cell>
          <cell r="D21">
            <v>2.1000000000000001E-2</v>
          </cell>
        </row>
        <row r="22">
          <cell r="B22" t="str">
            <v>ME</v>
          </cell>
          <cell r="C22">
            <v>8.0000000000000002E-3</v>
          </cell>
          <cell r="D22">
            <v>8.0000000000000002E-3</v>
          </cell>
        </row>
        <row r="23">
          <cell r="B23" t="str">
            <v>MD</v>
          </cell>
          <cell r="C23">
            <v>1.0999999999999999E-2</v>
          </cell>
          <cell r="D23">
            <v>1.2E-2</v>
          </cell>
        </row>
        <row r="24">
          <cell r="B24" t="str">
            <v>MA</v>
          </cell>
          <cell r="C24">
            <v>8.9999999999999993E-3</v>
          </cell>
          <cell r="D24">
            <v>0.01</v>
          </cell>
        </row>
        <row r="25">
          <cell r="B25" t="str">
            <v>MI</v>
          </cell>
          <cell r="C25">
            <v>8.0000000000000002E-3</v>
          </cell>
          <cell r="D25">
            <v>8.9999999999999993E-3</v>
          </cell>
        </row>
        <row r="26">
          <cell r="B26" t="str">
            <v>MN</v>
          </cell>
          <cell r="C26">
            <v>8.0000000000000002E-3</v>
          </cell>
          <cell r="D26">
            <v>8.0000000000000002E-3</v>
          </cell>
        </row>
        <row r="27">
          <cell r="B27" t="str">
            <v>MS</v>
          </cell>
          <cell r="C27">
            <v>1.4E-2</v>
          </cell>
          <cell r="D27">
            <v>1.9E-2</v>
          </cell>
        </row>
        <row r="28">
          <cell r="B28" t="str">
            <v>MO</v>
          </cell>
          <cell r="C28">
            <v>1.0999999999999999E-2</v>
          </cell>
          <cell r="D28">
            <v>1.4E-2</v>
          </cell>
        </row>
        <row r="29">
          <cell r="B29" t="str">
            <v>MT</v>
          </cell>
          <cell r="C29">
            <v>7.0000000000000001E-3</v>
          </cell>
          <cell r="D29">
            <v>8.0000000000000002E-3</v>
          </cell>
        </row>
        <row r="30">
          <cell r="B30" t="str">
            <v>NE</v>
          </cell>
          <cell r="C30">
            <v>0.01</v>
          </cell>
          <cell r="D30">
            <v>1.0999999999999999E-2</v>
          </cell>
        </row>
        <row r="31">
          <cell r="B31" t="str">
            <v>NV</v>
          </cell>
          <cell r="C31">
            <v>1.2E-2</v>
          </cell>
          <cell r="D31">
            <v>1.4E-2</v>
          </cell>
        </row>
        <row r="32">
          <cell r="B32" t="str">
            <v>NH</v>
          </cell>
          <cell r="C32">
            <v>8.0000000000000002E-3</v>
          </cell>
          <cell r="D32">
            <v>8.0000000000000002E-3</v>
          </cell>
        </row>
        <row r="33">
          <cell r="B33" t="str">
            <v>NJ</v>
          </cell>
          <cell r="C33">
            <v>0.01</v>
          </cell>
          <cell r="D33">
            <v>1.0999999999999999E-2</v>
          </cell>
        </row>
        <row r="34">
          <cell r="B34" t="str">
            <v>NM</v>
          </cell>
          <cell r="C34">
            <v>1.2E-2</v>
          </cell>
          <cell r="D34">
            <v>1.2999999999999999E-2</v>
          </cell>
        </row>
        <row r="35">
          <cell r="B35" t="str">
            <v>NY</v>
          </cell>
          <cell r="C35">
            <v>8.9999999999999993E-3</v>
          </cell>
          <cell r="D35">
            <v>8.9999999999999993E-3</v>
          </cell>
        </row>
        <row r="36">
          <cell r="B36" t="str">
            <v>NC</v>
          </cell>
          <cell r="C36">
            <v>1.2999999999999999E-2</v>
          </cell>
          <cell r="D36">
            <v>1.4999999999999999E-2</v>
          </cell>
        </row>
        <row r="37">
          <cell r="B37" t="str">
            <v>ND</v>
          </cell>
          <cell r="C37">
            <v>7.0000000000000001E-3</v>
          </cell>
          <cell r="D37">
            <v>7.0000000000000001E-3</v>
          </cell>
        </row>
        <row r="38">
          <cell r="B38" t="str">
            <v>OH</v>
          </cell>
          <cell r="C38">
            <v>0.01</v>
          </cell>
          <cell r="D38">
            <v>1.0999999999999999E-2</v>
          </cell>
        </row>
        <row r="39">
          <cell r="B39" t="str">
            <v>OK</v>
          </cell>
          <cell r="C39">
            <v>1.4E-2</v>
          </cell>
          <cell r="D39">
            <v>1.9E-2</v>
          </cell>
        </row>
        <row r="40">
          <cell r="B40" t="str">
            <v>OR</v>
          </cell>
          <cell r="C40">
            <v>1.0999999999999999E-2</v>
          </cell>
          <cell r="D40">
            <v>1.0999999999999999E-2</v>
          </cell>
        </row>
        <row r="41">
          <cell r="B41" t="str">
            <v>PA</v>
          </cell>
          <cell r="C41">
            <v>8.9999999999999993E-3</v>
          </cell>
          <cell r="D41">
            <v>0.01</v>
          </cell>
        </row>
        <row r="42">
          <cell r="B42" t="str">
            <v>RI</v>
          </cell>
          <cell r="C42">
            <v>0.01</v>
          </cell>
          <cell r="D42">
            <v>1.0999999999999999E-2</v>
          </cell>
        </row>
        <row r="43">
          <cell r="B43" t="str">
            <v>SC</v>
          </cell>
          <cell r="C43">
            <v>1.2999999999999999E-2</v>
          </cell>
          <cell r="D43">
            <v>1.7000000000000001E-2</v>
          </cell>
        </row>
        <row r="44">
          <cell r="B44" t="str">
            <v>SD</v>
          </cell>
          <cell r="C44">
            <v>8.0000000000000002E-3</v>
          </cell>
          <cell r="D44">
            <v>8.9999999999999993E-3</v>
          </cell>
        </row>
        <row r="45">
          <cell r="B45" t="str">
            <v>TN</v>
          </cell>
          <cell r="C45">
            <v>1.2999999999999999E-2</v>
          </cell>
          <cell r="D45">
            <v>1.6E-2</v>
          </cell>
        </row>
        <row r="46">
          <cell r="B46" t="str">
            <v>TX</v>
          </cell>
          <cell r="C46">
            <v>1.4E-2</v>
          </cell>
          <cell r="D46">
            <v>2.1000000000000001E-2</v>
          </cell>
        </row>
        <row r="47">
          <cell r="B47" t="str">
            <v>UT</v>
          </cell>
          <cell r="C47">
            <v>8.9999999999999993E-3</v>
          </cell>
          <cell r="D47">
            <v>0.01</v>
          </cell>
        </row>
        <row r="48">
          <cell r="B48" t="str">
            <v>VT</v>
          </cell>
          <cell r="C48">
            <v>8.0000000000000002E-3</v>
          </cell>
          <cell r="D48">
            <v>8.0000000000000002E-3</v>
          </cell>
        </row>
        <row r="49">
          <cell r="B49" t="str">
            <v>VA</v>
          </cell>
          <cell r="C49">
            <v>1.2E-2</v>
          </cell>
          <cell r="D49">
            <v>1.4E-2</v>
          </cell>
        </row>
        <row r="50">
          <cell r="B50" t="str">
            <v>WA</v>
          </cell>
          <cell r="C50">
            <v>0.01</v>
          </cell>
          <cell r="D50">
            <v>0.01</v>
          </cell>
        </row>
        <row r="51">
          <cell r="B51" t="str">
            <v>WV</v>
          </cell>
          <cell r="C51">
            <v>1.2E-2</v>
          </cell>
          <cell r="D51">
            <v>1.2999999999999999E-2</v>
          </cell>
        </row>
        <row r="52">
          <cell r="B52" t="str">
            <v>WI</v>
          </cell>
          <cell r="C52">
            <v>8.0000000000000002E-3</v>
          </cell>
          <cell r="D52">
            <v>8.0000000000000002E-3</v>
          </cell>
        </row>
        <row r="53">
          <cell r="B53" t="str">
            <v>WY</v>
          </cell>
          <cell r="C53">
            <v>8.0000000000000002E-3</v>
          </cell>
          <cell r="D53">
            <v>8.0000000000000002E-3</v>
          </cell>
        </row>
      </sheetData>
      <sheetData sheetId="22">
        <row r="4">
          <cell r="B4" t="str">
            <v>Year &amp; State</v>
          </cell>
          <cell r="C4" t="str">
            <v>Anaerobic Lagoon</v>
          </cell>
          <cell r="D4" t="str">
            <v>Liquid/ Slurry</v>
          </cell>
          <cell r="E4" t="str">
            <v>Daily Spread</v>
          </cell>
          <cell r="F4" t="str">
            <v>Solid Storage</v>
          </cell>
          <cell r="G4" t="str">
            <v>Pasture</v>
          </cell>
          <cell r="H4" t="str">
            <v>Deep Pit</v>
          </cell>
          <cell r="J4" t="str">
            <v>Year &amp; State</v>
          </cell>
          <cell r="K4" t="str">
            <v>Managed</v>
          </cell>
          <cell r="L4" t="str">
            <v>PRP</v>
          </cell>
          <cell r="M4" t="str">
            <v>Daily Spread</v>
          </cell>
          <cell r="O4" t="str">
            <v>STATE</v>
          </cell>
          <cell r="P4" t="str">
            <v>Dry Lot</v>
          </cell>
          <cell r="R4" t="str">
            <v>STATE</v>
          </cell>
          <cell r="S4" t="str">
            <v>Pasture</v>
          </cell>
          <cell r="U4" t="str">
            <v>Year &amp; State</v>
          </cell>
          <cell r="V4" t="str">
            <v>Pasture</v>
          </cell>
          <cell r="W4" t="str">
            <v>Solid Storage</v>
          </cell>
          <cell r="X4" t="str">
            <v>Liquid/ Slurry</v>
          </cell>
          <cell r="Y4" t="str">
            <v>Anaerobic Lagoon</v>
          </cell>
          <cell r="Z4" t="str">
            <v>Deep Pit</v>
          </cell>
          <cell r="AB4" t="str">
            <v>Year &amp; State</v>
          </cell>
          <cell r="AC4" t="str">
            <v>Solid Storage</v>
          </cell>
          <cell r="AD4" t="str">
            <v>Liquid/ Slurry</v>
          </cell>
          <cell r="AE4" t="str">
            <v>Anaerobic Lagoon</v>
          </cell>
          <cell r="AF4" t="str">
            <v>Poultry without bedding</v>
          </cell>
          <cell r="AH4" t="str">
            <v>State</v>
          </cell>
          <cell r="AI4" t="str">
            <v>Litter</v>
          </cell>
          <cell r="AK4" t="str">
            <v>State</v>
          </cell>
          <cell r="AL4" t="str">
            <v>Litter</v>
          </cell>
          <cell r="AM4" t="str">
            <v>Range</v>
          </cell>
          <cell r="AO4" t="str">
            <v>Year &amp; State</v>
          </cell>
          <cell r="AP4" t="str">
            <v>On Feed (PRP)</v>
          </cell>
          <cell r="AQ4" t="str">
            <v>Not on Feed (PRP)</v>
          </cell>
          <cell r="AS4" t="str">
            <v>STATE</v>
          </cell>
          <cell r="AT4" t="str">
            <v>Pasture, Range &amp; Paddock</v>
          </cell>
          <cell r="AV4" t="str">
            <v>STATE</v>
          </cell>
          <cell r="AW4" t="str">
            <v>Pasture, Range &amp; Paddock</v>
          </cell>
        </row>
        <row r="5">
          <cell r="B5" t="str">
            <v>1990AL</v>
          </cell>
          <cell r="C5">
            <v>0.10964035466102269</v>
          </cell>
          <cell r="D5">
            <v>7.5250315858693406E-2</v>
          </cell>
          <cell r="E5">
            <v>0.15095445395344742</v>
          </cell>
          <cell r="F5">
            <v>0.10051414377032589</v>
          </cell>
          <cell r="G5">
            <v>0.55882422889074668</v>
          </cell>
          <cell r="H5">
            <v>4.8165028657639296E-3</v>
          </cell>
          <cell r="J5" t="str">
            <v>1990AL</v>
          </cell>
          <cell r="K5">
            <v>0.2902213171558059</v>
          </cell>
          <cell r="L5">
            <v>0.55882422889074668</v>
          </cell>
          <cell r="M5">
            <v>0.15095445395344742</v>
          </cell>
          <cell r="O5" t="str">
            <v>AL</v>
          </cell>
          <cell r="P5">
            <v>1</v>
          </cell>
          <cell r="R5" t="str">
            <v>AL</v>
          </cell>
          <cell r="S5">
            <v>1</v>
          </cell>
          <cell r="U5" t="str">
            <v>1990AL</v>
          </cell>
          <cell r="V5">
            <v>0.182935074</v>
          </cell>
          <cell r="W5">
            <v>3.3560173999999998E-2</v>
          </cell>
          <cell r="X5">
            <v>0.15003266500000001</v>
          </cell>
          <cell r="Y5">
            <v>0.30457127699999997</v>
          </cell>
          <cell r="Z5">
            <v>0.32890080999999999</v>
          </cell>
          <cell r="AB5" t="str">
            <v>1990AL</v>
          </cell>
          <cell r="AC5">
            <v>0</v>
          </cell>
          <cell r="AD5">
            <v>0.1</v>
          </cell>
          <cell r="AE5">
            <v>0.8</v>
          </cell>
          <cell r="AF5">
            <v>0.1</v>
          </cell>
          <cell r="AH5" t="str">
            <v>AL</v>
          </cell>
          <cell r="AI5">
            <v>1</v>
          </cell>
          <cell r="AK5" t="str">
            <v>AL</v>
          </cell>
          <cell r="AL5">
            <v>0.95</v>
          </cell>
          <cell r="AM5">
            <v>0.05</v>
          </cell>
          <cell r="AO5" t="str">
            <v>AL</v>
          </cell>
          <cell r="AP5">
            <v>0</v>
          </cell>
          <cell r="AQ5">
            <v>1</v>
          </cell>
          <cell r="AS5" t="str">
            <v>AL</v>
          </cell>
          <cell r="AT5">
            <v>1</v>
          </cell>
          <cell r="AV5" t="str">
            <v>AL</v>
          </cell>
          <cell r="AW5">
            <v>1</v>
          </cell>
        </row>
        <row r="6">
          <cell r="B6" t="str">
            <v>1990AK</v>
          </cell>
          <cell r="C6">
            <v>0</v>
          </cell>
          <cell r="D6">
            <v>0</v>
          </cell>
          <cell r="E6">
            <v>0.62812500000000004</v>
          </cell>
          <cell r="F6">
            <v>0</v>
          </cell>
          <cell r="G6">
            <v>0.37187500000000001</v>
          </cell>
          <cell r="H6">
            <v>0</v>
          </cell>
          <cell r="J6" t="str">
            <v>1990AK</v>
          </cell>
          <cell r="K6">
            <v>0</v>
          </cell>
          <cell r="L6">
            <v>0.37187500000000001</v>
          </cell>
          <cell r="M6">
            <v>0.62812500000000004</v>
          </cell>
          <cell r="O6" t="str">
            <v>AK</v>
          </cell>
          <cell r="P6">
            <v>1</v>
          </cell>
          <cell r="R6" t="str">
            <v>AK</v>
          </cell>
          <cell r="S6">
            <v>1</v>
          </cell>
          <cell r="U6" t="str">
            <v>1990AK</v>
          </cell>
          <cell r="V6">
            <v>1</v>
          </cell>
          <cell r="W6">
            <v>0</v>
          </cell>
          <cell r="X6">
            <v>0</v>
          </cell>
          <cell r="Y6">
            <v>0</v>
          </cell>
          <cell r="Z6">
            <v>0</v>
          </cell>
          <cell r="AB6" t="str">
            <v>1990AK</v>
          </cell>
          <cell r="AC6">
            <v>0.1</v>
          </cell>
          <cell r="AD6">
            <v>0.12</v>
          </cell>
          <cell r="AE6">
            <v>0.15</v>
          </cell>
          <cell r="AF6">
            <v>0.63</v>
          </cell>
          <cell r="AH6" t="str">
            <v>AK</v>
          </cell>
          <cell r="AI6">
            <v>1</v>
          </cell>
          <cell r="AK6" t="str">
            <v>AK</v>
          </cell>
          <cell r="AL6">
            <v>0.88</v>
          </cell>
          <cell r="AM6">
            <v>0.12</v>
          </cell>
          <cell r="AO6" t="str">
            <v>AK</v>
          </cell>
          <cell r="AP6">
            <v>0</v>
          </cell>
          <cell r="AQ6">
            <v>1</v>
          </cell>
          <cell r="AS6" t="str">
            <v>AK</v>
          </cell>
          <cell r="AT6">
            <v>1</v>
          </cell>
          <cell r="AV6" t="str">
            <v>AK</v>
          </cell>
          <cell r="AW6">
            <v>1</v>
          </cell>
        </row>
        <row r="7">
          <cell r="B7" t="str">
            <v>1990AZ</v>
          </cell>
          <cell r="C7">
            <v>0.59452597771350846</v>
          </cell>
          <cell r="D7">
            <v>0.21737822204821747</v>
          </cell>
          <cell r="E7">
            <v>9.2568667344862673E-2</v>
          </cell>
          <cell r="F7">
            <v>9.3362672742600822E-2</v>
          </cell>
          <cell r="G7">
            <v>0</v>
          </cell>
          <cell r="H7">
            <v>2.1644601508106443E-3</v>
          </cell>
          <cell r="J7" t="str">
            <v>1990AZ</v>
          </cell>
          <cell r="K7">
            <v>0.90743133265513731</v>
          </cell>
          <cell r="L7">
            <v>0</v>
          </cell>
          <cell r="M7">
            <v>9.2568667344862673E-2</v>
          </cell>
          <cell r="O7" t="str">
            <v>AZ</v>
          </cell>
          <cell r="P7">
            <v>1</v>
          </cell>
          <cell r="R7" t="str">
            <v>AZ</v>
          </cell>
          <cell r="S7">
            <v>1</v>
          </cell>
          <cell r="U7" t="str">
            <v>1990AZ</v>
          </cell>
          <cell r="V7">
            <v>2.9485239E-2</v>
          </cell>
          <cell r="W7">
            <v>3.6925055999999998E-2</v>
          </cell>
          <cell r="X7">
            <v>8.545519E-2</v>
          </cell>
          <cell r="Y7">
            <v>0.52419700499999999</v>
          </cell>
          <cell r="Z7">
            <v>0.32393751100000001</v>
          </cell>
          <cell r="AB7" t="str">
            <v>1990AZ</v>
          </cell>
          <cell r="AC7">
            <v>0</v>
          </cell>
          <cell r="AD7">
            <v>0</v>
          </cell>
          <cell r="AE7">
            <v>0</v>
          </cell>
          <cell r="AF7">
            <v>1</v>
          </cell>
          <cell r="AH7" t="str">
            <v>AZ</v>
          </cell>
          <cell r="AI7">
            <v>1</v>
          </cell>
          <cell r="AK7" t="str">
            <v>AZ</v>
          </cell>
          <cell r="AL7">
            <v>0.88</v>
          </cell>
          <cell r="AM7">
            <v>0.12</v>
          </cell>
          <cell r="AO7" t="str">
            <v>AZ</v>
          </cell>
          <cell r="AP7">
            <v>1</v>
          </cell>
          <cell r="AQ7">
            <v>1</v>
          </cell>
          <cell r="AS7" t="str">
            <v>AZ</v>
          </cell>
          <cell r="AT7">
            <v>1</v>
          </cell>
          <cell r="AV7" t="str">
            <v>AZ</v>
          </cell>
          <cell r="AW7">
            <v>1</v>
          </cell>
        </row>
        <row r="8">
          <cell r="B8" t="str">
            <v>1990AR</v>
          </cell>
          <cell r="C8">
            <v>6.4819847007077783E-2</v>
          </cell>
          <cell r="D8">
            <v>5.1145646283778538E-2</v>
          </cell>
          <cell r="E8">
            <v>0.13912499999999997</v>
          </cell>
          <cell r="F8">
            <v>0.11027147509972528</v>
          </cell>
          <cell r="G8">
            <v>0.629</v>
          </cell>
          <cell r="H8">
            <v>5.6380316094184124E-3</v>
          </cell>
          <cell r="J8" t="str">
            <v>1990AR</v>
          </cell>
          <cell r="K8">
            <v>0.23187500000000005</v>
          </cell>
          <cell r="L8">
            <v>0.629</v>
          </cell>
          <cell r="M8">
            <v>0.13912499999999997</v>
          </cell>
          <cell r="O8" t="str">
            <v>AR</v>
          </cell>
          <cell r="P8">
            <v>1</v>
          </cell>
          <cell r="R8" t="str">
            <v>AR</v>
          </cell>
          <cell r="S8">
            <v>1</v>
          </cell>
          <cell r="U8" t="str">
            <v>1990AR</v>
          </cell>
          <cell r="V8">
            <v>5.4610839000000001E-2</v>
          </cell>
          <cell r="W8">
            <v>3.6895429E-2</v>
          </cell>
          <cell r="X8">
            <v>0.11248820700000001</v>
          </cell>
          <cell r="Y8">
            <v>0.45941363200000002</v>
          </cell>
          <cell r="Z8">
            <v>0.336591892</v>
          </cell>
          <cell r="AB8" t="str">
            <v>1990AR</v>
          </cell>
          <cell r="AC8">
            <v>0</v>
          </cell>
          <cell r="AD8">
            <v>0.6</v>
          </cell>
          <cell r="AE8">
            <v>0.4</v>
          </cell>
          <cell r="AF8">
            <v>0</v>
          </cell>
          <cell r="AH8" t="str">
            <v>AR</v>
          </cell>
          <cell r="AI8">
            <v>1</v>
          </cell>
          <cell r="AK8" t="str">
            <v>AR</v>
          </cell>
          <cell r="AL8">
            <v>0.88</v>
          </cell>
          <cell r="AM8">
            <v>0.12</v>
          </cell>
          <cell r="AO8" t="str">
            <v>AR</v>
          </cell>
          <cell r="AP8">
            <v>0</v>
          </cell>
          <cell r="AQ8">
            <v>1</v>
          </cell>
          <cell r="AS8" t="str">
            <v>AR</v>
          </cell>
          <cell r="AT8">
            <v>1</v>
          </cell>
          <cell r="AV8" t="str">
            <v>AR</v>
          </cell>
          <cell r="AW8">
            <v>1</v>
          </cell>
        </row>
        <row r="9">
          <cell r="B9" t="str">
            <v>1990CA</v>
          </cell>
          <cell r="C9">
            <v>0.54279809878903273</v>
          </cell>
          <cell r="D9">
            <v>0.22529239903187814</v>
          </cell>
          <cell r="E9">
            <v>0.11747323657345785</v>
          </cell>
          <cell r="F9">
            <v>9.0851894313912593E-2</v>
          </cell>
          <cell r="G9">
            <v>1.887558059880249E-2</v>
          </cell>
          <cell r="H9">
            <v>4.7087906929161698E-3</v>
          </cell>
          <cell r="J9" t="str">
            <v>1990CA</v>
          </cell>
          <cell r="K9">
            <v>0.86365118282773967</v>
          </cell>
          <cell r="L9">
            <v>1.887558059880249E-2</v>
          </cell>
          <cell r="M9">
            <v>0.11747323657345785</v>
          </cell>
          <cell r="O9" t="str">
            <v>CA</v>
          </cell>
          <cell r="P9">
            <v>1</v>
          </cell>
          <cell r="R9" t="str">
            <v>CA</v>
          </cell>
          <cell r="S9">
            <v>1</v>
          </cell>
          <cell r="U9" t="str">
            <v>1990CA</v>
          </cell>
          <cell r="V9">
            <v>0.125134622</v>
          </cell>
          <cell r="W9">
            <v>3.3375830000000002E-2</v>
          </cell>
          <cell r="X9">
            <v>7.9872487000000006E-2</v>
          </cell>
          <cell r="Y9">
            <v>0.46756251500000001</v>
          </cell>
          <cell r="Z9">
            <v>0.29405454600000003</v>
          </cell>
          <cell r="AB9" t="str">
            <v>1990CA</v>
          </cell>
          <cell r="AC9">
            <v>0.45</v>
          </cell>
          <cell r="AD9">
            <v>0.03</v>
          </cell>
          <cell r="AE9">
            <v>7.0000000000000007E-2</v>
          </cell>
          <cell r="AF9">
            <v>0.45</v>
          </cell>
          <cell r="AH9" t="str">
            <v>CA</v>
          </cell>
          <cell r="AI9">
            <v>1</v>
          </cell>
          <cell r="AK9" t="str">
            <v>CA</v>
          </cell>
          <cell r="AL9">
            <v>0.93</v>
          </cell>
          <cell r="AM9">
            <v>7.0000000000000007E-2</v>
          </cell>
          <cell r="AO9" t="str">
            <v>CA</v>
          </cell>
          <cell r="AP9">
            <v>0.98245614035087714</v>
          </cell>
          <cell r="AQ9">
            <v>1</v>
          </cell>
          <cell r="AS9" t="str">
            <v>CA</v>
          </cell>
          <cell r="AT9">
            <v>1</v>
          </cell>
          <cell r="AV9" t="str">
            <v>CA</v>
          </cell>
          <cell r="AW9">
            <v>1</v>
          </cell>
        </row>
        <row r="10">
          <cell r="B10" t="str">
            <v>1990CO</v>
          </cell>
          <cell r="C10">
            <v>0.49098622891561094</v>
          </cell>
          <cell r="D10">
            <v>0.27048463258608685</v>
          </cell>
          <cell r="E10">
            <v>3.1795829514207154E-2</v>
          </cell>
          <cell r="F10">
            <v>0.15830656070304969</v>
          </cell>
          <cell r="G10">
            <v>1.8824396578062941E-2</v>
          </cell>
          <cell r="H10">
            <v>2.9602351702982557E-2</v>
          </cell>
          <cell r="J10" t="str">
            <v>1990CO</v>
          </cell>
          <cell r="K10">
            <v>0.94937977390772987</v>
          </cell>
          <cell r="L10">
            <v>1.8824396578062941E-2</v>
          </cell>
          <cell r="M10">
            <v>3.1795829514207154E-2</v>
          </cell>
          <cell r="O10" t="str">
            <v>CO</v>
          </cell>
          <cell r="P10">
            <v>1</v>
          </cell>
          <cell r="R10" t="str">
            <v>CO</v>
          </cell>
          <cell r="S10">
            <v>1</v>
          </cell>
          <cell r="U10" t="str">
            <v>1990CO</v>
          </cell>
          <cell r="V10">
            <v>8.2290050000000003E-2</v>
          </cell>
          <cell r="W10">
            <v>4.8706762000000001E-2</v>
          </cell>
          <cell r="X10">
            <v>0.24426646199999999</v>
          </cell>
          <cell r="Y10">
            <v>0.16587838599999999</v>
          </cell>
          <cell r="Z10">
            <v>0.45885833999999998</v>
          </cell>
          <cell r="AB10" t="str">
            <v>1990CO</v>
          </cell>
          <cell r="AC10">
            <v>0</v>
          </cell>
          <cell r="AD10">
            <v>0.08</v>
          </cell>
          <cell r="AE10">
            <v>0.04</v>
          </cell>
          <cell r="AF10">
            <v>0.88</v>
          </cell>
          <cell r="AH10" t="str">
            <v>CO</v>
          </cell>
          <cell r="AI10">
            <v>1</v>
          </cell>
          <cell r="AK10" t="str">
            <v>CO</v>
          </cell>
          <cell r="AL10">
            <v>0.88</v>
          </cell>
          <cell r="AM10">
            <v>0.12</v>
          </cell>
          <cell r="AO10" t="str">
            <v>CO</v>
          </cell>
          <cell r="AP10">
            <v>3.8461538461538547E-2</v>
          </cell>
          <cell r="AQ10">
            <v>1</v>
          </cell>
          <cell r="AS10" t="str">
            <v>CO</v>
          </cell>
          <cell r="AT10">
            <v>1</v>
          </cell>
          <cell r="AV10" t="str">
            <v>CO</v>
          </cell>
          <cell r="AW10">
            <v>1</v>
          </cell>
        </row>
        <row r="11">
          <cell r="B11" t="str">
            <v>1990CT</v>
          </cell>
          <cell r="C11">
            <v>8.4639160569504074E-2</v>
          </cell>
          <cell r="D11">
            <v>0.17059156189590957</v>
          </cell>
          <cell r="E11">
            <v>0.44400659000684961</v>
          </cell>
          <cell r="F11">
            <v>0.20917776913982303</v>
          </cell>
          <cell r="G11">
            <v>6.6139230965887155E-2</v>
          </cell>
          <cell r="H11">
            <v>2.5445687422026568E-2</v>
          </cell>
          <cell r="J11" t="str">
            <v>1990CT</v>
          </cell>
          <cell r="K11">
            <v>0.48985417902726325</v>
          </cell>
          <cell r="L11">
            <v>6.6139230965887155E-2</v>
          </cell>
          <cell r="M11">
            <v>0.44400659000684961</v>
          </cell>
          <cell r="O11" t="str">
            <v>CT</v>
          </cell>
          <cell r="P11">
            <v>1</v>
          </cell>
          <cell r="R11" t="str">
            <v>CT</v>
          </cell>
          <cell r="S11">
            <v>1</v>
          </cell>
          <cell r="U11" t="str">
            <v>1990CT</v>
          </cell>
          <cell r="V11">
            <v>1</v>
          </cell>
          <cell r="W11">
            <v>0</v>
          </cell>
          <cell r="X11">
            <v>0</v>
          </cell>
          <cell r="Y11">
            <v>0</v>
          </cell>
          <cell r="Z11">
            <v>0</v>
          </cell>
          <cell r="AB11" t="str">
            <v>1990CT</v>
          </cell>
          <cell r="AC11">
            <v>0</v>
          </cell>
          <cell r="AD11">
            <v>0</v>
          </cell>
          <cell r="AE11">
            <v>0</v>
          </cell>
          <cell r="AF11">
            <v>1</v>
          </cell>
          <cell r="AH11" t="str">
            <v>CT</v>
          </cell>
          <cell r="AI11">
            <v>1</v>
          </cell>
          <cell r="AK11" t="str">
            <v>CT</v>
          </cell>
          <cell r="AL11">
            <v>0</v>
          </cell>
          <cell r="AM11">
            <v>1</v>
          </cell>
          <cell r="AO11" t="str">
            <v>CT</v>
          </cell>
          <cell r="AP11">
            <v>0</v>
          </cell>
          <cell r="AQ11">
            <v>1</v>
          </cell>
          <cell r="AS11" t="str">
            <v>CT</v>
          </cell>
          <cell r="AT11">
            <v>1</v>
          </cell>
          <cell r="AV11" t="str">
            <v>CT</v>
          </cell>
          <cell r="AW11">
            <v>1</v>
          </cell>
        </row>
        <row r="12">
          <cell r="B12" t="str">
            <v>1990DE</v>
          </cell>
          <cell r="C12">
            <v>6.4721224754374362E-2</v>
          </cell>
          <cell r="D12">
            <v>0.16849970345132176</v>
          </cell>
          <cell r="E12">
            <v>0.43954865690055572</v>
          </cell>
          <cell r="F12">
            <v>0.230827105252045</v>
          </cell>
          <cell r="G12">
            <v>6.2117960520859244E-2</v>
          </cell>
          <cell r="H12">
            <v>3.4285349120843883E-2</v>
          </cell>
          <cell r="J12" t="str">
            <v>1990DE</v>
          </cell>
          <cell r="K12">
            <v>0.49833338257858506</v>
          </cell>
          <cell r="L12">
            <v>6.2117960520859244E-2</v>
          </cell>
          <cell r="M12">
            <v>0.43954865690055572</v>
          </cell>
          <cell r="O12" t="str">
            <v>DE</v>
          </cell>
          <cell r="P12">
            <v>1</v>
          </cell>
          <cell r="R12" t="str">
            <v>DE</v>
          </cell>
          <cell r="S12">
            <v>1</v>
          </cell>
          <cell r="U12" t="str">
            <v>1990DE</v>
          </cell>
          <cell r="V12">
            <v>9.3256157000000006E-2</v>
          </cell>
          <cell r="W12">
            <v>4.7295367999999997E-2</v>
          </cell>
          <cell r="X12">
            <v>0.24224610899999999</v>
          </cell>
          <cell r="Y12">
            <v>0.16666082199999999</v>
          </cell>
          <cell r="Z12">
            <v>0.45054154400000002</v>
          </cell>
          <cell r="AB12" t="str">
            <v>1990DE</v>
          </cell>
          <cell r="AC12">
            <v>0</v>
          </cell>
          <cell r="AD12">
            <v>0</v>
          </cell>
          <cell r="AE12">
            <v>0</v>
          </cell>
          <cell r="AF12">
            <v>1</v>
          </cell>
          <cell r="AH12" t="str">
            <v>DE</v>
          </cell>
          <cell r="AI12">
            <v>1</v>
          </cell>
          <cell r="AK12" t="str">
            <v>DE</v>
          </cell>
          <cell r="AL12">
            <v>0.88</v>
          </cell>
          <cell r="AM12">
            <v>0.12</v>
          </cell>
          <cell r="AO12" t="str">
            <v>DE</v>
          </cell>
          <cell r="AP12">
            <v>0</v>
          </cell>
          <cell r="AQ12">
            <v>1</v>
          </cell>
          <cell r="AS12" t="str">
            <v>DE</v>
          </cell>
          <cell r="AT12">
            <v>1</v>
          </cell>
          <cell r="AV12" t="str">
            <v>DE</v>
          </cell>
          <cell r="AW12">
            <v>1</v>
          </cell>
        </row>
        <row r="13">
          <cell r="B13" t="str">
            <v>1990FL</v>
          </cell>
          <cell r="C13">
            <v>0.36834527013893126</v>
          </cell>
          <cell r="D13">
            <v>0.14581181469033638</v>
          </cell>
          <cell r="E13">
            <v>0.2116387614678899</v>
          </cell>
          <cell r="F13">
            <v>7.4174101737139009E-2</v>
          </cell>
          <cell r="G13">
            <v>0.19882721712538226</v>
          </cell>
          <cell r="H13">
            <v>1.2028348403212816E-3</v>
          </cell>
          <cell r="J13" t="str">
            <v>1990FL</v>
          </cell>
          <cell r="K13">
            <v>0.58953402140672784</v>
          </cell>
          <cell r="L13">
            <v>0.19882721712538226</v>
          </cell>
          <cell r="M13">
            <v>0.2116387614678899</v>
          </cell>
          <cell r="O13" t="str">
            <v>FL</v>
          </cell>
          <cell r="P13">
            <v>1</v>
          </cell>
          <cell r="R13" t="str">
            <v>FL</v>
          </cell>
          <cell r="S13">
            <v>1</v>
          </cell>
          <cell r="U13" t="str">
            <v>1990FL</v>
          </cell>
          <cell r="V13">
            <v>0.45582561500000002</v>
          </cell>
          <cell r="W13">
            <v>2.3943672999999999E-2</v>
          </cell>
          <cell r="X13">
            <v>0.15019213000000001</v>
          </cell>
          <cell r="Y13">
            <v>0.114820795</v>
          </cell>
          <cell r="Z13">
            <v>0.255217786</v>
          </cell>
          <cell r="AB13" t="str">
            <v>1990FL</v>
          </cell>
          <cell r="AC13">
            <v>0.12</v>
          </cell>
          <cell r="AD13">
            <v>0.06</v>
          </cell>
          <cell r="AE13">
            <v>0.12</v>
          </cell>
          <cell r="AF13">
            <v>0.7</v>
          </cell>
          <cell r="AH13" t="str">
            <v>FL</v>
          </cell>
          <cell r="AI13">
            <v>1</v>
          </cell>
          <cell r="AK13" t="str">
            <v>FL</v>
          </cell>
          <cell r="AL13">
            <v>0.88</v>
          </cell>
          <cell r="AM13">
            <v>0.12</v>
          </cell>
          <cell r="AO13" t="str">
            <v>FL</v>
          </cell>
          <cell r="AP13">
            <v>0</v>
          </cell>
          <cell r="AQ13">
            <v>1</v>
          </cell>
          <cell r="AS13" t="str">
            <v>FL</v>
          </cell>
          <cell r="AT13">
            <v>1</v>
          </cell>
          <cell r="AV13" t="str">
            <v>FL</v>
          </cell>
          <cell r="AW13">
            <v>1</v>
          </cell>
        </row>
        <row r="14">
          <cell r="B14" t="str">
            <v>1990GA</v>
          </cell>
          <cell r="C14">
            <v>0.13808042244019927</v>
          </cell>
          <cell r="D14">
            <v>8.9352824662304167E-2</v>
          </cell>
          <cell r="E14">
            <v>0.15758128964421914</v>
          </cell>
          <cell r="F14">
            <v>9.1347360862013047E-2</v>
          </cell>
          <cell r="G14">
            <v>0.51951190674601222</v>
          </cell>
          <cell r="H14">
            <v>4.1261956452521564E-3</v>
          </cell>
          <cell r="J14" t="str">
            <v>1990GA</v>
          </cell>
          <cell r="K14">
            <v>0.32290680360976864</v>
          </cell>
          <cell r="L14">
            <v>0.51951190674601222</v>
          </cell>
          <cell r="M14">
            <v>0.15758128964421914</v>
          </cell>
          <cell r="O14" t="str">
            <v>GA</v>
          </cell>
          <cell r="P14">
            <v>1</v>
          </cell>
          <cell r="R14" t="str">
            <v>GA</v>
          </cell>
          <cell r="S14">
            <v>1</v>
          </cell>
          <cell r="U14" t="str">
            <v>1990GA</v>
          </cell>
          <cell r="V14">
            <v>0.129819457</v>
          </cell>
          <cell r="W14">
            <v>3.5174263999999997E-2</v>
          </cell>
          <cell r="X14">
            <v>0.141866518</v>
          </cell>
          <cell r="Y14">
            <v>0.35575009400000002</v>
          </cell>
          <cell r="Z14">
            <v>0.337389667</v>
          </cell>
          <cell r="AB14" t="str">
            <v>1990GA</v>
          </cell>
          <cell r="AC14">
            <v>0.64</v>
          </cell>
          <cell r="AD14">
            <v>0.05</v>
          </cell>
          <cell r="AE14">
            <v>0.01</v>
          </cell>
          <cell r="AF14">
            <v>0.3</v>
          </cell>
          <cell r="AH14" t="str">
            <v>GA</v>
          </cell>
          <cell r="AI14">
            <v>1</v>
          </cell>
          <cell r="AK14" t="str">
            <v>GA</v>
          </cell>
          <cell r="AL14">
            <v>0.5</v>
          </cell>
          <cell r="AM14">
            <v>0.5</v>
          </cell>
          <cell r="AO14" t="str">
            <v>GA</v>
          </cell>
          <cell r="AP14">
            <v>0</v>
          </cell>
          <cell r="AQ14">
            <v>1</v>
          </cell>
          <cell r="AS14" t="str">
            <v>GA</v>
          </cell>
          <cell r="AT14">
            <v>1</v>
          </cell>
          <cell r="AV14" t="str">
            <v>GA</v>
          </cell>
          <cell r="AW14">
            <v>1</v>
          </cell>
        </row>
        <row r="15">
          <cell r="B15" t="str">
            <v>1990HI</v>
          </cell>
          <cell r="C15">
            <v>0.67700924544366925</v>
          </cell>
          <cell r="D15">
            <v>0.21169633721291711</v>
          </cell>
          <cell r="E15">
            <v>0</v>
          </cell>
          <cell r="F15">
            <v>0.10623984032506543</v>
          </cell>
          <cell r="G15">
            <v>4.0261462675255785E-3</v>
          </cell>
          <cell r="H15">
            <v>1.0284307508226574E-3</v>
          </cell>
          <cell r="J15" t="str">
            <v>1990HI</v>
          </cell>
          <cell r="K15">
            <v>0.99597385373247438</v>
          </cell>
          <cell r="L15">
            <v>4.0261462675255785E-3</v>
          </cell>
          <cell r="M15">
            <v>0</v>
          </cell>
          <cell r="O15" t="str">
            <v>HI</v>
          </cell>
          <cell r="P15">
            <v>1</v>
          </cell>
          <cell r="R15" t="str">
            <v>HI</v>
          </cell>
          <cell r="S15">
            <v>1</v>
          </cell>
          <cell r="U15" t="str">
            <v>1990HI</v>
          </cell>
          <cell r="V15">
            <v>0.36042526000000003</v>
          </cell>
          <cell r="W15">
            <v>2.8141289E-2</v>
          </cell>
          <cell r="X15">
            <v>0.17652262799999999</v>
          </cell>
          <cell r="Y15">
            <v>0.13495027000000001</v>
          </cell>
          <cell r="Z15">
            <v>0.29996055300000002</v>
          </cell>
          <cell r="AB15" t="str">
            <v>1990HI</v>
          </cell>
          <cell r="AC15">
            <v>0.1</v>
          </cell>
          <cell r="AD15">
            <v>0</v>
          </cell>
          <cell r="AE15">
            <v>0.8</v>
          </cell>
          <cell r="AF15">
            <v>0.1</v>
          </cell>
          <cell r="AH15" t="str">
            <v>HI</v>
          </cell>
          <cell r="AI15">
            <v>1</v>
          </cell>
          <cell r="AK15" t="str">
            <v>HI</v>
          </cell>
          <cell r="AL15">
            <v>0.88</v>
          </cell>
          <cell r="AM15">
            <v>0.12</v>
          </cell>
          <cell r="AO15" t="str">
            <v>HI</v>
          </cell>
          <cell r="AP15">
            <v>0</v>
          </cell>
          <cell r="AQ15">
            <v>1</v>
          </cell>
          <cell r="AS15" t="str">
            <v>HI</v>
          </cell>
          <cell r="AT15">
            <v>1</v>
          </cell>
          <cell r="AV15" t="str">
            <v>HI</v>
          </cell>
          <cell r="AW15">
            <v>1</v>
          </cell>
        </row>
        <row r="16">
          <cell r="B16" t="str">
            <v>1990ID</v>
          </cell>
          <cell r="C16">
            <v>0.44197446887186598</v>
          </cell>
          <cell r="D16">
            <v>0.24023670359726779</v>
          </cell>
          <cell r="E16">
            <v>5.3139336991500953E-2</v>
          </cell>
          <cell r="F16">
            <v>0.19192499890555711</v>
          </cell>
          <cell r="G16">
            <v>3.1460602497455789E-2</v>
          </cell>
          <cell r="H16">
            <v>4.1263889136352358E-2</v>
          </cell>
          <cell r="J16" t="str">
            <v>1990ID</v>
          </cell>
          <cell r="K16">
            <v>0.91540006051104328</v>
          </cell>
          <cell r="L16">
            <v>3.1460602497455789E-2</v>
          </cell>
          <cell r="M16">
            <v>5.3139336991500953E-2</v>
          </cell>
          <cell r="O16" t="str">
            <v>ID</v>
          </cell>
          <cell r="P16">
            <v>1</v>
          </cell>
          <cell r="R16" t="str">
            <v>ID</v>
          </cell>
          <cell r="S16">
            <v>1</v>
          </cell>
          <cell r="U16" t="str">
            <v>1990ID</v>
          </cell>
          <cell r="V16">
            <v>0.339827451</v>
          </cell>
          <cell r="W16">
            <v>3.1595740999999997E-2</v>
          </cell>
          <cell r="X16">
            <v>0.17944712900000001</v>
          </cell>
          <cell r="Y16">
            <v>0.130802578</v>
          </cell>
          <cell r="Z16">
            <v>0.31832710199999997</v>
          </cell>
          <cell r="AB16" t="str">
            <v>1990ID</v>
          </cell>
          <cell r="AC16">
            <v>0</v>
          </cell>
          <cell r="AD16">
            <v>0.6</v>
          </cell>
          <cell r="AE16">
            <v>0</v>
          </cell>
          <cell r="AF16">
            <v>0.4</v>
          </cell>
          <cell r="AH16" t="str">
            <v>ID</v>
          </cell>
          <cell r="AI16">
            <v>1</v>
          </cell>
          <cell r="AK16" t="str">
            <v>ID</v>
          </cell>
          <cell r="AL16">
            <v>0.88</v>
          </cell>
          <cell r="AM16">
            <v>0.12</v>
          </cell>
          <cell r="AO16" t="str">
            <v>ID</v>
          </cell>
          <cell r="AP16">
            <v>1</v>
          </cell>
          <cell r="AQ16">
            <v>1</v>
          </cell>
          <cell r="AS16" t="str">
            <v>ID</v>
          </cell>
          <cell r="AT16">
            <v>1</v>
          </cell>
          <cell r="AV16" t="str">
            <v>ID</v>
          </cell>
          <cell r="AW16">
            <v>1</v>
          </cell>
        </row>
        <row r="17">
          <cell r="B17" t="str">
            <v>1990IL</v>
          </cell>
          <cell r="C17">
            <v>4.8061976553949212E-2</v>
          </cell>
          <cell r="D17">
            <v>0.16288117559095172</v>
          </cell>
          <cell r="E17">
            <v>0.14976196460301133</v>
          </cell>
          <cell r="F17">
            <v>0.50361481344839976</v>
          </cell>
          <cell r="G17">
            <v>8.8665043720190781E-2</v>
          </cell>
          <cell r="H17">
            <v>4.7015026083497266E-2</v>
          </cell>
          <cell r="J17" t="str">
            <v>1990IL</v>
          </cell>
          <cell r="K17">
            <v>0.76157299167679793</v>
          </cell>
          <cell r="L17">
            <v>8.8665043720190781E-2</v>
          </cell>
          <cell r="M17">
            <v>0.14976196460301133</v>
          </cell>
          <cell r="O17" t="str">
            <v>IL</v>
          </cell>
          <cell r="P17">
            <v>1</v>
          </cell>
          <cell r="R17" t="str">
            <v>IL</v>
          </cell>
          <cell r="S17">
            <v>1</v>
          </cell>
          <cell r="U17" t="str">
            <v>1990IL</v>
          </cell>
          <cell r="V17">
            <v>8.1355548E-2</v>
          </cell>
          <cell r="W17">
            <v>4.1624348999999998E-2</v>
          </cell>
          <cell r="X17">
            <v>0.25806084299999998</v>
          </cell>
          <cell r="Y17">
            <v>0.16764712800000001</v>
          </cell>
          <cell r="Z17">
            <v>0.45131213199999998</v>
          </cell>
          <cell r="AB17" t="str">
            <v>1990IL</v>
          </cell>
          <cell r="AC17">
            <v>0</v>
          </cell>
          <cell r="AD17">
            <v>0</v>
          </cell>
          <cell r="AE17">
            <v>0.1</v>
          </cell>
          <cell r="AF17">
            <v>0.9</v>
          </cell>
          <cell r="AH17" t="str">
            <v>IL</v>
          </cell>
          <cell r="AI17">
            <v>1</v>
          </cell>
          <cell r="AK17" t="str">
            <v>IL</v>
          </cell>
          <cell r="AL17">
            <v>0.85</v>
          </cell>
          <cell r="AM17">
            <v>0.15</v>
          </cell>
          <cell r="AO17" t="str">
            <v>IL</v>
          </cell>
          <cell r="AP17">
            <v>0.2</v>
          </cell>
          <cell r="AQ17">
            <v>1</v>
          </cell>
          <cell r="AS17" t="str">
            <v>IL</v>
          </cell>
          <cell r="AT17">
            <v>1</v>
          </cell>
          <cell r="AV17" t="str">
            <v>IL</v>
          </cell>
          <cell r="AW17">
            <v>1</v>
          </cell>
        </row>
        <row r="18">
          <cell r="B18" t="str">
            <v>1990IN</v>
          </cell>
          <cell r="C18">
            <v>4.8087805777521975E-2</v>
          </cell>
          <cell r="D18">
            <v>0.15522488864656731</v>
          </cell>
          <cell r="E18">
            <v>0.19010910624218652</v>
          </cell>
          <cell r="F18">
            <v>0.45225958005909639</v>
          </cell>
          <cell r="G18">
            <v>0.11255215742696613</v>
          </cell>
          <cell r="H18">
            <v>4.1766461847661793E-2</v>
          </cell>
          <cell r="J18" t="str">
            <v>1990IN</v>
          </cell>
          <cell r="K18">
            <v>0.69733873633084742</v>
          </cell>
          <cell r="L18">
            <v>0.11255215742696613</v>
          </cell>
          <cell r="M18">
            <v>0.19010910624218652</v>
          </cell>
          <cell r="O18" t="str">
            <v>IN</v>
          </cell>
          <cell r="P18">
            <v>1</v>
          </cell>
          <cell r="R18" t="str">
            <v>IN</v>
          </cell>
          <cell r="S18">
            <v>1</v>
          </cell>
          <cell r="U18" t="str">
            <v>1990IN</v>
          </cell>
          <cell r="V18">
            <v>9.0620164000000003E-2</v>
          </cell>
          <cell r="W18">
            <v>4.1295287E-2</v>
          </cell>
          <cell r="X18">
            <v>0.25579848999999999</v>
          </cell>
          <cell r="Y18">
            <v>0.163983147</v>
          </cell>
          <cell r="Z18">
            <v>0.448302912</v>
          </cell>
          <cell r="AB18" t="str">
            <v>1990IN</v>
          </cell>
          <cell r="AC18">
            <v>0</v>
          </cell>
          <cell r="AD18">
            <v>0.05</v>
          </cell>
          <cell r="AE18">
            <v>0</v>
          </cell>
          <cell r="AF18">
            <v>0.95</v>
          </cell>
          <cell r="AH18" t="str">
            <v>IN</v>
          </cell>
          <cell r="AI18">
            <v>1</v>
          </cell>
          <cell r="AK18" t="str">
            <v>IN</v>
          </cell>
          <cell r="AL18">
            <v>0.95</v>
          </cell>
          <cell r="AM18">
            <v>0.05</v>
          </cell>
          <cell r="AO18" t="str">
            <v>IN</v>
          </cell>
          <cell r="AP18">
            <v>1</v>
          </cell>
          <cell r="AQ18">
            <v>1</v>
          </cell>
          <cell r="AS18" t="str">
            <v>IN</v>
          </cell>
          <cell r="AT18">
            <v>1</v>
          </cell>
          <cell r="AV18" t="str">
            <v>IN</v>
          </cell>
          <cell r="AW18">
            <v>1</v>
          </cell>
        </row>
        <row r="19">
          <cell r="B19" t="str">
            <v>1990IA</v>
          </cell>
          <cell r="C19">
            <v>3.8606244029845936E-2</v>
          </cell>
          <cell r="D19">
            <v>0.13088910588331074</v>
          </cell>
          <cell r="E19">
            <v>0.21907687059292058</v>
          </cell>
          <cell r="F19">
            <v>0.44604907546775419</v>
          </cell>
          <cell r="G19">
            <v>0.12970222686844551</v>
          </cell>
          <cell r="H19">
            <v>3.5676477157722986E-2</v>
          </cell>
          <cell r="J19" t="str">
            <v>1990IA</v>
          </cell>
          <cell r="K19">
            <v>0.65122090253863396</v>
          </cell>
          <cell r="L19">
            <v>0.12970222686844551</v>
          </cell>
          <cell r="M19">
            <v>0.21907687059292058</v>
          </cell>
          <cell r="O19" t="str">
            <v>IA</v>
          </cell>
          <cell r="P19">
            <v>1</v>
          </cell>
          <cell r="R19" t="str">
            <v>IA</v>
          </cell>
          <cell r="S19">
            <v>1</v>
          </cell>
          <cell r="U19" t="str">
            <v>1990IA</v>
          </cell>
          <cell r="V19">
            <v>7.2136692000000002E-2</v>
          </cell>
          <cell r="W19">
            <v>3.9535262000000002E-2</v>
          </cell>
          <cell r="X19">
            <v>0.21534028299999999</v>
          </cell>
          <cell r="Y19">
            <v>0.26713773800000001</v>
          </cell>
          <cell r="Z19">
            <v>0.405850025</v>
          </cell>
          <cell r="AB19" t="str">
            <v>1990IA</v>
          </cell>
          <cell r="AC19">
            <v>0.04</v>
          </cell>
          <cell r="AD19">
            <v>0.04</v>
          </cell>
          <cell r="AE19">
            <v>0.02</v>
          </cell>
          <cell r="AF19">
            <v>0.9</v>
          </cell>
          <cell r="AH19" t="str">
            <v>IA</v>
          </cell>
          <cell r="AI19">
            <v>1</v>
          </cell>
          <cell r="AK19" t="str">
            <v>IA</v>
          </cell>
          <cell r="AL19">
            <v>1</v>
          </cell>
          <cell r="AM19">
            <v>0</v>
          </cell>
          <cell r="AO19" t="str">
            <v>IA</v>
          </cell>
          <cell r="AP19">
            <v>0</v>
          </cell>
          <cell r="AQ19">
            <v>1</v>
          </cell>
          <cell r="AS19" t="str">
            <v>IA</v>
          </cell>
          <cell r="AT19">
            <v>1</v>
          </cell>
          <cell r="AV19" t="str">
            <v>IA</v>
          </cell>
          <cell r="AW19">
            <v>1</v>
          </cell>
        </row>
        <row r="20">
          <cell r="B20" t="str">
            <v>1990KS</v>
          </cell>
          <cell r="C20">
            <v>6.150825709632509E-2</v>
          </cell>
          <cell r="D20">
            <v>0.18381203926839509</v>
          </cell>
          <cell r="E20">
            <v>0.15447997825693061</v>
          </cell>
          <cell r="F20">
            <v>0.46454144201879716</v>
          </cell>
          <cell r="G20">
            <v>9.1458295584948959E-2</v>
          </cell>
          <cell r="H20">
            <v>4.4199987774603093E-2</v>
          </cell>
          <cell r="J20" t="str">
            <v>1990KS</v>
          </cell>
          <cell r="K20">
            <v>0.75406172615812039</v>
          </cell>
          <cell r="L20">
            <v>9.1458295584948959E-2</v>
          </cell>
          <cell r="M20">
            <v>0.15447997825693061</v>
          </cell>
          <cell r="O20" t="str">
            <v>KS</v>
          </cell>
          <cell r="P20">
            <v>1</v>
          </cell>
          <cell r="R20" t="str">
            <v>KS</v>
          </cell>
          <cell r="S20">
            <v>1</v>
          </cell>
          <cell r="U20" t="str">
            <v>1990KS</v>
          </cell>
          <cell r="V20">
            <v>0.14299250999999999</v>
          </cell>
          <cell r="W20">
            <v>3.9059442999999999E-2</v>
          </cell>
          <cell r="X20">
            <v>0.24160074100000001</v>
          </cell>
          <cell r="Y20">
            <v>0.15144187000000001</v>
          </cell>
          <cell r="Z20">
            <v>0.424905435</v>
          </cell>
          <cell r="AB20" t="str">
            <v>1990KS</v>
          </cell>
          <cell r="AC20">
            <v>0</v>
          </cell>
          <cell r="AD20">
            <v>0</v>
          </cell>
          <cell r="AE20">
            <v>0</v>
          </cell>
          <cell r="AF20">
            <v>1</v>
          </cell>
          <cell r="AH20" t="str">
            <v>KS</v>
          </cell>
          <cell r="AI20">
            <v>1</v>
          </cell>
          <cell r="AK20" t="str">
            <v>KS</v>
          </cell>
          <cell r="AL20">
            <v>1</v>
          </cell>
          <cell r="AM20">
            <v>0</v>
          </cell>
          <cell r="AO20" t="str">
            <v>KS</v>
          </cell>
          <cell r="AP20">
            <v>0.29113924050632911</v>
          </cell>
          <cell r="AQ20">
            <v>1</v>
          </cell>
          <cell r="AS20" t="str">
            <v>KS</v>
          </cell>
          <cell r="AT20">
            <v>1</v>
          </cell>
          <cell r="AV20" t="str">
            <v>KS</v>
          </cell>
          <cell r="AW20">
            <v>1</v>
          </cell>
        </row>
        <row r="21">
          <cell r="B21" t="str">
            <v>1990KY</v>
          </cell>
          <cell r="C21">
            <v>1.6646169322275198E-2</v>
          </cell>
          <cell r="D21">
            <v>5.1769904298287782E-2</v>
          </cell>
          <cell r="E21">
            <v>0.14046629368205532</v>
          </cell>
          <cell r="F21">
            <v>0.15577602658945497</v>
          </cell>
          <cell r="G21">
            <v>0.6210430546673904</v>
          </cell>
          <cell r="H21">
            <v>1.4298551440536343E-2</v>
          </cell>
          <cell r="J21" t="str">
            <v>1990KY</v>
          </cell>
          <cell r="K21">
            <v>0.23849065165055428</v>
          </cell>
          <cell r="L21">
            <v>0.6210430546673904</v>
          </cell>
          <cell r="M21">
            <v>0.14046629368205532</v>
          </cell>
          <cell r="O21" t="str">
            <v>KY</v>
          </cell>
          <cell r="P21">
            <v>1</v>
          </cell>
          <cell r="R21" t="str">
            <v>KY</v>
          </cell>
          <cell r="S21">
            <v>1</v>
          </cell>
          <cell r="U21" t="str">
            <v>1990KY</v>
          </cell>
          <cell r="V21">
            <v>0.18225018100000001</v>
          </cell>
          <cell r="W21">
            <v>3.3950879000000003E-2</v>
          </cell>
          <cell r="X21">
            <v>0.161605368</v>
          </cell>
          <cell r="Y21">
            <v>0.28478148399999997</v>
          </cell>
          <cell r="Z21">
            <v>0.337412088</v>
          </cell>
          <cell r="AB21" t="str">
            <v>1990KY</v>
          </cell>
          <cell r="AC21">
            <v>0.03</v>
          </cell>
          <cell r="AD21">
            <v>0.33</v>
          </cell>
          <cell r="AE21">
            <v>0.61</v>
          </cell>
          <cell r="AF21">
            <v>0.03</v>
          </cell>
          <cell r="AH21" t="str">
            <v>KY</v>
          </cell>
          <cell r="AI21">
            <v>1</v>
          </cell>
          <cell r="AK21" t="str">
            <v>KY</v>
          </cell>
          <cell r="AL21">
            <v>0.88</v>
          </cell>
          <cell r="AM21">
            <v>0.12</v>
          </cell>
          <cell r="AO21" t="str">
            <v>KY</v>
          </cell>
          <cell r="AP21">
            <v>0</v>
          </cell>
          <cell r="AQ21">
            <v>1</v>
          </cell>
          <cell r="AS21" t="str">
            <v>KY</v>
          </cell>
          <cell r="AT21">
            <v>1</v>
          </cell>
          <cell r="AV21" t="str">
            <v>KY</v>
          </cell>
          <cell r="AW21">
            <v>1</v>
          </cell>
        </row>
        <row r="22">
          <cell r="B22" t="str">
            <v>1990LA</v>
          </cell>
          <cell r="C22">
            <v>7.1144157903606342E-2</v>
          </cell>
          <cell r="D22">
            <v>5.6328384816312783E-2</v>
          </cell>
          <cell r="E22">
            <v>0.13912499999999997</v>
          </cell>
          <cell r="F22">
            <v>9.9380874747219433E-2</v>
          </cell>
          <cell r="G22">
            <v>0.629</v>
          </cell>
          <cell r="H22">
            <v>5.0215825328614773E-3</v>
          </cell>
          <cell r="J22" t="str">
            <v>1990LA</v>
          </cell>
          <cell r="K22">
            <v>0.23187500000000005</v>
          </cell>
          <cell r="L22">
            <v>0.629</v>
          </cell>
          <cell r="M22">
            <v>0.13912499999999997</v>
          </cell>
          <cell r="O22" t="str">
            <v>LA</v>
          </cell>
          <cell r="P22">
            <v>1</v>
          </cell>
          <cell r="R22" t="str">
            <v>LA</v>
          </cell>
          <cell r="S22">
            <v>1</v>
          </cell>
          <cell r="U22" t="str">
            <v>1990LA</v>
          </cell>
          <cell r="V22">
            <v>0.31583997400000002</v>
          </cell>
          <cell r="W22">
            <v>2.8011194E-2</v>
          </cell>
          <cell r="X22">
            <v>0.12278557499999999</v>
          </cell>
          <cell r="Y22">
            <v>0.26000700999999998</v>
          </cell>
          <cell r="Z22">
            <v>0.27335624600000002</v>
          </cell>
          <cell r="AB22" t="str">
            <v>1990LA</v>
          </cell>
          <cell r="AC22">
            <v>0.05</v>
          </cell>
          <cell r="AD22">
            <v>0</v>
          </cell>
          <cell r="AE22">
            <v>0.95</v>
          </cell>
          <cell r="AF22">
            <v>0</v>
          </cell>
          <cell r="AH22" t="str">
            <v>LA</v>
          </cell>
          <cell r="AI22">
            <v>1</v>
          </cell>
          <cell r="AK22" t="str">
            <v>LA</v>
          </cell>
          <cell r="AL22">
            <v>0.88</v>
          </cell>
          <cell r="AM22">
            <v>0.12</v>
          </cell>
          <cell r="AO22" t="str">
            <v>LA</v>
          </cell>
          <cell r="AP22">
            <v>0</v>
          </cell>
          <cell r="AQ22">
            <v>1</v>
          </cell>
          <cell r="AS22" t="str">
            <v>LA</v>
          </cell>
          <cell r="AT22">
            <v>1</v>
          </cell>
          <cell r="AV22" t="str">
            <v>LA</v>
          </cell>
          <cell r="AW22">
            <v>1</v>
          </cell>
        </row>
        <row r="23">
          <cell r="B23" t="str">
            <v>1990ME</v>
          </cell>
          <cell r="C23">
            <v>3.718504478891041E-2</v>
          </cell>
          <cell r="D23">
            <v>0.11002557347728271</v>
          </cell>
          <cell r="E23">
            <v>0.47083240038243279</v>
          </cell>
          <cell r="F23">
            <v>0.26521816435578993</v>
          </cell>
          <cell r="G23">
            <v>9.0337404391808526E-2</v>
          </cell>
          <cell r="H23">
            <v>2.6401412603775674E-2</v>
          </cell>
          <cell r="J23" t="str">
            <v>1990ME</v>
          </cell>
          <cell r="K23">
            <v>0.43883019522575872</v>
          </cell>
          <cell r="L23">
            <v>9.0337404391808526E-2</v>
          </cell>
          <cell r="M23">
            <v>0.47083240038243279</v>
          </cell>
          <cell r="O23" t="str">
            <v>ME</v>
          </cell>
          <cell r="P23">
            <v>1</v>
          </cell>
          <cell r="R23" t="str">
            <v>ME</v>
          </cell>
          <cell r="S23">
            <v>1</v>
          </cell>
          <cell r="U23" t="str">
            <v>1990ME</v>
          </cell>
          <cell r="V23">
            <v>1</v>
          </cell>
          <cell r="W23">
            <v>0</v>
          </cell>
          <cell r="X23">
            <v>0</v>
          </cell>
          <cell r="Y23">
            <v>0</v>
          </cell>
          <cell r="Z23">
            <v>0</v>
          </cell>
          <cell r="AB23" t="str">
            <v>1990ME</v>
          </cell>
          <cell r="AC23">
            <v>0.1</v>
          </cell>
          <cell r="AD23">
            <v>0.09</v>
          </cell>
          <cell r="AE23">
            <v>0</v>
          </cell>
          <cell r="AF23">
            <v>0.81</v>
          </cell>
          <cell r="AH23" t="str">
            <v>ME</v>
          </cell>
          <cell r="AI23">
            <v>1</v>
          </cell>
          <cell r="AK23" t="str">
            <v>ME</v>
          </cell>
          <cell r="AL23">
            <v>0.88</v>
          </cell>
          <cell r="AM23">
            <v>0.12</v>
          </cell>
          <cell r="AO23" t="str">
            <v>ME</v>
          </cell>
          <cell r="AP23">
            <v>0</v>
          </cell>
          <cell r="AQ23">
            <v>1</v>
          </cell>
          <cell r="AS23" t="str">
            <v>ME</v>
          </cell>
          <cell r="AT23">
            <v>1</v>
          </cell>
          <cell r="AV23" t="str">
            <v>ME</v>
          </cell>
          <cell r="AW23">
            <v>1</v>
          </cell>
        </row>
        <row r="24">
          <cell r="B24" t="str">
            <v>1990MD</v>
          </cell>
          <cell r="C24">
            <v>4.1893723913388137E-2</v>
          </cell>
          <cell r="D24">
            <v>0.12365029557343474</v>
          </cell>
          <cell r="E24">
            <v>0.45964978293685133</v>
          </cell>
          <cell r="F24">
            <v>0.26329361816793467</v>
          </cell>
          <cell r="G24">
            <v>8.0250144677551663E-2</v>
          </cell>
          <cell r="H24">
            <v>3.1262434730839492E-2</v>
          </cell>
          <cell r="J24" t="str">
            <v>1990MD</v>
          </cell>
          <cell r="K24">
            <v>0.46010007238559703</v>
          </cell>
          <cell r="L24">
            <v>8.0250144677551663E-2</v>
          </cell>
          <cell r="M24">
            <v>0.45964978293685133</v>
          </cell>
          <cell r="O24" t="str">
            <v>MD</v>
          </cell>
          <cell r="P24">
            <v>1</v>
          </cell>
          <cell r="R24" t="str">
            <v>MD</v>
          </cell>
          <cell r="S24">
            <v>1</v>
          </cell>
          <cell r="U24" t="str">
            <v>1990MD</v>
          </cell>
          <cell r="V24">
            <v>0.166823576</v>
          </cell>
          <cell r="W24">
            <v>4.1235824999999997E-2</v>
          </cell>
          <cell r="X24">
            <v>0.22499929199999999</v>
          </cell>
          <cell r="Y24">
            <v>0.16054668499999999</v>
          </cell>
          <cell r="Z24">
            <v>0.40639462199999998</v>
          </cell>
          <cell r="AB24" t="str">
            <v>1990MD</v>
          </cell>
          <cell r="AC24">
            <v>0</v>
          </cell>
          <cell r="AD24">
            <v>0</v>
          </cell>
          <cell r="AE24">
            <v>0</v>
          </cell>
          <cell r="AF24">
            <v>1</v>
          </cell>
          <cell r="AH24" t="str">
            <v>MD</v>
          </cell>
          <cell r="AI24">
            <v>1</v>
          </cell>
          <cell r="AK24" t="str">
            <v>MD</v>
          </cell>
          <cell r="AL24">
            <v>0.9</v>
          </cell>
          <cell r="AM24">
            <v>0.1</v>
          </cell>
          <cell r="AO24" t="str">
            <v>MD</v>
          </cell>
          <cell r="AP24">
            <v>0</v>
          </cell>
          <cell r="AQ24">
            <v>1</v>
          </cell>
          <cell r="AS24" t="str">
            <v>MD</v>
          </cell>
          <cell r="AT24">
            <v>1</v>
          </cell>
          <cell r="AV24" t="str">
            <v>MD</v>
          </cell>
          <cell r="AW24">
            <v>1</v>
          </cell>
        </row>
        <row r="25">
          <cell r="B25" t="str">
            <v>1990MA</v>
          </cell>
          <cell r="C25">
            <v>4.4512281016216008E-2</v>
          </cell>
          <cell r="D25">
            <v>0.12375788831131805</v>
          </cell>
          <cell r="E25">
            <v>0.46482017950102456</v>
          </cell>
          <cell r="F25">
            <v>0.25533177027300941</v>
          </cell>
          <cell r="G25">
            <v>8.4914091488065557E-2</v>
          </cell>
          <cell r="H25">
            <v>2.666378941036646E-2</v>
          </cell>
          <cell r="J25" t="str">
            <v>1990MA</v>
          </cell>
          <cell r="K25">
            <v>0.45026572901090989</v>
          </cell>
          <cell r="L25">
            <v>8.4914091488065557E-2</v>
          </cell>
          <cell r="M25">
            <v>0.46482017950102456</v>
          </cell>
          <cell r="O25" t="str">
            <v>MA</v>
          </cell>
          <cell r="P25">
            <v>1</v>
          </cell>
          <cell r="R25" t="str">
            <v>MA</v>
          </cell>
          <cell r="S25">
            <v>1</v>
          </cell>
          <cell r="U25" t="str">
            <v>1990MA</v>
          </cell>
          <cell r="V25">
            <v>0.39163290699999997</v>
          </cell>
          <cell r="W25">
            <v>2.6768152E-2</v>
          </cell>
          <cell r="X25">
            <v>0.167909318</v>
          </cell>
          <cell r="Y25">
            <v>0.12836545699999999</v>
          </cell>
          <cell r="Z25">
            <v>0.28532416599999999</v>
          </cell>
          <cell r="AB25" t="str">
            <v>1990MA</v>
          </cell>
          <cell r="AC25">
            <v>0.1</v>
          </cell>
          <cell r="AD25">
            <v>0.09</v>
          </cell>
          <cell r="AE25">
            <v>0</v>
          </cell>
          <cell r="AF25">
            <v>0.81</v>
          </cell>
          <cell r="AH25" t="str">
            <v>MA</v>
          </cell>
          <cell r="AI25">
            <v>1</v>
          </cell>
          <cell r="AK25" t="str">
            <v>MA</v>
          </cell>
          <cell r="AL25">
            <v>0.75</v>
          </cell>
          <cell r="AM25">
            <v>0.25</v>
          </cell>
          <cell r="AO25" t="str">
            <v>MA</v>
          </cell>
          <cell r="AP25">
            <v>0</v>
          </cell>
          <cell r="AQ25">
            <v>1</v>
          </cell>
          <cell r="AS25" t="str">
            <v>MA</v>
          </cell>
          <cell r="AT25">
            <v>1</v>
          </cell>
          <cell r="AV25" t="str">
            <v>MA</v>
          </cell>
          <cell r="AW25">
            <v>1</v>
          </cell>
        </row>
        <row r="26">
          <cell r="B26" t="str">
            <v>1990MI</v>
          </cell>
          <cell r="C26">
            <v>7.324743058685855E-2</v>
          </cell>
          <cell r="D26">
            <v>0.21181592514810976</v>
          </cell>
          <cell r="E26">
            <v>0.13202895394885908</v>
          </cell>
          <cell r="F26">
            <v>0.4542531386851254</v>
          </cell>
          <cell r="G26">
            <v>7.8166395621463824E-2</v>
          </cell>
          <cell r="H26">
            <v>5.0488156009583417E-2</v>
          </cell>
          <cell r="J26" t="str">
            <v>1990MI</v>
          </cell>
          <cell r="K26">
            <v>0.78980465042967707</v>
          </cell>
          <cell r="L26">
            <v>7.8166395621463824E-2</v>
          </cell>
          <cell r="M26">
            <v>0.13202895394885908</v>
          </cell>
          <cell r="O26" t="str">
            <v>MI</v>
          </cell>
          <cell r="P26">
            <v>1</v>
          </cell>
          <cell r="R26" t="str">
            <v>MI</v>
          </cell>
          <cell r="S26">
            <v>1</v>
          </cell>
          <cell r="U26" t="str">
            <v>1990MI</v>
          </cell>
          <cell r="V26">
            <v>0.114360435</v>
          </cell>
          <cell r="W26">
            <v>4.3736677000000002E-2</v>
          </cell>
          <cell r="X26">
            <v>0.239270606</v>
          </cell>
          <cell r="Y26">
            <v>0.17097482999999999</v>
          </cell>
          <cell r="Z26">
            <v>0.43165745300000002</v>
          </cell>
          <cell r="AB26" t="str">
            <v>1990MI</v>
          </cell>
          <cell r="AC26">
            <v>9.000000000000008E-2</v>
          </cell>
          <cell r="AD26">
            <v>0.03</v>
          </cell>
          <cell r="AE26">
            <v>0.03</v>
          </cell>
          <cell r="AF26">
            <v>0.85</v>
          </cell>
          <cell r="AH26" t="str">
            <v>MI</v>
          </cell>
          <cell r="AI26">
            <v>1</v>
          </cell>
          <cell r="AK26" t="str">
            <v>MI</v>
          </cell>
          <cell r="AL26">
            <v>0.93</v>
          </cell>
          <cell r="AM26">
            <v>7.0000000000000007E-2</v>
          </cell>
          <cell r="AO26" t="str">
            <v>MI</v>
          </cell>
          <cell r="AP26">
            <v>1</v>
          </cell>
          <cell r="AQ26">
            <v>1</v>
          </cell>
          <cell r="AS26" t="str">
            <v>MI</v>
          </cell>
          <cell r="AT26">
            <v>1</v>
          </cell>
          <cell r="AV26" t="str">
            <v>MI</v>
          </cell>
          <cell r="AW26">
            <v>1</v>
          </cell>
        </row>
        <row r="27">
          <cell r="B27" t="str">
            <v>1990MN</v>
          </cell>
          <cell r="C27">
            <v>3.1305052229958379E-2</v>
          </cell>
          <cell r="D27">
            <v>0.11126879087151634</v>
          </cell>
          <cell r="E27">
            <v>0.26075788395504595</v>
          </cell>
          <cell r="F27">
            <v>0.41062320281471232</v>
          </cell>
          <cell r="G27">
            <v>0.15437904572462918</v>
          </cell>
          <cell r="H27">
            <v>3.1666024404137724E-2</v>
          </cell>
          <cell r="J27" t="str">
            <v>1990MN</v>
          </cell>
          <cell r="K27">
            <v>0.58486307032032481</v>
          </cell>
          <cell r="L27">
            <v>0.15437904572462918</v>
          </cell>
          <cell r="M27">
            <v>0.26075788395504595</v>
          </cell>
          <cell r="O27" t="str">
            <v>MN</v>
          </cell>
          <cell r="P27">
            <v>1</v>
          </cell>
          <cell r="R27" t="str">
            <v>MN</v>
          </cell>
          <cell r="S27">
            <v>1</v>
          </cell>
          <cell r="U27" t="str">
            <v>1990MN</v>
          </cell>
          <cell r="V27">
            <v>9.4816849999999994E-2</v>
          </cell>
          <cell r="W27">
            <v>4.2466038999999997E-2</v>
          </cell>
          <cell r="X27">
            <v>0.246972737</v>
          </cell>
          <cell r="Y27">
            <v>0.182200377</v>
          </cell>
          <cell r="Z27">
            <v>0.43354399599999999</v>
          </cell>
          <cell r="AB27" t="str">
            <v>1990MN</v>
          </cell>
          <cell r="AC27">
            <v>0</v>
          </cell>
          <cell r="AD27">
            <v>0.25</v>
          </cell>
          <cell r="AE27">
            <v>0</v>
          </cell>
          <cell r="AF27">
            <v>0.75</v>
          </cell>
          <cell r="AH27" t="str">
            <v>MN</v>
          </cell>
          <cell r="AI27">
            <v>1</v>
          </cell>
          <cell r="AK27" t="str">
            <v>MN</v>
          </cell>
          <cell r="AL27">
            <v>1</v>
          </cell>
          <cell r="AM27">
            <v>0</v>
          </cell>
          <cell r="AO27" t="str">
            <v>MN</v>
          </cell>
          <cell r="AP27">
            <v>6.8965517241379226E-2</v>
          </cell>
          <cell r="AQ27">
            <v>1</v>
          </cell>
          <cell r="AS27" t="str">
            <v>MN</v>
          </cell>
          <cell r="AT27">
            <v>1</v>
          </cell>
          <cell r="AV27" t="str">
            <v>MN</v>
          </cell>
          <cell r="AW27">
            <v>1</v>
          </cell>
        </row>
        <row r="28">
          <cell r="B28" t="str">
            <v>1990MS</v>
          </cell>
          <cell r="C28">
            <v>7.2139457063057397E-2</v>
          </cell>
          <cell r="D28">
            <v>5.7144027087776272E-2</v>
          </cell>
          <cell r="E28">
            <v>0.13912499999999997</v>
          </cell>
          <cell r="F28">
            <v>9.7666948035818157E-2</v>
          </cell>
          <cell r="G28">
            <v>0.629</v>
          </cell>
          <cell r="H28">
            <v>4.9245678133481973E-3</v>
          </cell>
          <cell r="J28" t="str">
            <v>1990MS</v>
          </cell>
          <cell r="K28">
            <v>0.23187500000000005</v>
          </cell>
          <cell r="L28">
            <v>0.629</v>
          </cell>
          <cell r="M28">
            <v>0.13912499999999997</v>
          </cell>
          <cell r="O28" t="str">
            <v>MS</v>
          </cell>
          <cell r="P28">
            <v>1</v>
          </cell>
          <cell r="R28" t="str">
            <v>MS</v>
          </cell>
          <cell r="S28">
            <v>1</v>
          </cell>
          <cell r="U28" t="str">
            <v>1990MS</v>
          </cell>
          <cell r="V28">
            <v>0.16014467099999999</v>
          </cell>
          <cell r="W28">
            <v>3.423358E-2</v>
          </cell>
          <cell r="X28">
            <v>0.14592406599999999</v>
          </cell>
          <cell r="Y28">
            <v>0.32758962699999999</v>
          </cell>
          <cell r="Z28">
            <v>0.33210805599999998</v>
          </cell>
          <cell r="AB28" t="str">
            <v>1990MS</v>
          </cell>
          <cell r="AC28">
            <v>0.1</v>
          </cell>
          <cell r="AD28">
            <v>0.05</v>
          </cell>
          <cell r="AE28">
            <v>0.85</v>
          </cell>
          <cell r="AF28">
            <v>0</v>
          </cell>
          <cell r="AH28" t="str">
            <v>MS</v>
          </cell>
          <cell r="AI28">
            <v>1</v>
          </cell>
          <cell r="AK28" t="str">
            <v>MS</v>
          </cell>
          <cell r="AL28">
            <v>0.88</v>
          </cell>
          <cell r="AM28">
            <v>0.12</v>
          </cell>
          <cell r="AO28" t="str">
            <v>MS</v>
          </cell>
          <cell r="AP28">
            <v>0</v>
          </cell>
          <cell r="AQ28">
            <v>1</v>
          </cell>
          <cell r="AS28" t="str">
            <v>MS</v>
          </cell>
          <cell r="AT28">
            <v>1</v>
          </cell>
          <cell r="AV28" t="str">
            <v>MS</v>
          </cell>
          <cell r="AW28">
            <v>1</v>
          </cell>
        </row>
        <row r="29">
          <cell r="B29" t="str">
            <v>1990MO</v>
          </cell>
          <cell r="C29">
            <v>5.153283595336073E-2</v>
          </cell>
          <cell r="D29">
            <v>0.16235708587644762</v>
          </cell>
          <cell r="E29">
            <v>0.16983403864857355</v>
          </cell>
          <cell r="F29">
            <v>0.47108042470223738</v>
          </cell>
          <cell r="G29">
            <v>0.10054851044368285</v>
          </cell>
          <cell r="H29">
            <v>4.4647104375697792E-2</v>
          </cell>
          <cell r="J29" t="str">
            <v>1990MO</v>
          </cell>
          <cell r="K29">
            <v>0.72961745090774355</v>
          </cell>
          <cell r="L29">
            <v>0.10054851044368285</v>
          </cell>
          <cell r="M29">
            <v>0.16983403864857355</v>
          </cell>
          <cell r="O29" t="str">
            <v>MO</v>
          </cell>
          <cell r="P29">
            <v>1</v>
          </cell>
          <cell r="R29" t="str">
            <v>MO</v>
          </cell>
          <cell r="S29">
            <v>1</v>
          </cell>
          <cell r="U29" t="str">
            <v>1990MO</v>
          </cell>
          <cell r="V29">
            <v>0.15412261099999999</v>
          </cell>
          <cell r="W29">
            <v>3.8130263999999997E-2</v>
          </cell>
          <cell r="X29">
            <v>0.23688087999999999</v>
          </cell>
          <cell r="Y29">
            <v>0.158651549</v>
          </cell>
          <cell r="Z29">
            <v>0.41221469599999999</v>
          </cell>
          <cell r="AB29" t="str">
            <v>1990MO</v>
          </cell>
          <cell r="AC29">
            <v>0</v>
          </cell>
          <cell r="AD29">
            <v>0.2</v>
          </cell>
          <cell r="AE29">
            <v>0</v>
          </cell>
          <cell r="AF29">
            <v>0.8</v>
          </cell>
          <cell r="AH29" t="str">
            <v>MO</v>
          </cell>
          <cell r="AI29">
            <v>1</v>
          </cell>
          <cell r="AK29" t="str">
            <v>MO</v>
          </cell>
          <cell r="AL29">
            <v>1</v>
          </cell>
          <cell r="AM29">
            <v>0</v>
          </cell>
          <cell r="AO29" t="str">
            <v>MO</v>
          </cell>
          <cell r="AP29">
            <v>1</v>
          </cell>
          <cell r="AQ29">
            <v>1</v>
          </cell>
          <cell r="AS29" t="str">
            <v>MO</v>
          </cell>
          <cell r="AT29">
            <v>1</v>
          </cell>
          <cell r="AV29" t="str">
            <v>MO</v>
          </cell>
          <cell r="AW29">
            <v>1</v>
          </cell>
        </row>
        <row r="30">
          <cell r="B30" t="str">
            <v>1990MT</v>
          </cell>
          <cell r="C30">
            <v>0.27211618305577451</v>
          </cell>
          <cell r="D30">
            <v>0.21208932687149804</v>
          </cell>
          <cell r="E30">
            <v>8.1291949251637047E-2</v>
          </cell>
          <cell r="F30">
            <v>0.30322528776795848</v>
          </cell>
          <cell r="G30">
            <v>4.8128069457436862E-2</v>
          </cell>
          <cell r="H30">
            <v>8.3149183595694967E-2</v>
          </cell>
          <cell r="J30" t="str">
            <v>1990MT</v>
          </cell>
          <cell r="K30">
            <v>0.87057998129092606</v>
          </cell>
          <cell r="L30">
            <v>4.8128069457436862E-2</v>
          </cell>
          <cell r="M30">
            <v>8.1291949251637047E-2</v>
          </cell>
          <cell r="O30" t="str">
            <v>MT</v>
          </cell>
          <cell r="P30">
            <v>1</v>
          </cell>
          <cell r="R30" t="str">
            <v>MT</v>
          </cell>
          <cell r="S30">
            <v>1</v>
          </cell>
          <cell r="U30" t="str">
            <v>1990MT</v>
          </cell>
          <cell r="V30">
            <v>0.17487149299999999</v>
          </cell>
          <cell r="W30">
            <v>4.2271920999999997E-2</v>
          </cell>
          <cell r="X30">
            <v>0.22127201199999999</v>
          </cell>
          <cell r="Y30">
            <v>0.154214559</v>
          </cell>
          <cell r="Z30">
            <v>0.40737001499999997</v>
          </cell>
          <cell r="AB30" t="str">
            <v>1990MT</v>
          </cell>
          <cell r="AC30">
            <v>0</v>
          </cell>
          <cell r="AD30">
            <v>0.08</v>
          </cell>
          <cell r="AE30">
            <v>0.04</v>
          </cell>
          <cell r="AF30">
            <v>0.88</v>
          </cell>
          <cell r="AH30" t="str">
            <v>MT</v>
          </cell>
          <cell r="AI30">
            <v>1</v>
          </cell>
          <cell r="AK30" t="str">
            <v>MT</v>
          </cell>
          <cell r="AL30">
            <v>0.88</v>
          </cell>
          <cell r="AM30">
            <v>0.12</v>
          </cell>
          <cell r="AO30" t="str">
            <v>MT</v>
          </cell>
          <cell r="AP30">
            <v>0.22580645161290325</v>
          </cell>
          <cell r="AQ30">
            <v>1</v>
          </cell>
          <cell r="AS30" t="str">
            <v>MT</v>
          </cell>
          <cell r="AT30">
            <v>1</v>
          </cell>
          <cell r="AV30" t="str">
            <v>MT</v>
          </cell>
          <cell r="AW30">
            <v>1</v>
          </cell>
        </row>
        <row r="31">
          <cell r="B31" t="str">
            <v>1990NE</v>
          </cell>
          <cell r="C31">
            <v>5.1908406228860199E-2</v>
          </cell>
          <cell r="D31">
            <v>0.16885018509629057</v>
          </cell>
          <cell r="E31">
            <v>0.16813223920364137</v>
          </cell>
          <cell r="F31">
            <v>0.46390423057567187</v>
          </cell>
          <cell r="G31">
            <v>9.9540977438971737E-2</v>
          </cell>
          <cell r="H31">
            <v>4.7663961456564249E-2</v>
          </cell>
          <cell r="J31" t="str">
            <v>1990NE</v>
          </cell>
          <cell r="K31">
            <v>0.73232678335738688</v>
          </cell>
          <cell r="L31">
            <v>9.9540977438971737E-2</v>
          </cell>
          <cell r="M31">
            <v>0.16813223920364137</v>
          </cell>
          <cell r="O31" t="str">
            <v>NE</v>
          </cell>
          <cell r="P31">
            <v>1</v>
          </cell>
          <cell r="R31" t="str">
            <v>NE</v>
          </cell>
          <cell r="S31">
            <v>1</v>
          </cell>
          <cell r="U31" t="str">
            <v>1990NE</v>
          </cell>
          <cell r="V31">
            <v>0.102933355</v>
          </cell>
          <cell r="W31">
            <v>4.0650909999999998E-2</v>
          </cell>
          <cell r="X31">
            <v>0.25201530900000002</v>
          </cell>
          <cell r="Y31">
            <v>0.163616556</v>
          </cell>
          <cell r="Z31">
            <v>0.44078387099999999</v>
          </cell>
          <cell r="AB31" t="str">
            <v>1990NE</v>
          </cell>
          <cell r="AC31">
            <v>0</v>
          </cell>
          <cell r="AD31">
            <v>0</v>
          </cell>
          <cell r="AE31">
            <v>0</v>
          </cell>
          <cell r="AF31">
            <v>1</v>
          </cell>
          <cell r="AH31" t="str">
            <v>NE</v>
          </cell>
          <cell r="AI31">
            <v>1</v>
          </cell>
          <cell r="AK31" t="str">
            <v>NE</v>
          </cell>
          <cell r="AL31">
            <v>1</v>
          </cell>
          <cell r="AM31">
            <v>0</v>
          </cell>
          <cell r="AO31" t="str">
            <v>NE</v>
          </cell>
          <cell r="AP31">
            <v>7.4999999999999997E-2</v>
          </cell>
          <cell r="AQ31">
            <v>1</v>
          </cell>
          <cell r="AS31" t="str">
            <v>NE</v>
          </cell>
          <cell r="AT31">
            <v>1</v>
          </cell>
          <cell r="AV31" t="str">
            <v>NE</v>
          </cell>
          <cell r="AW31">
            <v>1</v>
          </cell>
        </row>
        <row r="32">
          <cell r="B32" t="str">
            <v>1990NV</v>
          </cell>
          <cell r="C32">
            <v>0.58321712696858785</v>
          </cell>
          <cell r="D32">
            <v>0.26612901880698692</v>
          </cell>
          <cell r="E32">
            <v>1.7168192153980431E-2</v>
          </cell>
          <cell r="F32">
            <v>0.11278702931800995</v>
          </cell>
          <cell r="G32">
            <v>1.0164253066286922E-2</v>
          </cell>
          <cell r="H32">
            <v>1.0534379686147882E-2</v>
          </cell>
          <cell r="J32" t="str">
            <v>1990NV</v>
          </cell>
          <cell r="K32">
            <v>0.97266755477973266</v>
          </cell>
          <cell r="L32">
            <v>1.0164253066286922E-2</v>
          </cell>
          <cell r="M32">
            <v>1.7168192153980431E-2</v>
          </cell>
          <cell r="O32" t="str">
            <v>NV</v>
          </cell>
          <cell r="P32">
            <v>1</v>
          </cell>
          <cell r="R32" t="str">
            <v>NV</v>
          </cell>
          <cell r="S32">
            <v>1</v>
          </cell>
          <cell r="U32" t="str">
            <v>1990NV</v>
          </cell>
          <cell r="V32">
            <v>1</v>
          </cell>
          <cell r="W32">
            <v>0</v>
          </cell>
          <cell r="X32">
            <v>0</v>
          </cell>
          <cell r="Y32">
            <v>0</v>
          </cell>
          <cell r="Z32">
            <v>0</v>
          </cell>
          <cell r="AB32" t="str">
            <v>1990NV</v>
          </cell>
          <cell r="AC32">
            <v>0.25</v>
          </cell>
          <cell r="AD32">
            <v>0</v>
          </cell>
          <cell r="AE32">
            <v>0</v>
          </cell>
          <cell r="AF32">
            <v>0.75</v>
          </cell>
          <cell r="AH32" t="str">
            <v>NV</v>
          </cell>
          <cell r="AI32">
            <v>1</v>
          </cell>
          <cell r="AK32" t="str">
            <v>NV</v>
          </cell>
          <cell r="AL32">
            <v>0.88</v>
          </cell>
          <cell r="AM32">
            <v>0.12</v>
          </cell>
          <cell r="AO32" t="str">
            <v>NV</v>
          </cell>
          <cell r="AP32">
            <v>1</v>
          </cell>
          <cell r="AQ32">
            <v>1</v>
          </cell>
          <cell r="AS32" t="str">
            <v>NV</v>
          </cell>
          <cell r="AT32">
            <v>1</v>
          </cell>
          <cell r="AV32" t="str">
            <v>NV</v>
          </cell>
          <cell r="AW32">
            <v>1</v>
          </cell>
        </row>
        <row r="33">
          <cell r="B33" t="str">
            <v>1990NH</v>
          </cell>
          <cell r="C33">
            <v>4.8620269206716804E-2</v>
          </cell>
          <cell r="D33">
            <v>0.13133144984245765</v>
          </cell>
          <cell r="E33">
            <v>0.46171571960078184</v>
          </cell>
          <cell r="F33">
            <v>0.24952278229823527</v>
          </cell>
          <cell r="G33">
            <v>8.2113719085214754E-2</v>
          </cell>
          <cell r="H33">
            <v>2.6696059966593612E-2</v>
          </cell>
          <cell r="J33" t="str">
            <v>1990NH</v>
          </cell>
          <cell r="K33">
            <v>0.45617056131400346</v>
          </cell>
          <cell r="L33">
            <v>8.2113719085214754E-2</v>
          </cell>
          <cell r="M33">
            <v>0.46171571960078184</v>
          </cell>
          <cell r="O33" t="str">
            <v>NH</v>
          </cell>
          <cell r="P33">
            <v>1</v>
          </cell>
          <cell r="R33" t="str">
            <v>NH</v>
          </cell>
          <cell r="S33">
            <v>1</v>
          </cell>
          <cell r="U33" t="str">
            <v>1990NH</v>
          </cell>
          <cell r="V33">
            <v>1</v>
          </cell>
          <cell r="W33">
            <v>0</v>
          </cell>
          <cell r="X33">
            <v>0</v>
          </cell>
          <cell r="Y33">
            <v>0</v>
          </cell>
          <cell r="Z33">
            <v>0</v>
          </cell>
          <cell r="AB33" t="str">
            <v>1990NH</v>
          </cell>
          <cell r="AC33">
            <v>0</v>
          </cell>
          <cell r="AD33">
            <v>0</v>
          </cell>
          <cell r="AE33">
            <v>0</v>
          </cell>
          <cell r="AF33">
            <v>1</v>
          </cell>
          <cell r="AH33" t="str">
            <v>NH</v>
          </cell>
          <cell r="AI33">
            <v>1</v>
          </cell>
          <cell r="AK33" t="str">
            <v>NH</v>
          </cell>
          <cell r="AL33">
            <v>1</v>
          </cell>
          <cell r="AM33">
            <v>0</v>
          </cell>
          <cell r="AO33" t="str">
            <v>NH</v>
          </cell>
          <cell r="AP33">
            <v>0</v>
          </cell>
          <cell r="AQ33">
            <v>1</v>
          </cell>
          <cell r="AS33" t="str">
            <v>NH</v>
          </cell>
          <cell r="AT33">
            <v>1</v>
          </cell>
          <cell r="AV33" t="str">
            <v>NH</v>
          </cell>
          <cell r="AW33">
            <v>1</v>
          </cell>
        </row>
        <row r="34">
          <cell r="B34" t="str">
            <v>1990NJ</v>
          </cell>
          <cell r="C34">
            <v>4.1425102160875658E-2</v>
          </cell>
          <cell r="D34">
            <v>0.11770631829422606</v>
          </cell>
          <cell r="E34">
            <v>0.4677438395121068</v>
          </cell>
          <cell r="F34">
            <v>0.25928143277603805</v>
          </cell>
          <cell r="G34">
            <v>8.755137367995762E-2</v>
          </cell>
          <cell r="H34">
            <v>2.6291933576795837E-2</v>
          </cell>
          <cell r="J34" t="str">
            <v>1990NJ</v>
          </cell>
          <cell r="K34">
            <v>0.44470478680793557</v>
          </cell>
          <cell r="L34">
            <v>8.755137367995762E-2</v>
          </cell>
          <cell r="M34">
            <v>0.4677438395121068</v>
          </cell>
          <cell r="O34" t="str">
            <v>NJ</v>
          </cell>
          <cell r="P34">
            <v>1</v>
          </cell>
          <cell r="R34" t="str">
            <v>NJ</v>
          </cell>
          <cell r="S34">
            <v>1</v>
          </cell>
          <cell r="U34" t="str">
            <v>1990NJ</v>
          </cell>
          <cell r="V34">
            <v>0.48238382800000001</v>
          </cell>
          <cell r="W34">
            <v>2.2775112E-2</v>
          </cell>
          <cell r="X34">
            <v>0.14286206400000001</v>
          </cell>
          <cell r="Y34">
            <v>0.109217012</v>
          </cell>
          <cell r="Z34">
            <v>0.24276198500000001</v>
          </cell>
          <cell r="AB34" t="str">
            <v>1990NJ</v>
          </cell>
          <cell r="AC34">
            <v>0.1</v>
          </cell>
          <cell r="AD34">
            <v>0.09</v>
          </cell>
          <cell r="AE34">
            <v>0</v>
          </cell>
          <cell r="AF34">
            <v>0.81</v>
          </cell>
          <cell r="AH34" t="str">
            <v>NJ</v>
          </cell>
          <cell r="AI34">
            <v>1</v>
          </cell>
          <cell r="AK34" t="str">
            <v>NJ</v>
          </cell>
          <cell r="AL34">
            <v>0.75</v>
          </cell>
          <cell r="AM34">
            <v>0.25</v>
          </cell>
          <cell r="AO34" t="str">
            <v>NJ</v>
          </cell>
          <cell r="AP34">
            <v>0</v>
          </cell>
          <cell r="AQ34">
            <v>1</v>
          </cell>
          <cell r="AS34" t="str">
            <v>NJ</v>
          </cell>
          <cell r="AT34">
            <v>1</v>
          </cell>
          <cell r="AV34" t="str">
            <v>NJ</v>
          </cell>
          <cell r="AW34">
            <v>1</v>
          </cell>
        </row>
        <row r="35">
          <cell r="B35" t="str">
            <v>1990NM</v>
          </cell>
          <cell r="C35">
            <v>0.59149831028495392</v>
          </cell>
          <cell r="D35">
            <v>0.21331204046073038</v>
          </cell>
          <cell r="E35">
            <v>9.282796906413579E-2</v>
          </cell>
          <cell r="F35">
            <v>9.8615847240322796E-2</v>
          </cell>
          <cell r="G35">
            <v>0</v>
          </cell>
          <cell r="H35">
            <v>3.7458329498570439E-3</v>
          </cell>
          <cell r="J35" t="str">
            <v>1990NM</v>
          </cell>
          <cell r="K35">
            <v>0.90717203093586418</v>
          </cell>
          <cell r="L35">
            <v>0</v>
          </cell>
          <cell r="M35">
            <v>9.282796906413579E-2</v>
          </cell>
          <cell r="O35" t="str">
            <v>NM</v>
          </cell>
          <cell r="P35">
            <v>1</v>
          </cell>
          <cell r="R35" t="str">
            <v>NM</v>
          </cell>
          <cell r="S35">
            <v>1</v>
          </cell>
          <cell r="U35" t="str">
            <v>1990NM</v>
          </cell>
          <cell r="V35">
            <v>1</v>
          </cell>
          <cell r="W35">
            <v>0</v>
          </cell>
          <cell r="X35">
            <v>0</v>
          </cell>
          <cell r="Y35">
            <v>0</v>
          </cell>
          <cell r="Z35">
            <v>0</v>
          </cell>
          <cell r="AB35" t="str">
            <v>1990NM</v>
          </cell>
          <cell r="AC35">
            <v>0.25</v>
          </cell>
          <cell r="AD35">
            <v>0.1</v>
          </cell>
          <cell r="AE35">
            <v>0.2</v>
          </cell>
          <cell r="AF35">
            <v>0.45</v>
          </cell>
          <cell r="AH35" t="str">
            <v>NM</v>
          </cell>
          <cell r="AI35">
            <v>1</v>
          </cell>
          <cell r="AK35" t="str">
            <v>NM</v>
          </cell>
          <cell r="AL35">
            <v>0.88</v>
          </cell>
          <cell r="AM35">
            <v>0.12</v>
          </cell>
          <cell r="AO35" t="str">
            <v>NM</v>
          </cell>
          <cell r="AP35">
            <v>1</v>
          </cell>
          <cell r="AQ35">
            <v>1</v>
          </cell>
          <cell r="AS35" t="str">
            <v>NM</v>
          </cell>
          <cell r="AT35">
            <v>1</v>
          </cell>
          <cell r="AV35" t="str">
            <v>NM</v>
          </cell>
          <cell r="AW35">
            <v>1</v>
          </cell>
        </row>
        <row r="36">
          <cell r="B36" t="str">
            <v>1990NY</v>
          </cell>
          <cell r="C36">
            <v>5.1577097108474732E-2</v>
          </cell>
          <cell r="D36">
            <v>0.12227904581481985</v>
          </cell>
          <cell r="E36">
            <v>0.4647326326548461</v>
          </cell>
          <cell r="F36">
            <v>0.25122610680572177</v>
          </cell>
          <cell r="G36">
            <v>8.4835120014806878E-2</v>
          </cell>
          <cell r="H36">
            <v>2.5349997601330651E-2</v>
          </cell>
          <cell r="J36" t="str">
            <v>1990NY</v>
          </cell>
          <cell r="K36">
            <v>0.45043224733034704</v>
          </cell>
          <cell r="L36">
            <v>8.4835120014806878E-2</v>
          </cell>
          <cell r="M36">
            <v>0.4647326326548461</v>
          </cell>
          <cell r="O36" t="str">
            <v>NY</v>
          </cell>
          <cell r="P36">
            <v>1</v>
          </cell>
          <cell r="R36" t="str">
            <v>NY</v>
          </cell>
          <cell r="S36">
            <v>1</v>
          </cell>
          <cell r="U36" t="str">
            <v>1990NY</v>
          </cell>
          <cell r="V36">
            <v>0.40442275900000002</v>
          </cell>
          <cell r="W36">
            <v>2.6205399000000001E-2</v>
          </cell>
          <cell r="X36">
            <v>0.164379318</v>
          </cell>
          <cell r="Y36">
            <v>0.125666798</v>
          </cell>
          <cell r="Z36">
            <v>0.279325726</v>
          </cell>
          <cell r="AB36" t="str">
            <v>1990NY</v>
          </cell>
          <cell r="AC36">
            <v>0.1</v>
          </cell>
          <cell r="AD36">
            <v>0.3</v>
          </cell>
          <cell r="AE36">
            <v>0</v>
          </cell>
          <cell r="AF36">
            <v>0.6</v>
          </cell>
          <cell r="AH36" t="str">
            <v>NY</v>
          </cell>
          <cell r="AI36">
            <v>1</v>
          </cell>
          <cell r="AK36" t="str">
            <v>NY</v>
          </cell>
          <cell r="AL36">
            <v>1</v>
          </cell>
          <cell r="AM36">
            <v>0</v>
          </cell>
          <cell r="AO36" t="str">
            <v>NY</v>
          </cell>
          <cell r="AP36">
            <v>0</v>
          </cell>
          <cell r="AQ36">
            <v>1</v>
          </cell>
          <cell r="AS36" t="str">
            <v>NY</v>
          </cell>
          <cell r="AT36">
            <v>1</v>
          </cell>
          <cell r="AV36" t="str">
            <v>NY</v>
          </cell>
          <cell r="AW36">
            <v>1</v>
          </cell>
        </row>
        <row r="37">
          <cell r="B37" t="str">
            <v>1990NC</v>
          </cell>
          <cell r="C37">
            <v>3.1231091049289766E-2</v>
          </cell>
          <cell r="D37">
            <v>8.0105981219265779E-2</v>
          </cell>
          <cell r="E37">
            <v>0.13912499999999997</v>
          </cell>
          <cell r="F37">
            <v>0.10489192244022913</v>
          </cell>
          <cell r="G37">
            <v>0.629</v>
          </cell>
          <cell r="H37">
            <v>1.5646005291215355E-2</v>
          </cell>
          <cell r="J37" t="str">
            <v>1990NC</v>
          </cell>
          <cell r="K37">
            <v>0.23187500000000005</v>
          </cell>
          <cell r="L37">
            <v>0.629</v>
          </cell>
          <cell r="M37">
            <v>0.13912499999999997</v>
          </cell>
          <cell r="O37" t="str">
            <v>NC</v>
          </cell>
          <cell r="P37">
            <v>1</v>
          </cell>
          <cell r="R37" t="str">
            <v>NC</v>
          </cell>
          <cell r="S37">
            <v>1</v>
          </cell>
          <cell r="U37" t="str">
            <v>1990NC</v>
          </cell>
          <cell r="V37">
            <v>1.9145736999999999E-2</v>
          </cell>
          <cell r="W37">
            <v>3.7223639000000003E-2</v>
          </cell>
          <cell r="X37">
            <v>8.3372556E-2</v>
          </cell>
          <cell r="Y37">
            <v>0.53502281299999999</v>
          </cell>
          <cell r="Z37">
            <v>0.325235255</v>
          </cell>
          <cell r="AB37" t="str">
            <v>1990NC</v>
          </cell>
          <cell r="AC37">
            <v>0.5</v>
          </cell>
          <cell r="AD37">
            <v>0.05</v>
          </cell>
          <cell r="AE37">
            <v>0.3</v>
          </cell>
          <cell r="AF37">
            <v>0.15</v>
          </cell>
          <cell r="AH37" t="str">
            <v>NC</v>
          </cell>
          <cell r="AI37">
            <v>1</v>
          </cell>
          <cell r="AK37" t="str">
            <v>NC</v>
          </cell>
          <cell r="AL37">
            <v>0.9</v>
          </cell>
          <cell r="AM37">
            <v>0.1</v>
          </cell>
          <cell r="AO37" t="str">
            <v>NC</v>
          </cell>
          <cell r="AP37">
            <v>0</v>
          </cell>
          <cell r="AQ37">
            <v>1</v>
          </cell>
          <cell r="AS37" t="str">
            <v>NC</v>
          </cell>
          <cell r="AT37">
            <v>1</v>
          </cell>
          <cell r="AV37" t="str">
            <v>NC</v>
          </cell>
          <cell r="AW37">
            <v>1</v>
          </cell>
        </row>
        <row r="38">
          <cell r="B38" t="str">
            <v>1990ND</v>
          </cell>
          <cell r="C38">
            <v>3.6166887244298729E-2</v>
          </cell>
          <cell r="D38">
            <v>0.12513521121721397</v>
          </cell>
          <cell r="E38">
            <v>0.23484334312612676</v>
          </cell>
          <cell r="F38">
            <v>0.42941196164222856</v>
          </cell>
          <cell r="G38">
            <v>0.13903660612939842</v>
          </cell>
          <cell r="H38">
            <v>3.5405990640733589E-2</v>
          </cell>
          <cell r="J38" t="str">
            <v>1990ND</v>
          </cell>
          <cell r="K38">
            <v>0.62612005074447485</v>
          </cell>
          <cell r="L38">
            <v>0.13903660612939842</v>
          </cell>
          <cell r="M38">
            <v>0.23484334312612676</v>
          </cell>
          <cell r="O38" t="str">
            <v>ND</v>
          </cell>
          <cell r="P38">
            <v>1</v>
          </cell>
          <cell r="R38" t="str">
            <v>ND</v>
          </cell>
          <cell r="S38">
            <v>1</v>
          </cell>
          <cell r="U38" t="str">
            <v>1990ND</v>
          </cell>
          <cell r="V38">
            <v>0.23483451899999999</v>
          </cell>
          <cell r="W38">
            <v>3.5631589999999998E-2</v>
          </cell>
          <cell r="X38">
            <v>0.209057671</v>
          </cell>
          <cell r="Y38">
            <v>0.15490222000000001</v>
          </cell>
          <cell r="Z38">
            <v>0.36557400000000001</v>
          </cell>
          <cell r="AB38" t="str">
            <v>1990ND</v>
          </cell>
          <cell r="AC38">
            <v>0</v>
          </cell>
          <cell r="AD38">
            <v>0.05</v>
          </cell>
          <cell r="AE38">
            <v>0.05</v>
          </cell>
          <cell r="AF38">
            <v>0.9</v>
          </cell>
          <cell r="AH38" t="str">
            <v>ND</v>
          </cell>
          <cell r="AI38">
            <v>1</v>
          </cell>
          <cell r="AK38" t="str">
            <v>ND</v>
          </cell>
          <cell r="AL38">
            <v>0.4</v>
          </cell>
          <cell r="AM38">
            <v>0.6</v>
          </cell>
          <cell r="AO38" t="str">
            <v>ND</v>
          </cell>
          <cell r="AP38">
            <v>2.8571428571428692E-2</v>
          </cell>
          <cell r="AQ38">
            <v>1</v>
          </cell>
          <cell r="AS38" t="str">
            <v>ND</v>
          </cell>
          <cell r="AT38">
            <v>1</v>
          </cell>
          <cell r="AV38" t="str">
            <v>ND</v>
          </cell>
          <cell r="AW38">
            <v>1</v>
          </cell>
        </row>
        <row r="39">
          <cell r="B39" t="str">
            <v>1990OH</v>
          </cell>
          <cell r="C39">
            <v>5.066011633437862E-2</v>
          </cell>
          <cell r="D39">
            <v>0.15372917547601667</v>
          </cell>
          <cell r="E39">
            <v>0.20097102370153919</v>
          </cell>
          <cell r="F39">
            <v>0.43615838068739293</v>
          </cell>
          <cell r="G39">
            <v>0.11898284487802568</v>
          </cell>
          <cell r="H39">
            <v>3.949845892264691E-2</v>
          </cell>
          <cell r="J39" t="str">
            <v>1990OH</v>
          </cell>
          <cell r="K39">
            <v>0.68004613142043513</v>
          </cell>
          <cell r="L39">
            <v>0.11898284487802568</v>
          </cell>
          <cell r="M39">
            <v>0.20097102370153919</v>
          </cell>
          <cell r="O39" t="str">
            <v>OH</v>
          </cell>
          <cell r="P39">
            <v>1</v>
          </cell>
          <cell r="R39" t="str">
            <v>OH</v>
          </cell>
          <cell r="S39">
            <v>1</v>
          </cell>
          <cell r="U39" t="str">
            <v>1990OH</v>
          </cell>
          <cell r="V39">
            <v>0.17112533799999999</v>
          </cell>
          <cell r="W39">
            <v>3.7090797000000002E-2</v>
          </cell>
          <cell r="X39">
            <v>0.231095575</v>
          </cell>
          <cell r="Y39">
            <v>0.161400776</v>
          </cell>
          <cell r="Z39">
            <v>0.39928751400000001</v>
          </cell>
          <cell r="AB39" t="str">
            <v>1990OH</v>
          </cell>
          <cell r="AC39">
            <v>0</v>
          </cell>
          <cell r="AD39">
            <v>0</v>
          </cell>
          <cell r="AE39">
            <v>0</v>
          </cell>
          <cell r="AF39">
            <v>1</v>
          </cell>
          <cell r="AH39" t="str">
            <v>OH</v>
          </cell>
          <cell r="AI39">
            <v>1</v>
          </cell>
          <cell r="AK39" t="str">
            <v>OH</v>
          </cell>
          <cell r="AL39">
            <v>1</v>
          </cell>
          <cell r="AM39">
            <v>0</v>
          </cell>
          <cell r="AO39" t="str">
            <v>OH</v>
          </cell>
          <cell r="AP39">
            <v>0.29032258064516125</v>
          </cell>
          <cell r="AQ39">
            <v>1</v>
          </cell>
          <cell r="AS39" t="str">
            <v>OH</v>
          </cell>
          <cell r="AT39">
            <v>1</v>
          </cell>
          <cell r="AV39" t="str">
            <v>OH</v>
          </cell>
          <cell r="AW39">
            <v>1</v>
          </cell>
        </row>
        <row r="40">
          <cell r="B40" t="str">
            <v>1990OK</v>
          </cell>
          <cell r="C40">
            <v>0.30427550610539844</v>
          </cell>
          <cell r="D40">
            <v>0.23758473588590073</v>
          </cell>
          <cell r="E40">
            <v>0.05</v>
          </cell>
          <cell r="F40">
            <v>0.32064210685683209</v>
          </cell>
          <cell r="G40">
            <v>0</v>
          </cell>
          <cell r="H40">
            <v>8.7497651151868694E-2</v>
          </cell>
          <cell r="J40" t="str">
            <v>1990OK</v>
          </cell>
          <cell r="K40">
            <v>0.95</v>
          </cell>
          <cell r="L40">
            <v>0</v>
          </cell>
          <cell r="M40">
            <v>0.05</v>
          </cell>
          <cell r="O40" t="str">
            <v>OK</v>
          </cell>
          <cell r="P40">
            <v>1</v>
          </cell>
          <cell r="R40" t="str">
            <v>OK</v>
          </cell>
          <cell r="S40">
            <v>1</v>
          </cell>
          <cell r="U40" t="str">
            <v>1990OK</v>
          </cell>
          <cell r="V40">
            <v>0.26202039300000002</v>
          </cell>
          <cell r="W40">
            <v>2.9186218999999999E-2</v>
          </cell>
          <cell r="X40">
            <v>9.9973907000000001E-2</v>
          </cell>
          <cell r="Y40">
            <v>0.33732082800000002</v>
          </cell>
          <cell r="Z40">
            <v>0.27149865400000001</v>
          </cell>
          <cell r="AB40" t="str">
            <v>1990OK</v>
          </cell>
          <cell r="AC40">
            <v>0</v>
          </cell>
          <cell r="AD40">
            <v>0.2</v>
          </cell>
          <cell r="AE40">
            <v>0</v>
          </cell>
          <cell r="AF40">
            <v>0.8</v>
          </cell>
          <cell r="AH40" t="str">
            <v>OK</v>
          </cell>
          <cell r="AI40">
            <v>1</v>
          </cell>
          <cell r="AK40" t="str">
            <v>OK</v>
          </cell>
          <cell r="AL40">
            <v>0.88</v>
          </cell>
          <cell r="AM40">
            <v>0.12</v>
          </cell>
          <cell r="AO40" t="str">
            <v>OK</v>
          </cell>
          <cell r="AP40">
            <v>1</v>
          </cell>
          <cell r="AQ40">
            <v>1</v>
          </cell>
          <cell r="AS40" t="str">
            <v>OK</v>
          </cell>
          <cell r="AT40">
            <v>1</v>
          </cell>
          <cell r="AV40" t="str">
            <v>OK</v>
          </cell>
          <cell r="AW40">
            <v>1</v>
          </cell>
        </row>
        <row r="41">
          <cell r="B41" t="str">
            <v>1990OR</v>
          </cell>
          <cell r="C41">
            <v>0.30172764387032441</v>
          </cell>
          <cell r="D41">
            <v>0.18986311338759157</v>
          </cell>
          <cell r="E41">
            <v>0</v>
          </cell>
          <cell r="F41">
            <v>0.14442577716150223</v>
          </cell>
          <cell r="G41">
            <v>0.33079492098752972</v>
          </cell>
          <cell r="H41">
            <v>3.3188544593052031E-2</v>
          </cell>
          <cell r="J41" t="str">
            <v>1990OR</v>
          </cell>
          <cell r="K41">
            <v>0.66920507901247028</v>
          </cell>
          <cell r="L41">
            <v>0.33079492098752972</v>
          </cell>
          <cell r="M41">
            <v>0</v>
          </cell>
          <cell r="O41" t="str">
            <v>OR</v>
          </cell>
          <cell r="P41">
            <v>1</v>
          </cell>
          <cell r="R41" t="str">
            <v>OR</v>
          </cell>
          <cell r="S41">
            <v>1</v>
          </cell>
          <cell r="U41" t="str">
            <v>1990OR</v>
          </cell>
          <cell r="V41">
            <v>0.48801771300000002</v>
          </cell>
          <cell r="W41">
            <v>2.2527221E-2</v>
          </cell>
          <cell r="X41">
            <v>0.14130711100000001</v>
          </cell>
          <cell r="Y41">
            <v>0.108028263</v>
          </cell>
          <cell r="Z41">
            <v>0.240119693</v>
          </cell>
          <cell r="AB41" t="str">
            <v>1990OR</v>
          </cell>
          <cell r="AC41">
            <v>0</v>
          </cell>
          <cell r="AD41">
            <v>0.09</v>
          </cell>
          <cell r="AE41">
            <v>0.11</v>
          </cell>
          <cell r="AF41">
            <v>0.8</v>
          </cell>
          <cell r="AH41" t="str">
            <v>OR</v>
          </cell>
          <cell r="AI41">
            <v>1</v>
          </cell>
          <cell r="AK41" t="str">
            <v>OR</v>
          </cell>
          <cell r="AL41">
            <v>1</v>
          </cell>
          <cell r="AM41">
            <v>0</v>
          </cell>
          <cell r="AO41" t="str">
            <v>OR</v>
          </cell>
          <cell r="AP41">
            <v>0.7021276595744681</v>
          </cell>
          <cell r="AQ41">
            <v>1</v>
          </cell>
          <cell r="AS41" t="str">
            <v>OR</v>
          </cell>
          <cell r="AT41">
            <v>1</v>
          </cell>
          <cell r="AV41" t="str">
            <v>OR</v>
          </cell>
          <cell r="AW41">
            <v>1</v>
          </cell>
        </row>
        <row r="42">
          <cell r="B42" t="str">
            <v>1990PA</v>
          </cell>
          <cell r="C42">
            <v>2.921516527495149E-2</v>
          </cell>
          <cell r="D42">
            <v>8.9778762884150654E-2</v>
          </cell>
          <cell r="E42">
            <v>0.48261555570995929</v>
          </cell>
          <cell r="F42">
            <v>0.27379413342288028</v>
          </cell>
          <cell r="G42">
            <v>0.10096637820948601</v>
          </cell>
          <cell r="H42">
            <v>2.3630004498572259E-2</v>
          </cell>
          <cell r="J42" t="str">
            <v>1990PA</v>
          </cell>
          <cell r="K42">
            <v>0.41641806608055476</v>
          </cell>
          <cell r="L42">
            <v>0.10096637820948601</v>
          </cell>
          <cell r="M42">
            <v>0.48261555570995929</v>
          </cell>
          <cell r="O42" t="str">
            <v>PA</v>
          </cell>
          <cell r="P42">
            <v>1</v>
          </cell>
          <cell r="R42" t="str">
            <v>PA</v>
          </cell>
          <cell r="S42">
            <v>1</v>
          </cell>
          <cell r="U42" t="str">
            <v>1990PA</v>
          </cell>
          <cell r="V42">
            <v>0.107982326</v>
          </cell>
          <cell r="W42">
            <v>4.3663312000000003E-2</v>
          </cell>
          <cell r="X42">
            <v>0.24141446599999999</v>
          </cell>
          <cell r="Y42">
            <v>0.173500614</v>
          </cell>
          <cell r="Z42">
            <v>0.43343928199999998</v>
          </cell>
          <cell r="AB42" t="str">
            <v>1990PA</v>
          </cell>
          <cell r="AC42">
            <v>0.3</v>
          </cell>
          <cell r="AD42">
            <v>0.05</v>
          </cell>
          <cell r="AE42">
            <v>0</v>
          </cell>
          <cell r="AF42">
            <v>0.65</v>
          </cell>
          <cell r="AH42" t="str">
            <v>PA</v>
          </cell>
          <cell r="AI42">
            <v>1</v>
          </cell>
          <cell r="AK42" t="str">
            <v>PA</v>
          </cell>
          <cell r="AL42">
            <v>0.9</v>
          </cell>
          <cell r="AM42">
            <v>0.1</v>
          </cell>
          <cell r="AO42" t="str">
            <v>PA</v>
          </cell>
          <cell r="AP42">
            <v>0</v>
          </cell>
          <cell r="AQ42">
            <v>1</v>
          </cell>
          <cell r="AS42" t="str">
            <v>PA</v>
          </cell>
          <cell r="AT42">
            <v>1</v>
          </cell>
          <cell r="AV42" t="str">
            <v>PA</v>
          </cell>
          <cell r="AW42">
            <v>1</v>
          </cell>
        </row>
        <row r="43">
          <cell r="B43" t="str">
            <v>1990RI</v>
          </cell>
          <cell r="C43">
            <v>2.1160119314162895E-2</v>
          </cell>
          <cell r="D43">
            <v>8.3381202076593594E-2</v>
          </cell>
          <cell r="E43">
            <v>0.47900321677679891</v>
          </cell>
          <cell r="F43">
            <v>0.28958768063488644</v>
          </cell>
          <cell r="G43">
            <v>9.7707874449339191E-2</v>
          </cell>
          <cell r="H43">
            <v>2.9159906748219042E-2</v>
          </cell>
          <cell r="J43" t="str">
            <v>1990RI</v>
          </cell>
          <cell r="K43">
            <v>0.42328890877386194</v>
          </cell>
          <cell r="L43">
            <v>9.7707874449339191E-2</v>
          </cell>
          <cell r="M43">
            <v>0.47900321677679891</v>
          </cell>
          <cell r="O43" t="str">
            <v>RI</v>
          </cell>
          <cell r="P43">
            <v>1</v>
          </cell>
          <cell r="R43" t="str">
            <v>RI</v>
          </cell>
          <cell r="S43">
            <v>1</v>
          </cell>
          <cell r="U43" t="str">
            <v>1990RI</v>
          </cell>
          <cell r="V43">
            <v>0.238419619</v>
          </cell>
          <cell r="W43">
            <v>3.3509536999999999E-2</v>
          </cell>
          <cell r="X43">
            <v>0.21019618500000001</v>
          </cell>
          <cell r="Y43">
            <v>0.16069346000000001</v>
          </cell>
          <cell r="Z43">
            <v>0.357181199</v>
          </cell>
          <cell r="AB43" t="str">
            <v>1990RI</v>
          </cell>
          <cell r="AC43">
            <v>0.1</v>
          </cell>
          <cell r="AD43">
            <v>0.09</v>
          </cell>
          <cell r="AE43">
            <v>0</v>
          </cell>
          <cell r="AF43">
            <v>0.81</v>
          </cell>
          <cell r="AH43" t="str">
            <v>RI</v>
          </cell>
          <cell r="AI43">
            <v>1</v>
          </cell>
          <cell r="AK43" t="str">
            <v>RI</v>
          </cell>
          <cell r="AL43">
            <v>0.88</v>
          </cell>
          <cell r="AM43">
            <v>0.12</v>
          </cell>
          <cell r="AO43" t="str">
            <v>RI</v>
          </cell>
          <cell r="AP43">
            <v>0</v>
          </cell>
          <cell r="AQ43">
            <v>1</v>
          </cell>
          <cell r="AS43" t="str">
            <v>RI</v>
          </cell>
          <cell r="AT43">
            <v>1</v>
          </cell>
          <cell r="AV43" t="str">
            <v>RI</v>
          </cell>
          <cell r="AW43">
            <v>1</v>
          </cell>
        </row>
        <row r="44">
          <cell r="B44" t="str">
            <v>1990SC</v>
          </cell>
          <cell r="C44">
            <v>0.1060530561491369</v>
          </cell>
          <cell r="D44">
            <v>7.686375254995774E-2</v>
          </cell>
          <cell r="E44">
            <v>0.14718439291419974</v>
          </cell>
          <cell r="F44">
            <v>8.4697332518529636E-2</v>
          </cell>
          <cell r="G44">
            <v>0.58118933057670019</v>
          </cell>
          <cell r="H44">
            <v>4.0121352914758305E-3</v>
          </cell>
          <cell r="J44" t="str">
            <v>1990SC</v>
          </cell>
          <cell r="K44">
            <v>0.2716262765091001</v>
          </cell>
          <cell r="L44">
            <v>0.58118933057670019</v>
          </cell>
          <cell r="M44">
            <v>0.14718439291419974</v>
          </cell>
          <cell r="O44" t="str">
            <v>SC</v>
          </cell>
          <cell r="P44">
            <v>1</v>
          </cell>
          <cell r="R44" t="str">
            <v>SC</v>
          </cell>
          <cell r="S44">
            <v>1</v>
          </cell>
          <cell r="U44" t="str">
            <v>1990SC</v>
          </cell>
          <cell r="V44">
            <v>0.18186841400000001</v>
          </cell>
          <cell r="W44">
            <v>3.3645216999999998E-2</v>
          </cell>
          <cell r="X44">
            <v>0.15153023199999999</v>
          </cell>
          <cell r="Y44">
            <v>0.30268943599999998</v>
          </cell>
          <cell r="Z44">
            <v>0.33026670200000002</v>
          </cell>
          <cell r="AB44" t="str">
            <v>1990SC</v>
          </cell>
          <cell r="AC44">
            <v>0.1</v>
          </cell>
          <cell r="AD44">
            <v>0</v>
          </cell>
          <cell r="AE44">
            <v>0.4</v>
          </cell>
          <cell r="AF44">
            <v>0.5</v>
          </cell>
          <cell r="AH44" t="str">
            <v>SC</v>
          </cell>
          <cell r="AI44">
            <v>1</v>
          </cell>
          <cell r="AK44" t="str">
            <v>SC</v>
          </cell>
          <cell r="AL44">
            <v>0.95</v>
          </cell>
          <cell r="AM44">
            <v>0.05</v>
          </cell>
          <cell r="AO44" t="str">
            <v>SC</v>
          </cell>
          <cell r="AP44">
            <v>0</v>
          </cell>
          <cell r="AQ44">
            <v>1</v>
          </cell>
          <cell r="AS44" t="str">
            <v>SC</v>
          </cell>
          <cell r="AT44">
            <v>1</v>
          </cell>
          <cell r="AV44" t="str">
            <v>SC</v>
          </cell>
          <cell r="AW44">
            <v>1</v>
          </cell>
        </row>
        <row r="45">
          <cell r="B45" t="str">
            <v>1990SD</v>
          </cell>
          <cell r="C45">
            <v>4.934496456149931E-2</v>
          </cell>
          <cell r="D45">
            <v>0.15321338397251302</v>
          </cell>
          <cell r="E45">
            <v>0.20943685806642223</v>
          </cell>
          <cell r="F45">
            <v>0.42537575940378364</v>
          </cell>
          <cell r="G45">
            <v>0.12399495577066787</v>
          </cell>
          <cell r="H45">
            <v>3.8634078225113978E-2</v>
          </cell>
          <cell r="J45" t="str">
            <v>1990SD</v>
          </cell>
          <cell r="K45">
            <v>0.66656818616290991</v>
          </cell>
          <cell r="L45">
            <v>0.12399495577066787</v>
          </cell>
          <cell r="M45">
            <v>0.20943685806642223</v>
          </cell>
          <cell r="O45" t="str">
            <v>SD</v>
          </cell>
          <cell r="P45">
            <v>1</v>
          </cell>
          <cell r="R45" t="str">
            <v>SD</v>
          </cell>
          <cell r="S45">
            <v>1</v>
          </cell>
          <cell r="U45" t="str">
            <v>1990SD</v>
          </cell>
          <cell r="V45">
            <v>0.144740534</v>
          </cell>
          <cell r="W45">
            <v>4.0401548000000002E-2</v>
          </cell>
          <cell r="X45">
            <v>0.233050637</v>
          </cell>
          <cell r="Y45">
            <v>0.171225976</v>
          </cell>
          <cell r="Z45">
            <v>0.41058130500000001</v>
          </cell>
          <cell r="AB45" t="str">
            <v>1990SD</v>
          </cell>
          <cell r="AC45">
            <v>0</v>
          </cell>
          <cell r="AD45">
            <v>0</v>
          </cell>
          <cell r="AE45">
            <v>0.2</v>
          </cell>
          <cell r="AF45">
            <v>0.8</v>
          </cell>
          <cell r="AH45" t="str">
            <v>SD</v>
          </cell>
          <cell r="AI45">
            <v>1</v>
          </cell>
          <cell r="AK45" t="str">
            <v>SD</v>
          </cell>
          <cell r="AL45">
            <v>1</v>
          </cell>
          <cell r="AM45">
            <v>0</v>
          </cell>
          <cell r="AO45" t="str">
            <v>SD</v>
          </cell>
          <cell r="AP45">
            <v>7.0588235294117618E-2</v>
          </cell>
          <cell r="AQ45">
            <v>1</v>
          </cell>
          <cell r="AS45" t="str">
            <v>SD</v>
          </cell>
          <cell r="AT45">
            <v>1</v>
          </cell>
          <cell r="AV45" t="str">
            <v>SD</v>
          </cell>
          <cell r="AW45">
            <v>1</v>
          </cell>
        </row>
        <row r="46">
          <cell r="B46" t="str">
            <v>1990TN</v>
          </cell>
          <cell r="C46">
            <v>2.7324304039012964E-2</v>
          </cell>
          <cell r="D46">
            <v>7.0114654465175216E-2</v>
          </cell>
          <cell r="E46">
            <v>0.14186484493677126</v>
          </cell>
          <cell r="F46">
            <v>0.13252450898097146</v>
          </cell>
          <cell r="G46">
            <v>0.61274644071363271</v>
          </cell>
          <cell r="H46">
            <v>1.5425246864436372E-2</v>
          </cell>
          <cell r="J46" t="str">
            <v>1990TN</v>
          </cell>
          <cell r="K46">
            <v>0.24538871434959608</v>
          </cell>
          <cell r="L46">
            <v>0.61274644071363271</v>
          </cell>
          <cell r="M46">
            <v>0.14186484493677126</v>
          </cell>
          <cell r="O46" t="str">
            <v>TN</v>
          </cell>
          <cell r="P46">
            <v>1</v>
          </cell>
          <cell r="R46" t="str">
            <v>TN</v>
          </cell>
          <cell r="S46">
            <v>1</v>
          </cell>
          <cell r="U46" t="str">
            <v>1990TN</v>
          </cell>
          <cell r="V46">
            <v>0.23266783899999999</v>
          </cell>
          <cell r="W46">
            <v>3.2290655000000001E-2</v>
          </cell>
          <cell r="X46">
            <v>0.16531180400000001</v>
          </cell>
          <cell r="Y46">
            <v>0.243285432</v>
          </cell>
          <cell r="Z46">
            <v>0.32644426900000001</v>
          </cell>
          <cell r="AB46" t="str">
            <v>1990TN</v>
          </cell>
          <cell r="AC46">
            <v>0</v>
          </cell>
          <cell r="AD46">
            <v>0.9</v>
          </cell>
          <cell r="AE46">
            <v>7.0000000000000007E-2</v>
          </cell>
          <cell r="AF46">
            <v>0.03</v>
          </cell>
          <cell r="AH46" t="str">
            <v>TN</v>
          </cell>
          <cell r="AI46">
            <v>1</v>
          </cell>
          <cell r="AK46" t="str">
            <v>TN</v>
          </cell>
          <cell r="AL46">
            <v>0.88</v>
          </cell>
          <cell r="AM46">
            <v>0.12</v>
          </cell>
          <cell r="AO46" t="str">
            <v>TN</v>
          </cell>
          <cell r="AP46">
            <v>0</v>
          </cell>
          <cell r="AQ46">
            <v>1</v>
          </cell>
          <cell r="AS46" t="str">
            <v>TN</v>
          </cell>
          <cell r="AT46">
            <v>1</v>
          </cell>
          <cell r="AV46" t="str">
            <v>TN</v>
          </cell>
          <cell r="AW46">
            <v>1</v>
          </cell>
        </row>
        <row r="47">
          <cell r="B47" t="str">
            <v>1990TX</v>
          </cell>
          <cell r="C47">
            <v>0.43644699969620837</v>
          </cell>
          <cell r="D47">
            <v>0.2644505950878045</v>
          </cell>
          <cell r="E47">
            <v>6.3129550644091162E-2</v>
          </cell>
          <cell r="F47">
            <v>0.19308824114006534</v>
          </cell>
          <cell r="G47">
            <v>0</v>
          </cell>
          <cell r="H47">
            <v>4.2884613431830636E-2</v>
          </cell>
          <cell r="J47" t="str">
            <v>1990TX</v>
          </cell>
          <cell r="K47">
            <v>0.9368704493559088</v>
          </cell>
          <cell r="L47">
            <v>0</v>
          </cell>
          <cell r="M47">
            <v>6.3129550644091162E-2</v>
          </cell>
          <cell r="O47" t="str">
            <v>TX</v>
          </cell>
          <cell r="P47">
            <v>1</v>
          </cell>
          <cell r="R47" t="str">
            <v>TX</v>
          </cell>
          <cell r="S47">
            <v>1</v>
          </cell>
          <cell r="U47" t="str">
            <v>1990TX</v>
          </cell>
          <cell r="V47">
            <v>0.25776063500000002</v>
          </cell>
          <cell r="W47">
            <v>2.9933387999999998E-2</v>
          </cell>
          <cell r="X47">
            <v>0.118821385</v>
          </cell>
          <cell r="Y47">
            <v>0.30727402199999998</v>
          </cell>
          <cell r="Z47">
            <v>0.28621057</v>
          </cell>
          <cell r="AB47" t="str">
            <v>1990TX</v>
          </cell>
          <cell r="AC47">
            <v>0.5</v>
          </cell>
          <cell r="AD47">
            <v>0</v>
          </cell>
          <cell r="AE47">
            <v>0.4</v>
          </cell>
          <cell r="AF47">
            <v>0.1</v>
          </cell>
          <cell r="AH47" t="str">
            <v>TX</v>
          </cell>
          <cell r="AI47">
            <v>1</v>
          </cell>
          <cell r="AK47" t="str">
            <v>TX</v>
          </cell>
          <cell r="AL47">
            <v>0.88</v>
          </cell>
          <cell r="AM47">
            <v>0.12</v>
          </cell>
          <cell r="AO47" t="str">
            <v>TX</v>
          </cell>
          <cell r="AP47">
            <v>0.30555555555555558</v>
          </cell>
          <cell r="AQ47">
            <v>1</v>
          </cell>
          <cell r="AS47" t="str">
            <v>TX</v>
          </cell>
          <cell r="AT47">
            <v>1</v>
          </cell>
          <cell r="AV47" t="str">
            <v>TX</v>
          </cell>
          <cell r="AW47">
            <v>1</v>
          </cell>
        </row>
        <row r="48">
          <cell r="B48" t="str">
            <v>1990UT</v>
          </cell>
          <cell r="C48">
            <v>0.3408163306177831</v>
          </cell>
          <cell r="D48">
            <v>0.26856064563622567</v>
          </cell>
          <cell r="E48">
            <v>4.3488644191417805E-2</v>
          </cell>
          <cell r="F48">
            <v>0.25450549677933004</v>
          </cell>
          <cell r="G48">
            <v>2.5747008252630443E-2</v>
          </cell>
          <cell r="H48">
            <v>6.6881874522612836E-2</v>
          </cell>
          <cell r="J48" t="str">
            <v>1990UT</v>
          </cell>
          <cell r="K48">
            <v>0.93076434755595172</v>
          </cell>
          <cell r="L48">
            <v>2.5747008252630443E-2</v>
          </cell>
          <cell r="M48">
            <v>4.3488644191417805E-2</v>
          </cell>
          <cell r="O48" t="str">
            <v>UT</v>
          </cell>
          <cell r="P48">
            <v>1</v>
          </cell>
          <cell r="R48" t="str">
            <v>UT</v>
          </cell>
          <cell r="S48">
            <v>1</v>
          </cell>
          <cell r="U48" t="str">
            <v>1990UT</v>
          </cell>
          <cell r="V48">
            <v>0.544215165</v>
          </cell>
          <cell r="W48">
            <v>2.0054532999999999E-2</v>
          </cell>
          <cell r="X48">
            <v>0.125796614</v>
          </cell>
          <cell r="Y48">
            <v>9.6170599999999995E-2</v>
          </cell>
          <cell r="Z48">
            <v>0.21376308699999999</v>
          </cell>
          <cell r="AB48" t="str">
            <v>1990UT</v>
          </cell>
          <cell r="AC48">
            <v>0.5</v>
          </cell>
          <cell r="AD48">
            <v>0</v>
          </cell>
          <cell r="AE48">
            <v>0</v>
          </cell>
          <cell r="AF48">
            <v>0.5</v>
          </cell>
          <cell r="AH48" t="str">
            <v>UT</v>
          </cell>
          <cell r="AI48">
            <v>1</v>
          </cell>
          <cell r="AK48" t="str">
            <v>UT</v>
          </cell>
          <cell r="AL48">
            <v>0</v>
          </cell>
          <cell r="AM48">
            <v>1</v>
          </cell>
          <cell r="AO48" t="str">
            <v>UT</v>
          </cell>
          <cell r="AP48">
            <v>1</v>
          </cell>
          <cell r="AQ48">
            <v>1</v>
          </cell>
          <cell r="AS48" t="str">
            <v>UT</v>
          </cell>
          <cell r="AT48">
            <v>1</v>
          </cell>
          <cell r="AV48" t="str">
            <v>UT</v>
          </cell>
          <cell r="AW48">
            <v>1</v>
          </cell>
        </row>
        <row r="49">
          <cell r="B49" t="str">
            <v>1990VT</v>
          </cell>
          <cell r="C49">
            <v>4.0072020212799001E-2</v>
          </cell>
          <cell r="D49">
            <v>0.11618599158657865</v>
          </cell>
          <cell r="E49">
            <v>0.46727553003241384</v>
          </cell>
          <cell r="F49">
            <v>0.26210436010185856</v>
          </cell>
          <cell r="G49">
            <v>8.7128935966130833E-2</v>
          </cell>
          <cell r="H49">
            <v>2.7233162100219199E-2</v>
          </cell>
          <cell r="J49" t="str">
            <v>1990VT</v>
          </cell>
          <cell r="K49">
            <v>0.44559553400145535</v>
          </cell>
          <cell r="L49">
            <v>8.7128935966130833E-2</v>
          </cell>
          <cell r="M49">
            <v>0.46727553003241384</v>
          </cell>
          <cell r="O49" t="str">
            <v>VT</v>
          </cell>
          <cell r="P49">
            <v>1</v>
          </cell>
          <cell r="R49" t="str">
            <v>VT</v>
          </cell>
          <cell r="S49">
            <v>1</v>
          </cell>
          <cell r="U49" t="str">
            <v>1990VT</v>
          </cell>
          <cell r="V49">
            <v>1</v>
          </cell>
          <cell r="W49">
            <v>0</v>
          </cell>
          <cell r="X49">
            <v>0</v>
          </cell>
          <cell r="Y49">
            <v>0</v>
          </cell>
          <cell r="Z49">
            <v>0</v>
          </cell>
          <cell r="AB49" t="str">
            <v>1990VT</v>
          </cell>
          <cell r="AC49">
            <v>0.1</v>
          </cell>
          <cell r="AD49">
            <v>0.09</v>
          </cell>
          <cell r="AE49">
            <v>0</v>
          </cell>
          <cell r="AF49">
            <v>0.81</v>
          </cell>
          <cell r="AH49" t="str">
            <v>VT</v>
          </cell>
          <cell r="AI49">
            <v>1</v>
          </cell>
          <cell r="AK49" t="str">
            <v>VT</v>
          </cell>
          <cell r="AL49">
            <v>0.88</v>
          </cell>
          <cell r="AM49">
            <v>0.12</v>
          </cell>
          <cell r="AO49" t="str">
            <v>VT</v>
          </cell>
          <cell r="AP49">
            <v>0</v>
          </cell>
          <cell r="AQ49">
            <v>1</v>
          </cell>
          <cell r="AS49" t="str">
            <v>VT</v>
          </cell>
          <cell r="AT49">
            <v>1</v>
          </cell>
          <cell r="AV49" t="str">
            <v>VT</v>
          </cell>
          <cell r="AW49">
            <v>1</v>
          </cell>
        </row>
        <row r="50">
          <cell r="B50" t="str">
            <v>1990VA</v>
          </cell>
          <cell r="C50">
            <v>3.179278087434477E-2</v>
          </cell>
          <cell r="D50">
            <v>7.7890850207752993E-2</v>
          </cell>
          <cell r="E50">
            <v>0.1425321968750223</v>
          </cell>
          <cell r="F50">
            <v>0.12284474070327608</v>
          </cell>
          <cell r="G50">
            <v>0.60878751437161238</v>
          </cell>
          <cell r="H50">
            <v>1.615191696799146E-2</v>
          </cell>
          <cell r="J50" t="str">
            <v>1990VA</v>
          </cell>
          <cell r="K50">
            <v>0.24868028875336534</v>
          </cell>
          <cell r="L50">
            <v>0.60878751437161238</v>
          </cell>
          <cell r="M50">
            <v>0.1425321968750223</v>
          </cell>
          <cell r="O50" t="str">
            <v>VA</v>
          </cell>
          <cell r="P50">
            <v>1</v>
          </cell>
          <cell r="R50" t="str">
            <v>VA</v>
          </cell>
          <cell r="S50">
            <v>1</v>
          </cell>
          <cell r="U50" t="str">
            <v>1990VA</v>
          </cell>
          <cell r="V50">
            <v>0.104783687</v>
          </cell>
          <cell r="W50">
            <v>3.4990518999999998E-2</v>
          </cell>
          <cell r="X50">
            <v>0.10819703899999999</v>
          </cell>
          <cell r="Y50">
            <v>0.43209240999999998</v>
          </cell>
          <cell r="Z50">
            <v>0.31993634399999998</v>
          </cell>
          <cell r="AB50" t="str">
            <v>1990VA</v>
          </cell>
          <cell r="AC50">
            <v>0.7</v>
          </cell>
          <cell r="AD50">
            <v>0</v>
          </cell>
          <cell r="AE50">
            <v>0</v>
          </cell>
          <cell r="AF50">
            <v>0.3</v>
          </cell>
          <cell r="AH50" t="str">
            <v>VA</v>
          </cell>
          <cell r="AI50">
            <v>1</v>
          </cell>
          <cell r="AK50" t="str">
            <v>VA</v>
          </cell>
          <cell r="AL50">
            <v>0.94</v>
          </cell>
          <cell r="AM50">
            <v>0.06</v>
          </cell>
          <cell r="AO50" t="str">
            <v>VA</v>
          </cell>
          <cell r="AP50">
            <v>0.66666666666666674</v>
          </cell>
          <cell r="AQ50">
            <v>1</v>
          </cell>
          <cell r="AS50" t="str">
            <v>VA</v>
          </cell>
          <cell r="AT50">
            <v>1</v>
          </cell>
          <cell r="AV50" t="str">
            <v>VA</v>
          </cell>
          <cell r="AW50">
            <v>1</v>
          </cell>
        </row>
        <row r="51">
          <cell r="B51" t="str">
            <v>1990WA</v>
          </cell>
          <cell r="C51">
            <v>0.35118448464289537</v>
          </cell>
          <cell r="D51">
            <v>0.20550206680564437</v>
          </cell>
          <cell r="E51">
            <v>0</v>
          </cell>
          <cell r="F51">
            <v>0.12594673385184735</v>
          </cell>
          <cell r="G51">
            <v>0.29192481475532051</v>
          </cell>
          <cell r="H51">
            <v>2.5441899944292447E-2</v>
          </cell>
          <cell r="J51" t="str">
            <v>1990WA</v>
          </cell>
          <cell r="K51">
            <v>0.70807518524467949</v>
          </cell>
          <cell r="L51">
            <v>0.29192481475532051</v>
          </cell>
          <cell r="M51">
            <v>0</v>
          </cell>
          <cell r="O51" t="str">
            <v>WA</v>
          </cell>
          <cell r="P51">
            <v>1</v>
          </cell>
          <cell r="R51" t="str">
            <v>WA</v>
          </cell>
          <cell r="S51">
            <v>1</v>
          </cell>
          <cell r="U51" t="str">
            <v>1990WA</v>
          </cell>
          <cell r="V51">
            <v>0.32160723499999999</v>
          </cell>
          <cell r="W51">
            <v>3.2643392E-2</v>
          </cell>
          <cell r="X51">
            <v>0.18420945</v>
          </cell>
          <cell r="Y51">
            <v>0.13382717099999999</v>
          </cell>
          <cell r="Z51">
            <v>0.327712752</v>
          </cell>
          <cell r="AB51" t="str">
            <v>1990WA</v>
          </cell>
          <cell r="AC51">
            <v>0</v>
          </cell>
          <cell r="AD51">
            <v>0.1</v>
          </cell>
          <cell r="AE51">
            <v>0</v>
          </cell>
          <cell r="AF51">
            <v>0.9</v>
          </cell>
          <cell r="AH51" t="str">
            <v>WA</v>
          </cell>
          <cell r="AI51">
            <v>1</v>
          </cell>
          <cell r="AK51" t="str">
            <v>WA</v>
          </cell>
          <cell r="AL51">
            <v>0.88</v>
          </cell>
          <cell r="AM51">
            <v>0.12</v>
          </cell>
          <cell r="AO51" t="str">
            <v>WA</v>
          </cell>
          <cell r="AP51">
            <v>0</v>
          </cell>
          <cell r="AQ51">
            <v>1</v>
          </cell>
          <cell r="AS51" t="str">
            <v>WA</v>
          </cell>
          <cell r="AT51">
            <v>1</v>
          </cell>
          <cell r="AV51" t="str">
            <v>WA</v>
          </cell>
          <cell r="AW51">
            <v>1</v>
          </cell>
        </row>
        <row r="52">
          <cell r="B52" t="str">
            <v>1990WV</v>
          </cell>
          <cell r="C52">
            <v>3.916010831378041E-2</v>
          </cell>
          <cell r="D52">
            <v>0.11405058285388173</v>
          </cell>
          <cell r="E52">
            <v>0.46868791682715627</v>
          </cell>
          <cell r="F52">
            <v>0.26291325280206979</v>
          </cell>
          <cell r="G52">
            <v>8.8402976903763281E-2</v>
          </cell>
          <cell r="H52">
            <v>2.6785162299348499E-2</v>
          </cell>
          <cell r="J52" t="str">
            <v>1990WV</v>
          </cell>
          <cell r="K52">
            <v>0.44290910626908042</v>
          </cell>
          <cell r="L52">
            <v>8.8402976903763281E-2</v>
          </cell>
          <cell r="M52">
            <v>0.46868791682715627</v>
          </cell>
          <cell r="O52" t="str">
            <v>WV</v>
          </cell>
          <cell r="P52">
            <v>1</v>
          </cell>
          <cell r="R52" t="str">
            <v>WV</v>
          </cell>
          <cell r="S52">
            <v>1</v>
          </cell>
          <cell r="U52" t="str">
            <v>1990WV</v>
          </cell>
          <cell r="V52">
            <v>0.68917249899999999</v>
          </cell>
          <cell r="W52">
            <v>1.367641E-2</v>
          </cell>
          <cell r="X52">
            <v>8.5788390000000006E-2</v>
          </cell>
          <cell r="Y52">
            <v>6.5584603000000005E-2</v>
          </cell>
          <cell r="Z52">
            <v>0.14577809799999999</v>
          </cell>
          <cell r="AB52" t="str">
            <v>1990WV</v>
          </cell>
          <cell r="AC52">
            <v>1</v>
          </cell>
          <cell r="AD52">
            <v>0</v>
          </cell>
          <cell r="AE52">
            <v>0</v>
          </cell>
          <cell r="AF52">
            <v>0</v>
          </cell>
          <cell r="AH52" t="str">
            <v>WV</v>
          </cell>
          <cell r="AI52">
            <v>1</v>
          </cell>
          <cell r="AK52" t="str">
            <v>WV</v>
          </cell>
          <cell r="AL52">
            <v>0.9</v>
          </cell>
          <cell r="AM52">
            <v>0.1</v>
          </cell>
          <cell r="AO52" t="str">
            <v>WV</v>
          </cell>
          <cell r="AP52">
            <v>0</v>
          </cell>
          <cell r="AQ52">
            <v>1</v>
          </cell>
          <cell r="AS52" t="str">
            <v>WV</v>
          </cell>
          <cell r="AT52">
            <v>1</v>
          </cell>
          <cell r="AV52" t="str">
            <v>WV</v>
          </cell>
          <cell r="AW52">
            <v>1</v>
          </cell>
        </row>
        <row r="53">
          <cell r="B53" t="str">
            <v>1990WI</v>
          </cell>
          <cell r="C53">
            <v>3.8114418660830179E-2</v>
          </cell>
          <cell r="D53">
            <v>0.12951752167105887</v>
          </cell>
          <cell r="E53">
            <v>0.22292235537315713</v>
          </cell>
          <cell r="F53">
            <v>0.44202720914672056</v>
          </cell>
          <cell r="G53">
            <v>0.13197890691246617</v>
          </cell>
          <cell r="H53">
            <v>3.5439588235767067E-2</v>
          </cell>
          <cell r="J53" t="str">
            <v>1990WI</v>
          </cell>
          <cell r="K53">
            <v>0.64509873771437665</v>
          </cell>
          <cell r="L53">
            <v>0.13197890691246617</v>
          </cell>
          <cell r="M53">
            <v>0.22292235537315713</v>
          </cell>
          <cell r="O53" t="str">
            <v>WI</v>
          </cell>
          <cell r="P53">
            <v>1</v>
          </cell>
          <cell r="R53" t="str">
            <v>WI</v>
          </cell>
          <cell r="S53">
            <v>1</v>
          </cell>
          <cell r="U53" t="str">
            <v>1990WI</v>
          </cell>
          <cell r="V53">
            <v>0.19420881000000001</v>
          </cell>
          <cell r="W53">
            <v>3.7627571999999998E-2</v>
          </cell>
          <cell r="X53">
            <v>0.22004454600000001</v>
          </cell>
          <cell r="Y53">
            <v>0.16277941000000001</v>
          </cell>
          <cell r="Z53">
            <v>0.38533966200000003</v>
          </cell>
          <cell r="AB53" t="str">
            <v>1990WI</v>
          </cell>
          <cell r="AC53">
            <v>0.4</v>
          </cell>
          <cell r="AD53">
            <v>0.05</v>
          </cell>
          <cell r="AE53">
            <v>0</v>
          </cell>
          <cell r="AF53">
            <v>0.55000000000000004</v>
          </cell>
          <cell r="AH53" t="str">
            <v>WI</v>
          </cell>
          <cell r="AI53">
            <v>1</v>
          </cell>
          <cell r="AK53" t="str">
            <v>WI</v>
          </cell>
          <cell r="AL53">
            <v>0.88</v>
          </cell>
          <cell r="AM53">
            <v>0.12</v>
          </cell>
          <cell r="AO53" t="str">
            <v>WI</v>
          </cell>
          <cell r="AP53">
            <v>1</v>
          </cell>
          <cell r="AQ53">
            <v>1</v>
          </cell>
          <cell r="AS53" t="str">
            <v>WI</v>
          </cell>
          <cell r="AT53">
            <v>1</v>
          </cell>
          <cell r="AV53" t="str">
            <v>WI</v>
          </cell>
          <cell r="AW53">
            <v>1</v>
          </cell>
        </row>
        <row r="54">
          <cell r="B54" t="str">
            <v>1990WY</v>
          </cell>
          <cell r="C54">
            <v>0.24575173409635234</v>
          </cell>
          <cell r="D54">
            <v>0.19245347201944651</v>
          </cell>
          <cell r="E54">
            <v>0.16554847946287521</v>
          </cell>
          <cell r="F54">
            <v>0.23476562808063112</v>
          </cell>
          <cell r="G54">
            <v>9.8011288836229588E-2</v>
          </cell>
          <cell r="H54">
            <v>6.346939750446523E-2</v>
          </cell>
          <cell r="J54" t="str">
            <v>1990WY</v>
          </cell>
          <cell r="K54">
            <v>0.73644023170089523</v>
          </cell>
          <cell r="L54">
            <v>9.8011288836229588E-2</v>
          </cell>
          <cell r="M54">
            <v>0.16554847946287521</v>
          </cell>
          <cell r="O54" t="str">
            <v>WY</v>
          </cell>
          <cell r="P54">
            <v>1</v>
          </cell>
          <cell r="R54" t="str">
            <v>WY</v>
          </cell>
          <cell r="S54">
            <v>1</v>
          </cell>
          <cell r="U54" t="str">
            <v>1990WY</v>
          </cell>
          <cell r="V54">
            <v>0.40237178800000001</v>
          </cell>
          <cell r="W54">
            <v>2.6295641000000002E-2</v>
          </cell>
          <cell r="X54">
            <v>0.164945386</v>
          </cell>
          <cell r="Y54">
            <v>0.126099553</v>
          </cell>
          <cell r="Z54">
            <v>0.28028763099999998</v>
          </cell>
          <cell r="AB54" t="str">
            <v>1990WY</v>
          </cell>
          <cell r="AC54">
            <v>0</v>
          </cell>
          <cell r="AD54">
            <v>0.08</v>
          </cell>
          <cell r="AE54">
            <v>0.04</v>
          </cell>
          <cell r="AF54">
            <v>0.88</v>
          </cell>
          <cell r="AH54" t="str">
            <v>WY</v>
          </cell>
          <cell r="AI54">
            <v>1</v>
          </cell>
          <cell r="AK54" t="str">
            <v>WY</v>
          </cell>
          <cell r="AL54">
            <v>0.88</v>
          </cell>
          <cell r="AM54">
            <v>0.12</v>
          </cell>
          <cell r="AO54" t="str">
            <v>WY</v>
          </cell>
          <cell r="AP54">
            <v>0.38461538461538458</v>
          </cell>
          <cell r="AQ54">
            <v>1</v>
          </cell>
          <cell r="AS54" t="str">
            <v>WY</v>
          </cell>
          <cell r="AT54">
            <v>1</v>
          </cell>
          <cell r="AV54" t="str">
            <v>WY</v>
          </cell>
          <cell r="AW54">
            <v>1</v>
          </cell>
        </row>
        <row r="55">
          <cell r="B55" t="str">
            <v>1991AL</v>
          </cell>
          <cell r="C55">
            <v>0.10964035466102269</v>
          </cell>
          <cell r="D55">
            <v>7.5250315858693406E-2</v>
          </cell>
          <cell r="E55">
            <v>0.15095445395344742</v>
          </cell>
          <cell r="F55">
            <v>0.10051414377032589</v>
          </cell>
          <cell r="G55">
            <v>0.55882422889074668</v>
          </cell>
          <cell r="H55">
            <v>4.8165028657639296E-3</v>
          </cell>
          <cell r="J55" t="str">
            <v>1991AL</v>
          </cell>
          <cell r="K55">
            <v>0.2902213171558059</v>
          </cell>
          <cell r="L55">
            <v>0.55882422889074668</v>
          </cell>
          <cell r="M55">
            <v>0.15095445395344742</v>
          </cell>
          <cell r="O55" t="str">
            <v>U.S. Avg.</v>
          </cell>
          <cell r="R55" t="str">
            <v>U.S. Avg.</v>
          </cell>
          <cell r="U55" t="str">
            <v>1991AL</v>
          </cell>
          <cell r="V55">
            <v>0.182935074</v>
          </cell>
          <cell r="W55">
            <v>3.3560173999999998E-2</v>
          </cell>
          <cell r="X55">
            <v>0.15003266500000001</v>
          </cell>
          <cell r="Y55">
            <v>0.30457127699999997</v>
          </cell>
          <cell r="Z55">
            <v>0.32890080999999999</v>
          </cell>
          <cell r="AB55" t="str">
            <v>1991AL</v>
          </cell>
          <cell r="AC55">
            <v>0</v>
          </cell>
          <cell r="AD55">
            <v>8.8888888888888892E-2</v>
          </cell>
          <cell r="AE55">
            <v>0.75766666699999996</v>
          </cell>
          <cell r="AF55">
            <v>0.15344444400000001</v>
          </cell>
          <cell r="AH55" t="str">
            <v>Other</v>
          </cell>
          <cell r="AI55">
            <v>1</v>
          </cell>
          <cell r="AK55" t="str">
            <v>Other</v>
          </cell>
          <cell r="AL55">
            <v>0.88</v>
          </cell>
          <cell r="AM55">
            <v>0.12</v>
          </cell>
          <cell r="AS55" t="str">
            <v>U.S. Avg.</v>
          </cell>
          <cell r="AT55">
            <v>1</v>
          </cell>
          <cell r="AV55" t="str">
            <v>U.S. Avg.</v>
          </cell>
          <cell r="AW55">
            <v>1</v>
          </cell>
        </row>
        <row r="56">
          <cell r="B56" t="str">
            <v>1991AK</v>
          </cell>
          <cell r="C56">
            <v>0</v>
          </cell>
          <cell r="D56">
            <v>0</v>
          </cell>
          <cell r="E56">
            <v>0.62812500000000004</v>
          </cell>
          <cell r="F56">
            <v>0</v>
          </cell>
          <cell r="G56">
            <v>0.37187500000000001</v>
          </cell>
          <cell r="H56">
            <v>0</v>
          </cell>
          <cell r="J56" t="str">
            <v>1991AK</v>
          </cell>
          <cell r="K56">
            <v>0</v>
          </cell>
          <cell r="L56">
            <v>0.37187500000000001</v>
          </cell>
          <cell r="M56">
            <v>0.62812500000000004</v>
          </cell>
          <cell r="U56" t="str">
            <v>1991AK</v>
          </cell>
          <cell r="V56">
            <v>1</v>
          </cell>
          <cell r="W56">
            <v>0</v>
          </cell>
          <cell r="X56">
            <v>0</v>
          </cell>
          <cell r="Y56">
            <v>0</v>
          </cell>
          <cell r="Z56">
            <v>0</v>
          </cell>
          <cell r="AB56" t="str">
            <v>1991AK</v>
          </cell>
          <cell r="AC56">
            <v>8.8888888888888892E-2</v>
          </cell>
          <cell r="AD56">
            <v>0.10666666666666666</v>
          </cell>
          <cell r="AE56">
            <v>0.161111111</v>
          </cell>
          <cell r="AF56">
            <v>0.64333333299999995</v>
          </cell>
          <cell r="AH56" t="str">
            <v>U.S. Avg.</v>
          </cell>
          <cell r="AI56">
            <v>1</v>
          </cell>
          <cell r="AK56" t="str">
            <v>U.S. Avg.</v>
          </cell>
          <cell r="AL56">
            <v>0.92</v>
          </cell>
          <cell r="AM56">
            <v>0.08</v>
          </cell>
        </row>
        <row r="57">
          <cell r="B57" t="str">
            <v>1991AZ</v>
          </cell>
          <cell r="C57">
            <v>0.59452597771350846</v>
          </cell>
          <cell r="D57">
            <v>0.21737822204821747</v>
          </cell>
          <cell r="E57">
            <v>9.2568667344862673E-2</v>
          </cell>
          <cell r="F57">
            <v>9.3362672742600822E-2</v>
          </cell>
          <cell r="G57">
            <v>0</v>
          </cell>
          <cell r="H57">
            <v>2.1644601508106443E-3</v>
          </cell>
          <cell r="J57" t="str">
            <v>1991AZ</v>
          </cell>
          <cell r="K57">
            <v>0.90743133265513731</v>
          </cell>
          <cell r="L57">
            <v>0</v>
          </cell>
          <cell r="M57">
            <v>9.2568667344862673E-2</v>
          </cell>
          <cell r="U57" t="str">
            <v>1991AZ</v>
          </cell>
          <cell r="V57">
            <v>2.9485239E-2</v>
          </cell>
          <cell r="W57">
            <v>3.6925055999999998E-2</v>
          </cell>
          <cell r="X57">
            <v>8.545519E-2</v>
          </cell>
          <cell r="Y57">
            <v>0.52419700499999999</v>
          </cell>
          <cell r="Z57">
            <v>0.32393751100000001</v>
          </cell>
          <cell r="AB57" t="str">
            <v>1991AZ</v>
          </cell>
          <cell r="AC57">
            <v>0</v>
          </cell>
          <cell r="AD57">
            <v>0</v>
          </cell>
          <cell r="AE57">
            <v>6.6666666999999999E-2</v>
          </cell>
          <cell r="AF57">
            <v>0.93333333299999999</v>
          </cell>
        </row>
        <row r="58">
          <cell r="B58" t="str">
            <v>1991AR</v>
          </cell>
          <cell r="C58">
            <v>6.4819847007077783E-2</v>
          </cell>
          <cell r="D58">
            <v>5.1145646283778538E-2</v>
          </cell>
          <cell r="E58">
            <v>0.13912499999999997</v>
          </cell>
          <cell r="F58">
            <v>0.11027147509972528</v>
          </cell>
          <cell r="G58">
            <v>0.629</v>
          </cell>
          <cell r="H58">
            <v>5.6380316094184124E-3</v>
          </cell>
          <cell r="J58" t="str">
            <v>1991AR</v>
          </cell>
          <cell r="K58">
            <v>0.23187500000000005</v>
          </cell>
          <cell r="L58">
            <v>0.629</v>
          </cell>
          <cell r="M58">
            <v>0.13912499999999997</v>
          </cell>
          <cell r="U58" t="str">
            <v>1991AR</v>
          </cell>
          <cell r="V58">
            <v>5.4610839000000001E-2</v>
          </cell>
          <cell r="W58">
            <v>3.6895429E-2</v>
          </cell>
          <cell r="X58">
            <v>0.11248820700000001</v>
          </cell>
          <cell r="Y58">
            <v>0.45941363200000002</v>
          </cell>
          <cell r="Z58">
            <v>0.336591892</v>
          </cell>
          <cell r="AB58" t="str">
            <v>1991AR</v>
          </cell>
          <cell r="AC58">
            <v>0</v>
          </cell>
          <cell r="AD58">
            <v>0.53333333333333333</v>
          </cell>
          <cell r="AE58">
            <v>0.35555555599999999</v>
          </cell>
          <cell r="AF58">
            <v>0.111111111</v>
          </cell>
        </row>
        <row r="59">
          <cell r="B59" t="str">
            <v>1991CA</v>
          </cell>
          <cell r="C59">
            <v>0.54279809878903273</v>
          </cell>
          <cell r="D59">
            <v>0.22529239903187814</v>
          </cell>
          <cell r="E59">
            <v>0.11747323657345785</v>
          </cell>
          <cell r="F59">
            <v>9.0851894313912593E-2</v>
          </cell>
          <cell r="G59">
            <v>1.887558059880249E-2</v>
          </cell>
          <cell r="H59">
            <v>4.7087906929161698E-3</v>
          </cell>
          <cell r="J59" t="str">
            <v>1991CA</v>
          </cell>
          <cell r="K59">
            <v>0.86365118282773967</v>
          </cell>
          <cell r="L59">
            <v>1.887558059880249E-2</v>
          </cell>
          <cell r="M59">
            <v>0.11747323657345785</v>
          </cell>
          <cell r="U59" t="str">
            <v>1991CA</v>
          </cell>
          <cell r="V59">
            <v>0.125134622</v>
          </cell>
          <cell r="W59">
            <v>3.3375830000000002E-2</v>
          </cell>
          <cell r="X59">
            <v>7.9872487000000006E-2</v>
          </cell>
          <cell r="Y59">
            <v>0.46756251500000001</v>
          </cell>
          <cell r="Z59">
            <v>0.29405454600000003</v>
          </cell>
          <cell r="AB59" t="str">
            <v>1991CA</v>
          </cell>
          <cell r="AC59">
            <v>0.4</v>
          </cell>
          <cell r="AD59">
            <v>2.6666666666666665E-2</v>
          </cell>
          <cell r="AE59">
            <v>7.5555555999999996E-2</v>
          </cell>
          <cell r="AF59">
            <v>0.497777778</v>
          </cell>
        </row>
        <row r="60">
          <cell r="B60" t="str">
            <v>1991CO</v>
          </cell>
          <cell r="C60">
            <v>0.49098622891561094</v>
          </cell>
          <cell r="D60">
            <v>0.27048463258608685</v>
          </cell>
          <cell r="E60">
            <v>3.1795829514207154E-2</v>
          </cell>
          <cell r="F60">
            <v>0.15830656070304969</v>
          </cell>
          <cell r="G60">
            <v>1.8824396578062941E-2</v>
          </cell>
          <cell r="H60">
            <v>2.9602351702982557E-2</v>
          </cell>
          <cell r="J60" t="str">
            <v>1991CO</v>
          </cell>
          <cell r="K60">
            <v>0.94937977390772987</v>
          </cell>
          <cell r="L60">
            <v>1.8824396578062941E-2</v>
          </cell>
          <cell r="M60">
            <v>3.1795829514207154E-2</v>
          </cell>
          <cell r="U60" t="str">
            <v>1991CO</v>
          </cell>
          <cell r="V60">
            <v>8.2290050000000003E-2</v>
          </cell>
          <cell r="W60">
            <v>4.8706762000000001E-2</v>
          </cell>
          <cell r="X60">
            <v>0.24426646199999999</v>
          </cell>
          <cell r="Y60">
            <v>0.16587838599999999</v>
          </cell>
          <cell r="Z60">
            <v>0.45885833999999998</v>
          </cell>
          <cell r="AB60" t="str">
            <v>1991CO</v>
          </cell>
          <cell r="AC60">
            <v>0</v>
          </cell>
          <cell r="AD60">
            <v>7.1111111111111111E-2</v>
          </cell>
          <cell r="AE60">
            <v>0.102222222</v>
          </cell>
          <cell r="AF60">
            <v>0.82666666700000002</v>
          </cell>
        </row>
        <row r="61">
          <cell r="B61" t="str">
            <v>1991CT</v>
          </cell>
          <cell r="C61">
            <v>8.4639160569504074E-2</v>
          </cell>
          <cell r="D61">
            <v>0.17059156189590957</v>
          </cell>
          <cell r="E61">
            <v>0.44400659000684961</v>
          </cell>
          <cell r="F61">
            <v>0.20917776913982303</v>
          </cell>
          <cell r="G61">
            <v>6.6139230965887155E-2</v>
          </cell>
          <cell r="H61">
            <v>2.5445687422026568E-2</v>
          </cell>
          <cell r="J61" t="str">
            <v>1991CT</v>
          </cell>
          <cell r="K61">
            <v>0.48985417902726325</v>
          </cell>
          <cell r="L61">
            <v>6.6139230965887155E-2</v>
          </cell>
          <cell r="M61">
            <v>0.44400659000684961</v>
          </cell>
          <cell r="U61" t="str">
            <v>1991CT</v>
          </cell>
          <cell r="V61">
            <v>1</v>
          </cell>
          <cell r="W61">
            <v>0</v>
          </cell>
          <cell r="X61">
            <v>0</v>
          </cell>
          <cell r="Y61">
            <v>0</v>
          </cell>
          <cell r="Z61">
            <v>0</v>
          </cell>
          <cell r="AB61" t="str">
            <v>1991CT</v>
          </cell>
          <cell r="AC61">
            <v>0</v>
          </cell>
          <cell r="AD61">
            <v>0</v>
          </cell>
          <cell r="AE61">
            <v>5.5555559999999997E-3</v>
          </cell>
          <cell r="AF61">
            <v>0.99444444399999998</v>
          </cell>
        </row>
        <row r="62">
          <cell r="B62" t="str">
            <v>1991DE</v>
          </cell>
          <cell r="C62">
            <v>6.4721224754374362E-2</v>
          </cell>
          <cell r="D62">
            <v>0.16849970345132176</v>
          </cell>
          <cell r="E62">
            <v>0.43954865690055572</v>
          </cell>
          <cell r="F62">
            <v>0.230827105252045</v>
          </cell>
          <cell r="G62">
            <v>6.2117960520859244E-2</v>
          </cell>
          <cell r="H62">
            <v>3.4285349120843883E-2</v>
          </cell>
          <cell r="J62" t="str">
            <v>1991DE</v>
          </cell>
          <cell r="K62">
            <v>0.49833338257858506</v>
          </cell>
          <cell r="L62">
            <v>6.2117960520859244E-2</v>
          </cell>
          <cell r="M62">
            <v>0.43954865690055572</v>
          </cell>
          <cell r="U62" t="str">
            <v>1991DE</v>
          </cell>
          <cell r="V62">
            <v>9.3256157000000006E-2</v>
          </cell>
          <cell r="W62">
            <v>4.7295367999999997E-2</v>
          </cell>
          <cell r="X62">
            <v>0.24224610899999999</v>
          </cell>
          <cell r="Y62">
            <v>0.16666082199999999</v>
          </cell>
          <cell r="Z62">
            <v>0.45054154400000002</v>
          </cell>
          <cell r="AB62" t="str">
            <v>1991DE</v>
          </cell>
          <cell r="AC62">
            <v>0</v>
          </cell>
          <cell r="AD62">
            <v>0</v>
          </cell>
          <cell r="AE62">
            <v>5.5555559999999997E-3</v>
          </cell>
          <cell r="AF62">
            <v>0.99444444399999998</v>
          </cell>
        </row>
        <row r="63">
          <cell r="B63" t="str">
            <v>1991FL</v>
          </cell>
          <cell r="C63">
            <v>0.36834527013893126</v>
          </cell>
          <cell r="D63">
            <v>0.14581181469033638</v>
          </cell>
          <cell r="E63">
            <v>0.2116387614678899</v>
          </cell>
          <cell r="F63">
            <v>7.4174101737139009E-2</v>
          </cell>
          <cell r="G63">
            <v>0.19882721712538226</v>
          </cell>
          <cell r="H63">
            <v>1.2028348403212816E-3</v>
          </cell>
          <cell r="J63" t="str">
            <v>1991FL</v>
          </cell>
          <cell r="K63">
            <v>0.58953402140672784</v>
          </cell>
          <cell r="L63">
            <v>0.19882721712538226</v>
          </cell>
          <cell r="M63">
            <v>0.2116387614678899</v>
          </cell>
          <cell r="U63" t="str">
            <v>1991FL</v>
          </cell>
          <cell r="V63">
            <v>0.45582561500000002</v>
          </cell>
          <cell r="W63">
            <v>2.3943672999999999E-2</v>
          </cell>
          <cell r="X63">
            <v>0.15019213000000001</v>
          </cell>
          <cell r="Y63">
            <v>0.114820795</v>
          </cell>
          <cell r="Z63">
            <v>0.255217786</v>
          </cell>
          <cell r="AB63" t="str">
            <v>1991FL</v>
          </cell>
          <cell r="AC63">
            <v>0.10666666666666666</v>
          </cell>
          <cell r="AD63">
            <v>5.333333333333333E-2</v>
          </cell>
          <cell r="AE63">
            <v>0.15322222199999999</v>
          </cell>
          <cell r="AF63">
            <v>0.68677777799999995</v>
          </cell>
        </row>
        <row r="64">
          <cell r="B64" t="str">
            <v>1991GA</v>
          </cell>
          <cell r="C64">
            <v>0.13808042244019927</v>
          </cell>
          <cell r="D64">
            <v>8.9352824662304167E-2</v>
          </cell>
          <cell r="E64">
            <v>0.15758128964421914</v>
          </cell>
          <cell r="F64">
            <v>9.1347360862013047E-2</v>
          </cell>
          <cell r="G64">
            <v>0.51951190674601222</v>
          </cell>
          <cell r="H64">
            <v>4.1261956452521564E-3</v>
          </cell>
          <cell r="J64" t="str">
            <v>1991GA</v>
          </cell>
          <cell r="K64">
            <v>0.32290680360976864</v>
          </cell>
          <cell r="L64">
            <v>0.51951190674601222</v>
          </cell>
          <cell r="M64">
            <v>0.15758128964421914</v>
          </cell>
          <cell r="U64" t="str">
            <v>1991GA</v>
          </cell>
          <cell r="V64">
            <v>0.129819457</v>
          </cell>
          <cell r="W64">
            <v>3.5174263999999997E-2</v>
          </cell>
          <cell r="X64">
            <v>0.141866518</v>
          </cell>
          <cell r="Y64">
            <v>0.35575009400000002</v>
          </cell>
          <cell r="Z64">
            <v>0.337389667</v>
          </cell>
          <cell r="AB64" t="str">
            <v>1991GA</v>
          </cell>
          <cell r="AC64">
            <v>0.56888888888888889</v>
          </cell>
          <cell r="AD64">
            <v>4.4444444444444446E-2</v>
          </cell>
          <cell r="AE64">
            <v>5.5444444000000002E-2</v>
          </cell>
          <cell r="AF64">
            <v>0.33122222200000001</v>
          </cell>
        </row>
        <row r="65">
          <cell r="B65" t="str">
            <v>1991HI</v>
          </cell>
          <cell r="C65">
            <v>0.67700924544366925</v>
          </cell>
          <cell r="D65">
            <v>0.21169633721291711</v>
          </cell>
          <cell r="E65">
            <v>0</v>
          </cell>
          <cell r="F65">
            <v>0.10623984032506543</v>
          </cell>
          <cell r="G65">
            <v>4.0261462675255785E-3</v>
          </cell>
          <cell r="H65">
            <v>1.0284307508226574E-3</v>
          </cell>
          <cell r="J65" t="str">
            <v>1991HI</v>
          </cell>
          <cell r="K65">
            <v>0.99597385373247438</v>
          </cell>
          <cell r="L65">
            <v>4.0261462675255785E-3</v>
          </cell>
          <cell r="M65">
            <v>0</v>
          </cell>
          <cell r="U65" t="str">
            <v>1991HI</v>
          </cell>
          <cell r="V65">
            <v>0.36042526000000003</v>
          </cell>
          <cell r="W65">
            <v>2.8141289E-2</v>
          </cell>
          <cell r="X65">
            <v>0.17652262799999999</v>
          </cell>
          <cell r="Y65">
            <v>0.13495027000000001</v>
          </cell>
          <cell r="Z65">
            <v>0.29996055300000002</v>
          </cell>
          <cell r="AB65" t="str">
            <v>1991HI</v>
          </cell>
          <cell r="AC65">
            <v>8.8888888888888892E-2</v>
          </cell>
          <cell r="AD65">
            <v>0</v>
          </cell>
          <cell r="AE65">
            <v>0.73888888900000005</v>
          </cell>
          <cell r="AF65">
            <v>0.17222222200000001</v>
          </cell>
        </row>
        <row r="66">
          <cell r="B66" t="str">
            <v>1991ID</v>
          </cell>
          <cell r="C66">
            <v>0.44197446887186598</v>
          </cell>
          <cell r="D66">
            <v>0.24023670359726779</v>
          </cell>
          <cell r="E66">
            <v>5.3139336991500953E-2</v>
          </cell>
          <cell r="F66">
            <v>0.19192499890555711</v>
          </cell>
          <cell r="G66">
            <v>3.1460602497455789E-2</v>
          </cell>
          <cell r="H66">
            <v>4.1263889136352358E-2</v>
          </cell>
          <cell r="J66" t="str">
            <v>1991ID</v>
          </cell>
          <cell r="K66">
            <v>0.91540006051104328</v>
          </cell>
          <cell r="L66">
            <v>3.1460602497455789E-2</v>
          </cell>
          <cell r="M66">
            <v>5.3139336991500953E-2</v>
          </cell>
          <cell r="U66" t="str">
            <v>1991ID</v>
          </cell>
          <cell r="V66">
            <v>0.339827451</v>
          </cell>
          <cell r="W66">
            <v>3.1595740999999997E-2</v>
          </cell>
          <cell r="X66">
            <v>0.17944712900000001</v>
          </cell>
          <cell r="Y66">
            <v>0.130802578</v>
          </cell>
          <cell r="Z66">
            <v>0.31832710199999997</v>
          </cell>
          <cell r="AB66" t="str">
            <v>1991ID</v>
          </cell>
          <cell r="AC66">
            <v>0</v>
          </cell>
          <cell r="AD66">
            <v>0.53333333333333333</v>
          </cell>
          <cell r="AE66">
            <v>6.6666666999999999E-2</v>
          </cell>
          <cell r="AF66">
            <v>0.4</v>
          </cell>
        </row>
        <row r="67">
          <cell r="B67" t="str">
            <v>1991IL</v>
          </cell>
          <cell r="C67">
            <v>4.8061976553949212E-2</v>
          </cell>
          <cell r="D67">
            <v>0.16288117559095172</v>
          </cell>
          <cell r="E67">
            <v>0.14976196460301133</v>
          </cell>
          <cell r="F67">
            <v>0.50361481344839976</v>
          </cell>
          <cell r="G67">
            <v>8.8665043720190781E-2</v>
          </cell>
          <cell r="H67">
            <v>4.7015026083497266E-2</v>
          </cell>
          <cell r="J67" t="str">
            <v>1991IL</v>
          </cell>
          <cell r="K67">
            <v>0.76157299167679793</v>
          </cell>
          <cell r="L67">
            <v>8.8665043720190781E-2</v>
          </cell>
          <cell r="M67">
            <v>0.14976196460301133</v>
          </cell>
          <cell r="U67" t="str">
            <v>1991IL</v>
          </cell>
          <cell r="V67">
            <v>8.1355548E-2</v>
          </cell>
          <cell r="W67">
            <v>4.1624348999999998E-2</v>
          </cell>
          <cell r="X67">
            <v>0.25806084299999998</v>
          </cell>
          <cell r="Y67">
            <v>0.16764712800000001</v>
          </cell>
          <cell r="Z67">
            <v>0.45131213199999998</v>
          </cell>
          <cell r="AB67" t="str">
            <v>1991IL</v>
          </cell>
          <cell r="AC67">
            <v>0</v>
          </cell>
          <cell r="AD67">
            <v>0</v>
          </cell>
          <cell r="AE67">
            <v>9.1111110999999995E-2</v>
          </cell>
          <cell r="AF67">
            <v>0.90888888899999998</v>
          </cell>
        </row>
        <row r="68">
          <cell r="B68" t="str">
            <v>1991IN</v>
          </cell>
          <cell r="C68">
            <v>4.8087805777521975E-2</v>
          </cell>
          <cell r="D68">
            <v>0.15522488864656731</v>
          </cell>
          <cell r="E68">
            <v>0.19010910624218652</v>
          </cell>
          <cell r="F68">
            <v>0.45225958005909639</v>
          </cell>
          <cell r="G68">
            <v>0.11255215742696613</v>
          </cell>
          <cell r="H68">
            <v>4.1766461847661793E-2</v>
          </cell>
          <cell r="J68" t="str">
            <v>1991IN</v>
          </cell>
          <cell r="K68">
            <v>0.69733873633084742</v>
          </cell>
          <cell r="L68">
            <v>0.11255215742696613</v>
          </cell>
          <cell r="M68">
            <v>0.19010910624218652</v>
          </cell>
          <cell r="U68" t="str">
            <v>1991IN</v>
          </cell>
          <cell r="V68">
            <v>9.0620164000000003E-2</v>
          </cell>
          <cell r="W68">
            <v>4.1295287E-2</v>
          </cell>
          <cell r="X68">
            <v>0.25579848999999999</v>
          </cell>
          <cell r="Y68">
            <v>0.163983147</v>
          </cell>
          <cell r="Z68">
            <v>0.448302912</v>
          </cell>
          <cell r="AB68" t="str">
            <v>1991IN</v>
          </cell>
          <cell r="AC68">
            <v>0</v>
          </cell>
          <cell r="AD68">
            <v>4.4444444444444446E-2</v>
          </cell>
          <cell r="AE68">
            <v>0</v>
          </cell>
          <cell r="AF68">
            <v>0.95555555599999997</v>
          </cell>
        </row>
        <row r="69">
          <cell r="B69" t="str">
            <v>1991IA</v>
          </cell>
          <cell r="C69">
            <v>3.8606244029845936E-2</v>
          </cell>
          <cell r="D69">
            <v>0.13088910588331074</v>
          </cell>
          <cell r="E69">
            <v>0.21907687059292058</v>
          </cell>
          <cell r="F69">
            <v>0.44604907546775419</v>
          </cell>
          <cell r="G69">
            <v>0.12970222686844551</v>
          </cell>
          <cell r="H69">
            <v>3.5676477157722986E-2</v>
          </cell>
          <cell r="J69" t="str">
            <v>1991IA</v>
          </cell>
          <cell r="K69">
            <v>0.65122090253863396</v>
          </cell>
          <cell r="L69">
            <v>0.12970222686844551</v>
          </cell>
          <cell r="M69">
            <v>0.21907687059292058</v>
          </cell>
          <cell r="U69" t="str">
            <v>1991IA</v>
          </cell>
          <cell r="V69">
            <v>7.2136692000000002E-2</v>
          </cell>
          <cell r="W69">
            <v>3.9535262000000002E-2</v>
          </cell>
          <cell r="X69">
            <v>0.21534028299999999</v>
          </cell>
          <cell r="Y69">
            <v>0.26713773800000001</v>
          </cell>
          <cell r="Z69">
            <v>0.405850025</v>
          </cell>
          <cell r="AB69" t="str">
            <v>1991IA</v>
          </cell>
          <cell r="AC69">
            <v>3.5555555555555556E-2</v>
          </cell>
          <cell r="AD69">
            <v>3.5555555555555556E-2</v>
          </cell>
          <cell r="AE69">
            <v>1.7777778000000001E-2</v>
          </cell>
          <cell r="AF69">
            <v>0.91111111099999997</v>
          </cell>
        </row>
        <row r="70">
          <cell r="B70" t="str">
            <v>1991KS</v>
          </cell>
          <cell r="C70">
            <v>6.150825709632509E-2</v>
          </cell>
          <cell r="D70">
            <v>0.18381203926839509</v>
          </cell>
          <cell r="E70">
            <v>0.15447997825693061</v>
          </cell>
          <cell r="F70">
            <v>0.46454144201879716</v>
          </cell>
          <cell r="G70">
            <v>9.1458295584948959E-2</v>
          </cell>
          <cell r="H70">
            <v>4.4199987774603093E-2</v>
          </cell>
          <cell r="J70" t="str">
            <v>1991KS</v>
          </cell>
          <cell r="K70">
            <v>0.75406172615812039</v>
          </cell>
          <cell r="L70">
            <v>9.1458295584948959E-2</v>
          </cell>
          <cell r="M70">
            <v>0.15447997825693061</v>
          </cell>
          <cell r="U70" t="str">
            <v>1991KS</v>
          </cell>
          <cell r="V70">
            <v>0.14299250999999999</v>
          </cell>
          <cell r="W70">
            <v>3.9059442999999999E-2</v>
          </cell>
          <cell r="X70">
            <v>0.24160074100000001</v>
          </cell>
          <cell r="Y70">
            <v>0.15144187000000001</v>
          </cell>
          <cell r="Z70">
            <v>0.424905435</v>
          </cell>
          <cell r="AB70" t="str">
            <v>1991KS</v>
          </cell>
          <cell r="AC70">
            <v>0</v>
          </cell>
          <cell r="AD70">
            <v>0</v>
          </cell>
          <cell r="AE70">
            <v>2.2222219999999998E-3</v>
          </cell>
          <cell r="AF70">
            <v>0.997777778</v>
          </cell>
        </row>
        <row r="71">
          <cell r="B71" t="str">
            <v>1991KY</v>
          </cell>
          <cell r="C71">
            <v>1.6646169322275198E-2</v>
          </cell>
          <cell r="D71">
            <v>5.1769904298287782E-2</v>
          </cell>
          <cell r="E71">
            <v>0.14046629368205532</v>
          </cell>
          <cell r="F71">
            <v>0.15577602658945497</v>
          </cell>
          <cell r="G71">
            <v>0.6210430546673904</v>
          </cell>
          <cell r="H71">
            <v>1.4298551440536343E-2</v>
          </cell>
          <cell r="J71" t="str">
            <v>1991KY</v>
          </cell>
          <cell r="K71">
            <v>0.23849065165055428</v>
          </cell>
          <cell r="L71">
            <v>0.6210430546673904</v>
          </cell>
          <cell r="M71">
            <v>0.14046629368205532</v>
          </cell>
          <cell r="U71" t="str">
            <v>1991KY</v>
          </cell>
          <cell r="V71">
            <v>0.18225018100000001</v>
          </cell>
          <cell r="W71">
            <v>3.3950879000000003E-2</v>
          </cell>
          <cell r="X71">
            <v>0.161605368</v>
          </cell>
          <cell r="Y71">
            <v>0.28478148399999997</v>
          </cell>
          <cell r="Z71">
            <v>0.337412088</v>
          </cell>
          <cell r="AB71" t="str">
            <v>1991KY</v>
          </cell>
          <cell r="AC71">
            <v>2.6666666666666665E-2</v>
          </cell>
          <cell r="AD71">
            <v>0.29333333333333333</v>
          </cell>
          <cell r="AE71">
            <v>0.54777777800000005</v>
          </cell>
          <cell r="AF71">
            <v>0.132222222</v>
          </cell>
        </row>
        <row r="72">
          <cell r="B72" t="str">
            <v>1991LA</v>
          </cell>
          <cell r="C72">
            <v>7.1144157903606342E-2</v>
          </cell>
          <cell r="D72">
            <v>5.6328384816312783E-2</v>
          </cell>
          <cell r="E72">
            <v>0.13912499999999997</v>
          </cell>
          <cell r="F72">
            <v>9.9380874747219433E-2</v>
          </cell>
          <cell r="G72">
            <v>0.629</v>
          </cell>
          <cell r="H72">
            <v>5.0215825328614773E-3</v>
          </cell>
          <cell r="J72" t="str">
            <v>1991LA</v>
          </cell>
          <cell r="K72">
            <v>0.23187500000000005</v>
          </cell>
          <cell r="L72">
            <v>0.629</v>
          </cell>
          <cell r="M72">
            <v>0.13912499999999997</v>
          </cell>
          <cell r="U72" t="str">
            <v>1991LA</v>
          </cell>
          <cell r="V72">
            <v>0.31583997400000002</v>
          </cell>
          <cell r="W72">
            <v>2.8011194E-2</v>
          </cell>
          <cell r="X72">
            <v>0.12278557499999999</v>
          </cell>
          <cell r="Y72">
            <v>0.26000700999999998</v>
          </cell>
          <cell r="Z72">
            <v>0.27335624600000002</v>
          </cell>
          <cell r="AB72" t="str">
            <v>1991LA</v>
          </cell>
          <cell r="AC72">
            <v>4.4444444444444446E-2</v>
          </cell>
          <cell r="AD72">
            <v>0</v>
          </cell>
          <cell r="AE72">
            <v>0.91111111099999997</v>
          </cell>
          <cell r="AF72">
            <v>4.4444444E-2</v>
          </cell>
        </row>
        <row r="73">
          <cell r="B73" t="str">
            <v>1991ME</v>
          </cell>
          <cell r="C73">
            <v>3.718504478891041E-2</v>
          </cell>
          <cell r="D73">
            <v>0.11002557347728271</v>
          </cell>
          <cell r="E73">
            <v>0.47083240038243279</v>
          </cell>
          <cell r="F73">
            <v>0.26521816435578993</v>
          </cell>
          <cell r="G73">
            <v>9.0337404391808526E-2</v>
          </cell>
          <cell r="H73">
            <v>2.6401412603775674E-2</v>
          </cell>
          <cell r="J73" t="str">
            <v>1991ME</v>
          </cell>
          <cell r="K73">
            <v>0.43883019522575872</v>
          </cell>
          <cell r="L73">
            <v>9.0337404391808526E-2</v>
          </cell>
          <cell r="M73">
            <v>0.47083240038243279</v>
          </cell>
          <cell r="U73" t="str">
            <v>1991ME</v>
          </cell>
          <cell r="V73">
            <v>1</v>
          </cell>
          <cell r="W73">
            <v>0</v>
          </cell>
          <cell r="X73">
            <v>0</v>
          </cell>
          <cell r="Y73">
            <v>0</v>
          </cell>
          <cell r="Z73">
            <v>0</v>
          </cell>
          <cell r="AB73" t="str">
            <v>1991ME</v>
          </cell>
          <cell r="AC73">
            <v>8.8888888888888892E-2</v>
          </cell>
          <cell r="AD73">
            <v>0.08</v>
          </cell>
          <cell r="AE73">
            <v>5.5555559999999997E-3</v>
          </cell>
          <cell r="AF73">
            <v>0.82555555599999997</v>
          </cell>
        </row>
        <row r="74">
          <cell r="B74" t="str">
            <v>1991MD</v>
          </cell>
          <cell r="C74">
            <v>4.1893723913388137E-2</v>
          </cell>
          <cell r="D74">
            <v>0.12365029557343474</v>
          </cell>
          <cell r="E74">
            <v>0.45964978293685133</v>
          </cell>
          <cell r="F74">
            <v>0.26329361816793467</v>
          </cell>
          <cell r="G74">
            <v>8.0250144677551663E-2</v>
          </cell>
          <cell r="H74">
            <v>3.1262434730839492E-2</v>
          </cell>
          <cell r="J74" t="str">
            <v>1991MD</v>
          </cell>
          <cell r="K74">
            <v>0.46010007238559703</v>
          </cell>
          <cell r="L74">
            <v>8.0250144677551663E-2</v>
          </cell>
          <cell r="M74">
            <v>0.45964978293685133</v>
          </cell>
          <cell r="U74" t="str">
            <v>1991MD</v>
          </cell>
          <cell r="V74">
            <v>0.166823576</v>
          </cell>
          <cell r="W74">
            <v>4.1235824999999997E-2</v>
          </cell>
          <cell r="X74">
            <v>0.22499929199999999</v>
          </cell>
          <cell r="Y74">
            <v>0.16054668499999999</v>
          </cell>
          <cell r="Z74">
            <v>0.40639462199999998</v>
          </cell>
          <cell r="AB74" t="str">
            <v>1991MD</v>
          </cell>
          <cell r="AC74">
            <v>0</v>
          </cell>
          <cell r="AD74">
            <v>0</v>
          </cell>
          <cell r="AE74">
            <v>5.5555559999999997E-3</v>
          </cell>
          <cell r="AF74">
            <v>0.99444444399999998</v>
          </cell>
        </row>
        <row r="75">
          <cell r="B75" t="str">
            <v>1991MA</v>
          </cell>
          <cell r="C75">
            <v>4.4512281016216008E-2</v>
          </cell>
          <cell r="D75">
            <v>0.12375788831131805</v>
          </cell>
          <cell r="E75">
            <v>0.46482017950102456</v>
          </cell>
          <cell r="F75">
            <v>0.25533177027300941</v>
          </cell>
          <cell r="G75">
            <v>8.4914091488065557E-2</v>
          </cell>
          <cell r="H75">
            <v>2.666378941036646E-2</v>
          </cell>
          <cell r="J75" t="str">
            <v>1991MA</v>
          </cell>
          <cell r="K75">
            <v>0.45026572901090989</v>
          </cell>
          <cell r="L75">
            <v>8.4914091488065557E-2</v>
          </cell>
          <cell r="M75">
            <v>0.46482017950102456</v>
          </cell>
          <cell r="U75" t="str">
            <v>1991MA</v>
          </cell>
          <cell r="V75">
            <v>0.39163290699999997</v>
          </cell>
          <cell r="W75">
            <v>2.6768152E-2</v>
          </cell>
          <cell r="X75">
            <v>0.167909318</v>
          </cell>
          <cell r="Y75">
            <v>0.12836545699999999</v>
          </cell>
          <cell r="Z75">
            <v>0.28532416599999999</v>
          </cell>
          <cell r="AB75" t="str">
            <v>1991MA</v>
          </cell>
          <cell r="AC75">
            <v>8.8888888888888892E-2</v>
          </cell>
          <cell r="AD75">
            <v>0.08</v>
          </cell>
          <cell r="AE75">
            <v>5.5555559999999997E-3</v>
          </cell>
          <cell r="AF75">
            <v>0.82555555599999997</v>
          </cell>
        </row>
        <row r="76">
          <cell r="B76" t="str">
            <v>1991MI</v>
          </cell>
          <cell r="C76">
            <v>7.324743058685855E-2</v>
          </cell>
          <cell r="D76">
            <v>0.21181592514810976</v>
          </cell>
          <cell r="E76">
            <v>0.13202895394885908</v>
          </cell>
          <cell r="F76">
            <v>0.4542531386851254</v>
          </cell>
          <cell r="G76">
            <v>7.8166395621463824E-2</v>
          </cell>
          <cell r="H76">
            <v>5.0488156009583417E-2</v>
          </cell>
          <cell r="J76" t="str">
            <v>1991MI</v>
          </cell>
          <cell r="K76">
            <v>0.78980465042967707</v>
          </cell>
          <cell r="L76">
            <v>7.8166395621463824E-2</v>
          </cell>
          <cell r="M76">
            <v>0.13202895394885908</v>
          </cell>
          <cell r="U76" t="str">
            <v>1991MI</v>
          </cell>
          <cell r="V76">
            <v>0.114360435</v>
          </cell>
          <cell r="W76">
            <v>4.3736677000000002E-2</v>
          </cell>
          <cell r="X76">
            <v>0.239270606</v>
          </cell>
          <cell r="Y76">
            <v>0.17097482999999999</v>
          </cell>
          <cell r="Z76">
            <v>0.43165745300000002</v>
          </cell>
          <cell r="AB76" t="str">
            <v>1991MI</v>
          </cell>
          <cell r="AC76">
            <v>8.0000000000000071E-2</v>
          </cell>
          <cell r="AD76">
            <v>2.6666666666666665E-2</v>
          </cell>
          <cell r="AE76">
            <v>2.8888889000000001E-2</v>
          </cell>
          <cell r="AF76">
            <v>0.86444444399999998</v>
          </cell>
        </row>
        <row r="77">
          <cell r="B77" t="str">
            <v>1991MN</v>
          </cell>
          <cell r="C77">
            <v>3.1305052229958379E-2</v>
          </cell>
          <cell r="D77">
            <v>0.11126879087151634</v>
          </cell>
          <cell r="E77">
            <v>0.26075788395504595</v>
          </cell>
          <cell r="F77">
            <v>0.41062320281471232</v>
          </cell>
          <cell r="G77">
            <v>0.15437904572462918</v>
          </cell>
          <cell r="H77">
            <v>3.1666024404137724E-2</v>
          </cell>
          <cell r="J77" t="str">
            <v>1991MN</v>
          </cell>
          <cell r="K77">
            <v>0.58486307032032481</v>
          </cell>
          <cell r="L77">
            <v>0.15437904572462918</v>
          </cell>
          <cell r="M77">
            <v>0.26075788395504595</v>
          </cell>
          <cell r="U77" t="str">
            <v>1991MN</v>
          </cell>
          <cell r="V77">
            <v>9.4816849999999994E-2</v>
          </cell>
          <cell r="W77">
            <v>4.2466038999999997E-2</v>
          </cell>
          <cell r="X77">
            <v>0.246972737</v>
          </cell>
          <cell r="Y77">
            <v>0.182200377</v>
          </cell>
          <cell r="Z77">
            <v>0.43354399599999999</v>
          </cell>
          <cell r="AB77" t="str">
            <v>1991MN</v>
          </cell>
          <cell r="AC77">
            <v>0</v>
          </cell>
          <cell r="AD77">
            <v>0.22222222222222221</v>
          </cell>
          <cell r="AE77">
            <v>0</v>
          </cell>
          <cell r="AF77">
            <v>0.77777777800000003</v>
          </cell>
        </row>
        <row r="78">
          <cell r="B78" t="str">
            <v>1991MS</v>
          </cell>
          <cell r="C78">
            <v>7.2139457063057397E-2</v>
          </cell>
          <cell r="D78">
            <v>5.7144027087776272E-2</v>
          </cell>
          <cell r="E78">
            <v>0.13912499999999997</v>
          </cell>
          <cell r="F78">
            <v>9.7666948035818157E-2</v>
          </cell>
          <cell r="G78">
            <v>0.629</v>
          </cell>
          <cell r="H78">
            <v>4.9245678133481973E-3</v>
          </cell>
          <cell r="J78" t="str">
            <v>1991MS</v>
          </cell>
          <cell r="K78">
            <v>0.23187500000000005</v>
          </cell>
          <cell r="L78">
            <v>0.629</v>
          </cell>
          <cell r="M78">
            <v>0.13912499999999997</v>
          </cell>
          <cell r="U78" t="str">
            <v>1991MS</v>
          </cell>
          <cell r="V78">
            <v>0.16014467099999999</v>
          </cell>
          <cell r="W78">
            <v>3.423358E-2</v>
          </cell>
          <cell r="X78">
            <v>0.14592406599999999</v>
          </cell>
          <cell r="Y78">
            <v>0.32758962699999999</v>
          </cell>
          <cell r="Z78">
            <v>0.33210805599999998</v>
          </cell>
          <cell r="AB78" t="str">
            <v>1991MS</v>
          </cell>
          <cell r="AC78">
            <v>8.8888888888888892E-2</v>
          </cell>
          <cell r="AD78">
            <v>4.4444444444444446E-2</v>
          </cell>
          <cell r="AE78">
            <v>0.82222222199999995</v>
          </cell>
          <cell r="AF78">
            <v>4.4444444E-2</v>
          </cell>
        </row>
        <row r="79">
          <cell r="B79" t="str">
            <v>1991MO</v>
          </cell>
          <cell r="C79">
            <v>5.153283595336073E-2</v>
          </cell>
          <cell r="D79">
            <v>0.16235708587644762</v>
          </cell>
          <cell r="E79">
            <v>0.16983403864857355</v>
          </cell>
          <cell r="F79">
            <v>0.47108042470223738</v>
          </cell>
          <cell r="G79">
            <v>0.10054851044368285</v>
          </cell>
          <cell r="H79">
            <v>4.4647104375697792E-2</v>
          </cell>
          <cell r="J79" t="str">
            <v>1991MO</v>
          </cell>
          <cell r="K79">
            <v>0.72961745090774355</v>
          </cell>
          <cell r="L79">
            <v>0.10054851044368285</v>
          </cell>
          <cell r="M79">
            <v>0.16983403864857355</v>
          </cell>
          <cell r="U79" t="str">
            <v>1991MO</v>
          </cell>
          <cell r="V79">
            <v>0.15412261099999999</v>
          </cell>
          <cell r="W79">
            <v>3.8130263999999997E-2</v>
          </cell>
          <cell r="X79">
            <v>0.23688087999999999</v>
          </cell>
          <cell r="Y79">
            <v>0.158651549</v>
          </cell>
          <cell r="Z79">
            <v>0.41221469599999999</v>
          </cell>
          <cell r="AB79" t="str">
            <v>1991MO</v>
          </cell>
          <cell r="AC79">
            <v>0</v>
          </cell>
          <cell r="AD79">
            <v>0.17777777777777778</v>
          </cell>
          <cell r="AE79">
            <v>0</v>
          </cell>
          <cell r="AF79">
            <v>0.82222222199999995</v>
          </cell>
        </row>
        <row r="80">
          <cell r="B80" t="str">
            <v>1991MT</v>
          </cell>
          <cell r="C80">
            <v>0.27211618305577451</v>
          </cell>
          <cell r="D80">
            <v>0.21208932687149804</v>
          </cell>
          <cell r="E80">
            <v>8.1291949251637047E-2</v>
          </cell>
          <cell r="F80">
            <v>0.30322528776795848</v>
          </cell>
          <cell r="G80">
            <v>4.8128069457436862E-2</v>
          </cell>
          <cell r="H80">
            <v>8.3149183595694967E-2</v>
          </cell>
          <cell r="J80" t="str">
            <v>1991MT</v>
          </cell>
          <cell r="K80">
            <v>0.87057998129092606</v>
          </cell>
          <cell r="L80">
            <v>4.8128069457436862E-2</v>
          </cell>
          <cell r="M80">
            <v>8.1291949251637047E-2</v>
          </cell>
          <cell r="U80" t="str">
            <v>1991MT</v>
          </cell>
          <cell r="V80">
            <v>0.17487149299999999</v>
          </cell>
          <cell r="W80">
            <v>4.2271920999999997E-2</v>
          </cell>
          <cell r="X80">
            <v>0.22127201199999999</v>
          </cell>
          <cell r="Y80">
            <v>0.154214559</v>
          </cell>
          <cell r="Z80">
            <v>0.40737001499999997</v>
          </cell>
          <cell r="AB80" t="str">
            <v>1991MT</v>
          </cell>
          <cell r="AC80">
            <v>0</v>
          </cell>
          <cell r="AD80">
            <v>7.1111111111111111E-2</v>
          </cell>
          <cell r="AE80">
            <v>0.102222222</v>
          </cell>
          <cell r="AF80">
            <v>0.82666666700000002</v>
          </cell>
        </row>
        <row r="81">
          <cell r="B81" t="str">
            <v>1991NE</v>
          </cell>
          <cell r="C81">
            <v>5.1908406228860199E-2</v>
          </cell>
          <cell r="D81">
            <v>0.16885018509629057</v>
          </cell>
          <cell r="E81">
            <v>0.16813223920364137</v>
          </cell>
          <cell r="F81">
            <v>0.46390423057567187</v>
          </cell>
          <cell r="G81">
            <v>9.9540977438971737E-2</v>
          </cell>
          <cell r="H81">
            <v>4.7663961456564249E-2</v>
          </cell>
          <cell r="J81" t="str">
            <v>1991NE</v>
          </cell>
          <cell r="K81">
            <v>0.73232678335738688</v>
          </cell>
          <cell r="L81">
            <v>9.9540977438971737E-2</v>
          </cell>
          <cell r="M81">
            <v>0.16813223920364137</v>
          </cell>
          <cell r="U81" t="str">
            <v>1991NE</v>
          </cell>
          <cell r="V81">
            <v>0.102933355</v>
          </cell>
          <cell r="W81">
            <v>4.0650909999999998E-2</v>
          </cell>
          <cell r="X81">
            <v>0.25201530900000002</v>
          </cell>
          <cell r="Y81">
            <v>0.163616556</v>
          </cell>
          <cell r="Z81">
            <v>0.44078387099999999</v>
          </cell>
          <cell r="AB81" t="str">
            <v>1991NE</v>
          </cell>
          <cell r="AC81">
            <v>0</v>
          </cell>
          <cell r="AD81">
            <v>0</v>
          </cell>
          <cell r="AE81">
            <v>2.2222219999999998E-3</v>
          </cell>
          <cell r="AF81">
            <v>0.997777778</v>
          </cell>
        </row>
        <row r="82">
          <cell r="B82" t="str">
            <v>1991NV</v>
          </cell>
          <cell r="C82">
            <v>0.58321712696858785</v>
          </cell>
          <cell r="D82">
            <v>0.26612901880698692</v>
          </cell>
          <cell r="E82">
            <v>1.7168192153980431E-2</v>
          </cell>
          <cell r="F82">
            <v>0.11278702931800995</v>
          </cell>
          <cell r="G82">
            <v>1.0164253066286922E-2</v>
          </cell>
          <cell r="H82">
            <v>1.0534379686147882E-2</v>
          </cell>
          <cell r="J82" t="str">
            <v>1991NV</v>
          </cell>
          <cell r="K82">
            <v>0.97266755477973266</v>
          </cell>
          <cell r="L82">
            <v>1.0164253066286922E-2</v>
          </cell>
          <cell r="M82">
            <v>1.7168192153980431E-2</v>
          </cell>
          <cell r="U82" t="str">
            <v>1991NV</v>
          </cell>
          <cell r="V82">
            <v>1</v>
          </cell>
          <cell r="W82">
            <v>0</v>
          </cell>
          <cell r="X82">
            <v>0</v>
          </cell>
          <cell r="Y82">
            <v>0</v>
          </cell>
          <cell r="Z82">
            <v>0</v>
          </cell>
          <cell r="AB82" t="str">
            <v>1991NV</v>
          </cell>
          <cell r="AC82">
            <v>0.22222222222222221</v>
          </cell>
          <cell r="AD82">
            <v>0</v>
          </cell>
          <cell r="AE82">
            <v>0</v>
          </cell>
          <cell r="AF82">
            <v>0.77777777800000003</v>
          </cell>
        </row>
        <row r="83">
          <cell r="B83" t="str">
            <v>1991NH</v>
          </cell>
          <cell r="C83">
            <v>4.8620269206716804E-2</v>
          </cell>
          <cell r="D83">
            <v>0.13133144984245765</v>
          </cell>
          <cell r="E83">
            <v>0.46171571960078184</v>
          </cell>
          <cell r="F83">
            <v>0.24952278229823527</v>
          </cell>
          <cell r="G83">
            <v>8.2113719085214754E-2</v>
          </cell>
          <cell r="H83">
            <v>2.6696059966593612E-2</v>
          </cell>
          <cell r="J83" t="str">
            <v>1991NH</v>
          </cell>
          <cell r="K83">
            <v>0.45617056131400346</v>
          </cell>
          <cell r="L83">
            <v>8.2113719085214754E-2</v>
          </cell>
          <cell r="M83">
            <v>0.46171571960078184</v>
          </cell>
          <cell r="U83" t="str">
            <v>1991NH</v>
          </cell>
          <cell r="V83">
            <v>1</v>
          </cell>
          <cell r="W83">
            <v>0</v>
          </cell>
          <cell r="X83">
            <v>0</v>
          </cell>
          <cell r="Y83">
            <v>0</v>
          </cell>
          <cell r="Z83">
            <v>0</v>
          </cell>
          <cell r="AB83" t="str">
            <v>1991NH</v>
          </cell>
          <cell r="AC83">
            <v>0</v>
          </cell>
          <cell r="AD83">
            <v>0</v>
          </cell>
          <cell r="AE83">
            <v>5.5555559999999997E-3</v>
          </cell>
          <cell r="AF83">
            <v>0.99444444399999998</v>
          </cell>
        </row>
        <row r="84">
          <cell r="B84" t="str">
            <v>1991NJ</v>
          </cell>
          <cell r="C84">
            <v>4.1425102160875658E-2</v>
          </cell>
          <cell r="D84">
            <v>0.11770631829422606</v>
          </cell>
          <cell r="E84">
            <v>0.4677438395121068</v>
          </cell>
          <cell r="F84">
            <v>0.25928143277603805</v>
          </cell>
          <cell r="G84">
            <v>8.755137367995762E-2</v>
          </cell>
          <cell r="H84">
            <v>2.6291933576795837E-2</v>
          </cell>
          <cell r="J84" t="str">
            <v>1991NJ</v>
          </cell>
          <cell r="K84">
            <v>0.44470478680793557</v>
          </cell>
          <cell r="L84">
            <v>8.755137367995762E-2</v>
          </cell>
          <cell r="M84">
            <v>0.4677438395121068</v>
          </cell>
          <cell r="U84" t="str">
            <v>1991NJ</v>
          </cell>
          <cell r="V84">
            <v>0.48238382800000001</v>
          </cell>
          <cell r="W84">
            <v>2.2775112E-2</v>
          </cell>
          <cell r="X84">
            <v>0.14286206400000001</v>
          </cell>
          <cell r="Y84">
            <v>0.109217012</v>
          </cell>
          <cell r="Z84">
            <v>0.24276198500000001</v>
          </cell>
          <cell r="AB84" t="str">
            <v>1991NJ</v>
          </cell>
          <cell r="AC84">
            <v>8.8888888888888892E-2</v>
          </cell>
          <cell r="AD84">
            <v>0.08</v>
          </cell>
          <cell r="AE84">
            <v>5.5555559999999997E-3</v>
          </cell>
          <cell r="AF84">
            <v>0.82555555599999997</v>
          </cell>
        </row>
        <row r="85">
          <cell r="B85" t="str">
            <v>1991NM</v>
          </cell>
          <cell r="C85">
            <v>0.59149831028495392</v>
          </cell>
          <cell r="D85">
            <v>0.21331204046073038</v>
          </cell>
          <cell r="E85">
            <v>9.282796906413579E-2</v>
          </cell>
          <cell r="F85">
            <v>9.8615847240322796E-2</v>
          </cell>
          <cell r="G85">
            <v>0</v>
          </cell>
          <cell r="H85">
            <v>3.7458329498570439E-3</v>
          </cell>
          <cell r="J85" t="str">
            <v>1991NM</v>
          </cell>
          <cell r="K85">
            <v>0.90717203093586418</v>
          </cell>
          <cell r="L85">
            <v>0</v>
          </cell>
          <cell r="M85">
            <v>9.282796906413579E-2</v>
          </cell>
          <cell r="U85" t="str">
            <v>1991NM</v>
          </cell>
          <cell r="V85">
            <v>1</v>
          </cell>
          <cell r="W85">
            <v>0</v>
          </cell>
          <cell r="X85">
            <v>0</v>
          </cell>
          <cell r="Y85">
            <v>0</v>
          </cell>
          <cell r="Z85">
            <v>0</v>
          </cell>
          <cell r="AB85" t="str">
            <v>1991NM</v>
          </cell>
          <cell r="AC85">
            <v>0.22222222222222221</v>
          </cell>
          <cell r="AD85">
            <v>8.8888888888888892E-2</v>
          </cell>
          <cell r="AE85">
            <v>0.24444444400000001</v>
          </cell>
          <cell r="AF85">
            <v>0.44444444399999999</v>
          </cell>
        </row>
        <row r="86">
          <cell r="B86" t="str">
            <v>1991NY</v>
          </cell>
          <cell r="C86">
            <v>5.1577097108474732E-2</v>
          </cell>
          <cell r="D86">
            <v>0.12227904581481985</v>
          </cell>
          <cell r="E86">
            <v>0.4647326326548461</v>
          </cell>
          <cell r="F86">
            <v>0.25122610680572177</v>
          </cell>
          <cell r="G86">
            <v>8.4835120014806878E-2</v>
          </cell>
          <cell r="H86">
            <v>2.5349997601330651E-2</v>
          </cell>
          <cell r="J86" t="str">
            <v>1991NY</v>
          </cell>
          <cell r="K86">
            <v>0.45043224733034704</v>
          </cell>
          <cell r="L86">
            <v>8.4835120014806878E-2</v>
          </cell>
          <cell r="M86">
            <v>0.4647326326548461</v>
          </cell>
          <cell r="U86" t="str">
            <v>1991NY</v>
          </cell>
          <cell r="V86">
            <v>0.40442275900000002</v>
          </cell>
          <cell r="W86">
            <v>2.6205399000000001E-2</v>
          </cell>
          <cell r="X86">
            <v>0.164379318</v>
          </cell>
          <cell r="Y86">
            <v>0.125666798</v>
          </cell>
          <cell r="Z86">
            <v>0.279325726</v>
          </cell>
          <cell r="AB86" t="str">
            <v>1991NY</v>
          </cell>
          <cell r="AC86">
            <v>8.8888888888888892E-2</v>
          </cell>
          <cell r="AD86">
            <v>0.26666666666666666</v>
          </cell>
          <cell r="AE86">
            <v>5.5555559999999997E-3</v>
          </cell>
          <cell r="AF86">
            <v>0.63888888899999996</v>
          </cell>
        </row>
        <row r="87">
          <cell r="B87" t="str">
            <v>1991NC</v>
          </cell>
          <cell r="C87">
            <v>3.1231091049289766E-2</v>
          </cell>
          <cell r="D87">
            <v>8.0105981219265779E-2</v>
          </cell>
          <cell r="E87">
            <v>0.13912499999999997</v>
          </cell>
          <cell r="F87">
            <v>0.10489192244022913</v>
          </cell>
          <cell r="G87">
            <v>0.629</v>
          </cell>
          <cell r="H87">
            <v>1.5646005291215355E-2</v>
          </cell>
          <cell r="J87" t="str">
            <v>1991NC</v>
          </cell>
          <cell r="K87">
            <v>0.23187500000000005</v>
          </cell>
          <cell r="L87">
            <v>0.629</v>
          </cell>
          <cell r="M87">
            <v>0.13912499999999997</v>
          </cell>
          <cell r="U87" t="str">
            <v>1991NC</v>
          </cell>
          <cell r="V87">
            <v>1.9145736999999999E-2</v>
          </cell>
          <cell r="W87">
            <v>3.7223639000000003E-2</v>
          </cell>
          <cell r="X87">
            <v>8.3372556E-2</v>
          </cell>
          <cell r="Y87">
            <v>0.53502281299999999</v>
          </cell>
          <cell r="Z87">
            <v>0.325235255</v>
          </cell>
          <cell r="AB87" t="str">
            <v>1991NC</v>
          </cell>
          <cell r="AC87">
            <v>0.44444444444444442</v>
          </cell>
          <cell r="AD87">
            <v>4.4444444444444446E-2</v>
          </cell>
          <cell r="AE87">
            <v>0.31322222199999999</v>
          </cell>
          <cell r="AF87">
            <v>0.19788888900000001</v>
          </cell>
        </row>
        <row r="88">
          <cell r="B88" t="str">
            <v>1991ND</v>
          </cell>
          <cell r="C88">
            <v>3.6166887244298729E-2</v>
          </cell>
          <cell r="D88">
            <v>0.12513521121721397</v>
          </cell>
          <cell r="E88">
            <v>0.23484334312612676</v>
          </cell>
          <cell r="F88">
            <v>0.42941196164222856</v>
          </cell>
          <cell r="G88">
            <v>0.13903660612939842</v>
          </cell>
          <cell r="H88">
            <v>3.5405990640733589E-2</v>
          </cell>
          <cell r="J88" t="str">
            <v>1991ND</v>
          </cell>
          <cell r="K88">
            <v>0.62612005074447485</v>
          </cell>
          <cell r="L88">
            <v>0.13903660612939842</v>
          </cell>
          <cell r="M88">
            <v>0.23484334312612676</v>
          </cell>
          <cell r="U88" t="str">
            <v>1991ND</v>
          </cell>
          <cell r="V88">
            <v>0.23483451899999999</v>
          </cell>
          <cell r="W88">
            <v>3.5631589999999998E-2</v>
          </cell>
          <cell r="X88">
            <v>0.209057671</v>
          </cell>
          <cell r="Y88">
            <v>0.15490222000000001</v>
          </cell>
          <cell r="Z88">
            <v>0.36557400000000001</v>
          </cell>
          <cell r="AB88" t="str">
            <v>1991ND</v>
          </cell>
          <cell r="AC88">
            <v>0</v>
          </cell>
          <cell r="AD88">
            <v>4.4444444444444446E-2</v>
          </cell>
          <cell r="AE88">
            <v>4.6666667000000002E-2</v>
          </cell>
          <cell r="AF88">
            <v>0.90888888899999998</v>
          </cell>
        </row>
        <row r="89">
          <cell r="B89" t="str">
            <v>1991OH</v>
          </cell>
          <cell r="C89">
            <v>5.066011633437862E-2</v>
          </cell>
          <cell r="D89">
            <v>0.15372917547601667</v>
          </cell>
          <cell r="E89">
            <v>0.20097102370153919</v>
          </cell>
          <cell r="F89">
            <v>0.43615838068739293</v>
          </cell>
          <cell r="G89">
            <v>0.11898284487802568</v>
          </cell>
          <cell r="H89">
            <v>3.949845892264691E-2</v>
          </cell>
          <cell r="J89" t="str">
            <v>1991OH</v>
          </cell>
          <cell r="K89">
            <v>0.68004613142043513</v>
          </cell>
          <cell r="L89">
            <v>0.11898284487802568</v>
          </cell>
          <cell r="M89">
            <v>0.20097102370153919</v>
          </cell>
          <cell r="U89" t="str">
            <v>1991OH</v>
          </cell>
          <cell r="V89">
            <v>0.17112533799999999</v>
          </cell>
          <cell r="W89">
            <v>3.7090797000000002E-2</v>
          </cell>
          <cell r="X89">
            <v>0.231095575</v>
          </cell>
          <cell r="Y89">
            <v>0.161400776</v>
          </cell>
          <cell r="Z89">
            <v>0.39928751400000001</v>
          </cell>
          <cell r="AB89" t="str">
            <v>1991OH</v>
          </cell>
          <cell r="AC89">
            <v>0</v>
          </cell>
          <cell r="AD89">
            <v>0</v>
          </cell>
          <cell r="AE89">
            <v>0</v>
          </cell>
          <cell r="AF89">
            <v>1</v>
          </cell>
        </row>
        <row r="90">
          <cell r="B90" t="str">
            <v>1991OK</v>
          </cell>
          <cell r="C90">
            <v>0.30427550610539844</v>
          </cell>
          <cell r="D90">
            <v>0.23758473588590073</v>
          </cell>
          <cell r="E90">
            <v>0.05</v>
          </cell>
          <cell r="F90">
            <v>0.32064210685683209</v>
          </cell>
          <cell r="G90">
            <v>0</v>
          </cell>
          <cell r="H90">
            <v>8.7497651151868694E-2</v>
          </cell>
          <cell r="J90" t="str">
            <v>1991OK</v>
          </cell>
          <cell r="K90">
            <v>0.95</v>
          </cell>
          <cell r="L90">
            <v>0</v>
          </cell>
          <cell r="M90">
            <v>0.05</v>
          </cell>
          <cell r="U90" t="str">
            <v>1991OK</v>
          </cell>
          <cell r="V90">
            <v>0.26202039300000002</v>
          </cell>
          <cell r="W90">
            <v>2.9186218999999999E-2</v>
          </cell>
          <cell r="X90">
            <v>9.9973907000000001E-2</v>
          </cell>
          <cell r="Y90">
            <v>0.33732082800000002</v>
          </cell>
          <cell r="Z90">
            <v>0.27149865400000001</v>
          </cell>
          <cell r="AB90" t="str">
            <v>1991OK</v>
          </cell>
          <cell r="AC90">
            <v>0</v>
          </cell>
          <cell r="AD90">
            <v>0.17777777777777778</v>
          </cell>
          <cell r="AE90">
            <v>6.6666666999999999E-2</v>
          </cell>
          <cell r="AF90">
            <v>0.75555555600000002</v>
          </cell>
        </row>
        <row r="91">
          <cell r="B91" t="str">
            <v>1991OR</v>
          </cell>
          <cell r="C91">
            <v>0.30172764387032441</v>
          </cell>
          <cell r="D91">
            <v>0.18986311338759157</v>
          </cell>
          <cell r="E91">
            <v>0</v>
          </cell>
          <cell r="F91">
            <v>0.14442577716150223</v>
          </cell>
          <cell r="G91">
            <v>0.33079492098752972</v>
          </cell>
          <cell r="H91">
            <v>3.3188544593052031E-2</v>
          </cell>
          <cell r="J91" t="str">
            <v>1991OR</v>
          </cell>
          <cell r="K91">
            <v>0.66920507901247028</v>
          </cell>
          <cell r="L91">
            <v>0.33079492098752972</v>
          </cell>
          <cell r="M91">
            <v>0</v>
          </cell>
          <cell r="U91" t="str">
            <v>1991OR</v>
          </cell>
          <cell r="V91">
            <v>0.48801771300000002</v>
          </cell>
          <cell r="W91">
            <v>2.2527221E-2</v>
          </cell>
          <cell r="X91">
            <v>0.14130711100000001</v>
          </cell>
          <cell r="Y91">
            <v>0.108028263</v>
          </cell>
          <cell r="Z91">
            <v>0.240119693</v>
          </cell>
          <cell r="AB91" t="str">
            <v>1991OR</v>
          </cell>
          <cell r="AC91">
            <v>0</v>
          </cell>
          <cell r="AD91">
            <v>0.08</v>
          </cell>
          <cell r="AE91">
            <v>0.12555555600000001</v>
          </cell>
          <cell r="AF91">
            <v>0.79444444400000003</v>
          </cell>
        </row>
        <row r="92">
          <cell r="B92" t="str">
            <v>1991PA</v>
          </cell>
          <cell r="C92">
            <v>2.921516527495149E-2</v>
          </cell>
          <cell r="D92">
            <v>8.9778762884150654E-2</v>
          </cell>
          <cell r="E92">
            <v>0.48261555570995929</v>
          </cell>
          <cell r="F92">
            <v>0.27379413342288028</v>
          </cell>
          <cell r="G92">
            <v>0.10096637820948601</v>
          </cell>
          <cell r="H92">
            <v>2.3630004498572259E-2</v>
          </cell>
          <cell r="J92" t="str">
            <v>1991PA</v>
          </cell>
          <cell r="K92">
            <v>0.41641806608055476</v>
          </cell>
          <cell r="L92">
            <v>0.10096637820948601</v>
          </cell>
          <cell r="M92">
            <v>0.48261555570995929</v>
          </cell>
          <cell r="U92" t="str">
            <v>1991PA</v>
          </cell>
          <cell r="V92">
            <v>0.107982326</v>
          </cell>
          <cell r="W92">
            <v>4.3663312000000003E-2</v>
          </cell>
          <cell r="X92">
            <v>0.24141446599999999</v>
          </cell>
          <cell r="Y92">
            <v>0.173500614</v>
          </cell>
          <cell r="Z92">
            <v>0.43343928199999998</v>
          </cell>
          <cell r="AB92" t="str">
            <v>1991PA</v>
          </cell>
          <cell r="AC92">
            <v>0.26666666666666666</v>
          </cell>
          <cell r="AD92">
            <v>4.4444444444444446E-2</v>
          </cell>
          <cell r="AE92">
            <v>0</v>
          </cell>
          <cell r="AF92">
            <v>0.688888889</v>
          </cell>
        </row>
        <row r="93">
          <cell r="B93" t="str">
            <v>1991RI</v>
          </cell>
          <cell r="C93">
            <v>2.1160119314162895E-2</v>
          </cell>
          <cell r="D93">
            <v>8.3381202076593594E-2</v>
          </cell>
          <cell r="E93">
            <v>0.47900321677679891</v>
          </cell>
          <cell r="F93">
            <v>0.28958768063488644</v>
          </cell>
          <cell r="G93">
            <v>9.7707874449339191E-2</v>
          </cell>
          <cell r="H93">
            <v>2.9159906748219042E-2</v>
          </cell>
          <cell r="J93" t="str">
            <v>1991RI</v>
          </cell>
          <cell r="K93">
            <v>0.42328890877386194</v>
          </cell>
          <cell r="L93">
            <v>9.7707874449339191E-2</v>
          </cell>
          <cell r="M93">
            <v>0.47900321677679891</v>
          </cell>
          <cell r="U93" t="str">
            <v>1991RI</v>
          </cell>
          <cell r="V93">
            <v>0.238419619</v>
          </cell>
          <cell r="W93">
            <v>3.3509536999999999E-2</v>
          </cell>
          <cell r="X93">
            <v>0.21019618500000001</v>
          </cell>
          <cell r="Y93">
            <v>0.16069346000000001</v>
          </cell>
          <cell r="Z93">
            <v>0.357181199</v>
          </cell>
          <cell r="AB93" t="str">
            <v>1991RI</v>
          </cell>
          <cell r="AC93">
            <v>8.8888888888888892E-2</v>
          </cell>
          <cell r="AD93">
            <v>0.08</v>
          </cell>
          <cell r="AE93">
            <v>5.5555559999999997E-3</v>
          </cell>
          <cell r="AF93">
            <v>0.82555555599999997</v>
          </cell>
        </row>
        <row r="94">
          <cell r="B94" t="str">
            <v>1991SC</v>
          </cell>
          <cell r="C94">
            <v>0.1060530561491369</v>
          </cell>
          <cell r="D94">
            <v>7.686375254995774E-2</v>
          </cell>
          <cell r="E94">
            <v>0.14718439291419974</v>
          </cell>
          <cell r="F94">
            <v>8.4697332518529636E-2</v>
          </cell>
          <cell r="G94">
            <v>0.58118933057670019</v>
          </cell>
          <cell r="H94">
            <v>4.0121352914758305E-3</v>
          </cell>
          <cell r="J94" t="str">
            <v>1991SC</v>
          </cell>
          <cell r="K94">
            <v>0.2716262765091001</v>
          </cell>
          <cell r="L94">
            <v>0.58118933057670019</v>
          </cell>
          <cell r="M94">
            <v>0.14718439291419974</v>
          </cell>
          <cell r="U94" t="str">
            <v>1991SC</v>
          </cell>
          <cell r="V94">
            <v>0.18186841400000001</v>
          </cell>
          <cell r="W94">
            <v>3.3645216999999998E-2</v>
          </cell>
          <cell r="X94">
            <v>0.15153023199999999</v>
          </cell>
          <cell r="Y94">
            <v>0.30268943599999998</v>
          </cell>
          <cell r="Z94">
            <v>0.33026670200000002</v>
          </cell>
          <cell r="AB94" t="str">
            <v>1991SC</v>
          </cell>
          <cell r="AC94">
            <v>8.8888888888888892E-2</v>
          </cell>
          <cell r="AD94">
            <v>0</v>
          </cell>
          <cell r="AE94">
            <v>0.42222222199999998</v>
          </cell>
          <cell r="AF94">
            <v>0.48888888899999999</v>
          </cell>
        </row>
        <row r="95">
          <cell r="B95" t="str">
            <v>1991SD</v>
          </cell>
          <cell r="C95">
            <v>4.934496456149931E-2</v>
          </cell>
          <cell r="D95">
            <v>0.15321338397251302</v>
          </cell>
          <cell r="E95">
            <v>0.20943685806642223</v>
          </cell>
          <cell r="F95">
            <v>0.42537575940378364</v>
          </cell>
          <cell r="G95">
            <v>0.12399495577066787</v>
          </cell>
          <cell r="H95">
            <v>3.8634078225113978E-2</v>
          </cell>
          <cell r="J95" t="str">
            <v>1991SD</v>
          </cell>
          <cell r="K95">
            <v>0.66656818616290991</v>
          </cell>
          <cell r="L95">
            <v>0.12399495577066787</v>
          </cell>
          <cell r="M95">
            <v>0.20943685806642223</v>
          </cell>
          <cell r="U95" t="str">
            <v>1991SD</v>
          </cell>
          <cell r="V95">
            <v>0.144740534</v>
          </cell>
          <cell r="W95">
            <v>4.0401548000000002E-2</v>
          </cell>
          <cell r="X95">
            <v>0.233050637</v>
          </cell>
          <cell r="Y95">
            <v>0.171225976</v>
          </cell>
          <cell r="Z95">
            <v>0.41058130500000001</v>
          </cell>
          <cell r="AB95" t="str">
            <v>1991SD</v>
          </cell>
          <cell r="AC95">
            <v>0</v>
          </cell>
          <cell r="AD95">
            <v>0</v>
          </cell>
          <cell r="AE95">
            <v>0.18</v>
          </cell>
          <cell r="AF95">
            <v>0.82</v>
          </cell>
        </row>
        <row r="96">
          <cell r="B96" t="str">
            <v>1991TN</v>
          </cell>
          <cell r="C96">
            <v>2.7324304039012964E-2</v>
          </cell>
          <cell r="D96">
            <v>7.0114654465175216E-2</v>
          </cell>
          <cell r="E96">
            <v>0.14186484493677126</v>
          </cell>
          <cell r="F96">
            <v>0.13252450898097146</v>
          </cell>
          <cell r="G96">
            <v>0.61274644071363271</v>
          </cell>
          <cell r="H96">
            <v>1.5425246864436372E-2</v>
          </cell>
          <cell r="J96" t="str">
            <v>1991TN</v>
          </cell>
          <cell r="K96">
            <v>0.24538871434959608</v>
          </cell>
          <cell r="L96">
            <v>0.61274644071363271</v>
          </cell>
          <cell r="M96">
            <v>0.14186484493677126</v>
          </cell>
          <cell r="U96" t="str">
            <v>1991TN</v>
          </cell>
          <cell r="V96">
            <v>0.23266783899999999</v>
          </cell>
          <cell r="W96">
            <v>3.2290655000000001E-2</v>
          </cell>
          <cell r="X96">
            <v>0.16531180400000001</v>
          </cell>
          <cell r="Y96">
            <v>0.243285432</v>
          </cell>
          <cell r="Z96">
            <v>0.32644426900000001</v>
          </cell>
          <cell r="AB96" t="str">
            <v>1991TN</v>
          </cell>
          <cell r="AC96">
            <v>0</v>
          </cell>
          <cell r="AD96">
            <v>0.8</v>
          </cell>
          <cell r="AE96">
            <v>6.7777777999999997E-2</v>
          </cell>
          <cell r="AF96">
            <v>0.132222222</v>
          </cell>
        </row>
        <row r="97">
          <cell r="B97" t="str">
            <v>1991TX</v>
          </cell>
          <cell r="C97">
            <v>0.43644699969620837</v>
          </cell>
          <cell r="D97">
            <v>0.2644505950878045</v>
          </cell>
          <cell r="E97">
            <v>6.3129550644091162E-2</v>
          </cell>
          <cell r="F97">
            <v>0.19308824114006534</v>
          </cell>
          <cell r="G97">
            <v>0</v>
          </cell>
          <cell r="H97">
            <v>4.2884613431830636E-2</v>
          </cell>
          <cell r="J97" t="str">
            <v>1991TX</v>
          </cell>
          <cell r="K97">
            <v>0.9368704493559088</v>
          </cell>
          <cell r="L97">
            <v>0</v>
          </cell>
          <cell r="M97">
            <v>6.3129550644091162E-2</v>
          </cell>
          <cell r="U97" t="str">
            <v>1991TX</v>
          </cell>
          <cell r="V97">
            <v>0.25776063500000002</v>
          </cell>
          <cell r="W97">
            <v>2.9933387999999998E-2</v>
          </cell>
          <cell r="X97">
            <v>0.118821385</v>
          </cell>
          <cell r="Y97">
            <v>0.30727402199999998</v>
          </cell>
          <cell r="Z97">
            <v>0.28621057</v>
          </cell>
          <cell r="AB97" t="str">
            <v>1991TX</v>
          </cell>
          <cell r="AC97">
            <v>0.44444444444444442</v>
          </cell>
          <cell r="AD97">
            <v>0</v>
          </cell>
          <cell r="AE97">
            <v>0.368888889</v>
          </cell>
          <cell r="AF97">
            <v>0.18666666700000001</v>
          </cell>
        </row>
        <row r="98">
          <cell r="B98" t="str">
            <v>1991UT</v>
          </cell>
          <cell r="C98">
            <v>0.3408163306177831</v>
          </cell>
          <cell r="D98">
            <v>0.26856064563622567</v>
          </cell>
          <cell r="E98">
            <v>4.3488644191417805E-2</v>
          </cell>
          <cell r="F98">
            <v>0.25450549677933004</v>
          </cell>
          <cell r="G98">
            <v>2.5747008252630443E-2</v>
          </cell>
          <cell r="H98">
            <v>6.6881874522612836E-2</v>
          </cell>
          <cell r="J98" t="str">
            <v>1991UT</v>
          </cell>
          <cell r="K98">
            <v>0.93076434755595172</v>
          </cell>
          <cell r="L98">
            <v>2.5747008252630443E-2</v>
          </cell>
          <cell r="M98">
            <v>4.3488644191417805E-2</v>
          </cell>
          <cell r="U98" t="str">
            <v>1991UT</v>
          </cell>
          <cell r="V98">
            <v>0.544215165</v>
          </cell>
          <cell r="W98">
            <v>2.0054532999999999E-2</v>
          </cell>
          <cell r="X98">
            <v>0.125796614</v>
          </cell>
          <cell r="Y98">
            <v>9.6170599999999995E-2</v>
          </cell>
          <cell r="Z98">
            <v>0.21376308699999999</v>
          </cell>
          <cell r="AB98" t="str">
            <v>1991UT</v>
          </cell>
          <cell r="AC98">
            <v>0.44444444444444442</v>
          </cell>
          <cell r="AD98">
            <v>0</v>
          </cell>
          <cell r="AE98">
            <v>6.6666666999999999E-2</v>
          </cell>
          <cell r="AF98">
            <v>0.48888888899999999</v>
          </cell>
        </row>
        <row r="99">
          <cell r="B99" t="str">
            <v>1991VT</v>
          </cell>
          <cell r="C99">
            <v>4.0072020212799001E-2</v>
          </cell>
          <cell r="D99">
            <v>0.11618599158657865</v>
          </cell>
          <cell r="E99">
            <v>0.46727553003241384</v>
          </cell>
          <cell r="F99">
            <v>0.26210436010185856</v>
          </cell>
          <cell r="G99">
            <v>8.7128935966130833E-2</v>
          </cell>
          <cell r="H99">
            <v>2.7233162100219199E-2</v>
          </cell>
          <cell r="J99" t="str">
            <v>1991VT</v>
          </cell>
          <cell r="K99">
            <v>0.44559553400145535</v>
          </cell>
          <cell r="L99">
            <v>8.7128935966130833E-2</v>
          </cell>
          <cell r="M99">
            <v>0.46727553003241384</v>
          </cell>
          <cell r="U99" t="str">
            <v>1991VT</v>
          </cell>
          <cell r="V99">
            <v>1</v>
          </cell>
          <cell r="W99">
            <v>0</v>
          </cell>
          <cell r="X99">
            <v>0</v>
          </cell>
          <cell r="Y99">
            <v>0</v>
          </cell>
          <cell r="Z99">
            <v>0</v>
          </cell>
          <cell r="AB99" t="str">
            <v>1991VT</v>
          </cell>
          <cell r="AC99">
            <v>8.8888888888888892E-2</v>
          </cell>
          <cell r="AD99">
            <v>0.08</v>
          </cell>
          <cell r="AE99">
            <v>5.5555559999999997E-3</v>
          </cell>
          <cell r="AF99">
            <v>0.82555555599999997</v>
          </cell>
        </row>
        <row r="100">
          <cell r="B100" t="str">
            <v>1991VA</v>
          </cell>
          <cell r="C100">
            <v>3.179278087434477E-2</v>
          </cell>
          <cell r="D100">
            <v>7.7890850207752993E-2</v>
          </cell>
          <cell r="E100">
            <v>0.1425321968750223</v>
          </cell>
          <cell r="F100">
            <v>0.12284474070327608</v>
          </cell>
          <cell r="G100">
            <v>0.60878751437161238</v>
          </cell>
          <cell r="H100">
            <v>1.615191696799146E-2</v>
          </cell>
          <cell r="J100" t="str">
            <v>1991VA</v>
          </cell>
          <cell r="K100">
            <v>0.24868028875336534</v>
          </cell>
          <cell r="L100">
            <v>0.60878751437161238</v>
          </cell>
          <cell r="M100">
            <v>0.1425321968750223</v>
          </cell>
          <cell r="U100" t="str">
            <v>1991VA</v>
          </cell>
          <cell r="V100">
            <v>0.104783687</v>
          </cell>
          <cell r="W100">
            <v>3.4990518999999998E-2</v>
          </cell>
          <cell r="X100">
            <v>0.10819703899999999</v>
          </cell>
          <cell r="Y100">
            <v>0.43209240999999998</v>
          </cell>
          <cell r="Z100">
            <v>0.31993634399999998</v>
          </cell>
          <cell r="AB100" t="str">
            <v>1991VA</v>
          </cell>
          <cell r="AC100">
            <v>0.62222222222222223</v>
          </cell>
          <cell r="AD100">
            <v>0</v>
          </cell>
          <cell r="AE100">
            <v>5.5555559999999997E-3</v>
          </cell>
          <cell r="AF100">
            <v>0.37222222199999999</v>
          </cell>
        </row>
        <row r="101">
          <cell r="B101" t="str">
            <v>1991WA</v>
          </cell>
          <cell r="C101">
            <v>0.35118448464289537</v>
          </cell>
          <cell r="D101">
            <v>0.20550206680564437</v>
          </cell>
          <cell r="E101">
            <v>0</v>
          </cell>
          <cell r="F101">
            <v>0.12594673385184735</v>
          </cell>
          <cell r="G101">
            <v>0.29192481475532051</v>
          </cell>
          <cell r="H101">
            <v>2.5441899944292447E-2</v>
          </cell>
          <cell r="J101" t="str">
            <v>1991WA</v>
          </cell>
          <cell r="K101">
            <v>0.70807518524467949</v>
          </cell>
          <cell r="L101">
            <v>0.29192481475532051</v>
          </cell>
          <cell r="M101">
            <v>0</v>
          </cell>
          <cell r="U101" t="str">
            <v>1991WA</v>
          </cell>
          <cell r="V101">
            <v>0.32160723499999999</v>
          </cell>
          <cell r="W101">
            <v>3.2643392E-2</v>
          </cell>
          <cell r="X101">
            <v>0.18420945</v>
          </cell>
          <cell r="Y101">
            <v>0.13382717099999999</v>
          </cell>
          <cell r="Z101">
            <v>0.327712752</v>
          </cell>
          <cell r="AB101" t="str">
            <v>1991WA</v>
          </cell>
          <cell r="AC101">
            <v>0</v>
          </cell>
          <cell r="AD101">
            <v>8.8888888888888892E-2</v>
          </cell>
          <cell r="AE101">
            <v>1.3333332999999999E-2</v>
          </cell>
          <cell r="AF101">
            <v>0.89777777800000003</v>
          </cell>
        </row>
        <row r="102">
          <cell r="B102" t="str">
            <v>1991WV</v>
          </cell>
          <cell r="C102">
            <v>3.916010831378041E-2</v>
          </cell>
          <cell r="D102">
            <v>0.11405058285388173</v>
          </cell>
          <cell r="E102">
            <v>0.46868791682715627</v>
          </cell>
          <cell r="F102">
            <v>0.26291325280206979</v>
          </cell>
          <cell r="G102">
            <v>8.8402976903763281E-2</v>
          </cell>
          <cell r="H102">
            <v>2.6785162299348499E-2</v>
          </cell>
          <cell r="J102" t="str">
            <v>1991WV</v>
          </cell>
          <cell r="K102">
            <v>0.44290910626908042</v>
          </cell>
          <cell r="L102">
            <v>8.8402976903763281E-2</v>
          </cell>
          <cell r="M102">
            <v>0.46868791682715627</v>
          </cell>
          <cell r="U102" t="str">
            <v>1991WV</v>
          </cell>
          <cell r="V102">
            <v>0.68917249899999999</v>
          </cell>
          <cell r="W102">
            <v>1.367641E-2</v>
          </cell>
          <cell r="X102">
            <v>8.5788390000000006E-2</v>
          </cell>
          <cell r="Y102">
            <v>6.5584603000000005E-2</v>
          </cell>
          <cell r="Z102">
            <v>0.14577809799999999</v>
          </cell>
          <cell r="AB102" t="str">
            <v>1991WV</v>
          </cell>
          <cell r="AC102">
            <v>0.88888888888888884</v>
          </cell>
          <cell r="AD102">
            <v>0</v>
          </cell>
          <cell r="AE102">
            <v>5.5555559999999997E-3</v>
          </cell>
          <cell r="AF102">
            <v>0.10555555599999999</v>
          </cell>
        </row>
        <row r="103">
          <cell r="B103" t="str">
            <v>1991WI</v>
          </cell>
          <cell r="C103">
            <v>3.8114418660830179E-2</v>
          </cell>
          <cell r="D103">
            <v>0.12951752167105887</v>
          </cell>
          <cell r="E103">
            <v>0.22292235537315713</v>
          </cell>
          <cell r="F103">
            <v>0.44202720914672056</v>
          </cell>
          <cell r="G103">
            <v>0.13197890691246617</v>
          </cell>
          <cell r="H103">
            <v>3.5439588235767067E-2</v>
          </cell>
          <cell r="J103" t="str">
            <v>1991WI</v>
          </cell>
          <cell r="K103">
            <v>0.64509873771437665</v>
          </cell>
          <cell r="L103">
            <v>0.13197890691246617</v>
          </cell>
          <cell r="M103">
            <v>0.22292235537315713</v>
          </cell>
          <cell r="U103" t="str">
            <v>1991WI</v>
          </cell>
          <cell r="V103">
            <v>0.19420881000000001</v>
          </cell>
          <cell r="W103">
            <v>3.7627571999999998E-2</v>
          </cell>
          <cell r="X103">
            <v>0.22004454600000001</v>
          </cell>
          <cell r="Y103">
            <v>0.16277941000000001</v>
          </cell>
          <cell r="Z103">
            <v>0.38533966200000003</v>
          </cell>
          <cell r="AB103" t="str">
            <v>1991WI</v>
          </cell>
          <cell r="AC103">
            <v>0.35555555555555557</v>
          </cell>
          <cell r="AD103">
            <v>4.4444444444444446E-2</v>
          </cell>
          <cell r="AE103">
            <v>2.2222219999999998E-3</v>
          </cell>
          <cell r="AF103">
            <v>0.59777777799999998</v>
          </cell>
        </row>
        <row r="104">
          <cell r="B104" t="str">
            <v>1991WY</v>
          </cell>
          <cell r="C104">
            <v>0.24575173409635234</v>
          </cell>
          <cell r="D104">
            <v>0.19245347201944651</v>
          </cell>
          <cell r="E104">
            <v>0.16554847946287521</v>
          </cell>
          <cell r="F104">
            <v>0.23476562808063112</v>
          </cell>
          <cell r="G104">
            <v>9.8011288836229588E-2</v>
          </cell>
          <cell r="H104">
            <v>6.346939750446523E-2</v>
          </cell>
          <cell r="J104" t="str">
            <v>1991WY</v>
          </cell>
          <cell r="K104">
            <v>0.73644023170089523</v>
          </cell>
          <cell r="L104">
            <v>9.8011288836229588E-2</v>
          </cell>
          <cell r="M104">
            <v>0.16554847946287521</v>
          </cell>
          <cell r="U104" t="str">
            <v>1991WY</v>
          </cell>
          <cell r="V104">
            <v>0.40237178800000001</v>
          </cell>
          <cell r="W104">
            <v>2.6295641000000002E-2</v>
          </cell>
          <cell r="X104">
            <v>0.164945386</v>
          </cell>
          <cell r="Y104">
            <v>0.126099553</v>
          </cell>
          <cell r="Z104">
            <v>0.28028763099999998</v>
          </cell>
          <cell r="AB104" t="str">
            <v>1991WY</v>
          </cell>
          <cell r="AC104">
            <v>0</v>
          </cell>
          <cell r="AD104">
            <v>7.1111111111111111E-2</v>
          </cell>
          <cell r="AE104">
            <v>0.102222222</v>
          </cell>
          <cell r="AF104">
            <v>0.82666666700000002</v>
          </cell>
        </row>
        <row r="105">
          <cell r="B105" t="str">
            <v>1992AL</v>
          </cell>
          <cell r="C105">
            <v>0.10964035466102269</v>
          </cell>
          <cell r="D105">
            <v>7.5250315858693406E-2</v>
          </cell>
          <cell r="E105">
            <v>0.15095445395344742</v>
          </cell>
          <cell r="F105">
            <v>0.10051414377032589</v>
          </cell>
          <cell r="G105">
            <v>0.55882422889074668</v>
          </cell>
          <cell r="H105">
            <v>4.8165028657639296E-3</v>
          </cell>
          <cell r="J105" t="str">
            <v>1992AL</v>
          </cell>
          <cell r="K105">
            <v>0.2902213171558059</v>
          </cell>
          <cell r="L105">
            <v>0.55882422889074668</v>
          </cell>
          <cell r="M105">
            <v>0.15095445395344742</v>
          </cell>
          <cell r="U105" t="str">
            <v>1992AL</v>
          </cell>
          <cell r="V105">
            <v>0.182935074</v>
          </cell>
          <cell r="W105">
            <v>3.3560173999999998E-2</v>
          </cell>
          <cell r="X105">
            <v>0.15003266500000001</v>
          </cell>
          <cell r="Y105">
            <v>0.30457127699999997</v>
          </cell>
          <cell r="Z105">
            <v>0.32890080999999999</v>
          </cell>
          <cell r="AB105" t="str">
            <v>1992AL</v>
          </cell>
          <cell r="AC105">
            <v>0</v>
          </cell>
          <cell r="AD105">
            <v>7.7777777777777779E-2</v>
          </cell>
          <cell r="AE105">
            <v>0.71533333300000002</v>
          </cell>
          <cell r="AF105">
            <v>0.20688888899999999</v>
          </cell>
        </row>
        <row r="106">
          <cell r="B106" t="str">
            <v>1992AK</v>
          </cell>
          <cell r="C106">
            <v>0</v>
          </cell>
          <cell r="D106">
            <v>0</v>
          </cell>
          <cell r="E106">
            <v>0.62812500000000004</v>
          </cell>
          <cell r="F106">
            <v>0</v>
          </cell>
          <cell r="G106">
            <v>0.37187500000000001</v>
          </cell>
          <cell r="H106">
            <v>0</v>
          </cell>
          <cell r="J106" t="str">
            <v>1992AK</v>
          </cell>
          <cell r="K106">
            <v>0</v>
          </cell>
          <cell r="L106">
            <v>0.37187500000000001</v>
          </cell>
          <cell r="M106">
            <v>0.62812500000000004</v>
          </cell>
          <cell r="U106" t="str">
            <v>1992AK</v>
          </cell>
          <cell r="V106">
            <v>1</v>
          </cell>
          <cell r="W106">
            <v>0</v>
          </cell>
          <cell r="X106">
            <v>0</v>
          </cell>
          <cell r="Y106">
            <v>0</v>
          </cell>
          <cell r="Z106">
            <v>0</v>
          </cell>
          <cell r="AB106" t="str">
            <v>1992AK</v>
          </cell>
          <cell r="AC106">
            <v>7.7777777777777779E-2</v>
          </cell>
          <cell r="AD106">
            <v>9.3333333333333324E-2</v>
          </cell>
          <cell r="AE106">
            <v>0.17222222200000001</v>
          </cell>
          <cell r="AF106">
            <v>0.65666666699999998</v>
          </cell>
        </row>
        <row r="107">
          <cell r="B107" t="str">
            <v>1992AZ</v>
          </cell>
          <cell r="C107">
            <v>0.59452597771350846</v>
          </cell>
          <cell r="D107">
            <v>0.21737822204821747</v>
          </cell>
          <cell r="E107">
            <v>9.2568667344862673E-2</v>
          </cell>
          <cell r="F107">
            <v>9.3362672742600822E-2</v>
          </cell>
          <cell r="G107">
            <v>0</v>
          </cell>
          <cell r="H107">
            <v>2.1644601508106443E-3</v>
          </cell>
          <cell r="J107" t="str">
            <v>1992AZ</v>
          </cell>
          <cell r="K107">
            <v>0.90743133265513731</v>
          </cell>
          <cell r="L107">
            <v>0</v>
          </cell>
          <cell r="M107">
            <v>9.2568667344862673E-2</v>
          </cell>
          <cell r="U107" t="str">
            <v>1992AZ</v>
          </cell>
          <cell r="V107">
            <v>2.9485239E-2</v>
          </cell>
          <cell r="W107">
            <v>3.6925055999999998E-2</v>
          </cell>
          <cell r="X107">
            <v>8.545519E-2</v>
          </cell>
          <cell r="Y107">
            <v>0.52419700499999999</v>
          </cell>
          <cell r="Z107">
            <v>0.32393751100000001</v>
          </cell>
          <cell r="AB107" t="str">
            <v>1992AZ</v>
          </cell>
          <cell r="AC107">
            <v>0</v>
          </cell>
          <cell r="AD107">
            <v>0</v>
          </cell>
          <cell r="AE107">
            <v>0.133333333</v>
          </cell>
          <cell r="AF107">
            <v>0.86666666699999995</v>
          </cell>
        </row>
        <row r="108">
          <cell r="B108" t="str">
            <v>1992AR</v>
          </cell>
          <cell r="C108">
            <v>6.4819847007077783E-2</v>
          </cell>
          <cell r="D108">
            <v>5.1145646283778538E-2</v>
          </cell>
          <cell r="E108">
            <v>0.13912499999999997</v>
          </cell>
          <cell r="F108">
            <v>0.11027147509972528</v>
          </cell>
          <cell r="G108">
            <v>0.629</v>
          </cell>
          <cell r="H108">
            <v>5.6380316094184124E-3</v>
          </cell>
          <cell r="J108" t="str">
            <v>1992AR</v>
          </cell>
          <cell r="K108">
            <v>0.23187500000000005</v>
          </cell>
          <cell r="L108">
            <v>0.629</v>
          </cell>
          <cell r="M108">
            <v>0.13912499999999997</v>
          </cell>
          <cell r="U108" t="str">
            <v>1992AR</v>
          </cell>
          <cell r="V108">
            <v>5.4610839000000001E-2</v>
          </cell>
          <cell r="W108">
            <v>3.6895429E-2</v>
          </cell>
          <cell r="X108">
            <v>0.11248820700000001</v>
          </cell>
          <cell r="Y108">
            <v>0.45941363200000002</v>
          </cell>
          <cell r="Z108">
            <v>0.336591892</v>
          </cell>
          <cell r="AB108" t="str">
            <v>1992AR</v>
          </cell>
          <cell r="AC108">
            <v>0</v>
          </cell>
          <cell r="AD108">
            <v>0.46666666666666667</v>
          </cell>
          <cell r="AE108">
            <v>0.311111111</v>
          </cell>
          <cell r="AF108">
            <v>0.222222222</v>
          </cell>
        </row>
        <row r="109">
          <cell r="B109" t="str">
            <v>1992CA</v>
          </cell>
          <cell r="C109">
            <v>0.54279809878903273</v>
          </cell>
          <cell r="D109">
            <v>0.22529239903187814</v>
          </cell>
          <cell r="E109">
            <v>0.11747323657345785</v>
          </cell>
          <cell r="F109">
            <v>9.0851894313912593E-2</v>
          </cell>
          <cell r="G109">
            <v>1.887558059880249E-2</v>
          </cell>
          <cell r="H109">
            <v>4.7087906929161698E-3</v>
          </cell>
          <cell r="J109" t="str">
            <v>1992CA</v>
          </cell>
          <cell r="K109">
            <v>0.86365118282773967</v>
          </cell>
          <cell r="L109">
            <v>1.887558059880249E-2</v>
          </cell>
          <cell r="M109">
            <v>0.11747323657345785</v>
          </cell>
          <cell r="U109" t="str">
            <v>1992CA</v>
          </cell>
          <cell r="V109">
            <v>0.125134622</v>
          </cell>
          <cell r="W109">
            <v>3.3375830000000002E-2</v>
          </cell>
          <cell r="X109">
            <v>7.9872487000000006E-2</v>
          </cell>
          <cell r="Y109">
            <v>0.46756251500000001</v>
          </cell>
          <cell r="Z109">
            <v>0.29405454600000003</v>
          </cell>
          <cell r="AB109" t="str">
            <v>1992CA</v>
          </cell>
          <cell r="AC109">
            <v>0.35</v>
          </cell>
          <cell r="AD109">
            <v>2.3333333333333331E-2</v>
          </cell>
          <cell r="AE109">
            <v>8.1111111E-2</v>
          </cell>
          <cell r="AF109">
            <v>0.54555555600000005</v>
          </cell>
        </row>
        <row r="110">
          <cell r="B110" t="str">
            <v>1992CO</v>
          </cell>
          <cell r="C110">
            <v>0.49098622891561094</v>
          </cell>
          <cell r="D110">
            <v>0.27048463258608685</v>
          </cell>
          <cell r="E110">
            <v>3.1795829514207154E-2</v>
          </cell>
          <cell r="F110">
            <v>0.15830656070304969</v>
          </cell>
          <cell r="G110">
            <v>1.8824396578062941E-2</v>
          </cell>
          <cell r="H110">
            <v>2.9602351702982557E-2</v>
          </cell>
          <cell r="J110" t="str">
            <v>1992CO</v>
          </cell>
          <cell r="K110">
            <v>0.94937977390772987</v>
          </cell>
          <cell r="L110">
            <v>1.8824396578062941E-2</v>
          </cell>
          <cell r="M110">
            <v>3.1795829514207154E-2</v>
          </cell>
          <cell r="U110" t="str">
            <v>1992CO</v>
          </cell>
          <cell r="V110">
            <v>8.2290050000000003E-2</v>
          </cell>
          <cell r="W110">
            <v>4.8706762000000001E-2</v>
          </cell>
          <cell r="X110">
            <v>0.24426646199999999</v>
          </cell>
          <cell r="Y110">
            <v>0.16587838599999999</v>
          </cell>
          <cell r="Z110">
            <v>0.45885833999999998</v>
          </cell>
          <cell r="AB110" t="str">
            <v>1992CO</v>
          </cell>
          <cell r="AC110">
            <v>0</v>
          </cell>
          <cell r="AD110">
            <v>6.222222222222222E-2</v>
          </cell>
          <cell r="AE110">
            <v>0.164444444</v>
          </cell>
          <cell r="AF110">
            <v>0.77333333299999996</v>
          </cell>
        </row>
        <row r="111">
          <cell r="B111" t="str">
            <v>1992CT</v>
          </cell>
          <cell r="C111">
            <v>8.4639160569504074E-2</v>
          </cell>
          <cell r="D111">
            <v>0.17059156189590957</v>
          </cell>
          <cell r="E111">
            <v>0.44400659000684961</v>
          </cell>
          <cell r="F111">
            <v>0.20917776913982303</v>
          </cell>
          <cell r="G111">
            <v>6.6139230965887155E-2</v>
          </cell>
          <cell r="H111">
            <v>2.5445687422026568E-2</v>
          </cell>
          <cell r="J111" t="str">
            <v>1992CT</v>
          </cell>
          <cell r="K111">
            <v>0.48985417902726325</v>
          </cell>
          <cell r="L111">
            <v>6.6139230965887155E-2</v>
          </cell>
          <cell r="M111">
            <v>0.44400659000684961</v>
          </cell>
          <cell r="U111" t="str">
            <v>1992CT</v>
          </cell>
          <cell r="V111">
            <v>1</v>
          </cell>
          <cell r="W111">
            <v>0</v>
          </cell>
          <cell r="X111">
            <v>0</v>
          </cell>
          <cell r="Y111">
            <v>0</v>
          </cell>
          <cell r="Z111">
            <v>0</v>
          </cell>
          <cell r="AB111" t="str">
            <v>1992CT</v>
          </cell>
          <cell r="AC111">
            <v>0</v>
          </cell>
          <cell r="AD111">
            <v>0</v>
          </cell>
          <cell r="AE111">
            <v>1.1111111E-2</v>
          </cell>
          <cell r="AF111">
            <v>0.98888888900000005</v>
          </cell>
        </row>
        <row r="112">
          <cell r="B112" t="str">
            <v>1992DE</v>
          </cell>
          <cell r="C112">
            <v>6.4721224754374362E-2</v>
          </cell>
          <cell r="D112">
            <v>0.16849970345132176</v>
          </cell>
          <cell r="E112">
            <v>0.43954865690055572</v>
          </cell>
          <cell r="F112">
            <v>0.230827105252045</v>
          </cell>
          <cell r="G112">
            <v>6.2117960520859244E-2</v>
          </cell>
          <cell r="H112">
            <v>3.4285349120843883E-2</v>
          </cell>
          <cell r="J112" t="str">
            <v>1992DE</v>
          </cell>
          <cell r="K112">
            <v>0.49833338257858506</v>
          </cell>
          <cell r="L112">
            <v>6.2117960520859244E-2</v>
          </cell>
          <cell r="M112">
            <v>0.43954865690055572</v>
          </cell>
          <cell r="U112" t="str">
            <v>1992DE</v>
          </cell>
          <cell r="V112">
            <v>9.3256157000000006E-2</v>
          </cell>
          <cell r="W112">
            <v>4.7295367999999997E-2</v>
          </cell>
          <cell r="X112">
            <v>0.24224610899999999</v>
          </cell>
          <cell r="Y112">
            <v>0.16666082199999999</v>
          </cell>
          <cell r="Z112">
            <v>0.45054154400000002</v>
          </cell>
          <cell r="AB112" t="str">
            <v>1992DE</v>
          </cell>
          <cell r="AC112">
            <v>0</v>
          </cell>
          <cell r="AD112">
            <v>0</v>
          </cell>
          <cell r="AE112">
            <v>1.1111111E-2</v>
          </cell>
          <cell r="AF112">
            <v>0.98888888900000005</v>
          </cell>
        </row>
        <row r="113">
          <cell r="B113" t="str">
            <v>1992FL</v>
          </cell>
          <cell r="C113">
            <v>0.36834527013893126</v>
          </cell>
          <cell r="D113">
            <v>0.14581181469033638</v>
          </cell>
          <cell r="E113">
            <v>0.2116387614678899</v>
          </cell>
          <cell r="F113">
            <v>7.4174101737139009E-2</v>
          </cell>
          <cell r="G113">
            <v>0.19882721712538226</v>
          </cell>
          <cell r="H113">
            <v>1.2028348403212816E-3</v>
          </cell>
          <cell r="J113" t="str">
            <v>1992FL</v>
          </cell>
          <cell r="K113">
            <v>0.58953402140672784</v>
          </cell>
          <cell r="L113">
            <v>0.19882721712538226</v>
          </cell>
          <cell r="M113">
            <v>0.2116387614678899</v>
          </cell>
          <cell r="U113" t="str">
            <v>1992FL</v>
          </cell>
          <cell r="V113">
            <v>0.45582561500000002</v>
          </cell>
          <cell r="W113">
            <v>2.3943672999999999E-2</v>
          </cell>
          <cell r="X113">
            <v>0.15019213000000001</v>
          </cell>
          <cell r="Y113">
            <v>0.114820795</v>
          </cell>
          <cell r="Z113">
            <v>0.255217786</v>
          </cell>
          <cell r="AB113" t="str">
            <v>1992FL</v>
          </cell>
          <cell r="AC113">
            <v>9.3333333333333324E-2</v>
          </cell>
          <cell r="AD113">
            <v>4.6666666666666662E-2</v>
          </cell>
          <cell r="AE113">
            <v>0.18644444399999999</v>
          </cell>
          <cell r="AF113">
            <v>0.67355555600000006</v>
          </cell>
        </row>
        <row r="114">
          <cell r="B114" t="str">
            <v>1992GA</v>
          </cell>
          <cell r="C114">
            <v>0.13808042244019927</v>
          </cell>
          <cell r="D114">
            <v>8.9352824662304167E-2</v>
          </cell>
          <cell r="E114">
            <v>0.15758128964421914</v>
          </cell>
          <cell r="F114">
            <v>9.1347360862013047E-2</v>
          </cell>
          <cell r="G114">
            <v>0.51951190674601222</v>
          </cell>
          <cell r="H114">
            <v>4.1261956452521564E-3</v>
          </cell>
          <cell r="J114" t="str">
            <v>1992GA</v>
          </cell>
          <cell r="K114">
            <v>0.32290680360976864</v>
          </cell>
          <cell r="L114">
            <v>0.51951190674601222</v>
          </cell>
          <cell r="M114">
            <v>0.15758128964421914</v>
          </cell>
          <cell r="U114" t="str">
            <v>1992GA</v>
          </cell>
          <cell r="V114">
            <v>0.129819457</v>
          </cell>
          <cell r="W114">
            <v>3.5174263999999997E-2</v>
          </cell>
          <cell r="X114">
            <v>0.141866518</v>
          </cell>
          <cell r="Y114">
            <v>0.35575009400000002</v>
          </cell>
          <cell r="Z114">
            <v>0.337389667</v>
          </cell>
          <cell r="AB114" t="str">
            <v>1992GA</v>
          </cell>
          <cell r="AC114">
            <v>0.49777777777777776</v>
          </cell>
          <cell r="AD114">
            <v>3.888888888888889E-2</v>
          </cell>
          <cell r="AE114">
            <v>0.100888889</v>
          </cell>
          <cell r="AF114">
            <v>0.36244444399999998</v>
          </cell>
        </row>
        <row r="115">
          <cell r="B115" t="str">
            <v>1992HI</v>
          </cell>
          <cell r="C115">
            <v>0.67700924544366925</v>
          </cell>
          <cell r="D115">
            <v>0.21169633721291711</v>
          </cell>
          <cell r="E115">
            <v>0</v>
          </cell>
          <cell r="F115">
            <v>0.10623984032506543</v>
          </cell>
          <cell r="G115">
            <v>4.0261462675255785E-3</v>
          </cell>
          <cell r="H115">
            <v>1.0284307508226574E-3</v>
          </cell>
          <cell r="J115" t="str">
            <v>1992HI</v>
          </cell>
          <cell r="K115">
            <v>0.99597385373247438</v>
          </cell>
          <cell r="L115">
            <v>4.0261462675255785E-3</v>
          </cell>
          <cell r="M115">
            <v>0</v>
          </cell>
          <cell r="U115" t="str">
            <v>1992HI</v>
          </cell>
          <cell r="V115">
            <v>0.36042526000000003</v>
          </cell>
          <cell r="W115">
            <v>2.8141289E-2</v>
          </cell>
          <cell r="X115">
            <v>0.17652262799999999</v>
          </cell>
          <cell r="Y115">
            <v>0.13495027000000001</v>
          </cell>
          <cell r="Z115">
            <v>0.29996055300000002</v>
          </cell>
          <cell r="AB115" t="str">
            <v>1992HI</v>
          </cell>
          <cell r="AC115">
            <v>7.7777777777777779E-2</v>
          </cell>
          <cell r="AD115">
            <v>0</v>
          </cell>
          <cell r="AE115">
            <v>0.67777777800000005</v>
          </cell>
          <cell r="AF115">
            <v>0.24444444400000001</v>
          </cell>
        </row>
        <row r="116">
          <cell r="B116" t="str">
            <v>1992ID</v>
          </cell>
          <cell r="C116">
            <v>0.44197446887186598</v>
          </cell>
          <cell r="D116">
            <v>0.24023670359726779</v>
          </cell>
          <cell r="E116">
            <v>5.3139336991500953E-2</v>
          </cell>
          <cell r="F116">
            <v>0.19192499890555711</v>
          </cell>
          <cell r="G116">
            <v>3.1460602497455789E-2</v>
          </cell>
          <cell r="H116">
            <v>4.1263889136352358E-2</v>
          </cell>
          <cell r="J116" t="str">
            <v>1992ID</v>
          </cell>
          <cell r="K116">
            <v>0.91540006051104328</v>
          </cell>
          <cell r="L116">
            <v>3.1460602497455789E-2</v>
          </cell>
          <cell r="M116">
            <v>5.3139336991500953E-2</v>
          </cell>
          <cell r="U116" t="str">
            <v>1992ID</v>
          </cell>
          <cell r="V116">
            <v>0.339827451</v>
          </cell>
          <cell r="W116">
            <v>3.1595740999999997E-2</v>
          </cell>
          <cell r="X116">
            <v>0.17944712900000001</v>
          </cell>
          <cell r="Y116">
            <v>0.130802578</v>
          </cell>
          <cell r="Z116">
            <v>0.31832710199999997</v>
          </cell>
          <cell r="AB116" t="str">
            <v>1992ID</v>
          </cell>
          <cell r="AC116">
            <v>0</v>
          </cell>
          <cell r="AD116">
            <v>0.46666666666666667</v>
          </cell>
          <cell r="AE116">
            <v>0.133333333</v>
          </cell>
          <cell r="AF116">
            <v>0.4</v>
          </cell>
        </row>
        <row r="117">
          <cell r="B117" t="str">
            <v>1992IL</v>
          </cell>
          <cell r="C117">
            <v>4.8061976553949212E-2</v>
          </cell>
          <cell r="D117">
            <v>0.16288117559095172</v>
          </cell>
          <cell r="E117">
            <v>0.14976196460301133</v>
          </cell>
          <cell r="F117">
            <v>0.50361481344839976</v>
          </cell>
          <cell r="G117">
            <v>8.8665043720190781E-2</v>
          </cell>
          <cell r="H117">
            <v>4.7015026083497266E-2</v>
          </cell>
          <cell r="J117" t="str">
            <v>1992IL</v>
          </cell>
          <cell r="K117">
            <v>0.76157299167679793</v>
          </cell>
          <cell r="L117">
            <v>8.8665043720190781E-2</v>
          </cell>
          <cell r="M117">
            <v>0.14976196460301133</v>
          </cell>
          <cell r="U117" t="str">
            <v>1992IL</v>
          </cell>
          <cell r="V117">
            <v>8.1355548E-2</v>
          </cell>
          <cell r="W117">
            <v>4.1624348999999998E-2</v>
          </cell>
          <cell r="X117">
            <v>0.25806084299999998</v>
          </cell>
          <cell r="Y117">
            <v>0.16764712800000001</v>
          </cell>
          <cell r="Z117">
            <v>0.45131213199999998</v>
          </cell>
          <cell r="AB117" t="str">
            <v>1992IL</v>
          </cell>
          <cell r="AC117">
            <v>0</v>
          </cell>
          <cell r="AD117">
            <v>0</v>
          </cell>
          <cell r="AE117">
            <v>8.2222221999999998E-2</v>
          </cell>
          <cell r="AF117">
            <v>0.91777777800000004</v>
          </cell>
        </row>
        <row r="118">
          <cell r="B118" t="str">
            <v>1992IN</v>
          </cell>
          <cell r="C118">
            <v>4.8087805777521975E-2</v>
          </cell>
          <cell r="D118">
            <v>0.15522488864656731</v>
          </cell>
          <cell r="E118">
            <v>0.19010910624218652</v>
          </cell>
          <cell r="F118">
            <v>0.45225958005909639</v>
          </cell>
          <cell r="G118">
            <v>0.11255215742696613</v>
          </cell>
          <cell r="H118">
            <v>4.1766461847661793E-2</v>
          </cell>
          <cell r="J118" t="str">
            <v>1992IN</v>
          </cell>
          <cell r="K118">
            <v>0.69733873633084742</v>
          </cell>
          <cell r="L118">
            <v>0.11255215742696613</v>
          </cell>
          <cell r="M118">
            <v>0.19010910624218652</v>
          </cell>
          <cell r="U118" t="str">
            <v>1992IN</v>
          </cell>
          <cell r="V118">
            <v>9.0620164000000003E-2</v>
          </cell>
          <cell r="W118">
            <v>4.1295287E-2</v>
          </cell>
          <cell r="X118">
            <v>0.25579848999999999</v>
          </cell>
          <cell r="Y118">
            <v>0.163983147</v>
          </cell>
          <cell r="Z118">
            <v>0.448302912</v>
          </cell>
          <cell r="AB118" t="str">
            <v>1992IN</v>
          </cell>
          <cell r="AC118">
            <v>0</v>
          </cell>
          <cell r="AD118">
            <v>3.888888888888889E-2</v>
          </cell>
          <cell r="AE118">
            <v>0</v>
          </cell>
          <cell r="AF118">
            <v>0.96111111100000002</v>
          </cell>
        </row>
        <row r="119">
          <cell r="B119" t="str">
            <v>1992IA</v>
          </cell>
          <cell r="C119">
            <v>3.8606244029845936E-2</v>
          </cell>
          <cell r="D119">
            <v>0.13088910588331074</v>
          </cell>
          <cell r="E119">
            <v>0.21907687059292058</v>
          </cell>
          <cell r="F119">
            <v>0.44604907546775419</v>
          </cell>
          <cell r="G119">
            <v>0.12970222686844551</v>
          </cell>
          <cell r="H119">
            <v>3.5676477157722986E-2</v>
          </cell>
          <cell r="J119" t="str">
            <v>1992IA</v>
          </cell>
          <cell r="K119">
            <v>0.65122090253863396</v>
          </cell>
          <cell r="L119">
            <v>0.12970222686844551</v>
          </cell>
          <cell r="M119">
            <v>0.21907687059292058</v>
          </cell>
          <cell r="U119" t="str">
            <v>1992IA</v>
          </cell>
          <cell r="V119">
            <v>7.2136692000000002E-2</v>
          </cell>
          <cell r="W119">
            <v>3.9535262000000002E-2</v>
          </cell>
          <cell r="X119">
            <v>0.21534028299999999</v>
          </cell>
          <cell r="Y119">
            <v>0.26713773800000001</v>
          </cell>
          <cell r="Z119">
            <v>0.405850025</v>
          </cell>
          <cell r="AB119" t="str">
            <v>1992IA</v>
          </cell>
          <cell r="AC119">
            <v>3.111111111111111E-2</v>
          </cell>
          <cell r="AD119">
            <v>3.111111111111111E-2</v>
          </cell>
          <cell r="AE119">
            <v>1.5555556E-2</v>
          </cell>
          <cell r="AF119">
            <v>0.92222222200000004</v>
          </cell>
        </row>
        <row r="120">
          <cell r="B120" t="str">
            <v>1992KS</v>
          </cell>
          <cell r="C120">
            <v>6.150825709632509E-2</v>
          </cell>
          <cell r="D120">
            <v>0.18381203926839509</v>
          </cell>
          <cell r="E120">
            <v>0.15447997825693061</v>
          </cell>
          <cell r="F120">
            <v>0.46454144201879716</v>
          </cell>
          <cell r="G120">
            <v>9.1458295584948959E-2</v>
          </cell>
          <cell r="H120">
            <v>4.4199987774603093E-2</v>
          </cell>
          <cell r="J120" t="str">
            <v>1992KS</v>
          </cell>
          <cell r="K120">
            <v>0.75406172615812039</v>
          </cell>
          <cell r="L120">
            <v>9.1458295584948959E-2</v>
          </cell>
          <cell r="M120">
            <v>0.15447997825693061</v>
          </cell>
          <cell r="U120" t="str">
            <v>1992KS</v>
          </cell>
          <cell r="V120">
            <v>0.14299250999999999</v>
          </cell>
          <cell r="W120">
            <v>3.9059442999999999E-2</v>
          </cell>
          <cell r="X120">
            <v>0.24160074100000001</v>
          </cell>
          <cell r="Y120">
            <v>0.15144187000000001</v>
          </cell>
          <cell r="Z120">
            <v>0.424905435</v>
          </cell>
          <cell r="AB120" t="str">
            <v>1992KS</v>
          </cell>
          <cell r="AC120">
            <v>0</v>
          </cell>
          <cell r="AD120">
            <v>0</v>
          </cell>
          <cell r="AE120">
            <v>4.4444439999999997E-3</v>
          </cell>
          <cell r="AF120">
            <v>0.99555555600000001</v>
          </cell>
        </row>
        <row r="121">
          <cell r="B121" t="str">
            <v>1992KY</v>
          </cell>
          <cell r="C121">
            <v>1.6646169322275198E-2</v>
          </cell>
          <cell r="D121">
            <v>5.1769904298287782E-2</v>
          </cell>
          <cell r="E121">
            <v>0.14046629368205532</v>
          </cell>
          <cell r="F121">
            <v>0.15577602658945497</v>
          </cell>
          <cell r="G121">
            <v>0.6210430546673904</v>
          </cell>
          <cell r="H121">
            <v>1.4298551440536343E-2</v>
          </cell>
          <cell r="J121" t="str">
            <v>1992KY</v>
          </cell>
          <cell r="K121">
            <v>0.23849065165055428</v>
          </cell>
          <cell r="L121">
            <v>0.6210430546673904</v>
          </cell>
          <cell r="M121">
            <v>0.14046629368205532</v>
          </cell>
          <cell r="U121" t="str">
            <v>1992KY</v>
          </cell>
          <cell r="V121">
            <v>0.18225018100000001</v>
          </cell>
          <cell r="W121">
            <v>3.3950879000000003E-2</v>
          </cell>
          <cell r="X121">
            <v>0.161605368</v>
          </cell>
          <cell r="Y121">
            <v>0.28478148399999997</v>
          </cell>
          <cell r="Z121">
            <v>0.337412088</v>
          </cell>
          <cell r="AB121" t="str">
            <v>1992KY</v>
          </cell>
          <cell r="AC121">
            <v>2.3333333333333331E-2</v>
          </cell>
          <cell r="AD121">
            <v>0.25666666666666665</v>
          </cell>
          <cell r="AE121">
            <v>0.485555556</v>
          </cell>
          <cell r="AF121">
            <v>0.234444444</v>
          </cell>
        </row>
        <row r="122">
          <cell r="B122" t="str">
            <v>1992LA</v>
          </cell>
          <cell r="C122">
            <v>7.1144157903606342E-2</v>
          </cell>
          <cell r="D122">
            <v>5.6328384816312783E-2</v>
          </cell>
          <cell r="E122">
            <v>0.13912499999999997</v>
          </cell>
          <cell r="F122">
            <v>9.9380874747219433E-2</v>
          </cell>
          <cell r="G122">
            <v>0.629</v>
          </cell>
          <cell r="H122">
            <v>5.0215825328614773E-3</v>
          </cell>
          <cell r="J122" t="str">
            <v>1992LA</v>
          </cell>
          <cell r="K122">
            <v>0.23187500000000005</v>
          </cell>
          <cell r="L122">
            <v>0.629</v>
          </cell>
          <cell r="M122">
            <v>0.13912499999999997</v>
          </cell>
          <cell r="U122" t="str">
            <v>1992LA</v>
          </cell>
          <cell r="V122">
            <v>0.31583997400000002</v>
          </cell>
          <cell r="W122">
            <v>2.8011194E-2</v>
          </cell>
          <cell r="X122">
            <v>0.12278557499999999</v>
          </cell>
          <cell r="Y122">
            <v>0.26000700999999998</v>
          </cell>
          <cell r="Z122">
            <v>0.27335624600000002</v>
          </cell>
          <cell r="AB122" t="str">
            <v>1992LA</v>
          </cell>
          <cell r="AC122">
            <v>3.888888888888889E-2</v>
          </cell>
          <cell r="AD122">
            <v>0</v>
          </cell>
          <cell r="AE122">
            <v>0.87222222199999999</v>
          </cell>
          <cell r="AF122">
            <v>8.8888888999999999E-2</v>
          </cell>
        </row>
        <row r="123">
          <cell r="B123" t="str">
            <v>1992ME</v>
          </cell>
          <cell r="C123">
            <v>3.718504478891041E-2</v>
          </cell>
          <cell r="D123">
            <v>0.11002557347728271</v>
          </cell>
          <cell r="E123">
            <v>0.47083240038243279</v>
          </cell>
          <cell r="F123">
            <v>0.26521816435578993</v>
          </cell>
          <cell r="G123">
            <v>9.0337404391808526E-2</v>
          </cell>
          <cell r="H123">
            <v>2.6401412603775674E-2</v>
          </cell>
          <cell r="J123" t="str">
            <v>1992ME</v>
          </cell>
          <cell r="K123">
            <v>0.43883019522575872</v>
          </cell>
          <cell r="L123">
            <v>9.0337404391808526E-2</v>
          </cell>
          <cell r="M123">
            <v>0.47083240038243279</v>
          </cell>
          <cell r="U123" t="str">
            <v>1992ME</v>
          </cell>
          <cell r="V123">
            <v>1</v>
          </cell>
          <cell r="W123">
            <v>0</v>
          </cell>
          <cell r="X123">
            <v>0</v>
          </cell>
          <cell r="Y123">
            <v>0</v>
          </cell>
          <cell r="Z123">
            <v>0</v>
          </cell>
          <cell r="AB123" t="str">
            <v>1992ME</v>
          </cell>
          <cell r="AC123">
            <v>7.7777777777777779E-2</v>
          </cell>
          <cell r="AD123">
            <v>7.0000000000000007E-2</v>
          </cell>
          <cell r="AE123">
            <v>1.1111111E-2</v>
          </cell>
          <cell r="AF123">
            <v>0.84111111100000002</v>
          </cell>
        </row>
        <row r="124">
          <cell r="B124" t="str">
            <v>1992MD</v>
          </cell>
          <cell r="C124">
            <v>4.1893723913388137E-2</v>
          </cell>
          <cell r="D124">
            <v>0.12365029557343474</v>
          </cell>
          <cell r="E124">
            <v>0.45964978293685133</v>
          </cell>
          <cell r="F124">
            <v>0.26329361816793467</v>
          </cell>
          <cell r="G124">
            <v>8.0250144677551663E-2</v>
          </cell>
          <cell r="H124">
            <v>3.1262434730839492E-2</v>
          </cell>
          <cell r="J124" t="str">
            <v>1992MD</v>
          </cell>
          <cell r="K124">
            <v>0.46010007238559703</v>
          </cell>
          <cell r="L124">
            <v>8.0250144677551663E-2</v>
          </cell>
          <cell r="M124">
            <v>0.45964978293685133</v>
          </cell>
          <cell r="U124" t="str">
            <v>1992MD</v>
          </cell>
          <cell r="V124">
            <v>0.166823576</v>
          </cell>
          <cell r="W124">
            <v>4.1235824999999997E-2</v>
          </cell>
          <cell r="X124">
            <v>0.22499929199999999</v>
          </cell>
          <cell r="Y124">
            <v>0.16054668499999999</v>
          </cell>
          <cell r="Z124">
            <v>0.40639462199999998</v>
          </cell>
          <cell r="AB124" t="str">
            <v>1992MD</v>
          </cell>
          <cell r="AC124">
            <v>0</v>
          </cell>
          <cell r="AD124">
            <v>0</v>
          </cell>
          <cell r="AE124">
            <v>1.1111111E-2</v>
          </cell>
          <cell r="AF124">
            <v>0.98888888900000005</v>
          </cell>
        </row>
        <row r="125">
          <cell r="B125" t="str">
            <v>1992MA</v>
          </cell>
          <cell r="C125">
            <v>4.4512281016216008E-2</v>
          </cell>
          <cell r="D125">
            <v>0.12375788831131805</v>
          </cell>
          <cell r="E125">
            <v>0.46482017950102456</v>
          </cell>
          <cell r="F125">
            <v>0.25533177027300941</v>
          </cell>
          <cell r="G125">
            <v>8.4914091488065557E-2</v>
          </cell>
          <cell r="H125">
            <v>2.666378941036646E-2</v>
          </cell>
          <cell r="J125" t="str">
            <v>1992MA</v>
          </cell>
          <cell r="K125">
            <v>0.45026572901090989</v>
          </cell>
          <cell r="L125">
            <v>8.4914091488065557E-2</v>
          </cell>
          <cell r="M125">
            <v>0.46482017950102456</v>
          </cell>
          <cell r="U125" t="str">
            <v>1992MA</v>
          </cell>
          <cell r="V125">
            <v>0.39163290699999997</v>
          </cell>
          <cell r="W125">
            <v>2.6768152E-2</v>
          </cell>
          <cell r="X125">
            <v>0.167909318</v>
          </cell>
          <cell r="Y125">
            <v>0.12836545699999999</v>
          </cell>
          <cell r="Z125">
            <v>0.28532416599999999</v>
          </cell>
          <cell r="AB125" t="str">
            <v>1992MA</v>
          </cell>
          <cell r="AC125">
            <v>7.7777777777777779E-2</v>
          </cell>
          <cell r="AD125">
            <v>7.0000000000000007E-2</v>
          </cell>
          <cell r="AE125">
            <v>1.1111111E-2</v>
          </cell>
          <cell r="AF125">
            <v>0.84111111100000002</v>
          </cell>
        </row>
        <row r="126">
          <cell r="B126" t="str">
            <v>1992MI</v>
          </cell>
          <cell r="C126">
            <v>7.324743058685855E-2</v>
          </cell>
          <cell r="D126">
            <v>0.21181592514810976</v>
          </cell>
          <cell r="E126">
            <v>0.13202895394885908</v>
          </cell>
          <cell r="F126">
            <v>0.4542531386851254</v>
          </cell>
          <cell r="G126">
            <v>7.8166395621463824E-2</v>
          </cell>
          <cell r="H126">
            <v>5.0488156009583417E-2</v>
          </cell>
          <cell r="J126" t="str">
            <v>1992MI</v>
          </cell>
          <cell r="K126">
            <v>0.78980465042967707</v>
          </cell>
          <cell r="L126">
            <v>7.8166395621463824E-2</v>
          </cell>
          <cell r="M126">
            <v>0.13202895394885908</v>
          </cell>
          <cell r="U126" t="str">
            <v>1992MI</v>
          </cell>
          <cell r="V126">
            <v>0.114360435</v>
          </cell>
          <cell r="W126">
            <v>4.3736677000000002E-2</v>
          </cell>
          <cell r="X126">
            <v>0.239270606</v>
          </cell>
          <cell r="Y126">
            <v>0.17097482999999999</v>
          </cell>
          <cell r="Z126">
            <v>0.43165745300000002</v>
          </cell>
          <cell r="AB126" t="str">
            <v>1992MI</v>
          </cell>
          <cell r="AC126">
            <v>7.0000000000000062E-2</v>
          </cell>
          <cell r="AD126">
            <v>2.3333333333333331E-2</v>
          </cell>
          <cell r="AE126">
            <v>2.7777777999999999E-2</v>
          </cell>
          <cell r="AF126">
            <v>0.87888888899999995</v>
          </cell>
        </row>
        <row r="127">
          <cell r="B127" t="str">
            <v>1992MN</v>
          </cell>
          <cell r="C127">
            <v>3.1305052229958379E-2</v>
          </cell>
          <cell r="D127">
            <v>0.11126879087151634</v>
          </cell>
          <cell r="E127">
            <v>0.26075788395504595</v>
          </cell>
          <cell r="F127">
            <v>0.41062320281471232</v>
          </cell>
          <cell r="G127">
            <v>0.15437904572462918</v>
          </cell>
          <cell r="H127">
            <v>3.1666024404137724E-2</v>
          </cell>
          <cell r="J127" t="str">
            <v>1992MN</v>
          </cell>
          <cell r="K127">
            <v>0.58486307032032481</v>
          </cell>
          <cell r="L127">
            <v>0.15437904572462918</v>
          </cell>
          <cell r="M127">
            <v>0.26075788395504595</v>
          </cell>
          <cell r="U127" t="str">
            <v>1992MN</v>
          </cell>
          <cell r="V127">
            <v>9.4816849999999994E-2</v>
          </cell>
          <cell r="W127">
            <v>4.2466038999999997E-2</v>
          </cell>
          <cell r="X127">
            <v>0.246972737</v>
          </cell>
          <cell r="Y127">
            <v>0.182200377</v>
          </cell>
          <cell r="Z127">
            <v>0.43354399599999999</v>
          </cell>
          <cell r="AB127" t="str">
            <v>1992MN</v>
          </cell>
          <cell r="AC127">
            <v>0</v>
          </cell>
          <cell r="AD127">
            <v>0.19444444444444442</v>
          </cell>
          <cell r="AE127">
            <v>0</v>
          </cell>
          <cell r="AF127">
            <v>0.80555555599999995</v>
          </cell>
        </row>
        <row r="128">
          <cell r="B128" t="str">
            <v>1992MS</v>
          </cell>
          <cell r="C128">
            <v>7.2139457063057397E-2</v>
          </cell>
          <cell r="D128">
            <v>5.7144027087776272E-2</v>
          </cell>
          <cell r="E128">
            <v>0.13912499999999997</v>
          </cell>
          <cell r="F128">
            <v>9.7666948035818157E-2</v>
          </cell>
          <cell r="G128">
            <v>0.629</v>
          </cell>
          <cell r="H128">
            <v>4.9245678133481973E-3</v>
          </cell>
          <cell r="J128" t="str">
            <v>1992MS</v>
          </cell>
          <cell r="K128">
            <v>0.23187500000000005</v>
          </cell>
          <cell r="L128">
            <v>0.629</v>
          </cell>
          <cell r="M128">
            <v>0.13912499999999997</v>
          </cell>
          <cell r="U128" t="str">
            <v>1992MS</v>
          </cell>
          <cell r="V128">
            <v>0.16014467099999999</v>
          </cell>
          <cell r="W128">
            <v>3.423358E-2</v>
          </cell>
          <cell r="X128">
            <v>0.14592406599999999</v>
          </cell>
          <cell r="Y128">
            <v>0.32758962699999999</v>
          </cell>
          <cell r="Z128">
            <v>0.33210805599999998</v>
          </cell>
          <cell r="AB128" t="str">
            <v>1992MS</v>
          </cell>
          <cell r="AC128">
            <v>7.7777777777777779E-2</v>
          </cell>
          <cell r="AD128">
            <v>3.888888888888889E-2</v>
          </cell>
          <cell r="AE128">
            <v>0.79444444400000003</v>
          </cell>
          <cell r="AF128">
            <v>8.8888888999999999E-2</v>
          </cell>
        </row>
        <row r="129">
          <cell r="B129" t="str">
            <v>1992MO</v>
          </cell>
          <cell r="C129">
            <v>5.153283595336073E-2</v>
          </cell>
          <cell r="D129">
            <v>0.16235708587644762</v>
          </cell>
          <cell r="E129">
            <v>0.16983403864857355</v>
          </cell>
          <cell r="F129">
            <v>0.47108042470223738</v>
          </cell>
          <cell r="G129">
            <v>0.10054851044368285</v>
          </cell>
          <cell r="H129">
            <v>4.4647104375697792E-2</v>
          </cell>
          <cell r="J129" t="str">
            <v>1992MO</v>
          </cell>
          <cell r="K129">
            <v>0.72961745090774355</v>
          </cell>
          <cell r="L129">
            <v>0.10054851044368285</v>
          </cell>
          <cell r="M129">
            <v>0.16983403864857355</v>
          </cell>
          <cell r="U129" t="str">
            <v>1992MO</v>
          </cell>
          <cell r="V129">
            <v>0.15412261099999999</v>
          </cell>
          <cell r="W129">
            <v>3.8130263999999997E-2</v>
          </cell>
          <cell r="X129">
            <v>0.23688087999999999</v>
          </cell>
          <cell r="Y129">
            <v>0.158651549</v>
          </cell>
          <cell r="Z129">
            <v>0.41221469599999999</v>
          </cell>
          <cell r="AB129" t="str">
            <v>1992MO</v>
          </cell>
          <cell r="AC129">
            <v>0</v>
          </cell>
          <cell r="AD129">
            <v>0.15555555555555556</v>
          </cell>
          <cell r="AE129">
            <v>0</v>
          </cell>
          <cell r="AF129">
            <v>0.84444444399999996</v>
          </cell>
        </row>
        <row r="130">
          <cell r="B130" t="str">
            <v>1992MT</v>
          </cell>
          <cell r="C130">
            <v>0.27211618305577451</v>
          </cell>
          <cell r="D130">
            <v>0.21208932687149804</v>
          </cell>
          <cell r="E130">
            <v>8.1291949251637047E-2</v>
          </cell>
          <cell r="F130">
            <v>0.30322528776795848</v>
          </cell>
          <cell r="G130">
            <v>4.8128069457436862E-2</v>
          </cell>
          <cell r="H130">
            <v>8.3149183595694967E-2</v>
          </cell>
          <cell r="J130" t="str">
            <v>1992MT</v>
          </cell>
          <cell r="K130">
            <v>0.87057998129092606</v>
          </cell>
          <cell r="L130">
            <v>4.8128069457436862E-2</v>
          </cell>
          <cell r="M130">
            <v>8.1291949251637047E-2</v>
          </cell>
          <cell r="U130" t="str">
            <v>1992MT</v>
          </cell>
          <cell r="V130">
            <v>0.17487149299999999</v>
          </cell>
          <cell r="W130">
            <v>4.2271920999999997E-2</v>
          </cell>
          <cell r="X130">
            <v>0.22127201199999999</v>
          </cell>
          <cell r="Y130">
            <v>0.154214559</v>
          </cell>
          <cell r="Z130">
            <v>0.40737001499999997</v>
          </cell>
          <cell r="AB130" t="str">
            <v>1992MT</v>
          </cell>
          <cell r="AC130">
            <v>0</v>
          </cell>
          <cell r="AD130">
            <v>6.222222222222222E-2</v>
          </cell>
          <cell r="AE130">
            <v>0.164444444</v>
          </cell>
          <cell r="AF130">
            <v>0.77333333299999996</v>
          </cell>
        </row>
        <row r="131">
          <cell r="B131" t="str">
            <v>1992NE</v>
          </cell>
          <cell r="C131">
            <v>5.1908406228860199E-2</v>
          </cell>
          <cell r="D131">
            <v>0.16885018509629057</v>
          </cell>
          <cell r="E131">
            <v>0.16813223920364137</v>
          </cell>
          <cell r="F131">
            <v>0.46390423057567187</v>
          </cell>
          <cell r="G131">
            <v>9.9540977438971737E-2</v>
          </cell>
          <cell r="H131">
            <v>4.7663961456564249E-2</v>
          </cell>
          <cell r="J131" t="str">
            <v>1992NE</v>
          </cell>
          <cell r="K131">
            <v>0.73232678335738688</v>
          </cell>
          <cell r="L131">
            <v>9.9540977438971737E-2</v>
          </cell>
          <cell r="M131">
            <v>0.16813223920364137</v>
          </cell>
          <cell r="U131" t="str">
            <v>1992NE</v>
          </cell>
          <cell r="V131">
            <v>0.102933355</v>
          </cell>
          <cell r="W131">
            <v>4.0650909999999998E-2</v>
          </cell>
          <cell r="X131">
            <v>0.25201530900000002</v>
          </cell>
          <cell r="Y131">
            <v>0.163616556</v>
          </cell>
          <cell r="Z131">
            <v>0.44078387099999999</v>
          </cell>
          <cell r="AB131" t="str">
            <v>1992NE</v>
          </cell>
          <cell r="AC131">
            <v>0</v>
          </cell>
          <cell r="AD131">
            <v>0</v>
          </cell>
          <cell r="AE131">
            <v>4.4444439999999997E-3</v>
          </cell>
          <cell r="AF131">
            <v>0.99555555600000001</v>
          </cell>
        </row>
        <row r="132">
          <cell r="B132" t="str">
            <v>1992NV</v>
          </cell>
          <cell r="C132">
            <v>0.58321712696858785</v>
          </cell>
          <cell r="D132">
            <v>0.26612901880698692</v>
          </cell>
          <cell r="E132">
            <v>1.7168192153980431E-2</v>
          </cell>
          <cell r="F132">
            <v>0.11278702931800995</v>
          </cell>
          <cell r="G132">
            <v>1.0164253066286922E-2</v>
          </cell>
          <cell r="H132">
            <v>1.0534379686147882E-2</v>
          </cell>
          <cell r="J132" t="str">
            <v>1992NV</v>
          </cell>
          <cell r="K132">
            <v>0.97266755477973266</v>
          </cell>
          <cell r="L132">
            <v>1.0164253066286922E-2</v>
          </cell>
          <cell r="M132">
            <v>1.7168192153980431E-2</v>
          </cell>
          <cell r="U132" t="str">
            <v>1992NV</v>
          </cell>
          <cell r="V132">
            <v>1</v>
          </cell>
          <cell r="W132">
            <v>0</v>
          </cell>
          <cell r="X132">
            <v>0</v>
          </cell>
          <cell r="Y132">
            <v>0</v>
          </cell>
          <cell r="Z132">
            <v>0</v>
          </cell>
          <cell r="AB132" t="str">
            <v>1992NV</v>
          </cell>
          <cell r="AC132">
            <v>0.19444444444444442</v>
          </cell>
          <cell r="AD132">
            <v>0</v>
          </cell>
          <cell r="AE132">
            <v>0</v>
          </cell>
          <cell r="AF132">
            <v>0.80555555599999995</v>
          </cell>
        </row>
        <row r="133">
          <cell r="B133" t="str">
            <v>1992NH</v>
          </cell>
          <cell r="C133">
            <v>4.8620269206716804E-2</v>
          </cell>
          <cell r="D133">
            <v>0.13133144984245765</v>
          </cell>
          <cell r="E133">
            <v>0.46171571960078184</v>
          </cell>
          <cell r="F133">
            <v>0.24952278229823527</v>
          </cell>
          <cell r="G133">
            <v>8.2113719085214754E-2</v>
          </cell>
          <cell r="H133">
            <v>2.6696059966593612E-2</v>
          </cell>
          <cell r="J133" t="str">
            <v>1992NH</v>
          </cell>
          <cell r="K133">
            <v>0.45617056131400346</v>
          </cell>
          <cell r="L133">
            <v>8.2113719085214754E-2</v>
          </cell>
          <cell r="M133">
            <v>0.46171571960078184</v>
          </cell>
          <cell r="U133" t="str">
            <v>1992NH</v>
          </cell>
          <cell r="V133">
            <v>1</v>
          </cell>
          <cell r="W133">
            <v>0</v>
          </cell>
          <cell r="X133">
            <v>0</v>
          </cell>
          <cell r="Y133">
            <v>0</v>
          </cell>
          <cell r="Z133">
            <v>0</v>
          </cell>
          <cell r="AB133" t="str">
            <v>1992NH</v>
          </cell>
          <cell r="AC133">
            <v>0</v>
          </cell>
          <cell r="AD133">
            <v>0</v>
          </cell>
          <cell r="AE133">
            <v>1.1111111E-2</v>
          </cell>
          <cell r="AF133">
            <v>0.98888888900000005</v>
          </cell>
        </row>
        <row r="134">
          <cell r="B134" t="str">
            <v>1992NJ</v>
          </cell>
          <cell r="C134">
            <v>4.1425102160875658E-2</v>
          </cell>
          <cell r="D134">
            <v>0.11770631829422606</v>
          </cell>
          <cell r="E134">
            <v>0.4677438395121068</v>
          </cell>
          <cell r="F134">
            <v>0.25928143277603805</v>
          </cell>
          <cell r="G134">
            <v>8.755137367995762E-2</v>
          </cell>
          <cell r="H134">
            <v>2.6291933576795837E-2</v>
          </cell>
          <cell r="J134" t="str">
            <v>1992NJ</v>
          </cell>
          <cell r="K134">
            <v>0.44470478680793557</v>
          </cell>
          <cell r="L134">
            <v>8.755137367995762E-2</v>
          </cell>
          <cell r="M134">
            <v>0.4677438395121068</v>
          </cell>
          <cell r="U134" t="str">
            <v>1992NJ</v>
          </cell>
          <cell r="V134">
            <v>0.48238382800000001</v>
          </cell>
          <cell r="W134">
            <v>2.2775112E-2</v>
          </cell>
          <cell r="X134">
            <v>0.14286206400000001</v>
          </cell>
          <cell r="Y134">
            <v>0.109217012</v>
          </cell>
          <cell r="Z134">
            <v>0.24276198500000001</v>
          </cell>
          <cell r="AB134" t="str">
            <v>1992NJ</v>
          </cell>
          <cell r="AC134">
            <v>7.7777777777777779E-2</v>
          </cell>
          <cell r="AD134">
            <v>7.0000000000000007E-2</v>
          </cell>
          <cell r="AE134">
            <v>1.1111111E-2</v>
          </cell>
          <cell r="AF134">
            <v>0.84111111100000002</v>
          </cell>
        </row>
        <row r="135">
          <cell r="B135" t="str">
            <v>1992NM</v>
          </cell>
          <cell r="C135">
            <v>0.59149831028495392</v>
          </cell>
          <cell r="D135">
            <v>0.21331204046073038</v>
          </cell>
          <cell r="E135">
            <v>9.282796906413579E-2</v>
          </cell>
          <cell r="F135">
            <v>9.8615847240322796E-2</v>
          </cell>
          <cell r="G135">
            <v>0</v>
          </cell>
          <cell r="H135">
            <v>3.7458329498570439E-3</v>
          </cell>
          <cell r="J135" t="str">
            <v>1992NM</v>
          </cell>
          <cell r="K135">
            <v>0.90717203093586418</v>
          </cell>
          <cell r="L135">
            <v>0</v>
          </cell>
          <cell r="M135">
            <v>9.282796906413579E-2</v>
          </cell>
          <cell r="U135" t="str">
            <v>1992NM</v>
          </cell>
          <cell r="V135">
            <v>1</v>
          </cell>
          <cell r="W135">
            <v>0</v>
          </cell>
          <cell r="X135">
            <v>0</v>
          </cell>
          <cell r="Y135">
            <v>0</v>
          </cell>
          <cell r="Z135">
            <v>0</v>
          </cell>
          <cell r="AB135" t="str">
            <v>1992NM</v>
          </cell>
          <cell r="AC135">
            <v>0.19444444444444442</v>
          </cell>
          <cell r="AD135">
            <v>7.7777777777777779E-2</v>
          </cell>
          <cell r="AE135">
            <v>0.28888888899999998</v>
          </cell>
          <cell r="AF135">
            <v>0.438888889</v>
          </cell>
        </row>
        <row r="136">
          <cell r="B136" t="str">
            <v>1992NY</v>
          </cell>
          <cell r="C136">
            <v>5.1577097108474732E-2</v>
          </cell>
          <cell r="D136">
            <v>0.12227904581481985</v>
          </cell>
          <cell r="E136">
            <v>0.4647326326548461</v>
          </cell>
          <cell r="F136">
            <v>0.25122610680572177</v>
          </cell>
          <cell r="G136">
            <v>8.4835120014806878E-2</v>
          </cell>
          <cell r="H136">
            <v>2.5349997601330651E-2</v>
          </cell>
          <cell r="J136" t="str">
            <v>1992NY</v>
          </cell>
          <cell r="K136">
            <v>0.45043224733034704</v>
          </cell>
          <cell r="L136">
            <v>8.4835120014806878E-2</v>
          </cell>
          <cell r="M136">
            <v>0.4647326326548461</v>
          </cell>
          <cell r="U136" t="str">
            <v>1992NY</v>
          </cell>
          <cell r="V136">
            <v>0.40442275900000002</v>
          </cell>
          <cell r="W136">
            <v>2.6205399000000001E-2</v>
          </cell>
          <cell r="X136">
            <v>0.164379318</v>
          </cell>
          <cell r="Y136">
            <v>0.125666798</v>
          </cell>
          <cell r="Z136">
            <v>0.279325726</v>
          </cell>
          <cell r="AB136" t="str">
            <v>1992NY</v>
          </cell>
          <cell r="AC136">
            <v>7.7777777777777779E-2</v>
          </cell>
          <cell r="AD136">
            <v>0.23333333333333334</v>
          </cell>
          <cell r="AE136">
            <v>1.1111111E-2</v>
          </cell>
          <cell r="AF136">
            <v>0.67777777800000005</v>
          </cell>
        </row>
        <row r="137">
          <cell r="B137" t="str">
            <v>1992NC</v>
          </cell>
          <cell r="C137">
            <v>3.1231091049289766E-2</v>
          </cell>
          <cell r="D137">
            <v>8.0105981219265779E-2</v>
          </cell>
          <cell r="E137">
            <v>0.13912499999999997</v>
          </cell>
          <cell r="F137">
            <v>0.10489192244022913</v>
          </cell>
          <cell r="G137">
            <v>0.629</v>
          </cell>
          <cell r="H137">
            <v>1.5646005291215355E-2</v>
          </cell>
          <cell r="J137" t="str">
            <v>1992NC</v>
          </cell>
          <cell r="K137">
            <v>0.23187500000000005</v>
          </cell>
          <cell r="L137">
            <v>0.629</v>
          </cell>
          <cell r="M137">
            <v>0.13912499999999997</v>
          </cell>
          <cell r="U137" t="str">
            <v>1992NC</v>
          </cell>
          <cell r="V137">
            <v>1.9145736999999999E-2</v>
          </cell>
          <cell r="W137">
            <v>3.7223639000000003E-2</v>
          </cell>
          <cell r="X137">
            <v>8.3372556E-2</v>
          </cell>
          <cell r="Y137">
            <v>0.53502281299999999</v>
          </cell>
          <cell r="Z137">
            <v>0.325235255</v>
          </cell>
          <cell r="AB137" t="str">
            <v>1992NC</v>
          </cell>
          <cell r="AC137">
            <v>0.38888888888888884</v>
          </cell>
          <cell r="AD137">
            <v>3.888888888888889E-2</v>
          </cell>
          <cell r="AE137">
            <v>0.326444444</v>
          </cell>
          <cell r="AF137">
            <v>0.245777778</v>
          </cell>
        </row>
        <row r="138">
          <cell r="B138" t="str">
            <v>1992ND</v>
          </cell>
          <cell r="C138">
            <v>3.6166887244298729E-2</v>
          </cell>
          <cell r="D138">
            <v>0.12513521121721397</v>
          </cell>
          <cell r="E138">
            <v>0.23484334312612676</v>
          </cell>
          <cell r="F138">
            <v>0.42941196164222856</v>
          </cell>
          <cell r="G138">
            <v>0.13903660612939842</v>
          </cell>
          <cell r="H138">
            <v>3.5405990640733589E-2</v>
          </cell>
          <cell r="J138" t="str">
            <v>1992ND</v>
          </cell>
          <cell r="K138">
            <v>0.62612005074447485</v>
          </cell>
          <cell r="L138">
            <v>0.13903660612939842</v>
          </cell>
          <cell r="M138">
            <v>0.23484334312612676</v>
          </cell>
          <cell r="U138" t="str">
            <v>1992ND</v>
          </cell>
          <cell r="V138">
            <v>0.23483451899999999</v>
          </cell>
          <cell r="W138">
            <v>3.5631589999999998E-2</v>
          </cell>
          <cell r="X138">
            <v>0.209057671</v>
          </cell>
          <cell r="Y138">
            <v>0.15490222000000001</v>
          </cell>
          <cell r="Z138">
            <v>0.36557400000000001</v>
          </cell>
          <cell r="AB138" t="str">
            <v>1992ND</v>
          </cell>
          <cell r="AC138">
            <v>0</v>
          </cell>
          <cell r="AD138">
            <v>3.888888888888889E-2</v>
          </cell>
          <cell r="AE138">
            <v>4.3333333000000002E-2</v>
          </cell>
          <cell r="AF138">
            <v>0.91777777800000004</v>
          </cell>
        </row>
        <row r="139">
          <cell r="B139" t="str">
            <v>1992OH</v>
          </cell>
          <cell r="C139">
            <v>5.066011633437862E-2</v>
          </cell>
          <cell r="D139">
            <v>0.15372917547601667</v>
          </cell>
          <cell r="E139">
            <v>0.20097102370153919</v>
          </cell>
          <cell r="F139">
            <v>0.43615838068739293</v>
          </cell>
          <cell r="G139">
            <v>0.11898284487802568</v>
          </cell>
          <cell r="H139">
            <v>3.949845892264691E-2</v>
          </cell>
          <cell r="J139" t="str">
            <v>1992OH</v>
          </cell>
          <cell r="K139">
            <v>0.68004613142043513</v>
          </cell>
          <cell r="L139">
            <v>0.11898284487802568</v>
          </cell>
          <cell r="M139">
            <v>0.20097102370153919</v>
          </cell>
          <cell r="U139" t="str">
            <v>1992OH</v>
          </cell>
          <cell r="V139">
            <v>0.17112533799999999</v>
          </cell>
          <cell r="W139">
            <v>3.7090797000000002E-2</v>
          </cell>
          <cell r="X139">
            <v>0.231095575</v>
          </cell>
          <cell r="Y139">
            <v>0.161400776</v>
          </cell>
          <cell r="Z139">
            <v>0.39928751400000001</v>
          </cell>
          <cell r="AB139" t="str">
            <v>1992OH</v>
          </cell>
          <cell r="AC139">
            <v>0</v>
          </cell>
          <cell r="AD139">
            <v>0</v>
          </cell>
          <cell r="AE139">
            <v>0</v>
          </cell>
          <cell r="AF139">
            <v>1</v>
          </cell>
        </row>
        <row r="140">
          <cell r="B140" t="str">
            <v>1992OK</v>
          </cell>
          <cell r="C140">
            <v>0.30427550610539844</v>
          </cell>
          <cell r="D140">
            <v>0.23758473588590073</v>
          </cell>
          <cell r="E140">
            <v>0.05</v>
          </cell>
          <cell r="F140">
            <v>0.32064210685683209</v>
          </cell>
          <cell r="G140">
            <v>0</v>
          </cell>
          <cell r="H140">
            <v>8.7497651151868694E-2</v>
          </cell>
          <cell r="J140" t="str">
            <v>1992OK</v>
          </cell>
          <cell r="K140">
            <v>0.95</v>
          </cell>
          <cell r="L140">
            <v>0</v>
          </cell>
          <cell r="M140">
            <v>0.05</v>
          </cell>
          <cell r="U140" t="str">
            <v>1992OK</v>
          </cell>
          <cell r="V140">
            <v>0.26202039300000002</v>
          </cell>
          <cell r="W140">
            <v>2.9186218999999999E-2</v>
          </cell>
          <cell r="X140">
            <v>9.9973907000000001E-2</v>
          </cell>
          <cell r="Y140">
            <v>0.33732082800000002</v>
          </cell>
          <cell r="Z140">
            <v>0.27149865400000001</v>
          </cell>
          <cell r="AB140" t="str">
            <v>1992OK</v>
          </cell>
          <cell r="AC140">
            <v>0</v>
          </cell>
          <cell r="AD140">
            <v>0.15555555555555556</v>
          </cell>
          <cell r="AE140">
            <v>0.133333333</v>
          </cell>
          <cell r="AF140">
            <v>0.71111111100000002</v>
          </cell>
        </row>
        <row r="141">
          <cell r="B141" t="str">
            <v>1992OR</v>
          </cell>
          <cell r="C141">
            <v>0.30172764387032441</v>
          </cell>
          <cell r="D141">
            <v>0.18986311338759157</v>
          </cell>
          <cell r="E141">
            <v>0</v>
          </cell>
          <cell r="F141">
            <v>0.14442577716150223</v>
          </cell>
          <cell r="G141">
            <v>0.33079492098752972</v>
          </cell>
          <cell r="H141">
            <v>3.3188544593052031E-2</v>
          </cell>
          <cell r="J141" t="str">
            <v>1992OR</v>
          </cell>
          <cell r="K141">
            <v>0.66920507901247028</v>
          </cell>
          <cell r="L141">
            <v>0.33079492098752972</v>
          </cell>
          <cell r="M141">
            <v>0</v>
          </cell>
          <cell r="U141" t="str">
            <v>1992OR</v>
          </cell>
          <cell r="V141">
            <v>0.48801771300000002</v>
          </cell>
          <cell r="W141">
            <v>2.2527221E-2</v>
          </cell>
          <cell r="X141">
            <v>0.14130711100000001</v>
          </cell>
          <cell r="Y141">
            <v>0.108028263</v>
          </cell>
          <cell r="Z141">
            <v>0.240119693</v>
          </cell>
          <cell r="AB141" t="str">
            <v>1992OR</v>
          </cell>
          <cell r="AC141">
            <v>0</v>
          </cell>
          <cell r="AD141">
            <v>7.0000000000000007E-2</v>
          </cell>
          <cell r="AE141">
            <v>0.14111111100000001</v>
          </cell>
          <cell r="AF141">
            <v>0.78888888899999998</v>
          </cell>
        </row>
        <row r="142">
          <cell r="B142" t="str">
            <v>1992PA</v>
          </cell>
          <cell r="C142">
            <v>2.921516527495149E-2</v>
          </cell>
          <cell r="D142">
            <v>8.9778762884150654E-2</v>
          </cell>
          <cell r="E142">
            <v>0.48261555570995929</v>
          </cell>
          <cell r="F142">
            <v>0.27379413342288028</v>
          </cell>
          <cell r="G142">
            <v>0.10096637820948601</v>
          </cell>
          <cell r="H142">
            <v>2.3630004498572259E-2</v>
          </cell>
          <cell r="J142" t="str">
            <v>1992PA</v>
          </cell>
          <cell r="K142">
            <v>0.41641806608055476</v>
          </cell>
          <cell r="L142">
            <v>0.10096637820948601</v>
          </cell>
          <cell r="M142">
            <v>0.48261555570995929</v>
          </cell>
          <cell r="U142" t="str">
            <v>1992PA</v>
          </cell>
          <cell r="V142">
            <v>0.107982326</v>
          </cell>
          <cell r="W142">
            <v>4.3663312000000003E-2</v>
          </cell>
          <cell r="X142">
            <v>0.24141446599999999</v>
          </cell>
          <cell r="Y142">
            <v>0.173500614</v>
          </cell>
          <cell r="Z142">
            <v>0.43343928199999998</v>
          </cell>
          <cell r="AB142" t="str">
            <v>1992PA</v>
          </cell>
          <cell r="AC142">
            <v>0.23333333333333334</v>
          </cell>
          <cell r="AD142">
            <v>3.888888888888889E-2</v>
          </cell>
          <cell r="AE142">
            <v>0</v>
          </cell>
          <cell r="AF142">
            <v>0.72777777799999999</v>
          </cell>
        </row>
        <row r="143">
          <cell r="B143" t="str">
            <v>1992RI</v>
          </cell>
          <cell r="C143">
            <v>2.1160119314162895E-2</v>
          </cell>
          <cell r="D143">
            <v>8.3381202076593594E-2</v>
          </cell>
          <cell r="E143">
            <v>0.47900321677679891</v>
          </cell>
          <cell r="F143">
            <v>0.28958768063488644</v>
          </cell>
          <cell r="G143">
            <v>9.7707874449339191E-2</v>
          </cell>
          <cell r="H143">
            <v>2.9159906748219042E-2</v>
          </cell>
          <cell r="J143" t="str">
            <v>1992RI</v>
          </cell>
          <cell r="K143">
            <v>0.42328890877386194</v>
          </cell>
          <cell r="L143">
            <v>9.7707874449339191E-2</v>
          </cell>
          <cell r="M143">
            <v>0.47900321677679891</v>
          </cell>
          <cell r="U143" t="str">
            <v>1992RI</v>
          </cell>
          <cell r="V143">
            <v>0.238419619</v>
          </cell>
          <cell r="W143">
            <v>3.3509536999999999E-2</v>
          </cell>
          <cell r="X143">
            <v>0.21019618500000001</v>
          </cell>
          <cell r="Y143">
            <v>0.16069346000000001</v>
          </cell>
          <cell r="Z143">
            <v>0.357181199</v>
          </cell>
          <cell r="AB143" t="str">
            <v>1992RI</v>
          </cell>
          <cell r="AC143">
            <v>7.7777777777777779E-2</v>
          </cell>
          <cell r="AD143">
            <v>7.0000000000000007E-2</v>
          </cell>
          <cell r="AE143">
            <v>1.1111111E-2</v>
          </cell>
          <cell r="AF143">
            <v>0.84111111100000002</v>
          </cell>
        </row>
        <row r="144">
          <cell r="B144" t="str">
            <v>1992SC</v>
          </cell>
          <cell r="C144">
            <v>0.1060530561491369</v>
          </cell>
          <cell r="D144">
            <v>7.686375254995774E-2</v>
          </cell>
          <cell r="E144">
            <v>0.14718439291419974</v>
          </cell>
          <cell r="F144">
            <v>8.4697332518529636E-2</v>
          </cell>
          <cell r="G144">
            <v>0.58118933057670019</v>
          </cell>
          <cell r="H144">
            <v>4.0121352914758305E-3</v>
          </cell>
          <cell r="J144" t="str">
            <v>1992SC</v>
          </cell>
          <cell r="K144">
            <v>0.2716262765091001</v>
          </cell>
          <cell r="L144">
            <v>0.58118933057670019</v>
          </cell>
          <cell r="M144">
            <v>0.14718439291419974</v>
          </cell>
          <cell r="U144" t="str">
            <v>1992SC</v>
          </cell>
          <cell r="V144">
            <v>0.18186841400000001</v>
          </cell>
          <cell r="W144">
            <v>3.3645216999999998E-2</v>
          </cell>
          <cell r="X144">
            <v>0.15153023199999999</v>
          </cell>
          <cell r="Y144">
            <v>0.30268943599999998</v>
          </cell>
          <cell r="Z144">
            <v>0.33026670200000002</v>
          </cell>
          <cell r="AB144" t="str">
            <v>1992SC</v>
          </cell>
          <cell r="AC144">
            <v>7.7777777777777779E-2</v>
          </cell>
          <cell r="AD144">
            <v>0</v>
          </cell>
          <cell r="AE144">
            <v>0.44444444399999999</v>
          </cell>
          <cell r="AF144">
            <v>0.47777777799999999</v>
          </cell>
        </row>
        <row r="145">
          <cell r="B145" t="str">
            <v>1992SD</v>
          </cell>
          <cell r="C145">
            <v>4.934496456149931E-2</v>
          </cell>
          <cell r="D145">
            <v>0.15321338397251302</v>
          </cell>
          <cell r="E145">
            <v>0.20943685806642223</v>
          </cell>
          <cell r="F145">
            <v>0.42537575940378364</v>
          </cell>
          <cell r="G145">
            <v>0.12399495577066787</v>
          </cell>
          <cell r="H145">
            <v>3.8634078225113978E-2</v>
          </cell>
          <cell r="J145" t="str">
            <v>1992SD</v>
          </cell>
          <cell r="K145">
            <v>0.66656818616290991</v>
          </cell>
          <cell r="L145">
            <v>0.12399495577066787</v>
          </cell>
          <cell r="M145">
            <v>0.20943685806642223</v>
          </cell>
          <cell r="U145" t="str">
            <v>1992SD</v>
          </cell>
          <cell r="V145">
            <v>0.144740534</v>
          </cell>
          <cell r="W145">
            <v>4.0401548000000002E-2</v>
          </cell>
          <cell r="X145">
            <v>0.233050637</v>
          </cell>
          <cell r="Y145">
            <v>0.171225976</v>
          </cell>
          <cell r="Z145">
            <v>0.41058130500000001</v>
          </cell>
          <cell r="AB145" t="str">
            <v>1992SD</v>
          </cell>
          <cell r="AC145">
            <v>0</v>
          </cell>
          <cell r="AD145">
            <v>0</v>
          </cell>
          <cell r="AE145">
            <v>0.16</v>
          </cell>
          <cell r="AF145">
            <v>0.84</v>
          </cell>
        </row>
        <row r="146">
          <cell r="B146" t="str">
            <v>1992TN</v>
          </cell>
          <cell r="C146">
            <v>2.7324304039012964E-2</v>
          </cell>
          <cell r="D146">
            <v>7.0114654465175216E-2</v>
          </cell>
          <cell r="E146">
            <v>0.14186484493677126</v>
          </cell>
          <cell r="F146">
            <v>0.13252450898097146</v>
          </cell>
          <cell r="G146">
            <v>0.61274644071363271</v>
          </cell>
          <cell r="H146">
            <v>1.5425246864436372E-2</v>
          </cell>
          <cell r="J146" t="str">
            <v>1992TN</v>
          </cell>
          <cell r="K146">
            <v>0.24538871434959608</v>
          </cell>
          <cell r="L146">
            <v>0.61274644071363271</v>
          </cell>
          <cell r="M146">
            <v>0.14186484493677126</v>
          </cell>
          <cell r="U146" t="str">
            <v>1992TN</v>
          </cell>
          <cell r="V146">
            <v>0.23266783899999999</v>
          </cell>
          <cell r="W146">
            <v>3.2290655000000001E-2</v>
          </cell>
          <cell r="X146">
            <v>0.16531180400000001</v>
          </cell>
          <cell r="Y146">
            <v>0.243285432</v>
          </cell>
          <cell r="Z146">
            <v>0.32644426900000001</v>
          </cell>
          <cell r="AB146" t="str">
            <v>1992TN</v>
          </cell>
          <cell r="AC146">
            <v>0</v>
          </cell>
          <cell r="AD146">
            <v>0.7</v>
          </cell>
          <cell r="AE146">
            <v>6.5555556000000001E-2</v>
          </cell>
          <cell r="AF146">
            <v>0.234444444</v>
          </cell>
        </row>
        <row r="147">
          <cell r="B147" t="str">
            <v>1992TX</v>
          </cell>
          <cell r="C147">
            <v>0.43644699969620837</v>
          </cell>
          <cell r="D147">
            <v>0.2644505950878045</v>
          </cell>
          <cell r="E147">
            <v>6.3129550644091162E-2</v>
          </cell>
          <cell r="F147">
            <v>0.19308824114006534</v>
          </cell>
          <cell r="G147">
            <v>0</v>
          </cell>
          <cell r="H147">
            <v>4.2884613431830636E-2</v>
          </cell>
          <cell r="J147" t="str">
            <v>1992TX</v>
          </cell>
          <cell r="K147">
            <v>0.9368704493559088</v>
          </cell>
          <cell r="L147">
            <v>0</v>
          </cell>
          <cell r="M147">
            <v>6.3129550644091162E-2</v>
          </cell>
          <cell r="U147" t="str">
            <v>1992TX</v>
          </cell>
          <cell r="V147">
            <v>0.25776063500000002</v>
          </cell>
          <cell r="W147">
            <v>2.9933387999999998E-2</v>
          </cell>
          <cell r="X147">
            <v>0.118821385</v>
          </cell>
          <cell r="Y147">
            <v>0.30727402199999998</v>
          </cell>
          <cell r="Z147">
            <v>0.28621057</v>
          </cell>
          <cell r="AB147" t="str">
            <v>1992TX</v>
          </cell>
          <cell r="AC147">
            <v>0.38888888888888884</v>
          </cell>
          <cell r="AD147">
            <v>0</v>
          </cell>
          <cell r="AE147">
            <v>0.33777777799999997</v>
          </cell>
          <cell r="AF147">
            <v>0.27333333300000001</v>
          </cell>
        </row>
        <row r="148">
          <cell r="B148" t="str">
            <v>1992UT</v>
          </cell>
          <cell r="C148">
            <v>0.3408163306177831</v>
          </cell>
          <cell r="D148">
            <v>0.26856064563622567</v>
          </cell>
          <cell r="E148">
            <v>4.3488644191417805E-2</v>
          </cell>
          <cell r="F148">
            <v>0.25450549677933004</v>
          </cell>
          <cell r="G148">
            <v>2.5747008252630443E-2</v>
          </cell>
          <cell r="H148">
            <v>6.6881874522612836E-2</v>
          </cell>
          <cell r="J148" t="str">
            <v>1992UT</v>
          </cell>
          <cell r="K148">
            <v>0.93076434755595172</v>
          </cell>
          <cell r="L148">
            <v>2.5747008252630443E-2</v>
          </cell>
          <cell r="M148">
            <v>4.3488644191417805E-2</v>
          </cell>
          <cell r="U148" t="str">
            <v>1992UT</v>
          </cell>
          <cell r="V148">
            <v>0.544215165</v>
          </cell>
          <cell r="W148">
            <v>2.0054532999999999E-2</v>
          </cell>
          <cell r="X148">
            <v>0.125796614</v>
          </cell>
          <cell r="Y148">
            <v>9.6170599999999995E-2</v>
          </cell>
          <cell r="Z148">
            <v>0.21376308699999999</v>
          </cell>
          <cell r="AB148" t="str">
            <v>1992UT</v>
          </cell>
          <cell r="AC148">
            <v>0.38888888888888884</v>
          </cell>
          <cell r="AD148">
            <v>0</v>
          </cell>
          <cell r="AE148">
            <v>0.133333333</v>
          </cell>
          <cell r="AF148">
            <v>0.47777777799999999</v>
          </cell>
        </row>
        <row r="149">
          <cell r="B149" t="str">
            <v>1992VT</v>
          </cell>
          <cell r="C149">
            <v>4.0072020212799001E-2</v>
          </cell>
          <cell r="D149">
            <v>0.11618599158657865</v>
          </cell>
          <cell r="E149">
            <v>0.46727553003241384</v>
          </cell>
          <cell r="F149">
            <v>0.26210436010185856</v>
          </cell>
          <cell r="G149">
            <v>8.7128935966130833E-2</v>
          </cell>
          <cell r="H149">
            <v>2.7233162100219199E-2</v>
          </cell>
          <cell r="J149" t="str">
            <v>1992VT</v>
          </cell>
          <cell r="K149">
            <v>0.44559553400145535</v>
          </cell>
          <cell r="L149">
            <v>8.7128935966130833E-2</v>
          </cell>
          <cell r="M149">
            <v>0.46727553003241384</v>
          </cell>
          <cell r="U149" t="str">
            <v>1992VT</v>
          </cell>
          <cell r="V149">
            <v>1</v>
          </cell>
          <cell r="W149">
            <v>0</v>
          </cell>
          <cell r="X149">
            <v>0</v>
          </cell>
          <cell r="Y149">
            <v>0</v>
          </cell>
          <cell r="Z149">
            <v>0</v>
          </cell>
          <cell r="AB149" t="str">
            <v>1992VT</v>
          </cell>
          <cell r="AC149">
            <v>7.7777777777777779E-2</v>
          </cell>
          <cell r="AD149">
            <v>7.0000000000000007E-2</v>
          </cell>
          <cell r="AE149">
            <v>1.1111111E-2</v>
          </cell>
          <cell r="AF149">
            <v>0.84111111100000002</v>
          </cell>
        </row>
        <row r="150">
          <cell r="B150" t="str">
            <v>1992VA</v>
          </cell>
          <cell r="C150">
            <v>3.179278087434477E-2</v>
          </cell>
          <cell r="D150">
            <v>7.7890850207752993E-2</v>
          </cell>
          <cell r="E150">
            <v>0.1425321968750223</v>
          </cell>
          <cell r="F150">
            <v>0.12284474070327608</v>
          </cell>
          <cell r="G150">
            <v>0.60878751437161238</v>
          </cell>
          <cell r="H150">
            <v>1.615191696799146E-2</v>
          </cell>
          <cell r="J150" t="str">
            <v>1992VA</v>
          </cell>
          <cell r="K150">
            <v>0.24868028875336534</v>
          </cell>
          <cell r="L150">
            <v>0.60878751437161238</v>
          </cell>
          <cell r="M150">
            <v>0.1425321968750223</v>
          </cell>
          <cell r="U150" t="str">
            <v>1992VA</v>
          </cell>
          <cell r="V150">
            <v>0.104783687</v>
          </cell>
          <cell r="W150">
            <v>3.4990518999999998E-2</v>
          </cell>
          <cell r="X150">
            <v>0.10819703899999999</v>
          </cell>
          <cell r="Y150">
            <v>0.43209240999999998</v>
          </cell>
          <cell r="Z150">
            <v>0.31993634399999998</v>
          </cell>
          <cell r="AB150" t="str">
            <v>1992VA</v>
          </cell>
          <cell r="AC150">
            <v>0.54444444444444451</v>
          </cell>
          <cell r="AD150">
            <v>0</v>
          </cell>
          <cell r="AE150">
            <v>1.1111111E-2</v>
          </cell>
          <cell r="AF150">
            <v>0.44444444399999999</v>
          </cell>
        </row>
        <row r="151">
          <cell r="B151" t="str">
            <v>1992WA</v>
          </cell>
          <cell r="C151">
            <v>0.35118448464289537</v>
          </cell>
          <cell r="D151">
            <v>0.20550206680564437</v>
          </cell>
          <cell r="E151">
            <v>0</v>
          </cell>
          <cell r="F151">
            <v>0.12594673385184735</v>
          </cell>
          <cell r="G151">
            <v>0.29192481475532051</v>
          </cell>
          <cell r="H151">
            <v>2.5441899944292447E-2</v>
          </cell>
          <cell r="J151" t="str">
            <v>1992WA</v>
          </cell>
          <cell r="K151">
            <v>0.70807518524467949</v>
          </cell>
          <cell r="L151">
            <v>0.29192481475532051</v>
          </cell>
          <cell r="M151">
            <v>0</v>
          </cell>
          <cell r="U151" t="str">
            <v>1992WA</v>
          </cell>
          <cell r="V151">
            <v>0.32160723499999999</v>
          </cell>
          <cell r="W151">
            <v>3.2643392E-2</v>
          </cell>
          <cell r="X151">
            <v>0.18420945</v>
          </cell>
          <cell r="Y151">
            <v>0.13382717099999999</v>
          </cell>
          <cell r="Z151">
            <v>0.327712752</v>
          </cell>
          <cell r="AB151" t="str">
            <v>1992WA</v>
          </cell>
          <cell r="AC151">
            <v>0</v>
          </cell>
          <cell r="AD151">
            <v>7.7777777777777779E-2</v>
          </cell>
          <cell r="AE151">
            <v>2.6666667000000002E-2</v>
          </cell>
          <cell r="AF151">
            <v>0.89555555600000003</v>
          </cell>
        </row>
        <row r="152">
          <cell r="B152" t="str">
            <v>1992WV</v>
          </cell>
          <cell r="C152">
            <v>3.916010831378041E-2</v>
          </cell>
          <cell r="D152">
            <v>0.11405058285388173</v>
          </cell>
          <cell r="E152">
            <v>0.46868791682715627</v>
          </cell>
          <cell r="F152">
            <v>0.26291325280206979</v>
          </cell>
          <cell r="G152">
            <v>8.8402976903763281E-2</v>
          </cell>
          <cell r="H152">
            <v>2.6785162299348499E-2</v>
          </cell>
          <cell r="J152" t="str">
            <v>1992WV</v>
          </cell>
          <cell r="K152">
            <v>0.44290910626908042</v>
          </cell>
          <cell r="L152">
            <v>8.8402976903763281E-2</v>
          </cell>
          <cell r="M152">
            <v>0.46868791682715627</v>
          </cell>
          <cell r="U152" t="str">
            <v>1992WV</v>
          </cell>
          <cell r="V152">
            <v>0.68917249899999999</v>
          </cell>
          <cell r="W152">
            <v>1.367641E-2</v>
          </cell>
          <cell r="X152">
            <v>8.5788390000000006E-2</v>
          </cell>
          <cell r="Y152">
            <v>6.5584603000000005E-2</v>
          </cell>
          <cell r="Z152">
            <v>0.14577809799999999</v>
          </cell>
          <cell r="AB152" t="str">
            <v>1992WV</v>
          </cell>
          <cell r="AC152">
            <v>0.77777777777777768</v>
          </cell>
          <cell r="AD152">
            <v>0</v>
          </cell>
          <cell r="AE152">
            <v>1.1111111E-2</v>
          </cell>
          <cell r="AF152">
            <v>0.21111111099999999</v>
          </cell>
        </row>
        <row r="153">
          <cell r="B153" t="str">
            <v>1992WI</v>
          </cell>
          <cell r="C153">
            <v>3.8114418660830179E-2</v>
          </cell>
          <cell r="D153">
            <v>0.12951752167105887</v>
          </cell>
          <cell r="E153">
            <v>0.22292235537315713</v>
          </cell>
          <cell r="F153">
            <v>0.44202720914672056</v>
          </cell>
          <cell r="G153">
            <v>0.13197890691246617</v>
          </cell>
          <cell r="H153">
            <v>3.5439588235767067E-2</v>
          </cell>
          <cell r="J153" t="str">
            <v>1992WI</v>
          </cell>
          <cell r="K153">
            <v>0.64509873771437665</v>
          </cell>
          <cell r="L153">
            <v>0.13197890691246617</v>
          </cell>
          <cell r="M153">
            <v>0.22292235537315713</v>
          </cell>
          <cell r="U153" t="str">
            <v>1992WI</v>
          </cell>
          <cell r="V153">
            <v>0.19420881000000001</v>
          </cell>
          <cell r="W153">
            <v>3.7627571999999998E-2</v>
          </cell>
          <cell r="X153">
            <v>0.22004454600000001</v>
          </cell>
          <cell r="Y153">
            <v>0.16277941000000001</v>
          </cell>
          <cell r="Z153">
            <v>0.38533966200000003</v>
          </cell>
          <cell r="AB153" t="str">
            <v>1992WI</v>
          </cell>
          <cell r="AC153">
            <v>0.31111111111111112</v>
          </cell>
          <cell r="AD153">
            <v>3.888888888888889E-2</v>
          </cell>
          <cell r="AE153">
            <v>4.4444439999999997E-3</v>
          </cell>
          <cell r="AF153">
            <v>0.64555555600000003</v>
          </cell>
        </row>
        <row r="154">
          <cell r="B154" t="str">
            <v>1992WY</v>
          </cell>
          <cell r="C154">
            <v>0.24575173409635234</v>
          </cell>
          <cell r="D154">
            <v>0.19245347201944651</v>
          </cell>
          <cell r="E154">
            <v>0.16554847946287521</v>
          </cell>
          <cell r="F154">
            <v>0.23476562808063112</v>
          </cell>
          <cell r="G154">
            <v>9.8011288836229588E-2</v>
          </cell>
          <cell r="H154">
            <v>6.346939750446523E-2</v>
          </cell>
          <cell r="J154" t="str">
            <v>1992WY</v>
          </cell>
          <cell r="K154">
            <v>0.73644023170089523</v>
          </cell>
          <cell r="L154">
            <v>9.8011288836229588E-2</v>
          </cell>
          <cell r="M154">
            <v>0.16554847946287521</v>
          </cell>
          <cell r="U154" t="str">
            <v>1992WY</v>
          </cell>
          <cell r="V154">
            <v>0.40237178800000001</v>
          </cell>
          <cell r="W154">
            <v>2.6295641000000002E-2</v>
          </cell>
          <cell r="X154">
            <v>0.164945386</v>
          </cell>
          <cell r="Y154">
            <v>0.126099553</v>
          </cell>
          <cell r="Z154">
            <v>0.28028763099999998</v>
          </cell>
          <cell r="AB154" t="str">
            <v>1992WY</v>
          </cell>
          <cell r="AC154">
            <v>0</v>
          </cell>
          <cell r="AD154">
            <v>6.222222222222222E-2</v>
          </cell>
          <cell r="AE154">
            <v>0.164444444</v>
          </cell>
          <cell r="AF154">
            <v>0.77333333299999996</v>
          </cell>
        </row>
        <row r="155">
          <cell r="B155" t="str">
            <v>1993AL</v>
          </cell>
          <cell r="C155">
            <v>0.10436985193890651</v>
          </cell>
          <cell r="D155">
            <v>7.3456266165980208E-2</v>
          </cell>
          <cell r="E155">
            <v>0.14858856316275793</v>
          </cell>
          <cell r="F155">
            <v>9.6105152881920827E-2</v>
          </cell>
          <cell r="G155">
            <v>0.57285938311259732</v>
          </cell>
          <cell r="H155">
            <v>4.6207827378371884E-3</v>
          </cell>
          <cell r="J155" t="str">
            <v>1993AL</v>
          </cell>
          <cell r="K155">
            <v>0.27855205372464475</v>
          </cell>
          <cell r="L155">
            <v>0.57285938311259732</v>
          </cell>
          <cell r="M155">
            <v>0.14858856316275793</v>
          </cell>
          <cell r="U155" t="str">
            <v>1993AL</v>
          </cell>
          <cell r="V155">
            <v>0.16723581900000001</v>
          </cell>
          <cell r="W155">
            <v>3.3928848999999997E-2</v>
          </cell>
          <cell r="X155">
            <v>0.144196719</v>
          </cell>
          <cell r="Y155">
            <v>0.325690969</v>
          </cell>
          <cell r="Z155">
            <v>0.32894764500000001</v>
          </cell>
          <cell r="AB155" t="str">
            <v>1993AL</v>
          </cell>
          <cell r="AC155">
            <v>0</v>
          </cell>
          <cell r="AD155">
            <v>6.6666666666666666E-2</v>
          </cell>
          <cell r="AE155">
            <v>0.67300000000000004</v>
          </cell>
          <cell r="AF155">
            <v>0.260333333</v>
          </cell>
        </row>
        <row r="156">
          <cell r="B156" t="str">
            <v>1993AK</v>
          </cell>
          <cell r="C156">
            <v>4.9861567651818053E-2</v>
          </cell>
          <cell r="D156">
            <v>3.9102196506920012E-2</v>
          </cell>
          <cell r="E156">
            <v>0.53613937216338881</v>
          </cell>
          <cell r="F156">
            <v>4.5297852014437381E-2</v>
          </cell>
          <cell r="G156">
            <v>0.3174158472012103</v>
          </cell>
          <cell r="H156">
            <v>1.2183164462225435E-2</v>
          </cell>
          <cell r="J156" t="str">
            <v>1993AK</v>
          </cell>
          <cell r="K156">
            <v>0.1464447806354009</v>
          </cell>
          <cell r="L156">
            <v>0.3174158472012103</v>
          </cell>
          <cell r="M156">
            <v>0.53613937216338881</v>
          </cell>
          <cell r="U156" t="str">
            <v>1993AK</v>
          </cell>
          <cell r="V156">
            <v>1</v>
          </cell>
          <cell r="W156">
            <v>0</v>
          </cell>
          <cell r="X156">
            <v>0</v>
          </cell>
          <cell r="Y156">
            <v>0</v>
          </cell>
          <cell r="Z156">
            <v>0</v>
          </cell>
          <cell r="AB156" t="str">
            <v>1993AK</v>
          </cell>
          <cell r="AC156">
            <v>6.6666666666666666E-2</v>
          </cell>
          <cell r="AD156">
            <v>0.08</v>
          </cell>
          <cell r="AE156">
            <v>0.18333333299999999</v>
          </cell>
          <cell r="AF156">
            <v>0.67</v>
          </cell>
        </row>
        <row r="157">
          <cell r="B157" t="str">
            <v>1993AZ</v>
          </cell>
          <cell r="C157">
            <v>0.59730783841429902</v>
          </cell>
          <cell r="D157">
            <v>0.21416003504844525</v>
          </cell>
          <cell r="E157">
            <v>9.3514825871405638E-2</v>
          </cell>
          <cell r="F157">
            <v>9.3191251325620741E-2</v>
          </cell>
          <cell r="G157">
            <v>0</v>
          </cell>
          <cell r="H157">
            <v>1.8260493402293882E-3</v>
          </cell>
          <cell r="J157" t="str">
            <v>1993AZ</v>
          </cell>
          <cell r="K157">
            <v>0.90648517412859442</v>
          </cell>
          <cell r="L157">
            <v>0</v>
          </cell>
          <cell r="M157">
            <v>9.3514825871405638E-2</v>
          </cell>
          <cell r="U157" t="str">
            <v>1993AZ</v>
          </cell>
          <cell r="V157">
            <v>3.6354870999999997E-2</v>
          </cell>
          <cell r="W157">
            <v>3.6874580999999997E-2</v>
          </cell>
          <cell r="X157">
            <v>9.1508523999999994E-2</v>
          </cell>
          <cell r="Y157">
            <v>0.50882715300000003</v>
          </cell>
          <cell r="Z157">
            <v>0.32643487100000002</v>
          </cell>
          <cell r="AB157" t="str">
            <v>1993AZ</v>
          </cell>
          <cell r="AC157">
            <v>0</v>
          </cell>
          <cell r="AD157">
            <v>0</v>
          </cell>
          <cell r="AE157">
            <v>0.2</v>
          </cell>
          <cell r="AF157">
            <v>0.8</v>
          </cell>
        </row>
        <row r="158">
          <cell r="B158" t="str">
            <v>1993AR</v>
          </cell>
          <cell r="C158">
            <v>6.3542377605662226E-2</v>
          </cell>
          <cell r="D158">
            <v>5.0098767027022831E-2</v>
          </cell>
          <cell r="E158">
            <v>0.13912499999999997</v>
          </cell>
          <cell r="F158">
            <v>0.11247130507978023</v>
          </cell>
          <cell r="G158">
            <v>0.629</v>
          </cell>
          <cell r="H158">
            <v>5.7625502875347304E-3</v>
          </cell>
          <cell r="J158" t="str">
            <v>1993AR</v>
          </cell>
          <cell r="K158">
            <v>0.23187500000000005</v>
          </cell>
          <cell r="L158">
            <v>0.629</v>
          </cell>
          <cell r="M158">
            <v>0.13912499999999997</v>
          </cell>
          <cell r="U158" t="str">
            <v>1993AR</v>
          </cell>
          <cell r="V158">
            <v>4.7596019000000003E-2</v>
          </cell>
          <cell r="W158">
            <v>3.7091634999999998E-2</v>
          </cell>
          <cell r="X158">
            <v>0.110874213</v>
          </cell>
          <cell r="Y158">
            <v>0.467110423</v>
          </cell>
          <cell r="Z158">
            <v>0.33732770899999998</v>
          </cell>
          <cell r="AB158" t="str">
            <v>1993AR</v>
          </cell>
          <cell r="AC158">
            <v>0</v>
          </cell>
          <cell r="AD158">
            <v>0.4</v>
          </cell>
          <cell r="AE158">
            <v>0.26666666700000002</v>
          </cell>
          <cell r="AF158">
            <v>0.33333333300000001</v>
          </cell>
        </row>
        <row r="159">
          <cell r="B159" t="str">
            <v>1993CA</v>
          </cell>
          <cell r="C159">
            <v>0.54870223987369471</v>
          </cell>
          <cell r="D159">
            <v>0.22278324126021928</v>
          </cell>
          <cell r="E159">
            <v>0.11605500830061466</v>
          </cell>
          <cell r="F159">
            <v>9.0779577345639864E-2</v>
          </cell>
          <cell r="G159">
            <v>1.7431965298173747E-2</v>
          </cell>
          <cell r="H159">
            <v>4.2479679216577042E-3</v>
          </cell>
          <cell r="J159" t="str">
            <v>1993CA</v>
          </cell>
          <cell r="K159">
            <v>0.86651302640121153</v>
          </cell>
          <cell r="L159">
            <v>1.7431965298173747E-2</v>
          </cell>
          <cell r="M159">
            <v>0.11605500830061466</v>
          </cell>
          <cell r="U159" t="str">
            <v>1993CA</v>
          </cell>
          <cell r="V159">
            <v>0.119294073</v>
          </cell>
          <cell r="W159">
            <v>3.3561212999999999E-2</v>
          </cell>
          <cell r="X159">
            <v>7.9223940000000007E-2</v>
          </cell>
          <cell r="Y159">
            <v>0.47275337000000001</v>
          </cell>
          <cell r="Z159">
            <v>0.29516740299999999</v>
          </cell>
          <cell r="AB159" t="str">
            <v>1993CA</v>
          </cell>
          <cell r="AC159">
            <v>0.3</v>
          </cell>
          <cell r="AD159">
            <v>0.02</v>
          </cell>
          <cell r="AE159">
            <v>8.6666667000000003E-2</v>
          </cell>
          <cell r="AF159">
            <v>0.59333333300000002</v>
          </cell>
        </row>
        <row r="160">
          <cell r="B160" t="str">
            <v>1993CO</v>
          </cell>
          <cell r="C160">
            <v>0.50389754178767487</v>
          </cell>
          <cell r="D160">
            <v>0.26961908814953223</v>
          </cell>
          <cell r="E160">
            <v>2.9848218505984965E-2</v>
          </cell>
          <cell r="F160">
            <v>0.15201638223158073</v>
          </cell>
          <cell r="G160">
            <v>1.7671333344339357E-2</v>
          </cell>
          <cell r="H160">
            <v>2.6947435980887974E-2</v>
          </cell>
          <cell r="J160" t="str">
            <v>1993CO</v>
          </cell>
          <cell r="K160">
            <v>0.9524804481496757</v>
          </cell>
          <cell r="L160">
            <v>1.7671333344339357E-2</v>
          </cell>
          <cell r="M160">
            <v>2.9848218505984965E-2</v>
          </cell>
          <cell r="U160" t="str">
            <v>1993CO</v>
          </cell>
          <cell r="V160">
            <v>7.0830008E-2</v>
          </cell>
          <cell r="W160">
            <v>4.9735392000000003E-2</v>
          </cell>
          <cell r="X160">
            <v>0.24686134600000001</v>
          </cell>
          <cell r="Y160">
            <v>0.16654849299999999</v>
          </cell>
          <cell r="Z160">
            <v>0.46602476100000001</v>
          </cell>
          <cell r="AB160" t="str">
            <v>1993CO</v>
          </cell>
          <cell r="AC160">
            <v>0</v>
          </cell>
          <cell r="AD160">
            <v>5.333333333333333E-2</v>
          </cell>
          <cell r="AE160">
            <v>0.22666666699999999</v>
          </cell>
          <cell r="AF160">
            <v>0.72</v>
          </cell>
        </row>
        <row r="161">
          <cell r="B161" t="str">
            <v>1993CT</v>
          </cell>
          <cell r="C161">
            <v>8.2513463910567034E-2</v>
          </cell>
          <cell r="D161">
            <v>0.16963033831903232</v>
          </cell>
          <cell r="E161">
            <v>0.44313775075429057</v>
          </cell>
          <cell r="F161">
            <v>0.21250389708372927</v>
          </cell>
          <cell r="G161">
            <v>6.5355496099416641E-2</v>
          </cell>
          <cell r="H161">
            <v>2.6859053832964167E-2</v>
          </cell>
          <cell r="J161" t="str">
            <v>1993CT</v>
          </cell>
          <cell r="K161">
            <v>0.49150675314629277</v>
          </cell>
          <cell r="L161">
            <v>6.5355496099416641E-2</v>
          </cell>
          <cell r="M161">
            <v>0.44313775075429057</v>
          </cell>
          <cell r="U161" t="str">
            <v>1993CT</v>
          </cell>
          <cell r="V161">
            <v>0.920441379</v>
          </cell>
          <cell r="W161">
            <v>3.5005790000000002E-3</v>
          </cell>
          <cell r="X161">
            <v>2.1958179000000001E-2</v>
          </cell>
          <cell r="Y161">
            <v>1.6786868999999999E-2</v>
          </cell>
          <cell r="Z161">
            <v>3.7312993000000003E-2</v>
          </cell>
          <cell r="AB161" t="str">
            <v>1993CT</v>
          </cell>
          <cell r="AC161">
            <v>0</v>
          </cell>
          <cell r="AD161">
            <v>0</v>
          </cell>
          <cell r="AE161">
            <v>1.6666667E-2</v>
          </cell>
          <cell r="AF161">
            <v>0.98333333300000003</v>
          </cell>
        </row>
        <row r="162">
          <cell r="B162" t="str">
            <v>1993DE</v>
          </cell>
          <cell r="C162">
            <v>6.1981877265140276E-2</v>
          </cell>
          <cell r="D162">
            <v>0.1626351561169391</v>
          </cell>
          <cell r="E162">
            <v>0.44261441929049145</v>
          </cell>
          <cell r="F162">
            <v>0.23444274971326545</v>
          </cell>
          <cell r="G162">
            <v>6.4883425904967679E-2</v>
          </cell>
          <cell r="H162">
            <v>3.3442371709196034E-2</v>
          </cell>
          <cell r="J162" t="str">
            <v>1993DE</v>
          </cell>
          <cell r="K162">
            <v>0.49250215480454085</v>
          </cell>
          <cell r="L162">
            <v>6.4883425904967679E-2</v>
          </cell>
          <cell r="M162">
            <v>0.44261441929049145</v>
          </cell>
          <cell r="U162" t="str">
            <v>1993DE</v>
          </cell>
          <cell r="V162">
            <v>9.7548356000000003E-2</v>
          </cell>
          <cell r="W162">
            <v>4.696823E-2</v>
          </cell>
          <cell r="X162">
            <v>0.24121126600000001</v>
          </cell>
          <cell r="Y162">
            <v>0.166216104</v>
          </cell>
          <cell r="Z162">
            <v>0.44805604399999999</v>
          </cell>
          <cell r="AB162" t="str">
            <v>1993DE</v>
          </cell>
          <cell r="AC162">
            <v>0</v>
          </cell>
          <cell r="AD162">
            <v>0</v>
          </cell>
          <cell r="AE162">
            <v>1.6666667E-2</v>
          </cell>
          <cell r="AF162">
            <v>0.98333333300000003</v>
          </cell>
        </row>
        <row r="163">
          <cell r="B163" t="str">
            <v>1993FL</v>
          </cell>
          <cell r="C163">
            <v>0.38159418588657668</v>
          </cell>
          <cell r="D163">
            <v>0.14661637844418826</v>
          </cell>
          <cell r="E163">
            <v>0.2144084616089259</v>
          </cell>
          <cell r="F163">
            <v>7.3927238176143398E-2</v>
          </cell>
          <cell r="G163">
            <v>0.18239654805954897</v>
          </cell>
          <cell r="H163">
            <v>1.0571878246168594E-3</v>
          </cell>
          <cell r="J163" t="str">
            <v>1993FL</v>
          </cell>
          <cell r="K163">
            <v>0.60319499033152513</v>
          </cell>
          <cell r="L163">
            <v>0.18239654805954897</v>
          </cell>
          <cell r="M163">
            <v>0.2144084616089259</v>
          </cell>
          <cell r="U163" t="str">
            <v>1993FL</v>
          </cell>
          <cell r="V163">
            <v>0.48800628400000001</v>
          </cell>
          <cell r="W163">
            <v>2.2527722999999999E-2</v>
          </cell>
          <cell r="X163">
            <v>0.14131026599999999</v>
          </cell>
          <cell r="Y163">
            <v>0.10803067399999999</v>
          </cell>
          <cell r="Z163">
            <v>0.240125053</v>
          </cell>
          <cell r="AB163" t="str">
            <v>1993FL</v>
          </cell>
          <cell r="AC163">
            <v>0.08</v>
          </cell>
          <cell r="AD163">
            <v>0.04</v>
          </cell>
          <cell r="AE163">
            <v>0.21966666700000001</v>
          </cell>
          <cell r="AF163">
            <v>0.66033333299999997</v>
          </cell>
        </row>
        <row r="164">
          <cell r="B164" t="str">
            <v>1993GA</v>
          </cell>
          <cell r="C164">
            <v>0.13660930614938696</v>
          </cell>
          <cell r="D164">
            <v>8.8771353108900719E-2</v>
          </cell>
          <cell r="E164">
            <v>0.15715595308203778</v>
          </cell>
          <cell r="F164">
            <v>9.1293772233720288E-2</v>
          </cell>
          <cell r="G164">
            <v>0.52203512728936929</v>
          </cell>
          <cell r="H164">
            <v>4.1344881365849209E-3</v>
          </cell>
          <cell r="J164" t="str">
            <v>1993GA</v>
          </cell>
          <cell r="K164">
            <v>0.32080891962859293</v>
          </cell>
          <cell r="L164">
            <v>0.52203512728936929</v>
          </cell>
          <cell r="M164">
            <v>0.15715595308203778</v>
          </cell>
          <cell r="U164" t="str">
            <v>1993GA</v>
          </cell>
          <cell r="V164">
            <v>0.12209967200000001</v>
          </cell>
          <cell r="W164">
            <v>3.5384829E-2</v>
          </cell>
          <cell r="X164">
            <v>0.13992111400000001</v>
          </cell>
          <cell r="Y164">
            <v>0.36451669199999998</v>
          </cell>
          <cell r="Z164">
            <v>0.33807769300000001</v>
          </cell>
          <cell r="AB164" t="str">
            <v>1993GA</v>
          </cell>
          <cell r="AC164">
            <v>0.42666666666666664</v>
          </cell>
          <cell r="AD164">
            <v>3.3333333333333333E-2</v>
          </cell>
          <cell r="AE164">
            <v>0.14633333300000001</v>
          </cell>
          <cell r="AF164">
            <v>0.39366666700000003</v>
          </cell>
        </row>
        <row r="165">
          <cell r="B165" t="str">
            <v>1993HI</v>
          </cell>
          <cell r="C165">
            <v>0.64744410413866071</v>
          </cell>
          <cell r="D165">
            <v>0.21136522084549675</v>
          </cell>
          <cell r="E165">
            <v>0</v>
          </cell>
          <cell r="F165">
            <v>0.11030742516468306</v>
          </cell>
          <cell r="G165">
            <v>2.6950396272625937E-2</v>
          </cell>
          <cell r="H165">
            <v>3.9328535785336082E-3</v>
          </cell>
          <cell r="J165" t="str">
            <v>1993HI</v>
          </cell>
          <cell r="K165">
            <v>0.97304960372737404</v>
          </cell>
          <cell r="L165">
            <v>2.6950396272625937E-2</v>
          </cell>
          <cell r="M165">
            <v>0</v>
          </cell>
          <cell r="U165" t="str">
            <v>1993HI</v>
          </cell>
          <cell r="V165">
            <v>0.35980002500000002</v>
          </cell>
          <cell r="W165">
            <v>2.8168799000000001E-2</v>
          </cell>
          <cell r="X165">
            <v>0.176695193</v>
          </cell>
          <cell r="Y165">
            <v>0.13508219499999999</v>
          </cell>
          <cell r="Z165">
            <v>0.30025378800000002</v>
          </cell>
          <cell r="AB165" t="str">
            <v>1993HI</v>
          </cell>
          <cell r="AC165">
            <v>6.6666666666666666E-2</v>
          </cell>
          <cell r="AD165">
            <v>0</v>
          </cell>
          <cell r="AE165">
            <v>0.61666666699999995</v>
          </cell>
          <cell r="AF165">
            <v>0.31666666700000001</v>
          </cell>
        </row>
        <row r="166">
          <cell r="B166" t="str">
            <v>1993ID</v>
          </cell>
          <cell r="C166">
            <v>0.46507449640519105</v>
          </cell>
          <cell r="D166">
            <v>0.24170272650804445</v>
          </cell>
          <cell r="E166">
            <v>4.6125258865532516E-2</v>
          </cell>
          <cell r="F166">
            <v>0.18258553907539438</v>
          </cell>
          <cell r="G166">
            <v>2.7307989079593878E-2</v>
          </cell>
          <cell r="H166">
            <v>3.720399006624369E-2</v>
          </cell>
          <cell r="J166" t="str">
            <v>1993ID</v>
          </cell>
          <cell r="K166">
            <v>0.9265667520548736</v>
          </cell>
          <cell r="L166">
            <v>2.7307989079593878E-2</v>
          </cell>
          <cell r="M166">
            <v>4.6125258865532516E-2</v>
          </cell>
          <cell r="U166" t="str">
            <v>1993ID</v>
          </cell>
          <cell r="V166">
            <v>0.33907067000000002</v>
          </cell>
          <cell r="W166">
            <v>3.1687782999999997E-2</v>
          </cell>
          <cell r="X166">
            <v>0.17959236200000001</v>
          </cell>
          <cell r="Y166">
            <v>0.13076644700000001</v>
          </cell>
          <cell r="Z166">
            <v>0.318882738</v>
          </cell>
          <cell r="AB166" t="str">
            <v>1993ID</v>
          </cell>
          <cell r="AC166">
            <v>0</v>
          </cell>
          <cell r="AD166">
            <v>0.4</v>
          </cell>
          <cell r="AE166">
            <v>0.2</v>
          </cell>
          <cell r="AF166">
            <v>0.4</v>
          </cell>
        </row>
        <row r="167">
          <cell r="B167" t="str">
            <v>1993IL</v>
          </cell>
          <cell r="C167">
            <v>5.0577124197692766E-2</v>
          </cell>
          <cell r="D167">
            <v>0.16805010612691398</v>
          </cell>
          <cell r="E167">
            <v>0.14406977612647465</v>
          </cell>
          <cell r="F167">
            <v>0.50466566319866279</v>
          </cell>
          <cell r="G167">
            <v>8.5295041587315823E-2</v>
          </cell>
          <cell r="H167">
            <v>4.7342288762940062E-2</v>
          </cell>
          <cell r="J167" t="str">
            <v>1993IL</v>
          </cell>
          <cell r="K167">
            <v>0.77063518228620953</v>
          </cell>
          <cell r="L167">
            <v>8.5295041587315823E-2</v>
          </cell>
          <cell r="M167">
            <v>0.14406977612647465</v>
          </cell>
          <cell r="U167" t="str">
            <v>1993IL</v>
          </cell>
          <cell r="V167">
            <v>7.3588817000000001E-2</v>
          </cell>
          <cell r="W167">
            <v>4.2125628999999998E-2</v>
          </cell>
          <cell r="X167">
            <v>0.26080275000000003</v>
          </cell>
          <cell r="Y167">
            <v>0.165815834</v>
          </cell>
          <cell r="Z167">
            <v>0.45766697099999998</v>
          </cell>
          <cell r="AB167" t="str">
            <v>1993IL</v>
          </cell>
          <cell r="AC167">
            <v>0</v>
          </cell>
          <cell r="AD167">
            <v>0</v>
          </cell>
          <cell r="AE167">
            <v>7.3333333000000001E-2</v>
          </cell>
          <cell r="AF167">
            <v>0.926666667</v>
          </cell>
        </row>
        <row r="168">
          <cell r="B168" t="str">
            <v>1993IN</v>
          </cell>
          <cell r="C168">
            <v>4.8448528215757326E-2</v>
          </cell>
          <cell r="D168">
            <v>0.15628011924347604</v>
          </cell>
          <cell r="E168">
            <v>0.18868516720743206</v>
          </cell>
          <cell r="F168">
            <v>0.45275988584214194</v>
          </cell>
          <cell r="G168">
            <v>0.11170912884420105</v>
          </cell>
          <cell r="H168">
            <v>4.2117170646991692E-2</v>
          </cell>
          <cell r="J168" t="str">
            <v>1993IN</v>
          </cell>
          <cell r="K168">
            <v>0.69960570394836696</v>
          </cell>
          <cell r="L168">
            <v>0.11170912884420105</v>
          </cell>
          <cell r="M168">
            <v>0.18868516720743206</v>
          </cell>
          <cell r="U168" t="str">
            <v>1993IN</v>
          </cell>
          <cell r="V168">
            <v>8.1359189999999998E-2</v>
          </cell>
          <cell r="W168">
            <v>4.1868514000000003E-2</v>
          </cell>
          <cell r="X168">
            <v>0.25897605800000001</v>
          </cell>
          <cell r="Y168">
            <v>0.16233228199999999</v>
          </cell>
          <cell r="Z168">
            <v>0.455463956</v>
          </cell>
          <cell r="AB168" t="str">
            <v>1993IN</v>
          </cell>
          <cell r="AC168">
            <v>0</v>
          </cell>
          <cell r="AD168">
            <v>3.3333333333333333E-2</v>
          </cell>
          <cell r="AE168">
            <v>0</v>
          </cell>
          <cell r="AF168">
            <v>0.96666666700000003</v>
          </cell>
        </row>
        <row r="169">
          <cell r="B169" t="str">
            <v>1993IA</v>
          </cell>
          <cell r="C169">
            <v>4.2155059267836581E-2</v>
          </cell>
          <cell r="D169">
            <v>0.13737229493995742</v>
          </cell>
          <cell r="E169">
            <v>0.20901144807499936</v>
          </cell>
          <cell r="F169">
            <v>0.45103102748408913</v>
          </cell>
          <cell r="G169">
            <v>0.12374309612400458</v>
          </cell>
          <cell r="H169">
            <v>3.668707410911292E-2</v>
          </cell>
          <cell r="J169" t="str">
            <v>1993IA</v>
          </cell>
          <cell r="K169">
            <v>0.66724545580099603</v>
          </cell>
          <cell r="L169">
            <v>0.12374309612400458</v>
          </cell>
          <cell r="M169">
            <v>0.20901144807499936</v>
          </cell>
          <cell r="U169" t="str">
            <v>1993IA</v>
          </cell>
          <cell r="V169">
            <v>6.3286547999999998E-2</v>
          </cell>
          <cell r="W169">
            <v>3.9489661000000002E-2</v>
          </cell>
          <cell r="X169">
            <v>0.204049124</v>
          </cell>
          <cell r="Y169">
            <v>0.293054802</v>
          </cell>
          <cell r="Z169">
            <v>0.40011986500000002</v>
          </cell>
          <cell r="AB169" t="str">
            <v>1993IA</v>
          </cell>
          <cell r="AC169">
            <v>2.6666666666666665E-2</v>
          </cell>
          <cell r="AD169">
            <v>2.6666666666666665E-2</v>
          </cell>
          <cell r="AE169">
            <v>1.3333332999999999E-2</v>
          </cell>
          <cell r="AF169">
            <v>0.93333333299999999</v>
          </cell>
        </row>
        <row r="170">
          <cell r="B170" t="str">
            <v>1993KS</v>
          </cell>
          <cell r="C170">
            <v>5.9541663797274436E-2</v>
          </cell>
          <cell r="D170">
            <v>0.18130022189943382</v>
          </cell>
          <cell r="E170">
            <v>0.15111857025143746</v>
          </cell>
          <cell r="F170">
            <v>0.47356728235710982</v>
          </cell>
          <cell r="G170">
            <v>8.9468208258313711E-2</v>
          </cell>
          <cell r="H170">
            <v>4.5004053436430748E-2</v>
          </cell>
          <cell r="J170" t="str">
            <v>1993KS</v>
          </cell>
          <cell r="K170">
            <v>0.75941322149024881</v>
          </cell>
          <cell r="L170">
            <v>8.9468208258313711E-2</v>
          </cell>
          <cell r="M170">
            <v>0.15111857025143746</v>
          </cell>
          <cell r="U170" t="str">
            <v>1993KS</v>
          </cell>
          <cell r="V170">
            <v>0.12563696199999999</v>
          </cell>
          <cell r="W170">
            <v>4.0078675000000001E-2</v>
          </cell>
          <cell r="X170">
            <v>0.24734932700000001</v>
          </cell>
          <cell r="Y170">
            <v>0.149544858</v>
          </cell>
          <cell r="Z170">
            <v>0.43739017899999999</v>
          </cell>
          <cell r="AB170" t="str">
            <v>1993KS</v>
          </cell>
          <cell r="AC170">
            <v>0</v>
          </cell>
          <cell r="AD170">
            <v>0</v>
          </cell>
          <cell r="AE170">
            <v>6.6666670000000003E-3</v>
          </cell>
          <cell r="AF170">
            <v>0.99333333300000004</v>
          </cell>
        </row>
        <row r="171">
          <cell r="B171" t="str">
            <v>1993KY</v>
          </cell>
          <cell r="C171">
            <v>1.5969265247488859E-2</v>
          </cell>
          <cell r="D171">
            <v>5.0963750460208256E-2</v>
          </cell>
          <cell r="E171">
            <v>0.14019803494564426</v>
          </cell>
          <cell r="F171">
            <v>0.1558028843382597</v>
          </cell>
          <cell r="G171">
            <v>0.6226344437339123</v>
          </cell>
          <cell r="H171">
            <v>1.4431621274486616E-2</v>
          </cell>
          <cell r="J171" t="str">
            <v>1993KY</v>
          </cell>
          <cell r="K171">
            <v>0.23716752132044339</v>
          </cell>
          <cell r="L171">
            <v>0.6226344437339123</v>
          </cell>
          <cell r="M171">
            <v>0.14019803494564426</v>
          </cell>
          <cell r="U171" t="str">
            <v>1993KY</v>
          </cell>
          <cell r="V171">
            <v>0.160228388</v>
          </cell>
          <cell r="W171">
            <v>3.4628129000000001E-2</v>
          </cell>
          <cell r="X171">
            <v>0.15847371499999999</v>
          </cell>
          <cell r="Y171">
            <v>0.30555541899999999</v>
          </cell>
          <cell r="Z171">
            <v>0.34111434899999998</v>
          </cell>
          <cell r="AB171" t="str">
            <v>1993KY</v>
          </cell>
          <cell r="AC171">
            <v>0.02</v>
          </cell>
          <cell r="AD171">
            <v>0.22</v>
          </cell>
          <cell r="AE171">
            <v>0.42333333299999998</v>
          </cell>
          <cell r="AF171">
            <v>0.33666666699999998</v>
          </cell>
        </row>
        <row r="172">
          <cell r="B172" t="str">
            <v>1993LA</v>
          </cell>
          <cell r="C172">
            <v>7.4710201438018944E-2</v>
          </cell>
          <cell r="D172">
            <v>5.7684122073388619E-2</v>
          </cell>
          <cell r="E172">
            <v>0.14069485285686983</v>
          </cell>
          <cell r="F172">
            <v>0.10208374857349607</v>
          </cell>
          <cell r="G172">
            <v>0.61968717497929804</v>
          </cell>
          <cell r="H172">
            <v>5.1399000789284889E-3</v>
          </cell>
          <cell r="J172" t="str">
            <v>1993LA</v>
          </cell>
          <cell r="K172">
            <v>0.23961797216383207</v>
          </cell>
          <cell r="L172">
            <v>0.61968717497929804</v>
          </cell>
          <cell r="M172">
            <v>0.14069485285686983</v>
          </cell>
          <cell r="U172" t="str">
            <v>1993LA</v>
          </cell>
          <cell r="V172">
            <v>0.37521300099999999</v>
          </cell>
          <cell r="W172">
            <v>2.5817151E-2</v>
          </cell>
          <cell r="X172">
            <v>0.119607138</v>
          </cell>
          <cell r="Y172">
            <v>0.224349452</v>
          </cell>
          <cell r="Z172">
            <v>0.25501325800000002</v>
          </cell>
          <cell r="AB172" t="str">
            <v>1993LA</v>
          </cell>
          <cell r="AC172">
            <v>3.3333333333333333E-2</v>
          </cell>
          <cell r="AD172">
            <v>0</v>
          </cell>
          <cell r="AE172">
            <v>0.83333333300000001</v>
          </cell>
          <cell r="AF172">
            <v>0.133333333</v>
          </cell>
        </row>
        <row r="173">
          <cell r="B173" t="str">
            <v>1993ME</v>
          </cell>
          <cell r="C173">
            <v>3.8014883804192108E-2</v>
          </cell>
          <cell r="D173">
            <v>0.11134027961490585</v>
          </cell>
          <cell r="E173">
            <v>0.47052206749805614</v>
          </cell>
          <cell r="F173">
            <v>0.26386892175457727</v>
          </cell>
          <cell r="G173">
            <v>9.0057469178267041E-2</v>
          </cell>
          <cell r="H173">
            <v>2.6196378150001649E-2</v>
          </cell>
          <cell r="J173" t="str">
            <v>1993ME</v>
          </cell>
          <cell r="K173">
            <v>0.43942046332367679</v>
          </cell>
          <cell r="L173">
            <v>9.0057469178267041E-2</v>
          </cell>
          <cell r="M173">
            <v>0.47052206749805614</v>
          </cell>
          <cell r="U173" t="str">
            <v>1993ME</v>
          </cell>
          <cell r="V173">
            <v>1</v>
          </cell>
          <cell r="W173">
            <v>0</v>
          </cell>
          <cell r="X173">
            <v>0</v>
          </cell>
          <cell r="Y173">
            <v>0</v>
          </cell>
          <cell r="Z173">
            <v>0</v>
          </cell>
          <cell r="AB173" t="str">
            <v>1993ME</v>
          </cell>
          <cell r="AC173">
            <v>6.6666666666666666E-2</v>
          </cell>
          <cell r="AD173">
            <v>0.06</v>
          </cell>
          <cell r="AE173">
            <v>1.6666667E-2</v>
          </cell>
          <cell r="AF173">
            <v>0.85666666700000005</v>
          </cell>
        </row>
        <row r="174">
          <cell r="B174" t="str">
            <v>1993MD</v>
          </cell>
          <cell r="C174">
            <v>4.4383014596473563E-2</v>
          </cell>
          <cell r="D174">
            <v>0.1252661440256303</v>
          </cell>
          <cell r="E174">
            <v>0.45878208798650583</v>
          </cell>
          <cell r="F174">
            <v>0.26103035181491135</v>
          </cell>
          <cell r="G174">
            <v>7.946744202681022E-2</v>
          </cell>
          <cell r="H174">
            <v>3.1070959549668771E-2</v>
          </cell>
          <cell r="J174" t="str">
            <v>1993MD</v>
          </cell>
          <cell r="K174">
            <v>0.4617504699866839</v>
          </cell>
          <cell r="L174">
            <v>7.946744202681022E-2</v>
          </cell>
          <cell r="M174">
            <v>0.45878208798650583</v>
          </cell>
          <cell r="U174" t="str">
            <v>1993MD</v>
          </cell>
          <cell r="V174">
            <v>0.17206121099999999</v>
          </cell>
          <cell r="W174">
            <v>4.0855990000000002E-2</v>
          </cell>
          <cell r="X174">
            <v>0.22371553299999999</v>
          </cell>
          <cell r="Y174">
            <v>0.159939475</v>
          </cell>
          <cell r="Z174">
            <v>0.40342779200000001</v>
          </cell>
          <cell r="AB174" t="str">
            <v>1993MD</v>
          </cell>
          <cell r="AC174">
            <v>0</v>
          </cell>
          <cell r="AD174">
            <v>0</v>
          </cell>
          <cell r="AE174">
            <v>1.6666667E-2</v>
          </cell>
          <cell r="AF174">
            <v>0.98333333300000003</v>
          </cell>
        </row>
        <row r="175">
          <cell r="B175" t="str">
            <v>1993MA</v>
          </cell>
          <cell r="C175">
            <v>4.4682476409686409E-2</v>
          </cell>
          <cell r="D175">
            <v>0.12490053999109334</v>
          </cell>
          <cell r="E175">
            <v>0.46344425384629201</v>
          </cell>
          <cell r="F175">
            <v>0.25582264447853481</v>
          </cell>
          <cell r="G175">
            <v>8.3672940255419173E-2</v>
          </cell>
          <cell r="H175">
            <v>2.7477145018974324E-2</v>
          </cell>
          <cell r="J175" t="str">
            <v>1993MA</v>
          </cell>
          <cell r="K175">
            <v>0.45288280589828878</v>
          </cell>
          <cell r="L175">
            <v>8.3672940255419173E-2</v>
          </cell>
          <cell r="M175">
            <v>0.46344425384629201</v>
          </cell>
          <cell r="U175" t="str">
            <v>1993MA</v>
          </cell>
          <cell r="V175">
            <v>0.39814611599999999</v>
          </cell>
          <cell r="W175">
            <v>2.6481570999999999E-2</v>
          </cell>
          <cell r="X175">
            <v>0.16611167199999999</v>
          </cell>
          <cell r="Y175">
            <v>0.12699116999999999</v>
          </cell>
          <cell r="Z175">
            <v>0.28226947200000002</v>
          </cell>
          <cell r="AB175" t="str">
            <v>1993MA</v>
          </cell>
          <cell r="AC175">
            <v>6.6666666666666666E-2</v>
          </cell>
          <cell r="AD175">
            <v>0.06</v>
          </cell>
          <cell r="AE175">
            <v>1.6666667E-2</v>
          </cell>
          <cell r="AF175">
            <v>0.85666666700000005</v>
          </cell>
        </row>
        <row r="176">
          <cell r="B176" t="str">
            <v>1993MI</v>
          </cell>
          <cell r="C176">
            <v>8.1832401569987168E-2</v>
          </cell>
          <cell r="D176">
            <v>0.22154783388959939</v>
          </cell>
          <cell r="E176">
            <v>0.1249162855217197</v>
          </cell>
          <cell r="F176">
            <v>0.44713807315589166</v>
          </cell>
          <cell r="G176">
            <v>7.3955412821316624E-2</v>
          </cell>
          <cell r="H176">
            <v>5.0609993041485474E-2</v>
          </cell>
          <cell r="J176" t="str">
            <v>1993MI</v>
          </cell>
          <cell r="K176">
            <v>0.80112830165696369</v>
          </cell>
          <cell r="L176">
            <v>7.3955412821316624E-2</v>
          </cell>
          <cell r="M176">
            <v>0.1249162855217197</v>
          </cell>
          <cell r="U176" t="str">
            <v>1993MI</v>
          </cell>
          <cell r="V176">
            <v>0.104557938</v>
          </cell>
          <cell r="W176">
            <v>4.4614757999999997E-2</v>
          </cell>
          <cell r="X176">
            <v>0.24149209299999999</v>
          </cell>
          <cell r="Y176">
            <v>0.171553918</v>
          </cell>
          <cell r="Z176">
            <v>0.43778129300000002</v>
          </cell>
          <cell r="AB176" t="str">
            <v>1993MI</v>
          </cell>
          <cell r="AC176">
            <v>6.0000000000000053E-2</v>
          </cell>
          <cell r="AD176">
            <v>0.02</v>
          </cell>
          <cell r="AE176">
            <v>2.6666667000000002E-2</v>
          </cell>
          <cell r="AF176">
            <v>0.89333333299999995</v>
          </cell>
        </row>
        <row r="177">
          <cell r="B177" t="str">
            <v>1993MN</v>
          </cell>
          <cell r="C177">
            <v>3.5540959080750743E-2</v>
          </cell>
          <cell r="D177">
            <v>0.12037109587322428</v>
          </cell>
          <cell r="E177">
            <v>0.24662670148437682</v>
          </cell>
          <cell r="F177">
            <v>0.41844054285151983</v>
          </cell>
          <cell r="G177">
            <v>0.14601282326686985</v>
          </cell>
          <cell r="H177">
            <v>3.3007877443258414E-2</v>
          </cell>
          <cell r="J177" t="str">
            <v>1993MN</v>
          </cell>
          <cell r="K177">
            <v>0.60736047524875336</v>
          </cell>
          <cell r="L177">
            <v>0.14601282326686985</v>
          </cell>
          <cell r="M177">
            <v>0.24662670148437682</v>
          </cell>
          <cell r="U177" t="str">
            <v>1993MN</v>
          </cell>
          <cell r="V177">
            <v>8.2072308999999996E-2</v>
          </cell>
          <cell r="W177">
            <v>4.3820953000000003E-2</v>
          </cell>
          <cell r="X177">
            <v>0.24962989699999999</v>
          </cell>
          <cell r="Y177">
            <v>0.182242294</v>
          </cell>
          <cell r="Z177">
            <v>0.44223454699999998</v>
          </cell>
          <cell r="AB177" t="str">
            <v>1993MN</v>
          </cell>
          <cell r="AC177">
            <v>0</v>
          </cell>
          <cell r="AD177">
            <v>0.16666666666666663</v>
          </cell>
          <cell r="AE177">
            <v>0</v>
          </cell>
          <cell r="AF177">
            <v>0.83333333300000001</v>
          </cell>
        </row>
        <row r="178">
          <cell r="B178" t="str">
            <v>1993MS</v>
          </cell>
          <cell r="C178">
            <v>7.2368616568928457E-2</v>
          </cell>
          <cell r="D178">
            <v>5.7331822061901655E-2</v>
          </cell>
          <cell r="E178">
            <v>0.13912499999999997</v>
          </cell>
          <cell r="F178">
            <v>9.7272330402964388E-2</v>
          </cell>
          <cell r="G178">
            <v>0.629</v>
          </cell>
          <cell r="H178">
            <v>4.902230966205531E-3</v>
          </cell>
          <cell r="J178" t="str">
            <v>1993MS</v>
          </cell>
          <cell r="K178">
            <v>0.23187500000000005</v>
          </cell>
          <cell r="L178">
            <v>0.629</v>
          </cell>
          <cell r="M178">
            <v>0.13912499999999997</v>
          </cell>
          <cell r="U178" t="str">
            <v>1993MS</v>
          </cell>
          <cell r="V178">
            <v>0.13651822599999999</v>
          </cell>
          <cell r="W178">
            <v>3.4669222999999999E-2</v>
          </cell>
          <cell r="X178">
            <v>0.133378319</v>
          </cell>
          <cell r="Y178">
            <v>0.36596300500000001</v>
          </cell>
          <cell r="Z178">
            <v>0.32947122600000001</v>
          </cell>
          <cell r="AB178" t="str">
            <v>1993MS</v>
          </cell>
          <cell r="AC178">
            <v>6.6666666666666666E-2</v>
          </cell>
          <cell r="AD178">
            <v>3.3333333333333333E-2</v>
          </cell>
          <cell r="AE178">
            <v>0.76666666699999997</v>
          </cell>
          <cell r="AF178">
            <v>0.133333333</v>
          </cell>
        </row>
        <row r="179">
          <cell r="B179" t="str">
            <v>1993MO</v>
          </cell>
          <cell r="C179">
            <v>5.0320610113191167E-2</v>
          </cell>
          <cell r="D179">
            <v>0.16154316508799971</v>
          </cell>
          <cell r="E179">
            <v>0.16806227768827955</v>
          </cell>
          <cell r="F179">
            <v>0.47526266059011357</v>
          </cell>
          <cell r="G179">
            <v>9.9499557437339639E-2</v>
          </cell>
          <cell r="H179">
            <v>4.5311729083076298E-2</v>
          </cell>
          <cell r="J179" t="str">
            <v>1993MO</v>
          </cell>
          <cell r="K179">
            <v>0.73243816487438074</v>
          </cell>
          <cell r="L179">
            <v>9.9499557437339639E-2</v>
          </cell>
          <cell r="M179">
            <v>0.16806227768827955</v>
          </cell>
          <cell r="U179" t="str">
            <v>1993MO</v>
          </cell>
          <cell r="V179">
            <v>0.13267357799999999</v>
          </cell>
          <cell r="W179">
            <v>3.9426826999999998E-2</v>
          </cell>
          <cell r="X179">
            <v>0.24412383400000001</v>
          </cell>
          <cell r="Y179">
            <v>0.15550377600000001</v>
          </cell>
          <cell r="Z179">
            <v>0.42827198500000002</v>
          </cell>
          <cell r="AB179" t="str">
            <v>1993MO</v>
          </cell>
          <cell r="AC179">
            <v>0</v>
          </cell>
          <cell r="AD179">
            <v>0.13333333333333333</v>
          </cell>
          <cell r="AE179">
            <v>0</v>
          </cell>
          <cell r="AF179">
            <v>0.86666666699999995</v>
          </cell>
        </row>
        <row r="180">
          <cell r="B180" t="str">
            <v>1993MT</v>
          </cell>
          <cell r="C180">
            <v>0.27739754148349177</v>
          </cell>
          <cell r="D180">
            <v>0.21628743507848178</v>
          </cell>
          <cell r="E180">
            <v>7.3480828206259161E-2</v>
          </cell>
          <cell r="F180">
            <v>0.30560904011986928</v>
          </cell>
          <cell r="G180">
            <v>4.3503574908183289E-2</v>
          </cell>
          <cell r="H180">
            <v>8.372158020371466E-2</v>
          </cell>
          <cell r="J180" t="str">
            <v>1993MT</v>
          </cell>
          <cell r="K180">
            <v>0.88301559688555753</v>
          </cell>
          <cell r="L180">
            <v>4.3503574908183289E-2</v>
          </cell>
          <cell r="M180">
            <v>7.3480828206259161E-2</v>
          </cell>
          <cell r="U180" t="str">
            <v>1993MT</v>
          </cell>
          <cell r="V180">
            <v>0.15601061799999999</v>
          </cell>
          <cell r="W180">
            <v>4.3579161999999998E-2</v>
          </cell>
          <cell r="X180">
            <v>0.225960471</v>
          </cell>
          <cell r="Y180">
            <v>0.15660299599999999</v>
          </cell>
          <cell r="Z180">
            <v>0.41784675199999999</v>
          </cell>
          <cell r="AB180" t="str">
            <v>1993MT</v>
          </cell>
          <cell r="AC180">
            <v>0</v>
          </cell>
          <cell r="AD180">
            <v>5.333333333333333E-2</v>
          </cell>
          <cell r="AE180">
            <v>0.22666666699999999</v>
          </cell>
          <cell r="AF180">
            <v>0.72</v>
          </cell>
        </row>
        <row r="181">
          <cell r="B181" t="str">
            <v>1993NE</v>
          </cell>
          <cell r="C181">
            <v>5.1490465607615138E-2</v>
          </cell>
          <cell r="D181">
            <v>0.16866356378029981</v>
          </cell>
          <cell r="E181">
            <v>0.16588397751696546</v>
          </cell>
          <cell r="F181">
            <v>0.46765594785043918</v>
          </cell>
          <cell r="G181">
            <v>9.820991703740739E-2</v>
          </cell>
          <cell r="H181">
            <v>4.8096128207272992E-2</v>
          </cell>
          <cell r="J181" t="str">
            <v>1993NE</v>
          </cell>
          <cell r="K181">
            <v>0.73590610544562718</v>
          </cell>
          <cell r="L181">
            <v>9.820991703740739E-2</v>
          </cell>
          <cell r="M181">
            <v>0.16588397751696546</v>
          </cell>
          <cell r="U181" t="str">
            <v>1993NE</v>
          </cell>
          <cell r="V181">
            <v>9.3303685999999997E-2</v>
          </cell>
          <cell r="W181">
            <v>4.1182875000000001E-2</v>
          </cell>
          <cell r="X181">
            <v>0.25507907099999999</v>
          </cell>
          <cell r="Y181">
            <v>0.16329376800000001</v>
          </cell>
          <cell r="Z181">
            <v>0.4471406</v>
          </cell>
          <cell r="AB181" t="str">
            <v>1993NE</v>
          </cell>
          <cell r="AC181">
            <v>0</v>
          </cell>
          <cell r="AD181">
            <v>0</v>
          </cell>
          <cell r="AE181">
            <v>6.6666670000000003E-3</v>
          </cell>
          <cell r="AF181">
            <v>0.99333333300000004</v>
          </cell>
        </row>
        <row r="182">
          <cell r="B182" t="str">
            <v>1993NV</v>
          </cell>
          <cell r="C182">
            <v>0.59310686574395077</v>
          </cell>
          <cell r="D182">
            <v>0.25342440363603841</v>
          </cell>
          <cell r="E182">
            <v>1.973149287727784E-2</v>
          </cell>
          <cell r="F182">
            <v>0.11263691994907153</v>
          </cell>
          <cell r="G182">
            <v>1.1681829116398323E-2</v>
          </cell>
          <cell r="H182">
            <v>9.4184886772631093E-3</v>
          </cell>
          <cell r="J182" t="str">
            <v>1993NV</v>
          </cell>
          <cell r="K182">
            <v>0.96858667800632381</v>
          </cell>
          <cell r="L182">
            <v>1.1681829116398323E-2</v>
          </cell>
          <cell r="M182">
            <v>1.973149287727784E-2</v>
          </cell>
          <cell r="U182" t="str">
            <v>1993NV</v>
          </cell>
          <cell r="V182">
            <v>1</v>
          </cell>
          <cell r="W182">
            <v>0</v>
          </cell>
          <cell r="X182">
            <v>0</v>
          </cell>
          <cell r="Y182">
            <v>0</v>
          </cell>
          <cell r="Z182">
            <v>0</v>
          </cell>
          <cell r="AB182" t="str">
            <v>1993NV</v>
          </cell>
          <cell r="AC182">
            <v>0.16666666666666663</v>
          </cell>
          <cell r="AD182">
            <v>0</v>
          </cell>
          <cell r="AE182">
            <v>0</v>
          </cell>
          <cell r="AF182">
            <v>0.83333333300000001</v>
          </cell>
        </row>
        <row r="183">
          <cell r="B183" t="str">
            <v>1993NH</v>
          </cell>
          <cell r="C183">
            <v>4.8218830505497405E-2</v>
          </cell>
          <cell r="D183">
            <v>0.13189543562816974</v>
          </cell>
          <cell r="E183">
            <v>0.46008189643076414</v>
          </cell>
          <cell r="F183">
            <v>0.25119082549221</v>
          </cell>
          <cell r="G183">
            <v>8.0639931868282722E-2</v>
          </cell>
          <cell r="H183">
            <v>2.7973080075075919E-2</v>
          </cell>
          <cell r="J183" t="str">
            <v>1993NH</v>
          </cell>
          <cell r="K183">
            <v>0.45927817170095309</v>
          </cell>
          <cell r="L183">
            <v>8.0639931868282722E-2</v>
          </cell>
          <cell r="M183">
            <v>0.46008189643076414</v>
          </cell>
          <cell r="U183" t="str">
            <v>1993NH</v>
          </cell>
          <cell r="V183">
            <v>0.92598599299999995</v>
          </cell>
          <cell r="W183">
            <v>3.2566159999999999E-3</v>
          </cell>
          <cell r="X183">
            <v>2.0427865999999999E-2</v>
          </cell>
          <cell r="Y183">
            <v>1.5616955E-2</v>
          </cell>
          <cell r="Z183">
            <v>3.4712568999999999E-2</v>
          </cell>
          <cell r="AB183" t="str">
            <v>1993NH</v>
          </cell>
          <cell r="AC183">
            <v>0</v>
          </cell>
          <cell r="AD183">
            <v>0</v>
          </cell>
          <cell r="AE183">
            <v>1.6666667E-2</v>
          </cell>
          <cell r="AF183">
            <v>0.98333333300000003</v>
          </cell>
        </row>
        <row r="184">
          <cell r="B184" t="str">
            <v>1993NJ</v>
          </cell>
          <cell r="C184">
            <v>4.183710576226865E-2</v>
          </cell>
          <cell r="D184">
            <v>0.11981853734984527</v>
          </cell>
          <cell r="E184">
            <v>0.46539238044017789</v>
          </cell>
          <cell r="F184">
            <v>0.25990190931509988</v>
          </cell>
          <cell r="G184">
            <v>8.5430244303814573E-2</v>
          </cell>
          <cell r="H184">
            <v>2.7619822828793758E-2</v>
          </cell>
          <cell r="J184" t="str">
            <v>1993NJ</v>
          </cell>
          <cell r="K184">
            <v>0.44917737525600754</v>
          </cell>
          <cell r="L184">
            <v>8.5430244303814573E-2</v>
          </cell>
          <cell r="M184">
            <v>0.46539238044017789</v>
          </cell>
          <cell r="U184" t="str">
            <v>1993NJ</v>
          </cell>
          <cell r="V184">
            <v>0.48471045000000001</v>
          </cell>
          <cell r="W184">
            <v>2.267274E-2</v>
          </cell>
          <cell r="X184">
            <v>0.142219916</v>
          </cell>
          <cell r="Y184">
            <v>0.10872609499999999</v>
          </cell>
          <cell r="Z184">
            <v>0.24167079899999999</v>
          </cell>
          <cell r="AB184" t="str">
            <v>1993NJ</v>
          </cell>
          <cell r="AC184">
            <v>6.6666666666666666E-2</v>
          </cell>
          <cell r="AD184">
            <v>0.06</v>
          </cell>
          <cell r="AE184">
            <v>1.6666667E-2</v>
          </cell>
          <cell r="AF184">
            <v>0.85666666700000005</v>
          </cell>
        </row>
        <row r="185">
          <cell r="B185" t="str">
            <v>1993NM</v>
          </cell>
          <cell r="C185">
            <v>0.59526236805448218</v>
          </cell>
          <cell r="D185">
            <v>0.20932485034256709</v>
          </cell>
          <cell r="E185">
            <v>9.4048265115848545E-2</v>
          </cell>
          <cell r="F185">
            <v>9.8136040372281214E-2</v>
          </cell>
          <cell r="G185">
            <v>0</v>
          </cell>
          <cell r="H185">
            <v>3.2284761148209272E-3</v>
          </cell>
          <cell r="J185" t="str">
            <v>1993NM</v>
          </cell>
          <cell r="K185">
            <v>0.90595173488415148</v>
          </cell>
          <cell r="L185">
            <v>0</v>
          </cell>
          <cell r="M185">
            <v>9.4048265115848545E-2</v>
          </cell>
          <cell r="U185" t="str">
            <v>1993NM</v>
          </cell>
          <cell r="V185">
            <v>1</v>
          </cell>
          <cell r="W185">
            <v>0</v>
          </cell>
          <cell r="X185">
            <v>0</v>
          </cell>
          <cell r="Y185">
            <v>0</v>
          </cell>
          <cell r="Z185">
            <v>0</v>
          </cell>
          <cell r="AB185" t="str">
            <v>1993NM</v>
          </cell>
          <cell r="AC185">
            <v>0.16666666666666663</v>
          </cell>
          <cell r="AD185">
            <v>6.6666666666666666E-2</v>
          </cell>
          <cell r="AE185">
            <v>0.33333333300000001</v>
          </cell>
          <cell r="AF185">
            <v>0.43333333299999999</v>
          </cell>
        </row>
        <row r="186">
          <cell r="B186" t="str">
            <v>1993NY</v>
          </cell>
          <cell r="C186">
            <v>5.5356487200957434E-2</v>
          </cell>
          <cell r="D186">
            <v>0.12636483076982341</v>
          </cell>
          <cell r="E186">
            <v>0.46311783498881903</v>
          </cell>
          <cell r="F186">
            <v>0.24680788493259592</v>
          </cell>
          <cell r="G186">
            <v>8.3378494719122884E-2</v>
          </cell>
          <cell r="H186">
            <v>2.4974467388681334E-2</v>
          </cell>
          <cell r="J186" t="str">
            <v>1993NY</v>
          </cell>
          <cell r="K186">
            <v>0.45350367029205807</v>
          </cell>
          <cell r="L186">
            <v>8.3378494719122884E-2</v>
          </cell>
          <cell r="M186">
            <v>0.46311783498881903</v>
          </cell>
          <cell r="U186" t="str">
            <v>1993NY</v>
          </cell>
          <cell r="V186">
            <v>0.38703996400000001</v>
          </cell>
          <cell r="W186">
            <v>2.8003867000000002E-2</v>
          </cell>
          <cell r="X186">
            <v>0.16805720900000001</v>
          </cell>
          <cell r="Y186">
            <v>0.12588914900000001</v>
          </cell>
          <cell r="Z186">
            <v>0.29100981100000001</v>
          </cell>
          <cell r="AB186" t="str">
            <v>1993NY</v>
          </cell>
          <cell r="AC186">
            <v>6.6666666666666666E-2</v>
          </cell>
          <cell r="AD186">
            <v>0.2</v>
          </cell>
          <cell r="AE186">
            <v>1.6666667E-2</v>
          </cell>
          <cell r="AF186">
            <v>0.71666666700000003</v>
          </cell>
        </row>
        <row r="187">
          <cell r="B187" t="str">
            <v>1993NC</v>
          </cell>
          <cell r="C187">
            <v>3.1386561392517137E-2</v>
          </cell>
          <cell r="D187">
            <v>8.0393744169259304E-2</v>
          </cell>
          <cell r="E187">
            <v>0.13912499999999997</v>
          </cell>
          <cell r="F187">
            <v>0.10443401346223012</v>
          </cell>
          <cell r="G187">
            <v>0.629</v>
          </cell>
          <cell r="H187">
            <v>1.5660680975993456E-2</v>
          </cell>
          <cell r="J187" t="str">
            <v>1993NC</v>
          </cell>
          <cell r="K187">
            <v>0.23187500000000005</v>
          </cell>
          <cell r="L187">
            <v>0.629</v>
          </cell>
          <cell r="M187">
            <v>0.13912499999999997</v>
          </cell>
          <cell r="U187" t="str">
            <v>1993NC</v>
          </cell>
          <cell r="V187">
            <v>1.5953875999999999E-2</v>
          </cell>
          <cell r="W187">
            <v>3.7222224999999998E-2</v>
          </cell>
          <cell r="X187">
            <v>7.9774889000000002E-2</v>
          </cell>
          <cell r="Y187">
            <v>0.54353894700000005</v>
          </cell>
          <cell r="Z187">
            <v>0.32351006300000001</v>
          </cell>
          <cell r="AB187" t="str">
            <v>1993NC</v>
          </cell>
          <cell r="AC187">
            <v>0.33333333333333326</v>
          </cell>
          <cell r="AD187">
            <v>3.3333333333333333E-2</v>
          </cell>
          <cell r="AE187">
            <v>0.33966666699999998</v>
          </cell>
          <cell r="AF187">
            <v>0.29366666699999999</v>
          </cell>
        </row>
        <row r="188">
          <cell r="B188" t="str">
            <v>1993ND</v>
          </cell>
          <cell r="C188">
            <v>3.5209761444276809E-2</v>
          </cell>
          <cell r="D188">
            <v>0.12452530286503215</v>
          </cell>
          <cell r="E188">
            <v>0.22873283580251094</v>
          </cell>
          <cell r="F188">
            <v>0.44000807155201738</v>
          </cell>
          <cell r="G188">
            <v>0.13541894258954626</v>
          </cell>
          <cell r="H188">
            <v>3.6105085746616507E-2</v>
          </cell>
          <cell r="J188" t="str">
            <v>1993ND</v>
          </cell>
          <cell r="K188">
            <v>0.63584822160794285</v>
          </cell>
          <cell r="L188">
            <v>0.13541894258954626</v>
          </cell>
          <cell r="M188">
            <v>0.22873283580251094</v>
          </cell>
          <cell r="U188" t="str">
            <v>1993ND</v>
          </cell>
          <cell r="V188">
            <v>0.216030678</v>
          </cell>
          <cell r="W188">
            <v>3.7060901E-2</v>
          </cell>
          <cell r="X188">
            <v>0.213595428</v>
          </cell>
          <cell r="Y188">
            <v>0.15686335700000001</v>
          </cell>
          <cell r="Z188">
            <v>0.37644963599999998</v>
          </cell>
          <cell r="AB188" t="str">
            <v>1993ND</v>
          </cell>
          <cell r="AC188">
            <v>0</v>
          </cell>
          <cell r="AD188">
            <v>3.3333333333333333E-2</v>
          </cell>
          <cell r="AE188">
            <v>0.04</v>
          </cell>
          <cell r="AF188">
            <v>0.926666667</v>
          </cell>
        </row>
        <row r="189">
          <cell r="B189" t="str">
            <v>1993OH</v>
          </cell>
          <cell r="C189">
            <v>5.1121101974680658E-2</v>
          </cell>
          <cell r="D189">
            <v>0.15685574198300223</v>
          </cell>
          <cell r="E189">
            <v>0.19454904098749215</v>
          </cell>
          <cell r="F189">
            <v>0.44145710760085527</v>
          </cell>
          <cell r="G189">
            <v>0.11518077551000779</v>
          </cell>
          <cell r="H189">
            <v>4.0836231943961937E-2</v>
          </cell>
          <cell r="J189" t="str">
            <v>1993OH</v>
          </cell>
          <cell r="K189">
            <v>0.69027018350250002</v>
          </cell>
          <cell r="L189">
            <v>0.11518077551000779</v>
          </cell>
          <cell r="M189">
            <v>0.19454904098749215</v>
          </cell>
          <cell r="U189" t="str">
            <v>1993OH</v>
          </cell>
          <cell r="V189">
            <v>0.15595841299999999</v>
          </cell>
          <cell r="W189">
            <v>3.7901154999999999E-2</v>
          </cell>
          <cell r="X189">
            <v>0.235817949</v>
          </cell>
          <cell r="Y189">
            <v>0.16149044400000001</v>
          </cell>
          <cell r="Z189">
            <v>0.40883203899999998</v>
          </cell>
          <cell r="AB189" t="str">
            <v>1993OH</v>
          </cell>
          <cell r="AC189">
            <v>0</v>
          </cell>
          <cell r="AD189">
            <v>0</v>
          </cell>
          <cell r="AE189">
            <v>0</v>
          </cell>
          <cell r="AF189">
            <v>1</v>
          </cell>
        </row>
        <row r="190">
          <cell r="B190" t="str">
            <v>1993OK</v>
          </cell>
          <cell r="C190">
            <v>0.30193905291383544</v>
          </cell>
          <cell r="D190">
            <v>0.23562665568082566</v>
          </cell>
          <cell r="E190">
            <v>0.05</v>
          </cell>
          <cell r="F190">
            <v>0.32390557386529051</v>
          </cell>
          <cell r="G190">
            <v>0</v>
          </cell>
          <cell r="H190">
            <v>8.8528717540048318E-2</v>
          </cell>
          <cell r="J190" t="str">
            <v>1993OK</v>
          </cell>
          <cell r="K190">
            <v>0.95</v>
          </cell>
          <cell r="L190">
            <v>0</v>
          </cell>
          <cell r="M190">
            <v>0.05</v>
          </cell>
          <cell r="U190" t="str">
            <v>1993OK</v>
          </cell>
          <cell r="V190">
            <v>0.21421795900000001</v>
          </cell>
          <cell r="W190">
            <v>3.0650192E-2</v>
          </cell>
          <cell r="X190">
            <v>9.2982676E-2</v>
          </cell>
          <cell r="Y190">
            <v>0.38275320400000001</v>
          </cell>
          <cell r="Z190">
            <v>0.27939596900000002</v>
          </cell>
          <cell r="AB190" t="str">
            <v>1993OK</v>
          </cell>
          <cell r="AC190">
            <v>0</v>
          </cell>
          <cell r="AD190">
            <v>0.13333333333333333</v>
          </cell>
          <cell r="AE190">
            <v>0.2</v>
          </cell>
          <cell r="AF190">
            <v>0.66666666699999999</v>
          </cell>
        </row>
        <row r="191">
          <cell r="B191" t="str">
            <v>1993OR</v>
          </cell>
          <cell r="C191">
            <v>0.30742694782774738</v>
          </cell>
          <cell r="D191">
            <v>0.19255915898633422</v>
          </cell>
          <cell r="E191">
            <v>0</v>
          </cell>
          <cell r="F191">
            <v>0.14061228111572421</v>
          </cell>
          <cell r="G191">
            <v>0.32757293619969313</v>
          </cell>
          <cell r="H191">
            <v>3.1828675870501054E-2</v>
          </cell>
          <cell r="J191" t="str">
            <v>1993OR</v>
          </cell>
          <cell r="K191">
            <v>0.67242706380030692</v>
          </cell>
          <cell r="L191">
            <v>0.32757293619969313</v>
          </cell>
          <cell r="M191">
            <v>0</v>
          </cell>
          <cell r="U191" t="str">
            <v>1993OR</v>
          </cell>
          <cell r="V191">
            <v>0.52300986100000002</v>
          </cell>
          <cell r="W191">
            <v>2.0987565999999999E-2</v>
          </cell>
          <cell r="X191">
            <v>0.13164927800000001</v>
          </cell>
          <cell r="Y191">
            <v>0.100644919</v>
          </cell>
          <cell r="Z191">
            <v>0.22370837499999999</v>
          </cell>
          <cell r="AB191" t="str">
            <v>1993OR</v>
          </cell>
          <cell r="AC191">
            <v>0</v>
          </cell>
          <cell r="AD191">
            <v>0.06</v>
          </cell>
          <cell r="AE191">
            <v>0.15666666700000001</v>
          </cell>
          <cell r="AF191">
            <v>0.78333333299999997</v>
          </cell>
        </row>
        <row r="192">
          <cell r="B192" t="str">
            <v>1993PA</v>
          </cell>
          <cell r="C192">
            <v>2.9633748705481203E-2</v>
          </cell>
          <cell r="D192">
            <v>9.1097752180991698E-2</v>
          </cell>
          <cell r="E192">
            <v>0.48180810928248319</v>
          </cell>
          <cell r="F192">
            <v>0.27337356569258281</v>
          </cell>
          <cell r="G192">
            <v>0.10023802262914568</v>
          </cell>
          <cell r="H192">
            <v>2.3848801509315447E-2</v>
          </cell>
          <cell r="J192" t="str">
            <v>1993PA</v>
          </cell>
          <cell r="K192">
            <v>0.41795386808837109</v>
          </cell>
          <cell r="L192">
            <v>0.10023802262914568</v>
          </cell>
          <cell r="M192">
            <v>0.48180810928248319</v>
          </cell>
          <cell r="U192" t="str">
            <v>1993PA</v>
          </cell>
          <cell r="V192">
            <v>9.8623654000000005E-2</v>
          </cell>
          <cell r="W192">
            <v>4.4538371E-2</v>
          </cell>
          <cell r="X192">
            <v>0.24349557499999999</v>
          </cell>
          <cell r="Y192">
            <v>0.17393103600000001</v>
          </cell>
          <cell r="Z192">
            <v>0.439411363</v>
          </cell>
          <cell r="AB192" t="str">
            <v>1993PA</v>
          </cell>
          <cell r="AC192">
            <v>0.2</v>
          </cell>
          <cell r="AD192">
            <v>3.3333333333333333E-2</v>
          </cell>
          <cell r="AE192">
            <v>0</v>
          </cell>
          <cell r="AF192">
            <v>0.76666666699999997</v>
          </cell>
        </row>
        <row r="193">
          <cell r="B193" t="str">
            <v>1993RI</v>
          </cell>
          <cell r="C193">
            <v>2.0048205451330316E-2</v>
          </cell>
          <cell r="D193">
            <v>7.8626136661274881E-2</v>
          </cell>
          <cell r="E193">
            <v>0.48482340675477248</v>
          </cell>
          <cell r="F193">
            <v>0.28694907450790913</v>
          </cell>
          <cell r="G193">
            <v>0.10295796622613801</v>
          </cell>
          <cell r="H193">
            <v>2.6595210398575233E-2</v>
          </cell>
          <cell r="J193" t="str">
            <v>1993RI</v>
          </cell>
          <cell r="K193">
            <v>0.41221862701908951</v>
          </cell>
          <cell r="L193">
            <v>0.10295796622613801</v>
          </cell>
          <cell r="M193">
            <v>0.48482340675477248</v>
          </cell>
          <cell r="U193" t="str">
            <v>1993RI</v>
          </cell>
          <cell r="V193">
            <v>0.281157773</v>
          </cell>
          <cell r="W193">
            <v>3.1629058000000002E-2</v>
          </cell>
          <cell r="X193">
            <v>0.198400455</v>
          </cell>
          <cell r="Y193">
            <v>0.15167570999999999</v>
          </cell>
          <cell r="Z193">
            <v>0.33713700499999999</v>
          </cell>
          <cell r="AB193" t="str">
            <v>1993RI</v>
          </cell>
          <cell r="AC193">
            <v>6.6666666666666666E-2</v>
          </cell>
          <cell r="AD193">
            <v>0.06</v>
          </cell>
          <cell r="AE193">
            <v>1.6666667E-2</v>
          </cell>
          <cell r="AF193">
            <v>0.85666666700000005</v>
          </cell>
        </row>
        <row r="194">
          <cell r="B194" t="str">
            <v>1993SC</v>
          </cell>
          <cell r="C194">
            <v>0.10222660965012847</v>
          </cell>
          <cell r="D194">
            <v>7.5342457433092189E-2</v>
          </cell>
          <cell r="E194">
            <v>0.14557251433135979</v>
          </cell>
          <cell r="F194">
            <v>8.2200488933232951E-2</v>
          </cell>
          <cell r="G194">
            <v>0.59075146446136018</v>
          </cell>
          <cell r="H194">
            <v>3.9064651908264705E-3</v>
          </cell>
          <cell r="J194" t="str">
            <v>1993SC</v>
          </cell>
          <cell r="K194">
            <v>0.26367602120728006</v>
          </cell>
          <cell r="L194">
            <v>0.59075146446136018</v>
          </cell>
          <cell r="M194">
            <v>0.14557251433135979</v>
          </cell>
          <cell r="U194" t="str">
            <v>1993SC</v>
          </cell>
          <cell r="V194">
            <v>0.16253055499999999</v>
          </cell>
          <cell r="W194">
            <v>3.4073345999999997E-2</v>
          </cell>
          <cell r="X194">
            <v>0.14352109299999999</v>
          </cell>
          <cell r="Y194">
            <v>0.33014100000000002</v>
          </cell>
          <cell r="Z194">
            <v>0.329734005</v>
          </cell>
          <cell r="AB194" t="str">
            <v>1993SC</v>
          </cell>
          <cell r="AC194">
            <v>6.6666666666666666E-2</v>
          </cell>
          <cell r="AD194">
            <v>0</v>
          </cell>
          <cell r="AE194">
            <v>0.46666666699999998</v>
          </cell>
          <cell r="AF194">
            <v>0.46666666699999998</v>
          </cell>
        </row>
        <row r="195">
          <cell r="B195" t="str">
            <v>1993SD</v>
          </cell>
          <cell r="C195">
            <v>4.9094900657853977E-2</v>
          </cell>
          <cell r="D195">
            <v>0.15444141494653482</v>
          </cell>
          <cell r="E195">
            <v>0.20188185000650521</v>
          </cell>
          <cell r="F195">
            <v>0.43518409638303907</v>
          </cell>
          <cell r="G195">
            <v>0.11952209030235879</v>
          </cell>
          <cell r="H195">
            <v>3.9875647703708141E-2</v>
          </cell>
          <cell r="J195" t="str">
            <v>1993SD</v>
          </cell>
          <cell r="K195">
            <v>0.67859605969113601</v>
          </cell>
          <cell r="L195">
            <v>0.11952209030235879</v>
          </cell>
          <cell r="M195">
            <v>0.20188185000650521</v>
          </cell>
          <cell r="U195" t="str">
            <v>1993SD</v>
          </cell>
          <cell r="V195">
            <v>0.13162554900000001</v>
          </cell>
          <cell r="W195">
            <v>4.1593918000000001E-2</v>
          </cell>
          <cell r="X195">
            <v>0.23600378699999999</v>
          </cell>
          <cell r="Y195">
            <v>0.17194220299999999</v>
          </cell>
          <cell r="Z195">
            <v>0.41883454399999998</v>
          </cell>
          <cell r="AB195" t="str">
            <v>1993SD</v>
          </cell>
          <cell r="AC195">
            <v>0</v>
          </cell>
          <cell r="AD195">
            <v>0</v>
          </cell>
          <cell r="AE195">
            <v>0.14000000000000001</v>
          </cell>
          <cell r="AF195">
            <v>0.86</v>
          </cell>
        </row>
        <row r="196">
          <cell r="B196" t="str">
            <v>1993TN</v>
          </cell>
          <cell r="C196">
            <v>2.6503840405833218E-2</v>
          </cell>
          <cell r="D196">
            <v>6.9334679052490036E-2</v>
          </cell>
          <cell r="E196">
            <v>0.141316875949417</v>
          </cell>
          <cell r="F196">
            <v>0.13131737824462131</v>
          </cell>
          <cell r="G196">
            <v>0.61599715257090615</v>
          </cell>
          <cell r="H196">
            <v>1.5530073776732253E-2</v>
          </cell>
          <cell r="J196" t="str">
            <v>1993TN</v>
          </cell>
          <cell r="K196">
            <v>0.24268597147967685</v>
          </cell>
          <cell r="L196">
            <v>0.61599715257090615</v>
          </cell>
          <cell r="M196">
            <v>0.141316875949417</v>
          </cell>
          <cell r="U196" t="str">
            <v>1993TN</v>
          </cell>
          <cell r="V196">
            <v>0.21224378999999999</v>
          </cell>
          <cell r="W196">
            <v>3.2940043000000002E-2</v>
          </cell>
          <cell r="X196">
            <v>0.16307901999999999</v>
          </cell>
          <cell r="Y196">
            <v>0.26137599700000003</v>
          </cell>
          <cell r="Z196">
            <v>0.33036114900000002</v>
          </cell>
          <cell r="AB196" t="str">
            <v>1993TN</v>
          </cell>
          <cell r="AC196">
            <v>0</v>
          </cell>
          <cell r="AD196">
            <v>0.6</v>
          </cell>
          <cell r="AE196">
            <v>6.3333333000000006E-2</v>
          </cell>
          <cell r="AF196">
            <v>0.33666666699999998</v>
          </cell>
        </row>
        <row r="197">
          <cell r="B197" t="str">
            <v>1993TX</v>
          </cell>
          <cell r="C197">
            <v>0.44634423139716933</v>
          </cell>
          <cell r="D197">
            <v>0.26279012689361081</v>
          </cell>
          <cell r="E197">
            <v>6.4723370505314889E-2</v>
          </cell>
          <cell r="F197">
            <v>0.18600640618464637</v>
          </cell>
          <cell r="G197">
            <v>0</v>
          </cell>
          <cell r="H197">
            <v>4.0135865019258664E-2</v>
          </cell>
          <cell r="J197" t="str">
            <v>1993TX</v>
          </cell>
          <cell r="K197">
            <v>0.93527662949468515</v>
          </cell>
          <cell r="L197">
            <v>0</v>
          </cell>
          <cell r="M197">
            <v>6.4723370505314889E-2</v>
          </cell>
          <cell r="U197" t="str">
            <v>1993TX</v>
          </cell>
          <cell r="V197">
            <v>0.23119018999999999</v>
          </cell>
          <cell r="W197">
            <v>3.0637877000000001E-2</v>
          </cell>
          <cell r="X197">
            <v>0.11148638299999999</v>
          </cell>
          <cell r="Y197">
            <v>0.33856675899999999</v>
          </cell>
          <cell r="Z197">
            <v>0.28811879299999998</v>
          </cell>
          <cell r="AB197" t="str">
            <v>1993TX</v>
          </cell>
          <cell r="AC197">
            <v>0.33333333333333326</v>
          </cell>
          <cell r="AD197">
            <v>0</v>
          </cell>
          <cell r="AE197">
            <v>0.306666667</v>
          </cell>
          <cell r="AF197">
            <v>0.36</v>
          </cell>
        </row>
        <row r="198">
          <cell r="B198" t="str">
            <v>1993UT</v>
          </cell>
          <cell r="C198">
            <v>0.35475164393700126</v>
          </cell>
          <cell r="D198">
            <v>0.27067344527571785</v>
          </cell>
          <cell r="E198">
            <v>3.9991974890681209E-2</v>
          </cell>
          <cell r="F198">
            <v>0.24698710604192251</v>
          </cell>
          <cell r="G198">
            <v>2.3676840855676937E-2</v>
          </cell>
          <cell r="H198">
            <v>6.3918988999000198E-2</v>
          </cell>
          <cell r="J198" t="str">
            <v>1993UT</v>
          </cell>
          <cell r="K198">
            <v>0.93633118425364181</v>
          </cell>
          <cell r="L198">
            <v>2.3676840855676937E-2</v>
          </cell>
          <cell r="M198">
            <v>3.9991974890681209E-2</v>
          </cell>
          <cell r="U198" t="str">
            <v>1993UT</v>
          </cell>
          <cell r="V198">
            <v>0.44069366700000001</v>
          </cell>
          <cell r="W198">
            <v>2.6851646E-2</v>
          </cell>
          <cell r="X198">
            <v>0.15193953299999999</v>
          </cell>
          <cell r="Y198">
            <v>0.11053974499999999</v>
          </cell>
          <cell r="Z198">
            <v>0.269975409</v>
          </cell>
          <cell r="AB198" t="str">
            <v>1993UT</v>
          </cell>
          <cell r="AC198">
            <v>0.33333333333333326</v>
          </cell>
          <cell r="AD198">
            <v>0</v>
          </cell>
          <cell r="AE198">
            <v>0.2</v>
          </cell>
          <cell r="AF198">
            <v>0.46666666699999998</v>
          </cell>
        </row>
        <row r="199">
          <cell r="B199" t="str">
            <v>1993VT</v>
          </cell>
          <cell r="C199">
            <v>4.4828765607813736E-2</v>
          </cell>
          <cell r="D199">
            <v>0.12047995840577581</v>
          </cell>
          <cell r="E199">
            <v>0.46500457629307596</v>
          </cell>
          <cell r="F199">
            <v>0.25751552351890844</v>
          </cell>
          <cell r="G199">
            <v>8.508042627873065E-2</v>
          </cell>
          <cell r="H199">
            <v>2.709074989569546E-2</v>
          </cell>
          <cell r="J199" t="str">
            <v>1993VT</v>
          </cell>
          <cell r="K199">
            <v>0.44991499742819341</v>
          </cell>
          <cell r="L199">
            <v>8.508042627873065E-2</v>
          </cell>
          <cell r="M199">
            <v>0.46500457629307596</v>
          </cell>
          <cell r="U199" t="str">
            <v>1993VT</v>
          </cell>
          <cell r="V199">
            <v>1</v>
          </cell>
          <cell r="W199">
            <v>0</v>
          </cell>
          <cell r="X199">
            <v>0</v>
          </cell>
          <cell r="Y199">
            <v>0</v>
          </cell>
          <cell r="Z199">
            <v>0</v>
          </cell>
          <cell r="AB199" t="str">
            <v>1993VT</v>
          </cell>
          <cell r="AC199">
            <v>6.6666666666666666E-2</v>
          </cell>
          <cell r="AD199">
            <v>0.06</v>
          </cell>
          <cell r="AE199">
            <v>1.6666667E-2</v>
          </cell>
          <cell r="AF199">
            <v>0.85666666700000005</v>
          </cell>
        </row>
        <row r="200">
          <cell r="B200" t="str">
            <v>1993VA</v>
          </cell>
          <cell r="C200">
            <v>3.0186119067537084E-2</v>
          </cell>
          <cell r="D200">
            <v>7.5984178425094251E-2</v>
          </cell>
          <cell r="E200">
            <v>0.14185075750001783</v>
          </cell>
          <cell r="F200">
            <v>0.12276669988426972</v>
          </cell>
          <cell r="G200">
            <v>0.61283001149728988</v>
          </cell>
          <cell r="H200">
            <v>1.6382233625791196E-2</v>
          </cell>
          <cell r="J200" t="str">
            <v>1993VA</v>
          </cell>
          <cell r="K200">
            <v>0.24531923100269226</v>
          </cell>
          <cell r="L200">
            <v>0.61283001149728988</v>
          </cell>
          <cell r="M200">
            <v>0.14185075750001783</v>
          </cell>
          <cell r="U200" t="str">
            <v>1993VA</v>
          </cell>
          <cell r="V200">
            <v>9.3360462000000005E-2</v>
          </cell>
          <cell r="W200">
            <v>3.5271856999999997E-2</v>
          </cell>
          <cell r="X200">
            <v>0.104363575</v>
          </cell>
          <cell r="Y200">
            <v>0.44673659300000002</v>
          </cell>
          <cell r="Z200">
            <v>0.320267513</v>
          </cell>
          <cell r="AB200" t="str">
            <v>1993VA</v>
          </cell>
          <cell r="AC200">
            <v>0.46666666666666673</v>
          </cell>
          <cell r="AD200">
            <v>0</v>
          </cell>
          <cell r="AE200">
            <v>1.6666667E-2</v>
          </cell>
          <cell r="AF200">
            <v>0.51666666699999997</v>
          </cell>
        </row>
        <row r="201">
          <cell r="B201" t="str">
            <v>1993WA</v>
          </cell>
          <cell r="C201">
            <v>0.36606204842899681</v>
          </cell>
          <cell r="D201">
            <v>0.20821801362390704</v>
          </cell>
          <cell r="E201">
            <v>0</v>
          </cell>
          <cell r="F201">
            <v>0.12301937528433278</v>
          </cell>
          <cell r="G201">
            <v>0.27888234226043401</v>
          </cell>
          <cell r="H201">
            <v>2.3818220402329386E-2</v>
          </cell>
          <cell r="J201" t="str">
            <v>1993WA</v>
          </cell>
          <cell r="K201">
            <v>0.72111765773956593</v>
          </cell>
          <cell r="L201">
            <v>0.27888234226043401</v>
          </cell>
          <cell r="M201">
            <v>0</v>
          </cell>
          <cell r="U201" t="str">
            <v>1993WA</v>
          </cell>
          <cell r="V201">
            <v>0.31706490999999998</v>
          </cell>
          <cell r="W201">
            <v>3.2951295999999998E-2</v>
          </cell>
          <cell r="X201">
            <v>0.18534608699999999</v>
          </cell>
          <cell r="Y201">
            <v>0.13442546499999999</v>
          </cell>
          <cell r="Z201">
            <v>0.33021224199999999</v>
          </cell>
          <cell r="AB201" t="str">
            <v>1993WA</v>
          </cell>
          <cell r="AC201">
            <v>0</v>
          </cell>
          <cell r="AD201">
            <v>6.6666666666666666E-2</v>
          </cell>
          <cell r="AE201">
            <v>0.04</v>
          </cell>
          <cell r="AF201">
            <v>0.89333333299999995</v>
          </cell>
        </row>
        <row r="202">
          <cell r="B202" t="str">
            <v>1993WV</v>
          </cell>
          <cell r="C202">
            <v>3.8559434394880431E-2</v>
          </cell>
          <cell r="D202">
            <v>0.11324229846036928</v>
          </cell>
          <cell r="E202">
            <v>0.46868708488528144</v>
          </cell>
          <cell r="F202">
            <v>0.26403594682097403</v>
          </cell>
          <cell r="G202">
            <v>8.8402226452109225E-2</v>
          </cell>
          <cell r="H202">
            <v>2.7073008986385601E-2</v>
          </cell>
          <cell r="J202" t="str">
            <v>1993WV</v>
          </cell>
          <cell r="K202">
            <v>0.4429106886626093</v>
          </cell>
          <cell r="L202">
            <v>8.8402226452109225E-2</v>
          </cell>
          <cell r="M202">
            <v>0.46868708488528144</v>
          </cell>
          <cell r="U202" t="str">
            <v>1993WV</v>
          </cell>
          <cell r="V202">
            <v>0.63514613900000005</v>
          </cell>
          <cell r="W202">
            <v>1.605357E-2</v>
          </cell>
          <cell r="X202">
            <v>0.10069966599999999</v>
          </cell>
          <cell r="Y202">
            <v>7.6984164999999993E-2</v>
          </cell>
          <cell r="Z202">
            <v>0.171116461</v>
          </cell>
          <cell r="AB202" t="str">
            <v>1993WV</v>
          </cell>
          <cell r="AC202">
            <v>0.66666666666666652</v>
          </cell>
          <cell r="AD202">
            <v>0</v>
          </cell>
          <cell r="AE202">
            <v>1.6666667E-2</v>
          </cell>
          <cell r="AF202">
            <v>0.31666666700000001</v>
          </cell>
        </row>
        <row r="203">
          <cell r="B203" t="str">
            <v>1993WI</v>
          </cell>
          <cell r="C203">
            <v>4.2936351450047552E-2</v>
          </cell>
          <cell r="D203">
            <v>0.13836379713363475</v>
          </cell>
          <cell r="E203">
            <v>0.21156576276399189</v>
          </cell>
          <cell r="F203">
            <v>0.44553916207125976</v>
          </cell>
          <cell r="G203">
            <v>0.12525535208415439</v>
          </cell>
          <cell r="H203">
            <v>3.6339574496911574E-2</v>
          </cell>
          <cell r="J203" t="str">
            <v>1993WI</v>
          </cell>
          <cell r="K203">
            <v>0.66317888515185375</v>
          </cell>
          <cell r="L203">
            <v>0.12525535208415439</v>
          </cell>
          <cell r="M203">
            <v>0.21156576276399189</v>
          </cell>
          <cell r="U203" t="str">
            <v>1993WI</v>
          </cell>
          <cell r="V203">
            <v>0.18308358499999999</v>
          </cell>
          <cell r="W203">
            <v>3.8280862999999998E-2</v>
          </cell>
          <cell r="X203">
            <v>0.222937678</v>
          </cell>
          <cell r="Y203">
            <v>0.16458089400000001</v>
          </cell>
          <cell r="Z203">
            <v>0.39111698</v>
          </cell>
          <cell r="AB203" t="str">
            <v>1993WI</v>
          </cell>
          <cell r="AC203">
            <v>0.26666666666666666</v>
          </cell>
          <cell r="AD203">
            <v>3.3333333333333333E-2</v>
          </cell>
          <cell r="AE203">
            <v>6.6666670000000003E-3</v>
          </cell>
          <cell r="AF203">
            <v>0.693333333</v>
          </cell>
        </row>
        <row r="204">
          <cell r="B204" t="str">
            <v>1993WY</v>
          </cell>
          <cell r="C204">
            <v>0.25179138546856111</v>
          </cell>
          <cell r="D204">
            <v>0.19734371983190141</v>
          </cell>
          <cell r="E204">
            <v>0.15967830947989223</v>
          </cell>
          <cell r="F204">
            <v>0.23366487060693258</v>
          </cell>
          <cell r="G204">
            <v>9.4535914567697374E-2</v>
          </cell>
          <cell r="H204">
            <v>6.2985800045015264E-2</v>
          </cell>
          <cell r="J204" t="str">
            <v>1993WY</v>
          </cell>
          <cell r="K204">
            <v>0.74578577595241047</v>
          </cell>
          <cell r="L204">
            <v>9.4535914567697374E-2</v>
          </cell>
          <cell r="M204">
            <v>0.15967830947989223</v>
          </cell>
          <cell r="U204" t="str">
            <v>1993WY</v>
          </cell>
          <cell r="V204">
            <v>0.331489794</v>
          </cell>
          <cell r="W204">
            <v>3.1585548999999997E-2</v>
          </cell>
          <cell r="X204">
            <v>0.18215679200000001</v>
          </cell>
          <cell r="Y204">
            <v>0.13381865400000001</v>
          </cell>
          <cell r="Z204">
            <v>0.32094921199999998</v>
          </cell>
          <cell r="AB204" t="str">
            <v>1993WY</v>
          </cell>
          <cell r="AC204">
            <v>0</v>
          </cell>
          <cell r="AD204">
            <v>5.333333333333333E-2</v>
          </cell>
          <cell r="AE204">
            <v>0.22666666699999999</v>
          </cell>
          <cell r="AF204">
            <v>0.72</v>
          </cell>
        </row>
        <row r="205">
          <cell r="B205" t="str">
            <v>1994AL</v>
          </cell>
          <cell r="C205">
            <v>9.9099349216790325E-2</v>
          </cell>
          <cell r="D205">
            <v>7.166221647326701E-2</v>
          </cell>
          <cell r="E205">
            <v>0.14622267237206843</v>
          </cell>
          <cell r="F205">
            <v>9.1696161993515768E-2</v>
          </cell>
          <cell r="G205">
            <v>0.58689453733444796</v>
          </cell>
          <cell r="H205">
            <v>4.4250626099104472E-3</v>
          </cell>
          <cell r="J205" t="str">
            <v>1994AL</v>
          </cell>
          <cell r="K205">
            <v>0.26688279029348361</v>
          </cell>
          <cell r="L205">
            <v>0.58689453733444796</v>
          </cell>
          <cell r="M205">
            <v>0.14622267237206843</v>
          </cell>
          <cell r="U205" t="str">
            <v>1994AL</v>
          </cell>
          <cell r="V205">
            <v>0.15153656400000001</v>
          </cell>
          <cell r="W205">
            <v>3.4297523000000003E-2</v>
          </cell>
          <cell r="X205">
            <v>0.13836077299999999</v>
          </cell>
          <cell r="Y205">
            <v>0.34681065999999999</v>
          </cell>
          <cell r="Z205">
            <v>0.32899448100000001</v>
          </cell>
          <cell r="AB205" t="str">
            <v>1994AL</v>
          </cell>
          <cell r="AC205">
            <v>0</v>
          </cell>
          <cell r="AD205">
            <v>5.5555555555555552E-2</v>
          </cell>
          <cell r="AE205">
            <v>0.63066666699999996</v>
          </cell>
          <cell r="AF205">
            <v>0.31377777800000001</v>
          </cell>
        </row>
        <row r="206">
          <cell r="B206" t="str">
            <v>1994AK</v>
          </cell>
          <cell r="C206">
            <v>9.9723135303636107E-2</v>
          </cell>
          <cell r="D206">
            <v>7.8204393013840023E-2</v>
          </cell>
          <cell r="E206">
            <v>0.44415374432677762</v>
          </cell>
          <cell r="F206">
            <v>9.0595704028874763E-2</v>
          </cell>
          <cell r="G206">
            <v>0.26295669440242059</v>
          </cell>
          <cell r="H206">
            <v>2.436632892445087E-2</v>
          </cell>
          <cell r="J206" t="str">
            <v>1994AK</v>
          </cell>
          <cell r="K206">
            <v>0.29288956127080179</v>
          </cell>
          <cell r="L206">
            <v>0.26295669440242059</v>
          </cell>
          <cell r="M206">
            <v>0.44415374432677762</v>
          </cell>
          <cell r="U206" t="str">
            <v>1994AK</v>
          </cell>
          <cell r="V206">
            <v>1</v>
          </cell>
          <cell r="W206">
            <v>0</v>
          </cell>
          <cell r="X206">
            <v>0</v>
          </cell>
          <cell r="Y206">
            <v>0</v>
          </cell>
          <cell r="Z206">
            <v>0</v>
          </cell>
          <cell r="AB206" t="str">
            <v>1994AK</v>
          </cell>
          <cell r="AC206">
            <v>5.5555555555555552E-2</v>
          </cell>
          <cell r="AD206">
            <v>6.6666666666666652E-2</v>
          </cell>
          <cell r="AE206">
            <v>0.19444444399999999</v>
          </cell>
          <cell r="AF206">
            <v>0.68333333299999999</v>
          </cell>
        </row>
        <row r="207">
          <cell r="B207" t="str">
            <v>1994AZ</v>
          </cell>
          <cell r="C207">
            <v>0.60008969911508958</v>
          </cell>
          <cell r="D207">
            <v>0.21094184804867303</v>
          </cell>
          <cell r="E207">
            <v>9.4460984397948602E-2</v>
          </cell>
          <cell r="F207">
            <v>9.3019829908640661E-2</v>
          </cell>
          <cell r="G207">
            <v>0</v>
          </cell>
          <cell r="H207">
            <v>1.4876385296481321E-3</v>
          </cell>
          <cell r="J207" t="str">
            <v>1994AZ</v>
          </cell>
          <cell r="K207">
            <v>0.90553901560205141</v>
          </cell>
          <cell r="L207">
            <v>0</v>
          </cell>
          <cell r="M207">
            <v>9.4460984397948602E-2</v>
          </cell>
          <cell r="U207" t="str">
            <v>1994AZ</v>
          </cell>
          <cell r="V207">
            <v>4.3224502999999997E-2</v>
          </cell>
          <cell r="W207">
            <v>3.6824107000000002E-2</v>
          </cell>
          <cell r="X207">
            <v>9.7561858000000001E-2</v>
          </cell>
          <cell r="Y207">
            <v>0.49345730100000001</v>
          </cell>
          <cell r="Z207">
            <v>0.32893223100000002</v>
          </cell>
          <cell r="AB207" t="str">
            <v>1994AZ</v>
          </cell>
          <cell r="AC207">
            <v>0</v>
          </cell>
          <cell r="AD207">
            <v>0</v>
          </cell>
          <cell r="AE207">
            <v>0.26666666700000002</v>
          </cell>
          <cell r="AF207">
            <v>0.73333333300000003</v>
          </cell>
        </row>
        <row r="208">
          <cell r="B208" t="str">
            <v>1994AR</v>
          </cell>
          <cell r="C208">
            <v>6.2264908204246669E-2</v>
          </cell>
          <cell r="D208">
            <v>4.9051887770267123E-2</v>
          </cell>
          <cell r="E208">
            <v>0.13912499999999997</v>
          </cell>
          <cell r="F208">
            <v>0.11467113505983519</v>
          </cell>
          <cell r="G208">
            <v>0.629</v>
          </cell>
          <cell r="H208">
            <v>5.8870689656510483E-3</v>
          </cell>
          <cell r="J208" t="str">
            <v>1994AR</v>
          </cell>
          <cell r="K208">
            <v>0.23187500000000005</v>
          </cell>
          <cell r="L208">
            <v>0.629</v>
          </cell>
          <cell r="M208">
            <v>0.13912499999999997</v>
          </cell>
          <cell r="U208" t="str">
            <v>1994AR</v>
          </cell>
          <cell r="V208">
            <v>4.0581199999999998E-2</v>
          </cell>
          <cell r="W208">
            <v>3.7287841000000002E-2</v>
          </cell>
          <cell r="X208">
            <v>0.10926021900000001</v>
          </cell>
          <cell r="Y208">
            <v>0.47480721399999998</v>
          </cell>
          <cell r="Z208">
            <v>0.33806352699999997</v>
          </cell>
          <cell r="AB208" t="str">
            <v>1994AR</v>
          </cell>
          <cell r="AC208">
            <v>0</v>
          </cell>
          <cell r="AD208">
            <v>0.33333333333333337</v>
          </cell>
          <cell r="AE208">
            <v>0.222222222</v>
          </cell>
          <cell r="AF208">
            <v>0.44444444399999999</v>
          </cell>
        </row>
        <row r="209">
          <cell r="B209" t="str">
            <v>1994CA</v>
          </cell>
          <cell r="C209">
            <v>0.55460638095835668</v>
          </cell>
          <cell r="D209">
            <v>0.22027408348856042</v>
          </cell>
          <cell r="E209">
            <v>0.11463678002777147</v>
          </cell>
          <cell r="F209">
            <v>9.0707260377367135E-2</v>
          </cell>
          <cell r="G209">
            <v>1.5988349997545004E-2</v>
          </cell>
          <cell r="H209">
            <v>3.7871451503992386E-3</v>
          </cell>
          <cell r="J209" t="str">
            <v>1994CA</v>
          </cell>
          <cell r="K209">
            <v>0.8693748699746835</v>
          </cell>
          <cell r="L209">
            <v>1.5988349997545004E-2</v>
          </cell>
          <cell r="M209">
            <v>0.11463678002777147</v>
          </cell>
          <cell r="U209" t="str">
            <v>1994CA</v>
          </cell>
          <cell r="V209">
            <v>0.113453524</v>
          </cell>
          <cell r="W209">
            <v>3.3746597000000003E-2</v>
          </cell>
          <cell r="X209">
            <v>7.8575392999999993E-2</v>
          </cell>
          <cell r="Y209">
            <v>0.477944225</v>
          </cell>
          <cell r="Z209">
            <v>0.29628026099999999</v>
          </cell>
          <cell r="AB209" t="str">
            <v>1994CA</v>
          </cell>
          <cell r="AC209">
            <v>0.25</v>
          </cell>
          <cell r="AD209">
            <v>1.6666666666666663E-2</v>
          </cell>
          <cell r="AE209">
            <v>9.2222222000000006E-2</v>
          </cell>
          <cell r="AF209">
            <v>0.64111111099999996</v>
          </cell>
        </row>
        <row r="210">
          <cell r="B210" t="str">
            <v>1994CO</v>
          </cell>
          <cell r="C210">
            <v>0.5168088546597388</v>
          </cell>
          <cell r="D210">
            <v>0.26875354371297761</v>
          </cell>
          <cell r="E210">
            <v>2.7900607497762776E-2</v>
          </cell>
          <cell r="F210">
            <v>0.14572620376011178</v>
          </cell>
          <cell r="G210">
            <v>1.6518270110615772E-2</v>
          </cell>
          <cell r="H210">
            <v>2.4292520258793391E-2</v>
          </cell>
          <cell r="J210" t="str">
            <v>1994CO</v>
          </cell>
          <cell r="K210">
            <v>0.95558112239162141</v>
          </cell>
          <cell r="L210">
            <v>1.6518270110615772E-2</v>
          </cell>
          <cell r="M210">
            <v>2.7900607497762776E-2</v>
          </cell>
          <cell r="U210" t="str">
            <v>1994CO</v>
          </cell>
          <cell r="V210">
            <v>5.9369966000000003E-2</v>
          </cell>
          <cell r="W210">
            <v>5.0764022999999998E-2</v>
          </cell>
          <cell r="X210">
            <v>0.24945623</v>
          </cell>
          <cell r="Y210">
            <v>0.1672186</v>
          </cell>
          <cell r="Z210">
            <v>0.47319118100000002</v>
          </cell>
          <cell r="AB210" t="str">
            <v>1994CO</v>
          </cell>
          <cell r="AC210">
            <v>0</v>
          </cell>
          <cell r="AD210">
            <v>4.4444444444444439E-2</v>
          </cell>
          <cell r="AE210">
            <v>0.28888888899999998</v>
          </cell>
          <cell r="AF210">
            <v>0.66666666699999999</v>
          </cell>
        </row>
        <row r="211">
          <cell r="B211" t="str">
            <v>1994CT</v>
          </cell>
          <cell r="C211">
            <v>8.0387767251629993E-2</v>
          </cell>
          <cell r="D211">
            <v>0.16866911474215507</v>
          </cell>
          <cell r="E211">
            <v>0.44226891150173153</v>
          </cell>
          <cell r="F211">
            <v>0.21583002502763551</v>
          </cell>
          <cell r="G211">
            <v>6.4571761232946126E-2</v>
          </cell>
          <cell r="H211">
            <v>2.8272420243901766E-2</v>
          </cell>
          <cell r="J211" t="str">
            <v>1994CT</v>
          </cell>
          <cell r="K211">
            <v>0.4931593272653223</v>
          </cell>
          <cell r="L211">
            <v>6.4571761232946126E-2</v>
          </cell>
          <cell r="M211">
            <v>0.44226891150173153</v>
          </cell>
          <cell r="U211" t="str">
            <v>1994CT</v>
          </cell>
          <cell r="V211">
            <v>0.84088275899999998</v>
          </cell>
          <cell r="W211">
            <v>7.0011589999999999E-3</v>
          </cell>
          <cell r="X211">
            <v>4.3916359000000002E-2</v>
          </cell>
          <cell r="Y211">
            <v>3.3573737999999999E-2</v>
          </cell>
          <cell r="Z211">
            <v>7.4625986000000005E-2</v>
          </cell>
          <cell r="AB211" t="str">
            <v>1994CT</v>
          </cell>
          <cell r="AC211">
            <v>0</v>
          </cell>
          <cell r="AD211">
            <v>0</v>
          </cell>
          <cell r="AE211">
            <v>2.2222222E-2</v>
          </cell>
          <cell r="AF211">
            <v>0.97777777799999999</v>
          </cell>
        </row>
        <row r="212">
          <cell r="B212" t="str">
            <v>1994DE</v>
          </cell>
          <cell r="C212">
            <v>5.9242529775906189E-2</v>
          </cell>
          <cell r="D212">
            <v>0.15677060878255644</v>
          </cell>
          <cell r="E212">
            <v>0.44568018168042717</v>
          </cell>
          <cell r="F212">
            <v>0.2380583941744859</v>
          </cell>
          <cell r="G212">
            <v>6.7648891289076113E-2</v>
          </cell>
          <cell r="H212">
            <v>3.2599394297548184E-2</v>
          </cell>
          <cell r="J212" t="str">
            <v>1994DE</v>
          </cell>
          <cell r="K212">
            <v>0.48667092703049675</v>
          </cell>
          <cell r="L212">
            <v>6.7648891289076113E-2</v>
          </cell>
          <cell r="M212">
            <v>0.44568018168042717</v>
          </cell>
          <cell r="U212" t="str">
            <v>1994DE</v>
          </cell>
          <cell r="V212">
            <v>0.101840555</v>
          </cell>
          <cell r="W212">
            <v>4.6641093000000002E-2</v>
          </cell>
          <cell r="X212">
            <v>0.240176423</v>
          </cell>
          <cell r="Y212">
            <v>0.16577138599999999</v>
          </cell>
          <cell r="Z212">
            <v>0.44557054299999999</v>
          </cell>
          <cell r="AB212" t="str">
            <v>1994DE</v>
          </cell>
          <cell r="AC212">
            <v>0</v>
          </cell>
          <cell r="AD212">
            <v>0</v>
          </cell>
          <cell r="AE212">
            <v>2.2222222E-2</v>
          </cell>
          <cell r="AF212">
            <v>0.97777777799999999</v>
          </cell>
        </row>
        <row r="213">
          <cell r="B213" t="str">
            <v>1994FL</v>
          </cell>
          <cell r="C213">
            <v>0.39484310163422209</v>
          </cell>
          <cell r="D213">
            <v>0.14742094219804014</v>
          </cell>
          <cell r="E213">
            <v>0.21717816174996191</v>
          </cell>
          <cell r="F213">
            <v>7.3680374615147787E-2</v>
          </cell>
          <cell r="G213">
            <v>0.16596587899371568</v>
          </cell>
          <cell r="H213">
            <v>9.1154080891243721E-4</v>
          </cell>
          <cell r="J213" t="str">
            <v>1994FL</v>
          </cell>
          <cell r="K213">
            <v>0.61685595925632242</v>
          </cell>
          <cell r="L213">
            <v>0.16596587899371568</v>
          </cell>
          <cell r="M213">
            <v>0.21717816174996191</v>
          </cell>
          <cell r="U213" t="str">
            <v>1994FL</v>
          </cell>
          <cell r="V213">
            <v>0.52018695299999995</v>
          </cell>
          <cell r="W213">
            <v>2.1111774E-2</v>
          </cell>
          <cell r="X213">
            <v>0.132428401</v>
          </cell>
          <cell r="Y213">
            <v>0.101240553</v>
          </cell>
          <cell r="Z213">
            <v>0.22503231900000001</v>
          </cell>
          <cell r="AB213" t="str">
            <v>1994FL</v>
          </cell>
          <cell r="AC213">
            <v>6.6666666666666652E-2</v>
          </cell>
          <cell r="AD213">
            <v>3.3333333333333326E-2</v>
          </cell>
          <cell r="AE213">
            <v>0.25288888900000001</v>
          </cell>
          <cell r="AF213">
            <v>0.64711111099999996</v>
          </cell>
        </row>
        <row r="214">
          <cell r="B214" t="str">
            <v>1994GA</v>
          </cell>
          <cell r="C214">
            <v>0.13513818985857465</v>
          </cell>
          <cell r="D214">
            <v>8.8189881555497271E-2</v>
          </cell>
          <cell r="E214">
            <v>0.15673061651985642</v>
          </cell>
          <cell r="F214">
            <v>9.124018360542753E-2</v>
          </cell>
          <cell r="G214">
            <v>0.52455834783272637</v>
          </cell>
          <cell r="H214">
            <v>4.1427806279176853E-3</v>
          </cell>
          <cell r="J214" t="str">
            <v>1994GA</v>
          </cell>
          <cell r="K214">
            <v>0.31871103564741721</v>
          </cell>
          <cell r="L214">
            <v>0.52455834783272637</v>
          </cell>
          <cell r="M214">
            <v>0.15673061651985642</v>
          </cell>
          <cell r="U214" t="str">
            <v>1994GA</v>
          </cell>
          <cell r="V214">
            <v>0.114379888</v>
          </cell>
          <cell r="W214">
            <v>3.5595393000000003E-2</v>
          </cell>
          <cell r="X214">
            <v>0.13797571</v>
          </cell>
          <cell r="Y214">
            <v>0.37328328900000002</v>
          </cell>
          <cell r="Z214">
            <v>0.33876571900000002</v>
          </cell>
          <cell r="AB214" t="str">
            <v>1994GA</v>
          </cell>
          <cell r="AC214">
            <v>0.35555555555555551</v>
          </cell>
          <cell r="AD214">
            <v>2.7777777777777776E-2</v>
          </cell>
          <cell r="AE214">
            <v>0.19177777800000001</v>
          </cell>
          <cell r="AF214">
            <v>0.42488888899999999</v>
          </cell>
        </row>
        <row r="215">
          <cell r="B215" t="str">
            <v>1994HI</v>
          </cell>
          <cell r="C215">
            <v>0.61787896283365218</v>
          </cell>
          <cell r="D215">
            <v>0.21103410447807638</v>
          </cell>
          <cell r="E215">
            <v>0</v>
          </cell>
          <cell r="F215">
            <v>0.11437501000430068</v>
          </cell>
          <cell r="G215">
            <v>4.9874646277726295E-2</v>
          </cell>
          <cell r="H215">
            <v>6.8372764062445586E-3</v>
          </cell>
          <cell r="J215" t="str">
            <v>1994HI</v>
          </cell>
          <cell r="K215">
            <v>0.95012535372227369</v>
          </cell>
          <cell r="L215">
            <v>4.9874646277726295E-2</v>
          </cell>
          <cell r="M215">
            <v>0</v>
          </cell>
          <cell r="U215" t="str">
            <v>1994HI</v>
          </cell>
          <cell r="V215">
            <v>0.35917479000000002</v>
          </cell>
          <cell r="W215">
            <v>2.8196308999999999E-2</v>
          </cell>
          <cell r="X215">
            <v>0.17686775800000001</v>
          </cell>
          <cell r="Y215">
            <v>0.13521411899999999</v>
          </cell>
          <cell r="Z215">
            <v>0.30054702300000002</v>
          </cell>
          <cell r="AB215" t="str">
            <v>1994HI</v>
          </cell>
          <cell r="AC215">
            <v>5.5555555555555552E-2</v>
          </cell>
          <cell r="AD215">
            <v>0</v>
          </cell>
          <cell r="AE215">
            <v>0.55555555599999995</v>
          </cell>
          <cell r="AF215">
            <v>0.38888888900000002</v>
          </cell>
        </row>
        <row r="216">
          <cell r="B216" t="str">
            <v>1994ID</v>
          </cell>
          <cell r="C216">
            <v>0.48817452393851613</v>
          </cell>
          <cell r="D216">
            <v>0.24316874941882111</v>
          </cell>
          <cell r="E216">
            <v>3.9111180739564079E-2</v>
          </cell>
          <cell r="F216">
            <v>0.17324607924523164</v>
          </cell>
          <cell r="G216">
            <v>2.3155375661731967E-2</v>
          </cell>
          <cell r="H216">
            <v>3.3144090996135023E-2</v>
          </cell>
          <cell r="J216" t="str">
            <v>1994ID</v>
          </cell>
          <cell r="K216">
            <v>0.93773344359870392</v>
          </cell>
          <cell r="L216">
            <v>2.3155375661731967E-2</v>
          </cell>
          <cell r="M216">
            <v>3.9111180739564079E-2</v>
          </cell>
          <cell r="U216" t="str">
            <v>1994ID</v>
          </cell>
          <cell r="V216">
            <v>0.33831388899999998</v>
          </cell>
          <cell r="W216">
            <v>3.1779824999999998E-2</v>
          </cell>
          <cell r="X216">
            <v>0.179737594</v>
          </cell>
          <cell r="Y216">
            <v>0.13073031700000001</v>
          </cell>
          <cell r="Z216">
            <v>0.319438375</v>
          </cell>
          <cell r="AB216" t="str">
            <v>1994ID</v>
          </cell>
          <cell r="AC216">
            <v>0</v>
          </cell>
          <cell r="AD216">
            <v>0.33333333333333337</v>
          </cell>
          <cell r="AE216">
            <v>0.26666666700000002</v>
          </cell>
          <cell r="AF216">
            <v>0.4</v>
          </cell>
        </row>
        <row r="217">
          <cell r="B217" t="str">
            <v>1994IL</v>
          </cell>
          <cell r="C217">
            <v>5.309227184143632E-2</v>
          </cell>
          <cell r="D217">
            <v>0.17321903666287625</v>
          </cell>
          <cell r="E217">
            <v>0.13837758764993796</v>
          </cell>
          <cell r="F217">
            <v>0.50571651294892583</v>
          </cell>
          <cell r="G217">
            <v>8.1925039454440865E-2</v>
          </cell>
          <cell r="H217">
            <v>4.7669551442382857E-2</v>
          </cell>
          <cell r="J217" t="str">
            <v>1994IL</v>
          </cell>
          <cell r="K217">
            <v>0.77969737289562113</v>
          </cell>
          <cell r="L217">
            <v>8.1925039454440865E-2</v>
          </cell>
          <cell r="M217">
            <v>0.13837758764993796</v>
          </cell>
          <cell r="U217" t="str">
            <v>1994IL</v>
          </cell>
          <cell r="V217">
            <v>6.5822086000000002E-2</v>
          </cell>
          <cell r="W217">
            <v>4.2626908999999998E-2</v>
          </cell>
          <cell r="X217">
            <v>0.26354465599999999</v>
          </cell>
          <cell r="Y217">
            <v>0.16398453900000001</v>
          </cell>
          <cell r="Z217">
            <v>0.46402180999999998</v>
          </cell>
          <cell r="AB217" t="str">
            <v>1994IL</v>
          </cell>
          <cell r="AC217">
            <v>0</v>
          </cell>
          <cell r="AD217">
            <v>0</v>
          </cell>
          <cell r="AE217">
            <v>6.4444444000000004E-2</v>
          </cell>
          <cell r="AF217">
            <v>0.93555555599999995</v>
          </cell>
        </row>
        <row r="218">
          <cell r="B218" t="str">
            <v>1994IN</v>
          </cell>
          <cell r="C218">
            <v>4.8809250653992678E-2</v>
          </cell>
          <cell r="D218">
            <v>0.15733534984038477</v>
          </cell>
          <cell r="E218">
            <v>0.1872612281726776</v>
          </cell>
          <cell r="F218">
            <v>0.45326019162518749</v>
          </cell>
          <cell r="G218">
            <v>0.11086610026143597</v>
          </cell>
          <cell r="H218">
            <v>4.2467879446321591E-2</v>
          </cell>
          <cell r="J218" t="str">
            <v>1994IN</v>
          </cell>
          <cell r="K218">
            <v>0.70187267156588651</v>
          </cell>
          <cell r="L218">
            <v>0.11086610026143597</v>
          </cell>
          <cell r="M218">
            <v>0.1872612281726776</v>
          </cell>
          <cell r="U218" t="str">
            <v>1994IN</v>
          </cell>
          <cell r="V218">
            <v>7.2098216000000007E-2</v>
          </cell>
          <cell r="W218">
            <v>4.2441740999999998E-2</v>
          </cell>
          <cell r="X218">
            <v>0.262153627</v>
          </cell>
          <cell r="Y218">
            <v>0.16068141599999999</v>
          </cell>
          <cell r="Z218">
            <v>0.46262500000000001</v>
          </cell>
          <cell r="AB218" t="str">
            <v>1994IN</v>
          </cell>
          <cell r="AC218">
            <v>0</v>
          </cell>
          <cell r="AD218">
            <v>2.7777777777777776E-2</v>
          </cell>
          <cell r="AE218">
            <v>0</v>
          </cell>
          <cell r="AF218">
            <v>0.97222222199999997</v>
          </cell>
        </row>
        <row r="219">
          <cell r="B219" t="str">
            <v>1994IA</v>
          </cell>
          <cell r="C219">
            <v>4.5703874505827226E-2</v>
          </cell>
          <cell r="D219">
            <v>0.14385548399660411</v>
          </cell>
          <cell r="E219">
            <v>0.19894602555707813</v>
          </cell>
          <cell r="F219">
            <v>0.45601297950042408</v>
          </cell>
          <cell r="G219">
            <v>0.11778396537956365</v>
          </cell>
          <cell r="H219">
            <v>3.7697671060502855E-2</v>
          </cell>
          <cell r="J219" t="str">
            <v>1994IA</v>
          </cell>
          <cell r="K219">
            <v>0.68327000906335822</v>
          </cell>
          <cell r="L219">
            <v>0.11778396537956365</v>
          </cell>
          <cell r="M219">
            <v>0.19894602555707813</v>
          </cell>
          <cell r="U219" t="str">
            <v>1994IA</v>
          </cell>
          <cell r="V219">
            <v>5.4436404000000001E-2</v>
          </cell>
          <cell r="W219">
            <v>3.9444060000000003E-2</v>
          </cell>
          <cell r="X219">
            <v>0.192757965</v>
          </cell>
          <cell r="Y219">
            <v>0.31897186599999999</v>
          </cell>
          <cell r="Z219">
            <v>0.39438970499999998</v>
          </cell>
          <cell r="AB219" t="str">
            <v>1994IA</v>
          </cell>
          <cell r="AC219">
            <v>2.222222222222222E-2</v>
          </cell>
          <cell r="AD219">
            <v>2.222222222222222E-2</v>
          </cell>
          <cell r="AE219">
            <v>1.1111111E-2</v>
          </cell>
          <cell r="AF219">
            <v>0.94444444400000005</v>
          </cell>
        </row>
        <row r="220">
          <cell r="B220" t="str">
            <v>1994KS</v>
          </cell>
          <cell r="C220">
            <v>5.7575070498223781E-2</v>
          </cell>
          <cell r="D220">
            <v>0.17878840453047254</v>
          </cell>
          <cell r="E220">
            <v>0.14775716224594432</v>
          </cell>
          <cell r="F220">
            <v>0.48259312269542248</v>
          </cell>
          <cell r="G220">
            <v>8.7478120931678463E-2</v>
          </cell>
          <cell r="H220">
            <v>4.5808119098258403E-2</v>
          </cell>
          <cell r="J220" t="str">
            <v>1994KS</v>
          </cell>
          <cell r="K220">
            <v>0.76476471682237723</v>
          </cell>
          <cell r="L220">
            <v>8.7478120931678463E-2</v>
          </cell>
          <cell r="M220">
            <v>0.14775716224594432</v>
          </cell>
          <cell r="U220" t="str">
            <v>1994KS</v>
          </cell>
          <cell r="V220">
            <v>0.10828141400000001</v>
          </cell>
          <cell r="W220">
            <v>4.1097905999999997E-2</v>
          </cell>
          <cell r="X220">
            <v>0.25309791199999998</v>
          </cell>
          <cell r="Y220">
            <v>0.147647845</v>
          </cell>
          <cell r="Z220">
            <v>0.44987492299999998</v>
          </cell>
          <cell r="AB220" t="str">
            <v>1994KS</v>
          </cell>
          <cell r="AC220">
            <v>0</v>
          </cell>
          <cell r="AD220">
            <v>0</v>
          </cell>
          <cell r="AE220">
            <v>8.8888890000000005E-3</v>
          </cell>
          <cell r="AF220">
            <v>0.99111111100000004</v>
          </cell>
        </row>
        <row r="221">
          <cell r="B221" t="str">
            <v>1994KY</v>
          </cell>
          <cell r="C221">
            <v>1.5292361172702522E-2</v>
          </cell>
          <cell r="D221">
            <v>5.0157596622128729E-2</v>
          </cell>
          <cell r="E221">
            <v>0.13992977620923319</v>
          </cell>
          <cell r="F221">
            <v>0.15582974208706443</v>
          </cell>
          <cell r="G221">
            <v>0.6242258328004342</v>
          </cell>
          <cell r="H221">
            <v>1.4564691108436889E-2</v>
          </cell>
          <cell r="J221" t="str">
            <v>1994KY</v>
          </cell>
          <cell r="K221">
            <v>0.23584439099033261</v>
          </cell>
          <cell r="L221">
            <v>0.6242258328004342</v>
          </cell>
          <cell r="M221">
            <v>0.13992977620923319</v>
          </cell>
          <cell r="U221" t="str">
            <v>1994KY</v>
          </cell>
          <cell r="V221">
            <v>0.13820659399999999</v>
          </cell>
          <cell r="W221">
            <v>3.5305378999999998E-2</v>
          </cell>
          <cell r="X221">
            <v>0.155342062</v>
          </cell>
          <cell r="Y221">
            <v>0.32632935499999999</v>
          </cell>
          <cell r="Z221">
            <v>0.34481661000000002</v>
          </cell>
          <cell r="AB221" t="str">
            <v>1994KY</v>
          </cell>
          <cell r="AC221">
            <v>1.6666666666666663E-2</v>
          </cell>
          <cell r="AD221">
            <v>0.18333333333333329</v>
          </cell>
          <cell r="AE221">
            <v>0.36111111099999998</v>
          </cell>
          <cell r="AF221">
            <v>0.438888889</v>
          </cell>
        </row>
        <row r="222">
          <cell r="B222" t="str">
            <v>1994LA</v>
          </cell>
          <cell r="C222">
            <v>7.8276244972431547E-2</v>
          </cell>
          <cell r="D222">
            <v>5.9039859330464455E-2</v>
          </cell>
          <cell r="E222">
            <v>0.1422647057137397</v>
          </cell>
          <cell r="F222">
            <v>0.10478662239977271</v>
          </cell>
          <cell r="G222">
            <v>0.61037434995859607</v>
          </cell>
          <cell r="H222">
            <v>5.2582176249955006E-3</v>
          </cell>
          <cell r="J222" t="str">
            <v>1994LA</v>
          </cell>
          <cell r="K222">
            <v>0.2473609443276642</v>
          </cell>
          <cell r="L222">
            <v>0.61037434995859607</v>
          </cell>
          <cell r="M222">
            <v>0.1422647057137397</v>
          </cell>
          <cell r="U222" t="str">
            <v>1994LA</v>
          </cell>
          <cell r="V222">
            <v>0.43458602699999999</v>
          </cell>
          <cell r="W222">
            <v>2.3623107000000001E-2</v>
          </cell>
          <cell r="X222">
            <v>0.116428701</v>
          </cell>
          <cell r="Y222">
            <v>0.188691895</v>
          </cell>
          <cell r="Z222">
            <v>0.23667026999999999</v>
          </cell>
          <cell r="AB222" t="str">
            <v>1994LA</v>
          </cell>
          <cell r="AC222">
            <v>2.7777777777777776E-2</v>
          </cell>
          <cell r="AD222">
            <v>0</v>
          </cell>
          <cell r="AE222">
            <v>0.79444444400000003</v>
          </cell>
          <cell r="AF222">
            <v>0.177777778</v>
          </cell>
        </row>
        <row r="223">
          <cell r="B223" t="str">
            <v>1994ME</v>
          </cell>
          <cell r="C223">
            <v>3.8844722819473806E-2</v>
          </cell>
          <cell r="D223">
            <v>0.11265498575252898</v>
          </cell>
          <cell r="E223">
            <v>0.47021173461367949</v>
          </cell>
          <cell r="F223">
            <v>0.2625196791533646</v>
          </cell>
          <cell r="G223">
            <v>8.9777533964725556E-2</v>
          </cell>
          <cell r="H223">
            <v>2.5991343696227624E-2</v>
          </cell>
          <cell r="J223" t="str">
            <v>1994ME</v>
          </cell>
          <cell r="K223">
            <v>0.44001073142159497</v>
          </cell>
          <cell r="L223">
            <v>8.9777533964725556E-2</v>
          </cell>
          <cell r="M223">
            <v>0.47021173461367949</v>
          </cell>
          <cell r="U223" t="str">
            <v>1994ME</v>
          </cell>
          <cell r="V223">
            <v>1</v>
          </cell>
          <cell r="W223">
            <v>0</v>
          </cell>
          <cell r="X223">
            <v>0</v>
          </cell>
          <cell r="Y223">
            <v>0</v>
          </cell>
          <cell r="Z223">
            <v>0</v>
          </cell>
          <cell r="AB223" t="str">
            <v>1994ME</v>
          </cell>
          <cell r="AC223">
            <v>5.5555555555555552E-2</v>
          </cell>
          <cell r="AD223">
            <v>0.05</v>
          </cell>
          <cell r="AE223">
            <v>2.2222222E-2</v>
          </cell>
          <cell r="AF223">
            <v>0.87222222199999999</v>
          </cell>
        </row>
        <row r="224">
          <cell r="B224" t="str">
            <v>1994MD</v>
          </cell>
          <cell r="C224">
            <v>4.687230527955899E-2</v>
          </cell>
          <cell r="D224">
            <v>0.12688199247782586</v>
          </cell>
          <cell r="E224">
            <v>0.45791439303616033</v>
          </cell>
          <cell r="F224">
            <v>0.25876708546188804</v>
          </cell>
          <cell r="G224">
            <v>7.8684739376068777E-2</v>
          </cell>
          <cell r="H224">
            <v>3.087948436849805E-2</v>
          </cell>
          <cell r="J224" t="str">
            <v>1994MD</v>
          </cell>
          <cell r="K224">
            <v>0.46340086758777088</v>
          </cell>
          <cell r="L224">
            <v>7.8684739376068777E-2</v>
          </cell>
          <cell r="M224">
            <v>0.45791439303616033</v>
          </cell>
          <cell r="U224" t="str">
            <v>1994MD</v>
          </cell>
          <cell r="V224">
            <v>0.17729884600000001</v>
          </cell>
          <cell r="W224">
            <v>4.0476154E-2</v>
          </cell>
          <cell r="X224">
            <v>0.222431773</v>
          </cell>
          <cell r="Y224">
            <v>0.159332266</v>
          </cell>
          <cell r="Z224">
            <v>0.400460961</v>
          </cell>
          <cell r="AB224" t="str">
            <v>1994MD</v>
          </cell>
          <cell r="AC224">
            <v>0</v>
          </cell>
          <cell r="AD224">
            <v>0</v>
          </cell>
          <cell r="AE224">
            <v>2.2222222E-2</v>
          </cell>
          <cell r="AF224">
            <v>0.97777777799999999</v>
          </cell>
        </row>
        <row r="225">
          <cell r="B225" t="str">
            <v>1994MA</v>
          </cell>
          <cell r="C225">
            <v>4.4852671803156809E-2</v>
          </cell>
          <cell r="D225">
            <v>0.12604319167086861</v>
          </cell>
          <cell r="E225">
            <v>0.46206832819155946</v>
          </cell>
          <cell r="F225">
            <v>0.25631351868406022</v>
          </cell>
          <cell r="G225">
            <v>8.2431789022772789E-2</v>
          </cell>
          <cell r="H225">
            <v>2.8290500627582187E-2</v>
          </cell>
          <cell r="J225" t="str">
            <v>1994MA</v>
          </cell>
          <cell r="K225">
            <v>0.45549988278566778</v>
          </cell>
          <cell r="L225">
            <v>8.2431789022772789E-2</v>
          </cell>
          <cell r="M225">
            <v>0.46206832819155946</v>
          </cell>
          <cell r="U225" t="str">
            <v>1994MA</v>
          </cell>
          <cell r="V225">
            <v>0.40465932399999999</v>
          </cell>
          <cell r="W225">
            <v>2.6194990000000001E-2</v>
          </cell>
          <cell r="X225">
            <v>0.164314027</v>
          </cell>
          <cell r="Y225">
            <v>0.12561688300000001</v>
          </cell>
          <cell r="Z225">
            <v>0.27921477700000003</v>
          </cell>
          <cell r="AB225" t="str">
            <v>1994MA</v>
          </cell>
          <cell r="AC225">
            <v>5.5555555555555552E-2</v>
          </cell>
          <cell r="AD225">
            <v>0.05</v>
          </cell>
          <cell r="AE225">
            <v>2.2222222E-2</v>
          </cell>
          <cell r="AF225">
            <v>0.87222222199999999</v>
          </cell>
        </row>
        <row r="226">
          <cell r="B226" t="str">
            <v>1994MI</v>
          </cell>
          <cell r="C226">
            <v>9.0417372553115785E-2</v>
          </cell>
          <cell r="D226">
            <v>0.23127974263108902</v>
          </cell>
          <cell r="E226">
            <v>0.11780361709458032</v>
          </cell>
          <cell r="F226">
            <v>0.44002300762665791</v>
          </cell>
          <cell r="G226">
            <v>6.9744430021169423E-2</v>
          </cell>
          <cell r="H226">
            <v>5.0731830073387531E-2</v>
          </cell>
          <cell r="J226" t="str">
            <v>1994MI</v>
          </cell>
          <cell r="K226">
            <v>0.81245195288425021</v>
          </cell>
          <cell r="L226">
            <v>6.9744430021169423E-2</v>
          </cell>
          <cell r="M226">
            <v>0.11780361709458032</v>
          </cell>
          <cell r="U226" t="str">
            <v>1994MI</v>
          </cell>
          <cell r="V226">
            <v>9.4755440999999996E-2</v>
          </cell>
          <cell r="W226">
            <v>4.5492839E-2</v>
          </cell>
          <cell r="X226">
            <v>0.24371358000000001</v>
          </cell>
          <cell r="Y226">
            <v>0.17213300600000001</v>
          </cell>
          <cell r="Z226">
            <v>0.44390513399999998</v>
          </cell>
          <cell r="AB226" t="str">
            <v>1994MI</v>
          </cell>
          <cell r="AC226">
            <v>0.05</v>
          </cell>
          <cell r="AD226">
            <v>1.6666666666666663E-2</v>
          </cell>
          <cell r="AE226">
            <v>2.5555556E-2</v>
          </cell>
          <cell r="AF226">
            <v>0.90777777800000004</v>
          </cell>
        </row>
        <row r="227">
          <cell r="B227" t="str">
            <v>1994MN</v>
          </cell>
          <cell r="C227">
            <v>3.9776865931543108E-2</v>
          </cell>
          <cell r="D227">
            <v>0.12947340087493223</v>
          </cell>
          <cell r="E227">
            <v>0.23249551901370769</v>
          </cell>
          <cell r="F227">
            <v>0.42625788288832733</v>
          </cell>
          <cell r="G227">
            <v>0.13764660080911051</v>
          </cell>
          <cell r="H227">
            <v>3.4349730482379104E-2</v>
          </cell>
          <cell r="J227" t="str">
            <v>1994MN</v>
          </cell>
          <cell r="K227">
            <v>0.62985788017718181</v>
          </cell>
          <cell r="L227">
            <v>0.13764660080911051</v>
          </cell>
          <cell r="M227">
            <v>0.23249551901370769</v>
          </cell>
          <cell r="U227" t="str">
            <v>1994MN</v>
          </cell>
          <cell r="V227">
            <v>6.9327767999999998E-2</v>
          </cell>
          <cell r="W227">
            <v>4.5175867000000001E-2</v>
          </cell>
          <cell r="X227">
            <v>0.25228705600000001</v>
          </cell>
          <cell r="Y227">
            <v>0.18228421</v>
          </cell>
          <cell r="Z227">
            <v>0.45092509800000002</v>
          </cell>
          <cell r="AB227" t="str">
            <v>1994MN</v>
          </cell>
          <cell r="AC227">
            <v>0</v>
          </cell>
          <cell r="AD227">
            <v>0.13888888888888884</v>
          </cell>
          <cell r="AE227">
            <v>0</v>
          </cell>
          <cell r="AF227">
            <v>0.86111111100000004</v>
          </cell>
        </row>
        <row r="228">
          <cell r="B228" t="str">
            <v>1994MS</v>
          </cell>
          <cell r="C228">
            <v>7.2597776074799517E-2</v>
          </cell>
          <cell r="D228">
            <v>5.7519617036027038E-2</v>
          </cell>
          <cell r="E228">
            <v>0.13912499999999997</v>
          </cell>
          <cell r="F228">
            <v>9.6877712770110619E-2</v>
          </cell>
          <cell r="G228">
            <v>0.629</v>
          </cell>
          <cell r="H228">
            <v>4.8798941190628647E-3</v>
          </cell>
          <cell r="J228" t="str">
            <v>1994MS</v>
          </cell>
          <cell r="K228">
            <v>0.23187500000000005</v>
          </cell>
          <cell r="L228">
            <v>0.629</v>
          </cell>
          <cell r="M228">
            <v>0.13912499999999997</v>
          </cell>
          <cell r="U228" t="str">
            <v>1994MS</v>
          </cell>
          <cell r="V228">
            <v>0.112891782</v>
          </cell>
          <cell r="W228">
            <v>3.5104864999999999E-2</v>
          </cell>
          <cell r="X228">
            <v>0.120832572</v>
          </cell>
          <cell r="Y228">
            <v>0.40433638399999999</v>
          </cell>
          <cell r="Z228">
            <v>0.326834397</v>
          </cell>
          <cell r="AB228" t="str">
            <v>1994MS</v>
          </cell>
          <cell r="AC228">
            <v>5.5555555555555552E-2</v>
          </cell>
          <cell r="AD228">
            <v>2.7777777777777776E-2</v>
          </cell>
          <cell r="AE228">
            <v>0.73888888900000005</v>
          </cell>
          <cell r="AF228">
            <v>0.177777778</v>
          </cell>
        </row>
        <row r="229">
          <cell r="B229" t="str">
            <v>1994MO</v>
          </cell>
          <cell r="C229">
            <v>4.9108384273021603E-2</v>
          </cell>
          <cell r="D229">
            <v>0.16072924429955179</v>
          </cell>
          <cell r="E229">
            <v>0.16629051672798556</v>
          </cell>
          <cell r="F229">
            <v>0.47944489647798977</v>
          </cell>
          <cell r="G229">
            <v>9.845060443099643E-2</v>
          </cell>
          <cell r="H229">
            <v>4.5976353790454803E-2</v>
          </cell>
          <cell r="J229" t="str">
            <v>1994MO</v>
          </cell>
          <cell r="K229">
            <v>0.73525887884101804</v>
          </cell>
          <cell r="L229">
            <v>9.845060443099643E-2</v>
          </cell>
          <cell r="M229">
            <v>0.16629051672798556</v>
          </cell>
          <cell r="U229" t="str">
            <v>1994MO</v>
          </cell>
          <cell r="V229">
            <v>0.11122454599999999</v>
          </cell>
          <cell r="W229">
            <v>4.0723389999999998E-2</v>
          </cell>
          <cell r="X229">
            <v>0.25136678699999998</v>
          </cell>
          <cell r="Y229">
            <v>0.15235600299999999</v>
          </cell>
          <cell r="Z229">
            <v>0.444329274</v>
          </cell>
          <cell r="AB229" t="str">
            <v>1994MO</v>
          </cell>
          <cell r="AC229">
            <v>0</v>
          </cell>
          <cell r="AD229">
            <v>0.1111111111111111</v>
          </cell>
          <cell r="AE229">
            <v>0</v>
          </cell>
          <cell r="AF229">
            <v>0.88888888899999996</v>
          </cell>
        </row>
        <row r="230">
          <cell r="B230" t="str">
            <v>1994MT</v>
          </cell>
          <cell r="C230">
            <v>0.28267889991120904</v>
          </cell>
          <cell r="D230">
            <v>0.22048554328546552</v>
          </cell>
          <cell r="E230">
            <v>6.5669707160881274E-2</v>
          </cell>
          <cell r="F230">
            <v>0.30799279247178007</v>
          </cell>
          <cell r="G230">
            <v>3.8879080358929716E-2</v>
          </cell>
          <cell r="H230">
            <v>8.4293976811734353E-2</v>
          </cell>
          <cell r="J230" t="str">
            <v>1994MT</v>
          </cell>
          <cell r="K230">
            <v>0.895451212480189</v>
          </cell>
          <cell r="L230">
            <v>3.8879080358929716E-2</v>
          </cell>
          <cell r="M230">
            <v>6.5669707160881274E-2</v>
          </cell>
          <cell r="U230" t="str">
            <v>1994MT</v>
          </cell>
          <cell r="V230">
            <v>0.13714974399999999</v>
          </cell>
          <cell r="W230">
            <v>4.4886401999999999E-2</v>
          </cell>
          <cell r="X230">
            <v>0.23064893</v>
          </cell>
          <cell r="Y230">
            <v>0.15899143399999999</v>
          </cell>
          <cell r="Z230">
            <v>0.42832348999999997</v>
          </cell>
          <cell r="AB230" t="str">
            <v>1994MT</v>
          </cell>
          <cell r="AC230">
            <v>0</v>
          </cell>
          <cell r="AD230">
            <v>4.4444444444444439E-2</v>
          </cell>
          <cell r="AE230">
            <v>0.28888888899999998</v>
          </cell>
          <cell r="AF230">
            <v>0.66666666699999999</v>
          </cell>
        </row>
        <row r="231">
          <cell r="B231" t="str">
            <v>1994NE</v>
          </cell>
          <cell r="C231">
            <v>5.1072524986370077E-2</v>
          </cell>
          <cell r="D231">
            <v>0.16847694246430905</v>
          </cell>
          <cell r="E231">
            <v>0.16363571583028955</v>
          </cell>
          <cell r="F231">
            <v>0.47140766512520649</v>
          </cell>
          <cell r="G231">
            <v>9.6878856635843044E-2</v>
          </cell>
          <cell r="H231">
            <v>4.8528294957981735E-2</v>
          </cell>
          <cell r="J231" t="str">
            <v>1994NE</v>
          </cell>
          <cell r="K231">
            <v>0.73948542753386737</v>
          </cell>
          <cell r="L231">
            <v>9.6878856635843044E-2</v>
          </cell>
          <cell r="M231">
            <v>0.16363571583028955</v>
          </cell>
          <cell r="U231" t="str">
            <v>1994NE</v>
          </cell>
          <cell r="V231">
            <v>8.3674017000000003E-2</v>
          </cell>
          <cell r="W231">
            <v>4.1714840000000003E-2</v>
          </cell>
          <cell r="X231">
            <v>0.25814283399999999</v>
          </cell>
          <cell r="Y231">
            <v>0.16297097999999999</v>
          </cell>
          <cell r="Z231">
            <v>0.453497329</v>
          </cell>
          <cell r="AB231" t="str">
            <v>1994NE</v>
          </cell>
          <cell r="AC231">
            <v>0</v>
          </cell>
          <cell r="AD231">
            <v>0</v>
          </cell>
          <cell r="AE231">
            <v>8.8888890000000005E-3</v>
          </cell>
          <cell r="AF231">
            <v>0.99111111100000004</v>
          </cell>
        </row>
        <row r="232">
          <cell r="B232" t="str">
            <v>1994NV</v>
          </cell>
          <cell r="C232">
            <v>0.60299660451931369</v>
          </cell>
          <cell r="D232">
            <v>0.2407197884650899</v>
          </cell>
          <cell r="E232">
            <v>2.229479360057525E-2</v>
          </cell>
          <cell r="F232">
            <v>0.11248681058013311</v>
          </cell>
          <cell r="G232">
            <v>1.3199405166509724E-2</v>
          </cell>
          <cell r="H232">
            <v>8.3025976683783372E-3</v>
          </cell>
          <cell r="J232" t="str">
            <v>1994NV</v>
          </cell>
          <cell r="K232">
            <v>0.96450580123291507</v>
          </cell>
          <cell r="L232">
            <v>1.3199405166509724E-2</v>
          </cell>
          <cell r="M232">
            <v>2.229479360057525E-2</v>
          </cell>
          <cell r="U232" t="str">
            <v>1994NV</v>
          </cell>
          <cell r="V232">
            <v>1</v>
          </cell>
          <cell r="W232">
            <v>0</v>
          </cell>
          <cell r="X232">
            <v>0</v>
          </cell>
          <cell r="Y232">
            <v>0</v>
          </cell>
          <cell r="Z232">
            <v>0</v>
          </cell>
          <cell r="AB232" t="str">
            <v>1994NV</v>
          </cell>
          <cell r="AC232">
            <v>0.13888888888888884</v>
          </cell>
          <cell r="AD232">
            <v>0</v>
          </cell>
          <cell r="AE232">
            <v>0</v>
          </cell>
          <cell r="AF232">
            <v>0.86111111100000004</v>
          </cell>
        </row>
        <row r="233">
          <cell r="B233" t="str">
            <v>1994NH</v>
          </cell>
          <cell r="C233">
            <v>4.7817391804278006E-2</v>
          </cell>
          <cell r="D233">
            <v>0.13245942141388184</v>
          </cell>
          <cell r="E233">
            <v>0.45844807326074644</v>
          </cell>
          <cell r="F233">
            <v>0.25285886868618473</v>
          </cell>
          <cell r="G233">
            <v>7.9166144651350689E-2</v>
          </cell>
          <cell r="H233">
            <v>2.9250100183558225E-2</v>
          </cell>
          <cell r="J233" t="str">
            <v>1994NH</v>
          </cell>
          <cell r="K233">
            <v>0.46238578208790293</v>
          </cell>
          <cell r="L233">
            <v>7.9166144651350689E-2</v>
          </cell>
          <cell r="M233">
            <v>0.45844807326074644</v>
          </cell>
          <cell r="U233" t="str">
            <v>1994NH</v>
          </cell>
          <cell r="V233">
            <v>0.85197198699999999</v>
          </cell>
          <cell r="W233">
            <v>6.5132330000000002E-3</v>
          </cell>
          <cell r="X233">
            <v>4.0855731999999999E-2</v>
          </cell>
          <cell r="Y233">
            <v>3.1233911E-2</v>
          </cell>
          <cell r="Z233">
            <v>6.9425137999999997E-2</v>
          </cell>
          <cell r="AB233" t="str">
            <v>1994NH</v>
          </cell>
          <cell r="AC233">
            <v>0</v>
          </cell>
          <cell r="AD233">
            <v>0</v>
          </cell>
          <cell r="AE233">
            <v>2.2222222E-2</v>
          </cell>
          <cell r="AF233">
            <v>0.97777777799999999</v>
          </cell>
        </row>
        <row r="234">
          <cell r="B234" t="str">
            <v>1994NJ</v>
          </cell>
          <cell r="C234">
            <v>4.2249109363661642E-2</v>
          </cell>
          <cell r="D234">
            <v>0.12193075640546447</v>
          </cell>
          <cell r="E234">
            <v>0.46304092136824898</v>
          </cell>
          <cell r="F234">
            <v>0.26052238585416171</v>
          </cell>
          <cell r="G234">
            <v>8.3309114927671526E-2</v>
          </cell>
          <cell r="H234">
            <v>2.8947712080791679E-2</v>
          </cell>
          <cell r="J234" t="str">
            <v>1994NJ</v>
          </cell>
          <cell r="K234">
            <v>0.45364996370407951</v>
          </cell>
          <cell r="L234">
            <v>8.3309114927671526E-2</v>
          </cell>
          <cell r="M234">
            <v>0.46304092136824898</v>
          </cell>
          <cell r="U234" t="str">
            <v>1994NJ</v>
          </cell>
          <cell r="V234">
            <v>0.48703707099999999</v>
          </cell>
          <cell r="W234">
            <v>2.2570369E-2</v>
          </cell>
          <cell r="X234">
            <v>0.14157776799999999</v>
          </cell>
          <cell r="Y234">
            <v>0.108235178</v>
          </cell>
          <cell r="Z234">
            <v>0.240579614</v>
          </cell>
          <cell r="AB234" t="str">
            <v>1994NJ</v>
          </cell>
          <cell r="AC234">
            <v>5.5555555555555552E-2</v>
          </cell>
          <cell r="AD234">
            <v>0.05</v>
          </cell>
          <cell r="AE234">
            <v>2.2222222E-2</v>
          </cell>
          <cell r="AF234">
            <v>0.87222222199999999</v>
          </cell>
        </row>
        <row r="235">
          <cell r="B235" t="str">
            <v>1994NM</v>
          </cell>
          <cell r="C235">
            <v>0.59902642582401044</v>
          </cell>
          <cell r="D235">
            <v>0.20533766022440381</v>
          </cell>
          <cell r="E235">
            <v>9.52685611675613E-2</v>
          </cell>
          <cell r="F235">
            <v>9.7656233504239631E-2</v>
          </cell>
          <cell r="G235">
            <v>0</v>
          </cell>
          <cell r="H235">
            <v>2.7111192797848105E-3</v>
          </cell>
          <cell r="J235" t="str">
            <v>1994NM</v>
          </cell>
          <cell r="K235">
            <v>0.90473143883243867</v>
          </cell>
          <cell r="L235">
            <v>0</v>
          </cell>
          <cell r="M235">
            <v>9.52685611675613E-2</v>
          </cell>
          <cell r="U235" t="str">
            <v>1994NM</v>
          </cell>
          <cell r="V235">
            <v>1</v>
          </cell>
          <cell r="W235">
            <v>0</v>
          </cell>
          <cell r="X235">
            <v>0</v>
          </cell>
          <cell r="Y235">
            <v>0</v>
          </cell>
          <cell r="Z235">
            <v>0</v>
          </cell>
          <cell r="AB235" t="str">
            <v>1994NM</v>
          </cell>
          <cell r="AC235">
            <v>0.13888888888888884</v>
          </cell>
          <cell r="AD235">
            <v>5.5555555555555552E-2</v>
          </cell>
          <cell r="AE235">
            <v>0.37777777800000001</v>
          </cell>
          <cell r="AF235">
            <v>0.427777778</v>
          </cell>
        </row>
        <row r="236">
          <cell r="B236" t="str">
            <v>1994NY</v>
          </cell>
          <cell r="C236">
            <v>5.9135877293440137E-2</v>
          </cell>
          <cell r="D236">
            <v>0.13045061572482697</v>
          </cell>
          <cell r="E236">
            <v>0.46150303732279196</v>
          </cell>
          <cell r="F236">
            <v>0.24238966305947007</v>
          </cell>
          <cell r="G236">
            <v>8.1921869423438889E-2</v>
          </cell>
          <cell r="H236">
            <v>2.4598937176032017E-2</v>
          </cell>
          <cell r="J236" t="str">
            <v>1994NY</v>
          </cell>
          <cell r="K236">
            <v>0.4565750932537691</v>
          </cell>
          <cell r="L236">
            <v>8.1921869423438889E-2</v>
          </cell>
          <cell r="M236">
            <v>0.46150303732279196</v>
          </cell>
          <cell r="U236" t="str">
            <v>1994NY</v>
          </cell>
          <cell r="V236">
            <v>0.36965716799999998</v>
          </cell>
          <cell r="W236">
            <v>2.9802335999999999E-2</v>
          </cell>
          <cell r="X236">
            <v>0.1717351</v>
          </cell>
          <cell r="Y236">
            <v>0.12611150099999999</v>
          </cell>
          <cell r="Z236">
            <v>0.30269389600000002</v>
          </cell>
          <cell r="AB236" t="str">
            <v>1994NY</v>
          </cell>
          <cell r="AC236">
            <v>5.5555555555555552E-2</v>
          </cell>
          <cell r="AD236">
            <v>0.16666666666666669</v>
          </cell>
          <cell r="AE236">
            <v>2.2222222E-2</v>
          </cell>
          <cell r="AF236">
            <v>0.75555555600000002</v>
          </cell>
        </row>
        <row r="237">
          <cell r="B237" t="str">
            <v>1994NC</v>
          </cell>
          <cell r="C237">
            <v>3.1542031735744512E-2</v>
          </cell>
          <cell r="D237">
            <v>8.0681507119252829E-2</v>
          </cell>
          <cell r="E237">
            <v>0.13912499999999997</v>
          </cell>
          <cell r="F237">
            <v>0.10397610448423111</v>
          </cell>
          <cell r="G237">
            <v>0.629</v>
          </cell>
          <cell r="H237">
            <v>1.5675356660771557E-2</v>
          </cell>
          <cell r="J237" t="str">
            <v>1994NC</v>
          </cell>
          <cell r="K237">
            <v>0.23187500000000005</v>
          </cell>
          <cell r="L237">
            <v>0.629</v>
          </cell>
          <cell r="M237">
            <v>0.13912499999999997</v>
          </cell>
          <cell r="U237" t="str">
            <v>1994NC</v>
          </cell>
          <cell r="V237">
            <v>1.2762015999999999E-2</v>
          </cell>
          <cell r="W237">
            <v>3.722081E-2</v>
          </cell>
          <cell r="X237">
            <v>7.6177222000000003E-2</v>
          </cell>
          <cell r="Y237">
            <v>0.552055081</v>
          </cell>
          <cell r="Z237">
            <v>0.32178487099999997</v>
          </cell>
          <cell r="AB237" t="str">
            <v>1994NC</v>
          </cell>
          <cell r="AC237">
            <v>0.27777777777777768</v>
          </cell>
          <cell r="AD237">
            <v>2.7777777777777776E-2</v>
          </cell>
          <cell r="AE237">
            <v>0.35288888899999998</v>
          </cell>
          <cell r="AF237">
            <v>0.34155555599999998</v>
          </cell>
        </row>
        <row r="238">
          <cell r="B238" t="str">
            <v>1994ND</v>
          </cell>
          <cell r="C238">
            <v>3.4252635644254889E-2</v>
          </cell>
          <cell r="D238">
            <v>0.12391539451285033</v>
          </cell>
          <cell r="E238">
            <v>0.22262232847889513</v>
          </cell>
          <cell r="F238">
            <v>0.4506041814618062</v>
          </cell>
          <cell r="G238">
            <v>0.1318012790496941</v>
          </cell>
          <cell r="H238">
            <v>3.6804180852499424E-2</v>
          </cell>
          <cell r="J238" t="str">
            <v>1994ND</v>
          </cell>
          <cell r="K238">
            <v>0.64557639247141074</v>
          </cell>
          <cell r="L238">
            <v>0.1318012790496941</v>
          </cell>
          <cell r="M238">
            <v>0.22262232847889513</v>
          </cell>
          <cell r="U238" t="str">
            <v>1994ND</v>
          </cell>
          <cell r="V238">
            <v>0.19722683699999999</v>
          </cell>
          <cell r="W238">
            <v>3.8490212000000003E-2</v>
          </cell>
          <cell r="X238">
            <v>0.21813318400000001</v>
          </cell>
          <cell r="Y238">
            <v>0.15882449500000001</v>
          </cell>
          <cell r="Z238">
            <v>0.38732527300000003</v>
          </cell>
          <cell r="AB238" t="str">
            <v>1994ND</v>
          </cell>
          <cell r="AC238">
            <v>0</v>
          </cell>
          <cell r="AD238">
            <v>2.7777777777777776E-2</v>
          </cell>
          <cell r="AE238">
            <v>3.6666667E-2</v>
          </cell>
          <cell r="AF238">
            <v>0.93555555599999995</v>
          </cell>
        </row>
        <row r="239">
          <cell r="B239" t="str">
            <v>1994OH</v>
          </cell>
          <cell r="C239">
            <v>5.1582087614982695E-2</v>
          </cell>
          <cell r="D239">
            <v>0.15998230848998779</v>
          </cell>
          <cell r="E239">
            <v>0.18812705827344511</v>
          </cell>
          <cell r="F239">
            <v>0.44675583451431761</v>
          </cell>
          <cell r="G239">
            <v>0.11137870614198989</v>
          </cell>
          <cell r="H239">
            <v>4.2174004965276964E-2</v>
          </cell>
          <cell r="J239" t="str">
            <v>1994OH</v>
          </cell>
          <cell r="K239">
            <v>0.70049423558456503</v>
          </cell>
          <cell r="L239">
            <v>0.11137870614198989</v>
          </cell>
          <cell r="M239">
            <v>0.18812705827344511</v>
          </cell>
          <cell r="U239" t="str">
            <v>1994OH</v>
          </cell>
          <cell r="V239">
            <v>0.14079148799999999</v>
          </cell>
          <cell r="W239">
            <v>3.8711514000000002E-2</v>
          </cell>
          <cell r="X239">
            <v>0.240540322</v>
          </cell>
          <cell r="Y239">
            <v>0.161580112</v>
          </cell>
          <cell r="Z239">
            <v>0.41837656400000001</v>
          </cell>
          <cell r="AB239" t="str">
            <v>1994OH</v>
          </cell>
          <cell r="AC239">
            <v>0</v>
          </cell>
          <cell r="AD239">
            <v>0</v>
          </cell>
          <cell r="AE239">
            <v>0</v>
          </cell>
          <cell r="AF239">
            <v>1</v>
          </cell>
        </row>
        <row r="240">
          <cell r="B240" t="str">
            <v>1994OK</v>
          </cell>
          <cell r="C240">
            <v>0.29960259972227243</v>
          </cell>
          <cell r="D240">
            <v>0.2336685754757506</v>
          </cell>
          <cell r="E240">
            <v>0.05</v>
          </cell>
          <cell r="F240">
            <v>0.32716904087374893</v>
          </cell>
          <cell r="G240">
            <v>0</v>
          </cell>
          <cell r="H240">
            <v>8.9559783928227943E-2</v>
          </cell>
          <cell r="J240" t="str">
            <v>1994OK</v>
          </cell>
          <cell r="K240">
            <v>0.95</v>
          </cell>
          <cell r="L240">
            <v>0</v>
          </cell>
          <cell r="M240">
            <v>0.05</v>
          </cell>
          <cell r="U240" t="str">
            <v>1994OK</v>
          </cell>
          <cell r="V240">
            <v>0.16641552600000001</v>
          </cell>
          <cell r="W240">
            <v>3.2114164000000001E-2</v>
          </cell>
          <cell r="X240">
            <v>8.5991444E-2</v>
          </cell>
          <cell r="Y240">
            <v>0.42818558099999998</v>
          </cell>
          <cell r="Z240">
            <v>0.28729328399999998</v>
          </cell>
          <cell r="AB240" t="str">
            <v>1994OK</v>
          </cell>
          <cell r="AC240">
            <v>0</v>
          </cell>
          <cell r="AD240">
            <v>0.1111111111111111</v>
          </cell>
          <cell r="AE240">
            <v>0.26666666700000002</v>
          </cell>
          <cell r="AF240">
            <v>0.62222222199999999</v>
          </cell>
        </row>
        <row r="241">
          <cell r="B241" t="str">
            <v>1994OR</v>
          </cell>
          <cell r="C241">
            <v>0.31312625178517034</v>
          </cell>
          <cell r="D241">
            <v>0.19525520458507686</v>
          </cell>
          <cell r="E241">
            <v>0</v>
          </cell>
          <cell r="F241">
            <v>0.13679878506994619</v>
          </cell>
          <cell r="G241">
            <v>0.32435095141185655</v>
          </cell>
          <cell r="H241">
            <v>3.046880714795008E-2</v>
          </cell>
          <cell r="J241" t="str">
            <v>1994OR</v>
          </cell>
          <cell r="K241">
            <v>0.67564904858814345</v>
          </cell>
          <cell r="L241">
            <v>0.32435095141185655</v>
          </cell>
          <cell r="M241">
            <v>0</v>
          </cell>
          <cell r="U241" t="str">
            <v>1994OR</v>
          </cell>
          <cell r="V241">
            <v>0.55800201000000005</v>
          </cell>
          <cell r="W241">
            <v>1.9447912000000001E-2</v>
          </cell>
          <cell r="X241">
            <v>0.121991445</v>
          </cell>
          <cell r="Y241">
            <v>9.3261575999999999E-2</v>
          </cell>
          <cell r="Z241">
            <v>0.20729705700000001</v>
          </cell>
          <cell r="AB241" t="str">
            <v>1994OR</v>
          </cell>
          <cell r="AC241">
            <v>0</v>
          </cell>
          <cell r="AD241">
            <v>0.05</v>
          </cell>
          <cell r="AE241">
            <v>0.17222222200000001</v>
          </cell>
          <cell r="AF241">
            <v>0.77777777800000003</v>
          </cell>
        </row>
        <row r="242">
          <cell r="B242" t="str">
            <v>1994PA</v>
          </cell>
          <cell r="C242">
            <v>3.0052332136010915E-2</v>
          </cell>
          <cell r="D242">
            <v>9.2416741477832742E-2</v>
          </cell>
          <cell r="E242">
            <v>0.48100066285500709</v>
          </cell>
          <cell r="F242">
            <v>0.27295299796228534</v>
          </cell>
          <cell r="G242">
            <v>9.9509667048805345E-2</v>
          </cell>
          <cell r="H242">
            <v>2.4067598520058634E-2</v>
          </cell>
          <cell r="J242" t="str">
            <v>1994PA</v>
          </cell>
          <cell r="K242">
            <v>0.41948967009618754</v>
          </cell>
          <cell r="L242">
            <v>9.9509667048805345E-2</v>
          </cell>
          <cell r="M242">
            <v>0.48100066285500709</v>
          </cell>
          <cell r="U242" t="str">
            <v>1994PA</v>
          </cell>
          <cell r="V242">
            <v>8.9264982000000007E-2</v>
          </cell>
          <cell r="W242">
            <v>4.5413429999999998E-2</v>
          </cell>
          <cell r="X242">
            <v>0.24557668499999999</v>
          </cell>
          <cell r="Y242">
            <v>0.174361459</v>
          </cell>
          <cell r="Z242">
            <v>0.44538344400000002</v>
          </cell>
          <cell r="AB242" t="str">
            <v>1994PA</v>
          </cell>
          <cell r="AC242">
            <v>0.16666666666666669</v>
          </cell>
          <cell r="AD242">
            <v>2.7777777777777776E-2</v>
          </cell>
          <cell r="AE242">
            <v>0</v>
          </cell>
          <cell r="AF242">
            <v>0.80555555599999995</v>
          </cell>
        </row>
        <row r="243">
          <cell r="B243" t="str">
            <v>1994RI</v>
          </cell>
          <cell r="C243">
            <v>1.8936291588497738E-2</v>
          </cell>
          <cell r="D243">
            <v>7.3871071245956169E-2</v>
          </cell>
          <cell r="E243">
            <v>0.49064359673274605</v>
          </cell>
          <cell r="F243">
            <v>0.28431046838093182</v>
          </cell>
          <cell r="G243">
            <v>0.10820805800293683</v>
          </cell>
          <cell r="H243">
            <v>2.4030514048931424E-2</v>
          </cell>
          <cell r="J243" t="str">
            <v>1994RI</v>
          </cell>
          <cell r="K243">
            <v>0.40114834526431709</v>
          </cell>
          <cell r="L243">
            <v>0.10820805800293683</v>
          </cell>
          <cell r="M243">
            <v>0.49064359673274605</v>
          </cell>
          <cell r="U243" t="str">
            <v>1994RI</v>
          </cell>
          <cell r="V243">
            <v>0.32389592699999997</v>
          </cell>
          <cell r="W243">
            <v>2.9748579000000001E-2</v>
          </cell>
          <cell r="X243">
            <v>0.186604724</v>
          </cell>
          <cell r="Y243">
            <v>0.142657959</v>
          </cell>
          <cell r="Z243">
            <v>0.31709281</v>
          </cell>
          <cell r="AB243" t="str">
            <v>1994RI</v>
          </cell>
          <cell r="AC243">
            <v>5.5555555555555552E-2</v>
          </cell>
          <cell r="AD243">
            <v>0.05</v>
          </cell>
          <cell r="AE243">
            <v>2.2222222E-2</v>
          </cell>
          <cell r="AF243">
            <v>0.87222222199999999</v>
          </cell>
        </row>
        <row r="244">
          <cell r="B244" t="str">
            <v>1994SC</v>
          </cell>
          <cell r="C244">
            <v>9.8400163151120046E-2</v>
          </cell>
          <cell r="D244">
            <v>7.3821162316226638E-2</v>
          </cell>
          <cell r="E244">
            <v>0.14396063574851983</v>
          </cell>
          <cell r="F244">
            <v>7.9703645347936267E-2</v>
          </cell>
          <cell r="G244">
            <v>0.60031359834602016</v>
          </cell>
          <cell r="H244">
            <v>3.800795090177111E-3</v>
          </cell>
          <cell r="J244" t="str">
            <v>1994SC</v>
          </cell>
          <cell r="K244">
            <v>0.25572576590546003</v>
          </cell>
          <cell r="L244">
            <v>0.60031359834602016</v>
          </cell>
          <cell r="M244">
            <v>0.14396063574851983</v>
          </cell>
          <cell r="U244" t="str">
            <v>1994SC</v>
          </cell>
          <cell r="V244">
            <v>0.14319269700000001</v>
          </cell>
          <cell r="W244">
            <v>3.4501476000000003E-2</v>
          </cell>
          <cell r="X244">
            <v>0.13551195399999999</v>
          </cell>
          <cell r="Y244">
            <v>0.357592564</v>
          </cell>
          <cell r="Z244">
            <v>0.329201309</v>
          </cell>
          <cell r="AB244" t="str">
            <v>1994SC</v>
          </cell>
          <cell r="AC244">
            <v>5.5555555555555552E-2</v>
          </cell>
          <cell r="AD244">
            <v>0</v>
          </cell>
          <cell r="AE244">
            <v>0.48888888899999999</v>
          </cell>
          <cell r="AF244">
            <v>0.45555555599999997</v>
          </cell>
        </row>
        <row r="245">
          <cell r="B245" t="str">
            <v>1994SD</v>
          </cell>
          <cell r="C245">
            <v>4.8844836754208643E-2</v>
          </cell>
          <cell r="D245">
            <v>0.15566944592055662</v>
          </cell>
          <cell r="E245">
            <v>0.1943268419465882</v>
          </cell>
          <cell r="F245">
            <v>0.44499243336229449</v>
          </cell>
          <cell r="G245">
            <v>0.11504922483404971</v>
          </cell>
          <cell r="H245">
            <v>4.1117217182302303E-2</v>
          </cell>
          <cell r="J245" t="str">
            <v>1994SD</v>
          </cell>
          <cell r="K245">
            <v>0.69062393321936211</v>
          </cell>
          <cell r="L245">
            <v>0.11504922483404971</v>
          </cell>
          <cell r="M245">
            <v>0.1943268419465882</v>
          </cell>
          <cell r="U245" t="str">
            <v>1994SD</v>
          </cell>
          <cell r="V245">
            <v>0.118510564</v>
          </cell>
          <cell r="W245">
            <v>4.2786286999999999E-2</v>
          </cell>
          <cell r="X245">
            <v>0.23895693600000001</v>
          </cell>
          <cell r="Y245">
            <v>0.17265843</v>
          </cell>
          <cell r="Z245">
            <v>0.42708778200000003</v>
          </cell>
          <cell r="AB245" t="str">
            <v>1994SD</v>
          </cell>
          <cell r="AC245">
            <v>0</v>
          </cell>
          <cell r="AD245">
            <v>0</v>
          </cell>
          <cell r="AE245">
            <v>0.12</v>
          </cell>
          <cell r="AF245">
            <v>0.88</v>
          </cell>
        </row>
        <row r="246">
          <cell r="B246" t="str">
            <v>1994TN</v>
          </cell>
          <cell r="C246">
            <v>2.5683376772653473E-2</v>
          </cell>
          <cell r="D246">
            <v>6.8554703639804856E-2</v>
          </cell>
          <cell r="E246">
            <v>0.14076890696206273</v>
          </cell>
          <cell r="F246">
            <v>0.13011024750827116</v>
          </cell>
          <cell r="G246">
            <v>0.61924786442817958</v>
          </cell>
          <cell r="H246">
            <v>1.5634900689028133E-2</v>
          </cell>
          <cell r="J246" t="str">
            <v>1994TN</v>
          </cell>
          <cell r="K246">
            <v>0.23998322860975763</v>
          </cell>
          <cell r="L246">
            <v>0.61924786442817958</v>
          </cell>
          <cell r="M246">
            <v>0.14076890696206273</v>
          </cell>
          <cell r="U246" t="str">
            <v>1994TN</v>
          </cell>
          <cell r="V246">
            <v>0.19181974199999999</v>
          </cell>
          <cell r="W246">
            <v>3.3589431000000003E-2</v>
          </cell>
          <cell r="X246">
            <v>0.160846235</v>
          </cell>
          <cell r="Y246">
            <v>0.279466563</v>
          </cell>
          <cell r="Z246">
            <v>0.33427802899999998</v>
          </cell>
          <cell r="AB246" t="str">
            <v>1994TN</v>
          </cell>
          <cell r="AC246">
            <v>0</v>
          </cell>
          <cell r="AD246">
            <v>0.5</v>
          </cell>
          <cell r="AE246">
            <v>6.1111111000000003E-2</v>
          </cell>
          <cell r="AF246">
            <v>0.438888889</v>
          </cell>
        </row>
        <row r="247">
          <cell r="B247" t="str">
            <v>1994TX</v>
          </cell>
          <cell r="C247">
            <v>0.4562414630981303</v>
          </cell>
          <cell r="D247">
            <v>0.26112965869941712</v>
          </cell>
          <cell r="E247">
            <v>6.6317190366538617E-2</v>
          </cell>
          <cell r="F247">
            <v>0.17892457122922739</v>
          </cell>
          <cell r="G247">
            <v>0</v>
          </cell>
          <cell r="H247">
            <v>3.7387116606686692E-2</v>
          </cell>
          <cell r="J247" t="str">
            <v>1994TX</v>
          </cell>
          <cell r="K247">
            <v>0.9336828096334614</v>
          </cell>
          <cell r="L247">
            <v>0</v>
          </cell>
          <cell r="M247">
            <v>6.6317190366538617E-2</v>
          </cell>
          <cell r="U247" t="str">
            <v>1994TX</v>
          </cell>
          <cell r="V247">
            <v>0.20461974499999999</v>
          </cell>
          <cell r="W247">
            <v>3.1342364999999997E-2</v>
          </cell>
          <cell r="X247">
            <v>0.10415138</v>
          </cell>
          <cell r="Y247">
            <v>0.36985949600000001</v>
          </cell>
          <cell r="Z247">
            <v>0.290027015</v>
          </cell>
          <cell r="AB247" t="str">
            <v>1994TX</v>
          </cell>
          <cell r="AC247">
            <v>0.27777777777777768</v>
          </cell>
          <cell r="AD247">
            <v>0</v>
          </cell>
          <cell r="AE247">
            <v>0.27555555599999998</v>
          </cell>
          <cell r="AF247">
            <v>0.44666666700000002</v>
          </cell>
        </row>
        <row r="248">
          <cell r="B248" t="str">
            <v>1994UT</v>
          </cell>
          <cell r="C248">
            <v>0.36868695725621942</v>
          </cell>
          <cell r="D248">
            <v>0.27278624491521003</v>
          </cell>
          <cell r="E248">
            <v>3.6495305589944613E-2</v>
          </cell>
          <cell r="F248">
            <v>0.23946871530451497</v>
          </cell>
          <cell r="G248">
            <v>2.1606673458723427E-2</v>
          </cell>
          <cell r="H248">
            <v>6.0956103475387567E-2</v>
          </cell>
          <cell r="J248" t="str">
            <v>1994UT</v>
          </cell>
          <cell r="K248">
            <v>0.9418980209513319</v>
          </cell>
          <cell r="L248">
            <v>2.1606673458723427E-2</v>
          </cell>
          <cell r="M248">
            <v>3.6495305589944613E-2</v>
          </cell>
          <cell r="U248" t="str">
            <v>1994UT</v>
          </cell>
          <cell r="V248">
            <v>0.33717216900000002</v>
          </cell>
          <cell r="W248">
            <v>3.3648759E-2</v>
          </cell>
          <cell r="X248">
            <v>0.178082452</v>
          </cell>
          <cell r="Y248">
            <v>0.124908889</v>
          </cell>
          <cell r="Z248">
            <v>0.32618773000000001</v>
          </cell>
          <cell r="AB248" t="str">
            <v>1994UT</v>
          </cell>
          <cell r="AC248">
            <v>0.27777777777777768</v>
          </cell>
          <cell r="AD248">
            <v>0</v>
          </cell>
          <cell r="AE248">
            <v>0.26666666700000002</v>
          </cell>
          <cell r="AF248">
            <v>0.45555555599999997</v>
          </cell>
        </row>
        <row r="249">
          <cell r="B249" t="str">
            <v>1994VT</v>
          </cell>
          <cell r="C249">
            <v>4.9585511002828472E-2</v>
          </cell>
          <cell r="D249">
            <v>0.12477392522497298</v>
          </cell>
          <cell r="E249">
            <v>0.46273362255373807</v>
          </cell>
          <cell r="F249">
            <v>0.25292668693595832</v>
          </cell>
          <cell r="G249">
            <v>8.3031916591330468E-2</v>
          </cell>
          <cell r="H249">
            <v>2.694833769117172E-2</v>
          </cell>
          <cell r="J249" t="str">
            <v>1994VT</v>
          </cell>
          <cell r="K249">
            <v>0.45423446085493147</v>
          </cell>
          <cell r="L249">
            <v>8.3031916591330468E-2</v>
          </cell>
          <cell r="M249">
            <v>0.46273362255373807</v>
          </cell>
          <cell r="U249" t="str">
            <v>1994VT</v>
          </cell>
          <cell r="V249">
            <v>1</v>
          </cell>
          <cell r="W249">
            <v>0</v>
          </cell>
          <cell r="X249">
            <v>0</v>
          </cell>
          <cell r="Y249">
            <v>0</v>
          </cell>
          <cell r="Z249">
            <v>0</v>
          </cell>
          <cell r="AB249" t="str">
            <v>1994VT</v>
          </cell>
          <cell r="AC249">
            <v>5.5555555555555552E-2</v>
          </cell>
          <cell r="AD249">
            <v>0.05</v>
          </cell>
          <cell r="AE249">
            <v>2.2222222E-2</v>
          </cell>
          <cell r="AF249">
            <v>0.87222222199999999</v>
          </cell>
        </row>
        <row r="250">
          <cell r="B250" t="str">
            <v>1994VA</v>
          </cell>
          <cell r="C250">
            <v>2.8579457260729399E-2</v>
          </cell>
          <cell r="D250">
            <v>7.4077506642435509E-2</v>
          </cell>
          <cell r="E250">
            <v>0.14116931812501335</v>
          </cell>
          <cell r="F250">
            <v>0.12268865906526336</v>
          </cell>
          <cell r="G250">
            <v>0.61687250862296739</v>
          </cell>
          <cell r="H250">
            <v>1.6612550283590932E-2</v>
          </cell>
          <cell r="J250" t="str">
            <v>1994VA</v>
          </cell>
          <cell r="K250">
            <v>0.24195817325201929</v>
          </cell>
          <cell r="L250">
            <v>0.61687250862296739</v>
          </cell>
          <cell r="M250">
            <v>0.14116931812501335</v>
          </cell>
          <cell r="U250" t="str">
            <v>1994VA</v>
          </cell>
          <cell r="V250">
            <v>8.1937236999999996E-2</v>
          </cell>
          <cell r="W250">
            <v>3.5553194000000003E-2</v>
          </cell>
          <cell r="X250">
            <v>0.100530112</v>
          </cell>
          <cell r="Y250">
            <v>0.46138077500000002</v>
          </cell>
          <cell r="Z250">
            <v>0.32059868200000002</v>
          </cell>
          <cell r="AB250" t="str">
            <v>1994VA</v>
          </cell>
          <cell r="AC250">
            <v>0.38888888888888895</v>
          </cell>
          <cell r="AD250">
            <v>0</v>
          </cell>
          <cell r="AE250">
            <v>2.2222222E-2</v>
          </cell>
          <cell r="AF250">
            <v>0.58888888900000003</v>
          </cell>
        </row>
        <row r="251">
          <cell r="B251" t="str">
            <v>1994WA</v>
          </cell>
          <cell r="C251">
            <v>0.38093961221509826</v>
          </cell>
          <cell r="D251">
            <v>0.21093396044216972</v>
          </cell>
          <cell r="E251">
            <v>0</v>
          </cell>
          <cell r="F251">
            <v>0.12009201671681821</v>
          </cell>
          <cell r="G251">
            <v>0.26583986976554752</v>
          </cell>
          <cell r="H251">
            <v>2.2194540860366326E-2</v>
          </cell>
          <cell r="J251" t="str">
            <v>1994WA</v>
          </cell>
          <cell r="K251">
            <v>0.73416013023445248</v>
          </cell>
          <cell r="L251">
            <v>0.26583986976554752</v>
          </cell>
          <cell r="M251">
            <v>0</v>
          </cell>
          <cell r="U251" t="str">
            <v>1994WA</v>
          </cell>
          <cell r="V251">
            <v>0.31252258500000002</v>
          </cell>
          <cell r="W251">
            <v>3.3259199000000003E-2</v>
          </cell>
          <cell r="X251">
            <v>0.18648272499999999</v>
          </cell>
          <cell r="Y251">
            <v>0.13502375999999999</v>
          </cell>
          <cell r="Z251">
            <v>0.33271173199999998</v>
          </cell>
          <cell r="AB251" t="str">
            <v>1994WA</v>
          </cell>
          <cell r="AC251">
            <v>0</v>
          </cell>
          <cell r="AD251">
            <v>5.5555555555555552E-2</v>
          </cell>
          <cell r="AE251">
            <v>5.3333332999999997E-2</v>
          </cell>
          <cell r="AF251">
            <v>0.89111111099999996</v>
          </cell>
        </row>
        <row r="252">
          <cell r="B252" t="str">
            <v>1994WV</v>
          </cell>
          <cell r="C252">
            <v>3.7958760475980451E-2</v>
          </cell>
          <cell r="D252">
            <v>0.11243401406685682</v>
          </cell>
          <cell r="E252">
            <v>0.4686862529434066</v>
          </cell>
          <cell r="F252">
            <v>0.26515864083987828</v>
          </cell>
          <cell r="G252">
            <v>8.840147600045517E-2</v>
          </cell>
          <cell r="H252">
            <v>2.7360855673422703E-2</v>
          </cell>
          <cell r="J252" t="str">
            <v>1994WV</v>
          </cell>
          <cell r="K252">
            <v>0.44291227105613817</v>
          </cell>
          <cell r="L252">
            <v>8.840147600045517E-2</v>
          </cell>
          <cell r="M252">
            <v>0.4686862529434066</v>
          </cell>
          <cell r="U252" t="str">
            <v>1994WV</v>
          </cell>
          <cell r="V252">
            <v>0.58111977800000003</v>
          </cell>
          <cell r="W252">
            <v>1.8430729999999999E-2</v>
          </cell>
          <cell r="X252">
            <v>0.11561094099999999</v>
          </cell>
          <cell r="Y252">
            <v>8.8383726999999995E-2</v>
          </cell>
          <cell r="Z252">
            <v>0.196454824</v>
          </cell>
          <cell r="AB252" t="str">
            <v>1994WV</v>
          </cell>
          <cell r="AC252">
            <v>0.55555555555555536</v>
          </cell>
          <cell r="AD252">
            <v>0</v>
          </cell>
          <cell r="AE252">
            <v>2.2222222E-2</v>
          </cell>
          <cell r="AF252">
            <v>0.42222222199999998</v>
          </cell>
        </row>
        <row r="253">
          <cell r="B253" t="str">
            <v>1994WI</v>
          </cell>
          <cell r="C253">
            <v>4.7758284239264925E-2</v>
          </cell>
          <cell r="D253">
            <v>0.14721007259621063</v>
          </cell>
          <cell r="E253">
            <v>0.20020917015482664</v>
          </cell>
          <cell r="F253">
            <v>0.44905111499579897</v>
          </cell>
          <cell r="G253">
            <v>0.11853179725584263</v>
          </cell>
          <cell r="H253">
            <v>3.7239560758056081E-2</v>
          </cell>
          <cell r="J253" t="str">
            <v>1994WI</v>
          </cell>
          <cell r="K253">
            <v>0.68125903258933074</v>
          </cell>
          <cell r="L253">
            <v>0.11853179725584263</v>
          </cell>
          <cell r="M253">
            <v>0.20020917015482664</v>
          </cell>
          <cell r="U253" t="str">
            <v>1994WI</v>
          </cell>
          <cell r="V253">
            <v>0.17195836</v>
          </cell>
          <cell r="W253">
            <v>3.8934153999999999E-2</v>
          </cell>
          <cell r="X253">
            <v>0.22583080999999999</v>
          </cell>
          <cell r="Y253">
            <v>0.166382379</v>
          </cell>
          <cell r="Z253">
            <v>0.39689429700000001</v>
          </cell>
          <cell r="AB253" t="str">
            <v>1994WI</v>
          </cell>
          <cell r="AC253">
            <v>0.22222222222222221</v>
          </cell>
          <cell r="AD253">
            <v>2.7777777777777776E-2</v>
          </cell>
          <cell r="AE253">
            <v>8.8888890000000005E-3</v>
          </cell>
          <cell r="AF253">
            <v>0.74111111100000004</v>
          </cell>
        </row>
        <row r="254">
          <cell r="B254" t="str">
            <v>1994WY</v>
          </cell>
          <cell r="C254">
            <v>0.25783103684076991</v>
          </cell>
          <cell r="D254">
            <v>0.20223396764435631</v>
          </cell>
          <cell r="E254">
            <v>0.15380813949690925</v>
          </cell>
          <cell r="F254">
            <v>0.23256411313323405</v>
          </cell>
          <cell r="G254">
            <v>9.106054029916516E-2</v>
          </cell>
          <cell r="H254">
            <v>6.2502202585565297E-2</v>
          </cell>
          <cell r="J254" t="str">
            <v>1994WY</v>
          </cell>
          <cell r="K254">
            <v>0.75513132020392559</v>
          </cell>
          <cell r="L254">
            <v>9.106054029916516E-2</v>
          </cell>
          <cell r="M254">
            <v>0.15380813949690925</v>
          </cell>
          <cell r="U254" t="str">
            <v>1994WY</v>
          </cell>
          <cell r="V254">
            <v>0.26060779899999997</v>
          </cell>
          <cell r="W254">
            <v>3.6875457E-2</v>
          </cell>
          <cell r="X254">
            <v>0.199368197</v>
          </cell>
          <cell r="Y254">
            <v>0.14153775399999999</v>
          </cell>
          <cell r="Z254">
            <v>0.36161079200000001</v>
          </cell>
          <cell r="AB254" t="str">
            <v>1994WY</v>
          </cell>
          <cell r="AC254">
            <v>0</v>
          </cell>
          <cell r="AD254">
            <v>4.4444444444444439E-2</v>
          </cell>
          <cell r="AE254">
            <v>0.28888888899999998</v>
          </cell>
          <cell r="AF254">
            <v>0.66666666699999999</v>
          </cell>
        </row>
        <row r="255">
          <cell r="B255" t="str">
            <v>1995AL</v>
          </cell>
          <cell r="C255">
            <v>9.3828846494674142E-2</v>
          </cell>
          <cell r="D255">
            <v>6.9868166780553811E-2</v>
          </cell>
          <cell r="E255">
            <v>0.14385678158137893</v>
          </cell>
          <cell r="F255">
            <v>8.7287171105110709E-2</v>
          </cell>
          <cell r="G255">
            <v>0.60092969155629861</v>
          </cell>
          <cell r="H255">
            <v>4.2293424819837061E-3</v>
          </cell>
          <cell r="J255" t="str">
            <v>1995AL</v>
          </cell>
          <cell r="K255">
            <v>0.25521352686232246</v>
          </cell>
          <cell r="L255">
            <v>0.60092969155629861</v>
          </cell>
          <cell r="M255">
            <v>0.14385678158137893</v>
          </cell>
          <cell r="U255" t="str">
            <v>1995AL</v>
          </cell>
          <cell r="V255">
            <v>0.13583730899999999</v>
          </cell>
          <cell r="W255">
            <v>3.4666197000000003E-2</v>
          </cell>
          <cell r="X255">
            <v>0.13252482700000001</v>
          </cell>
          <cell r="Y255">
            <v>0.36793035099999999</v>
          </cell>
          <cell r="Z255">
            <v>0.32904131599999997</v>
          </cell>
          <cell r="AB255" t="str">
            <v>1995AL</v>
          </cell>
          <cell r="AC255">
            <v>0</v>
          </cell>
          <cell r="AD255">
            <v>4.4444444444444439E-2</v>
          </cell>
          <cell r="AE255">
            <v>0.58833333300000001</v>
          </cell>
          <cell r="AF255">
            <v>0.36722222199999999</v>
          </cell>
        </row>
        <row r="256">
          <cell r="B256" t="str">
            <v>1995AK</v>
          </cell>
          <cell r="C256">
            <v>0.14958470295545417</v>
          </cell>
          <cell r="D256">
            <v>0.11730658952076004</v>
          </cell>
          <cell r="E256">
            <v>0.35216811649016644</v>
          </cell>
          <cell r="F256">
            <v>0.13589355604331216</v>
          </cell>
          <cell r="G256">
            <v>0.20849754160363088</v>
          </cell>
          <cell r="H256">
            <v>3.6549493386676304E-2</v>
          </cell>
          <cell r="J256" t="str">
            <v>1995AK</v>
          </cell>
          <cell r="K256">
            <v>0.43933434190620269</v>
          </cell>
          <cell r="L256">
            <v>0.20849754160363088</v>
          </cell>
          <cell r="M256">
            <v>0.35216811649016644</v>
          </cell>
          <cell r="U256" t="str">
            <v>1995AK</v>
          </cell>
          <cell r="V256">
            <v>1</v>
          </cell>
          <cell r="W256">
            <v>0</v>
          </cell>
          <cell r="X256">
            <v>0</v>
          </cell>
          <cell r="Y256">
            <v>0</v>
          </cell>
          <cell r="Z256">
            <v>0</v>
          </cell>
          <cell r="AB256" t="str">
            <v>1995AK</v>
          </cell>
          <cell r="AC256">
            <v>4.4444444444444439E-2</v>
          </cell>
          <cell r="AD256">
            <v>5.3333333333333316E-2</v>
          </cell>
          <cell r="AE256">
            <v>0.205555556</v>
          </cell>
          <cell r="AF256">
            <v>0.69666666700000002</v>
          </cell>
        </row>
        <row r="257">
          <cell r="B257" t="str">
            <v>1995AZ</v>
          </cell>
          <cell r="C257">
            <v>0.60287155981588014</v>
          </cell>
          <cell r="D257">
            <v>0.2077236610489008</v>
          </cell>
          <cell r="E257">
            <v>9.5407142924491567E-2</v>
          </cell>
          <cell r="F257">
            <v>9.2848408491660581E-2</v>
          </cell>
          <cell r="G257">
            <v>0</v>
          </cell>
          <cell r="H257">
            <v>1.149227719066876E-3</v>
          </cell>
          <cell r="J257" t="str">
            <v>1995AZ</v>
          </cell>
          <cell r="K257">
            <v>0.90459285707550841</v>
          </cell>
          <cell r="L257">
            <v>0</v>
          </cell>
          <cell r="M257">
            <v>9.5407142924491567E-2</v>
          </cell>
          <cell r="U257" t="str">
            <v>1995AZ</v>
          </cell>
          <cell r="V257">
            <v>5.0094134999999998E-2</v>
          </cell>
          <cell r="W257">
            <v>3.6773633E-2</v>
          </cell>
          <cell r="X257">
            <v>0.10361519199999999</v>
          </cell>
          <cell r="Y257">
            <v>0.478087449</v>
          </cell>
          <cell r="Z257">
            <v>0.33142959100000002</v>
          </cell>
          <cell r="AB257" t="str">
            <v>1995AZ</v>
          </cell>
          <cell r="AC257">
            <v>0</v>
          </cell>
          <cell r="AD257">
            <v>0</v>
          </cell>
          <cell r="AE257">
            <v>0.33333333300000001</v>
          </cell>
          <cell r="AF257">
            <v>0.66666666699999999</v>
          </cell>
        </row>
        <row r="258">
          <cell r="B258" t="str">
            <v>1995AR</v>
          </cell>
          <cell r="C258">
            <v>6.0987438802831112E-2</v>
          </cell>
          <cell r="D258">
            <v>4.8005008513511416E-2</v>
          </cell>
          <cell r="E258">
            <v>0.13912499999999997</v>
          </cell>
          <cell r="F258">
            <v>0.11687096503989014</v>
          </cell>
          <cell r="G258">
            <v>0.629</v>
          </cell>
          <cell r="H258">
            <v>6.0115876437673663E-3</v>
          </cell>
          <cell r="J258" t="str">
            <v>1995AR</v>
          </cell>
          <cell r="K258">
            <v>0.23187500000000005</v>
          </cell>
          <cell r="L258">
            <v>0.629</v>
          </cell>
          <cell r="M258">
            <v>0.13912499999999997</v>
          </cell>
          <cell r="U258" t="str">
            <v>1995AR</v>
          </cell>
          <cell r="V258">
            <v>3.356638E-2</v>
          </cell>
          <cell r="W258">
            <v>3.7484047E-2</v>
          </cell>
          <cell r="X258">
            <v>0.107646224</v>
          </cell>
          <cell r="Y258">
            <v>0.48250400500000001</v>
          </cell>
          <cell r="Z258">
            <v>0.338799344</v>
          </cell>
          <cell r="AB258" t="str">
            <v>1995AR</v>
          </cell>
          <cell r="AC258">
            <v>0</v>
          </cell>
          <cell r="AD258">
            <v>0.26666666666666672</v>
          </cell>
          <cell r="AE258">
            <v>0.177777778</v>
          </cell>
          <cell r="AF258">
            <v>0.55555555599999995</v>
          </cell>
        </row>
        <row r="259">
          <cell r="B259" t="str">
            <v>1995CA</v>
          </cell>
          <cell r="C259">
            <v>0.56051052204301866</v>
          </cell>
          <cell r="D259">
            <v>0.21776492571690156</v>
          </cell>
          <cell r="E259">
            <v>0.11321855175492829</v>
          </cell>
          <cell r="F259">
            <v>9.0634943409094407E-2</v>
          </cell>
          <cell r="G259">
            <v>1.4544734696916261E-2</v>
          </cell>
          <cell r="H259">
            <v>3.3263223791407731E-3</v>
          </cell>
          <cell r="J259" t="str">
            <v>1995CA</v>
          </cell>
          <cell r="K259">
            <v>0.87223671354815546</v>
          </cell>
          <cell r="L259">
            <v>1.4544734696916261E-2</v>
          </cell>
          <cell r="M259">
            <v>0.11321855175492829</v>
          </cell>
          <cell r="U259" t="str">
            <v>1995CA</v>
          </cell>
          <cell r="V259">
            <v>0.107612975</v>
          </cell>
          <cell r="W259">
            <v>3.393198E-2</v>
          </cell>
          <cell r="X259">
            <v>7.7926845999999994E-2</v>
          </cell>
          <cell r="Y259">
            <v>0.48313507999999999</v>
          </cell>
          <cell r="Z259">
            <v>0.29739311800000001</v>
          </cell>
          <cell r="AB259" t="str">
            <v>1995CA</v>
          </cell>
          <cell r="AC259">
            <v>0.2</v>
          </cell>
          <cell r="AD259">
            <v>1.3333333333333329E-2</v>
          </cell>
          <cell r="AE259">
            <v>9.7777777999999996E-2</v>
          </cell>
          <cell r="AF259">
            <v>0.688888889</v>
          </cell>
        </row>
        <row r="260">
          <cell r="B260" t="str">
            <v>1995CO</v>
          </cell>
          <cell r="C260">
            <v>0.52972016753180273</v>
          </cell>
          <cell r="D260">
            <v>0.26788799927642298</v>
          </cell>
          <cell r="E260">
            <v>2.5952996489540588E-2</v>
          </cell>
          <cell r="F260">
            <v>0.13943602528864282</v>
          </cell>
          <cell r="G260">
            <v>1.5365206876892187E-2</v>
          </cell>
          <cell r="H260">
            <v>2.1637604536698808E-2</v>
          </cell>
          <cell r="J260" t="str">
            <v>1995CO</v>
          </cell>
          <cell r="K260">
            <v>0.95868179663356723</v>
          </cell>
          <cell r="L260">
            <v>1.5365206876892187E-2</v>
          </cell>
          <cell r="M260">
            <v>2.5952996489540588E-2</v>
          </cell>
          <cell r="U260" t="str">
            <v>1995CO</v>
          </cell>
          <cell r="V260">
            <v>4.7909924E-2</v>
          </cell>
          <cell r="W260">
            <v>5.1792653000000001E-2</v>
          </cell>
          <cell r="X260">
            <v>0.25205111400000002</v>
          </cell>
          <cell r="Y260">
            <v>0.167888707</v>
          </cell>
          <cell r="Z260">
            <v>0.48035760199999999</v>
          </cell>
          <cell r="AB260" t="str">
            <v>1995CO</v>
          </cell>
          <cell r="AC260">
            <v>0</v>
          </cell>
          <cell r="AD260">
            <v>3.5555555555555549E-2</v>
          </cell>
          <cell r="AE260">
            <v>0.35111111099999998</v>
          </cell>
          <cell r="AF260">
            <v>0.61333333300000004</v>
          </cell>
        </row>
        <row r="261">
          <cell r="B261" t="str">
            <v>1995CT</v>
          </cell>
          <cell r="C261">
            <v>7.8262070592692953E-2</v>
          </cell>
          <cell r="D261">
            <v>0.16770789116527782</v>
          </cell>
          <cell r="E261">
            <v>0.44140007224917249</v>
          </cell>
          <cell r="F261">
            <v>0.21915615297154176</v>
          </cell>
          <cell r="G261">
            <v>6.3788026366475611E-2</v>
          </cell>
          <cell r="H261">
            <v>2.9685786654839365E-2</v>
          </cell>
          <cell r="J261" t="str">
            <v>1995CT</v>
          </cell>
          <cell r="K261">
            <v>0.49481190138435194</v>
          </cell>
          <cell r="L261">
            <v>6.3788026366475611E-2</v>
          </cell>
          <cell r="M261">
            <v>0.44140007224917249</v>
          </cell>
          <cell r="U261" t="str">
            <v>1995CT</v>
          </cell>
          <cell r="V261">
            <v>0.76132413799999998</v>
          </cell>
          <cell r="W261">
            <v>1.0501738E-2</v>
          </cell>
          <cell r="X261">
            <v>6.5874537999999996E-2</v>
          </cell>
          <cell r="Y261">
            <v>5.0360607000000002E-2</v>
          </cell>
          <cell r="Z261">
            <v>0.11193897899999999</v>
          </cell>
          <cell r="AB261" t="str">
            <v>1995CT</v>
          </cell>
          <cell r="AC261">
            <v>0</v>
          </cell>
          <cell r="AD261">
            <v>0</v>
          </cell>
          <cell r="AE261">
            <v>2.7777777999999999E-2</v>
          </cell>
          <cell r="AF261">
            <v>0.97222222199999997</v>
          </cell>
        </row>
        <row r="262">
          <cell r="B262" t="str">
            <v>1995DE</v>
          </cell>
          <cell r="C262">
            <v>5.6503182286672102E-2</v>
          </cell>
          <cell r="D262">
            <v>0.15090606144817378</v>
          </cell>
          <cell r="E262">
            <v>0.44874594407036289</v>
          </cell>
          <cell r="F262">
            <v>0.24167403863570636</v>
          </cell>
          <cell r="G262">
            <v>7.0414356673184547E-2</v>
          </cell>
          <cell r="H262">
            <v>3.1756416885900335E-2</v>
          </cell>
          <cell r="J262" t="str">
            <v>1995DE</v>
          </cell>
          <cell r="K262">
            <v>0.48083969925645254</v>
          </cell>
          <cell r="L262">
            <v>7.0414356673184547E-2</v>
          </cell>
          <cell r="M262">
            <v>0.44874594407036289</v>
          </cell>
          <cell r="U262" t="str">
            <v>1995DE</v>
          </cell>
          <cell r="V262">
            <v>0.106132754</v>
          </cell>
          <cell r="W262">
            <v>4.6313954999999997E-2</v>
          </cell>
          <cell r="X262">
            <v>0.23914158099999999</v>
          </cell>
          <cell r="Y262">
            <v>0.16532666800000001</v>
          </cell>
          <cell r="Z262">
            <v>0.44308504199999998</v>
          </cell>
          <cell r="AB262" t="str">
            <v>1995DE</v>
          </cell>
          <cell r="AC262">
            <v>0</v>
          </cell>
          <cell r="AD262">
            <v>0</v>
          </cell>
          <cell r="AE262">
            <v>2.7777777999999999E-2</v>
          </cell>
          <cell r="AF262">
            <v>0.97222222199999997</v>
          </cell>
        </row>
        <row r="263">
          <cell r="B263" t="str">
            <v>1995FL</v>
          </cell>
          <cell r="C263">
            <v>0.40809201738186751</v>
          </cell>
          <cell r="D263">
            <v>0.14822550595189202</v>
          </cell>
          <cell r="E263">
            <v>0.21994786189099791</v>
          </cell>
          <cell r="F263">
            <v>7.3433511054152176E-2</v>
          </cell>
          <cell r="G263">
            <v>0.14953520992788238</v>
          </cell>
          <cell r="H263">
            <v>7.6589379320801503E-4</v>
          </cell>
          <cell r="J263" t="str">
            <v>1995FL</v>
          </cell>
          <cell r="K263">
            <v>0.63051692818111971</v>
          </cell>
          <cell r="L263">
            <v>0.14953520992788238</v>
          </cell>
          <cell r="M263">
            <v>0.21994786189099791</v>
          </cell>
          <cell r="U263" t="str">
            <v>1995FL</v>
          </cell>
          <cell r="V263">
            <v>0.552367622</v>
          </cell>
          <cell r="W263">
            <v>1.9695825E-2</v>
          </cell>
          <cell r="X263">
            <v>0.123546536</v>
          </cell>
          <cell r="Y263">
            <v>9.4450432000000001E-2</v>
          </cell>
          <cell r="Z263">
            <v>0.20993958500000001</v>
          </cell>
          <cell r="AB263" t="str">
            <v>1995FL</v>
          </cell>
          <cell r="AC263">
            <v>5.3333333333333316E-2</v>
          </cell>
          <cell r="AD263">
            <v>2.6666666666666658E-2</v>
          </cell>
          <cell r="AE263">
            <v>0.28611111099999997</v>
          </cell>
          <cell r="AF263">
            <v>0.63388888899999996</v>
          </cell>
        </row>
        <row r="264">
          <cell r="B264" t="str">
            <v>1995GA</v>
          </cell>
          <cell r="C264">
            <v>0.13366707356776233</v>
          </cell>
          <cell r="D264">
            <v>8.7608410002093823E-2</v>
          </cell>
          <cell r="E264">
            <v>0.15630527995767507</v>
          </cell>
          <cell r="F264">
            <v>9.1186594977134772E-2</v>
          </cell>
          <cell r="G264">
            <v>0.52708156837608344</v>
          </cell>
          <cell r="H264">
            <v>4.1510731192504497E-3</v>
          </cell>
          <cell r="J264" t="str">
            <v>1995GA</v>
          </cell>
          <cell r="K264">
            <v>0.31661315166624149</v>
          </cell>
          <cell r="L264">
            <v>0.52708156837608344</v>
          </cell>
          <cell r="M264">
            <v>0.15630527995767507</v>
          </cell>
          <cell r="U264" t="str">
            <v>1995GA</v>
          </cell>
          <cell r="V264">
            <v>0.10666010300000001</v>
          </cell>
          <cell r="W264">
            <v>3.5805957999999999E-2</v>
          </cell>
          <cell r="X264">
            <v>0.13603030699999999</v>
          </cell>
          <cell r="Y264">
            <v>0.38204988699999998</v>
          </cell>
          <cell r="Z264">
            <v>0.33945374499999997</v>
          </cell>
          <cell r="AB264" t="str">
            <v>1995GA</v>
          </cell>
          <cell r="AC264">
            <v>0.28444444444444439</v>
          </cell>
          <cell r="AD264">
            <v>2.222222222222222E-2</v>
          </cell>
          <cell r="AE264">
            <v>0.23722222200000001</v>
          </cell>
          <cell r="AF264">
            <v>0.45611111100000001</v>
          </cell>
        </row>
        <row r="265">
          <cell r="B265" t="str">
            <v>1995HI</v>
          </cell>
          <cell r="C265">
            <v>0.58831382152864364</v>
          </cell>
          <cell r="D265">
            <v>0.21070298811065602</v>
          </cell>
          <cell r="E265">
            <v>0</v>
          </cell>
          <cell r="F265">
            <v>0.11844259484391831</v>
          </cell>
          <cell r="G265">
            <v>7.2798896282826653E-2</v>
          </cell>
          <cell r="H265">
            <v>9.741699233955509E-3</v>
          </cell>
          <cell r="J265" t="str">
            <v>1995HI</v>
          </cell>
          <cell r="K265">
            <v>0.92720110371717335</v>
          </cell>
          <cell r="L265">
            <v>7.2798896282826653E-2</v>
          </cell>
          <cell r="M265">
            <v>0</v>
          </cell>
          <cell r="U265" t="str">
            <v>1995HI</v>
          </cell>
          <cell r="V265">
            <v>0.35854955599999999</v>
          </cell>
          <cell r="W265">
            <v>2.822382E-2</v>
          </cell>
          <cell r="X265">
            <v>0.177040323</v>
          </cell>
          <cell r="Y265">
            <v>0.135346044</v>
          </cell>
          <cell r="Z265">
            <v>0.30084025800000003</v>
          </cell>
          <cell r="AB265" t="str">
            <v>1995HI</v>
          </cell>
          <cell r="AC265">
            <v>4.4444444444444439E-2</v>
          </cell>
          <cell r="AD265">
            <v>0</v>
          </cell>
          <cell r="AE265">
            <v>0.49444444399999998</v>
          </cell>
          <cell r="AF265">
            <v>0.46111111100000002</v>
          </cell>
        </row>
        <row r="266">
          <cell r="B266" t="str">
            <v>1995ID</v>
          </cell>
          <cell r="C266">
            <v>0.5112745514718412</v>
          </cell>
          <cell r="D266">
            <v>0.24463477232959777</v>
          </cell>
          <cell r="E266">
            <v>3.2097102613595642E-2</v>
          </cell>
          <cell r="F266">
            <v>0.1639066194150689</v>
          </cell>
          <cell r="G266">
            <v>1.9002762243870056E-2</v>
          </cell>
          <cell r="H266">
            <v>2.9084191926026355E-2</v>
          </cell>
          <cell r="J266" t="str">
            <v>1995ID</v>
          </cell>
          <cell r="K266">
            <v>0.94890013514253435</v>
          </cell>
          <cell r="L266">
            <v>1.9002762243870056E-2</v>
          </cell>
          <cell r="M266">
            <v>3.2097102613595642E-2</v>
          </cell>
          <cell r="U266" t="str">
            <v>1995ID</v>
          </cell>
          <cell r="V266">
            <v>0.33755710900000002</v>
          </cell>
          <cell r="W266">
            <v>3.1871865999999999E-2</v>
          </cell>
          <cell r="X266">
            <v>0.179882827</v>
          </cell>
          <cell r="Y266">
            <v>0.13069418599999999</v>
          </cell>
          <cell r="Z266">
            <v>0.31999401199999999</v>
          </cell>
          <cell r="AB266" t="str">
            <v>1995ID</v>
          </cell>
          <cell r="AC266">
            <v>0</v>
          </cell>
          <cell r="AD266">
            <v>0.26666666666666672</v>
          </cell>
          <cell r="AE266">
            <v>0.33333333300000001</v>
          </cell>
          <cell r="AF266">
            <v>0.4</v>
          </cell>
        </row>
        <row r="267">
          <cell r="B267" t="str">
            <v>1995IL</v>
          </cell>
          <cell r="C267">
            <v>5.5607419485179874E-2</v>
          </cell>
          <cell r="D267">
            <v>0.17838796719883851</v>
          </cell>
          <cell r="E267">
            <v>0.13268539917340127</v>
          </cell>
          <cell r="F267">
            <v>0.50676736269918887</v>
          </cell>
          <cell r="G267">
            <v>7.8555037321565907E-2</v>
          </cell>
          <cell r="H267">
            <v>4.7996814121825652E-2</v>
          </cell>
          <cell r="J267" t="str">
            <v>1995IL</v>
          </cell>
          <cell r="K267">
            <v>0.78875956350503285</v>
          </cell>
          <cell r="L267">
            <v>7.8555037321565907E-2</v>
          </cell>
          <cell r="M267">
            <v>0.13268539917340127</v>
          </cell>
          <cell r="U267" t="str">
            <v>1995IL</v>
          </cell>
          <cell r="V267">
            <v>5.8055355000000003E-2</v>
          </cell>
          <cell r="W267">
            <v>4.3128187999999998E-2</v>
          </cell>
          <cell r="X267">
            <v>0.266286562</v>
          </cell>
          <cell r="Y267">
            <v>0.162153245</v>
          </cell>
          <cell r="Z267">
            <v>0.47037664800000001</v>
          </cell>
          <cell r="AB267" t="str">
            <v>1995IL</v>
          </cell>
          <cell r="AC267">
            <v>0</v>
          </cell>
          <cell r="AD267">
            <v>0</v>
          </cell>
          <cell r="AE267">
            <v>5.5555555999999999E-2</v>
          </cell>
          <cell r="AF267">
            <v>0.94444444400000005</v>
          </cell>
        </row>
        <row r="268">
          <cell r="B268" t="str">
            <v>1995IN</v>
          </cell>
          <cell r="C268">
            <v>4.916997309222803E-2</v>
          </cell>
          <cell r="D268">
            <v>0.15839058043729351</v>
          </cell>
          <cell r="E268">
            <v>0.18583728913792313</v>
          </cell>
          <cell r="F268">
            <v>0.45376049740823304</v>
          </cell>
          <cell r="G268">
            <v>0.11002307167867088</v>
          </cell>
          <cell r="H268">
            <v>4.281858824565149E-2</v>
          </cell>
          <cell r="J268" t="str">
            <v>1995IN</v>
          </cell>
          <cell r="K268">
            <v>0.70413963918340605</v>
          </cell>
          <cell r="L268">
            <v>0.11002307167867088</v>
          </cell>
          <cell r="M268">
            <v>0.18583728913792313</v>
          </cell>
          <cell r="U268" t="str">
            <v>1995IN</v>
          </cell>
          <cell r="V268">
            <v>6.2837241000000002E-2</v>
          </cell>
          <cell r="W268">
            <v>4.3014968000000001E-2</v>
          </cell>
          <cell r="X268">
            <v>0.26533119599999999</v>
          </cell>
          <cell r="Y268">
            <v>0.15903055099999999</v>
          </cell>
          <cell r="Z268">
            <v>0.46978604400000001</v>
          </cell>
          <cell r="AB268" t="str">
            <v>1995IN</v>
          </cell>
          <cell r="AC268">
            <v>0</v>
          </cell>
          <cell r="AD268">
            <v>2.222222222222222E-2</v>
          </cell>
          <cell r="AE268">
            <v>0</v>
          </cell>
          <cell r="AF268">
            <v>0.97777777799999999</v>
          </cell>
        </row>
        <row r="269">
          <cell r="B269" t="str">
            <v>1995IA</v>
          </cell>
          <cell r="C269">
            <v>4.9252689743817871E-2</v>
          </cell>
          <cell r="D269">
            <v>0.1503386730532508</v>
          </cell>
          <cell r="E269">
            <v>0.18888060303915691</v>
          </cell>
          <cell r="F269">
            <v>0.46099493151675902</v>
          </cell>
          <cell r="G269">
            <v>0.11182483463512272</v>
          </cell>
          <cell r="H269">
            <v>3.8708268011892789E-2</v>
          </cell>
          <cell r="J269" t="str">
            <v>1995IA</v>
          </cell>
          <cell r="K269">
            <v>0.6992945623257204</v>
          </cell>
          <cell r="L269">
            <v>0.11182483463512272</v>
          </cell>
          <cell r="M269">
            <v>0.18888060303915691</v>
          </cell>
          <cell r="U269" t="str">
            <v>1995IA</v>
          </cell>
          <cell r="V269">
            <v>4.5586260000000003E-2</v>
          </cell>
          <cell r="W269">
            <v>3.9398458999999997E-2</v>
          </cell>
          <cell r="X269">
            <v>0.18146680600000001</v>
          </cell>
          <cell r="Y269">
            <v>0.34488893100000001</v>
          </cell>
          <cell r="Z269">
            <v>0.38865954400000002</v>
          </cell>
          <cell r="AB269" t="str">
            <v>1995IA</v>
          </cell>
          <cell r="AC269">
            <v>1.7777777777777774E-2</v>
          </cell>
          <cell r="AD269">
            <v>1.7777777777777774E-2</v>
          </cell>
          <cell r="AE269">
            <v>8.8888890000000005E-3</v>
          </cell>
          <cell r="AF269">
            <v>0.95555555599999997</v>
          </cell>
        </row>
        <row r="270">
          <cell r="B270" t="str">
            <v>1995KS</v>
          </cell>
          <cell r="C270">
            <v>5.5608477199173126E-2</v>
          </cell>
          <cell r="D270">
            <v>0.17627658716151126</v>
          </cell>
          <cell r="E270">
            <v>0.14439575424045117</v>
          </cell>
          <cell r="F270">
            <v>0.49161896303373515</v>
          </cell>
          <cell r="G270">
            <v>8.5488033605043215E-2</v>
          </cell>
          <cell r="H270">
            <v>4.6612184760086058E-2</v>
          </cell>
          <cell r="J270" t="str">
            <v>1995KS</v>
          </cell>
          <cell r="K270">
            <v>0.77011621215450554</v>
          </cell>
          <cell r="L270">
            <v>8.5488033605043215E-2</v>
          </cell>
          <cell r="M270">
            <v>0.14439575424045117</v>
          </cell>
          <cell r="U270" t="str">
            <v>1995KS</v>
          </cell>
          <cell r="V270">
            <v>9.0925864999999995E-2</v>
          </cell>
          <cell r="W270">
            <v>4.2117137999999998E-2</v>
          </cell>
          <cell r="X270">
            <v>0.25884649700000001</v>
          </cell>
          <cell r="Y270">
            <v>0.145750833</v>
          </cell>
          <cell r="Z270">
            <v>0.46235966699999997</v>
          </cell>
          <cell r="AB270" t="str">
            <v>1995KS</v>
          </cell>
          <cell r="AC270">
            <v>0</v>
          </cell>
          <cell r="AD270">
            <v>0</v>
          </cell>
          <cell r="AE270">
            <v>1.1111111E-2</v>
          </cell>
          <cell r="AF270">
            <v>0.98888888900000005</v>
          </cell>
        </row>
        <row r="271">
          <cell r="B271" t="str">
            <v>1995KY</v>
          </cell>
          <cell r="C271">
            <v>1.4615457097916184E-2</v>
          </cell>
          <cell r="D271">
            <v>4.9351442784049203E-2</v>
          </cell>
          <cell r="E271">
            <v>0.13966151747282213</v>
          </cell>
          <cell r="F271">
            <v>0.15585659983586916</v>
          </cell>
          <cell r="G271">
            <v>0.6258172218669561</v>
          </cell>
          <cell r="H271">
            <v>1.4697760942387162E-2</v>
          </cell>
          <cell r="J271" t="str">
            <v>1995KY</v>
          </cell>
          <cell r="K271">
            <v>0.23452126066022183</v>
          </cell>
          <cell r="L271">
            <v>0.6258172218669561</v>
          </cell>
          <cell r="M271">
            <v>0.13966151747282213</v>
          </cell>
          <cell r="U271" t="str">
            <v>1995KY</v>
          </cell>
          <cell r="V271">
            <v>0.116184801</v>
          </cell>
          <cell r="W271">
            <v>3.5982628000000003E-2</v>
          </cell>
          <cell r="X271">
            <v>0.15221040899999999</v>
          </cell>
          <cell r="Y271">
            <v>0.34710329000000001</v>
          </cell>
          <cell r="Z271">
            <v>0.34851887100000001</v>
          </cell>
          <cell r="AB271" t="str">
            <v>1995KY</v>
          </cell>
          <cell r="AC271">
            <v>1.3333333333333329E-2</v>
          </cell>
          <cell r="AD271">
            <v>0.14666666666666661</v>
          </cell>
          <cell r="AE271">
            <v>0.29888888899999999</v>
          </cell>
          <cell r="AF271">
            <v>0.54111111099999998</v>
          </cell>
        </row>
        <row r="272">
          <cell r="B272" t="str">
            <v>1995LA</v>
          </cell>
          <cell r="C272">
            <v>8.1842288506844149E-2</v>
          </cell>
          <cell r="D272">
            <v>6.039559658754029E-2</v>
          </cell>
          <cell r="E272">
            <v>0.14383455857060956</v>
          </cell>
          <cell r="F272">
            <v>0.10748949622604935</v>
          </cell>
          <cell r="G272">
            <v>0.60106152493789411</v>
          </cell>
          <cell r="H272">
            <v>5.3765351710625122E-3</v>
          </cell>
          <cell r="J272" t="str">
            <v>1995LA</v>
          </cell>
          <cell r="K272">
            <v>0.25510391649149633</v>
          </cell>
          <cell r="L272">
            <v>0.60106152493789411</v>
          </cell>
          <cell r="M272">
            <v>0.14383455857060956</v>
          </cell>
          <cell r="U272" t="str">
            <v>1995LA</v>
          </cell>
          <cell r="V272">
            <v>0.49395905299999998</v>
          </cell>
          <cell r="W272">
            <v>2.1429063000000002E-2</v>
          </cell>
          <cell r="X272">
            <v>0.113250265</v>
          </cell>
          <cell r="Y272">
            <v>0.15303433799999999</v>
          </cell>
          <cell r="Z272">
            <v>0.21832728200000001</v>
          </cell>
          <cell r="AB272" t="str">
            <v>1995LA</v>
          </cell>
          <cell r="AC272">
            <v>2.222222222222222E-2</v>
          </cell>
          <cell r="AD272">
            <v>0</v>
          </cell>
          <cell r="AE272">
            <v>0.75555555600000002</v>
          </cell>
          <cell r="AF272">
            <v>0.222222222</v>
          </cell>
        </row>
        <row r="273">
          <cell r="B273" t="str">
            <v>1995ME</v>
          </cell>
          <cell r="C273">
            <v>3.9674561834755505E-2</v>
          </cell>
          <cell r="D273">
            <v>0.11396969189015212</v>
          </cell>
          <cell r="E273">
            <v>0.46990140172930284</v>
          </cell>
          <cell r="F273">
            <v>0.26117043655215194</v>
          </cell>
          <cell r="G273">
            <v>8.9497598751184071E-2</v>
          </cell>
          <cell r="H273">
            <v>2.5786309242453599E-2</v>
          </cell>
          <cell r="J273" t="str">
            <v>1995ME</v>
          </cell>
          <cell r="K273">
            <v>0.44060099951951304</v>
          </cell>
          <cell r="L273">
            <v>8.9497598751184071E-2</v>
          </cell>
          <cell r="M273">
            <v>0.46990140172930284</v>
          </cell>
          <cell r="U273" t="str">
            <v>1995ME</v>
          </cell>
          <cell r="V273">
            <v>1</v>
          </cell>
          <cell r="W273">
            <v>0</v>
          </cell>
          <cell r="X273">
            <v>0</v>
          </cell>
          <cell r="Y273">
            <v>0</v>
          </cell>
          <cell r="Z273">
            <v>0</v>
          </cell>
          <cell r="AB273" t="str">
            <v>1995ME</v>
          </cell>
          <cell r="AC273">
            <v>4.4444444444444439E-2</v>
          </cell>
          <cell r="AD273">
            <v>0.04</v>
          </cell>
          <cell r="AE273">
            <v>2.7777777999999999E-2</v>
          </cell>
          <cell r="AF273">
            <v>0.88777777800000002</v>
          </cell>
        </row>
        <row r="274">
          <cell r="B274" t="str">
            <v>1995MD</v>
          </cell>
          <cell r="C274">
            <v>4.9361595962644417E-2</v>
          </cell>
          <cell r="D274">
            <v>0.12849784093002142</v>
          </cell>
          <cell r="E274">
            <v>0.45704669808581483</v>
          </cell>
          <cell r="F274">
            <v>0.25650381910886472</v>
          </cell>
          <cell r="G274">
            <v>7.7902036725327334E-2</v>
          </cell>
          <cell r="H274">
            <v>3.0688009187327329E-2</v>
          </cell>
          <cell r="J274" t="str">
            <v>1995MD</v>
          </cell>
          <cell r="K274">
            <v>0.46505126518885787</v>
          </cell>
          <cell r="L274">
            <v>7.7902036725327334E-2</v>
          </cell>
          <cell r="M274">
            <v>0.45704669808581483</v>
          </cell>
          <cell r="U274" t="str">
            <v>1995MD</v>
          </cell>
          <cell r="V274">
            <v>0.182536481</v>
          </cell>
          <cell r="W274">
            <v>4.0096318999999998E-2</v>
          </cell>
          <cell r="X274">
            <v>0.221148014</v>
          </cell>
          <cell r="Y274">
            <v>0.158725056</v>
          </cell>
          <cell r="Z274">
            <v>0.39749413099999997</v>
          </cell>
          <cell r="AB274" t="str">
            <v>1995MD</v>
          </cell>
          <cell r="AC274">
            <v>0</v>
          </cell>
          <cell r="AD274">
            <v>0</v>
          </cell>
          <cell r="AE274">
            <v>2.7777777999999999E-2</v>
          </cell>
          <cell r="AF274">
            <v>0.97222222199999997</v>
          </cell>
        </row>
        <row r="275">
          <cell r="B275" t="str">
            <v>1995MA</v>
          </cell>
          <cell r="C275">
            <v>4.5022867196627209E-2</v>
          </cell>
          <cell r="D275">
            <v>0.1271858433506439</v>
          </cell>
          <cell r="E275">
            <v>0.46069240253682692</v>
          </cell>
          <cell r="F275">
            <v>0.25680439288958562</v>
          </cell>
          <cell r="G275">
            <v>8.1190637790126405E-2</v>
          </cell>
          <cell r="H275">
            <v>2.9103856236190051E-2</v>
          </cell>
          <cell r="J275" t="str">
            <v>1995MA</v>
          </cell>
          <cell r="K275">
            <v>0.45811695967304666</v>
          </cell>
          <cell r="L275">
            <v>8.1190637790126405E-2</v>
          </cell>
          <cell r="M275">
            <v>0.46069240253682692</v>
          </cell>
          <cell r="U275" t="str">
            <v>1995MA</v>
          </cell>
          <cell r="V275">
            <v>0.41117253199999998</v>
          </cell>
          <cell r="W275">
            <v>2.5908409E-2</v>
          </cell>
          <cell r="X275">
            <v>0.16251638099999999</v>
          </cell>
          <cell r="Y275">
            <v>0.124242596</v>
          </cell>
          <cell r="Z275">
            <v>0.276160083</v>
          </cell>
          <cell r="AB275" t="str">
            <v>1995MA</v>
          </cell>
          <cell r="AC275">
            <v>4.4444444444444439E-2</v>
          </cell>
          <cell r="AD275">
            <v>0.04</v>
          </cell>
          <cell r="AE275">
            <v>2.7777777999999999E-2</v>
          </cell>
          <cell r="AF275">
            <v>0.88777777800000002</v>
          </cell>
        </row>
        <row r="276">
          <cell r="B276" t="str">
            <v>1995MI</v>
          </cell>
          <cell r="C276">
            <v>9.9002343536244403E-2</v>
          </cell>
          <cell r="D276">
            <v>0.24101165137257866</v>
          </cell>
          <cell r="E276">
            <v>0.11069094866744093</v>
          </cell>
          <cell r="F276">
            <v>0.43290794209742417</v>
          </cell>
          <cell r="G276">
            <v>6.5533447221022223E-2</v>
          </cell>
          <cell r="H276">
            <v>5.0853667105289588E-2</v>
          </cell>
          <cell r="J276" t="str">
            <v>1995MI</v>
          </cell>
          <cell r="K276">
            <v>0.82377560411153683</v>
          </cell>
          <cell r="L276">
            <v>6.5533447221022223E-2</v>
          </cell>
          <cell r="M276">
            <v>0.11069094866744093</v>
          </cell>
          <cell r="U276" t="str">
            <v>1995MI</v>
          </cell>
          <cell r="V276">
            <v>8.4952944000000002E-2</v>
          </cell>
          <cell r="W276">
            <v>4.6370921000000002E-2</v>
          </cell>
          <cell r="X276">
            <v>0.24593506600000001</v>
          </cell>
          <cell r="Y276">
            <v>0.17271209400000001</v>
          </cell>
          <cell r="Z276">
            <v>0.45002897400000003</v>
          </cell>
          <cell r="AB276" t="str">
            <v>1995MI</v>
          </cell>
          <cell r="AC276">
            <v>0.04</v>
          </cell>
          <cell r="AD276">
            <v>1.3333333333333329E-2</v>
          </cell>
          <cell r="AE276">
            <v>2.4444443999999999E-2</v>
          </cell>
          <cell r="AF276">
            <v>0.92222222200000004</v>
          </cell>
        </row>
        <row r="277">
          <cell r="B277" t="str">
            <v>1995MN</v>
          </cell>
          <cell r="C277">
            <v>4.4012772782335473E-2</v>
          </cell>
          <cell r="D277">
            <v>0.13857570587664017</v>
          </cell>
          <cell r="E277">
            <v>0.21836433654303855</v>
          </cell>
          <cell r="F277">
            <v>0.43407522292513484</v>
          </cell>
          <cell r="G277">
            <v>0.12928037835135117</v>
          </cell>
          <cell r="H277">
            <v>3.5691583521499794E-2</v>
          </cell>
          <cell r="J277" t="str">
            <v>1995MN</v>
          </cell>
          <cell r="K277">
            <v>0.65235528510561025</v>
          </cell>
          <cell r="L277">
            <v>0.12928037835135117</v>
          </cell>
          <cell r="M277">
            <v>0.21836433654303855</v>
          </cell>
          <cell r="U277" t="str">
            <v>1995MN</v>
          </cell>
          <cell r="V277">
            <v>5.6583227E-2</v>
          </cell>
          <cell r="W277">
            <v>4.6530782E-2</v>
          </cell>
          <cell r="X277">
            <v>0.25494421499999997</v>
          </cell>
          <cell r="Y277">
            <v>0.18232612600000001</v>
          </cell>
          <cell r="Z277">
            <v>0.45961564999999999</v>
          </cell>
          <cell r="AB277" t="str">
            <v>1995MN</v>
          </cell>
          <cell r="AC277">
            <v>0</v>
          </cell>
          <cell r="AD277">
            <v>0.11111111111111106</v>
          </cell>
          <cell r="AE277">
            <v>0</v>
          </cell>
          <cell r="AF277">
            <v>0.88888888899999996</v>
          </cell>
        </row>
        <row r="278">
          <cell r="B278" t="str">
            <v>1995MS</v>
          </cell>
          <cell r="C278">
            <v>7.2826935580670576E-2</v>
          </cell>
          <cell r="D278">
            <v>5.770741201015242E-2</v>
          </cell>
          <cell r="E278">
            <v>0.13912499999999997</v>
          </cell>
          <cell r="F278">
            <v>9.648309513725685E-2</v>
          </cell>
          <cell r="G278">
            <v>0.629</v>
          </cell>
          <cell r="H278">
            <v>4.8575572719201984E-3</v>
          </cell>
          <cell r="J278" t="str">
            <v>1995MS</v>
          </cell>
          <cell r="K278">
            <v>0.23187500000000005</v>
          </cell>
          <cell r="L278">
            <v>0.629</v>
          </cell>
          <cell r="M278">
            <v>0.13912499999999997</v>
          </cell>
          <cell r="U278" t="str">
            <v>1995MS</v>
          </cell>
          <cell r="V278">
            <v>8.9265337E-2</v>
          </cell>
          <cell r="W278">
            <v>3.5540507999999998E-2</v>
          </cell>
          <cell r="X278">
            <v>0.108286825</v>
          </cell>
          <cell r="Y278">
            <v>0.44270976200000001</v>
          </cell>
          <cell r="Z278">
            <v>0.32419756700000002</v>
          </cell>
          <cell r="AB278" t="str">
            <v>1995MS</v>
          </cell>
          <cell r="AC278">
            <v>4.4444444444444439E-2</v>
          </cell>
          <cell r="AD278">
            <v>2.222222222222222E-2</v>
          </cell>
          <cell r="AE278">
            <v>0.71111111100000002</v>
          </cell>
          <cell r="AF278">
            <v>0.222222222</v>
          </cell>
        </row>
        <row r="279">
          <cell r="B279" t="str">
            <v>1995MO</v>
          </cell>
          <cell r="C279">
            <v>4.789615843285204E-2</v>
          </cell>
          <cell r="D279">
            <v>0.15991532351110388</v>
          </cell>
          <cell r="E279">
            <v>0.16451875576769157</v>
          </cell>
          <cell r="F279">
            <v>0.48362713236586596</v>
          </cell>
          <cell r="G279">
            <v>9.7401651424653221E-2</v>
          </cell>
          <cell r="H279">
            <v>4.6640978497833309E-2</v>
          </cell>
          <cell r="J279" t="str">
            <v>1995MO</v>
          </cell>
          <cell r="K279">
            <v>0.73807959280765523</v>
          </cell>
          <cell r="L279">
            <v>9.7401651424653221E-2</v>
          </cell>
          <cell r="M279">
            <v>0.16451875576769157</v>
          </cell>
          <cell r="U279" t="str">
            <v>1995MO</v>
          </cell>
          <cell r="V279">
            <v>8.9775514000000001E-2</v>
          </cell>
          <cell r="W279">
            <v>4.2019952999999999E-2</v>
          </cell>
          <cell r="X279">
            <v>0.25860973999999998</v>
          </cell>
          <cell r="Y279">
            <v>0.14920823</v>
          </cell>
          <cell r="Z279">
            <v>0.46038656300000003</v>
          </cell>
          <cell r="AB279" t="str">
            <v>1995MO</v>
          </cell>
          <cell r="AC279">
            <v>0</v>
          </cell>
          <cell r="AD279">
            <v>8.8888888888888878E-2</v>
          </cell>
          <cell r="AE279">
            <v>0</v>
          </cell>
          <cell r="AF279">
            <v>0.91111111099999997</v>
          </cell>
        </row>
        <row r="280">
          <cell r="B280" t="str">
            <v>1995MT</v>
          </cell>
          <cell r="C280">
            <v>0.2879602583389263</v>
          </cell>
          <cell r="D280">
            <v>0.22468365149244926</v>
          </cell>
          <cell r="E280">
            <v>5.7858586115503395E-2</v>
          </cell>
          <cell r="F280">
            <v>0.31037654482369087</v>
          </cell>
          <cell r="G280">
            <v>3.4254585809676143E-2</v>
          </cell>
          <cell r="H280">
            <v>8.4866373419754046E-2</v>
          </cell>
          <cell r="J280" t="str">
            <v>1995MT</v>
          </cell>
          <cell r="K280">
            <v>0.90788682807482046</v>
          </cell>
          <cell r="L280">
            <v>3.4254585809676143E-2</v>
          </cell>
          <cell r="M280">
            <v>5.7858586115503395E-2</v>
          </cell>
          <cell r="U280" t="str">
            <v>1995MT</v>
          </cell>
          <cell r="V280">
            <v>0.118288869</v>
          </cell>
          <cell r="W280">
            <v>4.6193643E-2</v>
          </cell>
          <cell r="X280">
            <v>0.23533738900000001</v>
          </cell>
          <cell r="Y280">
            <v>0.16137987100000001</v>
          </cell>
          <cell r="Z280">
            <v>0.43880022699999999</v>
          </cell>
          <cell r="AB280" t="str">
            <v>1995MT</v>
          </cell>
          <cell r="AC280">
            <v>0</v>
          </cell>
          <cell r="AD280">
            <v>3.5555555555555549E-2</v>
          </cell>
          <cell r="AE280">
            <v>0.35111111099999998</v>
          </cell>
          <cell r="AF280">
            <v>0.61333333300000004</v>
          </cell>
        </row>
        <row r="281">
          <cell r="B281" t="str">
            <v>1995NE</v>
          </cell>
          <cell r="C281">
            <v>5.0654584365125016E-2</v>
          </cell>
          <cell r="D281">
            <v>0.16829032114831829</v>
          </cell>
          <cell r="E281">
            <v>0.16138745414361363</v>
          </cell>
          <cell r="F281">
            <v>0.4751593823999738</v>
          </cell>
          <cell r="G281">
            <v>9.5547796234278698E-2</v>
          </cell>
          <cell r="H281">
            <v>4.8960461708690478E-2</v>
          </cell>
          <cell r="J281" t="str">
            <v>1995NE</v>
          </cell>
          <cell r="K281">
            <v>0.74306474962210767</v>
          </cell>
          <cell r="L281">
            <v>9.5547796234278698E-2</v>
          </cell>
          <cell r="M281">
            <v>0.16138745414361363</v>
          </cell>
          <cell r="U281" t="str">
            <v>1995NE</v>
          </cell>
          <cell r="V281">
            <v>7.4044347999999996E-2</v>
          </cell>
          <cell r="W281">
            <v>4.2246804999999998E-2</v>
          </cell>
          <cell r="X281">
            <v>0.26120659600000001</v>
          </cell>
          <cell r="Y281">
            <v>0.162648193</v>
          </cell>
          <cell r="Z281">
            <v>0.45985405800000001</v>
          </cell>
          <cell r="AB281" t="str">
            <v>1995NE</v>
          </cell>
          <cell r="AC281">
            <v>0</v>
          </cell>
          <cell r="AD281">
            <v>0</v>
          </cell>
          <cell r="AE281">
            <v>1.1111111E-2</v>
          </cell>
          <cell r="AF281">
            <v>0.98888888900000005</v>
          </cell>
        </row>
        <row r="282">
          <cell r="B282" t="str">
            <v>1995NV</v>
          </cell>
          <cell r="C282">
            <v>0.61288634329467662</v>
          </cell>
          <cell r="D282">
            <v>0.22801517329414139</v>
          </cell>
          <cell r="E282">
            <v>2.4858094323872659E-2</v>
          </cell>
          <cell r="F282">
            <v>0.1123367012111947</v>
          </cell>
          <cell r="G282">
            <v>1.4716981216621124E-2</v>
          </cell>
          <cell r="H282">
            <v>7.1867066594935658E-3</v>
          </cell>
          <cell r="J282" t="str">
            <v>1995NV</v>
          </cell>
          <cell r="K282">
            <v>0.96042492445950622</v>
          </cell>
          <cell r="L282">
            <v>1.4716981216621124E-2</v>
          </cell>
          <cell r="M282">
            <v>2.4858094323872659E-2</v>
          </cell>
          <cell r="U282" t="str">
            <v>1995NV</v>
          </cell>
          <cell r="V282">
            <v>1</v>
          </cell>
          <cell r="W282">
            <v>0</v>
          </cell>
          <cell r="X282">
            <v>0</v>
          </cell>
          <cell r="Y282">
            <v>0</v>
          </cell>
          <cell r="Z282">
            <v>0</v>
          </cell>
          <cell r="AB282" t="str">
            <v>1995NV</v>
          </cell>
          <cell r="AC282">
            <v>0.11111111111111106</v>
          </cell>
          <cell r="AD282">
            <v>0</v>
          </cell>
          <cell r="AE282">
            <v>0</v>
          </cell>
          <cell r="AF282">
            <v>0.88888888899999996</v>
          </cell>
        </row>
        <row r="283">
          <cell r="B283" t="str">
            <v>1995NH</v>
          </cell>
          <cell r="C283">
            <v>4.7415953103058607E-2</v>
          </cell>
          <cell r="D283">
            <v>0.13302340719959393</v>
          </cell>
          <cell r="E283">
            <v>0.45681425009072874</v>
          </cell>
          <cell r="F283">
            <v>0.25452691188015947</v>
          </cell>
          <cell r="G283">
            <v>7.7692357434418657E-2</v>
          </cell>
          <cell r="H283">
            <v>3.0527120292040532E-2</v>
          </cell>
          <cell r="J283" t="str">
            <v>1995NH</v>
          </cell>
          <cell r="K283">
            <v>0.46549339247485255</v>
          </cell>
          <cell r="L283">
            <v>7.7692357434418657E-2</v>
          </cell>
          <cell r="M283">
            <v>0.45681425009072874</v>
          </cell>
          <cell r="U283" t="str">
            <v>1995NH</v>
          </cell>
          <cell r="V283">
            <v>0.77795798000000005</v>
          </cell>
          <cell r="W283">
            <v>9.7698490000000006E-3</v>
          </cell>
          <cell r="X283">
            <v>6.1283597000000002E-2</v>
          </cell>
          <cell r="Y283">
            <v>4.6850865999999998E-2</v>
          </cell>
          <cell r="Z283">
            <v>0.104137707</v>
          </cell>
          <cell r="AB283" t="str">
            <v>1995NH</v>
          </cell>
          <cell r="AC283">
            <v>0</v>
          </cell>
          <cell r="AD283">
            <v>0</v>
          </cell>
          <cell r="AE283">
            <v>2.7777777999999999E-2</v>
          </cell>
          <cell r="AF283">
            <v>0.97222222199999997</v>
          </cell>
        </row>
        <row r="284">
          <cell r="B284" t="str">
            <v>1995NJ</v>
          </cell>
          <cell r="C284">
            <v>4.2661112965054634E-2</v>
          </cell>
          <cell r="D284">
            <v>0.12404297546108367</v>
          </cell>
          <cell r="E284">
            <v>0.46068946229632007</v>
          </cell>
          <cell r="F284">
            <v>0.26114286239322354</v>
          </cell>
          <cell r="G284">
            <v>8.118798555152848E-2</v>
          </cell>
          <cell r="H284">
            <v>3.0275601332789601E-2</v>
          </cell>
          <cell r="J284" t="str">
            <v>1995NJ</v>
          </cell>
          <cell r="K284">
            <v>0.45812255215215147</v>
          </cell>
          <cell r="L284">
            <v>8.118798555152848E-2</v>
          </cell>
          <cell r="M284">
            <v>0.46068946229632007</v>
          </cell>
          <cell r="U284" t="str">
            <v>1995NJ</v>
          </cell>
          <cell r="V284">
            <v>0.48936369299999999</v>
          </cell>
          <cell r="W284">
            <v>2.2467997999999999E-2</v>
          </cell>
          <cell r="X284">
            <v>0.14093562100000001</v>
          </cell>
          <cell r="Y284">
            <v>0.10774426099999999</v>
          </cell>
          <cell r="Z284">
            <v>0.239488428</v>
          </cell>
          <cell r="AB284" t="str">
            <v>1995NJ</v>
          </cell>
          <cell r="AC284">
            <v>4.4444444444444439E-2</v>
          </cell>
          <cell r="AD284">
            <v>0.04</v>
          </cell>
          <cell r="AE284">
            <v>2.7777777999999999E-2</v>
          </cell>
          <cell r="AF284">
            <v>0.88777777800000002</v>
          </cell>
        </row>
        <row r="285">
          <cell r="B285" t="str">
            <v>1995NM</v>
          </cell>
          <cell r="C285">
            <v>0.60279048359353871</v>
          </cell>
          <cell r="D285">
            <v>0.20135047010624052</v>
          </cell>
          <cell r="E285">
            <v>9.6488857219274055E-2</v>
          </cell>
          <cell r="F285">
            <v>9.7176426636198049E-2</v>
          </cell>
          <cell r="G285">
            <v>0</v>
          </cell>
          <cell r="H285">
            <v>2.1937624447486937E-3</v>
          </cell>
          <cell r="J285" t="str">
            <v>1995NM</v>
          </cell>
          <cell r="K285">
            <v>0.90351114278072597</v>
          </cell>
          <cell r="L285">
            <v>0</v>
          </cell>
          <cell r="M285">
            <v>9.6488857219274055E-2</v>
          </cell>
          <cell r="U285" t="str">
            <v>1995NM</v>
          </cell>
          <cell r="V285">
            <v>1</v>
          </cell>
          <cell r="W285">
            <v>0</v>
          </cell>
          <cell r="X285">
            <v>0</v>
          </cell>
          <cell r="Y285">
            <v>0</v>
          </cell>
          <cell r="Z285">
            <v>0</v>
          </cell>
          <cell r="AB285" t="str">
            <v>1995NM</v>
          </cell>
          <cell r="AC285">
            <v>0.11111111111111106</v>
          </cell>
          <cell r="AD285">
            <v>4.4444444444444439E-2</v>
          </cell>
          <cell r="AE285">
            <v>0.42222222199999998</v>
          </cell>
          <cell r="AF285">
            <v>0.42222222199999998</v>
          </cell>
        </row>
        <row r="286">
          <cell r="B286" t="str">
            <v>1995NY</v>
          </cell>
          <cell r="C286">
            <v>6.2915267385922846E-2</v>
          </cell>
          <cell r="D286">
            <v>0.13453640067983053</v>
          </cell>
          <cell r="E286">
            <v>0.4598882396567649</v>
          </cell>
          <cell r="F286">
            <v>0.23797144118634422</v>
          </cell>
          <cell r="G286">
            <v>8.0465244127754895E-2</v>
          </cell>
          <cell r="H286">
            <v>2.4223406963382699E-2</v>
          </cell>
          <cell r="J286" t="str">
            <v>1995NY</v>
          </cell>
          <cell r="K286">
            <v>0.45964651621548025</v>
          </cell>
          <cell r="L286">
            <v>8.0465244127754895E-2</v>
          </cell>
          <cell r="M286">
            <v>0.4598882396567649</v>
          </cell>
          <cell r="U286" t="str">
            <v>1995NY</v>
          </cell>
          <cell r="V286">
            <v>0.35227437299999997</v>
          </cell>
          <cell r="W286">
            <v>3.1600804000000003E-2</v>
          </cell>
          <cell r="X286">
            <v>0.17541298999999999</v>
          </cell>
          <cell r="Y286">
            <v>0.126333852</v>
          </cell>
          <cell r="Z286">
            <v>0.31437798099999997</v>
          </cell>
          <cell r="AB286" t="str">
            <v>1995NY</v>
          </cell>
          <cell r="AC286">
            <v>4.4444444444444439E-2</v>
          </cell>
          <cell r="AD286">
            <v>0.13333333333333336</v>
          </cell>
          <cell r="AE286">
            <v>2.7777777999999999E-2</v>
          </cell>
          <cell r="AF286">
            <v>0.79444444400000003</v>
          </cell>
        </row>
        <row r="287">
          <cell r="B287" t="str">
            <v>1995NC</v>
          </cell>
          <cell r="C287">
            <v>3.1697502078971887E-2</v>
          </cell>
          <cell r="D287">
            <v>8.0969270069246355E-2</v>
          </cell>
          <cell r="E287">
            <v>0.13912499999999997</v>
          </cell>
          <cell r="F287">
            <v>0.10351819550623211</v>
          </cell>
          <cell r="G287">
            <v>0.629</v>
          </cell>
          <cell r="H287">
            <v>1.5690032345549658E-2</v>
          </cell>
          <cell r="J287" t="str">
            <v>1995NC</v>
          </cell>
          <cell r="K287">
            <v>0.23187500000000005</v>
          </cell>
          <cell r="L287">
            <v>0.629</v>
          </cell>
          <cell r="M287">
            <v>0.13912499999999997</v>
          </cell>
          <cell r="U287" t="str">
            <v>1995NC</v>
          </cell>
          <cell r="V287">
            <v>9.5701559999999998E-3</v>
          </cell>
          <cell r="W287">
            <v>3.7219395000000002E-2</v>
          </cell>
          <cell r="X287">
            <v>7.2579556000000003E-2</v>
          </cell>
          <cell r="Y287">
            <v>0.56057121499999996</v>
          </cell>
          <cell r="Z287">
            <v>0.32005967899999999</v>
          </cell>
          <cell r="AB287" t="str">
            <v>1995NC</v>
          </cell>
          <cell r="AC287">
            <v>0.22222222222222213</v>
          </cell>
          <cell r="AD287">
            <v>2.222222222222222E-2</v>
          </cell>
          <cell r="AE287">
            <v>0.36611111099999999</v>
          </cell>
          <cell r="AF287">
            <v>0.389444444</v>
          </cell>
        </row>
        <row r="288">
          <cell r="B288" t="str">
            <v>1995ND</v>
          </cell>
          <cell r="C288">
            <v>3.3295509844232969E-2</v>
          </cell>
          <cell r="D288">
            <v>0.12330548616066851</v>
          </cell>
          <cell r="E288">
            <v>0.21651182115527931</v>
          </cell>
          <cell r="F288">
            <v>0.46120029137159502</v>
          </cell>
          <cell r="G288">
            <v>0.12818361550984195</v>
          </cell>
          <cell r="H288">
            <v>3.7503275958382341E-2</v>
          </cell>
          <cell r="J288" t="str">
            <v>1995ND</v>
          </cell>
          <cell r="K288">
            <v>0.65530456333487874</v>
          </cell>
          <cell r="L288">
            <v>0.12818361550984195</v>
          </cell>
          <cell r="M288">
            <v>0.21651182115527931</v>
          </cell>
          <cell r="U288" t="str">
            <v>1995ND</v>
          </cell>
          <cell r="V288">
            <v>0.178422996</v>
          </cell>
          <cell r="W288">
            <v>3.9919522999999998E-2</v>
          </cell>
          <cell r="X288">
            <v>0.22267094100000001</v>
          </cell>
          <cell r="Y288">
            <v>0.16078563200000001</v>
          </cell>
          <cell r="Z288">
            <v>0.39820090899999999</v>
          </cell>
          <cell r="AB288" t="str">
            <v>1995ND</v>
          </cell>
          <cell r="AC288">
            <v>0</v>
          </cell>
          <cell r="AD288">
            <v>2.222222222222222E-2</v>
          </cell>
          <cell r="AE288">
            <v>3.3333333E-2</v>
          </cell>
          <cell r="AF288">
            <v>0.94444444400000005</v>
          </cell>
        </row>
        <row r="289">
          <cell r="B289" t="str">
            <v>1995OH</v>
          </cell>
          <cell r="C289">
            <v>5.2043073255284733E-2</v>
          </cell>
          <cell r="D289">
            <v>0.16310887499697335</v>
          </cell>
          <cell r="E289">
            <v>0.18170507555939808</v>
          </cell>
          <cell r="F289">
            <v>0.45205456142777994</v>
          </cell>
          <cell r="G289">
            <v>0.10757663677397199</v>
          </cell>
          <cell r="H289">
            <v>4.351177798659199E-2</v>
          </cell>
          <cell r="J289" t="str">
            <v>1995OH</v>
          </cell>
          <cell r="K289">
            <v>0.71071828766662992</v>
          </cell>
          <cell r="L289">
            <v>0.10757663677397199</v>
          </cell>
          <cell r="M289">
            <v>0.18170507555939808</v>
          </cell>
          <cell r="U289" t="str">
            <v>1995OH</v>
          </cell>
          <cell r="V289">
            <v>0.12562456299999999</v>
          </cell>
          <cell r="W289">
            <v>3.9521872999999999E-2</v>
          </cell>
          <cell r="X289">
            <v>0.245262696</v>
          </cell>
          <cell r="Y289">
            <v>0.16166977900000001</v>
          </cell>
          <cell r="Z289">
            <v>0.42792108899999998</v>
          </cell>
          <cell r="AB289" t="str">
            <v>1995OH</v>
          </cell>
          <cell r="AC289">
            <v>0</v>
          </cell>
          <cell r="AD289">
            <v>0</v>
          </cell>
          <cell r="AE289">
            <v>0</v>
          </cell>
          <cell r="AF289">
            <v>1</v>
          </cell>
        </row>
        <row r="290">
          <cell r="B290" t="str">
            <v>1995OK</v>
          </cell>
          <cell r="C290">
            <v>0.29726614653070943</v>
          </cell>
          <cell r="D290">
            <v>0.23171049527067553</v>
          </cell>
          <cell r="E290">
            <v>0.05</v>
          </cell>
          <cell r="F290">
            <v>0.33043250788220735</v>
          </cell>
          <cell r="G290">
            <v>0</v>
          </cell>
          <cell r="H290">
            <v>9.0590850316407567E-2</v>
          </cell>
          <cell r="J290" t="str">
            <v>1995OK</v>
          </cell>
          <cell r="K290">
            <v>0.95</v>
          </cell>
          <cell r="L290">
            <v>0</v>
          </cell>
          <cell r="M290">
            <v>0.05</v>
          </cell>
          <cell r="U290" t="str">
            <v>1995OK</v>
          </cell>
          <cell r="V290">
            <v>0.118613093</v>
          </cell>
          <cell r="W290">
            <v>3.3578137000000001E-2</v>
          </cell>
          <cell r="X290">
            <v>7.9000213E-2</v>
          </cell>
          <cell r="Y290">
            <v>0.47361795800000001</v>
          </cell>
          <cell r="Z290">
            <v>0.295190599</v>
          </cell>
          <cell r="AB290" t="str">
            <v>1995OK</v>
          </cell>
          <cell r="AC290">
            <v>0</v>
          </cell>
          <cell r="AD290">
            <v>8.8888888888888878E-2</v>
          </cell>
          <cell r="AE290">
            <v>0.33333333300000001</v>
          </cell>
          <cell r="AF290">
            <v>0.57777777799999996</v>
          </cell>
        </row>
        <row r="291">
          <cell r="B291" t="str">
            <v>1995OR</v>
          </cell>
          <cell r="C291">
            <v>0.3188255557425933</v>
          </cell>
          <cell r="D291">
            <v>0.19795125018381951</v>
          </cell>
          <cell r="E291">
            <v>0</v>
          </cell>
          <cell r="F291">
            <v>0.13298528902416817</v>
          </cell>
          <cell r="G291">
            <v>0.32112896662401996</v>
          </cell>
          <cell r="H291">
            <v>2.9108938425399106E-2</v>
          </cell>
          <cell r="J291" t="str">
            <v>1995OR</v>
          </cell>
          <cell r="K291">
            <v>0.67887103337597998</v>
          </cell>
          <cell r="L291">
            <v>0.32112896662401996</v>
          </cell>
          <cell r="M291">
            <v>0</v>
          </cell>
          <cell r="U291" t="str">
            <v>1995OR</v>
          </cell>
          <cell r="V291">
            <v>0.59299415799999999</v>
          </cell>
          <cell r="W291">
            <v>1.7908257E-2</v>
          </cell>
          <cell r="X291">
            <v>0.112333612</v>
          </cell>
          <cell r="Y291">
            <v>8.5878232999999998E-2</v>
          </cell>
          <cell r="Z291">
            <v>0.19088574</v>
          </cell>
          <cell r="AB291" t="str">
            <v>1995OR</v>
          </cell>
          <cell r="AC291">
            <v>0</v>
          </cell>
          <cell r="AD291">
            <v>0.04</v>
          </cell>
          <cell r="AE291">
            <v>0.18777777800000001</v>
          </cell>
          <cell r="AF291">
            <v>0.77222222200000001</v>
          </cell>
        </row>
        <row r="292">
          <cell r="B292" t="str">
            <v>1995PA</v>
          </cell>
          <cell r="C292">
            <v>3.0470915566540628E-2</v>
          </cell>
          <cell r="D292">
            <v>9.3735730774673787E-2</v>
          </cell>
          <cell r="E292">
            <v>0.48019321642753099</v>
          </cell>
          <cell r="F292">
            <v>0.27253243023198787</v>
          </cell>
          <cell r="G292">
            <v>9.8781311468465013E-2</v>
          </cell>
          <cell r="H292">
            <v>2.4286395530801821E-2</v>
          </cell>
          <cell r="J292" t="str">
            <v>1995PA</v>
          </cell>
          <cell r="K292">
            <v>0.42102547210400398</v>
          </cell>
          <cell r="L292">
            <v>9.8781311468465013E-2</v>
          </cell>
          <cell r="M292">
            <v>0.48019321642753099</v>
          </cell>
          <cell r="U292" t="str">
            <v>1995PA</v>
          </cell>
          <cell r="V292">
            <v>7.9906310999999994E-2</v>
          </cell>
          <cell r="W292">
            <v>4.6288489000000002E-2</v>
          </cell>
          <cell r="X292">
            <v>0.24765779499999999</v>
          </cell>
          <cell r="Y292">
            <v>0.17479188100000001</v>
          </cell>
          <cell r="Z292">
            <v>0.45135552499999998</v>
          </cell>
          <cell r="AB292" t="str">
            <v>1995PA</v>
          </cell>
          <cell r="AC292">
            <v>0.13333333333333336</v>
          </cell>
          <cell r="AD292">
            <v>2.222222222222222E-2</v>
          </cell>
          <cell r="AE292">
            <v>0</v>
          </cell>
          <cell r="AF292">
            <v>0.84444444399999996</v>
          </cell>
        </row>
        <row r="293">
          <cell r="B293" t="str">
            <v>1995RI</v>
          </cell>
          <cell r="C293">
            <v>1.7824377725665159E-2</v>
          </cell>
          <cell r="D293">
            <v>6.9116005830637456E-2</v>
          </cell>
          <cell r="E293">
            <v>0.49646378671071961</v>
          </cell>
          <cell r="F293">
            <v>0.28167186225395452</v>
          </cell>
          <cell r="G293">
            <v>0.11345814977973565</v>
          </cell>
          <cell r="H293">
            <v>2.1465817699287616E-2</v>
          </cell>
          <cell r="J293" t="str">
            <v>1995RI</v>
          </cell>
          <cell r="K293">
            <v>0.39007806350954477</v>
          </cell>
          <cell r="L293">
            <v>0.11345814977973565</v>
          </cell>
          <cell r="M293">
            <v>0.49646378671071961</v>
          </cell>
          <cell r="U293" t="str">
            <v>1995RI</v>
          </cell>
          <cell r="V293">
            <v>0.366634081</v>
          </cell>
          <cell r="W293">
            <v>2.78681E-2</v>
          </cell>
          <cell r="X293">
            <v>0.174808994</v>
          </cell>
          <cell r="Y293">
            <v>0.13364020900000001</v>
          </cell>
          <cell r="Z293">
            <v>0.29704861599999999</v>
          </cell>
          <cell r="AB293" t="str">
            <v>1995RI</v>
          </cell>
          <cell r="AC293">
            <v>4.4444444444444439E-2</v>
          </cell>
          <cell r="AD293">
            <v>0.04</v>
          </cell>
          <cell r="AE293">
            <v>2.7777777999999999E-2</v>
          </cell>
          <cell r="AF293">
            <v>0.88777777800000002</v>
          </cell>
        </row>
        <row r="294">
          <cell r="B294" t="str">
            <v>1995SC</v>
          </cell>
          <cell r="C294">
            <v>9.4573716652111617E-2</v>
          </cell>
          <cell r="D294">
            <v>7.2299867199361087E-2</v>
          </cell>
          <cell r="E294">
            <v>0.14234875716567988</v>
          </cell>
          <cell r="F294">
            <v>7.7206801762639582E-2</v>
          </cell>
          <cell r="G294">
            <v>0.60987573223068015</v>
          </cell>
          <cell r="H294">
            <v>3.6951249895277516E-3</v>
          </cell>
          <cell r="J294" t="str">
            <v>1995SC</v>
          </cell>
          <cell r="K294">
            <v>0.24777551060364</v>
          </cell>
          <cell r="L294">
            <v>0.60987573223068015</v>
          </cell>
          <cell r="M294">
            <v>0.14234875716567988</v>
          </cell>
          <cell r="U294" t="str">
            <v>1995SC</v>
          </cell>
          <cell r="V294">
            <v>0.12385483799999999</v>
          </cell>
          <cell r="W294">
            <v>3.4929605000000002E-2</v>
          </cell>
          <cell r="X294">
            <v>0.12750281599999999</v>
          </cell>
          <cell r="Y294">
            <v>0.38504412799999999</v>
          </cell>
          <cell r="Z294">
            <v>0.32866861200000003</v>
          </cell>
          <cell r="AB294" t="str">
            <v>1995SC</v>
          </cell>
          <cell r="AC294">
            <v>4.4444444444444439E-2</v>
          </cell>
          <cell r="AD294">
            <v>0</v>
          </cell>
          <cell r="AE294">
            <v>0.51111111099999995</v>
          </cell>
          <cell r="AF294">
            <v>0.44444444399999999</v>
          </cell>
        </row>
        <row r="295">
          <cell r="B295" t="str">
            <v>1995SD</v>
          </cell>
          <cell r="C295">
            <v>4.8594772850563309E-2</v>
          </cell>
          <cell r="D295">
            <v>0.15689747689457842</v>
          </cell>
          <cell r="E295">
            <v>0.18677183388667118</v>
          </cell>
          <cell r="F295">
            <v>0.45480077034154992</v>
          </cell>
          <cell r="G295">
            <v>0.11057635936574063</v>
          </cell>
          <cell r="H295">
            <v>4.2358786660896465E-2</v>
          </cell>
          <cell r="J295" t="str">
            <v>1995SD</v>
          </cell>
          <cell r="K295">
            <v>0.7026518067475882</v>
          </cell>
          <cell r="L295">
            <v>0.11057635936574063</v>
          </cell>
          <cell r="M295">
            <v>0.18677183388667118</v>
          </cell>
          <cell r="U295" t="str">
            <v>1995SD</v>
          </cell>
          <cell r="V295">
            <v>0.10539558</v>
          </cell>
          <cell r="W295">
            <v>4.3978656999999997E-2</v>
          </cell>
          <cell r="X295">
            <v>0.241910086</v>
          </cell>
          <cell r="Y295">
            <v>0.17337465699999999</v>
          </cell>
          <cell r="Z295">
            <v>0.43534102000000002</v>
          </cell>
          <cell r="AB295" t="str">
            <v>1995SD</v>
          </cell>
          <cell r="AC295">
            <v>0</v>
          </cell>
          <cell r="AD295">
            <v>0</v>
          </cell>
          <cell r="AE295">
            <v>0.1</v>
          </cell>
          <cell r="AF295">
            <v>0.9</v>
          </cell>
        </row>
        <row r="296">
          <cell r="B296" t="str">
            <v>1995TN</v>
          </cell>
          <cell r="C296">
            <v>2.4862913139473728E-2</v>
          </cell>
          <cell r="D296">
            <v>6.7774728227119677E-2</v>
          </cell>
          <cell r="E296">
            <v>0.14022093797470847</v>
          </cell>
          <cell r="F296">
            <v>0.12890311677192101</v>
          </cell>
          <cell r="G296">
            <v>0.62249857628545302</v>
          </cell>
          <cell r="H296">
            <v>1.5739727601324013E-2</v>
          </cell>
          <cell r="J296" t="str">
            <v>1995TN</v>
          </cell>
          <cell r="K296">
            <v>0.23728048573983851</v>
          </cell>
          <cell r="L296">
            <v>0.62249857628545302</v>
          </cell>
          <cell r="M296">
            <v>0.14022093797470847</v>
          </cell>
          <cell r="U296" t="str">
            <v>1995TN</v>
          </cell>
          <cell r="V296">
            <v>0.17139569399999999</v>
          </cell>
          <cell r="W296">
            <v>3.4238818999999997E-2</v>
          </cell>
          <cell r="X296">
            <v>0.15861344999999999</v>
          </cell>
          <cell r="Y296">
            <v>0.297557128</v>
          </cell>
          <cell r="Z296">
            <v>0.33819490899999999</v>
          </cell>
          <cell r="AB296" t="str">
            <v>1995TN</v>
          </cell>
          <cell r="AC296">
            <v>0</v>
          </cell>
          <cell r="AD296">
            <v>0.4</v>
          </cell>
          <cell r="AE296">
            <v>5.8888889E-2</v>
          </cell>
          <cell r="AF296">
            <v>0.54111111099999998</v>
          </cell>
        </row>
        <row r="297">
          <cell r="B297" t="str">
            <v>1995TX</v>
          </cell>
          <cell r="C297">
            <v>0.46613869479909126</v>
          </cell>
          <cell r="D297">
            <v>0.25946919050522343</v>
          </cell>
          <cell r="E297">
            <v>6.7911010227762345E-2</v>
          </cell>
          <cell r="F297">
            <v>0.17184273627380842</v>
          </cell>
          <cell r="G297">
            <v>0</v>
          </cell>
          <cell r="H297">
            <v>3.463836819411472E-2</v>
          </cell>
          <cell r="J297" t="str">
            <v>1995TX</v>
          </cell>
          <cell r="K297">
            <v>0.93208898977223764</v>
          </cell>
          <cell r="L297">
            <v>0</v>
          </cell>
          <cell r="M297">
            <v>6.7911010227762345E-2</v>
          </cell>
          <cell r="U297" t="str">
            <v>1995TX</v>
          </cell>
          <cell r="V297">
            <v>0.17804929999999999</v>
          </cell>
          <cell r="W297">
            <v>3.2046853E-2</v>
          </cell>
          <cell r="X297">
            <v>9.6816376999999995E-2</v>
          </cell>
          <cell r="Y297">
            <v>0.401152232</v>
          </cell>
          <cell r="Z297">
            <v>0.29193523799999999</v>
          </cell>
          <cell r="AB297" t="str">
            <v>1995TX</v>
          </cell>
          <cell r="AC297">
            <v>0.22222222222222213</v>
          </cell>
          <cell r="AD297">
            <v>0</v>
          </cell>
          <cell r="AE297">
            <v>0.24444444400000001</v>
          </cell>
          <cell r="AF297">
            <v>0.53333333299999997</v>
          </cell>
        </row>
        <row r="298">
          <cell r="B298" t="str">
            <v>1995UT</v>
          </cell>
          <cell r="C298">
            <v>0.38262227057543757</v>
          </cell>
          <cell r="D298">
            <v>0.27489904455470221</v>
          </cell>
          <cell r="E298">
            <v>3.2998636289208017E-2</v>
          </cell>
          <cell r="F298">
            <v>0.23195032456710743</v>
          </cell>
          <cell r="G298">
            <v>1.9536506061769918E-2</v>
          </cell>
          <cell r="H298">
            <v>5.7993217951774936E-2</v>
          </cell>
          <cell r="J298" t="str">
            <v>1995UT</v>
          </cell>
          <cell r="K298">
            <v>0.94746485764902211</v>
          </cell>
          <cell r="L298">
            <v>1.9536506061769918E-2</v>
          </cell>
          <cell r="M298">
            <v>3.2998636289208017E-2</v>
          </cell>
          <cell r="U298" t="str">
            <v>1995UT</v>
          </cell>
          <cell r="V298">
            <v>0.233650671</v>
          </cell>
          <cell r="W298">
            <v>4.0445873E-2</v>
          </cell>
          <cell r="X298">
            <v>0.20422536999999999</v>
          </cell>
          <cell r="Y298">
            <v>0.139278034</v>
          </cell>
          <cell r="Z298">
            <v>0.38240005199999999</v>
          </cell>
          <cell r="AB298" t="str">
            <v>1995UT</v>
          </cell>
          <cell r="AC298">
            <v>0.22222222222222213</v>
          </cell>
          <cell r="AD298">
            <v>0</v>
          </cell>
          <cell r="AE298">
            <v>0.33333333300000001</v>
          </cell>
          <cell r="AF298">
            <v>0.44444444399999999</v>
          </cell>
        </row>
        <row r="299">
          <cell r="B299" t="str">
            <v>1995VT</v>
          </cell>
          <cell r="C299">
            <v>5.4342256397843208E-2</v>
          </cell>
          <cell r="D299">
            <v>0.12906789204417016</v>
          </cell>
          <cell r="E299">
            <v>0.46046266881440018</v>
          </cell>
          <cell r="F299">
            <v>0.24833785035300818</v>
          </cell>
          <cell r="G299">
            <v>8.0983406903930286E-2</v>
          </cell>
          <cell r="H299">
            <v>2.680592548664798E-2</v>
          </cell>
          <cell r="J299" t="str">
            <v>1995VT</v>
          </cell>
          <cell r="K299">
            <v>0.45855392428166952</v>
          </cell>
          <cell r="L299">
            <v>8.0983406903930286E-2</v>
          </cell>
          <cell r="M299">
            <v>0.46046266881440018</v>
          </cell>
          <cell r="U299" t="str">
            <v>1995VT</v>
          </cell>
          <cell r="V299">
            <v>1</v>
          </cell>
          <cell r="W299">
            <v>0</v>
          </cell>
          <cell r="X299">
            <v>0</v>
          </cell>
          <cell r="Y299">
            <v>0</v>
          </cell>
          <cell r="Z299">
            <v>0</v>
          </cell>
          <cell r="AB299" t="str">
            <v>1995VT</v>
          </cell>
          <cell r="AC299">
            <v>4.4444444444444439E-2</v>
          </cell>
          <cell r="AD299">
            <v>0.04</v>
          </cell>
          <cell r="AE299">
            <v>2.7777777999999999E-2</v>
          </cell>
          <cell r="AF299">
            <v>0.88777777800000002</v>
          </cell>
        </row>
        <row r="300">
          <cell r="B300" t="str">
            <v>1995VA</v>
          </cell>
          <cell r="C300">
            <v>2.6972795453921714E-2</v>
          </cell>
          <cell r="D300">
            <v>7.2170834859776767E-2</v>
          </cell>
          <cell r="E300">
            <v>0.14048787875000887</v>
          </cell>
          <cell r="F300">
            <v>0.12261061824625699</v>
          </cell>
          <cell r="G300">
            <v>0.62091500574864489</v>
          </cell>
          <cell r="H300">
            <v>1.6842866941390668E-2</v>
          </cell>
          <cell r="J300" t="str">
            <v>1995VA</v>
          </cell>
          <cell r="K300">
            <v>0.23859711550134621</v>
          </cell>
          <cell r="L300">
            <v>0.62091500574864489</v>
          </cell>
          <cell r="M300">
            <v>0.14048787875000887</v>
          </cell>
          <cell r="U300" t="str">
            <v>1995VA</v>
          </cell>
          <cell r="V300">
            <v>7.0514012000000001E-2</v>
          </cell>
          <cell r="W300">
            <v>3.5834531000000003E-2</v>
          </cell>
          <cell r="X300">
            <v>9.6696647999999996E-2</v>
          </cell>
          <cell r="Y300">
            <v>0.476024958</v>
          </cell>
          <cell r="Z300">
            <v>0.32092985099999999</v>
          </cell>
          <cell r="AB300" t="str">
            <v>1995VA</v>
          </cell>
          <cell r="AC300">
            <v>0.31111111111111117</v>
          </cell>
          <cell r="AD300">
            <v>0</v>
          </cell>
          <cell r="AE300">
            <v>2.7777777999999999E-2</v>
          </cell>
          <cell r="AF300">
            <v>0.66111111099999997</v>
          </cell>
        </row>
        <row r="301">
          <cell r="B301" t="str">
            <v>1995WA</v>
          </cell>
          <cell r="C301">
            <v>0.3958171760011997</v>
          </cell>
          <cell r="D301">
            <v>0.2136499072604324</v>
          </cell>
          <cell r="E301">
            <v>0</v>
          </cell>
          <cell r="F301">
            <v>0.11716465814930364</v>
          </cell>
          <cell r="G301">
            <v>0.25279739727066103</v>
          </cell>
          <cell r="H301">
            <v>2.0570861318403265E-2</v>
          </cell>
          <cell r="J301" t="str">
            <v>1995WA</v>
          </cell>
          <cell r="K301">
            <v>0.74720260272933903</v>
          </cell>
          <cell r="L301">
            <v>0.25279739727066103</v>
          </cell>
          <cell r="M301">
            <v>0</v>
          </cell>
          <cell r="U301" t="str">
            <v>1995WA</v>
          </cell>
          <cell r="V301">
            <v>0.30798025899999998</v>
          </cell>
          <cell r="W301">
            <v>3.3567102000000001E-2</v>
          </cell>
          <cell r="X301">
            <v>0.18761936200000001</v>
          </cell>
          <cell r="Y301">
            <v>0.13562205399999999</v>
          </cell>
          <cell r="Z301">
            <v>0.33521122199999998</v>
          </cell>
          <cell r="AB301" t="str">
            <v>1995WA</v>
          </cell>
          <cell r="AC301">
            <v>0</v>
          </cell>
          <cell r="AD301">
            <v>4.4444444444444439E-2</v>
          </cell>
          <cell r="AE301">
            <v>6.6666666999999999E-2</v>
          </cell>
          <cell r="AF301">
            <v>0.88888888899999996</v>
          </cell>
        </row>
        <row r="302">
          <cell r="B302" t="str">
            <v>1995WV</v>
          </cell>
          <cell r="C302">
            <v>3.7358086557080471E-2</v>
          </cell>
          <cell r="D302">
            <v>0.11162572967334437</v>
          </cell>
          <cell r="E302">
            <v>0.46868542100153177</v>
          </cell>
          <cell r="F302">
            <v>0.26628133485878253</v>
          </cell>
          <cell r="G302">
            <v>8.8400725548801115E-2</v>
          </cell>
          <cell r="H302">
            <v>2.7648702360459805E-2</v>
          </cell>
          <cell r="J302" t="str">
            <v>1995WV</v>
          </cell>
          <cell r="K302">
            <v>0.44291385344966716</v>
          </cell>
          <cell r="L302">
            <v>8.8400725548801115E-2</v>
          </cell>
          <cell r="M302">
            <v>0.46868542100153177</v>
          </cell>
          <cell r="U302" t="str">
            <v>1995WV</v>
          </cell>
          <cell r="V302">
            <v>0.52709341799999998</v>
          </cell>
          <cell r="W302">
            <v>2.0807889999999999E-2</v>
          </cell>
          <cell r="X302">
            <v>0.130522217</v>
          </cell>
          <cell r="Y302">
            <v>9.9783288999999997E-2</v>
          </cell>
          <cell r="Z302">
            <v>0.221793187</v>
          </cell>
          <cell r="AB302" t="str">
            <v>1995WV</v>
          </cell>
          <cell r="AC302">
            <v>0.44444444444444425</v>
          </cell>
          <cell r="AD302">
            <v>0</v>
          </cell>
          <cell r="AE302">
            <v>2.7777777999999999E-2</v>
          </cell>
          <cell r="AF302">
            <v>0.52777777800000003</v>
          </cell>
        </row>
        <row r="303">
          <cell r="B303" t="str">
            <v>1995WI</v>
          </cell>
          <cell r="C303">
            <v>5.2580217028482298E-2</v>
          </cell>
          <cell r="D303">
            <v>0.15605634805878651</v>
          </cell>
          <cell r="E303">
            <v>0.1888525775456614</v>
          </cell>
          <cell r="F303">
            <v>0.45256306792033818</v>
          </cell>
          <cell r="G303">
            <v>0.11180824242753087</v>
          </cell>
          <cell r="H303">
            <v>3.8139547019200588E-2</v>
          </cell>
          <cell r="J303" t="str">
            <v>1995WI</v>
          </cell>
          <cell r="K303">
            <v>0.69933918002680773</v>
          </cell>
          <cell r="L303">
            <v>0.11180824242753087</v>
          </cell>
          <cell r="M303">
            <v>0.1888525775456614</v>
          </cell>
          <cell r="U303" t="str">
            <v>1995WI</v>
          </cell>
          <cell r="V303">
            <v>0.16083313399999999</v>
          </cell>
          <cell r="W303">
            <v>3.9587445999999998E-2</v>
          </cell>
          <cell r="X303">
            <v>0.22872394300000001</v>
          </cell>
          <cell r="Y303">
            <v>0.16818386299999999</v>
          </cell>
          <cell r="Z303">
            <v>0.40267161400000001</v>
          </cell>
          <cell r="AB303" t="str">
            <v>1995WI</v>
          </cell>
          <cell r="AC303">
            <v>0.17777777777777776</v>
          </cell>
          <cell r="AD303">
            <v>2.222222222222222E-2</v>
          </cell>
          <cell r="AE303">
            <v>1.1111111E-2</v>
          </cell>
          <cell r="AF303">
            <v>0.78888888899999998</v>
          </cell>
        </row>
        <row r="304">
          <cell r="B304" t="str">
            <v>1995WY</v>
          </cell>
          <cell r="C304">
            <v>0.26387068821297871</v>
          </cell>
          <cell r="D304">
            <v>0.2071242154568112</v>
          </cell>
          <cell r="E304">
            <v>0.14793796951392627</v>
          </cell>
          <cell r="F304">
            <v>0.23146335565953552</v>
          </cell>
          <cell r="G304">
            <v>8.7585166030632947E-2</v>
          </cell>
          <cell r="H304">
            <v>6.2018605126115331E-2</v>
          </cell>
          <cell r="J304" t="str">
            <v>1995WY</v>
          </cell>
          <cell r="K304">
            <v>0.76447686445544072</v>
          </cell>
          <cell r="L304">
            <v>8.7585166030632947E-2</v>
          </cell>
          <cell r="M304">
            <v>0.14793796951392627</v>
          </cell>
          <cell r="U304" t="str">
            <v>1995WY</v>
          </cell>
          <cell r="V304">
            <v>0.189725804</v>
          </cell>
          <cell r="W304">
            <v>4.2165365000000003E-2</v>
          </cell>
          <cell r="X304">
            <v>0.21657960300000001</v>
          </cell>
          <cell r="Y304">
            <v>0.14925685499999999</v>
          </cell>
          <cell r="Z304">
            <v>0.40227237300000002</v>
          </cell>
          <cell r="AB304" t="str">
            <v>1995WY</v>
          </cell>
          <cell r="AC304">
            <v>0</v>
          </cell>
          <cell r="AD304">
            <v>3.5555555555555549E-2</v>
          </cell>
          <cell r="AE304">
            <v>0.35111111099999998</v>
          </cell>
          <cell r="AF304">
            <v>0.61333333300000004</v>
          </cell>
        </row>
        <row r="305">
          <cell r="B305" t="str">
            <v>1996AL</v>
          </cell>
          <cell r="C305">
            <v>8.855834377255796E-2</v>
          </cell>
          <cell r="D305">
            <v>6.8074117087840613E-2</v>
          </cell>
          <cell r="E305">
            <v>0.14149089079068944</v>
          </cell>
          <cell r="F305">
            <v>8.2878180216705649E-2</v>
          </cell>
          <cell r="G305">
            <v>0.61496484577814925</v>
          </cell>
          <cell r="H305">
            <v>4.0336223540569649E-3</v>
          </cell>
          <cell r="J305" t="str">
            <v>1996AL</v>
          </cell>
          <cell r="K305">
            <v>0.24354426343116131</v>
          </cell>
          <cell r="L305">
            <v>0.61496484577814925</v>
          </cell>
          <cell r="M305">
            <v>0.14149089079068944</v>
          </cell>
          <cell r="U305" t="str">
            <v>1996AL</v>
          </cell>
          <cell r="V305">
            <v>0.12013805399999999</v>
          </cell>
          <cell r="W305">
            <v>3.5034871000000002E-2</v>
          </cell>
          <cell r="X305">
            <v>0.126688882</v>
          </cell>
          <cell r="Y305">
            <v>0.38905004300000001</v>
          </cell>
          <cell r="Z305">
            <v>0.329088151</v>
          </cell>
          <cell r="AB305" t="str">
            <v>1996AL</v>
          </cell>
          <cell r="AC305">
            <v>0</v>
          </cell>
          <cell r="AD305">
            <v>3.3333333333333326E-2</v>
          </cell>
          <cell r="AE305">
            <v>0.54600000000000004</v>
          </cell>
          <cell r="AF305">
            <v>0.42066666699999999</v>
          </cell>
        </row>
        <row r="306">
          <cell r="B306" t="str">
            <v>1996AK</v>
          </cell>
          <cell r="C306">
            <v>0.19944627060727221</v>
          </cell>
          <cell r="D306">
            <v>0.15640878602768005</v>
          </cell>
          <cell r="E306">
            <v>0.26018248865355526</v>
          </cell>
          <cell r="F306">
            <v>0.18119140805774953</v>
          </cell>
          <cell r="G306">
            <v>0.15403838880484116</v>
          </cell>
          <cell r="H306">
            <v>4.8732657848901739E-2</v>
          </cell>
          <cell r="J306" t="str">
            <v>1996AK</v>
          </cell>
          <cell r="K306">
            <v>0.58577912254160358</v>
          </cell>
          <cell r="L306">
            <v>0.15403838880484116</v>
          </cell>
          <cell r="M306">
            <v>0.26018248865355526</v>
          </cell>
          <cell r="U306" t="str">
            <v>1996AK</v>
          </cell>
          <cell r="V306">
            <v>1</v>
          </cell>
          <cell r="W306">
            <v>0</v>
          </cell>
          <cell r="X306">
            <v>0</v>
          </cell>
          <cell r="Y306">
            <v>0</v>
          </cell>
          <cell r="Z306">
            <v>0</v>
          </cell>
          <cell r="AB306" t="str">
            <v>1996AK</v>
          </cell>
          <cell r="AC306">
            <v>3.3333333333333326E-2</v>
          </cell>
          <cell r="AD306">
            <v>0.04</v>
          </cell>
          <cell r="AE306">
            <v>0.21666666700000001</v>
          </cell>
          <cell r="AF306">
            <v>0.71</v>
          </cell>
        </row>
        <row r="307">
          <cell r="B307" t="str">
            <v>1996AZ</v>
          </cell>
          <cell r="C307">
            <v>0.6056534205166707</v>
          </cell>
          <cell r="D307">
            <v>0.20450547404912858</v>
          </cell>
          <cell r="E307">
            <v>9.6353301451034531E-2</v>
          </cell>
          <cell r="F307">
            <v>9.26769870746805E-2</v>
          </cell>
          <cell r="G307">
            <v>0</v>
          </cell>
          <cell r="H307">
            <v>8.1081690848561975E-4</v>
          </cell>
          <cell r="J307" t="str">
            <v>1996AZ</v>
          </cell>
          <cell r="K307">
            <v>0.90364669854896551</v>
          </cell>
          <cell r="L307">
            <v>0</v>
          </cell>
          <cell r="M307">
            <v>9.6353301451034531E-2</v>
          </cell>
          <cell r="U307" t="str">
            <v>1996AZ</v>
          </cell>
          <cell r="V307">
            <v>5.6963766999999998E-2</v>
          </cell>
          <cell r="W307">
            <v>3.6723157999999999E-2</v>
          </cell>
          <cell r="X307">
            <v>0.109668526</v>
          </cell>
          <cell r="Y307">
            <v>0.46271759699999998</v>
          </cell>
          <cell r="Z307">
            <v>0.33392695100000003</v>
          </cell>
          <cell r="AB307" t="str">
            <v>1996AZ</v>
          </cell>
          <cell r="AC307">
            <v>0</v>
          </cell>
          <cell r="AD307">
            <v>0</v>
          </cell>
          <cell r="AE307">
            <v>0.4</v>
          </cell>
          <cell r="AF307">
            <v>0.6</v>
          </cell>
        </row>
        <row r="308">
          <cell r="B308" t="str">
            <v>1996AR</v>
          </cell>
          <cell r="C308">
            <v>5.9709969401415555E-2</v>
          </cell>
          <cell r="D308">
            <v>4.6958129256755708E-2</v>
          </cell>
          <cell r="E308">
            <v>0.13912499999999997</v>
          </cell>
          <cell r="F308">
            <v>0.11907079501994509</v>
          </cell>
          <cell r="G308">
            <v>0.629</v>
          </cell>
          <cell r="H308">
            <v>6.1361063218836843E-3</v>
          </cell>
          <cell r="J308" t="str">
            <v>1996AR</v>
          </cell>
          <cell r="K308">
            <v>0.23187500000000005</v>
          </cell>
          <cell r="L308">
            <v>0.629</v>
          </cell>
          <cell r="M308">
            <v>0.13912499999999997</v>
          </cell>
          <cell r="U308" t="str">
            <v>1996AR</v>
          </cell>
          <cell r="V308">
            <v>2.6551559999999998E-2</v>
          </cell>
          <cell r="W308">
            <v>3.7680252999999997E-2</v>
          </cell>
          <cell r="X308">
            <v>0.10603223000000001</v>
          </cell>
          <cell r="Y308">
            <v>0.49020079599999999</v>
          </cell>
          <cell r="Z308">
            <v>0.33953516099999997</v>
          </cell>
          <cell r="AB308" t="str">
            <v>1996AR</v>
          </cell>
          <cell r="AC308">
            <v>0</v>
          </cell>
          <cell r="AD308">
            <v>0.2</v>
          </cell>
          <cell r="AE308">
            <v>0.133333333</v>
          </cell>
          <cell r="AF308">
            <v>0.66666666699999999</v>
          </cell>
        </row>
        <row r="309">
          <cell r="B309" t="str">
            <v>1996CA</v>
          </cell>
          <cell r="C309">
            <v>0.56641466312768063</v>
          </cell>
          <cell r="D309">
            <v>0.2152557679452427</v>
          </cell>
          <cell r="E309">
            <v>0.1118003234820851</v>
          </cell>
          <cell r="F309">
            <v>9.0562626440821678E-2</v>
          </cell>
          <cell r="G309">
            <v>1.3101119396287518E-2</v>
          </cell>
          <cell r="H309">
            <v>2.8654996078823075E-3</v>
          </cell>
          <cell r="J309" t="str">
            <v>1996CA</v>
          </cell>
          <cell r="K309">
            <v>0.87509855712162743</v>
          </cell>
          <cell r="L309">
            <v>1.3101119396287518E-2</v>
          </cell>
          <cell r="M309">
            <v>0.1118003234820851</v>
          </cell>
          <cell r="U309" t="str">
            <v>1996CA</v>
          </cell>
          <cell r="V309">
            <v>0.101772426</v>
          </cell>
          <cell r="W309">
            <v>3.4117363999999997E-2</v>
          </cell>
          <cell r="X309">
            <v>7.7278299999999994E-2</v>
          </cell>
          <cell r="Y309">
            <v>0.48832593499999999</v>
          </cell>
          <cell r="Z309">
            <v>0.29850597499999998</v>
          </cell>
          <cell r="AB309" t="str">
            <v>1996CA</v>
          </cell>
          <cell r="AC309">
            <v>0.15</v>
          </cell>
          <cell r="AD309">
            <v>0.01</v>
          </cell>
          <cell r="AE309">
            <v>0.103333333</v>
          </cell>
          <cell r="AF309">
            <v>0.73666666700000005</v>
          </cell>
        </row>
        <row r="310">
          <cell r="B310" t="str">
            <v>1996CO</v>
          </cell>
          <cell r="C310">
            <v>0.54263148040386666</v>
          </cell>
          <cell r="D310">
            <v>0.26702245483986836</v>
          </cell>
          <cell r="E310">
            <v>2.4005385481318399E-2</v>
          </cell>
          <cell r="F310">
            <v>0.13314584681717387</v>
          </cell>
          <cell r="G310">
            <v>1.4212143643168602E-2</v>
          </cell>
          <cell r="H310">
            <v>1.8982688814604225E-2</v>
          </cell>
          <cell r="J310" t="str">
            <v>1996CO</v>
          </cell>
          <cell r="K310">
            <v>0.96178247087551294</v>
          </cell>
          <cell r="L310">
            <v>1.4212143643168602E-2</v>
          </cell>
          <cell r="M310">
            <v>2.4005385481318399E-2</v>
          </cell>
          <cell r="U310" t="str">
            <v>1996CO</v>
          </cell>
          <cell r="V310">
            <v>3.6449882000000003E-2</v>
          </cell>
          <cell r="W310">
            <v>5.2821282999999997E-2</v>
          </cell>
          <cell r="X310">
            <v>0.25464599799999998</v>
          </cell>
          <cell r="Y310">
            <v>0.168558815</v>
          </cell>
          <cell r="Z310">
            <v>0.487524022</v>
          </cell>
          <cell r="AB310" t="str">
            <v>1996CO</v>
          </cell>
          <cell r="AC310">
            <v>0</v>
          </cell>
          <cell r="AD310">
            <v>2.6666666666666658E-2</v>
          </cell>
          <cell r="AE310">
            <v>0.41333333300000002</v>
          </cell>
          <cell r="AF310">
            <v>0.56000000000000005</v>
          </cell>
        </row>
        <row r="311">
          <cell r="B311" t="str">
            <v>1996CT</v>
          </cell>
          <cell r="C311">
            <v>7.6136373933755913E-2</v>
          </cell>
          <cell r="D311">
            <v>0.16674666758840057</v>
          </cell>
          <cell r="E311">
            <v>0.44053123299661345</v>
          </cell>
          <cell r="F311">
            <v>0.222482280915448</v>
          </cell>
          <cell r="G311">
            <v>6.3004291500005097E-2</v>
          </cell>
          <cell r="H311">
            <v>3.1099153065776965E-2</v>
          </cell>
          <cell r="J311" t="str">
            <v>1996CT</v>
          </cell>
          <cell r="K311">
            <v>0.49646447550338146</v>
          </cell>
          <cell r="L311">
            <v>6.3004291500005097E-2</v>
          </cell>
          <cell r="M311">
            <v>0.44053123299661345</v>
          </cell>
          <cell r="U311" t="str">
            <v>1996CT</v>
          </cell>
          <cell r="V311">
            <v>0.68176551699999999</v>
          </cell>
          <cell r="W311">
            <v>1.4002317E-2</v>
          </cell>
          <cell r="X311">
            <v>8.7832717000000005E-2</v>
          </cell>
          <cell r="Y311">
            <v>6.7147475999999998E-2</v>
          </cell>
          <cell r="Z311">
            <v>0.14925197200000001</v>
          </cell>
          <cell r="AB311" t="str">
            <v>1996CT</v>
          </cell>
          <cell r="AC311">
            <v>0</v>
          </cell>
          <cell r="AD311">
            <v>0</v>
          </cell>
          <cell r="AE311">
            <v>3.3333333E-2</v>
          </cell>
          <cell r="AF311">
            <v>0.96666666700000003</v>
          </cell>
        </row>
        <row r="312">
          <cell r="B312" t="str">
            <v>1996DE</v>
          </cell>
          <cell r="C312">
            <v>5.3763834797438015E-2</v>
          </cell>
          <cell r="D312">
            <v>0.14504151411379113</v>
          </cell>
          <cell r="E312">
            <v>0.45181170646029861</v>
          </cell>
          <cell r="F312">
            <v>0.24528968309692681</v>
          </cell>
          <cell r="G312">
            <v>7.3179822057292981E-2</v>
          </cell>
          <cell r="H312">
            <v>3.0913439474252482E-2</v>
          </cell>
          <cell r="J312" t="str">
            <v>1996DE</v>
          </cell>
          <cell r="K312">
            <v>0.47500847148240843</v>
          </cell>
          <cell r="L312">
            <v>7.3179822057292981E-2</v>
          </cell>
          <cell r="M312">
            <v>0.45181170646029861</v>
          </cell>
          <cell r="U312" t="str">
            <v>1996DE</v>
          </cell>
          <cell r="V312">
            <v>0.11042495200000001</v>
          </cell>
          <cell r="W312">
            <v>4.5986817999999999E-2</v>
          </cell>
          <cell r="X312">
            <v>0.23810673800000001</v>
          </cell>
          <cell r="Y312">
            <v>0.16488195</v>
          </cell>
          <cell r="Z312">
            <v>0.44059954200000001</v>
          </cell>
          <cell r="AB312" t="str">
            <v>1996DE</v>
          </cell>
          <cell r="AC312">
            <v>0</v>
          </cell>
          <cell r="AD312">
            <v>0</v>
          </cell>
          <cell r="AE312">
            <v>3.3333333E-2</v>
          </cell>
          <cell r="AF312">
            <v>0.96666666700000003</v>
          </cell>
        </row>
        <row r="313">
          <cell r="B313" t="str">
            <v>1996FL</v>
          </cell>
          <cell r="C313">
            <v>0.42134093312951293</v>
          </cell>
          <cell r="D313">
            <v>0.1490300697057439</v>
          </cell>
          <cell r="E313">
            <v>0.22271756203203391</v>
          </cell>
          <cell r="F313">
            <v>7.3186647493156565E-2</v>
          </cell>
          <cell r="G313">
            <v>0.13310454086204909</v>
          </cell>
          <cell r="H313">
            <v>6.2024677750359284E-4</v>
          </cell>
          <cell r="J313" t="str">
            <v>1996FL</v>
          </cell>
          <cell r="K313">
            <v>0.644177897105917</v>
          </cell>
          <cell r="L313">
            <v>0.13310454086204909</v>
          </cell>
          <cell r="M313">
            <v>0.22271756203203391</v>
          </cell>
          <cell r="U313" t="str">
            <v>1996FL</v>
          </cell>
          <cell r="V313">
            <v>0.58454829100000005</v>
          </cell>
          <cell r="W313">
            <v>1.8279875000000001E-2</v>
          </cell>
          <cell r="X313">
            <v>0.114664672</v>
          </cell>
          <cell r="Y313">
            <v>8.7660311000000005E-2</v>
          </cell>
          <cell r="Z313">
            <v>0.19484685199999999</v>
          </cell>
          <cell r="AB313" t="str">
            <v>1996FL</v>
          </cell>
          <cell r="AC313">
            <v>0.04</v>
          </cell>
          <cell r="AD313">
            <v>0.02</v>
          </cell>
          <cell r="AE313">
            <v>0.319333333</v>
          </cell>
          <cell r="AF313">
            <v>0.62066666699999995</v>
          </cell>
        </row>
        <row r="314">
          <cell r="B314" t="str">
            <v>1996GA</v>
          </cell>
          <cell r="C314">
            <v>0.13219595727695002</v>
          </cell>
          <cell r="D314">
            <v>8.7026938448690375E-2</v>
          </cell>
          <cell r="E314">
            <v>0.15587994339549371</v>
          </cell>
          <cell r="F314">
            <v>9.1133006348842013E-2</v>
          </cell>
          <cell r="G314">
            <v>0.52960478891944052</v>
          </cell>
          <cell r="H314">
            <v>4.1593656105832141E-3</v>
          </cell>
          <cell r="J314" t="str">
            <v>1996GA</v>
          </cell>
          <cell r="K314">
            <v>0.31451526768506577</v>
          </cell>
          <cell r="L314">
            <v>0.52960478891944052</v>
          </cell>
          <cell r="M314">
            <v>0.15587994339549371</v>
          </cell>
          <cell r="U314" t="str">
            <v>1996GA</v>
          </cell>
          <cell r="V314">
            <v>9.8940318999999999E-2</v>
          </cell>
          <cell r="W314">
            <v>3.6016522000000002E-2</v>
          </cell>
          <cell r="X314">
            <v>0.13408490300000001</v>
          </cell>
          <cell r="Y314">
            <v>0.39081648400000002</v>
          </cell>
          <cell r="Z314">
            <v>0.34014177099999998</v>
          </cell>
          <cell r="AB314" t="str">
            <v>1996GA</v>
          </cell>
          <cell r="AC314">
            <v>0.21333333333333326</v>
          </cell>
          <cell r="AD314">
            <v>1.6666666666666663E-2</v>
          </cell>
          <cell r="AE314">
            <v>0.28266666699999998</v>
          </cell>
          <cell r="AF314">
            <v>0.48733333299999998</v>
          </cell>
        </row>
        <row r="315">
          <cell r="B315" t="str">
            <v>1996HI</v>
          </cell>
          <cell r="C315">
            <v>0.55874868022363511</v>
          </cell>
          <cell r="D315">
            <v>0.21037187174323566</v>
          </cell>
          <cell r="E315">
            <v>0</v>
          </cell>
          <cell r="F315">
            <v>0.12251017968353593</v>
          </cell>
          <cell r="G315">
            <v>9.5723146287927011E-2</v>
          </cell>
          <cell r="H315">
            <v>1.2646122061666459E-2</v>
          </cell>
          <cell r="J315" t="str">
            <v>1996HI</v>
          </cell>
          <cell r="K315">
            <v>0.904276853712073</v>
          </cell>
          <cell r="L315">
            <v>9.5723146287927011E-2</v>
          </cell>
          <cell r="M315">
            <v>0</v>
          </cell>
          <cell r="U315" t="str">
            <v>1996HI</v>
          </cell>
          <cell r="V315">
            <v>0.35792432099999999</v>
          </cell>
          <cell r="W315">
            <v>2.8251330000000002E-2</v>
          </cell>
          <cell r="X315">
            <v>0.17721288700000001</v>
          </cell>
          <cell r="Y315">
            <v>0.135477968</v>
          </cell>
          <cell r="Z315">
            <v>0.301133494</v>
          </cell>
          <cell r="AB315" t="str">
            <v>1996HI</v>
          </cell>
          <cell r="AC315">
            <v>3.3333333333333326E-2</v>
          </cell>
          <cell r="AD315">
            <v>0</v>
          </cell>
          <cell r="AE315">
            <v>0.43333333299999999</v>
          </cell>
          <cell r="AF315">
            <v>0.53333333299999997</v>
          </cell>
        </row>
        <row r="316">
          <cell r="B316" t="str">
            <v>1996ID</v>
          </cell>
          <cell r="C316">
            <v>0.53437457900516627</v>
          </cell>
          <cell r="D316">
            <v>0.24610079524037443</v>
          </cell>
          <cell r="E316">
            <v>2.5083024487627208E-2</v>
          </cell>
          <cell r="F316">
            <v>0.15456715958490616</v>
          </cell>
          <cell r="G316">
            <v>1.4850148826008146E-2</v>
          </cell>
          <cell r="H316">
            <v>2.5024292855917687E-2</v>
          </cell>
          <cell r="J316" t="str">
            <v>1996ID</v>
          </cell>
          <cell r="K316">
            <v>0.96006682668636467</v>
          </cell>
          <cell r="L316">
            <v>1.4850148826008146E-2</v>
          </cell>
          <cell r="M316">
            <v>2.5083024487627208E-2</v>
          </cell>
          <cell r="U316" t="str">
            <v>1996ID</v>
          </cell>
          <cell r="V316">
            <v>0.33680032799999998</v>
          </cell>
          <cell r="W316">
            <v>3.1963907999999999E-2</v>
          </cell>
          <cell r="X316">
            <v>0.18002805999999999</v>
          </cell>
          <cell r="Y316">
            <v>0.13065805599999999</v>
          </cell>
          <cell r="Z316">
            <v>0.32054964800000002</v>
          </cell>
          <cell r="AB316" t="str">
            <v>1996ID</v>
          </cell>
          <cell r="AC316">
            <v>0</v>
          </cell>
          <cell r="AD316">
            <v>0.2</v>
          </cell>
          <cell r="AE316">
            <v>0.4</v>
          </cell>
          <cell r="AF316">
            <v>0.4</v>
          </cell>
        </row>
        <row r="317">
          <cell r="B317" t="str">
            <v>1996IL</v>
          </cell>
          <cell r="C317">
            <v>5.8122567128923427E-2</v>
          </cell>
          <cell r="D317">
            <v>0.18355689773480077</v>
          </cell>
          <cell r="E317">
            <v>0.12699321069686459</v>
          </cell>
          <cell r="F317">
            <v>0.50781821244945191</v>
          </cell>
          <cell r="G317">
            <v>7.5185035188690949E-2</v>
          </cell>
          <cell r="H317">
            <v>4.8324076801268448E-2</v>
          </cell>
          <cell r="J317" t="str">
            <v>1996IL</v>
          </cell>
          <cell r="K317">
            <v>0.79782175411444445</v>
          </cell>
          <cell r="L317">
            <v>7.5185035188690949E-2</v>
          </cell>
          <cell r="M317">
            <v>0.12699321069686459</v>
          </cell>
          <cell r="U317" t="str">
            <v>1996IL</v>
          </cell>
          <cell r="V317">
            <v>5.0288625000000003E-2</v>
          </cell>
          <cell r="W317">
            <v>4.3629467999999998E-2</v>
          </cell>
          <cell r="X317">
            <v>0.26902846899999999</v>
          </cell>
          <cell r="Y317">
            <v>0.16032195099999999</v>
          </cell>
          <cell r="Z317">
            <v>0.47673148700000001</v>
          </cell>
          <cell r="AB317" t="str">
            <v>1996IL</v>
          </cell>
          <cell r="AC317">
            <v>0</v>
          </cell>
          <cell r="AD317">
            <v>0</v>
          </cell>
          <cell r="AE317">
            <v>4.6666667000000002E-2</v>
          </cell>
          <cell r="AF317">
            <v>0.953333333</v>
          </cell>
        </row>
        <row r="318">
          <cell r="B318" t="str">
            <v>1996IN</v>
          </cell>
          <cell r="C318">
            <v>4.9530695530463381E-2</v>
          </cell>
          <cell r="D318">
            <v>0.15944581103420224</v>
          </cell>
          <cell r="E318">
            <v>0.18441335010316867</v>
          </cell>
          <cell r="F318">
            <v>0.45426080319127859</v>
          </cell>
          <cell r="G318">
            <v>0.1091800430959058</v>
          </cell>
          <cell r="H318">
            <v>4.3169297044981389E-2</v>
          </cell>
          <cell r="J318" t="str">
            <v>1996IN</v>
          </cell>
          <cell r="K318">
            <v>0.7064066068009256</v>
          </cell>
          <cell r="L318">
            <v>0.1091800430959058</v>
          </cell>
          <cell r="M318">
            <v>0.18441335010316867</v>
          </cell>
          <cell r="U318" t="str">
            <v>1996IN</v>
          </cell>
          <cell r="V318">
            <v>5.3576266999999997E-2</v>
          </cell>
          <cell r="W318">
            <v>4.3588195000000003E-2</v>
          </cell>
          <cell r="X318">
            <v>0.26850876499999998</v>
          </cell>
          <cell r="Y318">
            <v>0.15737968599999999</v>
          </cell>
          <cell r="Z318">
            <v>0.47694708800000002</v>
          </cell>
          <cell r="AB318" t="str">
            <v>1996IN</v>
          </cell>
          <cell r="AC318">
            <v>0</v>
          </cell>
          <cell r="AD318">
            <v>1.6666666666666663E-2</v>
          </cell>
          <cell r="AE318">
            <v>0</v>
          </cell>
          <cell r="AF318">
            <v>0.98333333300000003</v>
          </cell>
        </row>
        <row r="319">
          <cell r="B319" t="str">
            <v>1996IA</v>
          </cell>
          <cell r="C319">
            <v>5.2801504981808516E-2</v>
          </cell>
          <cell r="D319">
            <v>0.15682186210989749</v>
          </cell>
          <cell r="E319">
            <v>0.17881518052123568</v>
          </cell>
          <cell r="F319">
            <v>0.46597688353309397</v>
          </cell>
          <cell r="G319">
            <v>0.10586570389068178</v>
          </cell>
          <cell r="H319">
            <v>3.9718864963282724E-2</v>
          </cell>
          <cell r="J319" t="str">
            <v>1996IA</v>
          </cell>
          <cell r="K319">
            <v>0.71531911558808248</v>
          </cell>
          <cell r="L319">
            <v>0.10586570389068178</v>
          </cell>
          <cell r="M319">
            <v>0.17881518052123568</v>
          </cell>
          <cell r="U319" t="str">
            <v>1996IA</v>
          </cell>
          <cell r="V319">
            <v>3.6736115999999999E-2</v>
          </cell>
          <cell r="W319">
            <v>3.9352857999999998E-2</v>
          </cell>
          <cell r="X319">
            <v>0.17017564700000001</v>
          </cell>
          <cell r="Y319">
            <v>0.370805995</v>
          </cell>
          <cell r="Z319">
            <v>0.38292938399999998</v>
          </cell>
          <cell r="AB319" t="str">
            <v>1996IA</v>
          </cell>
          <cell r="AC319">
            <v>1.3333333333333329E-2</v>
          </cell>
          <cell r="AD319">
            <v>1.3333333333333329E-2</v>
          </cell>
          <cell r="AE319">
            <v>6.6666670000000003E-3</v>
          </cell>
          <cell r="AF319">
            <v>0.96666666700000003</v>
          </cell>
        </row>
        <row r="320">
          <cell r="B320" t="str">
            <v>1996KS</v>
          </cell>
          <cell r="C320">
            <v>5.3641883900122471E-2</v>
          </cell>
          <cell r="D320">
            <v>0.17376476979254998</v>
          </cell>
          <cell r="E320">
            <v>0.14103434623495803</v>
          </cell>
          <cell r="F320">
            <v>0.50064480337204786</v>
          </cell>
          <cell r="G320">
            <v>8.3497946278407967E-2</v>
          </cell>
          <cell r="H320">
            <v>4.7416250421913712E-2</v>
          </cell>
          <cell r="J320" t="str">
            <v>1996KS</v>
          </cell>
          <cell r="K320">
            <v>0.77546770748663407</v>
          </cell>
          <cell r="L320">
            <v>8.3497946278407967E-2</v>
          </cell>
          <cell r="M320">
            <v>0.14103434623495803</v>
          </cell>
          <cell r="U320" t="str">
            <v>1996KS</v>
          </cell>
          <cell r="V320">
            <v>7.3570316999999996E-2</v>
          </cell>
          <cell r="W320">
            <v>4.313637E-2</v>
          </cell>
          <cell r="X320">
            <v>0.26459508300000001</v>
          </cell>
          <cell r="Y320">
            <v>0.14385381999999999</v>
          </cell>
          <cell r="Z320">
            <v>0.47484440999999999</v>
          </cell>
          <cell r="AB320" t="str">
            <v>1996KS</v>
          </cell>
          <cell r="AC320">
            <v>0</v>
          </cell>
          <cell r="AD320">
            <v>0</v>
          </cell>
          <cell r="AE320">
            <v>1.3333332999999999E-2</v>
          </cell>
          <cell r="AF320">
            <v>0.98666666700000005</v>
          </cell>
        </row>
        <row r="321">
          <cell r="B321" t="str">
            <v>1996KY</v>
          </cell>
          <cell r="C321">
            <v>1.3938553023129846E-2</v>
          </cell>
          <cell r="D321">
            <v>4.8545288945969677E-2</v>
          </cell>
          <cell r="E321">
            <v>0.13939325873641106</v>
          </cell>
          <cell r="F321">
            <v>0.1558834575846739</v>
          </cell>
          <cell r="G321">
            <v>0.62740861093347799</v>
          </cell>
          <cell r="H321">
            <v>1.4830830776337435E-2</v>
          </cell>
          <cell r="J321" t="str">
            <v>1996KY</v>
          </cell>
          <cell r="K321">
            <v>0.23319813033011094</v>
          </cell>
          <cell r="L321">
            <v>0.62740861093347799</v>
          </cell>
          <cell r="M321">
            <v>0.13939325873641106</v>
          </cell>
          <cell r="U321" t="str">
            <v>1996KY</v>
          </cell>
          <cell r="V321">
            <v>9.4163007000000007E-2</v>
          </cell>
          <cell r="W321">
            <v>3.6659878E-2</v>
          </cell>
          <cell r="X321">
            <v>0.14907875600000001</v>
          </cell>
          <cell r="Y321">
            <v>0.367877226</v>
          </cell>
          <cell r="Z321">
            <v>0.35222113199999999</v>
          </cell>
          <cell r="AB321" t="str">
            <v>1996KY</v>
          </cell>
          <cell r="AC321">
            <v>0.01</v>
          </cell>
          <cell r="AD321">
            <v>0.11</v>
          </cell>
          <cell r="AE321">
            <v>0.236666667</v>
          </cell>
          <cell r="AF321">
            <v>0.64333333299999995</v>
          </cell>
        </row>
        <row r="322">
          <cell r="B322" t="str">
            <v>1996LA</v>
          </cell>
          <cell r="C322">
            <v>8.5408332041256751E-2</v>
          </cell>
          <cell r="D322">
            <v>6.1751333844616126E-2</v>
          </cell>
          <cell r="E322">
            <v>0.14540441142747942</v>
          </cell>
          <cell r="F322">
            <v>0.11019237005232599</v>
          </cell>
          <cell r="G322">
            <v>0.59174869991719214</v>
          </cell>
          <cell r="H322">
            <v>5.4948527171295239E-3</v>
          </cell>
          <cell r="J322" t="str">
            <v>1996LA</v>
          </cell>
          <cell r="K322">
            <v>0.26284688865532846</v>
          </cell>
          <cell r="L322">
            <v>0.59174869991719214</v>
          </cell>
          <cell r="M322">
            <v>0.14540441142747942</v>
          </cell>
          <cell r="U322" t="str">
            <v>1996LA</v>
          </cell>
          <cell r="V322">
            <v>0.55333208</v>
          </cell>
          <cell r="W322">
            <v>1.9235018999999999E-2</v>
          </cell>
          <cell r="X322">
            <v>0.110071828</v>
          </cell>
          <cell r="Y322">
            <v>0.11737678</v>
          </cell>
          <cell r="Z322">
            <v>0.19998429400000001</v>
          </cell>
          <cell r="AB322" t="str">
            <v>1996LA</v>
          </cell>
          <cell r="AC322">
            <v>1.6666666666666663E-2</v>
          </cell>
          <cell r="AD322">
            <v>0</v>
          </cell>
          <cell r="AE322">
            <v>0.71666666700000003</v>
          </cell>
          <cell r="AF322">
            <v>0.26666666700000002</v>
          </cell>
        </row>
        <row r="323">
          <cell r="B323" t="str">
            <v>1996ME</v>
          </cell>
          <cell r="C323">
            <v>4.0504400850037203E-2</v>
          </cell>
          <cell r="D323">
            <v>0.11528439802777525</v>
          </cell>
          <cell r="E323">
            <v>0.46959106884492618</v>
          </cell>
          <cell r="F323">
            <v>0.25982119395093928</v>
          </cell>
          <cell r="G323">
            <v>8.9217663537642586E-2</v>
          </cell>
          <cell r="H323">
            <v>2.5581274788679574E-2</v>
          </cell>
          <cell r="J323" t="str">
            <v>1996ME</v>
          </cell>
          <cell r="K323">
            <v>0.44119126761743122</v>
          </cell>
          <cell r="L323">
            <v>8.9217663537642586E-2</v>
          </cell>
          <cell r="M323">
            <v>0.46959106884492618</v>
          </cell>
          <cell r="U323" t="str">
            <v>1996ME</v>
          </cell>
          <cell r="V323">
            <v>1</v>
          </cell>
          <cell r="W323">
            <v>0</v>
          </cell>
          <cell r="X323">
            <v>0</v>
          </cell>
          <cell r="Y323">
            <v>0</v>
          </cell>
          <cell r="Z323">
            <v>0</v>
          </cell>
          <cell r="AB323" t="str">
            <v>1996ME</v>
          </cell>
          <cell r="AC323">
            <v>3.3333333333333326E-2</v>
          </cell>
          <cell r="AD323">
            <v>0.03</v>
          </cell>
          <cell r="AE323">
            <v>3.3333333E-2</v>
          </cell>
          <cell r="AF323">
            <v>0.90333333299999996</v>
          </cell>
        </row>
        <row r="324">
          <cell r="B324" t="str">
            <v>1996MD</v>
          </cell>
          <cell r="C324">
            <v>5.1850886645729843E-2</v>
          </cell>
          <cell r="D324">
            <v>0.13011368938221698</v>
          </cell>
          <cell r="E324">
            <v>0.45617900313546933</v>
          </cell>
          <cell r="F324">
            <v>0.2542405527558414</v>
          </cell>
          <cell r="G324">
            <v>7.7119334074585891E-2</v>
          </cell>
          <cell r="H324">
            <v>3.0496534006156609E-2</v>
          </cell>
          <cell r="J324" t="str">
            <v>1996MD</v>
          </cell>
          <cell r="K324">
            <v>0.46670166278994474</v>
          </cell>
          <cell r="L324">
            <v>7.7119334074585891E-2</v>
          </cell>
          <cell r="M324">
            <v>0.45617900313546933</v>
          </cell>
          <cell r="U324" t="str">
            <v>1996MD</v>
          </cell>
          <cell r="V324">
            <v>0.18777411499999999</v>
          </cell>
          <cell r="W324">
            <v>3.9716482999999997E-2</v>
          </cell>
          <cell r="X324">
            <v>0.21986425400000001</v>
          </cell>
          <cell r="Y324">
            <v>0.15811784700000001</v>
          </cell>
          <cell r="Z324">
            <v>0.39452730000000003</v>
          </cell>
          <cell r="AB324" t="str">
            <v>1996MD</v>
          </cell>
          <cell r="AC324">
            <v>0</v>
          </cell>
          <cell r="AD324">
            <v>0</v>
          </cell>
          <cell r="AE324">
            <v>3.3333333E-2</v>
          </cell>
          <cell r="AF324">
            <v>0.96666666700000003</v>
          </cell>
        </row>
        <row r="325">
          <cell r="B325" t="str">
            <v>1996MA</v>
          </cell>
          <cell r="C325">
            <v>4.5193062590097609E-2</v>
          </cell>
          <cell r="D325">
            <v>0.12832849503041918</v>
          </cell>
          <cell r="E325">
            <v>0.45931647688209437</v>
          </cell>
          <cell r="F325">
            <v>0.25729526709511102</v>
          </cell>
          <cell r="G325">
            <v>7.9949486557480021E-2</v>
          </cell>
          <cell r="H325">
            <v>2.9917211844797915E-2</v>
          </cell>
          <cell r="J325" t="str">
            <v>1996MA</v>
          </cell>
          <cell r="K325">
            <v>0.46073403656042555</v>
          </cell>
          <cell r="L325">
            <v>7.9949486557480021E-2</v>
          </cell>
          <cell r="M325">
            <v>0.45931647688209437</v>
          </cell>
          <cell r="U325" t="str">
            <v>1996MA</v>
          </cell>
          <cell r="V325">
            <v>0.41768574000000003</v>
          </cell>
          <cell r="W325">
            <v>2.5621827E-2</v>
          </cell>
          <cell r="X325">
            <v>0.160718736</v>
          </cell>
          <cell r="Y325">
            <v>0.122868309</v>
          </cell>
          <cell r="Z325">
            <v>0.273105388</v>
          </cell>
          <cell r="AB325" t="str">
            <v>1996MA</v>
          </cell>
          <cell r="AC325">
            <v>3.3333333333333326E-2</v>
          </cell>
          <cell r="AD325">
            <v>0.03</v>
          </cell>
          <cell r="AE325">
            <v>3.3333333E-2</v>
          </cell>
          <cell r="AF325">
            <v>0.90333333299999996</v>
          </cell>
        </row>
        <row r="326">
          <cell r="B326" t="str">
            <v>1996MI</v>
          </cell>
          <cell r="C326">
            <v>0.10758731451937302</v>
          </cell>
          <cell r="D326">
            <v>0.25074356011406829</v>
          </cell>
          <cell r="E326">
            <v>0.10357828024030155</v>
          </cell>
          <cell r="F326">
            <v>0.42579287656819043</v>
          </cell>
          <cell r="G326">
            <v>6.1322464420875029E-2</v>
          </cell>
          <cell r="H326">
            <v>5.0975504137191645E-2</v>
          </cell>
          <cell r="J326" t="str">
            <v>1996MI</v>
          </cell>
          <cell r="K326">
            <v>0.83509925533882345</v>
          </cell>
          <cell r="L326">
            <v>6.1322464420875029E-2</v>
          </cell>
          <cell r="M326">
            <v>0.10357828024030155</v>
          </cell>
          <cell r="U326" t="str">
            <v>1996MI</v>
          </cell>
          <cell r="V326">
            <v>7.5150446999999995E-2</v>
          </cell>
          <cell r="W326">
            <v>4.7249001999999998E-2</v>
          </cell>
          <cell r="X326">
            <v>0.248156553</v>
          </cell>
          <cell r="Y326">
            <v>0.17329118299999999</v>
          </cell>
          <cell r="Z326">
            <v>0.45615281499999999</v>
          </cell>
          <cell r="AB326" t="str">
            <v>1996MI</v>
          </cell>
          <cell r="AC326">
            <v>0.03</v>
          </cell>
          <cell r="AD326">
            <v>0.01</v>
          </cell>
          <cell r="AE326">
            <v>2.3333333000000001E-2</v>
          </cell>
          <cell r="AF326">
            <v>0.93666666700000001</v>
          </cell>
        </row>
        <row r="327">
          <cell r="B327" t="str">
            <v>1996MN</v>
          </cell>
          <cell r="C327">
            <v>4.8248679633127838E-2</v>
          </cell>
          <cell r="D327">
            <v>0.14767801087834811</v>
          </cell>
          <cell r="E327">
            <v>0.20423315407236942</v>
          </cell>
          <cell r="F327">
            <v>0.44189256296194235</v>
          </cell>
          <cell r="G327">
            <v>0.12091415589359183</v>
          </cell>
          <cell r="H327">
            <v>3.7033436560620484E-2</v>
          </cell>
          <cell r="J327" t="str">
            <v>1996MN</v>
          </cell>
          <cell r="K327">
            <v>0.6748526900340388</v>
          </cell>
          <cell r="L327">
            <v>0.12091415589359183</v>
          </cell>
          <cell r="M327">
            <v>0.20423315407236942</v>
          </cell>
          <cell r="U327" t="str">
            <v>1996MN</v>
          </cell>
          <cell r="V327">
            <v>4.3838686000000002E-2</v>
          </cell>
          <cell r="W327">
            <v>4.7885695999999998E-2</v>
          </cell>
          <cell r="X327">
            <v>0.25760137399999999</v>
          </cell>
          <cell r="Y327">
            <v>0.18236804300000001</v>
          </cell>
          <cell r="Z327">
            <v>0.46830620099999998</v>
          </cell>
          <cell r="AB327" t="str">
            <v>1996MN</v>
          </cell>
          <cell r="AC327">
            <v>0</v>
          </cell>
          <cell r="AD327">
            <v>8.3333333333333287E-2</v>
          </cell>
          <cell r="AE327">
            <v>0</v>
          </cell>
          <cell r="AF327">
            <v>0.91666666699999999</v>
          </cell>
        </row>
        <row r="328">
          <cell r="B328" t="str">
            <v>1996MS</v>
          </cell>
          <cell r="C328">
            <v>7.3056095086541636E-2</v>
          </cell>
          <cell r="D328">
            <v>5.7895206984277803E-2</v>
          </cell>
          <cell r="E328">
            <v>0.13912499999999997</v>
          </cell>
          <cell r="F328">
            <v>9.608847750440308E-2</v>
          </cell>
          <cell r="G328">
            <v>0.629</v>
          </cell>
          <cell r="H328">
            <v>4.835220424777532E-3</v>
          </cell>
          <cell r="J328" t="str">
            <v>1996MS</v>
          </cell>
          <cell r="K328">
            <v>0.23187500000000005</v>
          </cell>
          <cell r="L328">
            <v>0.629</v>
          </cell>
          <cell r="M328">
            <v>0.13912499999999997</v>
          </cell>
          <cell r="U328" t="str">
            <v>1996MS</v>
          </cell>
          <cell r="V328">
            <v>6.5638893000000004E-2</v>
          </cell>
          <cell r="W328">
            <v>3.5976150999999998E-2</v>
          </cell>
          <cell r="X328">
            <v>9.5741077999999993E-2</v>
          </cell>
          <cell r="Y328">
            <v>0.48108314099999999</v>
          </cell>
          <cell r="Z328">
            <v>0.32156073800000001</v>
          </cell>
          <cell r="AB328" t="str">
            <v>1996MS</v>
          </cell>
          <cell r="AC328">
            <v>3.3333333333333326E-2</v>
          </cell>
          <cell r="AD328">
            <v>1.6666666666666663E-2</v>
          </cell>
          <cell r="AE328">
            <v>0.68333333299999999</v>
          </cell>
          <cell r="AF328">
            <v>0.26666666700000002</v>
          </cell>
        </row>
        <row r="329">
          <cell r="B329" t="str">
            <v>1996MO</v>
          </cell>
          <cell r="C329">
            <v>4.6683932592682477E-2</v>
          </cell>
          <cell r="D329">
            <v>0.15910140272265597</v>
          </cell>
          <cell r="E329">
            <v>0.16274699480739757</v>
          </cell>
          <cell r="F329">
            <v>0.48780936825374216</v>
          </cell>
          <cell r="G329">
            <v>9.6352698418310012E-2</v>
          </cell>
          <cell r="H329">
            <v>4.7305603205211814E-2</v>
          </cell>
          <cell r="J329" t="str">
            <v>1996MO</v>
          </cell>
          <cell r="K329">
            <v>0.74090030677429242</v>
          </cell>
          <cell r="L329">
            <v>9.6352698418310012E-2</v>
          </cell>
          <cell r="M329">
            <v>0.16274699480739757</v>
          </cell>
          <cell r="U329" t="str">
            <v>1996MO</v>
          </cell>
          <cell r="V329">
            <v>6.8326481999999994E-2</v>
          </cell>
          <cell r="W329">
            <v>4.3316515999999999E-2</v>
          </cell>
          <cell r="X329">
            <v>0.265852694</v>
          </cell>
          <cell r="Y329">
            <v>0.146060457</v>
          </cell>
          <cell r="Z329">
            <v>0.476443852</v>
          </cell>
          <cell r="AB329" t="str">
            <v>1996MO</v>
          </cell>
          <cell r="AC329">
            <v>0</v>
          </cell>
          <cell r="AD329">
            <v>6.6666666666666652E-2</v>
          </cell>
          <cell r="AE329">
            <v>0</v>
          </cell>
          <cell r="AF329">
            <v>0.93333333299999999</v>
          </cell>
        </row>
        <row r="330">
          <cell r="B330" t="str">
            <v>1996MT</v>
          </cell>
          <cell r="C330">
            <v>0.29324161676664356</v>
          </cell>
          <cell r="D330">
            <v>0.228881759699433</v>
          </cell>
          <cell r="E330">
            <v>5.0047465070125516E-2</v>
          </cell>
          <cell r="F330">
            <v>0.31276029717560166</v>
          </cell>
          <cell r="G330">
            <v>2.963009126042257E-2</v>
          </cell>
          <cell r="H330">
            <v>8.5438770027773739E-2</v>
          </cell>
          <cell r="J330" t="str">
            <v>1996MT</v>
          </cell>
          <cell r="K330">
            <v>0.92032244366945193</v>
          </cell>
          <cell r="L330">
            <v>2.963009126042257E-2</v>
          </cell>
          <cell r="M330">
            <v>5.0047465070125516E-2</v>
          </cell>
          <cell r="U330" t="str">
            <v>1996MT</v>
          </cell>
          <cell r="V330">
            <v>9.9427995000000005E-2</v>
          </cell>
          <cell r="W330">
            <v>4.7500884E-2</v>
          </cell>
          <cell r="X330">
            <v>0.24002584800000001</v>
          </cell>
          <cell r="Y330">
            <v>0.163768308</v>
          </cell>
          <cell r="Z330">
            <v>0.44927696499999997</v>
          </cell>
          <cell r="AB330" t="str">
            <v>1996MT</v>
          </cell>
          <cell r="AC330">
            <v>0</v>
          </cell>
          <cell r="AD330">
            <v>2.6666666666666658E-2</v>
          </cell>
          <cell r="AE330">
            <v>0.41333333300000002</v>
          </cell>
          <cell r="AF330">
            <v>0.56000000000000005</v>
          </cell>
        </row>
        <row r="331">
          <cell r="B331" t="str">
            <v>1996NE</v>
          </cell>
          <cell r="C331">
            <v>5.0236643743879955E-2</v>
          </cell>
          <cell r="D331">
            <v>0.16810369983232754</v>
          </cell>
          <cell r="E331">
            <v>0.15913919245693772</v>
          </cell>
          <cell r="F331">
            <v>0.4789110996747411</v>
          </cell>
          <cell r="G331">
            <v>9.4216735832714352E-2</v>
          </cell>
          <cell r="H331">
            <v>4.9392628459399221E-2</v>
          </cell>
          <cell r="J331" t="str">
            <v>1996NE</v>
          </cell>
          <cell r="K331">
            <v>0.74664407171034797</v>
          </cell>
          <cell r="L331">
            <v>9.4216735832714352E-2</v>
          </cell>
          <cell r="M331">
            <v>0.15913919245693772</v>
          </cell>
          <cell r="U331" t="str">
            <v>1996NE</v>
          </cell>
          <cell r="V331">
            <v>6.4414679000000002E-2</v>
          </cell>
          <cell r="W331">
            <v>4.2778770000000001E-2</v>
          </cell>
          <cell r="X331">
            <v>0.26427035900000001</v>
          </cell>
          <cell r="Y331">
            <v>0.16232540500000001</v>
          </cell>
          <cell r="Z331">
            <v>0.46621078799999999</v>
          </cell>
          <cell r="AB331" t="str">
            <v>1996NE</v>
          </cell>
          <cell r="AC331">
            <v>0</v>
          </cell>
          <cell r="AD331">
            <v>0</v>
          </cell>
          <cell r="AE331">
            <v>1.3333332999999999E-2</v>
          </cell>
          <cell r="AF331">
            <v>0.98666666700000005</v>
          </cell>
        </row>
        <row r="332">
          <cell r="B332" t="str">
            <v>1996NV</v>
          </cell>
          <cell r="C332">
            <v>0.62277608207003954</v>
          </cell>
          <cell r="D332">
            <v>0.21531055812319289</v>
          </cell>
          <cell r="E332">
            <v>2.7421395047170068E-2</v>
          </cell>
          <cell r="F332">
            <v>0.11218659184225628</v>
          </cell>
          <cell r="G332">
            <v>1.6234557266732525E-2</v>
          </cell>
          <cell r="H332">
            <v>6.0708156506087945E-3</v>
          </cell>
          <cell r="J332" t="str">
            <v>1996NV</v>
          </cell>
          <cell r="K332">
            <v>0.95634404768609738</v>
          </cell>
          <cell r="L332">
            <v>1.6234557266732525E-2</v>
          </cell>
          <cell r="M332">
            <v>2.7421395047170068E-2</v>
          </cell>
          <cell r="U332" t="str">
            <v>1996NV</v>
          </cell>
          <cell r="V332">
            <v>1</v>
          </cell>
          <cell r="W332">
            <v>0</v>
          </cell>
          <cell r="X332">
            <v>0</v>
          </cell>
          <cell r="Y332">
            <v>0</v>
          </cell>
          <cell r="Z332">
            <v>0</v>
          </cell>
          <cell r="AB332" t="str">
            <v>1996NV</v>
          </cell>
          <cell r="AC332">
            <v>8.3333333333333287E-2</v>
          </cell>
          <cell r="AD332">
            <v>0</v>
          </cell>
          <cell r="AE332">
            <v>0</v>
          </cell>
          <cell r="AF332">
            <v>0.91666666699999999</v>
          </cell>
        </row>
        <row r="333">
          <cell r="B333" t="str">
            <v>1996NH</v>
          </cell>
          <cell r="C333">
            <v>4.7014514401839208E-2</v>
          </cell>
          <cell r="D333">
            <v>0.13358739298530603</v>
          </cell>
          <cell r="E333">
            <v>0.45518042692071103</v>
          </cell>
          <cell r="F333">
            <v>0.2561949550741342</v>
          </cell>
          <cell r="G333">
            <v>7.6218570217486625E-2</v>
          </cell>
          <cell r="H333">
            <v>3.1804140400522839E-2</v>
          </cell>
          <cell r="J333" t="str">
            <v>1996NH</v>
          </cell>
          <cell r="K333">
            <v>0.4686010028618024</v>
          </cell>
          <cell r="L333">
            <v>7.6218570217486625E-2</v>
          </cell>
          <cell r="M333">
            <v>0.45518042692071103</v>
          </cell>
          <cell r="U333" t="str">
            <v>1996NH</v>
          </cell>
          <cell r="V333">
            <v>0.703943973</v>
          </cell>
          <cell r="W333">
            <v>1.3026464999999999E-2</v>
          </cell>
          <cell r="X333">
            <v>8.1711462999999998E-2</v>
          </cell>
          <cell r="Y333">
            <v>6.2467821999999999E-2</v>
          </cell>
          <cell r="Z333">
            <v>0.13885027599999999</v>
          </cell>
          <cell r="AB333" t="str">
            <v>1996NH</v>
          </cell>
          <cell r="AC333">
            <v>0</v>
          </cell>
          <cell r="AD333">
            <v>0</v>
          </cell>
          <cell r="AE333">
            <v>3.3333333E-2</v>
          </cell>
          <cell r="AF333">
            <v>0.96666666700000003</v>
          </cell>
        </row>
        <row r="334">
          <cell r="B334" t="str">
            <v>1996NJ</v>
          </cell>
          <cell r="C334">
            <v>4.3073116566447626E-2</v>
          </cell>
          <cell r="D334">
            <v>0.12615519451670287</v>
          </cell>
          <cell r="E334">
            <v>0.45833800322439117</v>
          </cell>
          <cell r="F334">
            <v>0.26176333893228537</v>
          </cell>
          <cell r="G334">
            <v>7.9066856175385433E-2</v>
          </cell>
          <cell r="H334">
            <v>3.1603490584787522E-2</v>
          </cell>
          <cell r="J334" t="str">
            <v>1996NJ</v>
          </cell>
          <cell r="K334">
            <v>0.46259514060022344</v>
          </cell>
          <cell r="L334">
            <v>7.9066856175385433E-2</v>
          </cell>
          <cell r="M334">
            <v>0.45833800322439117</v>
          </cell>
          <cell r="U334" t="str">
            <v>1996NJ</v>
          </cell>
          <cell r="V334">
            <v>0.49169031499999999</v>
          </cell>
          <cell r="W334">
            <v>2.2365626E-2</v>
          </cell>
          <cell r="X334">
            <v>0.140293473</v>
          </cell>
          <cell r="Y334">
            <v>0.107253344</v>
          </cell>
          <cell r="Z334">
            <v>0.23839724200000001</v>
          </cell>
          <cell r="AB334" t="str">
            <v>1996NJ</v>
          </cell>
          <cell r="AC334">
            <v>3.3333333333333326E-2</v>
          </cell>
          <cell r="AD334">
            <v>0.03</v>
          </cell>
          <cell r="AE334">
            <v>3.3333333E-2</v>
          </cell>
          <cell r="AF334">
            <v>0.90333333299999996</v>
          </cell>
        </row>
        <row r="335">
          <cell r="B335" t="str">
            <v>1996NM</v>
          </cell>
          <cell r="C335">
            <v>0.60655454136306697</v>
          </cell>
          <cell r="D335">
            <v>0.19736327998807723</v>
          </cell>
          <cell r="E335">
            <v>9.7709153270986809E-2</v>
          </cell>
          <cell r="F335">
            <v>9.6696619768156467E-2</v>
          </cell>
          <cell r="G335">
            <v>0</v>
          </cell>
          <cell r="H335">
            <v>1.6764056097125768E-3</v>
          </cell>
          <cell r="J335" t="str">
            <v>1996NM</v>
          </cell>
          <cell r="K335">
            <v>0.90229084672901316</v>
          </cell>
          <cell r="L335">
            <v>0</v>
          </cell>
          <cell r="M335">
            <v>9.7709153270986809E-2</v>
          </cell>
          <cell r="U335" t="str">
            <v>1996NM</v>
          </cell>
          <cell r="V335">
            <v>1</v>
          </cell>
          <cell r="W335">
            <v>0</v>
          </cell>
          <cell r="X335">
            <v>0</v>
          </cell>
          <cell r="Y335">
            <v>0</v>
          </cell>
          <cell r="Z335">
            <v>0</v>
          </cell>
          <cell r="AB335" t="str">
            <v>1996NM</v>
          </cell>
          <cell r="AC335">
            <v>8.3333333333333287E-2</v>
          </cell>
          <cell r="AD335">
            <v>3.3333333333333326E-2</v>
          </cell>
          <cell r="AE335">
            <v>0.46666666699999998</v>
          </cell>
          <cell r="AF335">
            <v>0.41666666699999999</v>
          </cell>
        </row>
        <row r="336">
          <cell r="B336" t="str">
            <v>1996NY</v>
          </cell>
          <cell r="C336">
            <v>6.6694657478405556E-2</v>
          </cell>
          <cell r="D336">
            <v>0.13862218563483408</v>
          </cell>
          <cell r="E336">
            <v>0.45827344199073783</v>
          </cell>
          <cell r="F336">
            <v>0.23355321931321837</v>
          </cell>
          <cell r="G336">
            <v>7.9008618832070901E-2</v>
          </cell>
          <cell r="H336">
            <v>2.3847876750733382E-2</v>
          </cell>
          <cell r="J336" t="str">
            <v>1996NY</v>
          </cell>
          <cell r="K336">
            <v>0.46271793917719128</v>
          </cell>
          <cell r="L336">
            <v>7.9008618832070901E-2</v>
          </cell>
          <cell r="M336">
            <v>0.45827344199073783</v>
          </cell>
          <cell r="U336" t="str">
            <v>1996NY</v>
          </cell>
          <cell r="V336">
            <v>0.33489157800000002</v>
          </cell>
          <cell r="W336">
            <v>3.3399273E-2</v>
          </cell>
          <cell r="X336">
            <v>0.17909088100000001</v>
          </cell>
          <cell r="Y336">
            <v>0.12655620300000001</v>
          </cell>
          <cell r="Z336">
            <v>0.32606206599999998</v>
          </cell>
          <cell r="AB336" t="str">
            <v>1996NY</v>
          </cell>
          <cell r="AC336">
            <v>3.3333333333333326E-2</v>
          </cell>
          <cell r="AD336">
            <v>0.1</v>
          </cell>
          <cell r="AE336">
            <v>3.3333333E-2</v>
          </cell>
          <cell r="AF336">
            <v>0.83333333300000001</v>
          </cell>
        </row>
        <row r="337">
          <cell r="B337" t="str">
            <v>1996NC</v>
          </cell>
          <cell r="C337">
            <v>3.1852972422199262E-2</v>
          </cell>
          <cell r="D337">
            <v>8.125703301923988E-2</v>
          </cell>
          <cell r="E337">
            <v>0.13912499999999997</v>
          </cell>
          <cell r="F337">
            <v>0.1030602865282331</v>
          </cell>
          <cell r="G337">
            <v>0.629</v>
          </cell>
          <cell r="H337">
            <v>1.5704708030327759E-2</v>
          </cell>
          <cell r="J337" t="str">
            <v>1996NC</v>
          </cell>
          <cell r="K337">
            <v>0.23187500000000005</v>
          </cell>
          <cell r="L337">
            <v>0.629</v>
          </cell>
          <cell r="M337">
            <v>0.13912499999999997</v>
          </cell>
          <cell r="U337" t="str">
            <v>1996NC</v>
          </cell>
          <cell r="V337">
            <v>6.3782960000000003E-3</v>
          </cell>
          <cell r="W337">
            <v>3.7217979999999998E-2</v>
          </cell>
          <cell r="X337">
            <v>6.8981889000000005E-2</v>
          </cell>
          <cell r="Y337">
            <v>0.56908734900000002</v>
          </cell>
          <cell r="Z337">
            <v>0.31833448600000003</v>
          </cell>
          <cell r="AB337" t="str">
            <v>1996NC</v>
          </cell>
          <cell r="AC337">
            <v>0.16666666666666657</v>
          </cell>
          <cell r="AD337">
            <v>1.6666666666666663E-2</v>
          </cell>
          <cell r="AE337">
            <v>0.37933333299999999</v>
          </cell>
          <cell r="AF337">
            <v>0.43733333299999999</v>
          </cell>
        </row>
        <row r="338">
          <cell r="B338" t="str">
            <v>1996ND</v>
          </cell>
          <cell r="C338">
            <v>3.2338384044211049E-2</v>
          </cell>
          <cell r="D338">
            <v>0.12269557780848669</v>
          </cell>
          <cell r="E338">
            <v>0.21040131383166349</v>
          </cell>
          <cell r="F338">
            <v>0.47179640128138384</v>
          </cell>
          <cell r="G338">
            <v>0.12456595196998979</v>
          </cell>
          <cell r="H338">
            <v>3.8202371064265259E-2</v>
          </cell>
          <cell r="J338" t="str">
            <v>1996ND</v>
          </cell>
          <cell r="K338">
            <v>0.66503273419834674</v>
          </cell>
          <cell r="L338">
            <v>0.12456595196998979</v>
          </cell>
          <cell r="M338">
            <v>0.21040131383166349</v>
          </cell>
          <cell r="U338" t="str">
            <v>1996ND</v>
          </cell>
          <cell r="V338">
            <v>0.15961915400000001</v>
          </cell>
          <cell r="W338">
            <v>4.1348834000000001E-2</v>
          </cell>
          <cell r="X338">
            <v>0.22720869699999999</v>
          </cell>
          <cell r="Y338">
            <v>0.16274676900000001</v>
          </cell>
          <cell r="Z338">
            <v>0.40907654500000001</v>
          </cell>
          <cell r="AB338" t="str">
            <v>1996ND</v>
          </cell>
          <cell r="AC338">
            <v>0</v>
          </cell>
          <cell r="AD338">
            <v>1.6666666666666663E-2</v>
          </cell>
          <cell r="AE338">
            <v>0.03</v>
          </cell>
          <cell r="AF338">
            <v>0.953333333</v>
          </cell>
        </row>
        <row r="339">
          <cell r="B339" t="str">
            <v>1996OH</v>
          </cell>
          <cell r="C339">
            <v>5.2504058895586771E-2</v>
          </cell>
          <cell r="D339">
            <v>0.16623544150395891</v>
          </cell>
          <cell r="E339">
            <v>0.17528309284535104</v>
          </cell>
          <cell r="F339">
            <v>0.45735328834124228</v>
          </cell>
          <cell r="G339">
            <v>0.10377456740595409</v>
          </cell>
          <cell r="H339">
            <v>4.4849551007907017E-2</v>
          </cell>
          <cell r="J339" t="str">
            <v>1996OH</v>
          </cell>
          <cell r="K339">
            <v>0.72094233974869493</v>
          </cell>
          <cell r="L339">
            <v>0.10377456740595409</v>
          </cell>
          <cell r="M339">
            <v>0.17528309284535104</v>
          </cell>
          <cell r="U339" t="str">
            <v>1996OH</v>
          </cell>
          <cell r="V339">
            <v>0.110457638</v>
          </cell>
          <cell r="W339">
            <v>4.0332231000000003E-2</v>
          </cell>
          <cell r="X339">
            <v>0.24998507</v>
          </cell>
          <cell r="Y339">
            <v>0.161759447</v>
          </cell>
          <cell r="Z339">
            <v>0.437465614</v>
          </cell>
          <cell r="AB339" t="str">
            <v>1996OH</v>
          </cell>
          <cell r="AC339">
            <v>0</v>
          </cell>
          <cell r="AD339">
            <v>0</v>
          </cell>
          <cell r="AE339">
            <v>0</v>
          </cell>
          <cell r="AF339">
            <v>1</v>
          </cell>
        </row>
        <row r="340">
          <cell r="B340" t="str">
            <v>1996OK</v>
          </cell>
          <cell r="C340">
            <v>0.29492969333914643</v>
          </cell>
          <cell r="D340">
            <v>0.22975241506560046</v>
          </cell>
          <cell r="E340">
            <v>0.05</v>
          </cell>
          <cell r="F340">
            <v>0.33369597489066577</v>
          </cell>
          <cell r="G340">
            <v>0</v>
          </cell>
          <cell r="H340">
            <v>9.1621916704587192E-2</v>
          </cell>
          <cell r="J340" t="str">
            <v>1996OK</v>
          </cell>
          <cell r="K340">
            <v>0.95</v>
          </cell>
          <cell r="L340">
            <v>0</v>
          </cell>
          <cell r="M340">
            <v>0.05</v>
          </cell>
          <cell r="U340" t="str">
            <v>1996OK</v>
          </cell>
          <cell r="V340">
            <v>7.0810659999999997E-2</v>
          </cell>
          <cell r="W340">
            <v>3.5042110000000001E-2</v>
          </cell>
          <cell r="X340">
            <v>7.2008981999999999E-2</v>
          </cell>
          <cell r="Y340">
            <v>0.51905033499999997</v>
          </cell>
          <cell r="Z340">
            <v>0.30308791400000001</v>
          </cell>
          <cell r="AB340" t="str">
            <v>1996OK</v>
          </cell>
          <cell r="AC340">
            <v>0</v>
          </cell>
          <cell r="AD340">
            <v>6.6666666666666652E-2</v>
          </cell>
          <cell r="AE340">
            <v>0.4</v>
          </cell>
          <cell r="AF340">
            <v>0.53333333299999997</v>
          </cell>
        </row>
        <row r="341">
          <cell r="B341" t="str">
            <v>1996OR</v>
          </cell>
          <cell r="C341">
            <v>0.32452485970001627</v>
          </cell>
          <cell r="D341">
            <v>0.20064729578256216</v>
          </cell>
          <cell r="E341">
            <v>0</v>
          </cell>
          <cell r="F341">
            <v>0.12917179297839015</v>
          </cell>
          <cell r="G341">
            <v>0.31790698183618338</v>
          </cell>
          <cell r="H341">
            <v>2.7749069702848132E-2</v>
          </cell>
          <cell r="J341" t="str">
            <v>1996OR</v>
          </cell>
          <cell r="K341">
            <v>0.68209301816381662</v>
          </cell>
          <cell r="L341">
            <v>0.31790698183618338</v>
          </cell>
          <cell r="M341">
            <v>0</v>
          </cell>
          <cell r="U341" t="str">
            <v>1996OR</v>
          </cell>
          <cell r="V341">
            <v>0.62798630700000002</v>
          </cell>
          <cell r="W341">
            <v>1.6368601999999999E-2</v>
          </cell>
          <cell r="X341">
            <v>0.10267577899999999</v>
          </cell>
          <cell r="Y341">
            <v>7.8494888999999998E-2</v>
          </cell>
          <cell r="Z341">
            <v>0.17447442199999999</v>
          </cell>
          <cell r="AB341" t="str">
            <v>1996OR</v>
          </cell>
          <cell r="AC341">
            <v>0</v>
          </cell>
          <cell r="AD341">
            <v>0.03</v>
          </cell>
          <cell r="AE341">
            <v>0.203333333</v>
          </cell>
          <cell r="AF341">
            <v>0.76666666699999997</v>
          </cell>
        </row>
        <row r="342">
          <cell r="B342" t="str">
            <v>1996PA</v>
          </cell>
          <cell r="C342">
            <v>3.0889498997070341E-2</v>
          </cell>
          <cell r="D342">
            <v>9.5054720071514831E-2</v>
          </cell>
          <cell r="E342">
            <v>0.47938577000005489</v>
          </cell>
          <cell r="F342">
            <v>0.27211186250169039</v>
          </cell>
          <cell r="G342">
            <v>9.8052955888124682E-2</v>
          </cell>
          <cell r="H342">
            <v>2.4505192541545009E-2</v>
          </cell>
          <cell r="J342" t="str">
            <v>1996PA</v>
          </cell>
          <cell r="K342">
            <v>0.42256127411182043</v>
          </cell>
          <cell r="L342">
            <v>9.8052955888124682E-2</v>
          </cell>
          <cell r="M342">
            <v>0.47938577000005489</v>
          </cell>
          <cell r="U342" t="str">
            <v>1996PA</v>
          </cell>
          <cell r="V342">
            <v>7.0547638999999995E-2</v>
          </cell>
          <cell r="W342">
            <v>4.7163547E-2</v>
          </cell>
          <cell r="X342">
            <v>0.24973890500000001</v>
          </cell>
          <cell r="Y342">
            <v>0.175222303</v>
          </cell>
          <cell r="Z342">
            <v>0.457327606</v>
          </cell>
          <cell r="AB342" t="str">
            <v>1996PA</v>
          </cell>
          <cell r="AC342">
            <v>0.1</v>
          </cell>
          <cell r="AD342">
            <v>1.6666666666666663E-2</v>
          </cell>
          <cell r="AE342">
            <v>0</v>
          </cell>
          <cell r="AF342">
            <v>0.88333333300000005</v>
          </cell>
        </row>
        <row r="343">
          <cell r="B343" t="str">
            <v>1996RI</v>
          </cell>
          <cell r="C343">
            <v>1.671246386283258E-2</v>
          </cell>
          <cell r="D343">
            <v>6.4360940415318743E-2</v>
          </cell>
          <cell r="E343">
            <v>0.50228397668869318</v>
          </cell>
          <cell r="F343">
            <v>0.27903325612697721</v>
          </cell>
          <cell r="G343">
            <v>0.11870824155653446</v>
          </cell>
          <cell r="H343">
            <v>1.8901121349643807E-2</v>
          </cell>
          <cell r="J343" t="str">
            <v>1996RI</v>
          </cell>
          <cell r="K343">
            <v>0.37900778175477234</v>
          </cell>
          <cell r="L343">
            <v>0.11870824155653446</v>
          </cell>
          <cell r="M343">
            <v>0.50228397668869318</v>
          </cell>
          <cell r="U343" t="str">
            <v>1996RI</v>
          </cell>
          <cell r="V343">
            <v>0.40937223499999997</v>
          </cell>
          <cell r="W343">
            <v>2.5987621999999998E-2</v>
          </cell>
          <cell r="X343">
            <v>0.16301326299999999</v>
          </cell>
          <cell r="Y343">
            <v>0.12462245800000001</v>
          </cell>
          <cell r="Z343">
            <v>0.27700442199999997</v>
          </cell>
          <cell r="AB343" t="str">
            <v>1996RI</v>
          </cell>
          <cell r="AC343">
            <v>3.3333333333333326E-2</v>
          </cell>
          <cell r="AD343">
            <v>0.03</v>
          </cell>
          <cell r="AE343">
            <v>3.3333333E-2</v>
          </cell>
          <cell r="AF343">
            <v>0.90333333299999996</v>
          </cell>
        </row>
        <row r="344">
          <cell r="B344" t="str">
            <v>1996SC</v>
          </cell>
          <cell r="C344">
            <v>9.0747270153103188E-2</v>
          </cell>
          <cell r="D344">
            <v>7.0778572082495536E-2</v>
          </cell>
          <cell r="E344">
            <v>0.14073687858283992</v>
          </cell>
          <cell r="F344">
            <v>7.4709958177342897E-2</v>
          </cell>
          <cell r="G344">
            <v>0.61943786611534013</v>
          </cell>
          <cell r="H344">
            <v>3.5894548888783921E-3</v>
          </cell>
          <cell r="J344" t="str">
            <v>1996SC</v>
          </cell>
          <cell r="K344">
            <v>0.23982525530181997</v>
          </cell>
          <cell r="L344">
            <v>0.61943786611534013</v>
          </cell>
          <cell r="M344">
            <v>0.14073687858283992</v>
          </cell>
          <cell r="U344" t="str">
            <v>1996SC</v>
          </cell>
          <cell r="V344">
            <v>0.10451698</v>
          </cell>
          <cell r="W344">
            <v>3.5357735000000001E-2</v>
          </cell>
          <cell r="X344">
            <v>0.11949367700000001</v>
          </cell>
          <cell r="Y344">
            <v>0.41249569200000002</v>
          </cell>
          <cell r="Z344">
            <v>0.32813591600000003</v>
          </cell>
          <cell r="AB344" t="str">
            <v>1996SC</v>
          </cell>
          <cell r="AC344">
            <v>3.3333333333333326E-2</v>
          </cell>
          <cell r="AD344">
            <v>0</v>
          </cell>
          <cell r="AE344">
            <v>0.53333333299999997</v>
          </cell>
          <cell r="AF344">
            <v>0.43333333299999999</v>
          </cell>
        </row>
        <row r="345">
          <cell r="B345" t="str">
            <v>1996SD</v>
          </cell>
          <cell r="C345">
            <v>4.8344708946917975E-2</v>
          </cell>
          <cell r="D345">
            <v>0.15812550786860022</v>
          </cell>
          <cell r="E345">
            <v>0.17921682582675416</v>
          </cell>
          <cell r="F345">
            <v>0.46460910732080535</v>
          </cell>
          <cell r="G345">
            <v>0.10610349389743155</v>
          </cell>
          <cell r="H345">
            <v>4.3600356139490627E-2</v>
          </cell>
          <cell r="J345" t="str">
            <v>1996SD</v>
          </cell>
          <cell r="K345">
            <v>0.7146796802758143</v>
          </cell>
          <cell r="L345">
            <v>0.10610349389743155</v>
          </cell>
          <cell r="M345">
            <v>0.17921682582675416</v>
          </cell>
          <cell r="U345" t="str">
            <v>1996SD</v>
          </cell>
          <cell r="V345">
            <v>9.2280595000000007E-2</v>
          </cell>
          <cell r="W345">
            <v>4.5171027000000002E-2</v>
          </cell>
          <cell r="X345">
            <v>0.24486323500000001</v>
          </cell>
          <cell r="Y345">
            <v>0.174090885</v>
          </cell>
          <cell r="Z345">
            <v>0.44359425899999999</v>
          </cell>
          <cell r="AB345" t="str">
            <v>1996SD</v>
          </cell>
          <cell r="AC345">
            <v>0</v>
          </cell>
          <cell r="AD345">
            <v>0</v>
          </cell>
          <cell r="AE345">
            <v>0.08</v>
          </cell>
          <cell r="AF345">
            <v>0.92</v>
          </cell>
        </row>
        <row r="346">
          <cell r="B346" t="str">
            <v>1996TN</v>
          </cell>
          <cell r="C346">
            <v>2.4042449506293983E-2</v>
          </cell>
          <cell r="D346">
            <v>6.6994752814434497E-2</v>
          </cell>
          <cell r="E346">
            <v>0.13967296898735421</v>
          </cell>
          <cell r="F346">
            <v>0.12769598603557086</v>
          </cell>
          <cell r="G346">
            <v>0.62574928814272646</v>
          </cell>
          <cell r="H346">
            <v>1.5844554513619893E-2</v>
          </cell>
          <cell r="J346" t="str">
            <v>1996TN</v>
          </cell>
          <cell r="K346">
            <v>0.23457774286991939</v>
          </cell>
          <cell r="L346">
            <v>0.62574928814272646</v>
          </cell>
          <cell r="M346">
            <v>0.13967296898735421</v>
          </cell>
          <cell r="U346" t="str">
            <v>1996TN</v>
          </cell>
          <cell r="V346">
            <v>0.15097164499999999</v>
          </cell>
          <cell r="W346">
            <v>3.4888205999999998E-2</v>
          </cell>
          <cell r="X346">
            <v>0.156380666</v>
          </cell>
          <cell r="Y346">
            <v>0.31564769300000001</v>
          </cell>
          <cell r="Z346">
            <v>0.342111789</v>
          </cell>
          <cell r="AB346" t="str">
            <v>1996TN</v>
          </cell>
          <cell r="AC346">
            <v>0</v>
          </cell>
          <cell r="AD346">
            <v>0.3</v>
          </cell>
          <cell r="AE346">
            <v>5.6666666999999997E-2</v>
          </cell>
          <cell r="AF346">
            <v>0.64333333299999995</v>
          </cell>
        </row>
        <row r="347">
          <cell r="B347" t="str">
            <v>1996TX</v>
          </cell>
          <cell r="C347">
            <v>0.47603592650005222</v>
          </cell>
          <cell r="D347">
            <v>0.25780872231102975</v>
          </cell>
          <cell r="E347">
            <v>6.9504830088986072E-2</v>
          </cell>
          <cell r="F347">
            <v>0.16476090131838944</v>
          </cell>
          <cell r="G347">
            <v>0</v>
          </cell>
          <cell r="H347">
            <v>3.1889619781542748E-2</v>
          </cell>
          <cell r="J347" t="str">
            <v>1996TX</v>
          </cell>
          <cell r="K347">
            <v>0.93049516991101389</v>
          </cell>
          <cell r="L347">
            <v>0</v>
          </cell>
          <cell r="M347">
            <v>6.9504830088986072E-2</v>
          </cell>
          <cell r="U347" t="str">
            <v>1996TX</v>
          </cell>
          <cell r="V347">
            <v>0.151478855</v>
          </cell>
          <cell r="W347">
            <v>3.2751341000000003E-2</v>
          </cell>
          <cell r="X347">
            <v>8.9481374000000002E-2</v>
          </cell>
          <cell r="Y347">
            <v>0.43244496900000001</v>
          </cell>
          <cell r="Z347">
            <v>0.29384346099999997</v>
          </cell>
          <cell r="AB347" t="str">
            <v>1996TX</v>
          </cell>
          <cell r="AC347">
            <v>0.16666666666666657</v>
          </cell>
          <cell r="AD347">
            <v>0</v>
          </cell>
          <cell r="AE347">
            <v>0.21333333300000001</v>
          </cell>
          <cell r="AF347">
            <v>0.62</v>
          </cell>
        </row>
        <row r="348">
          <cell r="B348" t="str">
            <v>1996UT</v>
          </cell>
          <cell r="C348">
            <v>0.39655758389465573</v>
          </cell>
          <cell r="D348">
            <v>0.27701184419419439</v>
          </cell>
          <cell r="E348">
            <v>2.950196698847142E-2</v>
          </cell>
          <cell r="F348">
            <v>0.22443193382969989</v>
          </cell>
          <cell r="G348">
            <v>1.7466338664816408E-2</v>
          </cell>
          <cell r="H348">
            <v>5.5030332428162305E-2</v>
          </cell>
          <cell r="J348" t="str">
            <v>1996UT</v>
          </cell>
          <cell r="K348">
            <v>0.9530316943467122</v>
          </cell>
          <cell r="L348">
            <v>1.7466338664816408E-2</v>
          </cell>
          <cell r="M348">
            <v>2.950196698847142E-2</v>
          </cell>
          <cell r="U348" t="str">
            <v>1996UT</v>
          </cell>
          <cell r="V348">
            <v>0.13012917299999999</v>
          </cell>
          <cell r="W348">
            <v>4.7242986000000001E-2</v>
          </cell>
          <cell r="X348">
            <v>0.230368289</v>
          </cell>
          <cell r="Y348">
            <v>0.153647178</v>
          </cell>
          <cell r="Z348">
            <v>0.438612373</v>
          </cell>
          <cell r="AB348" t="str">
            <v>1996UT</v>
          </cell>
          <cell r="AC348">
            <v>0.16666666666666657</v>
          </cell>
          <cell r="AD348">
            <v>0</v>
          </cell>
          <cell r="AE348">
            <v>0.4</v>
          </cell>
          <cell r="AF348">
            <v>0.43333333299999999</v>
          </cell>
        </row>
        <row r="349">
          <cell r="B349" t="str">
            <v>1996VT</v>
          </cell>
          <cell r="C349">
            <v>5.9099001792857944E-2</v>
          </cell>
          <cell r="D349">
            <v>0.13336185886336732</v>
          </cell>
          <cell r="E349">
            <v>0.45819171507506229</v>
          </cell>
          <cell r="F349">
            <v>0.24374901377005803</v>
          </cell>
          <cell r="G349">
            <v>7.8934897216530103E-2</v>
          </cell>
          <cell r="H349">
            <v>2.666351328212424E-2</v>
          </cell>
          <cell r="J349" t="str">
            <v>1996VT</v>
          </cell>
          <cell r="K349">
            <v>0.46287338770840758</v>
          </cell>
          <cell r="L349">
            <v>7.8934897216530103E-2</v>
          </cell>
          <cell r="M349">
            <v>0.45819171507506229</v>
          </cell>
          <cell r="U349" t="str">
            <v>1996VT</v>
          </cell>
          <cell r="V349">
            <v>1</v>
          </cell>
          <cell r="W349">
            <v>0</v>
          </cell>
          <cell r="X349">
            <v>0</v>
          </cell>
          <cell r="Y349">
            <v>0</v>
          </cell>
          <cell r="Z349">
            <v>0</v>
          </cell>
          <cell r="AB349" t="str">
            <v>1996VT</v>
          </cell>
          <cell r="AC349">
            <v>3.3333333333333326E-2</v>
          </cell>
          <cell r="AD349">
            <v>0.03</v>
          </cell>
          <cell r="AE349">
            <v>3.3333333E-2</v>
          </cell>
          <cell r="AF349">
            <v>0.90333333299999996</v>
          </cell>
        </row>
        <row r="350">
          <cell r="B350" t="str">
            <v>1996VA</v>
          </cell>
          <cell r="C350">
            <v>2.5366133647114028E-2</v>
          </cell>
          <cell r="D350">
            <v>7.0264163077118025E-2</v>
          </cell>
          <cell r="E350">
            <v>0.13980643937500439</v>
          </cell>
          <cell r="F350">
            <v>0.12253257742725063</v>
          </cell>
          <cell r="G350">
            <v>0.62495750287432239</v>
          </cell>
          <cell r="H350">
            <v>1.7073183599190404E-2</v>
          </cell>
          <cell r="J350" t="str">
            <v>1996VA</v>
          </cell>
          <cell r="K350">
            <v>0.23523605775067324</v>
          </cell>
          <cell r="L350">
            <v>0.62495750287432239</v>
          </cell>
          <cell r="M350">
            <v>0.13980643937500439</v>
          </cell>
          <cell r="U350" t="str">
            <v>1996VA</v>
          </cell>
          <cell r="V350">
            <v>5.9090785999999999E-2</v>
          </cell>
          <cell r="W350">
            <v>3.6115868000000002E-2</v>
          </cell>
          <cell r="X350">
            <v>9.2863185000000001E-2</v>
          </cell>
          <cell r="Y350">
            <v>0.49066914099999998</v>
          </cell>
          <cell r="Z350">
            <v>0.32126102000000001</v>
          </cell>
          <cell r="AB350" t="str">
            <v>1996VA</v>
          </cell>
          <cell r="AC350">
            <v>0.23333333333333339</v>
          </cell>
          <cell r="AD350">
            <v>0</v>
          </cell>
          <cell r="AE350">
            <v>3.3333333E-2</v>
          </cell>
          <cell r="AF350">
            <v>0.73333333300000003</v>
          </cell>
        </row>
        <row r="351">
          <cell r="B351" t="str">
            <v>1996WA</v>
          </cell>
          <cell r="C351">
            <v>0.41069473978730114</v>
          </cell>
          <cell r="D351">
            <v>0.21636585407869507</v>
          </cell>
          <cell r="E351">
            <v>0</v>
          </cell>
          <cell r="F351">
            <v>0.11423729958178908</v>
          </cell>
          <cell r="G351">
            <v>0.23975492477577451</v>
          </cell>
          <cell r="H351">
            <v>1.8947181776440204E-2</v>
          </cell>
          <cell r="J351" t="str">
            <v>1996WA</v>
          </cell>
          <cell r="K351">
            <v>0.76024507522422546</v>
          </cell>
          <cell r="L351">
            <v>0.23975492477577451</v>
          </cell>
          <cell r="M351">
            <v>0</v>
          </cell>
          <cell r="U351" t="str">
            <v>1996WA</v>
          </cell>
          <cell r="V351">
            <v>0.30343793400000002</v>
          </cell>
          <cell r="W351">
            <v>3.3875005E-2</v>
          </cell>
          <cell r="X351">
            <v>0.18875600000000001</v>
          </cell>
          <cell r="Y351">
            <v>0.13622034899999999</v>
          </cell>
          <cell r="Z351">
            <v>0.33771071200000002</v>
          </cell>
          <cell r="AB351" t="str">
            <v>1996WA</v>
          </cell>
          <cell r="AC351">
            <v>0</v>
          </cell>
          <cell r="AD351">
            <v>3.3333333333333326E-2</v>
          </cell>
          <cell r="AE351">
            <v>0.08</v>
          </cell>
          <cell r="AF351">
            <v>0.88666666699999996</v>
          </cell>
        </row>
        <row r="352">
          <cell r="B352" t="str">
            <v>1996WV</v>
          </cell>
          <cell r="C352">
            <v>3.6757412638180491E-2</v>
          </cell>
          <cell r="D352">
            <v>0.11081744527983192</v>
          </cell>
          <cell r="E352">
            <v>0.46868458905965693</v>
          </cell>
          <cell r="F352">
            <v>0.26740402887768677</v>
          </cell>
          <cell r="G352">
            <v>8.839997509714706E-2</v>
          </cell>
          <cell r="H352">
            <v>2.7936549047496907E-2</v>
          </cell>
          <cell r="J352" t="str">
            <v>1996WV</v>
          </cell>
          <cell r="K352">
            <v>0.44291543584319604</v>
          </cell>
          <cell r="L352">
            <v>8.839997509714706E-2</v>
          </cell>
          <cell r="M352">
            <v>0.46868458905965693</v>
          </cell>
          <cell r="U352" t="str">
            <v>1996WV</v>
          </cell>
          <cell r="V352">
            <v>0.47306705799999998</v>
          </cell>
          <cell r="W352">
            <v>2.3185048999999999E-2</v>
          </cell>
          <cell r="X352">
            <v>0.145433492</v>
          </cell>
          <cell r="Y352">
            <v>0.111182851</v>
          </cell>
          <cell r="Z352">
            <v>0.24713155000000001</v>
          </cell>
          <cell r="AB352" t="str">
            <v>1996WV</v>
          </cell>
          <cell r="AC352">
            <v>0.33333333333333315</v>
          </cell>
          <cell r="AD352">
            <v>0</v>
          </cell>
          <cell r="AE352">
            <v>3.3333333E-2</v>
          </cell>
          <cell r="AF352">
            <v>0.63333333300000005</v>
          </cell>
        </row>
        <row r="353">
          <cell r="B353" t="str">
            <v>1996WI</v>
          </cell>
          <cell r="C353">
            <v>5.7402149817699671E-2</v>
          </cell>
          <cell r="D353">
            <v>0.1649026235213624</v>
          </cell>
          <cell r="E353">
            <v>0.17749598493649615</v>
          </cell>
          <cell r="F353">
            <v>0.45607502084487739</v>
          </cell>
          <cell r="G353">
            <v>0.10508468759921911</v>
          </cell>
          <cell r="H353">
            <v>3.9039533280345096E-2</v>
          </cell>
          <cell r="J353" t="str">
            <v>1996WI</v>
          </cell>
          <cell r="K353">
            <v>0.71741932746428472</v>
          </cell>
          <cell r="L353">
            <v>0.10508468759921911</v>
          </cell>
          <cell r="M353">
            <v>0.17749598493649615</v>
          </cell>
          <cell r="U353" t="str">
            <v>1996WI</v>
          </cell>
          <cell r="V353">
            <v>0.149707909</v>
          </cell>
          <cell r="W353">
            <v>4.0240736999999999E-2</v>
          </cell>
          <cell r="X353">
            <v>0.23161707500000001</v>
          </cell>
          <cell r="Y353">
            <v>0.16998534800000001</v>
          </cell>
          <cell r="Z353">
            <v>0.40844893100000002</v>
          </cell>
          <cell r="AB353" t="str">
            <v>1996WI</v>
          </cell>
          <cell r="AC353">
            <v>0.1333333333333333</v>
          </cell>
          <cell r="AD353">
            <v>1.6666666666666663E-2</v>
          </cell>
          <cell r="AE353">
            <v>1.3333332999999999E-2</v>
          </cell>
          <cell r="AF353">
            <v>0.83666666700000003</v>
          </cell>
        </row>
        <row r="354">
          <cell r="B354" t="str">
            <v>1996WY</v>
          </cell>
          <cell r="C354">
            <v>0.26991033958518751</v>
          </cell>
          <cell r="D354">
            <v>0.2120144632692661</v>
          </cell>
          <cell r="E354">
            <v>0.14206779953094328</v>
          </cell>
          <cell r="F354">
            <v>0.23036259818583699</v>
          </cell>
          <cell r="G354">
            <v>8.4109791762100733E-2</v>
          </cell>
          <cell r="H354">
            <v>6.1535007666665364E-2</v>
          </cell>
          <cell r="J354" t="str">
            <v>1996WY</v>
          </cell>
          <cell r="K354">
            <v>0.77382240870695596</v>
          </cell>
          <cell r="L354">
            <v>8.4109791762100733E-2</v>
          </cell>
          <cell r="M354">
            <v>0.14206779953094328</v>
          </cell>
          <cell r="U354" t="str">
            <v>1996WY</v>
          </cell>
          <cell r="V354">
            <v>0.11884380999999999</v>
          </cell>
          <cell r="W354">
            <v>4.7455272E-2</v>
          </cell>
          <cell r="X354">
            <v>0.23379100799999999</v>
          </cell>
          <cell r="Y354">
            <v>0.156975956</v>
          </cell>
          <cell r="Z354">
            <v>0.44293395400000002</v>
          </cell>
          <cell r="AB354" t="str">
            <v>1996WY</v>
          </cell>
          <cell r="AC354">
            <v>0</v>
          </cell>
          <cell r="AD354">
            <v>2.6666666666666658E-2</v>
          </cell>
          <cell r="AE354">
            <v>0.41333333300000002</v>
          </cell>
          <cell r="AF354">
            <v>0.56000000000000005</v>
          </cell>
        </row>
        <row r="355">
          <cell r="B355" t="str">
            <v>1997AL</v>
          </cell>
          <cell r="C355">
            <v>8.3287841050441805E-2</v>
          </cell>
          <cell r="D355">
            <v>6.6280067395127387E-2</v>
          </cell>
          <cell r="E355">
            <v>0.13912499999999997</v>
          </cell>
          <cell r="F355">
            <v>7.8469189328300604E-2</v>
          </cell>
          <cell r="G355">
            <v>0.629</v>
          </cell>
          <cell r="H355">
            <v>3.8379022261302224E-3</v>
          </cell>
          <cell r="J355" t="str">
            <v>1997AL</v>
          </cell>
          <cell r="K355">
            <v>0.23187500000000005</v>
          </cell>
          <cell r="L355">
            <v>0.629</v>
          </cell>
          <cell r="M355">
            <v>0.13912499999999997</v>
          </cell>
          <cell r="U355" t="str">
            <v>1997AL</v>
          </cell>
          <cell r="V355">
            <v>0.104438799</v>
          </cell>
          <cell r="W355">
            <v>3.5403545000000002E-2</v>
          </cell>
          <cell r="X355">
            <v>0.12085293599999999</v>
          </cell>
          <cell r="Y355">
            <v>0.41016973400000001</v>
          </cell>
          <cell r="Z355">
            <v>0.32913498600000002</v>
          </cell>
          <cell r="AB355" t="str">
            <v>1997AL</v>
          </cell>
          <cell r="AC355">
            <v>0</v>
          </cell>
          <cell r="AD355">
            <v>2.2222222222222213E-2</v>
          </cell>
          <cell r="AE355">
            <v>0.50366666699999996</v>
          </cell>
          <cell r="AF355">
            <v>0.47411111099999997</v>
          </cell>
        </row>
        <row r="356">
          <cell r="B356" t="str">
            <v>1997AK</v>
          </cell>
          <cell r="C356">
            <v>0.24930783825909028</v>
          </cell>
          <cell r="D356">
            <v>0.19551098253460006</v>
          </cell>
          <cell r="E356">
            <v>0.16819686081694404</v>
          </cell>
          <cell r="F356">
            <v>0.22648926007218692</v>
          </cell>
          <cell r="G356">
            <v>9.9579236006051453E-2</v>
          </cell>
          <cell r="H356">
            <v>6.0915822311127174E-2</v>
          </cell>
          <cell r="J356" t="str">
            <v>1997AK</v>
          </cell>
          <cell r="K356">
            <v>0.73222390317700448</v>
          </cell>
          <cell r="L356">
            <v>9.9579236006051453E-2</v>
          </cell>
          <cell r="M356">
            <v>0.16819686081694404</v>
          </cell>
          <cell r="U356" t="str">
            <v>1997AK</v>
          </cell>
          <cell r="V356">
            <v>1</v>
          </cell>
          <cell r="W356">
            <v>0</v>
          </cell>
          <cell r="X356">
            <v>0</v>
          </cell>
          <cell r="Y356">
            <v>0</v>
          </cell>
          <cell r="Z356">
            <v>0</v>
          </cell>
          <cell r="AB356" t="str">
            <v>1997AK</v>
          </cell>
          <cell r="AC356">
            <v>2.2222222222222213E-2</v>
          </cell>
          <cell r="AD356">
            <v>2.6666666666666648E-2</v>
          </cell>
          <cell r="AE356">
            <v>0.22777777799999999</v>
          </cell>
          <cell r="AF356">
            <v>0.72333333300000002</v>
          </cell>
        </row>
        <row r="357">
          <cell r="B357" t="str">
            <v>1997AZ</v>
          </cell>
          <cell r="C357">
            <v>0.60843528121746138</v>
          </cell>
          <cell r="D357">
            <v>0.20128728704935631</v>
          </cell>
          <cell r="E357">
            <v>9.729945997757751E-2</v>
          </cell>
          <cell r="F357">
            <v>9.2505565657700392E-2</v>
          </cell>
          <cell r="G357">
            <v>0</v>
          </cell>
          <cell r="H357">
            <v>4.7240609790436309E-4</v>
          </cell>
          <cell r="J357" t="str">
            <v>1997AZ</v>
          </cell>
          <cell r="K357">
            <v>0.9027005400224225</v>
          </cell>
          <cell r="L357">
            <v>0</v>
          </cell>
          <cell r="M357">
            <v>9.729945997757751E-2</v>
          </cell>
          <cell r="U357" t="str">
            <v>1997AZ</v>
          </cell>
          <cell r="V357">
            <v>6.3833398999999999E-2</v>
          </cell>
          <cell r="W357">
            <v>3.6672683999999997E-2</v>
          </cell>
          <cell r="X357">
            <v>0.115721861</v>
          </cell>
          <cell r="Y357">
            <v>0.44734774500000002</v>
          </cell>
          <cell r="Z357">
            <v>0.33642431099999998</v>
          </cell>
          <cell r="AB357" t="str">
            <v>1997AZ</v>
          </cell>
          <cell r="AC357">
            <v>0</v>
          </cell>
          <cell r="AD357">
            <v>0</v>
          </cell>
          <cell r="AE357">
            <v>0.46666666699999998</v>
          </cell>
          <cell r="AF357">
            <v>0.53333333299999997</v>
          </cell>
        </row>
        <row r="358">
          <cell r="B358" t="str">
            <v>1997AR</v>
          </cell>
          <cell r="C358">
            <v>5.8432500000000005E-2</v>
          </cell>
          <cell r="D358">
            <v>4.5911250000000008E-2</v>
          </cell>
          <cell r="E358">
            <v>0.13912499999999997</v>
          </cell>
          <cell r="F358">
            <v>0.12127062500000002</v>
          </cell>
          <cell r="G358">
            <v>0.629</v>
          </cell>
          <cell r="H358">
            <v>6.2606250000000006E-3</v>
          </cell>
          <cell r="J358" t="str">
            <v>1997AR</v>
          </cell>
          <cell r="K358">
            <v>0.23187500000000005</v>
          </cell>
          <cell r="L358">
            <v>0.629</v>
          </cell>
          <cell r="M358">
            <v>0.13912499999999997</v>
          </cell>
          <cell r="U358" t="str">
            <v>1997AR</v>
          </cell>
          <cell r="V358">
            <v>1.953674E-2</v>
          </cell>
          <cell r="W358">
            <v>3.7876459000000001E-2</v>
          </cell>
          <cell r="X358">
            <v>0.104418236</v>
          </cell>
          <cell r="Y358">
            <v>0.49789758699999997</v>
          </cell>
          <cell r="Z358">
            <v>0.340270978</v>
          </cell>
          <cell r="AB358" t="str">
            <v>1997AR</v>
          </cell>
          <cell r="AC358">
            <v>0</v>
          </cell>
          <cell r="AD358">
            <v>0.13333333333333341</v>
          </cell>
          <cell r="AE358">
            <v>8.8888888999999999E-2</v>
          </cell>
          <cell r="AF358">
            <v>0.77777777800000003</v>
          </cell>
        </row>
        <row r="359">
          <cell r="B359" t="str">
            <v>1997CA</v>
          </cell>
          <cell r="C359">
            <v>0.57231880421234249</v>
          </cell>
          <cell r="D359">
            <v>0.2127466101735839</v>
          </cell>
          <cell r="E359">
            <v>0.11038209520924191</v>
          </cell>
          <cell r="F359">
            <v>9.0490309472548963E-2</v>
          </cell>
          <cell r="G359">
            <v>1.1657504095658775E-2</v>
          </cell>
          <cell r="H359">
            <v>2.4046768366238419E-3</v>
          </cell>
          <cell r="J359" t="str">
            <v>1997CA</v>
          </cell>
          <cell r="K359">
            <v>0.87796040069509929</v>
          </cell>
          <cell r="L359">
            <v>1.1657504095658775E-2</v>
          </cell>
          <cell r="M359">
            <v>0.11038209520924191</v>
          </cell>
          <cell r="U359" t="str">
            <v>1997CA</v>
          </cell>
          <cell r="V359">
            <v>9.5931876999999999E-2</v>
          </cell>
          <cell r="W359">
            <v>3.4302747000000001E-2</v>
          </cell>
          <cell r="X359">
            <v>7.6629752999999995E-2</v>
          </cell>
          <cell r="Y359">
            <v>0.49351678999999998</v>
          </cell>
          <cell r="Z359">
            <v>0.29961883299999997</v>
          </cell>
          <cell r="AB359" t="str">
            <v>1997CA</v>
          </cell>
          <cell r="AC359">
            <v>0.1</v>
          </cell>
          <cell r="AD359">
            <v>6.6666666666666619E-3</v>
          </cell>
          <cell r="AE359">
            <v>0.108888889</v>
          </cell>
          <cell r="AF359">
            <v>0.78444444400000002</v>
          </cell>
        </row>
        <row r="360">
          <cell r="B360" t="str">
            <v>1997CO</v>
          </cell>
          <cell r="C360">
            <v>0.55554279327593059</v>
          </cell>
          <cell r="D360">
            <v>0.26615691040331363</v>
          </cell>
          <cell r="E360">
            <v>2.2057774473096203E-2</v>
          </cell>
          <cell r="F360">
            <v>0.12685566834570489</v>
          </cell>
          <cell r="G360">
            <v>1.3059080409445015E-2</v>
          </cell>
          <cell r="H360">
            <v>1.6327773092509639E-2</v>
          </cell>
          <cell r="J360" t="str">
            <v>1997CO</v>
          </cell>
          <cell r="K360">
            <v>0.96488314511745876</v>
          </cell>
          <cell r="L360">
            <v>1.3059080409445015E-2</v>
          </cell>
          <cell r="M360">
            <v>2.2057774473096203E-2</v>
          </cell>
          <cell r="U360" t="str">
            <v>1997CO</v>
          </cell>
          <cell r="V360">
            <v>2.4989839999999999E-2</v>
          </cell>
          <cell r="W360">
            <v>5.3849913999999999E-2</v>
          </cell>
          <cell r="X360">
            <v>0.257240882</v>
          </cell>
          <cell r="Y360">
            <v>0.169228922</v>
          </cell>
          <cell r="Z360">
            <v>0.49469044200000001</v>
          </cell>
          <cell r="AB360" t="str">
            <v>1997CO</v>
          </cell>
          <cell r="AC360">
            <v>0</v>
          </cell>
          <cell r="AD360">
            <v>1.7777777777777767E-2</v>
          </cell>
          <cell r="AE360">
            <v>0.47555555599999999</v>
          </cell>
          <cell r="AF360">
            <v>0.50666666699999996</v>
          </cell>
        </row>
        <row r="361">
          <cell r="B361" t="str">
            <v>1997CT</v>
          </cell>
          <cell r="C361">
            <v>7.4010677274818873E-2</v>
          </cell>
          <cell r="D361">
            <v>0.16578544401152337</v>
          </cell>
          <cell r="E361">
            <v>0.43966239374405452</v>
          </cell>
          <cell r="F361">
            <v>0.22580840885935419</v>
          </cell>
          <cell r="G361">
            <v>6.2220556633534554E-2</v>
          </cell>
          <cell r="H361">
            <v>3.251251947671456E-2</v>
          </cell>
          <cell r="J361" t="str">
            <v>1997CT</v>
          </cell>
          <cell r="K361">
            <v>0.49811704962241088</v>
          </cell>
          <cell r="L361">
            <v>6.2220556633534554E-2</v>
          </cell>
          <cell r="M361">
            <v>0.43966239374405452</v>
          </cell>
          <cell r="U361" t="str">
            <v>1997CT</v>
          </cell>
          <cell r="V361">
            <v>0.60220689699999996</v>
          </cell>
          <cell r="W361">
            <v>1.7502897E-2</v>
          </cell>
          <cell r="X361">
            <v>0.109790897</v>
          </cell>
          <cell r="Y361">
            <v>8.3934344999999994E-2</v>
          </cell>
          <cell r="Z361">
            <v>0.186564966</v>
          </cell>
          <cell r="AB361" t="str">
            <v>1997CT</v>
          </cell>
          <cell r="AC361">
            <v>0</v>
          </cell>
          <cell r="AD361">
            <v>0</v>
          </cell>
          <cell r="AE361">
            <v>3.8888889000000003E-2</v>
          </cell>
          <cell r="AF361">
            <v>0.96111111100000002</v>
          </cell>
        </row>
        <row r="362">
          <cell r="B362" t="str">
            <v>1997DE</v>
          </cell>
          <cell r="C362">
            <v>5.1024487308203942E-2</v>
          </cell>
          <cell r="D362">
            <v>0.1391769667794085</v>
          </cell>
          <cell r="E362">
            <v>0.45487746885023439</v>
          </cell>
          <cell r="F362">
            <v>0.2489053275581472</v>
          </cell>
          <cell r="G362">
            <v>7.5945287441401402E-2</v>
          </cell>
          <cell r="H362">
            <v>3.0070462062604619E-2</v>
          </cell>
          <cell r="J362" t="str">
            <v>1997DE</v>
          </cell>
          <cell r="K362">
            <v>0.46917724370836422</v>
          </cell>
          <cell r="L362">
            <v>7.5945287441401402E-2</v>
          </cell>
          <cell r="M362">
            <v>0.45487746885023439</v>
          </cell>
          <cell r="U362" t="str">
            <v>1997DE</v>
          </cell>
          <cell r="V362">
            <v>0.114717151</v>
          </cell>
          <cell r="W362">
            <v>4.5659680000000001E-2</v>
          </cell>
          <cell r="X362">
            <v>0.237071895</v>
          </cell>
          <cell r="Y362">
            <v>0.16443723199999999</v>
          </cell>
          <cell r="Z362">
            <v>0.43811404100000001</v>
          </cell>
          <cell r="AB362" t="str">
            <v>1997DE</v>
          </cell>
          <cell r="AC362">
            <v>0</v>
          </cell>
          <cell r="AD362">
            <v>0</v>
          </cell>
          <cell r="AE362">
            <v>3.8888889000000003E-2</v>
          </cell>
          <cell r="AF362">
            <v>0.96111111100000002</v>
          </cell>
        </row>
        <row r="363">
          <cell r="B363" t="str">
            <v>1997FL</v>
          </cell>
          <cell r="C363">
            <v>0.43458984887715846</v>
          </cell>
          <cell r="D363">
            <v>0.1498346334595958</v>
          </cell>
          <cell r="E363">
            <v>0.22548726217306986</v>
          </cell>
          <cell r="F363">
            <v>7.2939783932160954E-2</v>
          </cell>
          <cell r="G363">
            <v>0.11667387179621573</v>
          </cell>
          <cell r="H363">
            <v>4.7459976179917038E-4</v>
          </cell>
          <cell r="J363" t="str">
            <v>1997FL</v>
          </cell>
          <cell r="K363">
            <v>0.6578388660307144</v>
          </cell>
          <cell r="L363">
            <v>0.11667387179621573</v>
          </cell>
          <cell r="M363">
            <v>0.22548726217306986</v>
          </cell>
          <cell r="U363" t="str">
            <v>1997FL</v>
          </cell>
          <cell r="V363">
            <v>0.61672895999999999</v>
          </cell>
          <cell r="W363">
            <v>1.6863926000000001E-2</v>
          </cell>
          <cell r="X363">
            <v>0.10578280700000001</v>
          </cell>
          <cell r="Y363">
            <v>8.0870188999999995E-2</v>
          </cell>
          <cell r="Z363">
            <v>0.17975411799999999</v>
          </cell>
          <cell r="AB363" t="str">
            <v>1997FL</v>
          </cell>
          <cell r="AC363">
            <v>2.6666666666666648E-2</v>
          </cell>
          <cell r="AD363">
            <v>1.3333333333333324E-2</v>
          </cell>
          <cell r="AE363">
            <v>0.35255555599999999</v>
          </cell>
          <cell r="AF363">
            <v>0.60744444399999997</v>
          </cell>
        </row>
        <row r="364">
          <cell r="B364" t="str">
            <v>1997GA</v>
          </cell>
          <cell r="C364">
            <v>0.13072484098613765</v>
          </cell>
          <cell r="D364">
            <v>8.6445466895286913E-2</v>
          </cell>
          <cell r="E364">
            <v>0.15545460683331236</v>
          </cell>
          <cell r="F364">
            <v>9.1079417720549283E-2</v>
          </cell>
          <cell r="G364">
            <v>0.53212800946279781</v>
          </cell>
          <cell r="H364">
            <v>4.1676581019159786E-3</v>
          </cell>
          <cell r="J364" t="str">
            <v>1997GA</v>
          </cell>
          <cell r="K364">
            <v>0.31241738370388983</v>
          </cell>
          <cell r="L364">
            <v>0.53212800946279781</v>
          </cell>
          <cell r="M364">
            <v>0.15545460683331236</v>
          </cell>
          <cell r="U364" t="str">
            <v>1997GA</v>
          </cell>
          <cell r="V364">
            <v>9.1220534000000006E-2</v>
          </cell>
          <cell r="W364">
            <v>3.6227085999999999E-2</v>
          </cell>
          <cell r="X364">
            <v>0.13213949999999999</v>
          </cell>
          <cell r="Y364">
            <v>0.39958308199999998</v>
          </cell>
          <cell r="Z364">
            <v>0.34082979800000002</v>
          </cell>
          <cell r="AB364" t="str">
            <v>1997GA</v>
          </cell>
          <cell r="AC364">
            <v>0.14222222222222214</v>
          </cell>
          <cell r="AD364">
            <v>1.1111111111111106E-2</v>
          </cell>
          <cell r="AE364">
            <v>0.32811111100000001</v>
          </cell>
          <cell r="AF364">
            <v>0.51855555600000003</v>
          </cell>
        </row>
        <row r="365">
          <cell r="B365" t="str">
            <v>1997HI</v>
          </cell>
          <cell r="C365">
            <v>0.52918353891862635</v>
          </cell>
          <cell r="D365">
            <v>0.21004075537581532</v>
          </cell>
          <cell r="E365">
            <v>0</v>
          </cell>
          <cell r="F365">
            <v>0.12657776452315359</v>
          </cell>
          <cell r="G365">
            <v>0.11864739629302737</v>
          </cell>
          <cell r="H365">
            <v>1.555054488937741E-2</v>
          </cell>
          <cell r="J365" t="str">
            <v>1997HI</v>
          </cell>
          <cell r="K365">
            <v>0.88135260370697266</v>
          </cell>
          <cell r="L365">
            <v>0.11864739629302737</v>
          </cell>
          <cell r="M365">
            <v>0</v>
          </cell>
          <cell r="U365" t="str">
            <v>1997HI</v>
          </cell>
          <cell r="V365">
            <v>0.35729908599999999</v>
          </cell>
          <cell r="W365">
            <v>2.827884E-2</v>
          </cell>
          <cell r="X365">
            <v>0.177385452</v>
          </cell>
          <cell r="Y365">
            <v>0.13560989300000001</v>
          </cell>
          <cell r="Z365">
            <v>0.301426729</v>
          </cell>
          <cell r="AB365" t="str">
            <v>1997HI</v>
          </cell>
          <cell r="AC365">
            <v>2.2222222222222213E-2</v>
          </cell>
          <cell r="AD365">
            <v>0</v>
          </cell>
          <cell r="AE365">
            <v>0.37222222199999999</v>
          </cell>
          <cell r="AF365">
            <v>0.60555555599999999</v>
          </cell>
        </row>
        <row r="366">
          <cell r="B366" t="str">
            <v>1997ID</v>
          </cell>
          <cell r="C366">
            <v>0.55747460653849124</v>
          </cell>
          <cell r="D366">
            <v>0.24756681815115114</v>
          </cell>
          <cell r="E366">
            <v>1.8068946361658778E-2</v>
          </cell>
          <cell r="F366">
            <v>0.14522769975474345</v>
          </cell>
          <cell r="G366">
            <v>1.069753540814624E-2</v>
          </cell>
          <cell r="H366">
            <v>2.096439378580902E-2</v>
          </cell>
          <cell r="J366" t="str">
            <v>1997ID</v>
          </cell>
          <cell r="K366">
            <v>0.97123351823019499</v>
          </cell>
          <cell r="L366">
            <v>1.069753540814624E-2</v>
          </cell>
          <cell r="M366">
            <v>1.8068946361658778E-2</v>
          </cell>
          <cell r="U366" t="str">
            <v>1997ID</v>
          </cell>
          <cell r="V366">
            <v>0.336043547</v>
          </cell>
          <cell r="W366">
            <v>3.205595E-2</v>
          </cell>
          <cell r="X366">
            <v>0.18017329300000001</v>
          </cell>
          <cell r="Y366">
            <v>0.130621925</v>
          </cell>
          <cell r="Z366">
            <v>0.32110528500000002</v>
          </cell>
          <cell r="AB366" t="str">
            <v>1997ID</v>
          </cell>
          <cell r="AC366">
            <v>0</v>
          </cell>
          <cell r="AD366">
            <v>0.13333333333333341</v>
          </cell>
          <cell r="AE366">
            <v>0.46666666699999998</v>
          </cell>
          <cell r="AF366">
            <v>0.4</v>
          </cell>
        </row>
        <row r="367">
          <cell r="B367" t="str">
            <v>1997IL</v>
          </cell>
          <cell r="C367">
            <v>6.0637714772666967E-2</v>
          </cell>
          <cell r="D367">
            <v>0.18872582827076306</v>
          </cell>
          <cell r="E367">
            <v>0.12130102222032792</v>
          </cell>
          <cell r="F367">
            <v>0.50886906219971484</v>
          </cell>
          <cell r="G367">
            <v>7.1815033055816019E-2</v>
          </cell>
          <cell r="H367">
            <v>4.8651339480711243E-2</v>
          </cell>
          <cell r="J367" t="str">
            <v>1997IL</v>
          </cell>
          <cell r="K367">
            <v>0.80688394472385605</v>
          </cell>
          <cell r="L367">
            <v>7.1815033055816019E-2</v>
          </cell>
          <cell r="M367">
            <v>0.12130102222032792</v>
          </cell>
          <cell r="U367" t="str">
            <v>1997IL</v>
          </cell>
          <cell r="V367">
            <v>4.2521893999999998E-2</v>
          </cell>
          <cell r="W367">
            <v>4.4130747999999997E-2</v>
          </cell>
          <cell r="X367">
            <v>0.27177037500000001</v>
          </cell>
          <cell r="Y367">
            <v>0.15849065700000001</v>
          </cell>
          <cell r="Z367">
            <v>0.48308632600000001</v>
          </cell>
          <cell r="AB367" t="str">
            <v>1997IL</v>
          </cell>
          <cell r="AC367">
            <v>0</v>
          </cell>
          <cell r="AD367">
            <v>0</v>
          </cell>
          <cell r="AE367">
            <v>3.7777777999999998E-2</v>
          </cell>
          <cell r="AF367">
            <v>0.96222222199999996</v>
          </cell>
        </row>
        <row r="368">
          <cell r="B368" t="str">
            <v>1997IN</v>
          </cell>
          <cell r="C368">
            <v>4.989141796869874E-2</v>
          </cell>
          <cell r="D368">
            <v>0.16050104163111101</v>
          </cell>
          <cell r="E368">
            <v>0.18298941106841421</v>
          </cell>
          <cell r="F368">
            <v>0.45476110897432409</v>
          </cell>
          <cell r="G368">
            <v>0.10833701451314075</v>
          </cell>
          <cell r="H368">
            <v>4.3520005844311295E-2</v>
          </cell>
          <cell r="J368" t="str">
            <v>1997IN</v>
          </cell>
          <cell r="K368">
            <v>0.70867357441844503</v>
          </cell>
          <cell r="L368">
            <v>0.10833701451314075</v>
          </cell>
          <cell r="M368">
            <v>0.18298941106841421</v>
          </cell>
          <cell r="U368" t="str">
            <v>1997IN</v>
          </cell>
          <cell r="V368">
            <v>4.4315291999999999E-2</v>
          </cell>
          <cell r="W368">
            <v>4.4161421999999999E-2</v>
          </cell>
          <cell r="X368">
            <v>0.271686333</v>
          </cell>
          <cell r="Y368">
            <v>0.15572881999999999</v>
          </cell>
          <cell r="Z368">
            <v>0.484108133</v>
          </cell>
          <cell r="AB368" t="str">
            <v>1997IN</v>
          </cell>
          <cell r="AC368">
            <v>0</v>
          </cell>
          <cell r="AD368">
            <v>1.1111111111111106E-2</v>
          </cell>
          <cell r="AE368">
            <v>0</v>
          </cell>
          <cell r="AF368">
            <v>0.98888888900000005</v>
          </cell>
        </row>
        <row r="369">
          <cell r="B369" t="str">
            <v>1997IA</v>
          </cell>
          <cell r="C369">
            <v>5.6350320219799167E-2</v>
          </cell>
          <cell r="D369">
            <v>0.16330505116654412</v>
          </cell>
          <cell r="E369">
            <v>0.1687497580033144</v>
          </cell>
          <cell r="F369">
            <v>0.47095883554942886</v>
          </cell>
          <cell r="G369">
            <v>9.9906573146240851E-2</v>
          </cell>
          <cell r="H369">
            <v>4.0729461914672666E-2</v>
          </cell>
          <cell r="J369" t="str">
            <v>1997IA</v>
          </cell>
          <cell r="K369">
            <v>0.73134366885044477</v>
          </cell>
          <cell r="L369">
            <v>9.9906573146240851E-2</v>
          </cell>
          <cell r="M369">
            <v>0.1687497580033144</v>
          </cell>
          <cell r="U369" t="str">
            <v>1997IA</v>
          </cell>
          <cell r="V369">
            <v>2.7885971999999998E-2</v>
          </cell>
          <cell r="W369">
            <v>3.9307257999999998E-2</v>
          </cell>
          <cell r="X369">
            <v>0.15888448799999999</v>
          </cell>
          <cell r="Y369">
            <v>0.39672305899999999</v>
          </cell>
          <cell r="Z369">
            <v>0.377199224</v>
          </cell>
          <cell r="AB369" t="str">
            <v>1997IA</v>
          </cell>
          <cell r="AC369">
            <v>8.8888888888888837E-3</v>
          </cell>
          <cell r="AD369">
            <v>8.8888888888888837E-3</v>
          </cell>
          <cell r="AE369">
            <v>4.4444439999999997E-3</v>
          </cell>
          <cell r="AF369">
            <v>0.97777777799999999</v>
          </cell>
        </row>
        <row r="370">
          <cell r="B370" t="str">
            <v>1997KS</v>
          </cell>
          <cell r="C370">
            <v>5.1675290601071802E-2</v>
          </cell>
          <cell r="D370">
            <v>0.17125295242358873</v>
          </cell>
          <cell r="E370">
            <v>0.13767293822946489</v>
          </cell>
          <cell r="F370">
            <v>0.50967064371036053</v>
          </cell>
          <cell r="G370">
            <v>8.1507858951772733E-2</v>
          </cell>
          <cell r="H370">
            <v>4.8220316083741367E-2</v>
          </cell>
          <cell r="J370" t="str">
            <v>1997KS</v>
          </cell>
          <cell r="K370">
            <v>0.78081920281876238</v>
          </cell>
          <cell r="L370">
            <v>8.1507858951772733E-2</v>
          </cell>
          <cell r="M370">
            <v>0.13767293822946489</v>
          </cell>
          <cell r="U370" t="str">
            <v>1997KS</v>
          </cell>
          <cell r="V370">
            <v>5.6214767999999998E-2</v>
          </cell>
          <cell r="W370">
            <v>4.4155602000000002E-2</v>
          </cell>
          <cell r="X370">
            <v>0.27034366799999998</v>
          </cell>
          <cell r="Y370">
            <v>0.14195680699999999</v>
          </cell>
          <cell r="Z370">
            <v>0.48732915399999999</v>
          </cell>
          <cell r="AB370" t="str">
            <v>1997KS</v>
          </cell>
          <cell r="AC370">
            <v>0</v>
          </cell>
          <cell r="AD370">
            <v>0</v>
          </cell>
          <cell r="AE370">
            <v>1.5555556E-2</v>
          </cell>
          <cell r="AF370">
            <v>0.98444444399999997</v>
          </cell>
        </row>
        <row r="371">
          <cell r="B371" t="str">
            <v>1997KY</v>
          </cell>
          <cell r="C371">
            <v>1.3261648948343507E-2</v>
          </cell>
          <cell r="D371">
            <v>4.7739135107890157E-2</v>
          </cell>
          <cell r="E371">
            <v>0.13912499999999997</v>
          </cell>
          <cell r="F371">
            <v>0.15591031533347866</v>
          </cell>
          <cell r="G371">
            <v>0.629</v>
          </cell>
          <cell r="H371">
            <v>1.496390061028771E-2</v>
          </cell>
          <cell r="J371" t="str">
            <v>1997KY</v>
          </cell>
          <cell r="K371">
            <v>0.23187500000000005</v>
          </cell>
          <cell r="L371">
            <v>0.629</v>
          </cell>
          <cell r="M371">
            <v>0.13912499999999997</v>
          </cell>
          <cell r="U371" t="str">
            <v>1997KY</v>
          </cell>
          <cell r="V371">
            <v>7.2141213999999995E-2</v>
          </cell>
          <cell r="W371">
            <v>3.7337127999999997E-2</v>
          </cell>
          <cell r="X371">
            <v>0.14594710299999999</v>
          </cell>
          <cell r="Y371">
            <v>0.38865116199999999</v>
          </cell>
          <cell r="Z371">
            <v>0.35592339299999998</v>
          </cell>
          <cell r="AB371" t="str">
            <v>1997KY</v>
          </cell>
          <cell r="AC371">
            <v>6.6666666666666619E-3</v>
          </cell>
          <cell r="AD371">
            <v>7.3333333333333278E-2</v>
          </cell>
          <cell r="AE371">
            <v>0.174444444</v>
          </cell>
          <cell r="AF371">
            <v>0.74555555600000001</v>
          </cell>
        </row>
        <row r="372">
          <cell r="B372" t="str">
            <v>1997LA</v>
          </cell>
          <cell r="C372">
            <v>8.8974375575669368E-2</v>
          </cell>
          <cell r="D372">
            <v>6.3107071101691975E-2</v>
          </cell>
          <cell r="E372">
            <v>0.14697426428434932</v>
          </cell>
          <cell r="F372">
            <v>0.11289524387860261</v>
          </cell>
          <cell r="G372">
            <v>0.58243587489649018</v>
          </cell>
          <cell r="H372">
            <v>5.6131702631965364E-3</v>
          </cell>
          <cell r="J372" t="str">
            <v>1997LA</v>
          </cell>
          <cell r="K372">
            <v>0.27058986081916048</v>
          </cell>
          <cell r="L372">
            <v>0.58243587489649018</v>
          </cell>
          <cell r="M372">
            <v>0.14697426428434932</v>
          </cell>
          <cell r="U372" t="str">
            <v>1997LA</v>
          </cell>
          <cell r="V372">
            <v>0.61270510600000005</v>
          </cell>
          <cell r="W372">
            <v>1.7040975E-2</v>
          </cell>
          <cell r="X372">
            <v>0.106893391</v>
          </cell>
          <cell r="Y372">
            <v>8.1719222999999994E-2</v>
          </cell>
          <cell r="Z372">
            <v>0.181641305</v>
          </cell>
          <cell r="AB372" t="str">
            <v>1997LA</v>
          </cell>
          <cell r="AC372">
            <v>1.1111111111111106E-2</v>
          </cell>
          <cell r="AD372">
            <v>0</v>
          </cell>
          <cell r="AE372">
            <v>0.67777777800000005</v>
          </cell>
          <cell r="AF372">
            <v>0.311111111</v>
          </cell>
        </row>
        <row r="373">
          <cell r="B373" t="str">
            <v>1997ME</v>
          </cell>
          <cell r="C373">
            <v>4.1334239865318888E-2</v>
          </cell>
          <cell r="D373">
            <v>0.11659910416539841</v>
          </cell>
          <cell r="E373">
            <v>0.46928073596054959</v>
          </cell>
          <cell r="F373">
            <v>0.2584719513497265</v>
          </cell>
          <cell r="G373">
            <v>8.8937728324101087E-2</v>
          </cell>
          <cell r="H373">
            <v>2.5376240334905553E-2</v>
          </cell>
          <cell r="J373" t="str">
            <v>1997ME</v>
          </cell>
          <cell r="K373">
            <v>0.44178153571534928</v>
          </cell>
          <cell r="L373">
            <v>8.8937728324101087E-2</v>
          </cell>
          <cell r="M373">
            <v>0.46928073596054959</v>
          </cell>
          <cell r="U373" t="str">
            <v>1997ME</v>
          </cell>
          <cell r="V373">
            <v>1</v>
          </cell>
          <cell r="W373">
            <v>0</v>
          </cell>
          <cell r="X373">
            <v>0</v>
          </cell>
          <cell r="Y373">
            <v>0</v>
          </cell>
          <cell r="Z373">
            <v>0</v>
          </cell>
          <cell r="AB373" t="str">
            <v>1997ME</v>
          </cell>
          <cell r="AC373">
            <v>2.2222222222222213E-2</v>
          </cell>
          <cell r="AD373">
            <v>0.02</v>
          </cell>
          <cell r="AE373">
            <v>3.8888889000000003E-2</v>
          </cell>
          <cell r="AF373">
            <v>0.91888888899999999</v>
          </cell>
        </row>
        <row r="374">
          <cell r="B374" t="str">
            <v>1997MD</v>
          </cell>
          <cell r="C374">
            <v>5.4340177328815263E-2</v>
          </cell>
          <cell r="D374">
            <v>0.13172953783441252</v>
          </cell>
          <cell r="E374">
            <v>0.45531130818512389</v>
          </cell>
          <cell r="F374">
            <v>0.25197728640281797</v>
          </cell>
          <cell r="G374">
            <v>7.6336631423844475E-2</v>
          </cell>
          <cell r="H374">
            <v>3.0305058824985884E-2</v>
          </cell>
          <cell r="J374" t="str">
            <v>1997MD</v>
          </cell>
          <cell r="K374">
            <v>0.46835206039103161</v>
          </cell>
          <cell r="L374">
            <v>7.6336631423844475E-2</v>
          </cell>
          <cell r="M374">
            <v>0.45531130818512389</v>
          </cell>
          <cell r="U374" t="str">
            <v>1997MD</v>
          </cell>
          <cell r="V374">
            <v>0.19301175000000001</v>
          </cell>
          <cell r="W374">
            <v>3.9336648000000002E-2</v>
          </cell>
          <cell r="X374">
            <v>0.21858049500000001</v>
          </cell>
          <cell r="Y374">
            <v>0.15751063700000001</v>
          </cell>
          <cell r="Z374">
            <v>0.39156046999999999</v>
          </cell>
          <cell r="AB374" t="str">
            <v>1997MD</v>
          </cell>
          <cell r="AC374">
            <v>0</v>
          </cell>
          <cell r="AD374">
            <v>0</v>
          </cell>
          <cell r="AE374">
            <v>3.8888889000000003E-2</v>
          </cell>
          <cell r="AF374">
            <v>0.96111111100000002</v>
          </cell>
        </row>
        <row r="375">
          <cell r="B375" t="str">
            <v>1997MA</v>
          </cell>
          <cell r="C375">
            <v>4.5363257983568023E-2</v>
          </cell>
          <cell r="D375">
            <v>0.12947114671019447</v>
          </cell>
          <cell r="E375">
            <v>0.45794055122736171</v>
          </cell>
          <cell r="F375">
            <v>0.25778614130063648</v>
          </cell>
          <cell r="G375">
            <v>7.8708335324833609E-2</v>
          </cell>
          <cell r="H375">
            <v>3.0730567453405782E-2</v>
          </cell>
          <cell r="J375" t="str">
            <v>1997MA</v>
          </cell>
          <cell r="K375">
            <v>0.46335111344780466</v>
          </cell>
          <cell r="L375">
            <v>7.8708335324833609E-2</v>
          </cell>
          <cell r="M375">
            <v>0.45794055122736171</v>
          </cell>
          <cell r="U375" t="str">
            <v>1997MA</v>
          </cell>
          <cell r="V375">
            <v>0.42419894800000002</v>
          </cell>
          <cell r="W375">
            <v>2.5335245999999999E-2</v>
          </cell>
          <cell r="X375">
            <v>0.15892108999999999</v>
          </cell>
          <cell r="Y375">
            <v>0.12149402199999999</v>
          </cell>
          <cell r="Z375">
            <v>0.27005069300000001</v>
          </cell>
          <cell r="AB375" t="str">
            <v>1997MA</v>
          </cell>
          <cell r="AC375">
            <v>2.2222222222222213E-2</v>
          </cell>
          <cell r="AD375">
            <v>0.02</v>
          </cell>
          <cell r="AE375">
            <v>3.8888889000000003E-2</v>
          </cell>
          <cell r="AF375">
            <v>0.91888888899999999</v>
          </cell>
        </row>
        <row r="376">
          <cell r="B376" t="str">
            <v>1997MI</v>
          </cell>
          <cell r="C376">
            <v>0.11617228550250164</v>
          </cell>
          <cell r="D376">
            <v>0.26047546885555795</v>
          </cell>
          <cell r="E376">
            <v>9.6465611813162155E-2</v>
          </cell>
          <cell r="F376">
            <v>0.41867781103895668</v>
          </cell>
          <cell r="G376">
            <v>5.7111481620727843E-2</v>
          </cell>
          <cell r="H376">
            <v>5.1097341169093702E-2</v>
          </cell>
          <cell r="J376" t="str">
            <v>1997MI</v>
          </cell>
          <cell r="K376">
            <v>0.84642290656610997</v>
          </cell>
          <cell r="L376">
            <v>5.7111481620727843E-2</v>
          </cell>
          <cell r="M376">
            <v>9.6465611813162155E-2</v>
          </cell>
          <cell r="U376" t="str">
            <v>1997MI</v>
          </cell>
          <cell r="V376">
            <v>6.5347951000000001E-2</v>
          </cell>
          <cell r="W376">
            <v>4.8127084000000001E-2</v>
          </cell>
          <cell r="X376">
            <v>0.250378039</v>
          </cell>
          <cell r="Y376">
            <v>0.17387027099999999</v>
          </cell>
          <cell r="Z376">
            <v>0.46227665499999998</v>
          </cell>
          <cell r="AB376" t="str">
            <v>1997MI</v>
          </cell>
          <cell r="AC376">
            <v>0.02</v>
          </cell>
          <cell r="AD376">
            <v>6.6666666666666619E-3</v>
          </cell>
          <cell r="AE376">
            <v>2.2222222E-2</v>
          </cell>
          <cell r="AF376">
            <v>0.95111111100000001</v>
          </cell>
        </row>
        <row r="377">
          <cell r="B377" t="str">
            <v>1997MN</v>
          </cell>
          <cell r="C377">
            <v>5.2484586483920202E-2</v>
          </cell>
          <cell r="D377">
            <v>0.15678031588005603</v>
          </cell>
          <cell r="E377">
            <v>0.19010197160170031</v>
          </cell>
          <cell r="F377">
            <v>0.4497099029987498</v>
          </cell>
          <cell r="G377">
            <v>0.1125479334358325</v>
          </cell>
          <cell r="H377">
            <v>3.8375289599741173E-2</v>
          </cell>
          <cell r="J377" t="str">
            <v>1997MN</v>
          </cell>
          <cell r="K377">
            <v>0.69735009496246714</v>
          </cell>
          <cell r="L377">
            <v>0.1125479334358325</v>
          </cell>
          <cell r="M377">
            <v>0.19010197160170031</v>
          </cell>
          <cell r="U377" t="str">
            <v>1997MN</v>
          </cell>
          <cell r="V377">
            <v>3.1094145E-2</v>
          </cell>
          <cell r="W377">
            <v>4.9240610999999997E-2</v>
          </cell>
          <cell r="X377">
            <v>0.26025853399999999</v>
          </cell>
          <cell r="Y377">
            <v>0.18240995900000001</v>
          </cell>
          <cell r="Z377">
            <v>0.47699675200000002</v>
          </cell>
          <cell r="AB377" t="str">
            <v>1997MN</v>
          </cell>
          <cell r="AC377">
            <v>0</v>
          </cell>
          <cell r="AD377">
            <v>5.5555555555555511E-2</v>
          </cell>
          <cell r="AE377">
            <v>0</v>
          </cell>
          <cell r="AF377">
            <v>0.94444444400000005</v>
          </cell>
        </row>
        <row r="378">
          <cell r="B378" t="str">
            <v>1997MS</v>
          </cell>
          <cell r="C378">
            <v>7.3285254592412696E-2</v>
          </cell>
          <cell r="D378">
            <v>5.8083001958403171E-2</v>
          </cell>
          <cell r="E378">
            <v>0.13912499999999997</v>
          </cell>
          <cell r="F378">
            <v>9.5693859871549297E-2</v>
          </cell>
          <cell r="G378">
            <v>0.629</v>
          </cell>
          <cell r="H378">
            <v>4.8128835776348649E-3</v>
          </cell>
          <cell r="J378" t="str">
            <v>1997MS</v>
          </cell>
          <cell r="K378">
            <v>0.23187500000000005</v>
          </cell>
          <cell r="L378">
            <v>0.629</v>
          </cell>
          <cell r="M378">
            <v>0.13912499999999997</v>
          </cell>
          <cell r="U378" t="str">
            <v>1997MS</v>
          </cell>
          <cell r="V378">
            <v>4.2012448000000001E-2</v>
          </cell>
          <cell r="W378">
            <v>3.6411792999999998E-2</v>
          </cell>
          <cell r="X378">
            <v>8.3195330999999997E-2</v>
          </cell>
          <cell r="Y378">
            <v>0.51945651999999998</v>
          </cell>
          <cell r="Z378">
            <v>0.31892390799999998</v>
          </cell>
          <cell r="AB378" t="str">
            <v>1997MS</v>
          </cell>
          <cell r="AC378">
            <v>2.2222222222222213E-2</v>
          </cell>
          <cell r="AD378">
            <v>1.1111111111111106E-2</v>
          </cell>
          <cell r="AE378">
            <v>0.65555555600000004</v>
          </cell>
          <cell r="AF378">
            <v>0.311111111</v>
          </cell>
        </row>
        <row r="379">
          <cell r="B379" t="str">
            <v>1997MO</v>
          </cell>
          <cell r="C379">
            <v>4.5471706752512921E-2</v>
          </cell>
          <cell r="D379">
            <v>0.15828748193420802</v>
          </cell>
          <cell r="E379">
            <v>0.1609752338471036</v>
          </cell>
          <cell r="F379">
            <v>0.49199160414161835</v>
          </cell>
          <cell r="G379">
            <v>9.5303745411966803E-2</v>
          </cell>
          <cell r="H379">
            <v>4.7970227912590313E-2</v>
          </cell>
          <cell r="J379" t="str">
            <v>1997MO</v>
          </cell>
          <cell r="K379">
            <v>0.74372102074092961</v>
          </cell>
          <cell r="L379">
            <v>9.5303745411966803E-2</v>
          </cell>
          <cell r="M379">
            <v>0.1609752338471036</v>
          </cell>
          <cell r="U379" t="str">
            <v>1997MO</v>
          </cell>
          <cell r="V379">
            <v>4.6877449000000002E-2</v>
          </cell>
          <cell r="W379">
            <v>4.4613078E-2</v>
          </cell>
          <cell r="X379">
            <v>0.273095647</v>
          </cell>
          <cell r="Y379">
            <v>0.14291268400000001</v>
          </cell>
          <cell r="Z379">
            <v>0.492501142</v>
          </cell>
          <cell r="AB379" t="str">
            <v>1997MO</v>
          </cell>
          <cell r="AC379">
            <v>0</v>
          </cell>
          <cell r="AD379">
            <v>4.4444444444444425E-2</v>
          </cell>
          <cell r="AE379">
            <v>0</v>
          </cell>
          <cell r="AF379">
            <v>0.95555555599999997</v>
          </cell>
        </row>
        <row r="380">
          <cell r="B380" t="str">
            <v>1997MT</v>
          </cell>
          <cell r="C380">
            <v>0.29852297519436083</v>
          </cell>
          <cell r="D380">
            <v>0.23307986790641672</v>
          </cell>
          <cell r="E380">
            <v>4.2236344024747643E-2</v>
          </cell>
          <cell r="F380">
            <v>0.31514404952751246</v>
          </cell>
          <cell r="G380">
            <v>2.5005596711169E-2</v>
          </cell>
          <cell r="H380">
            <v>8.6011166635793446E-2</v>
          </cell>
          <cell r="J380" t="str">
            <v>1997MT</v>
          </cell>
          <cell r="K380">
            <v>0.93275805926408339</v>
          </cell>
          <cell r="L380">
            <v>2.5005596711169E-2</v>
          </cell>
          <cell r="M380">
            <v>4.2236344024747643E-2</v>
          </cell>
          <cell r="U380" t="str">
            <v>1997MT</v>
          </cell>
          <cell r="V380">
            <v>8.0567121000000005E-2</v>
          </cell>
          <cell r="W380">
            <v>4.8808124000000001E-2</v>
          </cell>
          <cell r="X380">
            <v>0.24471430699999999</v>
          </cell>
          <cell r="Y380">
            <v>0.16615674599999999</v>
          </cell>
          <cell r="Z380">
            <v>0.45975370199999999</v>
          </cell>
          <cell r="AB380" t="str">
            <v>1997MT</v>
          </cell>
          <cell r="AC380">
            <v>0</v>
          </cell>
          <cell r="AD380">
            <v>1.7777777777777767E-2</v>
          </cell>
          <cell r="AE380">
            <v>0.47555555599999999</v>
          </cell>
          <cell r="AF380">
            <v>0.50666666699999996</v>
          </cell>
        </row>
        <row r="381">
          <cell r="B381" t="str">
            <v>1997NE</v>
          </cell>
          <cell r="C381">
            <v>4.9818703122634887E-2</v>
          </cell>
          <cell r="D381">
            <v>0.16791707851633675</v>
          </cell>
          <cell r="E381">
            <v>0.15689093077026181</v>
          </cell>
          <cell r="F381">
            <v>0.48266281694950847</v>
          </cell>
          <cell r="G381">
            <v>9.2885675431150033E-2</v>
          </cell>
          <cell r="H381">
            <v>4.9824795210107978E-2</v>
          </cell>
          <cell r="J381" t="str">
            <v>1997NE</v>
          </cell>
          <cell r="K381">
            <v>0.75022339379858816</v>
          </cell>
          <cell r="L381">
            <v>9.2885675431150033E-2</v>
          </cell>
          <cell r="M381">
            <v>0.15689093077026181</v>
          </cell>
          <cell r="U381" t="str">
            <v>1997NE</v>
          </cell>
          <cell r="V381">
            <v>5.4785010000000002E-2</v>
          </cell>
          <cell r="W381">
            <v>4.3310735000000003E-2</v>
          </cell>
          <cell r="X381">
            <v>0.26733412099999998</v>
          </cell>
          <cell r="Y381">
            <v>0.16200261699999999</v>
          </cell>
          <cell r="Z381">
            <v>0.47256751699999999</v>
          </cell>
          <cell r="AB381" t="str">
            <v>1997NE</v>
          </cell>
          <cell r="AC381">
            <v>0</v>
          </cell>
          <cell r="AD381">
            <v>0</v>
          </cell>
          <cell r="AE381">
            <v>1.5555556E-2</v>
          </cell>
          <cell r="AF381">
            <v>0.98444444399999997</v>
          </cell>
        </row>
        <row r="382">
          <cell r="B382" t="str">
            <v>1997NV</v>
          </cell>
          <cell r="C382">
            <v>0.63266582084540246</v>
          </cell>
          <cell r="D382">
            <v>0.20260594295224432</v>
          </cell>
          <cell r="E382">
            <v>2.9984695770467477E-2</v>
          </cell>
          <cell r="F382">
            <v>0.11203648247331786</v>
          </cell>
          <cell r="G382">
            <v>1.7752133316843929E-2</v>
          </cell>
          <cell r="H382">
            <v>4.9549246417240249E-3</v>
          </cell>
          <cell r="J382" t="str">
            <v>1997NV</v>
          </cell>
          <cell r="K382">
            <v>0.95226317091268864</v>
          </cell>
          <cell r="L382">
            <v>1.7752133316843929E-2</v>
          </cell>
          <cell r="M382">
            <v>2.9984695770467477E-2</v>
          </cell>
          <cell r="U382" t="str">
            <v>1997NV</v>
          </cell>
          <cell r="V382">
            <v>1</v>
          </cell>
          <cell r="W382">
            <v>0</v>
          </cell>
          <cell r="X382">
            <v>0</v>
          </cell>
          <cell r="Y382">
            <v>0</v>
          </cell>
          <cell r="Z382">
            <v>0</v>
          </cell>
          <cell r="AB382" t="str">
            <v>1997NV</v>
          </cell>
          <cell r="AC382">
            <v>5.5555555555555511E-2</v>
          </cell>
          <cell r="AD382">
            <v>0</v>
          </cell>
          <cell r="AE382">
            <v>0</v>
          </cell>
          <cell r="AF382">
            <v>0.94444444400000005</v>
          </cell>
        </row>
        <row r="383">
          <cell r="B383" t="str">
            <v>1997NH</v>
          </cell>
          <cell r="C383">
            <v>4.6613075700619802E-2</v>
          </cell>
          <cell r="D383">
            <v>0.13415137877101818</v>
          </cell>
          <cell r="E383">
            <v>0.45354660375069339</v>
          </cell>
          <cell r="F383">
            <v>0.25786299826810888</v>
          </cell>
          <cell r="G383">
            <v>7.4744783000554621E-2</v>
          </cell>
          <cell r="H383">
            <v>3.3081160509005149E-2</v>
          </cell>
          <cell r="J383" t="str">
            <v>1997NH</v>
          </cell>
          <cell r="K383">
            <v>0.47170861324875202</v>
          </cell>
          <cell r="L383">
            <v>7.4744783000554621E-2</v>
          </cell>
          <cell r="M383">
            <v>0.45354660375069339</v>
          </cell>
          <cell r="U383" t="str">
            <v>1997NH</v>
          </cell>
          <cell r="V383">
            <v>0.62992996700000004</v>
          </cell>
          <cell r="W383">
            <v>1.6283081000000001E-2</v>
          </cell>
          <cell r="X383">
            <v>0.102139329</v>
          </cell>
          <cell r="Y383">
            <v>7.8084776999999994E-2</v>
          </cell>
          <cell r="Z383">
            <v>0.17356284599999999</v>
          </cell>
          <cell r="AB383" t="str">
            <v>1997NH</v>
          </cell>
          <cell r="AC383">
            <v>0</v>
          </cell>
          <cell r="AD383">
            <v>0</v>
          </cell>
          <cell r="AE383">
            <v>3.8888889000000003E-2</v>
          </cell>
          <cell r="AF383">
            <v>0.96111111100000002</v>
          </cell>
        </row>
        <row r="384">
          <cell r="B384" t="str">
            <v>1997NJ</v>
          </cell>
          <cell r="C384">
            <v>4.3485120167840632E-2</v>
          </cell>
          <cell r="D384">
            <v>0.1282674135723221</v>
          </cell>
          <cell r="E384">
            <v>0.45598654415246215</v>
          </cell>
          <cell r="F384">
            <v>0.26238381547134726</v>
          </cell>
          <cell r="G384">
            <v>7.69457267992424E-2</v>
          </cell>
          <cell r="H384">
            <v>3.2931379836785436E-2</v>
          </cell>
          <cell r="J384" t="str">
            <v>1997NJ</v>
          </cell>
          <cell r="K384">
            <v>0.46706772904829541</v>
          </cell>
          <cell r="L384">
            <v>7.69457267992424E-2</v>
          </cell>
          <cell r="M384">
            <v>0.45598654415246215</v>
          </cell>
          <cell r="U384" t="str">
            <v>1997NJ</v>
          </cell>
          <cell r="V384">
            <v>0.49401693699999999</v>
          </cell>
          <cell r="W384">
            <v>2.2263254999999999E-2</v>
          </cell>
          <cell r="X384">
            <v>0.13965132499999999</v>
          </cell>
          <cell r="Y384">
            <v>0.10676242599999999</v>
          </cell>
          <cell r="Z384">
            <v>0.23730605699999999</v>
          </cell>
          <cell r="AB384" t="str">
            <v>1997NJ</v>
          </cell>
          <cell r="AC384">
            <v>2.2222222222222213E-2</v>
          </cell>
          <cell r="AD384">
            <v>0.02</v>
          </cell>
          <cell r="AE384">
            <v>3.8888889000000003E-2</v>
          </cell>
          <cell r="AF384">
            <v>0.91888888899999999</v>
          </cell>
        </row>
        <row r="385">
          <cell r="B385" t="str">
            <v>1997NM</v>
          </cell>
          <cell r="C385">
            <v>0.61031859913259534</v>
          </cell>
          <cell r="D385">
            <v>0.19337608986991395</v>
          </cell>
          <cell r="E385">
            <v>9.8929449322699536E-2</v>
          </cell>
          <cell r="F385">
            <v>9.6216812900114884E-2</v>
          </cell>
          <cell r="G385">
            <v>0</v>
          </cell>
          <cell r="H385">
            <v>1.1590487746764595E-3</v>
          </cell>
          <cell r="J385" t="str">
            <v>1997NM</v>
          </cell>
          <cell r="K385">
            <v>0.90107055067730046</v>
          </cell>
          <cell r="L385">
            <v>0</v>
          </cell>
          <cell r="M385">
            <v>9.8929449322699536E-2</v>
          </cell>
          <cell r="U385" t="str">
            <v>1997NM</v>
          </cell>
          <cell r="V385">
            <v>1</v>
          </cell>
          <cell r="W385">
            <v>0</v>
          </cell>
          <cell r="X385">
            <v>0</v>
          </cell>
          <cell r="Y385">
            <v>0</v>
          </cell>
          <cell r="Z385">
            <v>0</v>
          </cell>
          <cell r="AB385" t="str">
            <v>1997NM</v>
          </cell>
          <cell r="AC385">
            <v>5.5555555555555511E-2</v>
          </cell>
          <cell r="AD385">
            <v>2.2222222222222213E-2</v>
          </cell>
          <cell r="AE385">
            <v>0.51111111099999995</v>
          </cell>
          <cell r="AF385">
            <v>0.41111111099999997</v>
          </cell>
        </row>
        <row r="386">
          <cell r="B386" t="str">
            <v>1997NY</v>
          </cell>
          <cell r="C386">
            <v>7.0474047570888251E-2</v>
          </cell>
          <cell r="D386">
            <v>0.14270797058983758</v>
          </cell>
          <cell r="E386">
            <v>0.45665864432471071</v>
          </cell>
          <cell r="F386">
            <v>0.22913499744009258</v>
          </cell>
          <cell r="G386">
            <v>7.7551993536386893E-2</v>
          </cell>
          <cell r="H386">
            <v>2.3472346538084065E-2</v>
          </cell>
          <cell r="J386" t="str">
            <v>1997NY</v>
          </cell>
          <cell r="K386">
            <v>0.46578936213890243</v>
          </cell>
          <cell r="L386">
            <v>7.7551993536386893E-2</v>
          </cell>
          <cell r="M386">
            <v>0.45665864432471071</v>
          </cell>
          <cell r="U386" t="str">
            <v>1997NY</v>
          </cell>
          <cell r="V386">
            <v>0.31750878199999999</v>
          </cell>
          <cell r="W386">
            <v>3.5197740999999998E-2</v>
          </cell>
          <cell r="X386">
            <v>0.182768771</v>
          </cell>
          <cell r="Y386">
            <v>0.12677855499999999</v>
          </cell>
          <cell r="Z386">
            <v>0.33774615099999999</v>
          </cell>
          <cell r="AB386" t="str">
            <v>1997NY</v>
          </cell>
          <cell r="AC386">
            <v>2.2222222222222213E-2</v>
          </cell>
          <cell r="AD386">
            <v>6.6666666666666707E-2</v>
          </cell>
          <cell r="AE386">
            <v>3.8888889000000003E-2</v>
          </cell>
          <cell r="AF386">
            <v>0.87222222199999999</v>
          </cell>
        </row>
        <row r="387">
          <cell r="B387" t="str">
            <v>1997NC</v>
          </cell>
          <cell r="C387">
            <v>3.200844276542663E-2</v>
          </cell>
          <cell r="D387">
            <v>8.1544795969233433E-2</v>
          </cell>
          <cell r="E387">
            <v>0.13912499999999997</v>
          </cell>
          <cell r="F387">
            <v>0.10260237755023409</v>
          </cell>
          <cell r="G387">
            <v>0.629</v>
          </cell>
          <cell r="H387">
            <v>1.5719383715105863E-2</v>
          </cell>
          <cell r="J387" t="str">
            <v>1997NC</v>
          </cell>
          <cell r="K387">
            <v>0.23187500000000005</v>
          </cell>
          <cell r="L387">
            <v>0.629</v>
          </cell>
          <cell r="M387">
            <v>0.13912499999999997</v>
          </cell>
          <cell r="U387" t="str">
            <v>1997NC</v>
          </cell>
          <cell r="V387">
            <v>3.186436E-3</v>
          </cell>
          <cell r="W387">
            <v>3.7216565E-2</v>
          </cell>
          <cell r="X387">
            <v>6.5384222000000006E-2</v>
          </cell>
          <cell r="Y387">
            <v>0.57760348299999997</v>
          </cell>
          <cell r="Z387">
            <v>0.31660929399999999</v>
          </cell>
          <cell r="AB387" t="str">
            <v>1997NC</v>
          </cell>
          <cell r="AC387">
            <v>0.11111111111111102</v>
          </cell>
          <cell r="AD387">
            <v>1.1111111111111106E-2</v>
          </cell>
          <cell r="AE387">
            <v>0.39255555600000003</v>
          </cell>
          <cell r="AF387">
            <v>0.48522222199999998</v>
          </cell>
        </row>
        <row r="388">
          <cell r="B388" t="str">
            <v>1997ND</v>
          </cell>
          <cell r="C388">
            <v>3.1381258244189129E-2</v>
          </cell>
          <cell r="D388">
            <v>0.12208566945630485</v>
          </cell>
          <cell r="E388">
            <v>0.20429080650804762</v>
          </cell>
          <cell r="F388">
            <v>0.4823925111911726</v>
          </cell>
          <cell r="G388">
            <v>0.12094828843013763</v>
          </cell>
          <cell r="H388">
            <v>3.8901466170148176E-2</v>
          </cell>
          <cell r="J388" t="str">
            <v>1997ND</v>
          </cell>
          <cell r="K388">
            <v>0.67476090506181474</v>
          </cell>
          <cell r="L388">
            <v>0.12094828843013763</v>
          </cell>
          <cell r="M388">
            <v>0.20429080650804762</v>
          </cell>
          <cell r="U388" t="str">
            <v>1997ND</v>
          </cell>
          <cell r="V388">
            <v>0.140815313</v>
          </cell>
          <cell r="W388">
            <v>4.2778144999999997E-2</v>
          </cell>
          <cell r="X388">
            <v>0.23174645299999999</v>
          </cell>
          <cell r="Y388">
            <v>0.16470790699999999</v>
          </cell>
          <cell r="Z388">
            <v>0.41995218200000001</v>
          </cell>
          <cell r="AB388" t="str">
            <v>1997ND</v>
          </cell>
          <cell r="AC388">
            <v>0</v>
          </cell>
          <cell r="AD388">
            <v>1.1111111111111106E-2</v>
          </cell>
          <cell r="AE388">
            <v>2.6666667000000002E-2</v>
          </cell>
          <cell r="AF388">
            <v>0.96222222199999996</v>
          </cell>
        </row>
        <row r="389">
          <cell r="B389" t="str">
            <v>1997OH</v>
          </cell>
          <cell r="C389">
            <v>5.2965044535888801E-2</v>
          </cell>
          <cell r="D389">
            <v>0.16936200801094448</v>
          </cell>
          <cell r="E389">
            <v>0.16886111013130398</v>
          </cell>
          <cell r="F389">
            <v>0.46265201525470451</v>
          </cell>
          <cell r="G389">
            <v>9.9972498037936175E-2</v>
          </cell>
          <cell r="H389">
            <v>4.6187324029222057E-2</v>
          </cell>
          <cell r="J389" t="str">
            <v>1997OH</v>
          </cell>
          <cell r="K389">
            <v>0.73116639183075982</v>
          </cell>
          <cell r="L389">
            <v>9.9972498037936175E-2</v>
          </cell>
          <cell r="M389">
            <v>0.16886111013130398</v>
          </cell>
          <cell r="U389" t="str">
            <v>1997OH</v>
          </cell>
          <cell r="V389">
            <v>9.5290712999999999E-2</v>
          </cell>
          <cell r="W389">
            <v>4.114259E-2</v>
          </cell>
          <cell r="X389">
            <v>0.25470744299999998</v>
          </cell>
          <cell r="Y389">
            <v>0.16184911499999999</v>
          </cell>
          <cell r="Z389">
            <v>0.44701013899999997</v>
          </cell>
          <cell r="AB389" t="str">
            <v>1997OH</v>
          </cell>
          <cell r="AC389">
            <v>0</v>
          </cell>
          <cell r="AD389">
            <v>0</v>
          </cell>
          <cell r="AE389">
            <v>0</v>
          </cell>
          <cell r="AF389">
            <v>1</v>
          </cell>
        </row>
        <row r="390">
          <cell r="B390" t="str">
            <v>1997OK</v>
          </cell>
          <cell r="C390">
            <v>0.29259324014758348</v>
          </cell>
          <cell r="D390">
            <v>0.22779433486052544</v>
          </cell>
          <cell r="E390">
            <v>0.05</v>
          </cell>
          <cell r="F390">
            <v>0.33695944189912425</v>
          </cell>
          <cell r="G390">
            <v>0</v>
          </cell>
          <cell r="H390">
            <v>9.2652983092766789E-2</v>
          </cell>
          <cell r="J390" t="str">
            <v>1997OK</v>
          </cell>
          <cell r="K390">
            <v>0.95</v>
          </cell>
          <cell r="L390">
            <v>0</v>
          </cell>
          <cell r="M390">
            <v>0.05</v>
          </cell>
          <cell r="U390" t="str">
            <v>1997OK</v>
          </cell>
          <cell r="V390">
            <v>2.3008226E-2</v>
          </cell>
          <cell r="W390">
            <v>3.6506082000000002E-2</v>
          </cell>
          <cell r="X390">
            <v>6.5017749999999999E-2</v>
          </cell>
          <cell r="Y390">
            <v>0.564482712</v>
          </cell>
          <cell r="Z390">
            <v>0.31098522899999997</v>
          </cell>
          <cell r="AB390" t="str">
            <v>1997OK</v>
          </cell>
          <cell r="AC390">
            <v>0</v>
          </cell>
          <cell r="AD390">
            <v>4.4444444444444425E-2</v>
          </cell>
          <cell r="AE390">
            <v>0.46666666699999998</v>
          </cell>
          <cell r="AF390">
            <v>0.48888888899999999</v>
          </cell>
        </row>
        <row r="391">
          <cell r="B391" t="str">
            <v>1997OR</v>
          </cell>
          <cell r="C391">
            <v>0.33022416365743917</v>
          </cell>
          <cell r="D391">
            <v>0.20334334138130478</v>
          </cell>
          <cell r="E391">
            <v>0</v>
          </cell>
          <cell r="F391">
            <v>0.12535829693261213</v>
          </cell>
          <cell r="G391">
            <v>0.31468499704834668</v>
          </cell>
          <cell r="H391">
            <v>2.6389200980297157E-2</v>
          </cell>
          <cell r="J391" t="str">
            <v>1997OR</v>
          </cell>
          <cell r="K391">
            <v>0.68531500295165326</v>
          </cell>
          <cell r="L391">
            <v>0.31468499704834668</v>
          </cell>
          <cell r="M391">
            <v>0</v>
          </cell>
          <cell r="U391" t="str">
            <v>1997OR</v>
          </cell>
          <cell r="V391">
            <v>0.66297845499999997</v>
          </cell>
          <cell r="W391">
            <v>1.4828948E-2</v>
          </cell>
          <cell r="X391">
            <v>9.3017946000000004E-2</v>
          </cell>
          <cell r="Y391">
            <v>7.1111545999999998E-2</v>
          </cell>
          <cell r="Z391">
            <v>0.15806310400000001</v>
          </cell>
          <cell r="AB391" t="str">
            <v>1997OR</v>
          </cell>
          <cell r="AC391">
            <v>0</v>
          </cell>
          <cell r="AD391">
            <v>0.02</v>
          </cell>
          <cell r="AE391">
            <v>0.218888889</v>
          </cell>
          <cell r="AF391">
            <v>0.76111111099999995</v>
          </cell>
        </row>
        <row r="392">
          <cell r="B392" t="str">
            <v>1997PA</v>
          </cell>
          <cell r="C392">
            <v>3.130808242760006E-2</v>
          </cell>
          <cell r="D392">
            <v>9.6373709368355848E-2</v>
          </cell>
          <cell r="E392">
            <v>0.47857832357257868</v>
          </cell>
          <cell r="F392">
            <v>0.27169129477139287</v>
          </cell>
          <cell r="G392">
            <v>9.7324600307784365E-2</v>
          </cell>
          <cell r="H392">
            <v>2.4723989552288203E-2</v>
          </cell>
          <cell r="J392" t="str">
            <v>1997PA</v>
          </cell>
          <cell r="K392">
            <v>0.42409707611963698</v>
          </cell>
          <cell r="L392">
            <v>9.7324600307784365E-2</v>
          </cell>
          <cell r="M392">
            <v>0.47857832357257868</v>
          </cell>
          <cell r="U392" t="str">
            <v>1997PA</v>
          </cell>
          <cell r="V392">
            <v>6.1188966999999997E-2</v>
          </cell>
          <cell r="W392">
            <v>4.8038605999999998E-2</v>
          </cell>
          <cell r="X392">
            <v>0.25182001399999998</v>
          </cell>
          <cell r="Y392">
            <v>0.17565272500000001</v>
          </cell>
          <cell r="Z392">
            <v>0.46329968700000002</v>
          </cell>
          <cell r="AB392" t="str">
            <v>1997PA</v>
          </cell>
          <cell r="AC392">
            <v>6.6666666666666707E-2</v>
          </cell>
          <cell r="AD392">
            <v>1.1111111111111106E-2</v>
          </cell>
          <cell r="AE392">
            <v>0</v>
          </cell>
          <cell r="AF392">
            <v>0.92222222200000004</v>
          </cell>
        </row>
        <row r="393">
          <cell r="B393" t="str">
            <v>1997RI</v>
          </cell>
          <cell r="C393">
            <v>1.5600550000000001E-2</v>
          </cell>
          <cell r="D393">
            <v>5.960587500000001E-2</v>
          </cell>
          <cell r="E393">
            <v>0.50810416666666669</v>
          </cell>
          <cell r="F393">
            <v>0.27639465000000002</v>
          </cell>
          <cell r="G393">
            <v>0.12395833333333331</v>
          </cell>
          <cell r="H393">
            <v>1.6336425000000002E-2</v>
          </cell>
          <cell r="J393" t="str">
            <v>1997RI</v>
          </cell>
          <cell r="K393">
            <v>0.36793750000000003</v>
          </cell>
          <cell r="L393">
            <v>0.12395833333333331</v>
          </cell>
          <cell r="M393">
            <v>0.50810416666666669</v>
          </cell>
          <cell r="U393" t="str">
            <v>1997RI</v>
          </cell>
          <cell r="V393">
            <v>0.45211038999999997</v>
          </cell>
          <cell r="W393">
            <v>2.4107143000000001E-2</v>
          </cell>
          <cell r="X393">
            <v>0.15121753199999999</v>
          </cell>
          <cell r="Y393">
            <v>0.115604708</v>
          </cell>
          <cell r="Z393">
            <v>0.25696022699999999</v>
          </cell>
          <cell r="AB393" t="str">
            <v>1997RI</v>
          </cell>
          <cell r="AC393">
            <v>2.2222222222222213E-2</v>
          </cell>
          <cell r="AD393">
            <v>0.02</v>
          </cell>
          <cell r="AE393">
            <v>3.8888889000000003E-2</v>
          </cell>
          <cell r="AF393">
            <v>0.91888888899999999</v>
          </cell>
        </row>
        <row r="394">
          <cell r="B394" t="str">
            <v>1997SC</v>
          </cell>
          <cell r="C394">
            <v>8.6920823654094745E-2</v>
          </cell>
          <cell r="D394">
            <v>6.9257276965629985E-2</v>
          </cell>
          <cell r="E394">
            <v>0.13912499999999997</v>
          </cell>
          <cell r="F394">
            <v>7.221311459204624E-2</v>
          </cell>
          <cell r="G394">
            <v>0.629</v>
          </cell>
          <cell r="H394">
            <v>3.4837847882290321E-3</v>
          </cell>
          <cell r="J394" t="str">
            <v>1997SC</v>
          </cell>
          <cell r="K394">
            <v>0.23187500000000005</v>
          </cell>
          <cell r="L394">
            <v>0.629</v>
          </cell>
          <cell r="M394">
            <v>0.13912499999999997</v>
          </cell>
          <cell r="U394" t="str">
            <v>1997SC</v>
          </cell>
          <cell r="V394">
            <v>8.5179121999999996E-2</v>
          </cell>
          <cell r="W394">
            <v>3.5785865E-2</v>
          </cell>
          <cell r="X394">
            <v>0.11148453899999999</v>
          </cell>
          <cell r="Y394">
            <v>0.43994725600000001</v>
          </cell>
          <cell r="Z394">
            <v>0.327603219</v>
          </cell>
          <cell r="AB394" t="str">
            <v>1997SC</v>
          </cell>
          <cell r="AC394">
            <v>2.2222222222222213E-2</v>
          </cell>
          <cell r="AD394">
            <v>0</v>
          </cell>
          <cell r="AE394">
            <v>0.55555555599999995</v>
          </cell>
          <cell r="AF394">
            <v>0.42222222199999998</v>
          </cell>
        </row>
        <row r="395">
          <cell r="B395" t="str">
            <v>1997SD</v>
          </cell>
          <cell r="C395">
            <v>4.8094645043272641E-2</v>
          </cell>
          <cell r="D395">
            <v>0.15935353884262207</v>
          </cell>
          <cell r="E395">
            <v>0.17166181776683717</v>
          </cell>
          <cell r="F395">
            <v>0.47441744430006072</v>
          </cell>
          <cell r="G395">
            <v>0.1016306284291225</v>
          </cell>
          <cell r="H395">
            <v>4.4841925618084783E-2</v>
          </cell>
          <cell r="J395" t="str">
            <v>1997SD</v>
          </cell>
          <cell r="K395">
            <v>0.7267075538040404</v>
          </cell>
          <cell r="L395">
            <v>0.1016306284291225</v>
          </cell>
          <cell r="M395">
            <v>0.17166181776683717</v>
          </cell>
          <cell r="U395" t="str">
            <v>1997SD</v>
          </cell>
          <cell r="V395">
            <v>7.9165609999999997E-2</v>
          </cell>
          <cell r="W395">
            <v>4.6363397000000001E-2</v>
          </cell>
          <cell r="X395">
            <v>0.247816385</v>
          </cell>
          <cell r="Y395">
            <v>0.17480711199999999</v>
          </cell>
          <cell r="Z395">
            <v>0.45184749699999999</v>
          </cell>
          <cell r="AB395" t="str">
            <v>1997SD</v>
          </cell>
          <cell r="AC395">
            <v>0</v>
          </cell>
          <cell r="AD395">
            <v>0</v>
          </cell>
          <cell r="AE395">
            <v>0.06</v>
          </cell>
          <cell r="AF395">
            <v>0.94</v>
          </cell>
        </row>
        <row r="396">
          <cell r="B396" t="str">
            <v>1997TN</v>
          </cell>
          <cell r="C396">
            <v>2.3221985873114234E-2</v>
          </cell>
          <cell r="D396">
            <v>6.6214777401749345E-2</v>
          </cell>
          <cell r="E396">
            <v>0.13912499999999997</v>
          </cell>
          <cell r="F396">
            <v>0.12648885529922069</v>
          </cell>
          <cell r="G396">
            <v>0.629</v>
          </cell>
          <cell r="H396">
            <v>1.5949381425915777E-2</v>
          </cell>
          <cell r="J396" t="str">
            <v>1997TN</v>
          </cell>
          <cell r="K396">
            <v>0.23187500000000005</v>
          </cell>
          <cell r="L396">
            <v>0.629</v>
          </cell>
          <cell r="M396">
            <v>0.13912499999999997</v>
          </cell>
          <cell r="U396" t="str">
            <v>1997TN</v>
          </cell>
          <cell r="V396">
            <v>0.13054759699999999</v>
          </cell>
          <cell r="W396">
            <v>3.5537593999999999E-2</v>
          </cell>
          <cell r="X396">
            <v>0.15414788099999999</v>
          </cell>
          <cell r="Y396">
            <v>0.33373825800000001</v>
          </cell>
          <cell r="Z396">
            <v>0.34602866900000001</v>
          </cell>
          <cell r="AB396" t="str">
            <v>1997TN</v>
          </cell>
          <cell r="AC396">
            <v>0</v>
          </cell>
          <cell r="AD396">
            <v>0.2</v>
          </cell>
          <cell r="AE396">
            <v>5.4444444000000002E-2</v>
          </cell>
          <cell r="AF396">
            <v>0.74555555600000001</v>
          </cell>
        </row>
        <row r="397">
          <cell r="B397" t="str">
            <v>1997TX</v>
          </cell>
          <cell r="C397">
            <v>0.48593315820101318</v>
          </cell>
          <cell r="D397">
            <v>0.25614825411683595</v>
          </cell>
          <cell r="E397">
            <v>7.1098649950209786E-2</v>
          </cell>
          <cell r="F397">
            <v>0.15767906636297041</v>
          </cell>
          <cell r="G397">
            <v>0</v>
          </cell>
          <cell r="H397">
            <v>2.9140871368970773E-2</v>
          </cell>
          <cell r="J397" t="str">
            <v>1997TX</v>
          </cell>
          <cell r="K397">
            <v>0.92890135004979024</v>
          </cell>
          <cell r="L397">
            <v>0</v>
          </cell>
          <cell r="M397">
            <v>7.1098649950209786E-2</v>
          </cell>
          <cell r="U397" t="str">
            <v>1997TX</v>
          </cell>
          <cell r="V397">
            <v>0.12490841</v>
          </cell>
          <cell r="W397">
            <v>3.3455828999999999E-2</v>
          </cell>
          <cell r="X397">
            <v>8.2146371999999995E-2</v>
          </cell>
          <cell r="Y397">
            <v>0.46373770600000003</v>
          </cell>
          <cell r="Z397">
            <v>0.29575168299999999</v>
          </cell>
          <cell r="AB397" t="str">
            <v>1997TX</v>
          </cell>
          <cell r="AC397">
            <v>0.11111111111111102</v>
          </cell>
          <cell r="AD397">
            <v>0</v>
          </cell>
          <cell r="AE397">
            <v>0.18222222199999999</v>
          </cell>
          <cell r="AF397">
            <v>0.70666666700000003</v>
          </cell>
        </row>
        <row r="398">
          <cell r="B398" t="str">
            <v>1997UT</v>
          </cell>
          <cell r="C398">
            <v>0.41049289721387389</v>
          </cell>
          <cell r="D398">
            <v>0.27912464383368657</v>
          </cell>
          <cell r="E398">
            <v>2.6005297687734824E-2</v>
          </cell>
          <cell r="F398">
            <v>0.2169135430922923</v>
          </cell>
          <cell r="G398">
            <v>1.5396171267862904E-2</v>
          </cell>
          <cell r="H398">
            <v>5.2067446904549675E-2</v>
          </cell>
          <cell r="J398" t="str">
            <v>1997UT</v>
          </cell>
          <cell r="K398">
            <v>0.95859853104440229</v>
          </cell>
          <cell r="L398">
            <v>1.5396171267862904E-2</v>
          </cell>
          <cell r="M398">
            <v>2.6005297687734824E-2</v>
          </cell>
          <cell r="U398" t="str">
            <v>1997UT</v>
          </cell>
          <cell r="V398">
            <v>2.6607675000000001E-2</v>
          </cell>
          <cell r="W398">
            <v>5.4040100000000001E-2</v>
          </cell>
          <cell r="X398">
            <v>0.25651120799999999</v>
          </cell>
          <cell r="Y398">
            <v>0.168016323</v>
          </cell>
          <cell r="Z398">
            <v>0.49482469400000001</v>
          </cell>
          <cell r="AB398" t="str">
            <v>1997UT</v>
          </cell>
          <cell r="AC398">
            <v>0.11111111111111102</v>
          </cell>
          <cell r="AD398">
            <v>0</v>
          </cell>
          <cell r="AE398">
            <v>0.46666666699999998</v>
          </cell>
          <cell r="AF398">
            <v>0.42222222199999998</v>
          </cell>
        </row>
        <row r="399">
          <cell r="B399" t="str">
            <v>1997VT</v>
          </cell>
          <cell r="C399">
            <v>6.3855747187872666E-2</v>
          </cell>
          <cell r="D399">
            <v>0.13765582568256449</v>
          </cell>
          <cell r="E399">
            <v>0.45592076133572451</v>
          </cell>
          <cell r="F399">
            <v>0.23916017718710789</v>
          </cell>
          <cell r="G399">
            <v>7.6886387529129935E-2</v>
          </cell>
          <cell r="H399">
            <v>2.6521101077600508E-2</v>
          </cell>
          <cell r="J399" t="str">
            <v>1997VT</v>
          </cell>
          <cell r="K399">
            <v>0.46719285113514553</v>
          </cell>
          <cell r="L399">
            <v>7.6886387529129935E-2</v>
          </cell>
          <cell r="M399">
            <v>0.45592076133572451</v>
          </cell>
          <cell r="U399" t="str">
            <v>1997VT</v>
          </cell>
          <cell r="V399">
            <v>1</v>
          </cell>
          <cell r="W399">
            <v>0</v>
          </cell>
          <cell r="X399">
            <v>0</v>
          </cell>
          <cell r="Y399">
            <v>0</v>
          </cell>
          <cell r="Z399">
            <v>0</v>
          </cell>
          <cell r="AB399" t="str">
            <v>1997VT</v>
          </cell>
          <cell r="AC399">
            <v>2.2222222222222213E-2</v>
          </cell>
          <cell r="AD399">
            <v>0.02</v>
          </cell>
          <cell r="AE399">
            <v>3.8888889000000003E-2</v>
          </cell>
          <cell r="AF399">
            <v>0.91888888899999999</v>
          </cell>
        </row>
        <row r="400">
          <cell r="B400" t="str">
            <v>1997VA</v>
          </cell>
          <cell r="C400">
            <v>2.3759471840306336E-2</v>
          </cell>
          <cell r="D400">
            <v>6.835749129445931E-2</v>
          </cell>
          <cell r="E400">
            <v>0.13912499999999997</v>
          </cell>
          <cell r="F400">
            <v>0.12245453660824426</v>
          </cell>
          <cell r="G400">
            <v>0.629</v>
          </cell>
          <cell r="H400">
            <v>1.7303500256990133E-2</v>
          </cell>
          <cell r="J400" t="str">
            <v>1997VA</v>
          </cell>
          <cell r="K400">
            <v>0.23187500000000005</v>
          </cell>
          <cell r="L400">
            <v>0.629</v>
          </cell>
          <cell r="M400">
            <v>0.13912499999999997</v>
          </cell>
          <cell r="U400" t="str">
            <v>1997VA</v>
          </cell>
          <cell r="V400">
            <v>4.7667560999999997E-2</v>
          </cell>
          <cell r="W400">
            <v>3.6397205000000002E-2</v>
          </cell>
          <cell r="X400">
            <v>8.9029721000000006E-2</v>
          </cell>
          <cell r="Y400">
            <v>0.50531332299999998</v>
          </cell>
          <cell r="Z400">
            <v>0.32159218899999997</v>
          </cell>
          <cell r="AB400" t="str">
            <v>1997VA</v>
          </cell>
          <cell r="AC400">
            <v>0.15555555555555561</v>
          </cell>
          <cell r="AD400">
            <v>0</v>
          </cell>
          <cell r="AE400">
            <v>3.8888889000000003E-2</v>
          </cell>
          <cell r="AF400">
            <v>0.80555555599999995</v>
          </cell>
        </row>
        <row r="401">
          <cell r="B401" t="str">
            <v>1997WA</v>
          </cell>
          <cell r="C401">
            <v>0.42557230357340259</v>
          </cell>
          <cell r="D401">
            <v>0.21908180089695775</v>
          </cell>
          <cell r="E401">
            <v>0</v>
          </cell>
          <cell r="F401">
            <v>0.11130994101427454</v>
          </cell>
          <cell r="G401">
            <v>0.22671245228088796</v>
          </cell>
          <cell r="H401">
            <v>1.7323502234477147E-2</v>
          </cell>
          <cell r="J401" t="str">
            <v>1997WA</v>
          </cell>
          <cell r="K401">
            <v>0.77328754771911201</v>
          </cell>
          <cell r="L401">
            <v>0.22671245228088796</v>
          </cell>
          <cell r="M401">
            <v>0</v>
          </cell>
          <cell r="U401" t="str">
            <v>1997WA</v>
          </cell>
          <cell r="V401">
            <v>0.29889560900000001</v>
          </cell>
          <cell r="W401">
            <v>3.4182907999999998E-2</v>
          </cell>
          <cell r="X401">
            <v>0.189892637</v>
          </cell>
          <cell r="Y401">
            <v>0.13681864299999999</v>
          </cell>
          <cell r="Z401">
            <v>0.34021020200000002</v>
          </cell>
          <cell r="AB401" t="str">
            <v>1997WA</v>
          </cell>
          <cell r="AC401">
            <v>0</v>
          </cell>
          <cell r="AD401">
            <v>2.2222222222222213E-2</v>
          </cell>
          <cell r="AE401">
            <v>9.3333333000000004E-2</v>
          </cell>
          <cell r="AF401">
            <v>0.884444444</v>
          </cell>
        </row>
        <row r="402">
          <cell r="B402" t="str">
            <v>1997WV</v>
          </cell>
          <cell r="C402">
            <v>3.6156738719280525E-2</v>
          </cell>
          <cell r="D402">
            <v>0.11000916088631948</v>
          </cell>
          <cell r="E402">
            <v>0.46868375711778199</v>
          </cell>
          <cell r="F402">
            <v>0.26852672289659102</v>
          </cell>
          <cell r="G402">
            <v>8.8399224645492991E-2</v>
          </cell>
          <cell r="H402">
            <v>2.8224395734534016E-2</v>
          </cell>
          <cell r="J402" t="str">
            <v>1997WV</v>
          </cell>
          <cell r="K402">
            <v>0.44291701823672502</v>
          </cell>
          <cell r="L402">
            <v>8.8399224645492991E-2</v>
          </cell>
          <cell r="M402">
            <v>0.46868375711778199</v>
          </cell>
          <cell r="U402" t="str">
            <v>1997WV</v>
          </cell>
          <cell r="V402">
            <v>0.41904069799999999</v>
          </cell>
          <cell r="W402">
            <v>2.5562208999999999E-2</v>
          </cell>
          <cell r="X402">
            <v>0.160344767</v>
          </cell>
          <cell r="Y402">
            <v>0.122582413</v>
          </cell>
          <cell r="Z402">
            <v>0.27246991300000001</v>
          </cell>
          <cell r="AB402" t="str">
            <v>1997WV</v>
          </cell>
          <cell r="AC402">
            <v>0.22222222222222204</v>
          </cell>
          <cell r="AD402">
            <v>0</v>
          </cell>
          <cell r="AE402">
            <v>3.8888889000000003E-2</v>
          </cell>
          <cell r="AF402">
            <v>0.73888888900000005</v>
          </cell>
        </row>
        <row r="403">
          <cell r="B403" t="str">
            <v>1997WI</v>
          </cell>
          <cell r="C403">
            <v>6.2224082606917031E-2</v>
          </cell>
          <cell r="D403">
            <v>0.17374889898393833</v>
          </cell>
          <cell r="E403">
            <v>0.16613939232733094</v>
          </cell>
          <cell r="F403">
            <v>0.45958697376941671</v>
          </cell>
          <cell r="G403">
            <v>9.836113277090737E-2</v>
          </cell>
          <cell r="H403">
            <v>3.993951954148961E-2</v>
          </cell>
          <cell r="J403" t="str">
            <v>1997WI</v>
          </cell>
          <cell r="K403">
            <v>0.73549947490176171</v>
          </cell>
          <cell r="L403">
            <v>9.836113277090737E-2</v>
          </cell>
          <cell r="M403">
            <v>0.16613939232733094</v>
          </cell>
          <cell r="U403" t="str">
            <v>1997WI</v>
          </cell>
          <cell r="V403">
            <v>0.13858268400000001</v>
          </cell>
          <cell r="W403">
            <v>4.0894027999999999E-2</v>
          </cell>
          <cell r="X403">
            <v>0.234510207</v>
          </cell>
          <cell r="Y403">
            <v>0.171786832</v>
          </cell>
          <cell r="Z403">
            <v>0.41422624800000002</v>
          </cell>
          <cell r="AB403" t="str">
            <v>1997WI</v>
          </cell>
          <cell r="AC403">
            <v>8.8888888888888851E-2</v>
          </cell>
          <cell r="AD403">
            <v>1.1111111111111106E-2</v>
          </cell>
          <cell r="AE403">
            <v>1.5555556E-2</v>
          </cell>
          <cell r="AF403">
            <v>0.884444444</v>
          </cell>
        </row>
        <row r="404">
          <cell r="B404" t="str">
            <v>1997WY</v>
          </cell>
          <cell r="C404">
            <v>0.27594999095739625</v>
          </cell>
          <cell r="D404">
            <v>0.21690471108172096</v>
          </cell>
          <cell r="E404">
            <v>0.1361976295479603</v>
          </cell>
          <cell r="F404">
            <v>0.22926184071213845</v>
          </cell>
          <cell r="G404">
            <v>8.0634417493568547E-2</v>
          </cell>
          <cell r="H404">
            <v>6.1051410207215412E-2</v>
          </cell>
          <cell r="J404" t="str">
            <v>1997WY</v>
          </cell>
          <cell r="K404">
            <v>0.78316795295847119</v>
          </cell>
          <cell r="L404">
            <v>8.0634417493568547E-2</v>
          </cell>
          <cell r="M404">
            <v>0.1361976295479603</v>
          </cell>
          <cell r="U404" t="str">
            <v>1997WY</v>
          </cell>
          <cell r="V404">
            <v>4.7961814999999998E-2</v>
          </cell>
          <cell r="W404">
            <v>5.2745180000000003E-2</v>
          </cell>
          <cell r="X404">
            <v>0.25100241400000001</v>
          </cell>
          <cell r="Y404">
            <v>0.16469505700000001</v>
          </cell>
          <cell r="Z404">
            <v>0.48359553399999999</v>
          </cell>
          <cell r="AB404" t="str">
            <v>1997WY</v>
          </cell>
          <cell r="AC404">
            <v>0</v>
          </cell>
          <cell r="AD404">
            <v>1.7777777777777767E-2</v>
          </cell>
          <cell r="AE404">
            <v>0.47555555599999999</v>
          </cell>
          <cell r="AF404">
            <v>0.50666666699999996</v>
          </cell>
        </row>
        <row r="405">
          <cell r="B405" t="str">
            <v>1998AL</v>
          </cell>
          <cell r="C405">
            <v>0.10109739310339702</v>
          </cell>
          <cell r="D405">
            <v>7.2545284865476387E-2</v>
          </cell>
          <cell r="E405">
            <v>0.14513869291441467</v>
          </cell>
          <cell r="F405">
            <v>8.3903457970289197E-2</v>
          </cell>
          <cell r="G405">
            <v>0.59332501963792528</v>
          </cell>
          <cell r="H405">
            <v>3.9901515084973865E-3</v>
          </cell>
          <cell r="J405" t="str">
            <v>1998AL</v>
          </cell>
          <cell r="K405">
            <v>0.26153628744766011</v>
          </cell>
          <cell r="L405">
            <v>0.59332501963792528</v>
          </cell>
          <cell r="M405">
            <v>0.14513869291441467</v>
          </cell>
          <cell r="U405" t="str">
            <v>1998AL</v>
          </cell>
          <cell r="V405">
            <v>9.4174025999999994E-2</v>
          </cell>
          <cell r="W405">
            <v>3.5534627999999999E-2</v>
          </cell>
          <cell r="X405">
            <v>0.113565254</v>
          </cell>
          <cell r="Y405">
            <v>0.43005837800000002</v>
          </cell>
          <cell r="Z405">
            <v>0.326667714</v>
          </cell>
          <cell r="AB405" t="str">
            <v>1998AL</v>
          </cell>
          <cell r="AC405">
            <v>0</v>
          </cell>
          <cell r="AD405">
            <v>1.1111111111111101E-2</v>
          </cell>
          <cell r="AE405">
            <v>0.46133333300000001</v>
          </cell>
          <cell r="AF405">
            <v>0.52755555600000004</v>
          </cell>
        </row>
        <row r="406">
          <cell r="B406" t="str">
            <v>1998AK</v>
          </cell>
          <cell r="C406">
            <v>0.26011523874009923</v>
          </cell>
          <cell r="D406">
            <v>0.20394866146115145</v>
          </cell>
          <cell r="E406">
            <v>0.14696917603141396</v>
          </cell>
          <cell r="F406">
            <v>0.23791939754002328</v>
          </cell>
          <cell r="G406">
            <v>8.7011601730041105E-2</v>
          </cell>
          <cell r="H406">
            <v>6.4035924497270941E-2</v>
          </cell>
          <cell r="J406" t="str">
            <v>1998AK</v>
          </cell>
          <cell r="K406">
            <v>0.76601922223854491</v>
          </cell>
          <cell r="L406">
            <v>8.7011601730041105E-2</v>
          </cell>
          <cell r="M406">
            <v>0.14696917603141396</v>
          </cell>
          <cell r="U406" t="str">
            <v>1998AK</v>
          </cell>
          <cell r="V406">
            <v>0.90526515100000005</v>
          </cell>
          <cell r="W406">
            <v>4.1683329999999998E-3</v>
          </cell>
          <cell r="X406">
            <v>2.6146817999999999E-2</v>
          </cell>
          <cell r="Y406">
            <v>1.9989053E-2</v>
          </cell>
          <cell r="Z406">
            <v>4.4430643999999998E-2</v>
          </cell>
          <cell r="AB406" t="str">
            <v>1998AK</v>
          </cell>
          <cell r="AC406">
            <v>1.1111111111111101E-2</v>
          </cell>
          <cell r="AD406">
            <v>1.3333333333333315E-2</v>
          </cell>
          <cell r="AE406">
            <v>0.23888888899999999</v>
          </cell>
          <cell r="AF406">
            <v>0.73666666700000005</v>
          </cell>
        </row>
        <row r="407">
          <cell r="B407" t="str">
            <v>1998AZ</v>
          </cell>
          <cell r="C407">
            <v>0.60899235230481252</v>
          </cell>
          <cell r="D407">
            <v>0.20017542502629906</v>
          </cell>
          <cell r="E407">
            <v>9.7570544749036869E-2</v>
          </cell>
          <cell r="F407">
            <v>9.2782586374762846E-2</v>
          </cell>
          <cell r="G407">
            <v>0</v>
          </cell>
          <cell r="H407">
            <v>4.7909154508864161E-4</v>
          </cell>
          <cell r="J407" t="str">
            <v>1998AZ</v>
          </cell>
          <cell r="K407">
            <v>0.90242945525096308</v>
          </cell>
          <cell r="L407">
            <v>0</v>
          </cell>
          <cell r="M407">
            <v>9.7570544749036869E-2</v>
          </cell>
          <cell r="U407" t="str">
            <v>1998AZ</v>
          </cell>
          <cell r="V407">
            <v>7.8385252000000002E-2</v>
          </cell>
          <cell r="W407">
            <v>3.5772394999999998E-2</v>
          </cell>
          <cell r="X407">
            <v>0.103496752</v>
          </cell>
          <cell r="Y407">
            <v>0.45865198499999998</v>
          </cell>
          <cell r="Z407">
            <v>0.32369361499999999</v>
          </cell>
          <cell r="AB407" t="str">
            <v>1998AZ</v>
          </cell>
          <cell r="AC407">
            <v>0</v>
          </cell>
          <cell r="AD407">
            <v>0</v>
          </cell>
          <cell r="AE407">
            <v>0.53333333299999997</v>
          </cell>
          <cell r="AF407">
            <v>0.46666666699999998</v>
          </cell>
        </row>
        <row r="408">
          <cell r="B408" t="str">
            <v>1998AR</v>
          </cell>
          <cell r="C408">
            <v>6.6024268465921188E-2</v>
          </cell>
          <cell r="D408">
            <v>5.0120091319374817E-2</v>
          </cell>
          <cell r="E408">
            <v>0.14107667156106304</v>
          </cell>
          <cell r="F408">
            <v>0.11925410801239177</v>
          </cell>
          <cell r="G408">
            <v>0.61742211506223532</v>
          </cell>
          <cell r="H408">
            <v>6.1027455790139155E-3</v>
          </cell>
          <cell r="J408" t="str">
            <v>1998AR</v>
          </cell>
          <cell r="K408">
            <v>0.24150121337670161</v>
          </cell>
          <cell r="L408">
            <v>0.61742211506223532</v>
          </cell>
          <cell r="M408">
            <v>0.14107667156106304</v>
          </cell>
          <cell r="U408" t="str">
            <v>1998AR</v>
          </cell>
          <cell r="V408">
            <v>2.3521192999999999E-2</v>
          </cell>
          <cell r="W408">
            <v>3.7829263000000002E-2</v>
          </cell>
          <cell r="X408">
            <v>0.107363475</v>
          </cell>
          <cell r="Y408">
            <v>0.48997363199999999</v>
          </cell>
          <cell r="Z408">
            <v>0.341312436</v>
          </cell>
          <cell r="AB408" t="str">
            <v>1998AR</v>
          </cell>
          <cell r="AC408">
            <v>0</v>
          </cell>
          <cell r="AD408">
            <v>6.6666666666666749E-2</v>
          </cell>
          <cell r="AE408">
            <v>4.4444444E-2</v>
          </cell>
          <cell r="AF408">
            <v>0.88888888899999996</v>
          </cell>
        </row>
        <row r="409">
          <cell r="B409" t="str">
            <v>1998CA</v>
          </cell>
          <cell r="C409">
            <v>0.57401876834808863</v>
          </cell>
          <cell r="D409">
            <v>0.21163797997269157</v>
          </cell>
          <cell r="E409">
            <v>0.1099095251871812</v>
          </cell>
          <cell r="F409">
            <v>9.0878471721925161E-2</v>
          </cell>
          <cell r="G409">
            <v>1.1176474823059621E-2</v>
          </cell>
          <cell r="H409">
            <v>2.3787799470537056E-3</v>
          </cell>
          <cell r="J409" t="str">
            <v>1998CA</v>
          </cell>
          <cell r="K409">
            <v>0.87891399998975916</v>
          </cell>
          <cell r="L409">
            <v>1.1176474823059621E-2</v>
          </cell>
          <cell r="M409">
            <v>0.1099095251871812</v>
          </cell>
          <cell r="U409" t="str">
            <v>1998CA</v>
          </cell>
          <cell r="V409">
            <v>0.10350540699999999</v>
          </cell>
          <cell r="W409">
            <v>3.4030468000000001E-2</v>
          </cell>
          <cell r="X409">
            <v>7.6463943000000006E-2</v>
          </cell>
          <cell r="Y409">
            <v>0.48854874999999998</v>
          </cell>
          <cell r="Z409">
            <v>0.29745143099999999</v>
          </cell>
          <cell r="AB409" t="str">
            <v>1998CA</v>
          </cell>
          <cell r="AC409">
            <v>5.0000000000000072E-2</v>
          </cell>
          <cell r="AD409">
            <v>3.3333333333333288E-3</v>
          </cell>
          <cell r="AE409">
            <v>0.11444444400000001</v>
          </cell>
          <cell r="AF409">
            <v>0.83222222199999996</v>
          </cell>
        </row>
        <row r="410">
          <cell r="B410" t="str">
            <v>1998CO</v>
          </cell>
          <cell r="C410">
            <v>0.56777004319231461</v>
          </cell>
          <cell r="D410">
            <v>0.26135131546351098</v>
          </cell>
          <cell r="E410">
            <v>1.9864697927549357E-2</v>
          </cell>
          <cell r="F410">
            <v>0.12451735662012546</v>
          </cell>
          <cell r="G410">
            <v>1.1760691807852603E-2</v>
          </cell>
          <cell r="H410">
            <v>1.47358949886469E-2</v>
          </cell>
          <cell r="J410" t="str">
            <v>1998CO</v>
          </cell>
          <cell r="K410">
            <v>0.96837461026459803</v>
          </cell>
          <cell r="L410">
            <v>1.1760691807852603E-2</v>
          </cell>
          <cell r="M410">
            <v>1.9864697927549357E-2</v>
          </cell>
          <cell r="U410" t="str">
            <v>1998CO</v>
          </cell>
          <cell r="V410">
            <v>2.4667499999999998E-2</v>
          </cell>
          <cell r="W410">
            <v>5.3856016E-2</v>
          </cell>
          <cell r="X410">
            <v>0.25733860200000003</v>
          </cell>
          <cell r="Y410">
            <v>0.16932386999999999</v>
          </cell>
          <cell r="Z410">
            <v>0.49481401200000003</v>
          </cell>
          <cell r="AB410" t="str">
            <v>1998CO</v>
          </cell>
          <cell r="AC410">
            <v>0</v>
          </cell>
          <cell r="AD410">
            <v>8.8888888888888785E-3</v>
          </cell>
          <cell r="AE410">
            <v>0.53777777800000004</v>
          </cell>
          <cell r="AF410">
            <v>0.453333333</v>
          </cell>
        </row>
        <row r="411">
          <cell r="B411" t="str">
            <v>1998CT</v>
          </cell>
          <cell r="C411">
            <v>8.2354226606359618E-2</v>
          </cell>
          <cell r="D411">
            <v>0.17286811643970662</v>
          </cell>
          <cell r="E411">
            <v>0.43819791450836393</v>
          </cell>
          <cell r="F411">
            <v>0.21511581011863504</v>
          </cell>
          <cell r="G411">
            <v>6.0899525804353816E-2</v>
          </cell>
          <cell r="H411">
            <v>3.0564406522581047E-2</v>
          </cell>
          <cell r="J411" t="str">
            <v>1998CT</v>
          </cell>
          <cell r="K411">
            <v>0.50090255968728226</v>
          </cell>
          <cell r="L411">
            <v>6.0899525804353816E-2</v>
          </cell>
          <cell r="M411">
            <v>0.43819791450836393</v>
          </cell>
          <cell r="U411" t="str">
            <v>1998CT</v>
          </cell>
          <cell r="V411">
            <v>0.59649324000000004</v>
          </cell>
          <cell r="W411">
            <v>1.7754296999999999E-2</v>
          </cell>
          <cell r="X411">
            <v>0.111367866</v>
          </cell>
          <cell r="Y411">
            <v>8.5139926000000005E-2</v>
          </cell>
          <cell r="Z411">
            <v>0.18924467</v>
          </cell>
          <cell r="AB411" t="str">
            <v>1998CT</v>
          </cell>
          <cell r="AC411">
            <v>0</v>
          </cell>
          <cell r="AD411">
            <v>0</v>
          </cell>
          <cell r="AE411">
            <v>4.4444444E-2</v>
          </cell>
          <cell r="AF411">
            <v>0.95555555599999997</v>
          </cell>
        </row>
        <row r="412">
          <cell r="B412" t="str">
            <v>1998DE</v>
          </cell>
          <cell r="C412">
            <v>6.122289763725048E-2</v>
          </cell>
          <cell r="D412">
            <v>0.14954341154030393</v>
          </cell>
          <cell r="E412">
            <v>0.45131630095513442</v>
          </cell>
          <cell r="F412">
            <v>0.23640021362287292</v>
          </cell>
          <cell r="G412">
            <v>7.2732942423004959E-2</v>
          </cell>
          <cell r="H412">
            <v>2.8784233821433344E-2</v>
          </cell>
          <cell r="J412" t="str">
            <v>1998DE</v>
          </cell>
          <cell r="K412">
            <v>0.47595075662186059</v>
          </cell>
          <cell r="L412">
            <v>7.2732942423004959E-2</v>
          </cell>
          <cell r="M412">
            <v>0.45131630095513442</v>
          </cell>
          <cell r="U412" t="str">
            <v>1998DE</v>
          </cell>
          <cell r="V412">
            <v>0.11582442699999999</v>
          </cell>
          <cell r="W412">
            <v>4.4853974999999997E-2</v>
          </cell>
          <cell r="X412">
            <v>0.237586355</v>
          </cell>
          <cell r="Y412">
            <v>0.16672688099999999</v>
          </cell>
          <cell r="Z412">
            <v>0.43500836300000001</v>
          </cell>
          <cell r="AB412" t="str">
            <v>1998DE</v>
          </cell>
          <cell r="AC412">
            <v>0</v>
          </cell>
          <cell r="AD412">
            <v>0</v>
          </cell>
          <cell r="AE412">
            <v>4.4444444E-2</v>
          </cell>
          <cell r="AF412">
            <v>0.95555555599999997</v>
          </cell>
        </row>
        <row r="413">
          <cell r="B413" t="str">
            <v>1998FL</v>
          </cell>
          <cell r="C413">
            <v>0.42498161095058767</v>
          </cell>
          <cell r="D413">
            <v>0.14887567310367228</v>
          </cell>
          <cell r="E413">
            <v>0.22362260990829497</v>
          </cell>
          <cell r="F413">
            <v>7.4151326497137626E-2</v>
          </cell>
          <cell r="G413">
            <v>0.12773553288777104</v>
          </cell>
          <cell r="H413">
            <v>6.3324665253639185E-4</v>
          </cell>
          <cell r="J413" t="str">
            <v>1998FL</v>
          </cell>
          <cell r="K413">
            <v>0.64864185720393397</v>
          </cell>
          <cell r="L413">
            <v>0.12773553288777104</v>
          </cell>
          <cell r="M413">
            <v>0.22362260990829497</v>
          </cell>
          <cell r="U413" t="str">
            <v>1998FL</v>
          </cell>
          <cell r="V413">
            <v>0.63571701700000005</v>
          </cell>
          <cell r="W413">
            <v>1.6028450999999999E-2</v>
          </cell>
          <cell r="X413">
            <v>0.10054210299999999</v>
          </cell>
          <cell r="Y413">
            <v>7.6863709000000002E-2</v>
          </cell>
          <cell r="Z413">
            <v>0.17084871900000001</v>
          </cell>
          <cell r="AB413" t="str">
            <v>1998FL</v>
          </cell>
          <cell r="AC413">
            <v>1.3333333333333315E-2</v>
          </cell>
          <cell r="AD413">
            <v>6.6666666666666576E-3</v>
          </cell>
          <cell r="AE413">
            <v>0.38577777800000002</v>
          </cell>
          <cell r="AF413">
            <v>0.59422222199999997</v>
          </cell>
        </row>
        <row r="414">
          <cell r="B414" t="str">
            <v>1998GA</v>
          </cell>
          <cell r="C414">
            <v>0.14622630510008269</v>
          </cell>
          <cell r="D414">
            <v>9.1222785869663897E-2</v>
          </cell>
          <cell r="E414">
            <v>0.1598300936359123</v>
          </cell>
          <cell r="F414">
            <v>9.2436092908263545E-2</v>
          </cell>
          <cell r="G414">
            <v>0.5061713455661242</v>
          </cell>
          <cell r="H414">
            <v>4.1133769199532978E-3</v>
          </cell>
          <cell r="J414" t="str">
            <v>1998GA</v>
          </cell>
          <cell r="K414">
            <v>0.33399856079796353</v>
          </cell>
          <cell r="L414">
            <v>0.5061713455661242</v>
          </cell>
          <cell r="M414">
            <v>0.1598300936359123</v>
          </cell>
          <cell r="U414" t="str">
            <v>1998GA</v>
          </cell>
          <cell r="V414">
            <v>8.8603081E-2</v>
          </cell>
          <cell r="W414">
            <v>3.6099232000000002E-2</v>
          </cell>
          <cell r="X414">
            <v>0.125189367</v>
          </cell>
          <cell r="Y414">
            <v>0.41357100600000002</v>
          </cell>
          <cell r="Z414">
            <v>0.33653731399999998</v>
          </cell>
          <cell r="AB414" t="str">
            <v>1998GA</v>
          </cell>
          <cell r="AC414">
            <v>7.1111111111111028E-2</v>
          </cell>
          <cell r="AD414">
            <v>5.5555555555555506E-3</v>
          </cell>
          <cell r="AE414">
            <v>0.37355555600000001</v>
          </cell>
          <cell r="AF414">
            <v>0.54977777800000005</v>
          </cell>
        </row>
        <row r="415">
          <cell r="B415" t="str">
            <v>1998HI</v>
          </cell>
          <cell r="C415">
            <v>0.5576212795306229</v>
          </cell>
          <cell r="D415">
            <v>0.21023267243770757</v>
          </cell>
          <cell r="E415">
            <v>0</v>
          </cell>
          <cell r="F415">
            <v>0.12290306491175958</v>
          </cell>
          <cell r="G415">
            <v>9.6420160000593447E-2</v>
          </cell>
          <cell r="H415">
            <v>1.2822823119316444E-2</v>
          </cell>
          <cell r="J415" t="str">
            <v>1998HI</v>
          </cell>
          <cell r="K415">
            <v>0.90357983999940661</v>
          </cell>
          <cell r="L415">
            <v>9.6420160000593447E-2</v>
          </cell>
          <cell r="M415">
            <v>0</v>
          </cell>
          <cell r="U415" t="str">
            <v>1998HI</v>
          </cell>
          <cell r="V415">
            <v>0.33227302600000003</v>
          </cell>
          <cell r="W415">
            <v>2.9204045000000001E-2</v>
          </cell>
          <cell r="X415">
            <v>0.178737919</v>
          </cell>
          <cell r="Y415">
            <v>0.15061744499999999</v>
          </cell>
          <cell r="Z415">
            <v>0.30916756499999998</v>
          </cell>
          <cell r="AB415" t="str">
            <v>1998HI</v>
          </cell>
          <cell r="AC415">
            <v>1.1111111111111101E-2</v>
          </cell>
          <cell r="AD415">
            <v>0</v>
          </cell>
          <cell r="AE415">
            <v>0.311111111</v>
          </cell>
          <cell r="AF415">
            <v>0.67777777800000005</v>
          </cell>
        </row>
        <row r="416">
          <cell r="B416" t="str">
            <v>1998ID</v>
          </cell>
          <cell r="C416">
            <v>0.57168137211232239</v>
          </cell>
          <cell r="D416">
            <v>0.24464713396159654</v>
          </cell>
          <cell r="E416">
            <v>1.5743890768282476E-2</v>
          </cell>
          <cell r="F416">
            <v>0.1401046052463632</v>
          </cell>
          <cell r="G416">
            <v>9.3210099573413641E-3</v>
          </cell>
          <cell r="H416">
            <v>1.8501987954093881E-2</v>
          </cell>
          <cell r="J416" t="str">
            <v>1998ID</v>
          </cell>
          <cell r="K416">
            <v>0.97493509927437616</v>
          </cell>
          <cell r="L416">
            <v>9.3210099573413641E-3</v>
          </cell>
          <cell r="M416">
            <v>1.5743890768282476E-2</v>
          </cell>
          <cell r="U416" t="str">
            <v>1998ID</v>
          </cell>
          <cell r="V416">
            <v>0.36100241700000002</v>
          </cell>
          <cell r="W416">
            <v>3.1039607E-2</v>
          </cell>
          <cell r="X416">
            <v>0.173195977</v>
          </cell>
          <cell r="Y416">
            <v>0.12508277800000001</v>
          </cell>
          <cell r="Z416">
            <v>0.309679221</v>
          </cell>
          <cell r="AB416" t="str">
            <v>1998ID</v>
          </cell>
          <cell r="AC416">
            <v>0</v>
          </cell>
          <cell r="AD416">
            <v>6.6666666666666749E-2</v>
          </cell>
          <cell r="AE416">
            <v>0.53333333299999997</v>
          </cell>
          <cell r="AF416">
            <v>0.4</v>
          </cell>
        </row>
        <row r="417">
          <cell r="B417" t="str">
            <v>1998IL</v>
          </cell>
          <cell r="C417">
            <v>7.4860738107127955E-2</v>
          </cell>
          <cell r="D417">
            <v>0.20307298168594837</v>
          </cell>
          <cell r="E417">
            <v>0.11331748762324866</v>
          </cell>
          <cell r="F417">
            <v>0.49350974562619354</v>
          </cell>
          <cell r="G417">
            <v>6.7088462821724315E-2</v>
          </cell>
          <cell r="H417">
            <v>4.8150584135757221E-2</v>
          </cell>
          <cell r="J417" t="str">
            <v>1998IL</v>
          </cell>
          <cell r="K417">
            <v>0.81959404955502702</v>
          </cell>
          <cell r="L417">
            <v>6.7088462821724315E-2</v>
          </cell>
          <cell r="M417">
            <v>0.11331748762324866</v>
          </cell>
          <cell r="U417" t="str">
            <v>1998IL</v>
          </cell>
          <cell r="V417">
            <v>3.8054826E-2</v>
          </cell>
          <cell r="W417">
            <v>4.4452498999999999E-2</v>
          </cell>
          <cell r="X417">
            <v>0.273472785</v>
          </cell>
          <cell r="Y417">
            <v>0.15671011500000001</v>
          </cell>
          <cell r="Z417">
            <v>0.48730977599999997</v>
          </cell>
          <cell r="AB417" t="str">
            <v>1998IL</v>
          </cell>
          <cell r="AC417">
            <v>0</v>
          </cell>
          <cell r="AD417">
            <v>0</v>
          </cell>
          <cell r="AE417">
            <v>2.8888889000000001E-2</v>
          </cell>
          <cell r="AF417">
            <v>0.97111111100000003</v>
          </cell>
        </row>
        <row r="418">
          <cell r="B418" t="str">
            <v>1998IN</v>
          </cell>
          <cell r="C418">
            <v>7.2292969143551142E-2</v>
          </cell>
          <cell r="D418">
            <v>0.17672725878137727</v>
          </cell>
          <cell r="E418">
            <v>0.17317594632945374</v>
          </cell>
          <cell r="F418">
            <v>0.43362978105943678</v>
          </cell>
          <cell r="G418">
            <v>0.10252705280201489</v>
          </cell>
          <cell r="H418">
            <v>4.1646991884166241E-2</v>
          </cell>
          <cell r="J418" t="str">
            <v>1998IN</v>
          </cell>
          <cell r="K418">
            <v>0.72429700086853144</v>
          </cell>
          <cell r="L418">
            <v>0.10252705280201489</v>
          </cell>
          <cell r="M418">
            <v>0.17317594632945374</v>
          </cell>
          <cell r="U418" t="str">
            <v>1998IN</v>
          </cell>
          <cell r="V418">
            <v>4.0550075999999997E-2</v>
          </cell>
          <cell r="W418">
            <v>4.4436352999999998E-2</v>
          </cell>
          <cell r="X418">
            <v>0.27313526599999999</v>
          </cell>
          <cell r="Y418">
            <v>0.15414683100000001</v>
          </cell>
          <cell r="Z418">
            <v>0.487731474</v>
          </cell>
          <cell r="AB418" t="str">
            <v>1998IN</v>
          </cell>
          <cell r="AC418">
            <v>0</v>
          </cell>
          <cell r="AD418">
            <v>5.5555555555555506E-3</v>
          </cell>
          <cell r="AE418">
            <v>0</v>
          </cell>
          <cell r="AF418">
            <v>0.99444444399999998</v>
          </cell>
        </row>
        <row r="419">
          <cell r="B419" t="str">
            <v>1998IA</v>
          </cell>
          <cell r="C419">
            <v>7.2665485504290486E-2</v>
          </cell>
          <cell r="D419">
            <v>0.18073955687250698</v>
          </cell>
          <cell r="E419">
            <v>0.15595420086548339</v>
          </cell>
          <cell r="F419">
            <v>0.45778205469024891</v>
          </cell>
          <cell r="G419">
            <v>9.2331094044738923E-2</v>
          </cell>
          <cell r="H419">
            <v>4.0527608022731323E-2</v>
          </cell>
          <cell r="J419" t="str">
            <v>1998IA</v>
          </cell>
          <cell r="K419">
            <v>0.75171470508977767</v>
          </cell>
          <cell r="L419">
            <v>9.2331094044738923E-2</v>
          </cell>
          <cell r="M419">
            <v>0.15595420086548339</v>
          </cell>
          <cell r="U419" t="str">
            <v>1998IA</v>
          </cell>
          <cell r="V419">
            <v>2.4238829E-2</v>
          </cell>
          <cell r="W419">
            <v>3.9193801E-2</v>
          </cell>
          <cell r="X419">
            <v>0.15124270500000001</v>
          </cell>
          <cell r="Y419">
            <v>0.41263707900000002</v>
          </cell>
          <cell r="Z419">
            <v>0.37268758600000002</v>
          </cell>
          <cell r="AB419" t="str">
            <v>1998IA</v>
          </cell>
          <cell r="AC419">
            <v>4.4444444444444392E-3</v>
          </cell>
          <cell r="AD419">
            <v>4.4444444444444392E-3</v>
          </cell>
          <cell r="AE419">
            <v>2.2222219999999998E-3</v>
          </cell>
          <cell r="AF419">
            <v>0.98888888900000005</v>
          </cell>
        </row>
        <row r="420">
          <cell r="B420" t="str">
            <v>1998KS</v>
          </cell>
          <cell r="C420">
            <v>9.8857041052679256E-2</v>
          </cell>
          <cell r="D420">
            <v>0.20221757544670535</v>
          </cell>
          <cell r="E420">
            <v>0.12034846017035543</v>
          </cell>
          <cell r="F420">
            <v>0.46326076364598412</v>
          </cell>
          <cell r="G420">
            <v>7.1251078409314897E-2</v>
          </cell>
          <cell r="H420">
            <v>4.4065081274960984E-2</v>
          </cell>
          <cell r="J420" t="str">
            <v>1998KS</v>
          </cell>
          <cell r="K420">
            <v>0.80840046142032973</v>
          </cell>
          <cell r="L420">
            <v>7.1251078409314897E-2</v>
          </cell>
          <cell r="M420">
            <v>0.12034846017035543</v>
          </cell>
          <cell r="U420" t="str">
            <v>1998KS</v>
          </cell>
          <cell r="V420">
            <v>4.9701347E-2</v>
          </cell>
          <cell r="W420">
            <v>4.4578957000000002E-2</v>
          </cell>
          <cell r="X420">
            <v>0.27265423900000002</v>
          </cell>
          <cell r="Y420">
            <v>0.14035651299999999</v>
          </cell>
          <cell r="Z420">
            <v>0.49270894399999998</v>
          </cell>
          <cell r="AB420" t="str">
            <v>1998KS</v>
          </cell>
          <cell r="AC420">
            <v>0</v>
          </cell>
          <cell r="AD420">
            <v>0</v>
          </cell>
          <cell r="AE420">
            <v>1.7777778000000001E-2</v>
          </cell>
          <cell r="AF420">
            <v>0.98222222199999998</v>
          </cell>
        </row>
        <row r="421">
          <cell r="B421" t="str">
            <v>1998KY</v>
          </cell>
          <cell r="C421">
            <v>1.5270439744288978E-2</v>
          </cell>
          <cell r="D421">
            <v>5.076848043957001E-2</v>
          </cell>
          <cell r="E421">
            <v>0.13963147660142264</v>
          </cell>
          <cell r="F421">
            <v>0.15335909624849517</v>
          </cell>
          <cell r="G421">
            <v>0.62599543307801875</v>
          </cell>
          <cell r="H421">
            <v>1.4975073888204469E-2</v>
          </cell>
          <cell r="J421" t="str">
            <v>1998KY</v>
          </cell>
          <cell r="K421">
            <v>0.23437309032055864</v>
          </cell>
          <cell r="L421">
            <v>0.62599543307801875</v>
          </cell>
          <cell r="M421">
            <v>0.13963147660142264</v>
          </cell>
          <cell r="U421" t="str">
            <v>1998KY</v>
          </cell>
          <cell r="V421">
            <v>6.7549912000000004E-2</v>
          </cell>
          <cell r="W421">
            <v>3.7334080999999998E-2</v>
          </cell>
          <cell r="X421">
            <v>0.140740113</v>
          </cell>
          <cell r="Y421">
            <v>0.40095708099999999</v>
          </cell>
          <cell r="Z421">
            <v>0.35341881200000003</v>
          </cell>
          <cell r="AB421" t="str">
            <v>1998KY</v>
          </cell>
          <cell r="AC421">
            <v>3.3333333333333288E-3</v>
          </cell>
          <cell r="AD421">
            <v>3.6666666666666611E-2</v>
          </cell>
          <cell r="AE421">
            <v>0.112222222</v>
          </cell>
          <cell r="AF421">
            <v>0.84777777799999998</v>
          </cell>
        </row>
        <row r="422">
          <cell r="B422" t="str">
            <v>1998LA</v>
          </cell>
          <cell r="C422">
            <v>8.871879925060093E-2</v>
          </cell>
          <cell r="D422">
            <v>6.3413161108536953E-2</v>
          </cell>
          <cell r="E422">
            <v>0.1465028727585965</v>
          </cell>
          <cell r="F422">
            <v>0.11063668416092964</v>
          </cell>
          <cell r="G422">
            <v>0.5852323069164509</v>
          </cell>
          <cell r="H422">
            <v>5.4961758048850777E-3</v>
          </cell>
          <cell r="J422" t="str">
            <v>1998LA</v>
          </cell>
          <cell r="K422">
            <v>0.26826482032495258</v>
          </cell>
          <cell r="L422">
            <v>0.5852323069164509</v>
          </cell>
          <cell r="M422">
            <v>0.1465028727585965</v>
          </cell>
          <cell r="U422" t="str">
            <v>1998LA</v>
          </cell>
          <cell r="V422">
            <v>0.59726749400000001</v>
          </cell>
          <cell r="W422">
            <v>1.772023E-2</v>
          </cell>
          <cell r="X422">
            <v>0.111154172</v>
          </cell>
          <cell r="Y422">
            <v>8.4976558999999993E-2</v>
          </cell>
          <cell r="Z422">
            <v>0.18888154500000001</v>
          </cell>
          <cell r="AB422" t="str">
            <v>1998LA</v>
          </cell>
          <cell r="AC422">
            <v>5.5555555555555506E-3</v>
          </cell>
          <cell r="AD422">
            <v>0</v>
          </cell>
          <cell r="AE422">
            <v>0.63888888899999996</v>
          </cell>
          <cell r="AF422">
            <v>0.35555555599999999</v>
          </cell>
        </row>
        <row r="423">
          <cell r="B423" t="str">
            <v>1998ME</v>
          </cell>
          <cell r="C423">
            <v>5.1809994955366659E-2</v>
          </cell>
          <cell r="D423">
            <v>0.12769947600875126</v>
          </cell>
          <cell r="E423">
            <v>0.46509889693165496</v>
          </cell>
          <cell r="F423">
            <v>0.2460441876156465</v>
          </cell>
          <cell r="G423">
            <v>8.5165508039095839E-2</v>
          </cell>
          <cell r="H423">
            <v>2.4181936449484808E-2</v>
          </cell>
          <cell r="J423" t="str">
            <v>1998ME</v>
          </cell>
          <cell r="K423">
            <v>0.4497355950292492</v>
          </cell>
          <cell r="L423">
            <v>8.5165508039095839E-2</v>
          </cell>
          <cell r="M423">
            <v>0.46509889693165496</v>
          </cell>
          <cell r="U423" t="str">
            <v>1998ME</v>
          </cell>
          <cell r="V423">
            <v>0.94584040400000002</v>
          </cell>
          <cell r="W423">
            <v>2.3830219999999998E-3</v>
          </cell>
          <cell r="X423">
            <v>1.4948048E-2</v>
          </cell>
          <cell r="Y423">
            <v>1.1427675E-2</v>
          </cell>
          <cell r="Z423">
            <v>2.5400850999999999E-2</v>
          </cell>
          <cell r="AB423" t="str">
            <v>1998ME</v>
          </cell>
          <cell r="AC423">
            <v>1.1111111111111101E-2</v>
          </cell>
          <cell r="AD423">
            <v>0.01</v>
          </cell>
          <cell r="AE423">
            <v>4.4444444E-2</v>
          </cell>
          <cell r="AF423">
            <v>0.93444444400000004</v>
          </cell>
        </row>
        <row r="424">
          <cell r="B424" t="str">
            <v>1998MD</v>
          </cell>
          <cell r="C424">
            <v>5.8769848874170923E-2</v>
          </cell>
          <cell r="D424">
            <v>0.13632857478200749</v>
          </cell>
          <cell r="E424">
            <v>0.45301071506435259</v>
          </cell>
          <cell r="F424">
            <v>0.24730504060008243</v>
          </cell>
          <cell r="G424">
            <v>7.4261385586366357E-2</v>
          </cell>
          <cell r="H424">
            <v>3.0324435093020193E-2</v>
          </cell>
          <cell r="J424" t="str">
            <v>1998MD</v>
          </cell>
          <cell r="K424">
            <v>0.47272789934928106</v>
          </cell>
          <cell r="L424">
            <v>7.4261385586366357E-2</v>
          </cell>
          <cell r="M424">
            <v>0.45301071506435259</v>
          </cell>
          <cell r="U424" t="str">
            <v>1998MD</v>
          </cell>
          <cell r="V424">
            <v>0.19669075899999999</v>
          </cell>
          <cell r="W424">
            <v>3.8989900000000001E-2</v>
          </cell>
          <cell r="X424">
            <v>0.21776536599999999</v>
          </cell>
          <cell r="Y424">
            <v>0.157350606</v>
          </cell>
          <cell r="Z424">
            <v>0.38920336900000002</v>
          </cell>
          <cell r="AB424" t="str">
            <v>1998MD</v>
          </cell>
          <cell r="AC424">
            <v>0</v>
          </cell>
          <cell r="AD424">
            <v>0</v>
          </cell>
          <cell r="AE424">
            <v>4.4444444E-2</v>
          </cell>
          <cell r="AF424">
            <v>0.95555555599999997</v>
          </cell>
        </row>
        <row r="425">
          <cell r="B425" t="str">
            <v>1998MA</v>
          </cell>
          <cell r="C425">
            <v>4.855169441953993E-2</v>
          </cell>
          <cell r="D425">
            <v>0.13332632838444114</v>
          </cell>
          <cell r="E425">
            <v>0.45678524832789869</v>
          </cell>
          <cell r="F425">
            <v>0.25346344959288725</v>
          </cell>
          <cell r="G425">
            <v>7.7666196447041411E-2</v>
          </cell>
          <cell r="H425">
            <v>3.0207082828191692E-2</v>
          </cell>
          <cell r="J425" t="str">
            <v>1998MA</v>
          </cell>
          <cell r="K425">
            <v>0.46554855522505989</v>
          </cell>
          <cell r="L425">
            <v>7.7666196447041411E-2</v>
          </cell>
          <cell r="M425">
            <v>0.45678524832789869</v>
          </cell>
          <cell r="U425" t="str">
            <v>1998MA</v>
          </cell>
          <cell r="V425">
            <v>0.40219831</v>
          </cell>
          <cell r="W425">
            <v>2.6303274000000001E-2</v>
          </cell>
          <cell r="X425">
            <v>0.164993266</v>
          </cell>
          <cell r="Y425">
            <v>0.126136157</v>
          </cell>
          <cell r="Z425">
            <v>0.28036899300000001</v>
          </cell>
          <cell r="AB425" t="str">
            <v>1998MA</v>
          </cell>
          <cell r="AC425">
            <v>1.1111111111111101E-2</v>
          </cell>
          <cell r="AD425">
            <v>0.01</v>
          </cell>
          <cell r="AE425">
            <v>4.4444444E-2</v>
          </cell>
          <cell r="AF425">
            <v>0.93444444400000004</v>
          </cell>
        </row>
        <row r="426">
          <cell r="B426" t="str">
            <v>1998MI</v>
          </cell>
          <cell r="C426">
            <v>0.13612330859382368</v>
          </cell>
          <cell r="D426">
            <v>0.27446958309442837</v>
          </cell>
          <cell r="E426">
            <v>8.8972262177040892E-2</v>
          </cell>
          <cell r="F426">
            <v>0.39909111052623025</v>
          </cell>
          <cell r="G426">
            <v>5.2675120393372465E-2</v>
          </cell>
          <cell r="H426">
            <v>4.8668615215104294E-2</v>
          </cell>
          <cell r="J426" t="str">
            <v>1998MI</v>
          </cell>
          <cell r="K426">
            <v>0.85835261742958657</v>
          </cell>
          <cell r="L426">
            <v>5.2675120393372465E-2</v>
          </cell>
          <cell r="M426">
            <v>8.8972262177040892E-2</v>
          </cell>
          <cell r="U426" t="str">
            <v>1998MI</v>
          </cell>
          <cell r="V426">
            <v>6.1303808000000001E-2</v>
          </cell>
          <cell r="W426">
            <v>4.8601676000000003E-2</v>
          </cell>
          <cell r="X426">
            <v>0.25117285099999997</v>
          </cell>
          <cell r="Y426">
            <v>0.17373474999999999</v>
          </cell>
          <cell r="Z426">
            <v>0.46518691400000001</v>
          </cell>
          <cell r="AB426" t="str">
            <v>1998MI</v>
          </cell>
          <cell r="AC426">
            <v>0.01</v>
          </cell>
          <cell r="AD426">
            <v>3.3333333333333288E-3</v>
          </cell>
          <cell r="AE426">
            <v>2.1111110999999998E-2</v>
          </cell>
          <cell r="AF426">
            <v>0.96555555599999998</v>
          </cell>
        </row>
        <row r="427">
          <cell r="B427" t="str">
            <v>1998MN</v>
          </cell>
          <cell r="C427">
            <v>6.5107152260716297E-2</v>
          </cell>
          <cell r="D427">
            <v>0.1732550844395756</v>
          </cell>
          <cell r="E427">
            <v>0.17218744024367269</v>
          </cell>
          <cell r="F427">
            <v>0.44741362609717616</v>
          </cell>
          <cell r="G427">
            <v>0.10194181785570669</v>
          </cell>
          <cell r="H427">
            <v>4.0094879103152542E-2</v>
          </cell>
          <cell r="J427" t="str">
            <v>1998MN</v>
          </cell>
          <cell r="K427">
            <v>0.72587074190062062</v>
          </cell>
          <cell r="L427">
            <v>0.10194181785570669</v>
          </cell>
          <cell r="M427">
            <v>0.17218744024367269</v>
          </cell>
          <cell r="U427" t="str">
            <v>1998MN</v>
          </cell>
          <cell r="V427">
            <v>2.7904384000000001E-2</v>
          </cell>
          <cell r="W427">
            <v>4.9789855000000001E-2</v>
          </cell>
          <cell r="X427">
            <v>0.26069593800000002</v>
          </cell>
          <cell r="Y427">
            <v>0.18172001600000001</v>
          </cell>
          <cell r="Z427">
            <v>0.479889807</v>
          </cell>
          <cell r="AB427" t="str">
            <v>1998MN</v>
          </cell>
          <cell r="AC427">
            <v>0</v>
          </cell>
          <cell r="AD427">
            <v>2.7777777777777735E-2</v>
          </cell>
          <cell r="AE427">
            <v>0</v>
          </cell>
          <cell r="AF427">
            <v>0.97222222199999997</v>
          </cell>
        </row>
        <row r="428">
          <cell r="B428" t="str">
            <v>1998MS</v>
          </cell>
          <cell r="C428">
            <v>7.946087209515218E-2</v>
          </cell>
          <cell r="D428">
            <v>6.1032388302407092E-2</v>
          </cell>
          <cell r="E428">
            <v>0.1411585392082266</v>
          </cell>
          <cell r="F428">
            <v>9.6593645161121997E-2</v>
          </cell>
          <cell r="G428">
            <v>0.61693645230119731</v>
          </cell>
          <cell r="H428">
            <v>4.8181029318948585E-3</v>
          </cell>
          <cell r="J428" t="str">
            <v>1998MS</v>
          </cell>
          <cell r="K428">
            <v>0.24190500849057606</v>
          </cell>
          <cell r="L428">
            <v>0.61693645230119731</v>
          </cell>
          <cell r="M428">
            <v>0.1411585392082266</v>
          </cell>
          <cell r="U428" t="str">
            <v>1998MS</v>
          </cell>
          <cell r="V428">
            <v>3.7830084E-2</v>
          </cell>
          <cell r="W428">
            <v>3.6413136999999998E-2</v>
          </cell>
          <cell r="X428">
            <v>7.8582183E-2</v>
          </cell>
          <cell r="Y428">
            <v>0.53043861299999995</v>
          </cell>
          <cell r="Z428">
            <v>0.316735983</v>
          </cell>
          <cell r="AB428" t="str">
            <v>1998MS</v>
          </cell>
          <cell r="AC428">
            <v>1.1111111111111101E-2</v>
          </cell>
          <cell r="AD428">
            <v>5.5555555555555506E-3</v>
          </cell>
          <cell r="AE428">
            <v>0.62777777800000001</v>
          </cell>
          <cell r="AF428">
            <v>0.35555555599999999</v>
          </cell>
        </row>
        <row r="429">
          <cell r="B429" t="str">
            <v>1998MO</v>
          </cell>
          <cell r="C429">
            <v>4.9362461306465828E-2</v>
          </cell>
          <cell r="D429">
            <v>0.16297059267476269</v>
          </cell>
          <cell r="E429">
            <v>0.15745475307287812</v>
          </cell>
          <cell r="F429">
            <v>0.48935396501829975</v>
          </cell>
          <cell r="G429">
            <v>9.3219480674987532E-2</v>
          </cell>
          <cell r="H429">
            <v>4.763874725260607E-2</v>
          </cell>
          <cell r="J429" t="str">
            <v>1998MO</v>
          </cell>
          <cell r="K429">
            <v>0.74932576625213432</v>
          </cell>
          <cell r="L429">
            <v>9.3219480674987532E-2</v>
          </cell>
          <cell r="M429">
            <v>0.15745475307287812</v>
          </cell>
          <cell r="U429" t="str">
            <v>1998MO</v>
          </cell>
          <cell r="V429">
            <v>4.3499946999999997E-2</v>
          </cell>
          <cell r="W429">
            <v>4.4841891000000002E-2</v>
          </cell>
          <cell r="X429">
            <v>0.27432859799999998</v>
          </cell>
          <cell r="Y429">
            <v>0.14188092899999999</v>
          </cell>
          <cell r="Z429">
            <v>0.495448634</v>
          </cell>
          <cell r="AB429" t="str">
            <v>1998MO</v>
          </cell>
          <cell r="AC429">
            <v>0</v>
          </cell>
          <cell r="AD429">
            <v>2.2222222222222202E-2</v>
          </cell>
          <cell r="AE429">
            <v>0</v>
          </cell>
          <cell r="AF429">
            <v>0.97777777799999999</v>
          </cell>
        </row>
        <row r="430">
          <cell r="B430" t="str">
            <v>1998MT</v>
          </cell>
          <cell r="C430">
            <v>0.31001394365565527</v>
          </cell>
          <cell r="D430">
            <v>0.23831267409561505</v>
          </cell>
          <cell r="E430">
            <v>4.2548633044980667E-2</v>
          </cell>
          <cell r="F430">
            <v>0.30223140069746468</v>
          </cell>
          <cell r="G430">
            <v>2.5190484240560692E-2</v>
          </cell>
          <cell r="H430">
            <v>8.1702864265723665E-2</v>
          </cell>
          <cell r="J430" t="str">
            <v>1998MT</v>
          </cell>
          <cell r="K430">
            <v>0.93226088271445862</v>
          </cell>
          <cell r="L430">
            <v>2.5190484240560692E-2</v>
          </cell>
          <cell r="M430">
            <v>4.2548633044980667E-2</v>
          </cell>
          <cell r="U430" t="str">
            <v>1998MT</v>
          </cell>
          <cell r="V430">
            <v>7.6557703000000005E-2</v>
          </cell>
          <cell r="W430">
            <v>4.9289307999999997E-2</v>
          </cell>
          <cell r="X430">
            <v>0.24549074000000001</v>
          </cell>
          <cell r="Y430">
            <v>0.165986835</v>
          </cell>
          <cell r="Z430">
            <v>0.46267541499999998</v>
          </cell>
          <cell r="AB430" t="str">
            <v>1998MT</v>
          </cell>
          <cell r="AC430">
            <v>0</v>
          </cell>
          <cell r="AD430">
            <v>8.8888888888888785E-3</v>
          </cell>
          <cell r="AE430">
            <v>0.53777777800000004</v>
          </cell>
          <cell r="AF430">
            <v>0.453333333</v>
          </cell>
        </row>
        <row r="431">
          <cell r="B431" t="str">
            <v>1998NE</v>
          </cell>
          <cell r="C431">
            <v>8.2376872113172711E-2</v>
          </cell>
          <cell r="D431">
            <v>0.19498217473723709</v>
          </cell>
          <cell r="E431">
            <v>0.13776815544309287</v>
          </cell>
          <cell r="F431">
            <v>0.45552240784400577</v>
          </cell>
          <cell r="G431">
            <v>8.1564231331980361E-2</v>
          </cell>
          <cell r="H431">
            <v>4.7786158530511096E-2</v>
          </cell>
          <cell r="J431" t="str">
            <v>1998NE</v>
          </cell>
          <cell r="K431">
            <v>0.78066761322492684</v>
          </cell>
          <cell r="L431">
            <v>8.1564231331980361E-2</v>
          </cell>
          <cell r="M431">
            <v>0.13776815544309287</v>
          </cell>
          <cell r="U431" t="str">
            <v>1998NE</v>
          </cell>
          <cell r="V431">
            <v>4.9840783999999999E-2</v>
          </cell>
          <cell r="W431">
            <v>4.3707623000000001E-2</v>
          </cell>
          <cell r="X431">
            <v>0.269371258</v>
          </cell>
          <cell r="Y431">
            <v>0.159145171</v>
          </cell>
          <cell r="Z431">
            <v>0.47793516400000002</v>
          </cell>
          <cell r="AB431" t="str">
            <v>1998NE</v>
          </cell>
          <cell r="AC431">
            <v>0</v>
          </cell>
          <cell r="AD431">
            <v>0</v>
          </cell>
          <cell r="AE431">
            <v>1.7777778000000001E-2</v>
          </cell>
          <cell r="AF431">
            <v>0.98222222199999998</v>
          </cell>
        </row>
        <row r="432">
          <cell r="B432" t="str">
            <v>1998NV</v>
          </cell>
          <cell r="C432">
            <v>0.63455295372855403</v>
          </cell>
          <cell r="D432">
            <v>0.20976473107924687</v>
          </cell>
          <cell r="E432">
            <v>2.4819644119918327E-2</v>
          </cell>
          <cell r="F432">
            <v>0.11126891572043614</v>
          </cell>
          <cell r="G432">
            <v>1.4694217165523785E-2</v>
          </cell>
          <cell r="H432">
            <v>4.8995381863209302E-3</v>
          </cell>
          <cell r="J432" t="str">
            <v>1998NV</v>
          </cell>
          <cell r="K432">
            <v>0.9604861387145579</v>
          </cell>
          <cell r="L432">
            <v>1.4694217165523785E-2</v>
          </cell>
          <cell r="M432">
            <v>2.4819644119918327E-2</v>
          </cell>
          <cell r="U432" t="str">
            <v>1998NV</v>
          </cell>
          <cell r="V432">
            <v>0.87000822899999997</v>
          </cell>
          <cell r="W432">
            <v>4.8096959999999996E-3</v>
          </cell>
          <cell r="X432">
            <v>7.149547E-3</v>
          </cell>
          <cell r="Y432">
            <v>7.7735078999999999E-2</v>
          </cell>
          <cell r="Z432">
            <v>4.0297448999999999E-2</v>
          </cell>
          <cell r="AB432" t="str">
            <v>1998NV</v>
          </cell>
          <cell r="AC432">
            <v>2.7777777777777735E-2</v>
          </cell>
          <cell r="AD432">
            <v>0</v>
          </cell>
          <cell r="AE432">
            <v>0</v>
          </cell>
          <cell r="AF432">
            <v>0.97222222199999997</v>
          </cell>
        </row>
        <row r="433">
          <cell r="B433" t="str">
            <v>1998NH</v>
          </cell>
          <cell r="C433">
            <v>5.6205149600266006E-2</v>
          </cell>
          <cell r="D433">
            <v>0.14000278805453986</v>
          </cell>
          <cell r="E433">
            <v>0.45143333469272928</v>
          </cell>
          <cell r="F433">
            <v>0.24799465802019538</v>
          </cell>
          <cell r="G433">
            <v>7.2838512492999191E-2</v>
          </cell>
          <cell r="H433">
            <v>3.1525557139270285E-2</v>
          </cell>
          <cell r="J433" t="str">
            <v>1998NH</v>
          </cell>
          <cell r="K433">
            <v>0.4757281528142715</v>
          </cell>
          <cell r="L433">
            <v>7.2838512492999191E-2</v>
          </cell>
          <cell r="M433">
            <v>0.45143333469272928</v>
          </cell>
          <cell r="U433" t="str">
            <v>1998NH</v>
          </cell>
          <cell r="V433">
            <v>0.61746389899999998</v>
          </cell>
          <cell r="W433">
            <v>1.6831588000000001E-2</v>
          </cell>
          <cell r="X433">
            <v>0.105579964</v>
          </cell>
          <cell r="Y433">
            <v>8.0715117000000003E-2</v>
          </cell>
          <cell r="Z433">
            <v>0.17940943100000001</v>
          </cell>
          <cell r="AB433" t="str">
            <v>1998NH</v>
          </cell>
          <cell r="AC433">
            <v>0</v>
          </cell>
          <cell r="AD433">
            <v>0</v>
          </cell>
          <cell r="AE433">
            <v>4.4444444E-2</v>
          </cell>
          <cell r="AF433">
            <v>0.95555555599999997</v>
          </cell>
        </row>
        <row r="434">
          <cell r="B434" t="str">
            <v>1998NJ</v>
          </cell>
          <cell r="C434">
            <v>4.6388811456541855E-2</v>
          </cell>
          <cell r="D434">
            <v>0.1304096735683388</v>
          </cell>
          <cell r="E434">
            <v>0.45558329358164545</v>
          </cell>
          <cell r="F434">
            <v>0.25885035963221803</v>
          </cell>
          <cell r="G434">
            <v>7.6581975355759238E-2</v>
          </cell>
          <cell r="H434">
            <v>3.2185886405496592E-2</v>
          </cell>
          <cell r="J434" t="str">
            <v>1998NJ</v>
          </cell>
          <cell r="K434">
            <v>0.46783473106259532</v>
          </cell>
          <cell r="L434">
            <v>7.6581975355759238E-2</v>
          </cell>
          <cell r="M434">
            <v>0.45558329358164545</v>
          </cell>
          <cell r="U434" t="str">
            <v>1998NJ</v>
          </cell>
          <cell r="V434">
            <v>0.45682988400000002</v>
          </cell>
          <cell r="W434">
            <v>2.4412950999999999E-2</v>
          </cell>
          <cell r="X434">
            <v>0.14935869700000001</v>
          </cell>
          <cell r="Y434">
            <v>0.112897342</v>
          </cell>
          <cell r="Z434">
            <v>0.25650112600000002</v>
          </cell>
          <cell r="AB434" t="str">
            <v>1998NJ</v>
          </cell>
          <cell r="AC434">
            <v>1.1111111111111101E-2</v>
          </cell>
          <cell r="AD434">
            <v>0.01</v>
          </cell>
          <cell r="AE434">
            <v>4.4444444E-2</v>
          </cell>
          <cell r="AF434">
            <v>0.93444444400000004</v>
          </cell>
        </row>
        <row r="435">
          <cell r="B435" t="str">
            <v>1998NM</v>
          </cell>
          <cell r="C435">
            <v>0.61062405794009045</v>
          </cell>
          <cell r="D435">
            <v>0.19360493048466576</v>
          </cell>
          <cell r="E435">
            <v>9.8934122083108061E-2</v>
          </cell>
          <cell r="F435">
            <v>9.5808297889575761E-2</v>
          </cell>
          <cell r="G435">
            <v>0</v>
          </cell>
          <cell r="H435">
            <v>1.0285916025600992E-3</v>
          </cell>
          <cell r="J435" t="str">
            <v>1998NM</v>
          </cell>
          <cell r="K435">
            <v>0.90106587791689197</v>
          </cell>
          <cell r="L435">
            <v>0</v>
          </cell>
          <cell r="M435">
            <v>9.8934122083108061E-2</v>
          </cell>
          <cell r="U435" t="str">
            <v>1998NM</v>
          </cell>
          <cell r="V435">
            <v>0.98331121200000005</v>
          </cell>
          <cell r="W435">
            <v>7.3430700000000002E-4</v>
          </cell>
          <cell r="X435">
            <v>4.6061050000000001E-3</v>
          </cell>
          <cell r="Y435">
            <v>3.5213340000000001E-3</v>
          </cell>
          <cell r="Z435">
            <v>7.8270409999999999E-3</v>
          </cell>
          <cell r="AB435" t="str">
            <v>1998NM</v>
          </cell>
          <cell r="AC435">
            <v>2.7777777777777735E-2</v>
          </cell>
          <cell r="AD435">
            <v>1.1111111111111101E-2</v>
          </cell>
          <cell r="AE435">
            <v>0.55555555599999995</v>
          </cell>
          <cell r="AF435">
            <v>0.40555555599999998</v>
          </cell>
        </row>
        <row r="436">
          <cell r="B436" t="str">
            <v>1998NY</v>
          </cell>
          <cell r="C436">
            <v>7.6060978665047255E-2</v>
          </cell>
          <cell r="D436">
            <v>0.14607513098436042</v>
          </cell>
          <cell r="E436">
            <v>0.45502524594609972</v>
          </cell>
          <cell r="F436">
            <v>0.22388346470515097</v>
          </cell>
          <cell r="G436">
            <v>7.6078589501770183E-2</v>
          </cell>
          <cell r="H436">
            <v>2.2876590197571506E-2</v>
          </cell>
          <cell r="J436" t="str">
            <v>1998NY</v>
          </cell>
          <cell r="K436">
            <v>0.46889616455213012</v>
          </cell>
          <cell r="L436">
            <v>7.6078589501770183E-2</v>
          </cell>
          <cell r="M436">
            <v>0.45502524594609972</v>
          </cell>
          <cell r="U436" t="str">
            <v>1998NY</v>
          </cell>
          <cell r="V436">
            <v>0.29489005600000001</v>
          </cell>
          <cell r="W436">
            <v>3.6521354999999998E-2</v>
          </cell>
          <cell r="X436">
            <v>0.18865578399999999</v>
          </cell>
          <cell r="Y436">
            <v>0.13045647299999999</v>
          </cell>
          <cell r="Z436">
            <v>0.34947633299999997</v>
          </cell>
          <cell r="AB436" t="str">
            <v>1998NY</v>
          </cell>
          <cell r="AC436">
            <v>1.1111111111111101E-2</v>
          </cell>
          <cell r="AD436">
            <v>3.3333333333333375E-2</v>
          </cell>
          <cell r="AE436">
            <v>4.4444444E-2</v>
          </cell>
          <cell r="AF436">
            <v>0.91111111099999997</v>
          </cell>
        </row>
        <row r="437">
          <cell r="B437" t="str">
            <v>1998NC</v>
          </cell>
          <cell r="C437">
            <v>3.7944397367350807E-2</v>
          </cell>
          <cell r="D437">
            <v>8.7792689612180508E-2</v>
          </cell>
          <cell r="E437">
            <v>0.14209155998234188</v>
          </cell>
          <cell r="F437">
            <v>0.10526010593945997</v>
          </cell>
          <cell r="G437">
            <v>0.61140150093808632</v>
          </cell>
          <cell r="H437">
            <v>1.5509746160580507E-2</v>
          </cell>
          <cell r="J437" t="str">
            <v>1998NC</v>
          </cell>
          <cell r="K437">
            <v>0.24650693907957177</v>
          </cell>
          <cell r="L437">
            <v>0.61140150093808632</v>
          </cell>
          <cell r="M437">
            <v>0.14209155998234188</v>
          </cell>
          <cell r="U437" t="str">
            <v>1998NC</v>
          </cell>
          <cell r="V437">
            <v>3.0439999999999998E-3</v>
          </cell>
          <cell r="W437">
            <v>3.7197901999999998E-2</v>
          </cell>
          <cell r="X437">
            <v>6.4636462000000006E-2</v>
          </cell>
          <cell r="Y437">
            <v>0.57901180299999999</v>
          </cell>
          <cell r="Z437">
            <v>0.31610983199999998</v>
          </cell>
          <cell r="AB437" t="str">
            <v>1998NC</v>
          </cell>
          <cell r="AC437">
            <v>5.5555555555555469E-2</v>
          </cell>
          <cell r="AD437">
            <v>5.5555555555555506E-3</v>
          </cell>
          <cell r="AE437">
            <v>0.40577777799999998</v>
          </cell>
          <cell r="AF437">
            <v>0.53311111099999997</v>
          </cell>
        </row>
        <row r="438">
          <cell r="B438" t="str">
            <v>1998ND</v>
          </cell>
          <cell r="C438">
            <v>4.904366061129177E-2</v>
          </cell>
          <cell r="D438">
            <v>0.14140195810195982</v>
          </cell>
          <cell r="E438">
            <v>0.18539058554463134</v>
          </cell>
          <cell r="F438">
            <v>0.47551969262684546</v>
          </cell>
          <cell r="G438">
            <v>0.10975860537219466</v>
          </cell>
          <cell r="H438">
            <v>3.8885497743076959E-2</v>
          </cell>
          <cell r="J438" t="str">
            <v>1998ND</v>
          </cell>
          <cell r="K438">
            <v>0.70485080908317399</v>
          </cell>
          <cell r="L438">
            <v>0.10975860537219466</v>
          </cell>
          <cell r="M438">
            <v>0.18539058554463134</v>
          </cell>
          <cell r="U438" t="str">
            <v>1998ND</v>
          </cell>
          <cell r="V438">
            <v>0.13033920500000001</v>
          </cell>
          <cell r="W438">
            <v>4.3796143000000003E-2</v>
          </cell>
          <cell r="X438">
            <v>0.23403438900000001</v>
          </cell>
          <cell r="Y438">
            <v>0.16506153300000001</v>
          </cell>
          <cell r="Z438">
            <v>0.42676872999999999</v>
          </cell>
          <cell r="AB438" t="str">
            <v>1998ND</v>
          </cell>
          <cell r="AC438">
            <v>0</v>
          </cell>
          <cell r="AD438">
            <v>5.5555555555555506E-3</v>
          </cell>
          <cell r="AE438">
            <v>2.3333333000000001E-2</v>
          </cell>
          <cell r="AF438">
            <v>0.97111111100000003</v>
          </cell>
        </row>
        <row r="439">
          <cell r="B439" t="str">
            <v>1998OH</v>
          </cell>
          <cell r="C439">
            <v>6.387970352442901E-2</v>
          </cell>
          <cell r="D439">
            <v>0.18053472205285467</v>
          </cell>
          <cell r="E439">
            <v>0.16226710833815838</v>
          </cell>
          <cell r="F439">
            <v>0.45207301644778908</v>
          </cell>
          <cell r="G439">
            <v>9.6068586528561414E-2</v>
          </cell>
          <cell r="H439">
            <v>4.5176863108207482E-2</v>
          </cell>
          <cell r="J439" t="str">
            <v>1998OH</v>
          </cell>
          <cell r="K439">
            <v>0.74166430513328019</v>
          </cell>
          <cell r="L439">
            <v>9.6068586528561414E-2</v>
          </cell>
          <cell r="M439">
            <v>0.16226710833815838</v>
          </cell>
          <cell r="U439" t="str">
            <v>1998OH</v>
          </cell>
          <cell r="V439">
            <v>8.9500351000000006E-2</v>
          </cell>
          <cell r="W439">
            <v>4.1537894999999998E-2</v>
          </cell>
          <cell r="X439">
            <v>0.25683256599999998</v>
          </cell>
          <cell r="Y439">
            <v>0.16001438200000001</v>
          </cell>
          <cell r="Z439">
            <v>0.45211480700000001</v>
          </cell>
          <cell r="AB439" t="str">
            <v>1998OH</v>
          </cell>
          <cell r="AC439">
            <v>0</v>
          </cell>
          <cell r="AD439">
            <v>0</v>
          </cell>
          <cell r="AE439">
            <v>0</v>
          </cell>
          <cell r="AF439">
            <v>1</v>
          </cell>
        </row>
        <row r="440">
          <cell r="B440" t="str">
            <v>1998OK</v>
          </cell>
          <cell r="C440">
            <v>0.3146685099876439</v>
          </cell>
          <cell r="D440">
            <v>0.22729245379654286</v>
          </cell>
          <cell r="E440">
            <v>5.2979251188130294E-2</v>
          </cell>
          <cell r="F440">
            <v>0.31904390865959775</v>
          </cell>
          <cell r="G440">
            <v>0</v>
          </cell>
          <cell r="H440">
            <v>8.6015876368085165E-2</v>
          </cell>
          <cell r="J440" t="str">
            <v>1998OK</v>
          </cell>
          <cell r="K440">
            <v>0.94702074881186971</v>
          </cell>
          <cell r="L440">
            <v>0</v>
          </cell>
          <cell r="M440">
            <v>5.2979251188130294E-2</v>
          </cell>
          <cell r="U440" t="str">
            <v>1998OK</v>
          </cell>
          <cell r="V440">
            <v>2.0972843000000001E-2</v>
          </cell>
          <cell r="W440">
            <v>3.6563473999999999E-2</v>
          </cell>
          <cell r="X440">
            <v>6.4564021999999999E-2</v>
          </cell>
          <cell r="Y440">
            <v>0.56669044099999999</v>
          </cell>
          <cell r="Z440">
            <v>0.31120922000000001</v>
          </cell>
          <cell r="AB440" t="str">
            <v>1998OK</v>
          </cell>
          <cell r="AC440">
            <v>0</v>
          </cell>
          <cell r="AD440">
            <v>2.2222222222222202E-2</v>
          </cell>
          <cell r="AE440">
            <v>0.53333333299999997</v>
          </cell>
          <cell r="AF440">
            <v>0.44444444399999999</v>
          </cell>
        </row>
        <row r="441">
          <cell r="B441" t="str">
            <v>1998OR</v>
          </cell>
          <cell r="C441">
            <v>0.35189282494357549</v>
          </cell>
          <cell r="D441">
            <v>0.2045911912869289</v>
          </cell>
          <cell r="E441">
            <v>0</v>
          </cell>
          <cell r="F441">
            <v>0.12601253386350808</v>
          </cell>
          <cell r="G441">
            <v>0.29211867181817797</v>
          </cell>
          <cell r="H441">
            <v>2.5384778087809513E-2</v>
          </cell>
          <cell r="J441" t="str">
            <v>1998OR</v>
          </cell>
          <cell r="K441">
            <v>0.70788132818182203</v>
          </cell>
          <cell r="L441">
            <v>0.29211867181817797</v>
          </cell>
          <cell r="M441">
            <v>0</v>
          </cell>
          <cell r="U441" t="str">
            <v>1998OR</v>
          </cell>
          <cell r="V441">
            <v>0.64566435600000005</v>
          </cell>
          <cell r="W441">
            <v>1.5590768E-2</v>
          </cell>
          <cell r="X441">
            <v>9.7796638000000005E-2</v>
          </cell>
          <cell r="Y441">
            <v>7.4764820999999995E-2</v>
          </cell>
          <cell r="Z441">
            <v>0.166183417</v>
          </cell>
          <cell r="AB441" t="str">
            <v>1998OR</v>
          </cell>
          <cell r="AC441">
            <v>0</v>
          </cell>
          <cell r="AD441">
            <v>0.01</v>
          </cell>
          <cell r="AE441">
            <v>0.234444444</v>
          </cell>
          <cell r="AF441">
            <v>0.75555555600000002</v>
          </cell>
        </row>
        <row r="442">
          <cell r="B442" t="str">
            <v>1998PA</v>
          </cell>
          <cell r="C442">
            <v>3.4971275056051826E-2</v>
          </cell>
          <cell r="D442">
            <v>0.10052396320976251</v>
          </cell>
          <cell r="E442">
            <v>0.47661175689772611</v>
          </cell>
          <cell r="F442">
            <v>0.26781496785406944</v>
          </cell>
          <cell r="G442">
            <v>9.5550662417914184E-2</v>
          </cell>
          <cell r="H442">
            <v>2.4527374564475943E-2</v>
          </cell>
          <cell r="J442" t="str">
            <v>1998PA</v>
          </cell>
          <cell r="K442">
            <v>0.42783758068435973</v>
          </cell>
          <cell r="L442">
            <v>9.5550662417914184E-2</v>
          </cell>
          <cell r="M442">
            <v>0.47661175689772611</v>
          </cell>
          <cell r="U442" t="str">
            <v>1998PA</v>
          </cell>
          <cell r="V442">
            <v>5.8971673000000002E-2</v>
          </cell>
          <cell r="W442">
            <v>4.8312859E-2</v>
          </cell>
          <cell r="X442">
            <v>0.25224057100000002</v>
          </cell>
          <cell r="Y442">
            <v>0.17553160100000001</v>
          </cell>
          <cell r="Z442">
            <v>0.46494329499999998</v>
          </cell>
          <cell r="AB442" t="str">
            <v>1998PA</v>
          </cell>
          <cell r="AC442">
            <v>3.3333333333333375E-2</v>
          </cell>
          <cell r="AD442">
            <v>5.5555555555555506E-3</v>
          </cell>
          <cell r="AE442">
            <v>0</v>
          </cell>
          <cell r="AF442">
            <v>0.96111111100000002</v>
          </cell>
        </row>
        <row r="443">
          <cell r="B443" t="str">
            <v>1998RI</v>
          </cell>
          <cell r="C443">
            <v>2.0969845001185358E-2</v>
          </cell>
          <cell r="D443">
            <v>7.148819894065285E-2</v>
          </cell>
          <cell r="E443">
            <v>0.50005227074823666</v>
          </cell>
          <cell r="F443">
            <v>0.27257742995367157</v>
          </cell>
          <cell r="G443">
            <v>0.11669513527468368</v>
          </cell>
          <cell r="H443">
            <v>1.8217120081569917E-2</v>
          </cell>
          <cell r="J443" t="str">
            <v>1998RI</v>
          </cell>
          <cell r="K443">
            <v>0.38325259397707967</v>
          </cell>
          <cell r="L443">
            <v>0.11669513527468368</v>
          </cell>
          <cell r="M443">
            <v>0.50005227074823666</v>
          </cell>
          <cell r="U443" t="str">
            <v>1998RI</v>
          </cell>
          <cell r="V443">
            <v>0.47374207099999999</v>
          </cell>
          <cell r="W443">
            <v>2.3155348999999999E-2</v>
          </cell>
          <cell r="X443">
            <v>0.145247189</v>
          </cell>
          <cell r="Y443">
            <v>0.111040423</v>
          </cell>
          <cell r="Z443">
            <v>0.246814969</v>
          </cell>
          <cell r="AB443" t="str">
            <v>1998RI</v>
          </cell>
          <cell r="AC443">
            <v>1.1111111111111101E-2</v>
          </cell>
          <cell r="AD443">
            <v>0.01</v>
          </cell>
          <cell r="AE443">
            <v>4.4444444E-2</v>
          </cell>
          <cell r="AF443">
            <v>0.93444444400000004</v>
          </cell>
        </row>
        <row r="444">
          <cell r="B444" t="str">
            <v>1998SC</v>
          </cell>
          <cell r="C444">
            <v>9.6229020144926958E-2</v>
          </cell>
          <cell r="D444">
            <v>7.3409766190790163E-2</v>
          </cell>
          <cell r="E444">
            <v>0.14220259389555046</v>
          </cell>
          <cell r="F444">
            <v>7.3907972971719194E-2</v>
          </cell>
          <cell r="G444">
            <v>0.6107428153800416</v>
          </cell>
          <cell r="H444">
            <v>3.5078314169715939E-3</v>
          </cell>
          <cell r="J444" t="str">
            <v>1998SC</v>
          </cell>
          <cell r="K444">
            <v>0.24705459072440794</v>
          </cell>
          <cell r="L444">
            <v>0.6107428153800416</v>
          </cell>
          <cell r="M444">
            <v>0.14220259389555046</v>
          </cell>
          <cell r="U444" t="str">
            <v>1998SC</v>
          </cell>
          <cell r="V444">
            <v>8.0469213999999997E-2</v>
          </cell>
          <cell r="W444">
            <v>3.5793298000000001E-2</v>
          </cell>
          <cell r="X444">
            <v>0.106476429</v>
          </cell>
          <cell r="Y444">
            <v>0.45198725899999997</v>
          </cell>
          <cell r="Z444">
            <v>0.32527379899999997</v>
          </cell>
          <cell r="AB444" t="str">
            <v>1998SC</v>
          </cell>
          <cell r="AC444">
            <v>1.1111111111111101E-2</v>
          </cell>
          <cell r="AD444">
            <v>0</v>
          </cell>
          <cell r="AE444">
            <v>0.57777777799999996</v>
          </cell>
          <cell r="AF444">
            <v>0.41111111099999997</v>
          </cell>
        </row>
        <row r="445">
          <cell r="B445" t="str">
            <v>1998SD</v>
          </cell>
          <cell r="C445">
            <v>7.3693619857740672E-2</v>
          </cell>
          <cell r="D445">
            <v>0.18304910470621685</v>
          </cell>
          <cell r="E445">
            <v>0.15328956660642884</v>
          </cell>
          <cell r="F445">
            <v>0.45513818512599402</v>
          </cell>
          <cell r="G445">
            <v>9.0753524508283723E-2</v>
          </cell>
          <cell r="H445">
            <v>4.4075999195335828E-2</v>
          </cell>
          <cell r="J445" t="str">
            <v>1998SD</v>
          </cell>
          <cell r="K445">
            <v>0.75595690888528744</v>
          </cell>
          <cell r="L445">
            <v>9.0753524508283723E-2</v>
          </cell>
          <cell r="M445">
            <v>0.15328956660642884</v>
          </cell>
          <cell r="U445" t="str">
            <v>1998SD</v>
          </cell>
          <cell r="V445">
            <v>6.9941838000000006E-2</v>
          </cell>
          <cell r="W445">
            <v>4.7322169999999997E-2</v>
          </cell>
          <cell r="X445">
            <v>0.24976314099999999</v>
          </cell>
          <cell r="Y445">
            <v>0.174910236</v>
          </cell>
          <cell r="Z445">
            <v>0.45806261500000001</v>
          </cell>
          <cell r="AB445" t="str">
            <v>1998SD</v>
          </cell>
          <cell r="AC445">
            <v>0</v>
          </cell>
          <cell r="AD445">
            <v>0</v>
          </cell>
          <cell r="AE445">
            <v>0.04</v>
          </cell>
          <cell r="AF445">
            <v>0.96</v>
          </cell>
        </row>
        <row r="446">
          <cell r="B446" t="str">
            <v>1998TN</v>
          </cell>
          <cell r="C446">
            <v>2.6681578616981283E-2</v>
          </cell>
          <cell r="D446">
            <v>7.0904651813684105E-2</v>
          </cell>
          <cell r="E446">
            <v>0.14040336985372004</v>
          </cell>
          <cell r="F446">
            <v>0.12459479995897263</v>
          </cell>
          <cell r="G446">
            <v>0.62141633716985845</v>
          </cell>
          <cell r="H446">
            <v>1.5999262586783452E-2</v>
          </cell>
          <cell r="J446" t="str">
            <v>1998TN</v>
          </cell>
          <cell r="K446">
            <v>0.23818029297642151</v>
          </cell>
          <cell r="L446">
            <v>0.62141633716985845</v>
          </cell>
          <cell r="M446">
            <v>0.14040336985372004</v>
          </cell>
          <cell r="U446" t="str">
            <v>1998TN</v>
          </cell>
          <cell r="V446">
            <v>0.12501309499999999</v>
          </cell>
          <cell r="W446">
            <v>3.5510561000000003E-2</v>
          </cell>
          <cell r="X446">
            <v>0.14713372599999999</v>
          </cell>
          <cell r="Y446">
            <v>0.34986363700000001</v>
          </cell>
          <cell r="Z446">
            <v>0.34247898100000002</v>
          </cell>
          <cell r="AB446" t="str">
            <v>1998TN</v>
          </cell>
          <cell r="AC446">
            <v>0</v>
          </cell>
          <cell r="AD446">
            <v>0.1</v>
          </cell>
          <cell r="AE446">
            <v>5.2222221999999999E-2</v>
          </cell>
          <cell r="AF446">
            <v>0.84777777799999998</v>
          </cell>
        </row>
        <row r="447">
          <cell r="B447" t="str">
            <v>1998TX</v>
          </cell>
          <cell r="C447">
            <v>0.4953578376009245</v>
          </cell>
          <cell r="D447">
            <v>0.2533852285198625</v>
          </cell>
          <cell r="E447">
            <v>7.2837316118817663E-2</v>
          </cell>
          <cell r="F447">
            <v>0.15171135492037144</v>
          </cell>
          <cell r="G447">
            <v>0</v>
          </cell>
          <cell r="H447">
            <v>2.6708262840023953E-2</v>
          </cell>
          <cell r="J447" t="str">
            <v>1998TX</v>
          </cell>
          <cell r="K447">
            <v>0.92716268388118239</v>
          </cell>
          <cell r="L447">
            <v>0</v>
          </cell>
          <cell r="M447">
            <v>7.2837316118817663E-2</v>
          </cell>
          <cell r="U447" t="str">
            <v>1998TX</v>
          </cell>
          <cell r="V447">
            <v>0.113853235</v>
          </cell>
          <cell r="W447">
            <v>3.3704796000000002E-2</v>
          </cell>
          <cell r="X447">
            <v>7.7700612000000002E-2</v>
          </cell>
          <cell r="Y447">
            <v>0.479198558</v>
          </cell>
          <cell r="Z447">
            <v>0.29554279900000002</v>
          </cell>
          <cell r="AB447" t="str">
            <v>1998TX</v>
          </cell>
          <cell r="AC447">
            <v>5.5555555555555469E-2</v>
          </cell>
          <cell r="AD447">
            <v>0</v>
          </cell>
          <cell r="AE447">
            <v>0.15111111099999999</v>
          </cell>
          <cell r="AF447">
            <v>0.79333333299999997</v>
          </cell>
        </row>
        <row r="448">
          <cell r="B448" t="str">
            <v>1998UT</v>
          </cell>
          <cell r="C448">
            <v>0.43072556407686757</v>
          </cell>
          <cell r="D448">
            <v>0.27608906958525048</v>
          </cell>
          <cell r="E448">
            <v>2.3604073690978142E-2</v>
          </cell>
          <cell r="F448">
            <v>0.20760290410329796</v>
          </cell>
          <cell r="G448">
            <v>1.3974551090678602E-2</v>
          </cell>
          <cell r="H448">
            <v>4.8003837452927398E-2</v>
          </cell>
          <cell r="J448" t="str">
            <v>1998UT</v>
          </cell>
          <cell r="K448">
            <v>0.96242137521834326</v>
          </cell>
          <cell r="L448">
            <v>1.3974551090678602E-2</v>
          </cell>
          <cell r="M448">
            <v>2.3604073690978142E-2</v>
          </cell>
          <cell r="U448" t="str">
            <v>1998UT</v>
          </cell>
          <cell r="V448">
            <v>2.3015272999999999E-2</v>
          </cell>
          <cell r="W448">
            <v>5.4317035E-2</v>
          </cell>
          <cell r="X448">
            <v>0.25737393600000003</v>
          </cell>
          <cell r="Y448">
            <v>0.16837808900000001</v>
          </cell>
          <cell r="Z448">
            <v>0.49691566799999998</v>
          </cell>
          <cell r="AB448" t="str">
            <v>1998UT</v>
          </cell>
          <cell r="AC448">
            <v>5.5555555555555469E-2</v>
          </cell>
          <cell r="AD448">
            <v>0</v>
          </cell>
          <cell r="AE448">
            <v>0.53333333299999997</v>
          </cell>
          <cell r="AF448">
            <v>0.41111111099999997</v>
          </cell>
        </row>
        <row r="449">
          <cell r="B449" t="str">
            <v>1998VT</v>
          </cell>
          <cell r="C449">
            <v>7.1079354021278809E-2</v>
          </cell>
          <cell r="D449">
            <v>0.14490004277198673</v>
          </cell>
          <cell r="E449">
            <v>0.45358447475356539</v>
          </cell>
          <cell r="F449">
            <v>0.23022586543894669</v>
          </cell>
          <cell r="G449">
            <v>7.4778944469769584E-2</v>
          </cell>
          <cell r="H449">
            <v>2.5431318544452824E-2</v>
          </cell>
          <cell r="J449" t="str">
            <v>1998VT</v>
          </cell>
          <cell r="K449">
            <v>0.47163658077666504</v>
          </cell>
          <cell r="L449">
            <v>7.4778944469769584E-2</v>
          </cell>
          <cell r="M449">
            <v>0.45358447475356539</v>
          </cell>
          <cell r="U449" t="str">
            <v>1998VT</v>
          </cell>
          <cell r="V449">
            <v>0.97207594900000005</v>
          </cell>
          <cell r="W449">
            <v>1.2286580000000001E-3</v>
          </cell>
          <cell r="X449">
            <v>7.7070380000000003E-3</v>
          </cell>
          <cell r="Y449">
            <v>5.8919749999999998E-3</v>
          </cell>
          <cell r="Z449">
            <v>1.3096379999999999E-2</v>
          </cell>
          <cell r="AB449" t="str">
            <v>1998VT</v>
          </cell>
          <cell r="AC449">
            <v>1.1111111111111101E-2</v>
          </cell>
          <cell r="AD449">
            <v>0.01</v>
          </cell>
          <cell r="AE449">
            <v>4.4444444E-2</v>
          </cell>
          <cell r="AF449">
            <v>0.93444444400000004</v>
          </cell>
        </row>
        <row r="450">
          <cell r="B450" t="str">
            <v>1998VA</v>
          </cell>
          <cell r="C450">
            <v>2.7998279382203929E-2</v>
          </cell>
          <cell r="D450">
            <v>7.3365334640324603E-2</v>
          </cell>
          <cell r="E450">
            <v>0.14098818578031125</v>
          </cell>
          <cell r="F450">
            <v>0.12262673065541595</v>
          </cell>
          <cell r="G450">
            <v>0.61794703852200761</v>
          </cell>
          <cell r="H450">
            <v>1.7074431019736734E-2</v>
          </cell>
          <cell r="J450" t="str">
            <v>1998VA</v>
          </cell>
          <cell r="K450">
            <v>0.24106477569768114</v>
          </cell>
          <cell r="L450">
            <v>0.61794703852200761</v>
          </cell>
          <cell r="M450">
            <v>0.14098818578031125</v>
          </cell>
          <cell r="U450" t="str">
            <v>1998VA</v>
          </cell>
          <cell r="V450">
            <v>4.4921022999999997E-2</v>
          </cell>
          <cell r="W450">
            <v>3.6366732999999998E-2</v>
          </cell>
          <cell r="X450">
            <v>8.5010381999999995E-2</v>
          </cell>
          <cell r="Y450">
            <v>0.51425866799999997</v>
          </cell>
          <cell r="Z450">
            <v>0.31944319399999999</v>
          </cell>
          <cell r="AB450" t="str">
            <v>1998VA</v>
          </cell>
          <cell r="AC450">
            <v>7.7777777777777835E-2</v>
          </cell>
          <cell r="AD450">
            <v>0</v>
          </cell>
          <cell r="AE450">
            <v>4.4444444E-2</v>
          </cell>
          <cell r="AF450">
            <v>0.87777777800000001</v>
          </cell>
        </row>
        <row r="451">
          <cell r="B451" t="str">
            <v>1998WA</v>
          </cell>
          <cell r="C451">
            <v>0.43794200268032679</v>
          </cell>
          <cell r="D451">
            <v>0.21918798970119843</v>
          </cell>
          <cell r="E451">
            <v>0</v>
          </cell>
          <cell r="F451">
            <v>0.11155651655128376</v>
          </cell>
          <cell r="G451">
            <v>0.21462514007988862</v>
          </cell>
          <cell r="H451">
            <v>1.6688350987302404E-2</v>
          </cell>
          <cell r="J451" t="str">
            <v>1998WA</v>
          </cell>
          <cell r="K451">
            <v>0.78537485992011136</v>
          </cell>
          <cell r="L451">
            <v>0.21462514007988862</v>
          </cell>
          <cell r="M451">
            <v>0</v>
          </cell>
          <cell r="U451" t="str">
            <v>1998WA</v>
          </cell>
          <cell r="V451">
            <v>0.31382347599999999</v>
          </cell>
          <cell r="W451">
            <v>3.3599051999999997E-2</v>
          </cell>
          <cell r="X451">
            <v>0.18569349499999999</v>
          </cell>
          <cell r="Y451">
            <v>0.13342562999999999</v>
          </cell>
          <cell r="Z451">
            <v>0.33345834699999999</v>
          </cell>
          <cell r="AB451" t="str">
            <v>1998WA</v>
          </cell>
          <cell r="AC451">
            <v>0</v>
          </cell>
          <cell r="AD451">
            <v>1.1111111111111101E-2</v>
          </cell>
          <cell r="AE451">
            <v>0.10666666700000001</v>
          </cell>
          <cell r="AF451">
            <v>0.882222222</v>
          </cell>
        </row>
        <row r="452">
          <cell r="B452" t="str">
            <v>1998WV</v>
          </cell>
          <cell r="C452">
            <v>4.2675753512061682E-2</v>
          </cell>
          <cell r="D452">
            <v>0.11978461162031358</v>
          </cell>
          <cell r="E452">
            <v>0.4646099764206077</v>
          </cell>
          <cell r="F452">
            <v>0.26008934811045781</v>
          </cell>
          <cell r="G452">
            <v>8.4724478181948282E-2</v>
          </cell>
          <cell r="H452">
            <v>2.8115832154611033E-2</v>
          </cell>
          <cell r="J452" t="str">
            <v>1998WV</v>
          </cell>
          <cell r="K452">
            <v>0.45066554539744397</v>
          </cell>
          <cell r="L452">
            <v>8.4724478181948282E-2</v>
          </cell>
          <cell r="M452">
            <v>0.4646099764206077</v>
          </cell>
          <cell r="U452" t="str">
            <v>1998WV</v>
          </cell>
          <cell r="V452">
            <v>0.45107293300000001</v>
          </cell>
          <cell r="W452">
            <v>2.4701153999999999E-2</v>
          </cell>
          <cell r="X452">
            <v>0.15090981000000001</v>
          </cell>
          <cell r="Y452">
            <v>0.113995733</v>
          </cell>
          <cell r="Z452">
            <v>0.259320369</v>
          </cell>
          <cell r="AB452" t="str">
            <v>1998WV</v>
          </cell>
          <cell r="AC452">
            <v>0.11111111111111094</v>
          </cell>
          <cell r="AD452">
            <v>0</v>
          </cell>
          <cell r="AE452">
            <v>4.4444444E-2</v>
          </cell>
          <cell r="AF452">
            <v>0.84444444399999996</v>
          </cell>
        </row>
        <row r="453">
          <cell r="B453" t="str">
            <v>1998WI</v>
          </cell>
          <cell r="C453">
            <v>7.4186131280223486E-2</v>
          </cell>
          <cell r="D453">
            <v>0.18611037861828725</v>
          </cell>
          <cell r="E453">
            <v>0.15599186105867327</v>
          </cell>
          <cell r="F453">
            <v>0.45173499574411502</v>
          </cell>
          <cell r="G453">
            <v>9.2353390378020497E-2</v>
          </cell>
          <cell r="H453">
            <v>3.9623242920680424E-2</v>
          </cell>
          <cell r="J453" t="str">
            <v>1998WI</v>
          </cell>
          <cell r="K453">
            <v>0.75165474856330627</v>
          </cell>
          <cell r="L453">
            <v>9.2353390378020497E-2</v>
          </cell>
          <cell r="M453">
            <v>0.15599186105867327</v>
          </cell>
          <cell r="U453" t="str">
            <v>1998WI</v>
          </cell>
          <cell r="V453">
            <v>0.13663264</v>
          </cell>
          <cell r="W453">
            <v>4.1228102000000003E-2</v>
          </cell>
          <cell r="X453">
            <v>0.234779458</v>
          </cell>
          <cell r="Y453">
            <v>0.171370719</v>
          </cell>
          <cell r="Z453">
            <v>0.41598908099999998</v>
          </cell>
          <cell r="AB453" t="str">
            <v>1998WI</v>
          </cell>
          <cell r="AC453">
            <v>4.4444444444444405E-2</v>
          </cell>
          <cell r="AD453">
            <v>5.5555555555555506E-3</v>
          </cell>
          <cell r="AE453">
            <v>1.7777778000000001E-2</v>
          </cell>
          <cell r="AF453">
            <v>0.93222222200000004</v>
          </cell>
        </row>
        <row r="454">
          <cell r="B454" t="str">
            <v>1998WY</v>
          </cell>
          <cell r="C454">
            <v>0.2797774418100436</v>
          </cell>
          <cell r="D454">
            <v>0.22002722841212402</v>
          </cell>
          <cell r="E454">
            <v>0.13328165552274412</v>
          </cell>
          <cell r="F454">
            <v>0.22755952202730512</v>
          </cell>
          <cell r="G454">
            <v>7.8908044811972888E-2</v>
          </cell>
          <cell r="H454">
            <v>6.0446107415810232E-2</v>
          </cell>
          <cell r="J454" t="str">
            <v>1998WY</v>
          </cell>
          <cell r="K454">
            <v>0.78781029966528293</v>
          </cell>
          <cell r="L454">
            <v>7.8908044811972888E-2</v>
          </cell>
          <cell r="M454">
            <v>0.13328165552274412</v>
          </cell>
          <cell r="U454" t="str">
            <v>1998WY</v>
          </cell>
          <cell r="V454">
            <v>4.4791365999999999E-2</v>
          </cell>
          <cell r="W454">
            <v>5.2915513999999997E-2</v>
          </cell>
          <cell r="X454">
            <v>0.25184405399999998</v>
          </cell>
          <cell r="Y454">
            <v>0.165261241</v>
          </cell>
          <cell r="Z454">
            <v>0.48518782500000002</v>
          </cell>
          <cell r="AB454" t="str">
            <v>1998WY</v>
          </cell>
          <cell r="AC454">
            <v>0</v>
          </cell>
          <cell r="AD454">
            <v>8.8888888888888785E-3</v>
          </cell>
          <cell r="AE454">
            <v>0.53777777800000004</v>
          </cell>
          <cell r="AF454">
            <v>0.453333333</v>
          </cell>
        </row>
        <row r="455">
          <cell r="B455" t="str">
            <v>1999AL</v>
          </cell>
          <cell r="C455">
            <v>0.11890694515635224</v>
          </cell>
          <cell r="D455">
            <v>7.8810502335825386E-2</v>
          </cell>
          <cell r="E455">
            <v>0.15115238582882937</v>
          </cell>
          <cell r="F455">
            <v>8.933772661227779E-2</v>
          </cell>
          <cell r="G455">
            <v>0.55765003927585055</v>
          </cell>
          <cell r="H455">
            <v>4.142400790864551E-3</v>
          </cell>
          <cell r="J455" t="str">
            <v>1999AL</v>
          </cell>
          <cell r="K455">
            <v>0.29119757489532005</v>
          </cell>
          <cell r="L455">
            <v>0.55765003927585055</v>
          </cell>
          <cell r="M455">
            <v>0.15115238582882937</v>
          </cell>
          <cell r="U455" t="str">
            <v>1999AL</v>
          </cell>
          <cell r="V455">
            <v>8.3909254000000003E-2</v>
          </cell>
          <cell r="W455">
            <v>3.5665711000000003E-2</v>
          </cell>
          <cell r="X455">
            <v>0.106277573</v>
          </cell>
          <cell r="Y455">
            <v>0.44994702199999997</v>
          </cell>
          <cell r="Z455">
            <v>0.32420044100000001</v>
          </cell>
          <cell r="AB455" t="str">
            <v>1999AL</v>
          </cell>
          <cell r="AC455">
            <v>0</v>
          </cell>
          <cell r="AD455">
            <v>0</v>
          </cell>
          <cell r="AE455">
            <v>0.41899999999999998</v>
          </cell>
          <cell r="AF455">
            <v>0.58099999999999996</v>
          </cell>
        </row>
        <row r="456">
          <cell r="B456" t="str">
            <v>1999AK</v>
          </cell>
          <cell r="C456">
            <v>0.27092263922110815</v>
          </cell>
          <cell r="D456">
            <v>0.21238634038770285</v>
          </cell>
          <cell r="E456">
            <v>0.12574149124588388</v>
          </cell>
          <cell r="F456">
            <v>0.24934953500785964</v>
          </cell>
          <cell r="G456">
            <v>7.4443967454030757E-2</v>
          </cell>
          <cell r="H456">
            <v>6.7156026683414707E-2</v>
          </cell>
          <cell r="J456" t="str">
            <v>1999AK</v>
          </cell>
          <cell r="K456">
            <v>0.79981454130008534</v>
          </cell>
          <cell r="L456">
            <v>7.4443967454030757E-2</v>
          </cell>
          <cell r="M456">
            <v>0.12574149124588388</v>
          </cell>
          <cell r="U456" t="str">
            <v>1999AK</v>
          </cell>
          <cell r="V456">
            <v>0.81053030199999998</v>
          </cell>
          <cell r="W456">
            <v>8.3366670000000007E-3</v>
          </cell>
          <cell r="X456">
            <v>5.2293636999999997E-2</v>
          </cell>
          <cell r="Y456">
            <v>3.9978105999999999E-2</v>
          </cell>
          <cell r="Z456">
            <v>8.8861287999999997E-2</v>
          </cell>
          <cell r="AB456" t="str">
            <v>1999AK</v>
          </cell>
          <cell r="AC456">
            <v>0</v>
          </cell>
          <cell r="AD456">
            <v>0</v>
          </cell>
          <cell r="AE456">
            <v>0.25</v>
          </cell>
          <cell r="AF456">
            <v>0.75</v>
          </cell>
        </row>
        <row r="457">
          <cell r="B457" t="str">
            <v>1999AZ</v>
          </cell>
          <cell r="C457">
            <v>0.60954942339216367</v>
          </cell>
          <cell r="D457">
            <v>0.19906356300324182</v>
          </cell>
          <cell r="E457">
            <v>9.7841629520496229E-2</v>
          </cell>
          <cell r="F457">
            <v>9.30596070918253E-2</v>
          </cell>
          <cell r="G457">
            <v>0</v>
          </cell>
          <cell r="H457">
            <v>4.8577699227292013E-4</v>
          </cell>
          <cell r="J457" t="str">
            <v>1999AZ</v>
          </cell>
          <cell r="K457">
            <v>0.90215837047950376</v>
          </cell>
          <cell r="L457">
            <v>0</v>
          </cell>
          <cell r="M457">
            <v>9.7841629520496229E-2</v>
          </cell>
          <cell r="U457" t="str">
            <v>1999AZ</v>
          </cell>
          <cell r="V457">
            <v>9.2937105000000006E-2</v>
          </cell>
          <cell r="W457">
            <v>3.4872106999999999E-2</v>
          </cell>
          <cell r="X457">
            <v>9.1271643E-2</v>
          </cell>
          <cell r="Y457">
            <v>0.46995622599999998</v>
          </cell>
          <cell r="Z457">
            <v>0.310962919</v>
          </cell>
          <cell r="AB457" t="str">
            <v>1999AZ</v>
          </cell>
          <cell r="AC457">
            <v>0</v>
          </cell>
          <cell r="AD457">
            <v>0</v>
          </cell>
          <cell r="AE457">
            <v>0.6</v>
          </cell>
          <cell r="AF457">
            <v>0.4</v>
          </cell>
        </row>
        <row r="458">
          <cell r="B458" t="str">
            <v>1999AR</v>
          </cell>
          <cell r="C458">
            <v>7.3616036931842363E-2</v>
          </cell>
          <cell r="D458">
            <v>5.4328932638749626E-2</v>
          </cell>
          <cell r="E458">
            <v>0.14302834312212612</v>
          </cell>
          <cell r="F458">
            <v>0.11723759102478351</v>
          </cell>
          <cell r="G458">
            <v>0.60584423012447064</v>
          </cell>
          <cell r="H458">
            <v>5.9448661580278304E-3</v>
          </cell>
          <cell r="J458" t="str">
            <v>1999AR</v>
          </cell>
          <cell r="K458">
            <v>0.25112742675340327</v>
          </cell>
          <cell r="L458">
            <v>0.60584423012447064</v>
          </cell>
          <cell r="M458">
            <v>0.14302834312212612</v>
          </cell>
          <cell r="U458" t="str">
            <v>1999AR</v>
          </cell>
          <cell r="V458">
            <v>2.7505646000000002E-2</v>
          </cell>
          <cell r="W458">
            <v>3.7782068000000002E-2</v>
          </cell>
          <cell r="X458">
            <v>0.110308714</v>
          </cell>
          <cell r="Y458">
            <v>0.48204967799999998</v>
          </cell>
          <cell r="Z458">
            <v>0.34235389399999999</v>
          </cell>
          <cell r="AB458" t="str">
            <v>1999AR</v>
          </cell>
          <cell r="AC458">
            <v>0</v>
          </cell>
          <cell r="AD458">
            <v>0</v>
          </cell>
          <cell r="AE458">
            <v>0</v>
          </cell>
          <cell r="AF458">
            <v>1</v>
          </cell>
        </row>
        <row r="459">
          <cell r="B459" t="str">
            <v>1999CA</v>
          </cell>
          <cell r="C459">
            <v>0.57571873248383476</v>
          </cell>
          <cell r="D459">
            <v>0.21052934977179924</v>
          </cell>
          <cell r="E459">
            <v>0.10943695516512048</v>
          </cell>
          <cell r="F459">
            <v>9.1266633971301359E-2</v>
          </cell>
          <cell r="G459">
            <v>1.0695445550460467E-2</v>
          </cell>
          <cell r="H459">
            <v>2.3528830574835692E-3</v>
          </cell>
          <cell r="J459" t="str">
            <v>1999CA</v>
          </cell>
          <cell r="K459">
            <v>0.87986759928441904</v>
          </cell>
          <cell r="L459">
            <v>1.0695445550460467E-2</v>
          </cell>
          <cell r="M459">
            <v>0.10943695516512048</v>
          </cell>
          <cell r="U459" t="str">
            <v>1999CA</v>
          </cell>
          <cell r="V459">
            <v>0.111078937</v>
          </cell>
          <cell r="W459">
            <v>3.3758189000000001E-2</v>
          </cell>
          <cell r="X459">
            <v>7.6298133000000004E-2</v>
          </cell>
          <cell r="Y459">
            <v>0.483580711</v>
          </cell>
          <cell r="Z459">
            <v>0.29528402999999998</v>
          </cell>
          <cell r="AB459" t="str">
            <v>1999CA</v>
          </cell>
          <cell r="AC459">
            <v>0</v>
          </cell>
          <cell r="AD459">
            <v>0</v>
          </cell>
          <cell r="AE459">
            <v>0.12</v>
          </cell>
          <cell r="AF459">
            <v>0.88</v>
          </cell>
        </row>
        <row r="460">
          <cell r="B460" t="str">
            <v>1999CO</v>
          </cell>
          <cell r="C460">
            <v>0.57999729310869863</v>
          </cell>
          <cell r="D460">
            <v>0.25654572052370839</v>
          </cell>
          <cell r="E460">
            <v>1.7671621382002511E-2</v>
          </cell>
          <cell r="F460">
            <v>0.12217904489454604</v>
          </cell>
          <cell r="G460">
            <v>1.046230320626019E-2</v>
          </cell>
          <cell r="H460">
            <v>1.3144016884784161E-2</v>
          </cell>
          <cell r="J460" t="str">
            <v>1999CO</v>
          </cell>
          <cell r="K460">
            <v>0.97186607541173731</v>
          </cell>
          <cell r="L460">
            <v>1.046230320626019E-2</v>
          </cell>
          <cell r="M460">
            <v>1.7671621382002511E-2</v>
          </cell>
          <cell r="U460" t="str">
            <v>1999CO</v>
          </cell>
          <cell r="V460">
            <v>2.4345160000000001E-2</v>
          </cell>
          <cell r="W460">
            <v>5.3862119E-2</v>
          </cell>
          <cell r="X460">
            <v>0.25743632100000002</v>
          </cell>
          <cell r="Y460">
            <v>0.169418819</v>
          </cell>
          <cell r="Z460">
            <v>0.49493758100000002</v>
          </cell>
          <cell r="AB460" t="str">
            <v>1999CO</v>
          </cell>
          <cell r="AC460">
            <v>0</v>
          </cell>
          <cell r="AD460">
            <v>0</v>
          </cell>
          <cell r="AE460">
            <v>0.6</v>
          </cell>
          <cell r="AF460">
            <v>0.4</v>
          </cell>
        </row>
        <row r="461">
          <cell r="B461" t="str">
            <v>1999CT</v>
          </cell>
          <cell r="C461">
            <v>9.0697775937900363E-2</v>
          </cell>
          <cell r="D461">
            <v>0.17995078886788987</v>
          </cell>
          <cell r="E461">
            <v>0.43673343527267333</v>
          </cell>
          <cell r="F461">
            <v>0.20442321137791589</v>
          </cell>
          <cell r="G461">
            <v>5.9578494975173077E-2</v>
          </cell>
          <cell r="H461">
            <v>2.8616293568447533E-2</v>
          </cell>
          <cell r="J461" t="str">
            <v>1999CT</v>
          </cell>
          <cell r="K461">
            <v>0.50368806975215352</v>
          </cell>
          <cell r="L461">
            <v>5.9578494975173077E-2</v>
          </cell>
          <cell r="M461">
            <v>0.43673343527267333</v>
          </cell>
          <cell r="U461" t="str">
            <v>1999CT</v>
          </cell>
          <cell r="V461">
            <v>0.590779583</v>
          </cell>
          <cell r="W461">
            <v>1.8005698000000001E-2</v>
          </cell>
          <cell r="X461">
            <v>0.11294483499999999</v>
          </cell>
          <cell r="Y461">
            <v>8.6345508000000001E-2</v>
          </cell>
          <cell r="Z461">
            <v>0.19192437500000001</v>
          </cell>
          <cell r="AB461" t="str">
            <v>1999CT</v>
          </cell>
          <cell r="AC461">
            <v>0</v>
          </cell>
          <cell r="AD461">
            <v>0</v>
          </cell>
          <cell r="AE461">
            <v>0.05</v>
          </cell>
          <cell r="AF461">
            <v>0.95</v>
          </cell>
        </row>
        <row r="462">
          <cell r="B462" t="str">
            <v>1999DE</v>
          </cell>
          <cell r="C462">
            <v>7.1421307966297018E-2</v>
          </cell>
          <cell r="D462">
            <v>0.15990985630119936</v>
          </cell>
          <cell r="E462">
            <v>0.44775513306003445</v>
          </cell>
          <cell r="F462">
            <v>0.22389509968759863</v>
          </cell>
          <cell r="G462">
            <v>6.9520597404608517E-2</v>
          </cell>
          <cell r="H462">
            <v>2.749800558026207E-2</v>
          </cell>
          <cell r="J462" t="str">
            <v>1999DE</v>
          </cell>
          <cell r="K462">
            <v>0.48272426953535708</v>
          </cell>
          <cell r="L462">
            <v>6.9520597404608517E-2</v>
          </cell>
          <cell r="M462">
            <v>0.44775513306003445</v>
          </cell>
          <cell r="U462" t="str">
            <v>1999DE</v>
          </cell>
          <cell r="V462">
            <v>0.116931702</v>
          </cell>
          <cell r="W462">
            <v>4.404827E-2</v>
          </cell>
          <cell r="X462">
            <v>0.23810081399999999</v>
          </cell>
          <cell r="Y462">
            <v>0.169016529</v>
          </cell>
          <cell r="Z462">
            <v>0.43190268500000001</v>
          </cell>
          <cell r="AB462" t="str">
            <v>1999DE</v>
          </cell>
          <cell r="AC462">
            <v>0</v>
          </cell>
          <cell r="AD462">
            <v>0</v>
          </cell>
          <cell r="AE462">
            <v>0.05</v>
          </cell>
          <cell r="AF462">
            <v>0.95</v>
          </cell>
        </row>
        <row r="463">
          <cell r="B463" t="str">
            <v>1999FL</v>
          </cell>
          <cell r="C463">
            <v>0.41537337302401689</v>
          </cell>
          <cell r="D463">
            <v>0.14791671274774876</v>
          </cell>
          <cell r="E463">
            <v>0.22175795764352008</v>
          </cell>
          <cell r="F463">
            <v>7.5362869062114299E-2</v>
          </cell>
          <cell r="G463">
            <v>0.13879719397932633</v>
          </cell>
          <cell r="H463">
            <v>7.9189354327361327E-4</v>
          </cell>
          <cell r="J463" t="str">
            <v>1999FL</v>
          </cell>
          <cell r="K463">
            <v>0.63944484837715354</v>
          </cell>
          <cell r="L463">
            <v>0.13879719397932633</v>
          </cell>
          <cell r="M463">
            <v>0.22175795764352008</v>
          </cell>
          <cell r="U463" t="str">
            <v>1999FL</v>
          </cell>
          <cell r="V463">
            <v>0.654705074</v>
          </cell>
          <cell r="W463">
            <v>1.5192977E-2</v>
          </cell>
          <cell r="X463">
            <v>9.5301399999999994E-2</v>
          </cell>
          <cell r="Y463">
            <v>7.2857228999999996E-2</v>
          </cell>
          <cell r="Z463">
            <v>0.16194332</v>
          </cell>
          <cell r="AB463" t="str">
            <v>1999FL</v>
          </cell>
          <cell r="AC463">
            <v>0</v>
          </cell>
          <cell r="AD463">
            <v>0</v>
          </cell>
          <cell r="AE463">
            <v>0.41899999999999998</v>
          </cell>
          <cell r="AF463">
            <v>0.58099999999999996</v>
          </cell>
        </row>
        <row r="464">
          <cell r="B464" t="str">
            <v>1999GA</v>
          </cell>
          <cell r="C464">
            <v>0.16172776921402773</v>
          </cell>
          <cell r="D464">
            <v>9.6000104844040882E-2</v>
          </cell>
          <cell r="E464">
            <v>0.16420558043851224</v>
          </cell>
          <cell r="F464">
            <v>9.3792768095977808E-2</v>
          </cell>
          <cell r="G464">
            <v>0.48021468166945064</v>
          </cell>
          <cell r="H464">
            <v>4.0590957379906169E-3</v>
          </cell>
          <cell r="J464" t="str">
            <v>1999GA</v>
          </cell>
          <cell r="K464">
            <v>0.35557973789203712</v>
          </cell>
          <cell r="L464">
            <v>0.48021468166945064</v>
          </cell>
          <cell r="M464">
            <v>0.16420558043851224</v>
          </cell>
          <cell r="U464" t="str">
            <v>1999GA</v>
          </cell>
          <cell r="V464">
            <v>8.5985626999999995E-2</v>
          </cell>
          <cell r="W464">
            <v>3.5971377999999998E-2</v>
          </cell>
          <cell r="X464">
            <v>0.118239235</v>
          </cell>
          <cell r="Y464">
            <v>0.42755893</v>
          </cell>
          <cell r="Z464">
            <v>0.33224482999999999</v>
          </cell>
          <cell r="AB464" t="str">
            <v>1999GA</v>
          </cell>
          <cell r="AC464">
            <v>0</v>
          </cell>
          <cell r="AD464">
            <v>0</v>
          </cell>
          <cell r="AE464">
            <v>0.41899999999999998</v>
          </cell>
          <cell r="AF464">
            <v>0.58099999999999996</v>
          </cell>
        </row>
        <row r="465">
          <cell r="B465" t="str">
            <v>1999HI</v>
          </cell>
          <cell r="C465">
            <v>0.58605902014261946</v>
          </cell>
          <cell r="D465">
            <v>0.21042458949959983</v>
          </cell>
          <cell r="E465">
            <v>0</v>
          </cell>
          <cell r="F465">
            <v>0.11922836530036557</v>
          </cell>
          <cell r="G465">
            <v>7.4192923708159525E-2</v>
          </cell>
          <cell r="H465">
            <v>1.0095101349255479E-2</v>
          </cell>
          <cell r="J465" t="str">
            <v>1999HI</v>
          </cell>
          <cell r="K465">
            <v>0.92580707629184045</v>
          </cell>
          <cell r="L465">
            <v>7.4192923708159525E-2</v>
          </cell>
          <cell r="M465">
            <v>0</v>
          </cell>
          <cell r="U465" t="str">
            <v>1999HI</v>
          </cell>
          <cell r="V465">
            <v>0.30724696499999998</v>
          </cell>
          <cell r="W465">
            <v>3.012925E-2</v>
          </cell>
          <cell r="X465">
            <v>0.18009038599999999</v>
          </cell>
          <cell r="Y465">
            <v>0.165624997</v>
          </cell>
          <cell r="Z465">
            <v>0.31690840100000001</v>
          </cell>
          <cell r="AB465" t="str">
            <v>1999HI</v>
          </cell>
          <cell r="AC465">
            <v>0</v>
          </cell>
          <cell r="AD465">
            <v>0</v>
          </cell>
          <cell r="AE465">
            <v>0.25</v>
          </cell>
          <cell r="AF465">
            <v>0.75</v>
          </cell>
        </row>
        <row r="466">
          <cell r="B466" t="str">
            <v>1999ID</v>
          </cell>
          <cell r="C466">
            <v>0.58588813768615355</v>
          </cell>
          <cell r="D466">
            <v>0.24172744977204194</v>
          </cell>
          <cell r="E466">
            <v>1.3418835174906173E-2</v>
          </cell>
          <cell r="F466">
            <v>0.13498151073798295</v>
          </cell>
          <cell r="G466">
            <v>7.944484506536488E-3</v>
          </cell>
          <cell r="H466">
            <v>1.6039582122378743E-2</v>
          </cell>
          <cell r="J466" t="str">
            <v>1999ID</v>
          </cell>
          <cell r="K466">
            <v>0.97863668031855733</v>
          </cell>
          <cell r="L466">
            <v>7.944484506536488E-3</v>
          </cell>
          <cell r="M466">
            <v>1.3418835174906173E-2</v>
          </cell>
          <cell r="U466" t="str">
            <v>1999ID</v>
          </cell>
          <cell r="V466">
            <v>0.38596128600000001</v>
          </cell>
          <cell r="W466">
            <v>3.0023265E-2</v>
          </cell>
          <cell r="X466">
            <v>0.16621865999999999</v>
          </cell>
          <cell r="Y466">
            <v>0.119543631</v>
          </cell>
          <cell r="Z466">
            <v>0.29825315699999999</v>
          </cell>
          <cell r="AB466" t="str">
            <v>1999ID</v>
          </cell>
          <cell r="AC466">
            <v>0</v>
          </cell>
          <cell r="AD466">
            <v>0</v>
          </cell>
          <cell r="AE466">
            <v>0.6</v>
          </cell>
          <cell r="AF466">
            <v>0.4</v>
          </cell>
        </row>
        <row r="467">
          <cell r="B467" t="str">
            <v>1999IL</v>
          </cell>
          <cell r="C467">
            <v>8.9083761441588943E-2</v>
          </cell>
          <cell r="D467">
            <v>0.21742013510113367</v>
          </cell>
          <cell r="E467">
            <v>0.10533395302616939</v>
          </cell>
          <cell r="F467">
            <v>0.47815042905267224</v>
          </cell>
          <cell r="G467">
            <v>6.2361892587632611E-2</v>
          </cell>
          <cell r="H467">
            <v>4.7649828790803199E-2</v>
          </cell>
          <cell r="J467" t="str">
            <v>1999IL</v>
          </cell>
          <cell r="K467">
            <v>0.83230415438619798</v>
          </cell>
          <cell r="L467">
            <v>6.2361892587632611E-2</v>
          </cell>
          <cell r="M467">
            <v>0.10533395302616939</v>
          </cell>
          <cell r="U467" t="str">
            <v>1999IL</v>
          </cell>
          <cell r="V467">
            <v>3.3587758000000002E-2</v>
          </cell>
          <cell r="W467">
            <v>4.4774250000000002E-2</v>
          </cell>
          <cell r="X467">
            <v>0.27517519499999998</v>
          </cell>
          <cell r="Y467">
            <v>0.15492957199999999</v>
          </cell>
          <cell r="Z467">
            <v>0.49153322599999999</v>
          </cell>
          <cell r="AB467" t="str">
            <v>1999IL</v>
          </cell>
          <cell r="AC467">
            <v>0</v>
          </cell>
          <cell r="AD467">
            <v>0</v>
          </cell>
          <cell r="AE467">
            <v>0.02</v>
          </cell>
          <cell r="AF467">
            <v>0.98</v>
          </cell>
        </row>
        <row r="468">
          <cell r="B468" t="str">
            <v>1999IN</v>
          </cell>
          <cell r="C468">
            <v>9.4694520318403544E-2</v>
          </cell>
          <cell r="D468">
            <v>0.19295347593164353</v>
          </cell>
          <cell r="E468">
            <v>0.16336248159049327</v>
          </cell>
          <cell r="F468">
            <v>0.41249845314454947</v>
          </cell>
          <cell r="G468">
            <v>9.6717091090889037E-2</v>
          </cell>
          <cell r="H468">
            <v>3.9773977924021188E-2</v>
          </cell>
          <cell r="J468" t="str">
            <v>1999IN</v>
          </cell>
          <cell r="K468">
            <v>0.73992042731861773</v>
          </cell>
          <cell r="L468">
            <v>9.6717091090889037E-2</v>
          </cell>
          <cell r="M468">
            <v>0.16336248159049327</v>
          </cell>
          <cell r="U468" t="str">
            <v>1999IN</v>
          </cell>
          <cell r="V468">
            <v>3.6784859000000003E-2</v>
          </cell>
          <cell r="W468">
            <v>4.4711285000000003E-2</v>
          </cell>
          <cell r="X468">
            <v>0.274584198</v>
          </cell>
          <cell r="Y468">
            <v>0.15256484200000001</v>
          </cell>
          <cell r="Z468">
            <v>0.49135481600000003</v>
          </cell>
          <cell r="AB468" t="str">
            <v>1999IN</v>
          </cell>
          <cell r="AC468">
            <v>0</v>
          </cell>
          <cell r="AD468">
            <v>0</v>
          </cell>
          <cell r="AE468">
            <v>0</v>
          </cell>
          <cell r="AF468">
            <v>1</v>
          </cell>
        </row>
        <row r="469">
          <cell r="B469" t="str">
            <v>1999IA</v>
          </cell>
          <cell r="C469">
            <v>8.8980650788781812E-2</v>
          </cell>
          <cell r="D469">
            <v>0.19817406257846984</v>
          </cell>
          <cell r="E469">
            <v>0.14315864372765238</v>
          </cell>
          <cell r="F469">
            <v>0.44460527383106896</v>
          </cell>
          <cell r="G469">
            <v>8.4755614943236995E-2</v>
          </cell>
          <cell r="H469">
            <v>4.0325754130789981E-2</v>
          </cell>
          <cell r="J469" t="str">
            <v>1999IA</v>
          </cell>
          <cell r="K469">
            <v>0.77208574132911068</v>
          </cell>
          <cell r="L469">
            <v>8.4755614943236995E-2</v>
          </cell>
          <cell r="M469">
            <v>0.14315864372765238</v>
          </cell>
          <cell r="U469" t="str">
            <v>1999IA</v>
          </cell>
          <cell r="V469">
            <v>2.0591686000000001E-2</v>
          </cell>
          <cell r="W469">
            <v>3.9080344000000003E-2</v>
          </cell>
          <cell r="X469">
            <v>0.14360092299999999</v>
          </cell>
          <cell r="Y469">
            <v>0.42855109899999999</v>
          </cell>
          <cell r="Z469">
            <v>0.36817594799999998</v>
          </cell>
          <cell r="AB469" t="str">
            <v>1999IA</v>
          </cell>
          <cell r="AC469">
            <v>0</v>
          </cell>
          <cell r="AD469">
            <v>0</v>
          </cell>
          <cell r="AE469">
            <v>0</v>
          </cell>
          <cell r="AF469">
            <v>1</v>
          </cell>
        </row>
        <row r="470">
          <cell r="B470" t="str">
            <v>1999KS</v>
          </cell>
          <cell r="C470">
            <v>0.14603879150428672</v>
          </cell>
          <cell r="D470">
            <v>0.23318219846982197</v>
          </cell>
          <cell r="E470">
            <v>0.10302398211124597</v>
          </cell>
          <cell r="F470">
            <v>0.41685088358160771</v>
          </cell>
          <cell r="G470">
            <v>6.0994297866857061E-2</v>
          </cell>
          <cell r="H470">
            <v>3.99098464661806E-2</v>
          </cell>
          <cell r="J470" t="str">
            <v>1999KS</v>
          </cell>
          <cell r="K470">
            <v>0.83598172002189697</v>
          </cell>
          <cell r="L470">
            <v>6.0994297866857061E-2</v>
          </cell>
          <cell r="M470">
            <v>0.10302398211124597</v>
          </cell>
          <cell r="U470" t="str">
            <v>1999KS</v>
          </cell>
          <cell r="V470">
            <v>4.3187926000000001E-2</v>
          </cell>
          <cell r="W470">
            <v>4.5002312000000003E-2</v>
          </cell>
          <cell r="X470">
            <v>0.27496481</v>
          </cell>
          <cell r="Y470">
            <v>0.13875621799999999</v>
          </cell>
          <cell r="Z470">
            <v>0.49808873399999998</v>
          </cell>
          <cell r="AB470" t="str">
            <v>1999KS</v>
          </cell>
          <cell r="AC470">
            <v>0</v>
          </cell>
          <cell r="AD470">
            <v>0</v>
          </cell>
          <cell r="AE470">
            <v>0.02</v>
          </cell>
          <cell r="AF470">
            <v>0.98</v>
          </cell>
        </row>
        <row r="471">
          <cell r="B471" t="str">
            <v>1999KY</v>
          </cell>
          <cell r="C471">
            <v>1.7279230540234447E-2</v>
          </cell>
          <cell r="D471">
            <v>5.3797825771249863E-2</v>
          </cell>
          <cell r="E471">
            <v>0.14013795320284531</v>
          </cell>
          <cell r="F471">
            <v>0.15080787716351168</v>
          </cell>
          <cell r="G471">
            <v>0.62299086615603749</v>
          </cell>
          <cell r="H471">
            <v>1.4986247166121227E-2</v>
          </cell>
          <cell r="J471" t="str">
            <v>1999KY</v>
          </cell>
          <cell r="K471">
            <v>0.23687118064111723</v>
          </cell>
          <cell r="L471">
            <v>0.62299086615603749</v>
          </cell>
          <cell r="M471">
            <v>0.14013795320284531</v>
          </cell>
          <cell r="U471" t="str">
            <v>1999KY</v>
          </cell>
          <cell r="V471">
            <v>6.2958609999999998E-2</v>
          </cell>
          <cell r="W471">
            <v>3.7331033E-2</v>
          </cell>
          <cell r="X471">
            <v>0.135533124</v>
          </cell>
          <cell r="Y471">
            <v>0.41326300100000002</v>
          </cell>
          <cell r="Z471">
            <v>0.35091423199999999</v>
          </cell>
          <cell r="AB471" t="str">
            <v>1999KY</v>
          </cell>
          <cell r="AC471">
            <v>0</v>
          </cell>
          <cell r="AD471">
            <v>0</v>
          </cell>
          <cell r="AE471">
            <v>0.05</v>
          </cell>
          <cell r="AF471">
            <v>0.95</v>
          </cell>
        </row>
        <row r="472">
          <cell r="B472" t="str">
            <v>1999LA</v>
          </cell>
          <cell r="C472">
            <v>8.8463222925532492E-2</v>
          </cell>
          <cell r="D472">
            <v>6.3719251115381931E-2</v>
          </cell>
          <cell r="E472">
            <v>0.14603148123284368</v>
          </cell>
          <cell r="F472">
            <v>0.10837812444325667</v>
          </cell>
          <cell r="G472">
            <v>0.58802873893641161</v>
          </cell>
          <cell r="H472">
            <v>5.379181346573619E-3</v>
          </cell>
          <cell r="J472" t="str">
            <v>1999LA</v>
          </cell>
          <cell r="K472">
            <v>0.26593977983074468</v>
          </cell>
          <cell r="L472">
            <v>0.58802873893641161</v>
          </cell>
          <cell r="M472">
            <v>0.14603148123284368</v>
          </cell>
          <cell r="U472" t="str">
            <v>1999LA</v>
          </cell>
          <cell r="V472">
            <v>0.58182988199999996</v>
          </cell>
          <cell r="W472">
            <v>1.8399485E-2</v>
          </cell>
          <cell r="X472">
            <v>0.115414952</v>
          </cell>
          <cell r="Y472">
            <v>8.8233895000000007E-2</v>
          </cell>
          <cell r="Z472">
            <v>0.19612178499999999</v>
          </cell>
          <cell r="AB472" t="str">
            <v>1999LA</v>
          </cell>
          <cell r="AC472">
            <v>0</v>
          </cell>
          <cell r="AD472">
            <v>0</v>
          </cell>
          <cell r="AE472">
            <v>0.6</v>
          </cell>
          <cell r="AF472">
            <v>0.4</v>
          </cell>
        </row>
        <row r="473">
          <cell r="B473" t="str">
            <v>1999ME</v>
          </cell>
          <cell r="C473">
            <v>6.2285750045414437E-2</v>
          </cell>
          <cell r="D473">
            <v>0.13879984785210409</v>
          </cell>
          <cell r="E473">
            <v>0.46091705790276033</v>
          </cell>
          <cell r="F473">
            <v>0.2336164238815665</v>
          </cell>
          <cell r="G473">
            <v>8.139328775409059E-2</v>
          </cell>
          <cell r="H473">
            <v>2.2987632564064064E-2</v>
          </cell>
          <cell r="J473" t="str">
            <v>1999ME</v>
          </cell>
          <cell r="K473">
            <v>0.45768965434314912</v>
          </cell>
          <cell r="L473">
            <v>8.139328775409059E-2</v>
          </cell>
          <cell r="M473">
            <v>0.46091705790276033</v>
          </cell>
          <cell r="U473" t="str">
            <v>1999ME</v>
          </cell>
          <cell r="V473">
            <v>0.89168080800000005</v>
          </cell>
          <cell r="W473">
            <v>4.7660439999999997E-3</v>
          </cell>
          <cell r="X473">
            <v>2.9896097E-2</v>
          </cell>
          <cell r="Y473">
            <v>2.285535E-2</v>
          </cell>
          <cell r="Z473">
            <v>5.0801700999999998E-2</v>
          </cell>
          <cell r="AB473" t="str">
            <v>1999ME</v>
          </cell>
          <cell r="AC473">
            <v>0</v>
          </cell>
          <cell r="AD473">
            <v>0</v>
          </cell>
          <cell r="AE473">
            <v>0.05</v>
          </cell>
          <cell r="AF473">
            <v>0.95</v>
          </cell>
        </row>
        <row r="474">
          <cell r="B474" t="str">
            <v>1999MD</v>
          </cell>
          <cell r="C474">
            <v>6.3199520419526575E-2</v>
          </cell>
          <cell r="D474">
            <v>0.14092761172960247</v>
          </cell>
          <cell r="E474">
            <v>0.45071012194358129</v>
          </cell>
          <cell r="F474">
            <v>0.2426327947973469</v>
          </cell>
          <cell r="G474">
            <v>7.2186139748888239E-2</v>
          </cell>
          <cell r="H474">
            <v>3.0343811361054501E-2</v>
          </cell>
          <cell r="J474" t="str">
            <v>1999MD</v>
          </cell>
          <cell r="K474">
            <v>0.4771037383075305</v>
          </cell>
          <cell r="L474">
            <v>7.2186139748888239E-2</v>
          </cell>
          <cell r="M474">
            <v>0.45071012194358129</v>
          </cell>
          <cell r="U474" t="str">
            <v>1999MD</v>
          </cell>
          <cell r="V474">
            <v>0.200369768</v>
          </cell>
          <cell r="W474">
            <v>3.8643151000000001E-2</v>
          </cell>
          <cell r="X474">
            <v>0.21695023799999999</v>
          </cell>
          <cell r="Y474">
            <v>0.157190576</v>
          </cell>
          <cell r="Z474">
            <v>0.38684626700000002</v>
          </cell>
          <cell r="AB474" t="str">
            <v>1999MD</v>
          </cell>
          <cell r="AC474">
            <v>0</v>
          </cell>
          <cell r="AD474">
            <v>0</v>
          </cell>
          <cell r="AE474">
            <v>0.05</v>
          </cell>
          <cell r="AF474">
            <v>0.95</v>
          </cell>
        </row>
        <row r="475">
          <cell r="B475" t="str">
            <v>1999MA</v>
          </cell>
          <cell r="C475">
            <v>5.1740130855511837E-2</v>
          </cell>
          <cell r="D475">
            <v>0.13718151005868781</v>
          </cell>
          <cell r="E475">
            <v>0.45562994542843566</v>
          </cell>
          <cell r="F475">
            <v>0.24914075788513798</v>
          </cell>
          <cell r="G475">
            <v>7.6624057569249213E-2</v>
          </cell>
          <cell r="H475">
            <v>2.9683598202977602E-2</v>
          </cell>
          <cell r="J475" t="str">
            <v>1999MA</v>
          </cell>
          <cell r="K475">
            <v>0.46774599700231512</v>
          </cell>
          <cell r="L475">
            <v>7.6624057569249213E-2</v>
          </cell>
          <cell r="M475">
            <v>0.45562994542843566</v>
          </cell>
          <cell r="U475" t="str">
            <v>1999MA</v>
          </cell>
          <cell r="V475">
            <v>0.38019767199999999</v>
          </cell>
          <cell r="W475">
            <v>2.7271302000000001E-2</v>
          </cell>
          <cell r="X475">
            <v>0.17106544300000001</v>
          </cell>
          <cell r="Y475">
            <v>0.13077829099999999</v>
          </cell>
          <cell r="Z475">
            <v>0.29068729199999999</v>
          </cell>
          <cell r="AB475" t="str">
            <v>1999MA</v>
          </cell>
          <cell r="AC475">
            <v>0</v>
          </cell>
          <cell r="AD475">
            <v>0</v>
          </cell>
          <cell r="AE475">
            <v>0.05</v>
          </cell>
          <cell r="AF475">
            <v>0.95</v>
          </cell>
        </row>
        <row r="476">
          <cell r="B476" t="str">
            <v>1999MI</v>
          </cell>
          <cell r="C476">
            <v>0.15607433168514573</v>
          </cell>
          <cell r="D476">
            <v>0.2884636973332988</v>
          </cell>
          <cell r="E476">
            <v>8.1478912540919629E-2</v>
          </cell>
          <cell r="F476">
            <v>0.37950441001350382</v>
          </cell>
          <cell r="G476">
            <v>4.8238759166017088E-2</v>
          </cell>
          <cell r="H476">
            <v>4.6239889261114886E-2</v>
          </cell>
          <cell r="J476" t="str">
            <v>1999MI</v>
          </cell>
          <cell r="K476">
            <v>0.87028232829306329</v>
          </cell>
          <cell r="L476">
            <v>4.8238759166017088E-2</v>
          </cell>
          <cell r="M476">
            <v>8.1478912540919629E-2</v>
          </cell>
          <cell r="U476" t="str">
            <v>1999MI</v>
          </cell>
          <cell r="V476">
            <v>5.7259665000000001E-2</v>
          </cell>
          <cell r="W476">
            <v>4.9076268999999999E-2</v>
          </cell>
          <cell r="X476">
            <v>0.25196766300000001</v>
          </cell>
          <cell r="Y476">
            <v>0.17359922899999999</v>
          </cell>
          <cell r="Z476">
            <v>0.46809717299999998</v>
          </cell>
          <cell r="AB476" t="str">
            <v>1999MI</v>
          </cell>
          <cell r="AC476">
            <v>0</v>
          </cell>
          <cell r="AD476">
            <v>0</v>
          </cell>
          <cell r="AE476">
            <v>0.02</v>
          </cell>
          <cell r="AF476">
            <v>0.98</v>
          </cell>
        </row>
        <row r="477">
          <cell r="B477" t="str">
            <v>1999MN</v>
          </cell>
          <cell r="C477">
            <v>7.7729718037512399E-2</v>
          </cell>
          <cell r="D477">
            <v>0.18972985299909517</v>
          </cell>
          <cell r="E477">
            <v>0.15427290888564507</v>
          </cell>
          <cell r="F477">
            <v>0.44511734919560253</v>
          </cell>
          <cell r="G477">
            <v>9.1335702275580882E-2</v>
          </cell>
          <cell r="H477">
            <v>4.1814468606563911E-2</v>
          </cell>
          <cell r="J477" t="str">
            <v>1999MN</v>
          </cell>
          <cell r="K477">
            <v>0.7543913888387741</v>
          </cell>
          <cell r="L477">
            <v>9.1335702275580882E-2</v>
          </cell>
          <cell r="M477">
            <v>0.15427290888564507</v>
          </cell>
          <cell r="U477" t="str">
            <v>1999MN</v>
          </cell>
          <cell r="V477">
            <v>2.4714623000000002E-2</v>
          </cell>
          <cell r="W477">
            <v>5.0339098999999998E-2</v>
          </cell>
          <cell r="X477">
            <v>0.26113334300000002</v>
          </cell>
          <cell r="Y477">
            <v>0.18103007199999999</v>
          </cell>
          <cell r="Z477">
            <v>0.48278286300000001</v>
          </cell>
          <cell r="AB477" t="str">
            <v>1999MN</v>
          </cell>
          <cell r="AC477">
            <v>0</v>
          </cell>
          <cell r="AD477">
            <v>0</v>
          </cell>
          <cell r="AE477">
            <v>0</v>
          </cell>
          <cell r="AF477">
            <v>1</v>
          </cell>
        </row>
        <row r="478">
          <cell r="B478" t="str">
            <v>1999MS</v>
          </cell>
          <cell r="C478">
            <v>8.5636489597891663E-2</v>
          </cell>
          <cell r="D478">
            <v>6.3981774646411013E-2</v>
          </cell>
          <cell r="E478">
            <v>0.14319207841645323</v>
          </cell>
          <cell r="F478">
            <v>9.7493430450694696E-2</v>
          </cell>
          <cell r="G478">
            <v>0.60487290460239462</v>
          </cell>
          <cell r="H478">
            <v>4.8233222861548521E-3</v>
          </cell>
          <cell r="J478" t="str">
            <v>1999MS</v>
          </cell>
          <cell r="K478">
            <v>0.25193501698115217</v>
          </cell>
          <cell r="L478">
            <v>0.60487290460239462</v>
          </cell>
          <cell r="M478">
            <v>0.14319207841645323</v>
          </cell>
          <cell r="U478" t="str">
            <v>1999MS</v>
          </cell>
          <cell r="V478">
            <v>3.3647719E-2</v>
          </cell>
          <cell r="W478">
            <v>3.6414480999999999E-2</v>
          </cell>
          <cell r="X478">
            <v>7.3969036000000002E-2</v>
          </cell>
          <cell r="Y478">
            <v>0.541420707</v>
          </cell>
          <cell r="Z478">
            <v>0.31454805800000002</v>
          </cell>
          <cell r="AB478" t="str">
            <v>1999MS</v>
          </cell>
          <cell r="AC478">
            <v>0</v>
          </cell>
          <cell r="AD478">
            <v>0</v>
          </cell>
          <cell r="AE478">
            <v>0.6</v>
          </cell>
          <cell r="AF478">
            <v>0.4</v>
          </cell>
        </row>
        <row r="479">
          <cell r="B479" t="str">
            <v>1999MO</v>
          </cell>
          <cell r="C479">
            <v>5.3253215860418736E-2</v>
          </cell>
          <cell r="D479">
            <v>0.16765370341531735</v>
          </cell>
          <cell r="E479">
            <v>0.15393427229865264</v>
          </cell>
          <cell r="F479">
            <v>0.48671632589498115</v>
          </cell>
          <cell r="G479">
            <v>9.113521593800826E-2</v>
          </cell>
          <cell r="H479">
            <v>4.7307266592621827E-2</v>
          </cell>
          <cell r="J479" t="str">
            <v>1999MO</v>
          </cell>
          <cell r="K479">
            <v>0.75493051176333914</v>
          </cell>
          <cell r="L479">
            <v>9.113521593800826E-2</v>
          </cell>
          <cell r="M479">
            <v>0.15393427229865264</v>
          </cell>
          <cell r="U479" t="str">
            <v>1999MO</v>
          </cell>
          <cell r="V479">
            <v>4.0122445999999999E-2</v>
          </cell>
          <cell r="W479">
            <v>4.5070704000000003E-2</v>
          </cell>
          <cell r="X479">
            <v>0.27556154799999999</v>
          </cell>
          <cell r="Y479">
            <v>0.14084917499999999</v>
          </cell>
          <cell r="Z479">
            <v>0.49839612700000002</v>
          </cell>
          <cell r="AB479" t="str">
            <v>1999MO</v>
          </cell>
          <cell r="AC479">
            <v>0</v>
          </cell>
          <cell r="AD479">
            <v>0</v>
          </cell>
          <cell r="AE479">
            <v>0</v>
          </cell>
          <cell r="AF479">
            <v>1</v>
          </cell>
        </row>
        <row r="480">
          <cell r="B480" t="str">
            <v>1999MT</v>
          </cell>
          <cell r="C480">
            <v>0.3215049121169497</v>
          </cell>
          <cell r="D480">
            <v>0.24354548028481338</v>
          </cell>
          <cell r="E480">
            <v>4.2860922065213691E-2</v>
          </cell>
          <cell r="F480">
            <v>0.2893187518674169</v>
          </cell>
          <cell r="G480">
            <v>2.5375371769952384E-2</v>
          </cell>
          <cell r="H480">
            <v>7.7394561895653885E-2</v>
          </cell>
          <cell r="J480" t="str">
            <v>1999MT</v>
          </cell>
          <cell r="K480">
            <v>0.93176370616483395</v>
          </cell>
          <cell r="L480">
            <v>2.5375371769952384E-2</v>
          </cell>
          <cell r="M480">
            <v>4.2860922065213691E-2</v>
          </cell>
          <cell r="U480" t="str">
            <v>1999MT</v>
          </cell>
          <cell r="V480">
            <v>7.2548285000000004E-2</v>
          </cell>
          <cell r="W480">
            <v>4.9770492E-2</v>
          </cell>
          <cell r="X480">
            <v>0.24626717200000001</v>
          </cell>
          <cell r="Y480">
            <v>0.165816924</v>
          </cell>
          <cell r="Z480">
            <v>0.465597127</v>
          </cell>
          <cell r="AB480" t="str">
            <v>1999MT</v>
          </cell>
          <cell r="AC480">
            <v>0</v>
          </cell>
          <cell r="AD480">
            <v>0</v>
          </cell>
          <cell r="AE480">
            <v>0.6</v>
          </cell>
          <cell r="AF480">
            <v>0.4</v>
          </cell>
        </row>
        <row r="481">
          <cell r="B481" t="str">
            <v>1999NE</v>
          </cell>
          <cell r="C481">
            <v>0.11493504110371054</v>
          </cell>
          <cell r="D481">
            <v>0.22204727095813742</v>
          </cell>
          <cell r="E481">
            <v>0.11864538011592393</v>
          </cell>
          <cell r="F481">
            <v>0.42838199873850308</v>
          </cell>
          <cell r="G481">
            <v>7.0242787232810688E-2</v>
          </cell>
          <cell r="H481">
            <v>4.5747521850914213E-2</v>
          </cell>
          <cell r="J481" t="str">
            <v>1999NE</v>
          </cell>
          <cell r="K481">
            <v>0.81111183265126541</v>
          </cell>
          <cell r="L481">
            <v>7.0242787232810688E-2</v>
          </cell>
          <cell r="M481">
            <v>0.11864538011592393</v>
          </cell>
          <cell r="U481" t="str">
            <v>1999NE</v>
          </cell>
          <cell r="V481">
            <v>4.4896558000000003E-2</v>
          </cell>
          <cell r="W481">
            <v>4.410451E-2</v>
          </cell>
          <cell r="X481">
            <v>0.27140839500000002</v>
          </cell>
          <cell r="Y481">
            <v>0.15628772499999999</v>
          </cell>
          <cell r="Z481">
            <v>0.48330281200000003</v>
          </cell>
          <cell r="AB481" t="str">
            <v>1999NE</v>
          </cell>
          <cell r="AC481">
            <v>0</v>
          </cell>
          <cell r="AD481">
            <v>0</v>
          </cell>
          <cell r="AE481">
            <v>0.02</v>
          </cell>
          <cell r="AF481">
            <v>0.98</v>
          </cell>
        </row>
        <row r="482">
          <cell r="B482" t="str">
            <v>1999NV</v>
          </cell>
          <cell r="C482">
            <v>0.63644008661170559</v>
          </cell>
          <cell r="D482">
            <v>0.21692351920624942</v>
          </cell>
          <cell r="E482">
            <v>1.9654592469369174E-2</v>
          </cell>
          <cell r="F482">
            <v>0.11050134896755441</v>
          </cell>
          <cell r="G482">
            <v>1.163630101420364E-2</v>
          </cell>
          <cell r="H482">
            <v>4.8441517309178355E-3</v>
          </cell>
          <cell r="J482" t="str">
            <v>1999NV</v>
          </cell>
          <cell r="K482">
            <v>0.96870910651642717</v>
          </cell>
          <cell r="L482">
            <v>1.163630101420364E-2</v>
          </cell>
          <cell r="M482">
            <v>1.9654592469369174E-2</v>
          </cell>
          <cell r="U482" t="str">
            <v>1999NV</v>
          </cell>
          <cell r="V482">
            <v>0.74001645900000002</v>
          </cell>
          <cell r="W482">
            <v>9.6193909999999997E-3</v>
          </cell>
          <cell r="X482">
            <v>1.4299095E-2</v>
          </cell>
          <cell r="Y482">
            <v>0.155470158</v>
          </cell>
          <cell r="Z482">
            <v>8.0594897999999998E-2</v>
          </cell>
          <cell r="AB482" t="str">
            <v>1999NV</v>
          </cell>
          <cell r="AC482">
            <v>0</v>
          </cell>
          <cell r="AD482">
            <v>0</v>
          </cell>
          <cell r="AE482">
            <v>0</v>
          </cell>
          <cell r="AF482">
            <v>1</v>
          </cell>
        </row>
        <row r="483">
          <cell r="B483" t="str">
            <v>1999NH</v>
          </cell>
          <cell r="C483">
            <v>6.5797223499912211E-2</v>
          </cell>
          <cell r="D483">
            <v>0.14585419733806154</v>
          </cell>
          <cell r="E483">
            <v>0.44932006563476518</v>
          </cell>
          <cell r="F483">
            <v>0.23812631777228188</v>
          </cell>
          <cell r="G483">
            <v>7.0932241985443761E-2</v>
          </cell>
          <cell r="H483">
            <v>2.9969953769535422E-2</v>
          </cell>
          <cell r="J483" t="str">
            <v>1999NH</v>
          </cell>
          <cell r="K483">
            <v>0.47974769237979109</v>
          </cell>
          <cell r="L483">
            <v>7.0932241985443761E-2</v>
          </cell>
          <cell r="M483">
            <v>0.44932006563476518</v>
          </cell>
          <cell r="U483" t="str">
            <v>1999NH</v>
          </cell>
          <cell r="V483">
            <v>0.60499783100000004</v>
          </cell>
          <cell r="W483">
            <v>1.7380095000000002E-2</v>
          </cell>
          <cell r="X483">
            <v>0.109020599</v>
          </cell>
          <cell r="Y483">
            <v>8.3345457999999997E-2</v>
          </cell>
          <cell r="Z483">
            <v>0.185256017</v>
          </cell>
          <cell r="AB483" t="str">
            <v>1999NH</v>
          </cell>
          <cell r="AC483">
            <v>0</v>
          </cell>
          <cell r="AD483">
            <v>0</v>
          </cell>
          <cell r="AE483">
            <v>0.05</v>
          </cell>
          <cell r="AF483">
            <v>0.95</v>
          </cell>
        </row>
        <row r="484">
          <cell r="B484" t="str">
            <v>1999NJ</v>
          </cell>
          <cell r="C484">
            <v>4.9292502745243078E-2</v>
          </cell>
          <cell r="D484">
            <v>0.13255193356435549</v>
          </cell>
          <cell r="E484">
            <v>0.45518004301082876</v>
          </cell>
          <cell r="F484">
            <v>0.2553169037930888</v>
          </cell>
          <cell r="G484">
            <v>7.6218223912276076E-2</v>
          </cell>
          <cell r="H484">
            <v>3.1440392974207747E-2</v>
          </cell>
          <cell r="J484" t="str">
            <v>1999NJ</v>
          </cell>
          <cell r="K484">
            <v>0.46860173307689512</v>
          </cell>
          <cell r="L484">
            <v>7.6218223912276076E-2</v>
          </cell>
          <cell r="M484">
            <v>0.45518004301082876</v>
          </cell>
          <cell r="U484" t="str">
            <v>1999NJ</v>
          </cell>
          <cell r="V484">
            <v>0.41964283099999999</v>
          </cell>
          <cell r="W484">
            <v>2.6562647000000002E-2</v>
          </cell>
          <cell r="X484">
            <v>0.159066069</v>
          </cell>
          <cell r="Y484">
            <v>0.119032257</v>
          </cell>
          <cell r="Z484">
            <v>0.275696196</v>
          </cell>
          <cell r="AB484" t="str">
            <v>1999NJ</v>
          </cell>
          <cell r="AC484">
            <v>0</v>
          </cell>
          <cell r="AD484">
            <v>0</v>
          </cell>
          <cell r="AE484">
            <v>0.05</v>
          </cell>
          <cell r="AF484">
            <v>0.95</v>
          </cell>
        </row>
        <row r="485">
          <cell r="B485" t="str">
            <v>1999NM</v>
          </cell>
          <cell r="C485">
            <v>0.61092951674758555</v>
          </cell>
          <cell r="D485">
            <v>0.19383377109941757</v>
          </cell>
          <cell r="E485">
            <v>9.8938794843516586E-2</v>
          </cell>
          <cell r="F485">
            <v>9.5399782879036638E-2</v>
          </cell>
          <cell r="G485">
            <v>0</v>
          </cell>
          <cell r="H485">
            <v>8.9813443044373879E-4</v>
          </cell>
          <cell r="J485" t="str">
            <v>1999NM</v>
          </cell>
          <cell r="K485">
            <v>0.90106120515648347</v>
          </cell>
          <cell r="L485">
            <v>0</v>
          </cell>
          <cell r="M485">
            <v>9.8938794843516586E-2</v>
          </cell>
          <cell r="U485" t="str">
            <v>1999NM</v>
          </cell>
          <cell r="V485">
            <v>0.96662242499999995</v>
          </cell>
          <cell r="W485">
            <v>1.4686129999999999E-3</v>
          </cell>
          <cell r="X485">
            <v>9.2122109999999997E-3</v>
          </cell>
          <cell r="Y485">
            <v>7.0426680000000002E-3</v>
          </cell>
          <cell r="Z485">
            <v>1.5654082999999999E-2</v>
          </cell>
          <cell r="AB485" t="str">
            <v>1999NM</v>
          </cell>
          <cell r="AC485">
            <v>0</v>
          </cell>
          <cell r="AD485">
            <v>0</v>
          </cell>
          <cell r="AE485">
            <v>0.6</v>
          </cell>
          <cell r="AF485">
            <v>0.4</v>
          </cell>
        </row>
        <row r="486">
          <cell r="B486" t="str">
            <v>1999NY</v>
          </cell>
          <cell r="C486">
            <v>8.1647909759206258E-2</v>
          </cell>
          <cell r="D486">
            <v>0.14944229137888326</v>
          </cell>
          <cell r="E486">
            <v>0.45339184756748874</v>
          </cell>
          <cell r="F486">
            <v>0.21863193197020936</v>
          </cell>
          <cell r="G486">
            <v>7.4605185467153473E-2</v>
          </cell>
          <cell r="H486">
            <v>2.2280833857058948E-2</v>
          </cell>
          <cell r="J486" t="str">
            <v>1999NY</v>
          </cell>
          <cell r="K486">
            <v>0.47200296696535782</v>
          </cell>
          <cell r="L486">
            <v>7.4605185467153473E-2</v>
          </cell>
          <cell r="M486">
            <v>0.45339184756748874</v>
          </cell>
          <cell r="U486" t="str">
            <v>1999NY</v>
          </cell>
          <cell r="V486">
            <v>0.27227132900000001</v>
          </cell>
          <cell r="W486">
            <v>3.7844968999999999E-2</v>
          </cell>
          <cell r="X486">
            <v>0.19454279599999999</v>
          </cell>
          <cell r="Y486">
            <v>0.13413438999999999</v>
          </cell>
          <cell r="Z486">
            <v>0.36120651500000001</v>
          </cell>
          <cell r="AB486" t="str">
            <v>1999NY</v>
          </cell>
          <cell r="AC486">
            <v>0</v>
          </cell>
          <cell r="AD486">
            <v>0</v>
          </cell>
          <cell r="AE486">
            <v>0.05</v>
          </cell>
          <cell r="AF486">
            <v>0.95</v>
          </cell>
        </row>
        <row r="487">
          <cell r="B487" t="str">
            <v>1999NC</v>
          </cell>
          <cell r="C487">
            <v>4.3880351969274985E-2</v>
          </cell>
          <cell r="D487">
            <v>9.4040583255127583E-2</v>
          </cell>
          <cell r="E487">
            <v>0.14505811996468379</v>
          </cell>
          <cell r="F487">
            <v>0.10791783432868586</v>
          </cell>
          <cell r="G487">
            <v>0.59380300187617263</v>
          </cell>
          <cell r="H487">
            <v>1.530010860605515E-2</v>
          </cell>
          <cell r="J487" t="str">
            <v>1999NC</v>
          </cell>
          <cell r="K487">
            <v>0.26113887815914361</v>
          </cell>
          <cell r="L487">
            <v>0.59380300187617263</v>
          </cell>
          <cell r="M487">
            <v>0.14505811996468379</v>
          </cell>
          <cell r="U487" t="str">
            <v>1999NC</v>
          </cell>
          <cell r="V487">
            <v>2.9015640000000001E-3</v>
          </cell>
          <cell r="W487">
            <v>3.7179240000000002E-2</v>
          </cell>
          <cell r="X487">
            <v>6.3888703000000005E-2</v>
          </cell>
          <cell r="Y487">
            <v>0.58042012399999998</v>
          </cell>
          <cell r="Z487">
            <v>0.31561036999999997</v>
          </cell>
          <cell r="AB487" t="str">
            <v>1999NC</v>
          </cell>
          <cell r="AC487">
            <v>0</v>
          </cell>
          <cell r="AD487">
            <v>0</v>
          </cell>
          <cell r="AE487">
            <v>0.41899999999999998</v>
          </cell>
          <cell r="AF487">
            <v>0.58099999999999996</v>
          </cell>
        </row>
        <row r="488">
          <cell r="B488" t="str">
            <v>1999ND</v>
          </cell>
          <cell r="C488">
            <v>6.6706062978394404E-2</v>
          </cell>
          <cell r="D488">
            <v>0.16071824674761478</v>
          </cell>
          <cell r="E488">
            <v>0.16649036458121505</v>
          </cell>
          <cell r="F488">
            <v>0.46864687406251831</v>
          </cell>
          <cell r="G488">
            <v>9.8568922314251683E-2</v>
          </cell>
          <cell r="H488">
            <v>3.8869529316005742E-2</v>
          </cell>
          <cell r="J488" t="str">
            <v>1999ND</v>
          </cell>
          <cell r="K488">
            <v>0.73494071310453324</v>
          </cell>
          <cell r="L488">
            <v>9.8568922314251683E-2</v>
          </cell>
          <cell r="M488">
            <v>0.16649036458121505</v>
          </cell>
          <cell r="U488" t="str">
            <v>1999ND</v>
          </cell>
          <cell r="V488">
            <v>0.119863097</v>
          </cell>
          <cell r="W488">
            <v>4.4814142000000001E-2</v>
          </cell>
          <cell r="X488">
            <v>0.236322324</v>
          </cell>
          <cell r="Y488">
            <v>0.16541515900000001</v>
          </cell>
          <cell r="Z488">
            <v>0.43358527800000002</v>
          </cell>
          <cell r="AB488" t="str">
            <v>1999ND</v>
          </cell>
          <cell r="AC488">
            <v>0</v>
          </cell>
          <cell r="AD488">
            <v>0</v>
          </cell>
          <cell r="AE488">
            <v>0.02</v>
          </cell>
          <cell r="AF488">
            <v>0.98</v>
          </cell>
        </row>
        <row r="489">
          <cell r="B489" t="str">
            <v>1999OH</v>
          </cell>
          <cell r="C489">
            <v>7.4794362512969212E-2</v>
          </cell>
          <cell r="D489">
            <v>0.19170743609476487</v>
          </cell>
          <cell r="E489">
            <v>0.15567310654501279</v>
          </cell>
          <cell r="F489">
            <v>0.44149401764087365</v>
          </cell>
          <cell r="G489">
            <v>9.2164675019186654E-2</v>
          </cell>
          <cell r="H489">
            <v>4.4166402187192907E-2</v>
          </cell>
          <cell r="J489" t="str">
            <v>1999OH</v>
          </cell>
          <cell r="K489">
            <v>0.75216221843580056</v>
          </cell>
          <cell r="L489">
            <v>9.2164675019186654E-2</v>
          </cell>
          <cell r="M489">
            <v>0.15567310654501279</v>
          </cell>
          <cell r="U489" t="str">
            <v>1999OH</v>
          </cell>
          <cell r="V489">
            <v>8.3709987999999999E-2</v>
          </cell>
          <cell r="W489">
            <v>4.1933198999999997E-2</v>
          </cell>
          <cell r="X489">
            <v>0.25895768899999999</v>
          </cell>
          <cell r="Y489">
            <v>0.15817965</v>
          </cell>
          <cell r="Z489">
            <v>0.45721947400000001</v>
          </cell>
          <cell r="AB489" t="str">
            <v>1999OH</v>
          </cell>
          <cell r="AC489">
            <v>0</v>
          </cell>
          <cell r="AD489">
            <v>0</v>
          </cell>
          <cell r="AE489">
            <v>0</v>
          </cell>
          <cell r="AF489">
            <v>1</v>
          </cell>
        </row>
        <row r="490">
          <cell r="B490" t="str">
            <v>1999OK</v>
          </cell>
          <cell r="C490">
            <v>0.33674377982770431</v>
          </cell>
          <cell r="D490">
            <v>0.22679057273256029</v>
          </cell>
          <cell r="E490">
            <v>5.5958502376260585E-2</v>
          </cell>
          <cell r="F490">
            <v>0.30112837542007126</v>
          </cell>
          <cell r="G490">
            <v>0</v>
          </cell>
          <cell r="H490">
            <v>7.9378769643403541E-2</v>
          </cell>
          <cell r="J490" t="str">
            <v>1999OK</v>
          </cell>
          <cell r="K490">
            <v>0.94404149762373946</v>
          </cell>
          <cell r="L490">
            <v>0</v>
          </cell>
          <cell r="M490">
            <v>5.5958502376260585E-2</v>
          </cell>
          <cell r="U490" t="str">
            <v>1999OK</v>
          </cell>
          <cell r="V490">
            <v>1.8937459E-2</v>
          </cell>
          <cell r="W490">
            <v>3.6620866000000002E-2</v>
          </cell>
          <cell r="X490">
            <v>6.4110293999999998E-2</v>
          </cell>
          <cell r="Y490">
            <v>0.56889816999999998</v>
          </cell>
          <cell r="Z490">
            <v>0.31143321099999999</v>
          </cell>
          <cell r="AB490" t="str">
            <v>1999OK</v>
          </cell>
          <cell r="AC490">
            <v>0</v>
          </cell>
          <cell r="AD490">
            <v>0</v>
          </cell>
          <cell r="AE490">
            <v>0.6</v>
          </cell>
          <cell r="AF490">
            <v>0.4</v>
          </cell>
        </row>
        <row r="491">
          <cell r="B491" t="str">
            <v>1999OR</v>
          </cell>
          <cell r="C491">
            <v>0.3735614862297118</v>
          </cell>
          <cell r="D491">
            <v>0.20583904119255303</v>
          </cell>
          <cell r="E491">
            <v>0</v>
          </cell>
          <cell r="F491">
            <v>0.12666677079440403</v>
          </cell>
          <cell r="G491">
            <v>0.26955234658800925</v>
          </cell>
          <cell r="H491">
            <v>2.4380355195321869E-2</v>
          </cell>
          <cell r="J491" t="str">
            <v>1999OR</v>
          </cell>
          <cell r="K491">
            <v>0.7304476534119908</v>
          </cell>
          <cell r="L491">
            <v>0.26955234658800925</v>
          </cell>
          <cell r="M491">
            <v>0</v>
          </cell>
          <cell r="U491" t="str">
            <v>1999OR</v>
          </cell>
          <cell r="V491">
            <v>0.62835025700000002</v>
          </cell>
          <cell r="W491">
            <v>1.6352589000000001E-2</v>
          </cell>
          <cell r="X491">
            <v>0.10257532900000001</v>
          </cell>
          <cell r="Y491">
            <v>7.8418096000000007E-2</v>
          </cell>
          <cell r="Z491">
            <v>0.17430372899999999</v>
          </cell>
          <cell r="AB491" t="str">
            <v>1999OR</v>
          </cell>
          <cell r="AC491">
            <v>0</v>
          </cell>
          <cell r="AD491">
            <v>0</v>
          </cell>
          <cell r="AE491">
            <v>0.25</v>
          </cell>
          <cell r="AF491">
            <v>0.75</v>
          </cell>
        </row>
        <row r="492">
          <cell r="B492" t="str">
            <v>1999PA</v>
          </cell>
          <cell r="C492">
            <v>3.8634467684503591E-2</v>
          </cell>
          <cell r="D492">
            <v>0.10467421705116917</v>
          </cell>
          <cell r="E492">
            <v>0.47464519022287355</v>
          </cell>
          <cell r="F492">
            <v>0.26393864093674602</v>
          </cell>
          <cell r="G492">
            <v>9.3776724528044003E-2</v>
          </cell>
          <cell r="H492">
            <v>2.4330759576663682E-2</v>
          </cell>
          <cell r="J492" t="str">
            <v>1999PA</v>
          </cell>
          <cell r="K492">
            <v>0.43157808524908248</v>
          </cell>
          <cell r="L492">
            <v>9.3776724528044003E-2</v>
          </cell>
          <cell r="M492">
            <v>0.47464519022287355</v>
          </cell>
          <cell r="U492" t="str">
            <v>1999PA</v>
          </cell>
          <cell r="V492">
            <v>5.675438E-2</v>
          </cell>
          <cell r="W492">
            <v>4.8587112000000002E-2</v>
          </cell>
          <cell r="X492">
            <v>0.25266112800000001</v>
          </cell>
          <cell r="Y492">
            <v>0.17541047800000001</v>
          </cell>
          <cell r="Z492">
            <v>0.466586903</v>
          </cell>
          <cell r="AB492" t="str">
            <v>1999PA</v>
          </cell>
          <cell r="AC492">
            <v>0</v>
          </cell>
          <cell r="AD492">
            <v>0</v>
          </cell>
          <cell r="AE492">
            <v>0</v>
          </cell>
          <cell r="AF492">
            <v>1</v>
          </cell>
        </row>
        <row r="493">
          <cell r="B493" t="str">
            <v>1999RI</v>
          </cell>
          <cell r="C493">
            <v>2.6339140002370719E-2</v>
          </cell>
          <cell r="D493">
            <v>8.3370522881305684E-2</v>
          </cell>
          <cell r="E493">
            <v>0.49200037482980663</v>
          </cell>
          <cell r="F493">
            <v>0.26876020990734312</v>
          </cell>
          <cell r="G493">
            <v>0.10943193721603406</v>
          </cell>
          <cell r="H493">
            <v>2.0097815163139833E-2</v>
          </cell>
          <cell r="J493" t="str">
            <v>1999RI</v>
          </cell>
          <cell r="K493">
            <v>0.39856768795415931</v>
          </cell>
          <cell r="L493">
            <v>0.10943193721603406</v>
          </cell>
          <cell r="M493">
            <v>0.49200037482980663</v>
          </cell>
          <cell r="U493" t="str">
            <v>1999RI</v>
          </cell>
          <cell r="V493">
            <v>0.495373752</v>
          </cell>
          <cell r="W493">
            <v>2.2203555E-2</v>
          </cell>
          <cell r="X493">
            <v>0.13927684500000001</v>
          </cell>
          <cell r="Y493">
            <v>0.106476138</v>
          </cell>
          <cell r="Z493">
            <v>0.23666971000000001</v>
          </cell>
          <cell r="AB493" t="str">
            <v>1999RI</v>
          </cell>
          <cell r="AC493">
            <v>0</v>
          </cell>
          <cell r="AD493">
            <v>0</v>
          </cell>
          <cell r="AE493">
            <v>0.05</v>
          </cell>
          <cell r="AF493">
            <v>0.95</v>
          </cell>
        </row>
        <row r="494">
          <cell r="B494" t="str">
            <v>1999SC</v>
          </cell>
          <cell r="C494">
            <v>0.10553721663575917</v>
          </cell>
          <cell r="D494">
            <v>7.756225541595034E-2</v>
          </cell>
          <cell r="E494">
            <v>0.14528018779110094</v>
          </cell>
          <cell r="F494">
            <v>7.5602831351392147E-2</v>
          </cell>
          <cell r="G494">
            <v>0.5924856307600832</v>
          </cell>
          <cell r="H494">
            <v>3.5318780457141556E-3</v>
          </cell>
          <cell r="J494" t="str">
            <v>1999SC</v>
          </cell>
          <cell r="K494">
            <v>0.26223418144881583</v>
          </cell>
          <cell r="L494">
            <v>0.5924856307600832</v>
          </cell>
          <cell r="M494">
            <v>0.14528018779110094</v>
          </cell>
          <cell r="U494" t="str">
            <v>1999SC</v>
          </cell>
          <cell r="V494">
            <v>7.5759306999999998E-2</v>
          </cell>
          <cell r="W494">
            <v>3.5800732000000002E-2</v>
          </cell>
          <cell r="X494">
            <v>0.101468319</v>
          </cell>
          <cell r="Y494">
            <v>0.46402726300000002</v>
          </cell>
          <cell r="Z494">
            <v>0.322944379</v>
          </cell>
          <cell r="AB494" t="str">
            <v>1999SC</v>
          </cell>
          <cell r="AC494">
            <v>0</v>
          </cell>
          <cell r="AD494">
            <v>0</v>
          </cell>
          <cell r="AE494">
            <v>0.6</v>
          </cell>
          <cell r="AF494">
            <v>0.4</v>
          </cell>
        </row>
        <row r="495">
          <cell r="B495" t="str">
            <v>1999SD</v>
          </cell>
          <cell r="C495">
            <v>9.9292594672208689E-2</v>
          </cell>
          <cell r="D495">
            <v>0.20674467056981163</v>
          </cell>
          <cell r="E495">
            <v>0.13491731544602048</v>
          </cell>
          <cell r="F495">
            <v>0.43585892595192732</v>
          </cell>
          <cell r="G495">
            <v>7.9876420587444957E-2</v>
          </cell>
          <cell r="H495">
            <v>4.3310072772586874E-2</v>
          </cell>
          <cell r="J495" t="str">
            <v>1999SD</v>
          </cell>
          <cell r="K495">
            <v>0.78520626396653459</v>
          </cell>
          <cell r="L495">
            <v>7.9876420587444957E-2</v>
          </cell>
          <cell r="M495">
            <v>0.13491731544602048</v>
          </cell>
          <cell r="U495" t="str">
            <v>1999SD</v>
          </cell>
          <cell r="V495">
            <v>6.0718065000000002E-2</v>
          </cell>
          <cell r="W495">
            <v>4.8280943999999999E-2</v>
          </cell>
          <cell r="X495">
            <v>0.25170989700000002</v>
          </cell>
          <cell r="Y495">
            <v>0.17501336000000001</v>
          </cell>
          <cell r="Z495">
            <v>0.464277734</v>
          </cell>
          <cell r="AB495" t="str">
            <v>1999SD</v>
          </cell>
          <cell r="AC495">
            <v>0</v>
          </cell>
          <cell r="AD495">
            <v>0</v>
          </cell>
          <cell r="AE495">
            <v>0.02</v>
          </cell>
          <cell r="AF495">
            <v>0.98</v>
          </cell>
        </row>
        <row r="496">
          <cell r="B496" t="str">
            <v>1999TN</v>
          </cell>
          <cell r="C496">
            <v>3.0141171360848332E-2</v>
          </cell>
          <cell r="D496">
            <v>7.5594526225618866E-2</v>
          </cell>
          <cell r="E496">
            <v>0.14168173970744011</v>
          </cell>
          <cell r="F496">
            <v>0.12270074461872457</v>
          </cell>
          <cell r="G496">
            <v>0.61383267433971689</v>
          </cell>
          <cell r="H496">
            <v>1.6049143747651127E-2</v>
          </cell>
          <cell r="J496" t="str">
            <v>1999TN</v>
          </cell>
          <cell r="K496">
            <v>0.24448558595284298</v>
          </cell>
          <cell r="L496">
            <v>0.61383267433971689</v>
          </cell>
          <cell r="M496">
            <v>0.14168173970744011</v>
          </cell>
          <cell r="U496" t="str">
            <v>1999TN</v>
          </cell>
          <cell r="V496">
            <v>0.11947859399999999</v>
          </cell>
          <cell r="W496">
            <v>3.5483528E-2</v>
          </cell>
          <cell r="X496">
            <v>0.14011957</v>
          </cell>
          <cell r="Y496">
            <v>0.36598901499999997</v>
          </cell>
          <cell r="Z496">
            <v>0.33892929199999999</v>
          </cell>
          <cell r="AB496" t="str">
            <v>1999TN</v>
          </cell>
          <cell r="AC496">
            <v>0</v>
          </cell>
          <cell r="AD496">
            <v>0</v>
          </cell>
          <cell r="AE496">
            <v>0.05</v>
          </cell>
          <cell r="AF496">
            <v>0.95</v>
          </cell>
        </row>
        <row r="497">
          <cell r="B497" t="str">
            <v>1999TX</v>
          </cell>
          <cell r="C497">
            <v>0.50478251700083576</v>
          </cell>
          <cell r="D497">
            <v>0.25062220292288906</v>
          </cell>
          <cell r="E497">
            <v>7.4575982287425541E-2</v>
          </cell>
          <cell r="F497">
            <v>0.14574364347777247</v>
          </cell>
          <cell r="G497">
            <v>0</v>
          </cell>
          <cell r="H497">
            <v>2.4275654311077133E-2</v>
          </cell>
          <cell r="J497" t="str">
            <v>1999TX</v>
          </cell>
          <cell r="K497">
            <v>0.92542401771257443</v>
          </cell>
          <cell r="L497">
            <v>0</v>
          </cell>
          <cell r="M497">
            <v>7.4575982287425541E-2</v>
          </cell>
          <cell r="U497" t="str">
            <v>1999TX</v>
          </cell>
          <cell r="V497">
            <v>0.10279806</v>
          </cell>
          <cell r="W497">
            <v>3.3953761999999998E-2</v>
          </cell>
          <cell r="X497">
            <v>7.3254851999999995E-2</v>
          </cell>
          <cell r="Y497">
            <v>0.49465941000000002</v>
          </cell>
          <cell r="Z497">
            <v>0.29533391599999997</v>
          </cell>
          <cell r="AB497" t="str">
            <v>1999TX</v>
          </cell>
          <cell r="AC497">
            <v>0</v>
          </cell>
          <cell r="AD497">
            <v>0</v>
          </cell>
          <cell r="AE497">
            <v>0.12</v>
          </cell>
          <cell r="AF497">
            <v>0.88</v>
          </cell>
        </row>
        <row r="498">
          <cell r="B498" t="str">
            <v>1999UT</v>
          </cell>
          <cell r="C498">
            <v>0.45095823093986126</v>
          </cell>
          <cell r="D498">
            <v>0.27305349533681439</v>
          </cell>
          <cell r="E498">
            <v>2.1202849694221461E-2</v>
          </cell>
          <cell r="F498">
            <v>0.19829226511430362</v>
          </cell>
          <cell r="G498">
            <v>1.25529309134943E-2</v>
          </cell>
          <cell r="H498">
            <v>4.3940228001305121E-2</v>
          </cell>
          <cell r="J498" t="str">
            <v>1999UT</v>
          </cell>
          <cell r="K498">
            <v>0.96624421939228422</v>
          </cell>
          <cell r="L498">
            <v>1.25529309134943E-2</v>
          </cell>
          <cell r="M498">
            <v>2.1202849694221461E-2</v>
          </cell>
          <cell r="U498" t="str">
            <v>1999UT</v>
          </cell>
          <cell r="V498">
            <v>1.9422869999999998E-2</v>
          </cell>
          <cell r="W498">
            <v>5.4593969999999999E-2</v>
          </cell>
          <cell r="X498">
            <v>0.258236664</v>
          </cell>
          <cell r="Y498">
            <v>0.16873985499999999</v>
          </cell>
          <cell r="Z498">
            <v>0.499006642</v>
          </cell>
          <cell r="AB498" t="str">
            <v>1999UT</v>
          </cell>
          <cell r="AC498">
            <v>0</v>
          </cell>
          <cell r="AD498">
            <v>0</v>
          </cell>
          <cell r="AE498">
            <v>0.6</v>
          </cell>
          <cell r="AF498">
            <v>0.4</v>
          </cell>
        </row>
        <row r="499">
          <cell r="B499" t="str">
            <v>1999VT</v>
          </cell>
          <cell r="C499">
            <v>7.8302960854684953E-2</v>
          </cell>
          <cell r="D499">
            <v>0.15214425986140898</v>
          </cell>
          <cell r="E499">
            <v>0.45124818817140627</v>
          </cell>
          <cell r="F499">
            <v>0.22129155369078549</v>
          </cell>
          <cell r="G499">
            <v>7.2671501410409234E-2</v>
          </cell>
          <cell r="H499">
            <v>2.4341536011305141E-2</v>
          </cell>
          <cell r="J499" t="str">
            <v>1999VT</v>
          </cell>
          <cell r="K499">
            <v>0.47608031041818455</v>
          </cell>
          <cell r="L499">
            <v>7.2671501410409234E-2</v>
          </cell>
          <cell r="M499">
            <v>0.45124818817140627</v>
          </cell>
          <cell r="U499" t="str">
            <v>1999VT</v>
          </cell>
          <cell r="V499">
            <v>0.94415189700000002</v>
          </cell>
          <cell r="W499">
            <v>2.4573170000000001E-3</v>
          </cell>
          <cell r="X499">
            <v>1.5414076000000001E-2</v>
          </cell>
          <cell r="Y499">
            <v>1.178395E-2</v>
          </cell>
          <cell r="Z499">
            <v>2.6192759999999999E-2</v>
          </cell>
          <cell r="AB499" t="str">
            <v>1999VT</v>
          </cell>
          <cell r="AC499">
            <v>0</v>
          </cell>
          <cell r="AD499">
            <v>0</v>
          </cell>
          <cell r="AE499">
            <v>0.05</v>
          </cell>
          <cell r="AF499">
            <v>0.95</v>
          </cell>
        </row>
        <row r="500">
          <cell r="B500" t="str">
            <v>1999VA</v>
          </cell>
          <cell r="C500">
            <v>3.2237086924101523E-2</v>
          </cell>
          <cell r="D500">
            <v>7.8373177986189896E-2</v>
          </cell>
          <cell r="E500">
            <v>0.14285137156062253</v>
          </cell>
          <cell r="F500">
            <v>0.12279892470258763</v>
          </cell>
          <cell r="G500">
            <v>0.60689407704401521</v>
          </cell>
          <cell r="H500">
            <v>1.6845361782483335E-2</v>
          </cell>
          <cell r="J500" t="str">
            <v>1999VA</v>
          </cell>
          <cell r="K500">
            <v>0.25025455139536223</v>
          </cell>
          <cell r="L500">
            <v>0.60689407704401521</v>
          </cell>
          <cell r="M500">
            <v>0.14285137156062253</v>
          </cell>
          <cell r="U500" t="str">
            <v>1999VA</v>
          </cell>
          <cell r="V500">
            <v>4.2174484999999998E-2</v>
          </cell>
          <cell r="W500">
            <v>3.6336261000000002E-2</v>
          </cell>
          <cell r="X500">
            <v>8.0991042999999999E-2</v>
          </cell>
          <cell r="Y500">
            <v>0.523204012</v>
          </cell>
          <cell r="Z500">
            <v>0.31729419800000003</v>
          </cell>
          <cell r="AB500" t="str">
            <v>1999VA</v>
          </cell>
          <cell r="AC500">
            <v>0</v>
          </cell>
          <cell r="AD500">
            <v>0</v>
          </cell>
          <cell r="AE500">
            <v>0.05</v>
          </cell>
          <cell r="AF500">
            <v>0.95</v>
          </cell>
        </row>
        <row r="501">
          <cell r="B501" t="str">
            <v>1999WA</v>
          </cell>
          <cell r="C501">
            <v>0.450311701787251</v>
          </cell>
          <cell r="D501">
            <v>0.21929417850543911</v>
          </cell>
          <cell r="E501">
            <v>0</v>
          </cell>
          <cell r="F501">
            <v>0.11180309208829299</v>
          </cell>
          <cell r="G501">
            <v>0.20253782787888927</v>
          </cell>
          <cell r="H501">
            <v>1.6053199740127661E-2</v>
          </cell>
          <cell r="J501" t="str">
            <v>1999WA</v>
          </cell>
          <cell r="K501">
            <v>0.7974621721211107</v>
          </cell>
          <cell r="L501">
            <v>0.20253782787888927</v>
          </cell>
          <cell r="M501">
            <v>0</v>
          </cell>
          <cell r="U501" t="str">
            <v>1999WA</v>
          </cell>
          <cell r="V501">
            <v>0.328751344</v>
          </cell>
          <cell r="W501">
            <v>3.3015195999999997E-2</v>
          </cell>
          <cell r="X501">
            <v>0.181494353</v>
          </cell>
          <cell r="Y501">
            <v>0.13003261699999999</v>
          </cell>
          <cell r="Z501">
            <v>0.32670649099999999</v>
          </cell>
          <cell r="AB501" t="str">
            <v>1999WA</v>
          </cell>
          <cell r="AC501">
            <v>0</v>
          </cell>
          <cell r="AD501">
            <v>0</v>
          </cell>
          <cell r="AE501">
            <v>0.12</v>
          </cell>
          <cell r="AF501">
            <v>0.88</v>
          </cell>
        </row>
        <row r="502">
          <cell r="B502" t="str">
            <v>1999WV</v>
          </cell>
          <cell r="C502">
            <v>4.9194768304842838E-2</v>
          </cell>
          <cell r="D502">
            <v>0.12956006235430767</v>
          </cell>
          <cell r="E502">
            <v>0.46053619572343341</v>
          </cell>
          <cell r="F502">
            <v>0.25165197332432454</v>
          </cell>
          <cell r="G502">
            <v>8.1049731718403573E-2</v>
          </cell>
          <cell r="H502">
            <v>2.8007268574688049E-2</v>
          </cell>
          <cell r="J502" t="str">
            <v>1999WV</v>
          </cell>
          <cell r="K502">
            <v>0.45841407255816302</v>
          </cell>
          <cell r="L502">
            <v>8.1049731718403573E-2</v>
          </cell>
          <cell r="M502">
            <v>0.46053619572343341</v>
          </cell>
          <cell r="U502" t="str">
            <v>1999WV</v>
          </cell>
          <cell r="V502">
            <v>0.483105169</v>
          </cell>
          <cell r="W502">
            <v>2.3840099E-2</v>
          </cell>
          <cell r="X502">
            <v>0.14147485300000001</v>
          </cell>
          <cell r="Y502">
            <v>0.105409054</v>
          </cell>
          <cell r="Z502">
            <v>0.24617082500000001</v>
          </cell>
          <cell r="AB502" t="str">
            <v>1999WV</v>
          </cell>
          <cell r="AC502">
            <v>0</v>
          </cell>
          <cell r="AD502">
            <v>0</v>
          </cell>
          <cell r="AE502">
            <v>0.05</v>
          </cell>
          <cell r="AF502">
            <v>0.95</v>
          </cell>
        </row>
        <row r="503">
          <cell r="B503" t="str">
            <v>1999WI</v>
          </cell>
          <cell r="C503">
            <v>8.6148179953529941E-2</v>
          </cell>
          <cell r="D503">
            <v>0.19847185825263616</v>
          </cell>
          <cell r="E503">
            <v>0.1458443297900156</v>
          </cell>
          <cell r="F503">
            <v>0.44388301771881333</v>
          </cell>
          <cell r="G503">
            <v>8.6345647985133625E-2</v>
          </cell>
          <cell r="H503">
            <v>3.9306966299871238E-2</v>
          </cell>
          <cell r="J503" t="str">
            <v>1999WI</v>
          </cell>
          <cell r="K503">
            <v>0.76781002222485073</v>
          </cell>
          <cell r="L503">
            <v>8.6345647985133625E-2</v>
          </cell>
          <cell r="M503">
            <v>0.1458443297900156</v>
          </cell>
          <cell r="U503" t="str">
            <v>1999WI</v>
          </cell>
          <cell r="V503">
            <v>0.13468259599999999</v>
          </cell>
          <cell r="W503">
            <v>4.1562175999999999E-2</v>
          </cell>
          <cell r="X503">
            <v>0.23504870899999999</v>
          </cell>
          <cell r="Y503">
            <v>0.17095460600000001</v>
          </cell>
          <cell r="Z503">
            <v>0.41775191299999997</v>
          </cell>
          <cell r="AB503" t="str">
            <v>1999WI</v>
          </cell>
          <cell r="AC503">
            <v>0</v>
          </cell>
          <cell r="AD503">
            <v>0</v>
          </cell>
          <cell r="AE503">
            <v>0.02</v>
          </cell>
          <cell r="AF503">
            <v>0.98</v>
          </cell>
        </row>
        <row r="504">
          <cell r="B504" t="str">
            <v>1999WY</v>
          </cell>
          <cell r="C504">
            <v>0.28360489266269095</v>
          </cell>
          <cell r="D504">
            <v>0.22314974574252708</v>
          </cell>
          <cell r="E504">
            <v>0.13036568149752795</v>
          </cell>
          <cell r="F504">
            <v>0.22585720334247178</v>
          </cell>
          <cell r="G504">
            <v>7.718167213037723E-2</v>
          </cell>
          <cell r="H504">
            <v>5.9840804624405053E-2</v>
          </cell>
          <cell r="J504" t="str">
            <v>1999WY</v>
          </cell>
          <cell r="K504">
            <v>0.79245264637209489</v>
          </cell>
          <cell r="L504">
            <v>7.718167213037723E-2</v>
          </cell>
          <cell r="M504">
            <v>0.13036568149752795</v>
          </cell>
          <cell r="U504" t="str">
            <v>1999WY</v>
          </cell>
          <cell r="V504">
            <v>4.1620916000000001E-2</v>
          </cell>
          <cell r="W504">
            <v>5.3085847999999998E-2</v>
          </cell>
          <cell r="X504">
            <v>0.25268569400000002</v>
          </cell>
          <cell r="Y504">
            <v>0.165827425</v>
          </cell>
          <cell r="Z504">
            <v>0.48678011599999998</v>
          </cell>
          <cell r="AB504" t="str">
            <v>1999WY</v>
          </cell>
          <cell r="AC504">
            <v>0</v>
          </cell>
          <cell r="AD504">
            <v>0</v>
          </cell>
          <cell r="AE504">
            <v>0.6</v>
          </cell>
          <cell r="AF504">
            <v>0.4</v>
          </cell>
        </row>
        <row r="505">
          <cell r="B505" t="str">
            <v>2000AL</v>
          </cell>
          <cell r="C505">
            <v>0.13671649720930745</v>
          </cell>
          <cell r="D505">
            <v>8.5075719806174385E-2</v>
          </cell>
          <cell r="E505">
            <v>0.15716607874324406</v>
          </cell>
          <cell r="F505">
            <v>9.4771995254266383E-2</v>
          </cell>
          <cell r="G505">
            <v>0.52197505891377582</v>
          </cell>
          <cell r="H505">
            <v>4.2946500732317155E-3</v>
          </cell>
          <cell r="J505" t="str">
            <v>2000AL</v>
          </cell>
          <cell r="K505">
            <v>0.32085886234298011</v>
          </cell>
          <cell r="L505">
            <v>0.52197505891377582</v>
          </cell>
          <cell r="M505">
            <v>0.15716607874324406</v>
          </cell>
          <cell r="U505" t="str">
            <v>2000AL</v>
          </cell>
          <cell r="V505">
            <v>7.3644481999999997E-2</v>
          </cell>
          <cell r="W505">
            <v>3.5796794E-2</v>
          </cell>
          <cell r="X505">
            <v>9.8989890999999997E-2</v>
          </cell>
          <cell r="Y505">
            <v>0.46983566500000001</v>
          </cell>
          <cell r="Z505">
            <v>0.32173316800000001</v>
          </cell>
          <cell r="AB505" t="str">
            <v>2000AL</v>
          </cell>
          <cell r="AC505">
            <v>0</v>
          </cell>
          <cell r="AD505">
            <v>0</v>
          </cell>
          <cell r="AE505">
            <v>0.41899999999999998</v>
          </cell>
          <cell r="AF505">
            <v>0.58099999999999996</v>
          </cell>
        </row>
        <row r="506">
          <cell r="B506" t="str">
            <v>2000AK</v>
          </cell>
          <cell r="C506">
            <v>0.28173003970211707</v>
          </cell>
          <cell r="D506">
            <v>0.22082401931425424</v>
          </cell>
          <cell r="E506">
            <v>0.1045138064603538</v>
          </cell>
          <cell r="F506">
            <v>0.260779672475696</v>
          </cell>
          <cell r="G506">
            <v>6.187633317802041E-2</v>
          </cell>
          <cell r="H506">
            <v>7.0276128869558474E-2</v>
          </cell>
          <cell r="J506" t="str">
            <v>2000AK</v>
          </cell>
          <cell r="K506">
            <v>0.83360986036162577</v>
          </cell>
          <cell r="L506">
            <v>6.187633317802041E-2</v>
          </cell>
          <cell r="M506">
            <v>0.1045138064603538</v>
          </cell>
          <cell r="U506" t="str">
            <v>2000AK</v>
          </cell>
          <cell r="V506">
            <v>0.71579545300000003</v>
          </cell>
          <cell r="W506">
            <v>1.2505E-2</v>
          </cell>
          <cell r="X506">
            <v>7.8440455000000006E-2</v>
          </cell>
          <cell r="Y506">
            <v>5.9967158999999999E-2</v>
          </cell>
          <cell r="Z506">
            <v>0.133291932</v>
          </cell>
          <cell r="AB506" t="str">
            <v>2000AK</v>
          </cell>
          <cell r="AC506">
            <v>0</v>
          </cell>
          <cell r="AD506">
            <v>0</v>
          </cell>
          <cell r="AE506">
            <v>0.25</v>
          </cell>
          <cell r="AF506">
            <v>0.75</v>
          </cell>
        </row>
        <row r="507">
          <cell r="B507" t="str">
            <v>2000AZ</v>
          </cell>
          <cell r="C507">
            <v>0.61010649447951482</v>
          </cell>
          <cell r="D507">
            <v>0.19795170098018458</v>
          </cell>
          <cell r="E507">
            <v>9.8112714291955588E-2</v>
          </cell>
          <cell r="F507">
            <v>9.3336627808887754E-2</v>
          </cell>
          <cell r="G507">
            <v>0</v>
          </cell>
          <cell r="H507">
            <v>4.9246243945719865E-4</v>
          </cell>
          <cell r="J507" t="str">
            <v>2000AZ</v>
          </cell>
          <cell r="K507">
            <v>0.90188728570804444</v>
          </cell>
          <cell r="L507">
            <v>0</v>
          </cell>
          <cell r="M507">
            <v>9.8112714291955588E-2</v>
          </cell>
          <cell r="U507" t="str">
            <v>2000AZ</v>
          </cell>
          <cell r="V507">
            <v>0.107488958</v>
          </cell>
          <cell r="W507">
            <v>3.3971818000000001E-2</v>
          </cell>
          <cell r="X507">
            <v>7.9046534000000002E-2</v>
          </cell>
          <cell r="Y507">
            <v>0.481260466</v>
          </cell>
          <cell r="Z507">
            <v>0.29823222300000002</v>
          </cell>
          <cell r="AB507" t="str">
            <v>2000AZ</v>
          </cell>
          <cell r="AC507">
            <v>0</v>
          </cell>
          <cell r="AD507">
            <v>0</v>
          </cell>
          <cell r="AE507">
            <v>0.6</v>
          </cell>
          <cell r="AF507">
            <v>0.4</v>
          </cell>
        </row>
        <row r="508">
          <cell r="B508" t="str">
            <v>2000AR</v>
          </cell>
          <cell r="C508">
            <v>8.1207805397763538E-2</v>
          </cell>
          <cell r="D508">
            <v>5.8537773958124435E-2</v>
          </cell>
          <cell r="E508">
            <v>0.14498001468318919</v>
          </cell>
          <cell r="F508">
            <v>0.11522107403717526</v>
          </cell>
          <cell r="G508">
            <v>0.59426634518670596</v>
          </cell>
          <cell r="H508">
            <v>5.7869867370417454E-3</v>
          </cell>
          <cell r="J508" t="str">
            <v>2000AR</v>
          </cell>
          <cell r="K508">
            <v>0.26075364013010482</v>
          </cell>
          <cell r="L508">
            <v>0.59426634518670596</v>
          </cell>
          <cell r="M508">
            <v>0.14498001468318919</v>
          </cell>
          <cell r="U508" t="str">
            <v>2000AR</v>
          </cell>
          <cell r="V508">
            <v>3.1490099000000001E-2</v>
          </cell>
          <cell r="W508">
            <v>3.7734872000000003E-2</v>
          </cell>
          <cell r="X508">
            <v>0.113253954</v>
          </cell>
          <cell r="Y508">
            <v>0.474125723</v>
          </cell>
          <cell r="Z508">
            <v>0.34339535199999999</v>
          </cell>
          <cell r="AB508" t="str">
            <v>2000AR</v>
          </cell>
          <cell r="AC508">
            <v>0</v>
          </cell>
          <cell r="AD508">
            <v>0</v>
          </cell>
          <cell r="AE508">
            <v>0</v>
          </cell>
          <cell r="AF508">
            <v>1</v>
          </cell>
        </row>
        <row r="509">
          <cell r="B509" t="str">
            <v>2000CA</v>
          </cell>
          <cell r="C509">
            <v>0.5774186966195809</v>
          </cell>
          <cell r="D509">
            <v>0.20942071957090691</v>
          </cell>
          <cell r="E509">
            <v>0.10896438514305976</v>
          </cell>
          <cell r="F509">
            <v>9.1654796220677556E-2</v>
          </cell>
          <cell r="G509">
            <v>1.0214416277861313E-2</v>
          </cell>
          <cell r="H509">
            <v>2.3269861679134328E-3</v>
          </cell>
          <cell r="J509" t="str">
            <v>2000CA</v>
          </cell>
          <cell r="K509">
            <v>0.88082119857907892</v>
          </cell>
          <cell r="L509">
            <v>1.0214416277861313E-2</v>
          </cell>
          <cell r="M509">
            <v>0.10896438514305976</v>
          </cell>
          <cell r="U509" t="str">
            <v>2000CA</v>
          </cell>
          <cell r="V509">
            <v>0.118652467</v>
          </cell>
          <cell r="W509">
            <v>3.3485911E-2</v>
          </cell>
          <cell r="X509">
            <v>7.6132324000000001E-2</v>
          </cell>
          <cell r="Y509">
            <v>0.47861267099999999</v>
          </cell>
          <cell r="Z509">
            <v>0.29311662799999999</v>
          </cell>
          <cell r="AB509" t="str">
            <v>2000CA</v>
          </cell>
          <cell r="AC509">
            <v>0</v>
          </cell>
          <cell r="AD509">
            <v>0</v>
          </cell>
          <cell r="AE509">
            <v>0.12</v>
          </cell>
          <cell r="AF509">
            <v>0.88</v>
          </cell>
        </row>
        <row r="510">
          <cell r="B510" t="str">
            <v>2000CO</v>
          </cell>
          <cell r="C510">
            <v>0.59222454302508265</v>
          </cell>
          <cell r="D510">
            <v>0.25174012558390579</v>
          </cell>
          <cell r="E510">
            <v>1.5478544836455664E-2</v>
          </cell>
          <cell r="F510">
            <v>0.11984073316896661</v>
          </cell>
          <cell r="G510">
            <v>9.1639146046677781E-3</v>
          </cell>
          <cell r="H510">
            <v>1.1552138780921421E-2</v>
          </cell>
          <cell r="J510" t="str">
            <v>2000CO</v>
          </cell>
          <cell r="K510">
            <v>0.97535754055887658</v>
          </cell>
          <cell r="L510">
            <v>9.1639146046677781E-3</v>
          </cell>
          <cell r="M510">
            <v>1.5478544836455664E-2</v>
          </cell>
          <cell r="U510" t="str">
            <v>2000CO</v>
          </cell>
          <cell r="V510">
            <v>2.4022819000000001E-2</v>
          </cell>
          <cell r="W510">
            <v>5.3868221000000001E-2</v>
          </cell>
          <cell r="X510">
            <v>0.25753404099999999</v>
          </cell>
          <cell r="Y510">
            <v>0.16951376700000001</v>
          </cell>
          <cell r="Z510">
            <v>0.49506115099999998</v>
          </cell>
          <cell r="AB510" t="str">
            <v>2000CO</v>
          </cell>
          <cell r="AC510">
            <v>0</v>
          </cell>
          <cell r="AD510">
            <v>0</v>
          </cell>
          <cell r="AE510">
            <v>0.6</v>
          </cell>
          <cell r="AF510">
            <v>0.4</v>
          </cell>
        </row>
        <row r="511">
          <cell r="B511" t="str">
            <v>2000CT</v>
          </cell>
          <cell r="C511">
            <v>9.9041325269441108E-2</v>
          </cell>
          <cell r="D511">
            <v>0.18703346129607312</v>
          </cell>
          <cell r="E511">
            <v>0.43526895603698273</v>
          </cell>
          <cell r="F511">
            <v>0.19373061263719674</v>
          </cell>
          <cell r="G511">
            <v>5.8257464145992338E-2</v>
          </cell>
          <cell r="H511">
            <v>2.6668180614314019E-2</v>
          </cell>
          <cell r="J511" t="str">
            <v>2000CT</v>
          </cell>
          <cell r="K511">
            <v>0.5064735798170249</v>
          </cell>
          <cell r="L511">
            <v>5.8257464145992338E-2</v>
          </cell>
          <cell r="M511">
            <v>0.43526895603698273</v>
          </cell>
          <cell r="U511" t="str">
            <v>2000CT</v>
          </cell>
          <cell r="V511">
            <v>0.58506592700000004</v>
          </cell>
          <cell r="W511">
            <v>1.8257098999999999E-2</v>
          </cell>
          <cell r="X511">
            <v>0.114521804</v>
          </cell>
          <cell r="Y511">
            <v>8.7551088999999999E-2</v>
          </cell>
          <cell r="Z511">
            <v>0.19460408000000001</v>
          </cell>
          <cell r="AB511" t="str">
            <v>2000CT</v>
          </cell>
          <cell r="AC511">
            <v>0</v>
          </cell>
          <cell r="AD511">
            <v>0</v>
          </cell>
          <cell r="AE511">
            <v>0.05</v>
          </cell>
          <cell r="AF511">
            <v>0.95</v>
          </cell>
        </row>
        <row r="512">
          <cell r="B512" t="str">
            <v>2000DE</v>
          </cell>
          <cell r="C512">
            <v>8.1619718295343549E-2</v>
          </cell>
          <cell r="D512">
            <v>0.17027630106209479</v>
          </cell>
          <cell r="E512">
            <v>0.44419396516493448</v>
          </cell>
          <cell r="F512">
            <v>0.21138998575232434</v>
          </cell>
          <cell r="G512">
            <v>6.6308252386212074E-2</v>
          </cell>
          <cell r="H512">
            <v>2.6211777339090796E-2</v>
          </cell>
          <cell r="J512" t="str">
            <v>2000DE</v>
          </cell>
          <cell r="K512">
            <v>0.48949778244885345</v>
          </cell>
          <cell r="L512">
            <v>6.6308252386212074E-2</v>
          </cell>
          <cell r="M512">
            <v>0.44419396516493448</v>
          </cell>
          <cell r="U512" t="str">
            <v>2000DE</v>
          </cell>
          <cell r="V512">
            <v>0.118038978</v>
          </cell>
          <cell r="W512">
            <v>4.3242563999999997E-2</v>
          </cell>
          <cell r="X512">
            <v>0.23861527299999999</v>
          </cell>
          <cell r="Y512">
            <v>0.171306178</v>
          </cell>
          <cell r="Z512">
            <v>0.42879700700000001</v>
          </cell>
          <cell r="AB512" t="str">
            <v>2000DE</v>
          </cell>
          <cell r="AC512">
            <v>0</v>
          </cell>
          <cell r="AD512">
            <v>0</v>
          </cell>
          <cell r="AE512">
            <v>0.05</v>
          </cell>
          <cell r="AF512">
            <v>0.95</v>
          </cell>
        </row>
        <row r="513">
          <cell r="B513" t="str">
            <v>2000FL</v>
          </cell>
          <cell r="C513">
            <v>0.40576513509744611</v>
          </cell>
          <cell r="D513">
            <v>0.14695775239182524</v>
          </cell>
          <cell r="E513">
            <v>0.21989330537874519</v>
          </cell>
          <cell r="F513">
            <v>7.6574411627090971E-2</v>
          </cell>
          <cell r="G513">
            <v>0.14985885507088165</v>
          </cell>
          <cell r="H513">
            <v>9.505404340108348E-4</v>
          </cell>
          <cell r="J513" t="str">
            <v>2000FL</v>
          </cell>
          <cell r="K513">
            <v>0.63024783955037322</v>
          </cell>
          <cell r="L513">
            <v>0.14985885507088165</v>
          </cell>
          <cell r="M513">
            <v>0.21989330537874519</v>
          </cell>
          <cell r="U513" t="str">
            <v>2000FL</v>
          </cell>
          <cell r="V513">
            <v>0.67369313099999995</v>
          </cell>
          <cell r="W513">
            <v>1.4357501999999999E-2</v>
          </cell>
          <cell r="X513">
            <v>9.0060695999999996E-2</v>
          </cell>
          <cell r="Y513">
            <v>6.8850749000000003E-2</v>
          </cell>
          <cell r="Z513">
            <v>0.15303792199999999</v>
          </cell>
          <cell r="AB513" t="str">
            <v>2000FL</v>
          </cell>
          <cell r="AC513">
            <v>0</v>
          </cell>
          <cell r="AD513">
            <v>0</v>
          </cell>
          <cell r="AE513">
            <v>0.41899999999999998</v>
          </cell>
          <cell r="AF513">
            <v>0.58099999999999996</v>
          </cell>
        </row>
        <row r="514">
          <cell r="B514" t="str">
            <v>2000GA</v>
          </cell>
          <cell r="C514">
            <v>0.17722923332797277</v>
          </cell>
          <cell r="D514">
            <v>0.10077742381841787</v>
          </cell>
          <cell r="E514">
            <v>0.16858106724111219</v>
          </cell>
          <cell r="F514">
            <v>9.514944328369207E-2</v>
          </cell>
          <cell r="G514">
            <v>0.45425801777277708</v>
          </cell>
          <cell r="H514">
            <v>4.0048145560279361E-3</v>
          </cell>
          <cell r="J514" t="str">
            <v>2000GA</v>
          </cell>
          <cell r="K514">
            <v>0.37716091498611071</v>
          </cell>
          <cell r="L514">
            <v>0.45425801777277708</v>
          </cell>
          <cell r="M514">
            <v>0.16858106724111219</v>
          </cell>
          <cell r="U514" t="str">
            <v>2000GA</v>
          </cell>
          <cell r="V514">
            <v>8.3368173000000004E-2</v>
          </cell>
          <cell r="W514">
            <v>3.5843524000000002E-2</v>
          </cell>
          <cell r="X514">
            <v>0.111289103</v>
          </cell>
          <cell r="Y514">
            <v>0.44154685399999999</v>
          </cell>
          <cell r="Z514">
            <v>0.32795234600000001</v>
          </cell>
          <cell r="AB514" t="str">
            <v>2000GA</v>
          </cell>
          <cell r="AC514">
            <v>0</v>
          </cell>
          <cell r="AD514">
            <v>0</v>
          </cell>
          <cell r="AE514">
            <v>0.41899999999999998</v>
          </cell>
          <cell r="AF514">
            <v>0.58099999999999996</v>
          </cell>
        </row>
        <row r="515">
          <cell r="B515" t="str">
            <v>2000HI</v>
          </cell>
          <cell r="C515">
            <v>0.61449676075461601</v>
          </cell>
          <cell r="D515">
            <v>0.21061650656149208</v>
          </cell>
          <cell r="E515">
            <v>0</v>
          </cell>
          <cell r="F515">
            <v>0.11555366568897156</v>
          </cell>
          <cell r="G515">
            <v>5.1965687415725603E-2</v>
          </cell>
          <cell r="H515">
            <v>7.3673795791945138E-3</v>
          </cell>
          <cell r="J515" t="str">
            <v>2000HI</v>
          </cell>
          <cell r="K515">
            <v>0.9480343125842744</v>
          </cell>
          <cell r="L515">
            <v>5.1965687415725603E-2</v>
          </cell>
          <cell r="M515">
            <v>0</v>
          </cell>
          <cell r="U515" t="str">
            <v>2000HI</v>
          </cell>
          <cell r="V515">
            <v>0.28222090500000002</v>
          </cell>
          <cell r="W515">
            <v>3.1054456000000001E-2</v>
          </cell>
          <cell r="X515">
            <v>0.18144285299999999</v>
          </cell>
          <cell r="Y515">
            <v>0.180632549</v>
          </cell>
          <cell r="Z515">
            <v>0.32464923699999998</v>
          </cell>
          <cell r="AB515" t="str">
            <v>2000HI</v>
          </cell>
          <cell r="AC515">
            <v>0</v>
          </cell>
          <cell r="AD515">
            <v>0</v>
          </cell>
          <cell r="AE515">
            <v>0.25</v>
          </cell>
          <cell r="AF515">
            <v>0.75</v>
          </cell>
        </row>
        <row r="516">
          <cell r="B516" t="str">
            <v>2000ID</v>
          </cell>
          <cell r="C516">
            <v>0.60009490325998471</v>
          </cell>
          <cell r="D516">
            <v>0.23880776558248734</v>
          </cell>
          <cell r="E516">
            <v>1.1093779581529871E-2</v>
          </cell>
          <cell r="F516">
            <v>0.1298584162296027</v>
          </cell>
          <cell r="G516">
            <v>6.5679590557316129E-3</v>
          </cell>
          <cell r="H516">
            <v>1.3577176290663604E-2</v>
          </cell>
          <cell r="J516" t="str">
            <v>2000ID</v>
          </cell>
          <cell r="K516">
            <v>0.9823382613627385</v>
          </cell>
          <cell r="L516">
            <v>6.5679590557316129E-3</v>
          </cell>
          <cell r="M516">
            <v>1.1093779581529871E-2</v>
          </cell>
          <cell r="U516" t="str">
            <v>2000ID</v>
          </cell>
          <cell r="V516">
            <v>0.41092015599999998</v>
          </cell>
          <cell r="W516">
            <v>2.9006922000000001E-2</v>
          </cell>
          <cell r="X516">
            <v>0.15924134400000001</v>
          </cell>
          <cell r="Y516">
            <v>0.114004484</v>
          </cell>
          <cell r="Z516">
            <v>0.286827094</v>
          </cell>
          <cell r="AB516" t="str">
            <v>2000ID</v>
          </cell>
          <cell r="AC516">
            <v>0</v>
          </cell>
          <cell r="AD516">
            <v>0</v>
          </cell>
          <cell r="AE516">
            <v>0.6</v>
          </cell>
          <cell r="AF516">
            <v>0.4</v>
          </cell>
        </row>
        <row r="517">
          <cell r="B517" t="str">
            <v>2000IL</v>
          </cell>
          <cell r="C517">
            <v>0.10330678477604993</v>
          </cell>
          <cell r="D517">
            <v>0.23176728851631898</v>
          </cell>
          <cell r="E517">
            <v>9.7350418429090133E-2</v>
          </cell>
          <cell r="F517">
            <v>0.46279111247915095</v>
          </cell>
          <cell r="G517">
            <v>5.7635322353540908E-2</v>
          </cell>
          <cell r="H517">
            <v>4.7149073445849177E-2</v>
          </cell>
          <cell r="J517" t="str">
            <v>2000IL</v>
          </cell>
          <cell r="K517">
            <v>0.84501425921736895</v>
          </cell>
          <cell r="L517">
            <v>5.7635322353540908E-2</v>
          </cell>
          <cell r="M517">
            <v>9.7350418429090133E-2</v>
          </cell>
          <cell r="U517" t="str">
            <v>2000IL</v>
          </cell>
          <cell r="V517">
            <v>2.9120689000000002E-2</v>
          </cell>
          <cell r="W517">
            <v>4.5095999999999997E-2</v>
          </cell>
          <cell r="X517">
            <v>0.276877604</v>
          </cell>
          <cell r="Y517">
            <v>0.15314902899999999</v>
          </cell>
          <cell r="Z517">
            <v>0.49575667699999998</v>
          </cell>
          <cell r="AB517" t="str">
            <v>2000IL</v>
          </cell>
          <cell r="AC517">
            <v>0</v>
          </cell>
          <cell r="AD517">
            <v>0</v>
          </cell>
          <cell r="AE517">
            <v>0.02</v>
          </cell>
          <cell r="AF517">
            <v>0.98</v>
          </cell>
        </row>
        <row r="518">
          <cell r="B518" t="str">
            <v>2000IN</v>
          </cell>
          <cell r="C518">
            <v>0.11709607149325595</v>
          </cell>
          <cell r="D518">
            <v>0.20917969308190978</v>
          </cell>
          <cell r="E518">
            <v>0.1535490168515328</v>
          </cell>
          <cell r="F518">
            <v>0.39136712522966216</v>
          </cell>
          <cell r="G518">
            <v>9.0907129379763182E-2</v>
          </cell>
          <cell r="H518">
            <v>3.7900963963876134E-2</v>
          </cell>
          <cell r="J518" t="str">
            <v>2000IN</v>
          </cell>
          <cell r="K518">
            <v>0.75554385376870403</v>
          </cell>
          <cell r="L518">
            <v>9.0907129379763182E-2</v>
          </cell>
          <cell r="M518">
            <v>0.1535490168515328</v>
          </cell>
          <cell r="U518" t="str">
            <v>2000IN</v>
          </cell>
          <cell r="V518">
            <v>3.3019643000000001E-2</v>
          </cell>
          <cell r="W518">
            <v>4.4986216000000002E-2</v>
          </cell>
          <cell r="X518">
            <v>0.27603313099999999</v>
          </cell>
          <cell r="Y518">
            <v>0.150982853</v>
          </cell>
          <cell r="Z518">
            <v>0.49497815699999997</v>
          </cell>
          <cell r="AB518" t="str">
            <v>2000IN</v>
          </cell>
          <cell r="AC518">
            <v>0</v>
          </cell>
          <cell r="AD518">
            <v>0</v>
          </cell>
          <cell r="AE518">
            <v>0</v>
          </cell>
          <cell r="AF518">
            <v>1</v>
          </cell>
        </row>
        <row r="519">
          <cell r="B519" t="str">
            <v>2000IA</v>
          </cell>
          <cell r="C519">
            <v>0.10529581607327312</v>
          </cell>
          <cell r="D519">
            <v>0.2156085682844327</v>
          </cell>
          <cell r="E519">
            <v>0.13036308658982138</v>
          </cell>
          <cell r="F519">
            <v>0.43142849297188901</v>
          </cell>
          <cell r="G519">
            <v>7.7180135841735067E-2</v>
          </cell>
          <cell r="H519">
            <v>4.0123900238848639E-2</v>
          </cell>
          <cell r="J519" t="str">
            <v>2000IA</v>
          </cell>
          <cell r="K519">
            <v>0.79245677756844357</v>
          </cell>
          <cell r="L519">
            <v>7.7180135841735067E-2</v>
          </cell>
          <cell r="M519">
            <v>0.13036308658982138</v>
          </cell>
          <cell r="U519" t="str">
            <v>2000IA</v>
          </cell>
          <cell r="V519">
            <v>1.6944542999999999E-2</v>
          </cell>
          <cell r="W519">
            <v>3.8966886999999999E-2</v>
          </cell>
          <cell r="X519">
            <v>0.13595914000000001</v>
          </cell>
          <cell r="Y519">
            <v>0.44446511900000002</v>
          </cell>
          <cell r="Z519">
            <v>0.36366431100000002</v>
          </cell>
          <cell r="AB519" t="str">
            <v>2000IA</v>
          </cell>
          <cell r="AC519">
            <v>0</v>
          </cell>
          <cell r="AD519">
            <v>0</v>
          </cell>
          <cell r="AE519">
            <v>0</v>
          </cell>
          <cell r="AF519">
            <v>1</v>
          </cell>
        </row>
        <row r="520">
          <cell r="B520" t="str">
            <v>2000KS</v>
          </cell>
          <cell r="C520">
            <v>0.19322054195589417</v>
          </cell>
          <cell r="D520">
            <v>0.26414682149293861</v>
          </cell>
          <cell r="E520">
            <v>8.5699504052136513E-2</v>
          </cell>
          <cell r="F520">
            <v>0.3704410035172313</v>
          </cell>
          <cell r="G520">
            <v>5.0737517324399226E-2</v>
          </cell>
          <cell r="H520">
            <v>3.5754611657400216E-2</v>
          </cell>
          <cell r="J520" t="str">
            <v>2000KS</v>
          </cell>
          <cell r="K520">
            <v>0.86356297862346421</v>
          </cell>
          <cell r="L520">
            <v>5.0737517324399226E-2</v>
          </cell>
          <cell r="M520">
            <v>8.5699504052136513E-2</v>
          </cell>
          <cell r="U520" t="str">
            <v>2000KS</v>
          </cell>
          <cell r="V520">
            <v>3.6674505000000003E-2</v>
          </cell>
          <cell r="W520">
            <v>4.5425667000000003E-2</v>
          </cell>
          <cell r="X520">
            <v>0.27727538099999999</v>
          </cell>
          <cell r="Y520">
            <v>0.13715592400000001</v>
          </cell>
          <cell r="Z520">
            <v>0.50346852399999997</v>
          </cell>
          <cell r="AB520" t="str">
            <v>2000KS</v>
          </cell>
          <cell r="AC520">
            <v>0</v>
          </cell>
          <cell r="AD520">
            <v>0</v>
          </cell>
          <cell r="AE520">
            <v>0.02</v>
          </cell>
          <cell r="AF520">
            <v>0.98</v>
          </cell>
        </row>
        <row r="521">
          <cell r="B521" t="str">
            <v>2000KY</v>
          </cell>
          <cell r="C521">
            <v>1.9288021336179916E-2</v>
          </cell>
          <cell r="D521">
            <v>5.6827171102929716E-2</v>
          </cell>
          <cell r="E521">
            <v>0.14064442980426797</v>
          </cell>
          <cell r="F521">
            <v>0.1482566580785282</v>
          </cell>
          <cell r="G521">
            <v>0.61998629923405624</v>
          </cell>
          <cell r="H521">
            <v>1.4997420444037986E-2</v>
          </cell>
          <cell r="J521" t="str">
            <v>2000KY</v>
          </cell>
          <cell r="K521">
            <v>0.23936927096167582</v>
          </cell>
          <cell r="L521">
            <v>0.61998629923405624</v>
          </cell>
          <cell r="M521">
            <v>0.14064442980426797</v>
          </cell>
          <cell r="U521" t="str">
            <v>2000KY</v>
          </cell>
          <cell r="V521">
            <v>5.8367308E-2</v>
          </cell>
          <cell r="W521">
            <v>3.7327986E-2</v>
          </cell>
          <cell r="X521">
            <v>0.13032613400000001</v>
          </cell>
          <cell r="Y521">
            <v>0.42556892000000002</v>
          </cell>
          <cell r="Z521">
            <v>0.34840965200000001</v>
          </cell>
          <cell r="AB521" t="str">
            <v>2000KY</v>
          </cell>
          <cell r="AC521">
            <v>0</v>
          </cell>
          <cell r="AD521">
            <v>0</v>
          </cell>
          <cell r="AE521">
            <v>0.05</v>
          </cell>
          <cell r="AF521">
            <v>0.95</v>
          </cell>
        </row>
        <row r="522">
          <cell r="B522" t="str">
            <v>2000LA</v>
          </cell>
          <cell r="C522">
            <v>8.8207646600464054E-2</v>
          </cell>
          <cell r="D522">
            <v>6.4025341122226909E-2</v>
          </cell>
          <cell r="E522">
            <v>0.14556008970709086</v>
          </cell>
          <cell r="F522">
            <v>0.1061195647255837</v>
          </cell>
          <cell r="G522">
            <v>0.59082517095637233</v>
          </cell>
          <cell r="H522">
            <v>5.2621868882621603E-3</v>
          </cell>
          <cell r="J522" t="str">
            <v>2000LA</v>
          </cell>
          <cell r="K522">
            <v>0.26361473933653679</v>
          </cell>
          <cell r="L522">
            <v>0.59082517095637233</v>
          </cell>
          <cell r="M522">
            <v>0.14556008970709086</v>
          </cell>
          <cell r="U522" t="str">
            <v>2000LA</v>
          </cell>
          <cell r="V522">
            <v>0.566392271</v>
          </cell>
          <cell r="W522">
            <v>1.907874E-2</v>
          </cell>
          <cell r="X522">
            <v>0.11967573300000001</v>
          </cell>
          <cell r="Y522">
            <v>9.1491231000000006E-2</v>
          </cell>
          <cell r="Z522">
            <v>0.203362025</v>
          </cell>
          <cell r="AB522" t="str">
            <v>2000LA</v>
          </cell>
          <cell r="AC522">
            <v>0</v>
          </cell>
          <cell r="AD522">
            <v>0</v>
          </cell>
          <cell r="AE522">
            <v>0.6</v>
          </cell>
          <cell r="AF522">
            <v>0.4</v>
          </cell>
        </row>
        <row r="523">
          <cell r="B523" t="str">
            <v>2000ME</v>
          </cell>
          <cell r="C523">
            <v>7.2761505135462215E-2</v>
          </cell>
          <cell r="D523">
            <v>0.14990021969545692</v>
          </cell>
          <cell r="E523">
            <v>0.4567352188738657</v>
          </cell>
          <cell r="F523">
            <v>0.2211886601474865</v>
          </cell>
          <cell r="G523">
            <v>7.7621067469085342E-2</v>
          </cell>
          <cell r="H523">
            <v>2.1793328678643319E-2</v>
          </cell>
          <cell r="J523" t="str">
            <v>2000ME</v>
          </cell>
          <cell r="K523">
            <v>0.46564371365704893</v>
          </cell>
          <cell r="L523">
            <v>7.7621067469085342E-2</v>
          </cell>
          <cell r="M523">
            <v>0.4567352188738657</v>
          </cell>
          <cell r="U523" t="str">
            <v>2000ME</v>
          </cell>
          <cell r="V523">
            <v>0.83752121199999996</v>
          </cell>
          <cell r="W523">
            <v>7.1490670000000003E-3</v>
          </cell>
          <cell r="X523">
            <v>4.4844145000000002E-2</v>
          </cell>
          <cell r="Y523">
            <v>3.4283024000000002E-2</v>
          </cell>
          <cell r="Z523">
            <v>7.6202552000000007E-2</v>
          </cell>
          <cell r="AB523" t="str">
            <v>2000ME</v>
          </cell>
          <cell r="AC523">
            <v>0</v>
          </cell>
          <cell r="AD523">
            <v>0</v>
          </cell>
          <cell r="AE523">
            <v>0.05</v>
          </cell>
          <cell r="AF523">
            <v>0.95</v>
          </cell>
        </row>
        <row r="524">
          <cell r="B524" t="str">
            <v>2000MD</v>
          </cell>
          <cell r="C524">
            <v>6.7629191964882235E-2</v>
          </cell>
          <cell r="D524">
            <v>0.14552664867719745</v>
          </cell>
          <cell r="E524">
            <v>0.44840952882280999</v>
          </cell>
          <cell r="F524">
            <v>0.23796054899461136</v>
          </cell>
          <cell r="G524">
            <v>7.0110893911410122E-2</v>
          </cell>
          <cell r="H524">
            <v>3.0363187629088809E-2</v>
          </cell>
          <cell r="J524" t="str">
            <v>2000MD</v>
          </cell>
          <cell r="K524">
            <v>0.48147957726577983</v>
          </cell>
          <cell r="L524">
            <v>7.0110893911410122E-2</v>
          </cell>
          <cell r="M524">
            <v>0.44840952882280999</v>
          </cell>
          <cell r="U524" t="str">
            <v>2000MD</v>
          </cell>
          <cell r="V524">
            <v>0.20404877599999999</v>
          </cell>
          <cell r="W524">
            <v>3.8296403E-2</v>
          </cell>
          <cell r="X524">
            <v>0.21613510999999999</v>
          </cell>
          <cell r="Y524">
            <v>0.15703054499999999</v>
          </cell>
          <cell r="Z524">
            <v>0.38448916599999999</v>
          </cell>
          <cell r="AB524" t="str">
            <v>2000MD</v>
          </cell>
          <cell r="AC524">
            <v>0</v>
          </cell>
          <cell r="AD524">
            <v>0</v>
          </cell>
          <cell r="AE524">
            <v>0.05</v>
          </cell>
          <cell r="AF524">
            <v>0.95</v>
          </cell>
        </row>
        <row r="525">
          <cell r="B525" t="str">
            <v>2000MA</v>
          </cell>
          <cell r="C525">
            <v>5.4928567291483744E-2</v>
          </cell>
          <cell r="D525">
            <v>0.14103669173293448</v>
          </cell>
          <cell r="E525">
            <v>0.45447464252897263</v>
          </cell>
          <cell r="F525">
            <v>0.24481806617738872</v>
          </cell>
          <cell r="G525">
            <v>7.5581918691457015E-2</v>
          </cell>
          <cell r="H525">
            <v>2.9160113577763512E-2</v>
          </cell>
          <cell r="J525" t="str">
            <v>2000MA</v>
          </cell>
          <cell r="K525">
            <v>0.46994343877957034</v>
          </cell>
          <cell r="L525">
            <v>7.5581918691457015E-2</v>
          </cell>
          <cell r="M525">
            <v>0.45447464252897263</v>
          </cell>
          <cell r="U525" t="str">
            <v>2000MA</v>
          </cell>
          <cell r="V525">
            <v>0.35819703400000003</v>
          </cell>
          <cell r="W525">
            <v>2.8239330999999999E-2</v>
          </cell>
          <cell r="X525">
            <v>0.177137619</v>
          </cell>
          <cell r="Y525">
            <v>0.13542042600000001</v>
          </cell>
          <cell r="Z525">
            <v>0.30100559100000002</v>
          </cell>
          <cell r="AB525" t="str">
            <v>2000MA</v>
          </cell>
          <cell r="AC525">
            <v>0</v>
          </cell>
          <cell r="AD525">
            <v>0</v>
          </cell>
          <cell r="AE525">
            <v>0.05</v>
          </cell>
          <cell r="AF525">
            <v>0.95</v>
          </cell>
        </row>
        <row r="526">
          <cell r="B526" t="str">
            <v>2000MI</v>
          </cell>
          <cell r="C526">
            <v>0.17602535477646777</v>
          </cell>
          <cell r="D526">
            <v>0.30245781157216922</v>
          </cell>
          <cell r="E526">
            <v>7.3985562904798366E-2</v>
          </cell>
          <cell r="F526">
            <v>0.35991770950077739</v>
          </cell>
          <cell r="G526">
            <v>4.3802397938661711E-2</v>
          </cell>
          <cell r="H526">
            <v>4.3811163307125478E-2</v>
          </cell>
          <cell r="J526" t="str">
            <v>2000MI</v>
          </cell>
          <cell r="K526">
            <v>0.8822120391565399</v>
          </cell>
          <cell r="L526">
            <v>4.3802397938661711E-2</v>
          </cell>
          <cell r="M526">
            <v>7.3985562904798366E-2</v>
          </cell>
          <cell r="U526" t="str">
            <v>2000MI</v>
          </cell>
          <cell r="V526">
            <v>5.3215523000000001E-2</v>
          </cell>
          <cell r="W526">
            <v>4.9550862000000001E-2</v>
          </cell>
          <cell r="X526">
            <v>0.25276247499999999</v>
          </cell>
          <cell r="Y526">
            <v>0.17346370799999999</v>
          </cell>
          <cell r="Z526">
            <v>0.471007432</v>
          </cell>
          <cell r="AB526" t="str">
            <v>2000MI</v>
          </cell>
          <cell r="AC526">
            <v>0</v>
          </cell>
          <cell r="AD526">
            <v>0</v>
          </cell>
          <cell r="AE526">
            <v>0.02</v>
          </cell>
          <cell r="AF526">
            <v>0.98</v>
          </cell>
        </row>
        <row r="527">
          <cell r="B527" t="str">
            <v>2000MN</v>
          </cell>
          <cell r="C527">
            <v>9.0352283814308501E-2</v>
          </cell>
          <cell r="D527">
            <v>0.20620462155861474</v>
          </cell>
          <cell r="E527">
            <v>0.13635837752761745</v>
          </cell>
          <cell r="F527">
            <v>0.44282107229402889</v>
          </cell>
          <cell r="G527">
            <v>8.0729586695455074E-2</v>
          </cell>
          <cell r="H527">
            <v>4.3534058109975279E-2</v>
          </cell>
          <cell r="J527" t="str">
            <v>2000MN</v>
          </cell>
          <cell r="K527">
            <v>0.78291203577692747</v>
          </cell>
          <cell r="L527">
            <v>8.0729586695455074E-2</v>
          </cell>
          <cell r="M527">
            <v>0.13635837752761745</v>
          </cell>
          <cell r="U527" t="str">
            <v>2000MN</v>
          </cell>
          <cell r="V527">
            <v>2.1524861999999999E-2</v>
          </cell>
          <cell r="W527">
            <v>5.0888344000000002E-2</v>
          </cell>
          <cell r="X527">
            <v>0.26157074800000002</v>
          </cell>
          <cell r="Y527">
            <v>0.18034012899999999</v>
          </cell>
          <cell r="Z527">
            <v>0.48567591799999998</v>
          </cell>
          <cell r="AB527" t="str">
            <v>2000MN</v>
          </cell>
          <cell r="AC527">
            <v>0</v>
          </cell>
          <cell r="AD527">
            <v>0</v>
          </cell>
          <cell r="AE527">
            <v>0</v>
          </cell>
          <cell r="AF527">
            <v>1</v>
          </cell>
        </row>
        <row r="528">
          <cell r="B528" t="str">
            <v>2000MS</v>
          </cell>
          <cell r="C528">
            <v>9.1812107100631146E-2</v>
          </cell>
          <cell r="D528">
            <v>6.6931160990414934E-2</v>
          </cell>
          <cell r="E528">
            <v>0.14522561762467986</v>
          </cell>
          <cell r="F528">
            <v>9.8393215740267395E-2</v>
          </cell>
          <cell r="G528">
            <v>0.59280935690359193</v>
          </cell>
          <cell r="H528">
            <v>4.8285416404148457E-3</v>
          </cell>
          <cell r="J528" t="str">
            <v>2000MS</v>
          </cell>
          <cell r="K528">
            <v>0.26196502547172817</v>
          </cell>
          <cell r="L528">
            <v>0.59280935690359193</v>
          </cell>
          <cell r="M528">
            <v>0.14522561762467986</v>
          </cell>
          <cell r="U528" t="str">
            <v>2000MS</v>
          </cell>
          <cell r="V528">
            <v>2.9465353999999999E-2</v>
          </cell>
          <cell r="W528">
            <v>3.6415823999999999E-2</v>
          </cell>
          <cell r="X528">
            <v>6.9355888000000004E-2</v>
          </cell>
          <cell r="Y528">
            <v>0.55240279999999997</v>
          </cell>
          <cell r="Z528">
            <v>0.31236013299999998</v>
          </cell>
          <cell r="AB528" t="str">
            <v>2000MS</v>
          </cell>
          <cell r="AC528">
            <v>0</v>
          </cell>
          <cell r="AD528">
            <v>0</v>
          </cell>
          <cell r="AE528">
            <v>0.6</v>
          </cell>
          <cell r="AF528">
            <v>0.4</v>
          </cell>
        </row>
        <row r="529">
          <cell r="B529" t="str">
            <v>2000MO</v>
          </cell>
          <cell r="C529">
            <v>5.7143970414371643E-2</v>
          </cell>
          <cell r="D529">
            <v>0.17233681415587201</v>
          </cell>
          <cell r="E529">
            <v>0.15041379152442716</v>
          </cell>
          <cell r="F529">
            <v>0.48407868677166255</v>
          </cell>
          <cell r="G529">
            <v>8.9050951201028988E-2</v>
          </cell>
          <cell r="H529">
            <v>4.6975785932637584E-2</v>
          </cell>
          <cell r="J529" t="str">
            <v>2000MO</v>
          </cell>
          <cell r="K529">
            <v>0.76053525727454385</v>
          </cell>
          <cell r="L529">
            <v>8.9050951201028988E-2</v>
          </cell>
          <cell r="M529">
            <v>0.15041379152442716</v>
          </cell>
          <cell r="U529" t="str">
            <v>2000MO</v>
          </cell>
          <cell r="V529">
            <v>3.6744944000000002E-2</v>
          </cell>
          <cell r="W529">
            <v>4.5299516999999997E-2</v>
          </cell>
          <cell r="X529">
            <v>0.276794498</v>
          </cell>
          <cell r="Y529">
            <v>0.139817421</v>
          </cell>
          <cell r="Z529">
            <v>0.50134361999999999</v>
          </cell>
          <cell r="AB529" t="str">
            <v>2000MO</v>
          </cell>
          <cell r="AC529">
            <v>0</v>
          </cell>
          <cell r="AD529">
            <v>0</v>
          </cell>
          <cell r="AE529">
            <v>0</v>
          </cell>
          <cell r="AF529">
            <v>1</v>
          </cell>
        </row>
        <row r="530">
          <cell r="B530" t="str">
            <v>2000MT</v>
          </cell>
          <cell r="C530">
            <v>0.33299588057824414</v>
          </cell>
          <cell r="D530">
            <v>0.24877828647401171</v>
          </cell>
          <cell r="E530">
            <v>4.3173211085446715E-2</v>
          </cell>
          <cell r="F530">
            <v>0.27640610303736912</v>
          </cell>
          <cell r="G530">
            <v>2.5560259299344076E-2</v>
          </cell>
          <cell r="H530">
            <v>7.3086259525584105E-2</v>
          </cell>
          <cell r="J530" t="str">
            <v>2000MT</v>
          </cell>
          <cell r="K530">
            <v>0.93126652961520917</v>
          </cell>
          <cell r="L530">
            <v>2.5560259299344076E-2</v>
          </cell>
          <cell r="M530">
            <v>4.3173211085446715E-2</v>
          </cell>
          <cell r="U530" t="str">
            <v>2000MT</v>
          </cell>
          <cell r="V530">
            <v>6.8538867000000003E-2</v>
          </cell>
          <cell r="W530">
            <v>5.0251676000000002E-2</v>
          </cell>
          <cell r="X530">
            <v>0.247043605</v>
          </cell>
          <cell r="Y530">
            <v>0.16564701300000001</v>
          </cell>
          <cell r="Z530">
            <v>0.46851883900000002</v>
          </cell>
          <cell r="AB530" t="str">
            <v>2000MT</v>
          </cell>
          <cell r="AC530">
            <v>0</v>
          </cell>
          <cell r="AD530">
            <v>0</v>
          </cell>
          <cell r="AE530">
            <v>0.6</v>
          </cell>
          <cell r="AF530">
            <v>0.4</v>
          </cell>
        </row>
        <row r="531">
          <cell r="B531" t="str">
            <v>2000NE</v>
          </cell>
          <cell r="C531">
            <v>0.14749321009424837</v>
          </cell>
          <cell r="D531">
            <v>0.24911236717903776</v>
          </cell>
          <cell r="E531">
            <v>9.9522604788754992E-2</v>
          </cell>
          <cell r="F531">
            <v>0.40124158963300038</v>
          </cell>
          <cell r="G531">
            <v>5.8921343133641016E-2</v>
          </cell>
          <cell r="H531">
            <v>4.3708885171317331E-2</v>
          </cell>
          <cell r="J531" t="str">
            <v>2000NE</v>
          </cell>
          <cell r="K531">
            <v>0.84155605207760398</v>
          </cell>
          <cell r="L531">
            <v>5.8921343133641016E-2</v>
          </cell>
          <cell r="M531">
            <v>9.9522604788754992E-2</v>
          </cell>
          <cell r="U531" t="str">
            <v>2000NE</v>
          </cell>
          <cell r="V531">
            <v>3.9952332E-2</v>
          </cell>
          <cell r="W531">
            <v>4.4501397999999998E-2</v>
          </cell>
          <cell r="X531">
            <v>0.27344553199999999</v>
          </cell>
          <cell r="Y531">
            <v>0.153430278</v>
          </cell>
          <cell r="Z531">
            <v>0.48867045999999997</v>
          </cell>
          <cell r="AB531" t="str">
            <v>2000NE</v>
          </cell>
          <cell r="AC531">
            <v>0</v>
          </cell>
          <cell r="AD531">
            <v>0</v>
          </cell>
          <cell r="AE531">
            <v>0.02</v>
          </cell>
          <cell r="AF531">
            <v>0.98</v>
          </cell>
        </row>
        <row r="532">
          <cell r="B532" t="str">
            <v>2000NV</v>
          </cell>
          <cell r="C532">
            <v>0.63832721949485716</v>
          </cell>
          <cell r="D532">
            <v>0.22408230733325196</v>
          </cell>
          <cell r="E532">
            <v>1.4489540818820023E-2</v>
          </cell>
          <cell r="F532">
            <v>0.10973378221467268</v>
          </cell>
          <cell r="G532">
            <v>8.5783848628834952E-3</v>
          </cell>
          <cell r="H532">
            <v>4.7887652755147407E-3</v>
          </cell>
          <cell r="J532" t="str">
            <v>2000NV</v>
          </cell>
          <cell r="K532">
            <v>0.97693207431829654</v>
          </cell>
          <cell r="L532">
            <v>8.5783848628834952E-3</v>
          </cell>
          <cell r="M532">
            <v>1.4489540818820023E-2</v>
          </cell>
          <cell r="U532" t="str">
            <v>2000NV</v>
          </cell>
          <cell r="V532">
            <v>0.61002468799999998</v>
          </cell>
          <cell r="W532">
            <v>1.4429087E-2</v>
          </cell>
          <cell r="X532">
            <v>2.1448642E-2</v>
          </cell>
          <cell r="Y532">
            <v>0.23320523700000001</v>
          </cell>
          <cell r="Z532">
            <v>0.120892347</v>
          </cell>
          <cell r="AB532" t="str">
            <v>2000NV</v>
          </cell>
          <cell r="AC532">
            <v>0</v>
          </cell>
          <cell r="AD532">
            <v>0</v>
          </cell>
          <cell r="AE532">
            <v>0</v>
          </cell>
          <cell r="AF532">
            <v>1</v>
          </cell>
        </row>
        <row r="533">
          <cell r="B533" t="str">
            <v>2000NH</v>
          </cell>
          <cell r="C533">
            <v>7.5389297399558408E-2</v>
          </cell>
          <cell r="D533">
            <v>0.15170560662158322</v>
          </cell>
          <cell r="E533">
            <v>0.44720679657680107</v>
          </cell>
          <cell r="F533">
            <v>0.22825797752436838</v>
          </cell>
          <cell r="G533">
            <v>6.9025971477888332E-2</v>
          </cell>
          <cell r="H533">
            <v>2.8414350399800559E-2</v>
          </cell>
          <cell r="J533" t="str">
            <v>2000NH</v>
          </cell>
          <cell r="K533">
            <v>0.48376723194531057</v>
          </cell>
          <cell r="L533">
            <v>6.9025971477888332E-2</v>
          </cell>
          <cell r="M533">
            <v>0.44720679657680107</v>
          </cell>
          <cell r="U533" t="str">
            <v>2000NH</v>
          </cell>
          <cell r="V533">
            <v>0.59253176299999999</v>
          </cell>
          <cell r="W533">
            <v>1.7928601999999998E-2</v>
          </cell>
          <cell r="X533">
            <v>0.11246123299999999</v>
          </cell>
          <cell r="Y533">
            <v>8.5975798000000006E-2</v>
          </cell>
          <cell r="Z533">
            <v>0.19110260300000001</v>
          </cell>
          <cell r="AB533" t="str">
            <v>2000NH</v>
          </cell>
          <cell r="AC533">
            <v>0</v>
          </cell>
          <cell r="AD533">
            <v>0</v>
          </cell>
          <cell r="AE533">
            <v>0.05</v>
          </cell>
          <cell r="AF533">
            <v>0.95</v>
          </cell>
        </row>
        <row r="534">
          <cell r="B534" t="str">
            <v>2000NJ</v>
          </cell>
          <cell r="C534">
            <v>5.21961940339443E-2</v>
          </cell>
          <cell r="D534">
            <v>0.13469419356037218</v>
          </cell>
          <cell r="E534">
            <v>0.45477679244001207</v>
          </cell>
          <cell r="F534">
            <v>0.25178344795395957</v>
          </cell>
          <cell r="G534">
            <v>7.5854472468792913E-2</v>
          </cell>
          <cell r="H534">
            <v>3.0694899542918902E-2</v>
          </cell>
          <cell r="J534" t="str">
            <v>2000NJ</v>
          </cell>
          <cell r="K534">
            <v>0.46936873509119503</v>
          </cell>
          <cell r="L534">
            <v>7.5854472468792913E-2</v>
          </cell>
          <cell r="M534">
            <v>0.45477679244001207</v>
          </cell>
          <cell r="U534" t="str">
            <v>2000NJ</v>
          </cell>
          <cell r="V534">
            <v>0.382455779</v>
          </cell>
          <cell r="W534">
            <v>2.8712343000000001E-2</v>
          </cell>
          <cell r="X534">
            <v>0.168773441</v>
          </cell>
          <cell r="Y534">
            <v>0.12516717199999999</v>
          </cell>
          <cell r="Z534">
            <v>0.29489126500000001</v>
          </cell>
          <cell r="AB534" t="str">
            <v>2000NJ</v>
          </cell>
          <cell r="AC534">
            <v>0</v>
          </cell>
          <cell r="AD534">
            <v>0</v>
          </cell>
          <cell r="AE534">
            <v>0.05</v>
          </cell>
          <cell r="AF534">
            <v>0.95</v>
          </cell>
        </row>
        <row r="535">
          <cell r="B535" t="str">
            <v>2000NM</v>
          </cell>
          <cell r="C535">
            <v>0.61123497555508066</v>
          </cell>
          <cell r="D535">
            <v>0.19406261171416939</v>
          </cell>
          <cell r="E535">
            <v>9.8943467603925112E-2</v>
          </cell>
          <cell r="F535">
            <v>9.4991267868497514E-2</v>
          </cell>
          <cell r="G535">
            <v>0</v>
          </cell>
          <cell r="H535">
            <v>7.676772583273784E-4</v>
          </cell>
          <cell r="J535" t="str">
            <v>2000NM</v>
          </cell>
          <cell r="K535">
            <v>0.90105653239607486</v>
          </cell>
          <cell r="L535">
            <v>0</v>
          </cell>
          <cell r="M535">
            <v>9.8943467603925112E-2</v>
          </cell>
          <cell r="U535" t="str">
            <v>2000NM</v>
          </cell>
          <cell r="V535">
            <v>0.949933637</v>
          </cell>
          <cell r="W535">
            <v>2.2029200000000001E-3</v>
          </cell>
          <cell r="X535">
            <v>1.3818316000000001E-2</v>
          </cell>
          <cell r="Y535">
            <v>1.0564003000000001E-2</v>
          </cell>
          <cell r="Z535">
            <v>2.3481123999999999E-2</v>
          </cell>
          <cell r="AB535" t="str">
            <v>2000NM</v>
          </cell>
          <cell r="AC535">
            <v>0</v>
          </cell>
          <cell r="AD535">
            <v>0</v>
          </cell>
          <cell r="AE535">
            <v>0.6</v>
          </cell>
          <cell r="AF535">
            <v>0.4</v>
          </cell>
        </row>
        <row r="536">
          <cell r="B536" t="str">
            <v>2000NY</v>
          </cell>
          <cell r="C536">
            <v>8.7234840853365261E-2</v>
          </cell>
          <cell r="D536">
            <v>0.1528094517734061</v>
          </cell>
          <cell r="E536">
            <v>0.45175844918887775</v>
          </cell>
          <cell r="F536">
            <v>0.21338039923526775</v>
          </cell>
          <cell r="G536">
            <v>7.3131781432536763E-2</v>
          </cell>
          <cell r="H536">
            <v>2.168507751654639E-2</v>
          </cell>
          <cell r="J536" t="str">
            <v>2000NY</v>
          </cell>
          <cell r="K536">
            <v>0.47510976937858551</v>
          </cell>
          <cell r="L536">
            <v>7.3131781432536763E-2</v>
          </cell>
          <cell r="M536">
            <v>0.45175844918887775</v>
          </cell>
          <cell r="U536" t="str">
            <v>2000NY</v>
          </cell>
          <cell r="V536">
            <v>0.249652602</v>
          </cell>
          <cell r="W536">
            <v>3.9168583E-2</v>
          </cell>
          <cell r="X536">
            <v>0.20042980899999999</v>
          </cell>
          <cell r="Y536">
            <v>0.13781230799999999</v>
          </cell>
          <cell r="Z536">
            <v>0.37293669699999998</v>
          </cell>
          <cell r="AB536" t="str">
            <v>2000NY</v>
          </cell>
          <cell r="AC536">
            <v>0</v>
          </cell>
          <cell r="AD536">
            <v>0</v>
          </cell>
          <cell r="AE536">
            <v>0.05</v>
          </cell>
          <cell r="AF536">
            <v>0.95</v>
          </cell>
        </row>
        <row r="537">
          <cell r="B537" t="str">
            <v>2000NC</v>
          </cell>
          <cell r="C537">
            <v>4.9816306571199162E-2</v>
          </cell>
          <cell r="D537">
            <v>0.10028847689807466</v>
          </cell>
          <cell r="E537">
            <v>0.1480246799470257</v>
          </cell>
          <cell r="F537">
            <v>0.11057556271791175</v>
          </cell>
          <cell r="G537">
            <v>0.57620450281425895</v>
          </cell>
          <cell r="H537">
            <v>1.5090471051529794E-2</v>
          </cell>
          <cell r="J537" t="str">
            <v>2000NC</v>
          </cell>
          <cell r="K537">
            <v>0.27577081723871533</v>
          </cell>
          <cell r="L537">
            <v>0.57620450281425895</v>
          </cell>
          <cell r="M537">
            <v>0.1480246799470257</v>
          </cell>
          <cell r="U537" t="str">
            <v>2000NC</v>
          </cell>
          <cell r="V537">
            <v>2.7591270000000001E-3</v>
          </cell>
          <cell r="W537">
            <v>3.7160577E-2</v>
          </cell>
          <cell r="X537">
            <v>6.3140943000000005E-2</v>
          </cell>
          <cell r="Y537">
            <v>0.58182844499999997</v>
          </cell>
          <cell r="Z537">
            <v>0.31511090800000002</v>
          </cell>
          <cell r="AB537" t="str">
            <v>2000NC</v>
          </cell>
          <cell r="AC537">
            <v>0</v>
          </cell>
          <cell r="AD537">
            <v>0</v>
          </cell>
          <cell r="AE537">
            <v>0.41899999999999998</v>
          </cell>
          <cell r="AF537">
            <v>0.58099999999999996</v>
          </cell>
        </row>
        <row r="538">
          <cell r="B538" t="str">
            <v>2000ND</v>
          </cell>
          <cell r="C538">
            <v>8.4368465345497037E-2</v>
          </cell>
          <cell r="D538">
            <v>0.18003453539326975</v>
          </cell>
          <cell r="E538">
            <v>0.14759014361779876</v>
          </cell>
          <cell r="F538">
            <v>0.46177405549819117</v>
          </cell>
          <cell r="G538">
            <v>8.7379239256308708E-2</v>
          </cell>
          <cell r="H538">
            <v>3.8853560888934525E-2</v>
          </cell>
          <cell r="J538" t="str">
            <v>2000ND</v>
          </cell>
          <cell r="K538">
            <v>0.76503061712589249</v>
          </cell>
          <cell r="L538">
            <v>8.7379239256308708E-2</v>
          </cell>
          <cell r="M538">
            <v>0.14759014361779876</v>
          </cell>
          <cell r="U538" t="str">
            <v>2000ND</v>
          </cell>
          <cell r="V538">
            <v>0.109386989</v>
          </cell>
          <cell r="W538">
            <v>4.5832141E-2</v>
          </cell>
          <cell r="X538">
            <v>0.23861025899999999</v>
          </cell>
          <cell r="Y538">
            <v>0.165768785</v>
          </cell>
          <cell r="Z538">
            <v>0.44040182700000002</v>
          </cell>
          <cell r="AB538" t="str">
            <v>2000ND</v>
          </cell>
          <cell r="AC538">
            <v>0</v>
          </cell>
          <cell r="AD538">
            <v>0</v>
          </cell>
          <cell r="AE538">
            <v>0.02</v>
          </cell>
          <cell r="AF538">
            <v>0.98</v>
          </cell>
        </row>
        <row r="539">
          <cell r="B539" t="str">
            <v>2000OH</v>
          </cell>
          <cell r="C539">
            <v>8.5709021501509414E-2</v>
          </cell>
          <cell r="D539">
            <v>0.20288015013667507</v>
          </cell>
          <cell r="E539">
            <v>0.1490791047518672</v>
          </cell>
          <cell r="F539">
            <v>0.43091501883395822</v>
          </cell>
          <cell r="G539">
            <v>8.8260763509811893E-2</v>
          </cell>
          <cell r="H539">
            <v>4.3155941266178333E-2</v>
          </cell>
          <cell r="J539" t="str">
            <v>2000OH</v>
          </cell>
          <cell r="K539">
            <v>0.76266013173832092</v>
          </cell>
          <cell r="L539">
            <v>8.8260763509811893E-2</v>
          </cell>
          <cell r="M539">
            <v>0.1490791047518672</v>
          </cell>
          <cell r="U539" t="str">
            <v>2000OH</v>
          </cell>
          <cell r="V539">
            <v>7.7919626000000006E-2</v>
          </cell>
          <cell r="W539">
            <v>4.2328504000000003E-2</v>
          </cell>
          <cell r="X539">
            <v>0.26108281100000003</v>
          </cell>
          <cell r="Y539">
            <v>0.156344917</v>
          </cell>
          <cell r="Z539">
            <v>0.46232414199999999</v>
          </cell>
          <cell r="AB539" t="str">
            <v>2000OH</v>
          </cell>
          <cell r="AC539">
            <v>0</v>
          </cell>
          <cell r="AD539">
            <v>0</v>
          </cell>
          <cell r="AE539">
            <v>0</v>
          </cell>
          <cell r="AF539">
            <v>1</v>
          </cell>
        </row>
        <row r="540">
          <cell r="B540" t="str">
            <v>2000OK</v>
          </cell>
          <cell r="C540">
            <v>0.35881904966776473</v>
          </cell>
          <cell r="D540">
            <v>0.22628869166857771</v>
          </cell>
          <cell r="E540">
            <v>5.8937753564390877E-2</v>
          </cell>
          <cell r="F540">
            <v>0.28321284218054477</v>
          </cell>
          <cell r="G540">
            <v>0</v>
          </cell>
          <cell r="H540">
            <v>7.2741662918721917E-2</v>
          </cell>
          <cell r="J540" t="str">
            <v>2000OK</v>
          </cell>
          <cell r="K540">
            <v>0.9410622464356091</v>
          </cell>
          <cell r="L540">
            <v>0</v>
          </cell>
          <cell r="M540">
            <v>5.8937753564390877E-2</v>
          </cell>
          <cell r="U540" t="str">
            <v>2000OK</v>
          </cell>
          <cell r="V540">
            <v>1.6902074999999999E-2</v>
          </cell>
          <cell r="W540">
            <v>3.6678257999999998E-2</v>
          </cell>
          <cell r="X540">
            <v>6.3656565999999998E-2</v>
          </cell>
          <cell r="Y540">
            <v>0.57110590000000006</v>
          </cell>
          <cell r="Z540">
            <v>0.31165720099999999</v>
          </cell>
          <cell r="AB540" t="str">
            <v>2000OK</v>
          </cell>
          <cell r="AC540">
            <v>0</v>
          </cell>
          <cell r="AD540">
            <v>0</v>
          </cell>
          <cell r="AE540">
            <v>0.6</v>
          </cell>
          <cell r="AF540">
            <v>0.4</v>
          </cell>
        </row>
        <row r="541">
          <cell r="B541" t="str">
            <v>2000OR</v>
          </cell>
          <cell r="C541">
            <v>0.39523014751584812</v>
          </cell>
          <cell r="D541">
            <v>0.20708689109817716</v>
          </cell>
          <cell r="E541">
            <v>0</v>
          </cell>
          <cell r="F541">
            <v>0.12732100772529997</v>
          </cell>
          <cell r="G541">
            <v>0.24698602135784054</v>
          </cell>
          <cell r="H541">
            <v>2.3375932302834225E-2</v>
          </cell>
          <cell r="J541" t="str">
            <v>2000OR</v>
          </cell>
          <cell r="K541">
            <v>0.75301397864215946</v>
          </cell>
          <cell r="L541">
            <v>0.24698602135784054</v>
          </cell>
          <cell r="M541">
            <v>0</v>
          </cell>
          <cell r="U541" t="str">
            <v>2000OR</v>
          </cell>
          <cell r="V541">
            <v>0.611036158</v>
          </cell>
          <cell r="W541">
            <v>1.7114409000000001E-2</v>
          </cell>
          <cell r="X541">
            <v>0.10735401999999999</v>
          </cell>
          <cell r="Y541">
            <v>8.2071371000000004E-2</v>
          </cell>
          <cell r="Z541">
            <v>0.18242404200000001</v>
          </cell>
          <cell r="AB541" t="str">
            <v>2000OR</v>
          </cell>
          <cell r="AC541">
            <v>0</v>
          </cell>
          <cell r="AD541">
            <v>0</v>
          </cell>
          <cell r="AE541">
            <v>0.25</v>
          </cell>
          <cell r="AF541">
            <v>0.75</v>
          </cell>
        </row>
        <row r="542">
          <cell r="B542" t="str">
            <v>2000PA</v>
          </cell>
          <cell r="C542">
            <v>4.2297660312955357E-2</v>
          </cell>
          <cell r="D542">
            <v>0.10882447089257583</v>
          </cell>
          <cell r="E542">
            <v>0.47267862354802098</v>
          </cell>
          <cell r="F542">
            <v>0.26006231401942259</v>
          </cell>
          <cell r="G542">
            <v>9.2002786638173822E-2</v>
          </cell>
          <cell r="H542">
            <v>2.4134144588851422E-2</v>
          </cell>
          <cell r="J542" t="str">
            <v>2000PA</v>
          </cell>
          <cell r="K542">
            <v>0.43531858981380522</v>
          </cell>
          <cell r="L542">
            <v>9.2002786638173822E-2</v>
          </cell>
          <cell r="M542">
            <v>0.47267862354802098</v>
          </cell>
          <cell r="U542" t="str">
            <v>2000PA</v>
          </cell>
          <cell r="V542">
            <v>5.4537085999999999E-2</v>
          </cell>
          <cell r="W542">
            <v>4.8861364999999997E-2</v>
          </cell>
          <cell r="X542">
            <v>0.253081685</v>
          </cell>
          <cell r="Y542">
            <v>0.17528935400000001</v>
          </cell>
          <cell r="Z542">
            <v>0.46823051100000002</v>
          </cell>
          <cell r="AB542" t="str">
            <v>2000PA</v>
          </cell>
          <cell r="AC542">
            <v>0</v>
          </cell>
          <cell r="AD542">
            <v>0</v>
          </cell>
          <cell r="AE542">
            <v>0</v>
          </cell>
          <cell r="AF542">
            <v>1</v>
          </cell>
        </row>
        <row r="543">
          <cell r="B543" t="str">
            <v>2000RI</v>
          </cell>
          <cell r="C543">
            <v>3.1708435003556079E-2</v>
          </cell>
          <cell r="D543">
            <v>9.5252846821958517E-2</v>
          </cell>
          <cell r="E543">
            <v>0.4839484789113766</v>
          </cell>
          <cell r="F543">
            <v>0.26494298986101467</v>
          </cell>
          <cell r="G543">
            <v>0.10216873915738443</v>
          </cell>
          <cell r="H543">
            <v>2.1978510244709749E-2</v>
          </cell>
          <cell r="J543" t="str">
            <v>2000RI</v>
          </cell>
          <cell r="K543">
            <v>0.41388278193123895</v>
          </cell>
          <cell r="L543">
            <v>0.10216873915738443</v>
          </cell>
          <cell r="M543">
            <v>0.4839484789113766</v>
          </cell>
          <cell r="U543" t="str">
            <v>2000RI</v>
          </cell>
          <cell r="V543">
            <v>0.51700543300000001</v>
          </cell>
          <cell r="W543">
            <v>2.1251761000000001E-2</v>
          </cell>
          <cell r="X543">
            <v>0.13330650099999999</v>
          </cell>
          <cell r="Y543">
            <v>0.101911854</v>
          </cell>
          <cell r="Z543">
            <v>0.22652445199999999</v>
          </cell>
          <cell r="AB543" t="str">
            <v>2000RI</v>
          </cell>
          <cell r="AC543">
            <v>0</v>
          </cell>
          <cell r="AD543">
            <v>0</v>
          </cell>
          <cell r="AE543">
            <v>0.05</v>
          </cell>
          <cell r="AF543">
            <v>0.95</v>
          </cell>
        </row>
        <row r="544">
          <cell r="B544" t="str">
            <v>2000SC</v>
          </cell>
          <cell r="C544">
            <v>0.11484541312659138</v>
          </cell>
          <cell r="D544">
            <v>8.1714744641110518E-2</v>
          </cell>
          <cell r="E544">
            <v>0.14835778168665142</v>
          </cell>
          <cell r="F544">
            <v>7.72976897310651E-2</v>
          </cell>
          <cell r="G544">
            <v>0.5742284461401248</v>
          </cell>
          <cell r="H544">
            <v>3.5559246744567173E-3</v>
          </cell>
          <cell r="J544" t="str">
            <v>2000SC</v>
          </cell>
          <cell r="K544">
            <v>0.27741377217322372</v>
          </cell>
          <cell r="L544">
            <v>0.5742284461401248</v>
          </cell>
          <cell r="M544">
            <v>0.14835778168665142</v>
          </cell>
          <cell r="U544" t="str">
            <v>2000SC</v>
          </cell>
          <cell r="V544">
            <v>7.1049399999999999E-2</v>
          </cell>
          <cell r="W544">
            <v>3.5808165000000003E-2</v>
          </cell>
          <cell r="X544">
            <v>9.6460210000000005E-2</v>
          </cell>
          <cell r="Y544">
            <v>0.47606726599999999</v>
          </cell>
          <cell r="Z544">
            <v>0.32061495899999998</v>
          </cell>
          <cell r="AB544" t="str">
            <v>2000SC</v>
          </cell>
          <cell r="AC544">
            <v>0</v>
          </cell>
          <cell r="AD544">
            <v>0</v>
          </cell>
          <cell r="AE544">
            <v>0.6</v>
          </cell>
          <cell r="AF544">
            <v>0.4</v>
          </cell>
        </row>
        <row r="545">
          <cell r="B545" t="str">
            <v>2000SD</v>
          </cell>
          <cell r="C545">
            <v>0.12489156948667671</v>
          </cell>
          <cell r="D545">
            <v>0.23044023643340641</v>
          </cell>
          <cell r="E545">
            <v>0.11654506428561213</v>
          </cell>
          <cell r="F545">
            <v>0.41657966677786062</v>
          </cell>
          <cell r="G545">
            <v>6.8999316666606192E-2</v>
          </cell>
          <cell r="H545">
            <v>4.254414634983792E-2</v>
          </cell>
          <cell r="J545" t="str">
            <v>2000SD</v>
          </cell>
          <cell r="K545">
            <v>0.81445561904778163</v>
          </cell>
          <cell r="L545">
            <v>6.8999316666606192E-2</v>
          </cell>
          <cell r="M545">
            <v>0.11654506428561213</v>
          </cell>
          <cell r="U545" t="str">
            <v>2000SD</v>
          </cell>
          <cell r="V545">
            <v>5.1494292999999997E-2</v>
          </cell>
          <cell r="W545">
            <v>4.9239717000000002E-2</v>
          </cell>
          <cell r="X545">
            <v>0.25365665399999998</v>
          </cell>
          <cell r="Y545">
            <v>0.17511648399999999</v>
          </cell>
          <cell r="Z545">
            <v>0.47049285200000002</v>
          </cell>
          <cell r="AB545" t="str">
            <v>2000SD</v>
          </cell>
          <cell r="AC545">
            <v>0</v>
          </cell>
          <cell r="AD545">
            <v>0</v>
          </cell>
          <cell r="AE545">
            <v>0.02</v>
          </cell>
          <cell r="AF545">
            <v>0.98</v>
          </cell>
        </row>
        <row r="546">
          <cell r="B546" t="str">
            <v>2000TN</v>
          </cell>
          <cell r="C546">
            <v>3.360076410471538E-2</v>
          </cell>
          <cell r="D546">
            <v>8.0284400637553627E-2</v>
          </cell>
          <cell r="E546">
            <v>0.14296010956116018</v>
          </cell>
          <cell r="F546">
            <v>0.12080668927847651</v>
          </cell>
          <cell r="G546">
            <v>0.60624901150957533</v>
          </cell>
          <cell r="H546">
            <v>1.6099024908518802E-2</v>
          </cell>
          <cell r="J546" t="str">
            <v>2000TN</v>
          </cell>
          <cell r="K546">
            <v>0.25079087892926455</v>
          </cell>
          <cell r="L546">
            <v>0.60624901150957533</v>
          </cell>
          <cell r="M546">
            <v>0.14296010956116018</v>
          </cell>
          <cell r="U546" t="str">
            <v>2000TN</v>
          </cell>
          <cell r="V546">
            <v>0.113944092</v>
          </cell>
          <cell r="W546">
            <v>3.5456495999999997E-2</v>
          </cell>
          <cell r="X546">
            <v>0.133105415</v>
          </cell>
          <cell r="Y546">
            <v>0.38211439400000002</v>
          </cell>
          <cell r="Z546">
            <v>0.33537960300000003</v>
          </cell>
          <cell r="AB546" t="str">
            <v>2000TN</v>
          </cell>
          <cell r="AC546">
            <v>0</v>
          </cell>
          <cell r="AD546">
            <v>0</v>
          </cell>
          <cell r="AE546">
            <v>0.05</v>
          </cell>
          <cell r="AF546">
            <v>0.95</v>
          </cell>
        </row>
        <row r="547">
          <cell r="B547" t="str">
            <v>2000TX</v>
          </cell>
          <cell r="C547">
            <v>0.51420719640074708</v>
          </cell>
          <cell r="D547">
            <v>0.24785917732591561</v>
          </cell>
          <cell r="E547">
            <v>7.6314648456033418E-2</v>
          </cell>
          <cell r="F547">
            <v>0.13977593203517349</v>
          </cell>
          <cell r="G547">
            <v>0</v>
          </cell>
          <cell r="H547">
            <v>2.1843045782130314E-2</v>
          </cell>
          <cell r="J547" t="str">
            <v>2000TX</v>
          </cell>
          <cell r="K547">
            <v>0.92368535154396658</v>
          </cell>
          <cell r="L547">
            <v>0</v>
          </cell>
          <cell r="M547">
            <v>7.6314648456033418E-2</v>
          </cell>
          <cell r="U547" t="str">
            <v>2000TX</v>
          </cell>
          <cell r="V547">
            <v>9.1742884999999996E-2</v>
          </cell>
          <cell r="W547">
            <v>3.4202729000000001E-2</v>
          </cell>
          <cell r="X547">
            <v>6.8809092000000002E-2</v>
          </cell>
          <cell r="Y547">
            <v>0.51012026200000005</v>
          </cell>
          <cell r="Z547">
            <v>0.29512503200000001</v>
          </cell>
          <cell r="AB547" t="str">
            <v>2000TX</v>
          </cell>
          <cell r="AC547">
            <v>0</v>
          </cell>
          <cell r="AD547">
            <v>0</v>
          </cell>
          <cell r="AE547">
            <v>0.12</v>
          </cell>
          <cell r="AF547">
            <v>0.88</v>
          </cell>
        </row>
        <row r="548">
          <cell r="B548" t="str">
            <v>2000UT</v>
          </cell>
          <cell r="C548">
            <v>0.47119089780285495</v>
          </cell>
          <cell r="D548">
            <v>0.2700179210883783</v>
          </cell>
          <cell r="E548">
            <v>1.8801625697464779E-2</v>
          </cell>
          <cell r="F548">
            <v>0.18898162612530928</v>
          </cell>
          <cell r="G548">
            <v>1.1131310736309998E-2</v>
          </cell>
          <cell r="H548">
            <v>3.9876618549682843E-2</v>
          </cell>
          <cell r="J548" t="str">
            <v>2000UT</v>
          </cell>
          <cell r="K548">
            <v>0.97006706356622519</v>
          </cell>
          <cell r="L548">
            <v>1.1131310736309998E-2</v>
          </cell>
          <cell r="M548">
            <v>1.8801625697464779E-2</v>
          </cell>
          <cell r="U548" t="str">
            <v>2000UT</v>
          </cell>
          <cell r="V548">
            <v>1.5830467000000001E-2</v>
          </cell>
          <cell r="W548">
            <v>5.4870904999999998E-2</v>
          </cell>
          <cell r="X548">
            <v>0.25909939199999998</v>
          </cell>
          <cell r="Y548">
            <v>0.16910162100000001</v>
          </cell>
          <cell r="Z548">
            <v>0.50109761500000005</v>
          </cell>
          <cell r="AB548" t="str">
            <v>2000UT</v>
          </cell>
          <cell r="AC548">
            <v>0</v>
          </cell>
          <cell r="AD548">
            <v>0</v>
          </cell>
          <cell r="AE548">
            <v>0.6</v>
          </cell>
          <cell r="AF548">
            <v>0.4</v>
          </cell>
        </row>
        <row r="549">
          <cell r="B549" t="str">
            <v>2000VT</v>
          </cell>
          <cell r="C549">
            <v>8.5526567688091096E-2</v>
          </cell>
          <cell r="D549">
            <v>0.15938847695083122</v>
          </cell>
          <cell r="E549">
            <v>0.44891190158924715</v>
          </cell>
          <cell r="F549">
            <v>0.21235724194262429</v>
          </cell>
          <cell r="G549">
            <v>7.0564058351048883E-2</v>
          </cell>
          <cell r="H549">
            <v>2.3251753478157458E-2</v>
          </cell>
          <cell r="J549" t="str">
            <v>2000VT</v>
          </cell>
          <cell r="K549">
            <v>0.48052404005970395</v>
          </cell>
          <cell r="L549">
            <v>7.0564058351048883E-2</v>
          </cell>
          <cell r="M549">
            <v>0.44891190158924715</v>
          </cell>
          <cell r="U549" t="str">
            <v>2000VT</v>
          </cell>
          <cell r="V549">
            <v>0.91622784599999996</v>
          </cell>
          <cell r="W549">
            <v>3.6859750000000002E-3</v>
          </cell>
          <cell r="X549">
            <v>2.3121115000000001E-2</v>
          </cell>
          <cell r="Y549">
            <v>1.7675923999999999E-2</v>
          </cell>
          <cell r="Z549">
            <v>3.928914E-2</v>
          </cell>
          <cell r="AB549" t="str">
            <v>2000VT</v>
          </cell>
          <cell r="AC549">
            <v>0</v>
          </cell>
          <cell r="AD549">
            <v>0</v>
          </cell>
          <cell r="AE549">
            <v>0.05</v>
          </cell>
          <cell r="AF549">
            <v>0.95</v>
          </cell>
        </row>
        <row r="550">
          <cell r="B550" t="str">
            <v>2000VA</v>
          </cell>
          <cell r="C550">
            <v>3.6475894465999116E-2</v>
          </cell>
          <cell r="D550">
            <v>8.3381021332055189E-2</v>
          </cell>
          <cell r="E550">
            <v>0.1447145573409338</v>
          </cell>
          <cell r="F550">
            <v>0.12297111874975931</v>
          </cell>
          <cell r="G550">
            <v>0.59584111556602282</v>
          </cell>
          <cell r="H550">
            <v>1.6616292545229935E-2</v>
          </cell>
          <cell r="J550" t="str">
            <v>2000VA</v>
          </cell>
          <cell r="K550">
            <v>0.25944432709304333</v>
          </cell>
          <cell r="L550">
            <v>0.59584111556602282</v>
          </cell>
          <cell r="M550">
            <v>0.1447145573409338</v>
          </cell>
          <cell r="U550" t="str">
            <v>2000VA</v>
          </cell>
          <cell r="V550">
            <v>3.9427946999999998E-2</v>
          </cell>
          <cell r="W550">
            <v>3.6305788999999998E-2</v>
          </cell>
          <cell r="X550">
            <v>7.6971705000000001E-2</v>
          </cell>
          <cell r="Y550">
            <v>0.53214935699999999</v>
          </cell>
          <cell r="Z550">
            <v>0.31514520200000001</v>
          </cell>
          <cell r="AB550" t="str">
            <v>2000VA</v>
          </cell>
          <cell r="AC550">
            <v>0</v>
          </cell>
          <cell r="AD550">
            <v>0</v>
          </cell>
          <cell r="AE550">
            <v>0.05</v>
          </cell>
          <cell r="AF550">
            <v>0.95</v>
          </cell>
        </row>
        <row r="551">
          <cell r="B551" t="str">
            <v>2000WA</v>
          </cell>
          <cell r="C551">
            <v>0.4626814008941752</v>
          </cell>
          <cell r="D551">
            <v>0.21940036730967979</v>
          </cell>
          <cell r="E551">
            <v>0</v>
          </cell>
          <cell r="F551">
            <v>0.11204966762530222</v>
          </cell>
          <cell r="G551">
            <v>0.19045051567788993</v>
          </cell>
          <cell r="H551">
            <v>1.541804849295292E-2</v>
          </cell>
          <cell r="J551" t="str">
            <v>2000WA</v>
          </cell>
          <cell r="K551">
            <v>0.80954948432211005</v>
          </cell>
          <cell r="L551">
            <v>0.19045051567788993</v>
          </cell>
          <cell r="M551">
            <v>0</v>
          </cell>
          <cell r="U551" t="str">
            <v>2000WA</v>
          </cell>
          <cell r="V551">
            <v>0.34367921200000001</v>
          </cell>
          <cell r="W551">
            <v>3.2431340000000003E-2</v>
          </cell>
          <cell r="X551">
            <v>0.17729521100000001</v>
          </cell>
          <cell r="Y551">
            <v>0.12663960399999999</v>
          </cell>
          <cell r="Z551">
            <v>0.31995463499999999</v>
          </cell>
          <cell r="AB551" t="str">
            <v>2000WA</v>
          </cell>
          <cell r="AC551">
            <v>0</v>
          </cell>
          <cell r="AD551">
            <v>0</v>
          </cell>
          <cell r="AE551">
            <v>0.12</v>
          </cell>
          <cell r="AF551">
            <v>0.88</v>
          </cell>
        </row>
        <row r="552">
          <cell r="B552" t="str">
            <v>2000WV</v>
          </cell>
          <cell r="C552">
            <v>5.5713783097623995E-2</v>
          </cell>
          <cell r="D552">
            <v>0.13933551308830175</v>
          </cell>
          <cell r="E552">
            <v>0.45646241502625912</v>
          </cell>
          <cell r="F552">
            <v>0.2432145985381913</v>
          </cell>
          <cell r="G552">
            <v>7.7374985254858863E-2</v>
          </cell>
          <cell r="H552">
            <v>2.7898704994765065E-2</v>
          </cell>
          <cell r="J552" t="str">
            <v>2000WV</v>
          </cell>
          <cell r="K552">
            <v>0.46616259971888208</v>
          </cell>
          <cell r="L552">
            <v>7.7374985254858863E-2</v>
          </cell>
          <cell r="M552">
            <v>0.45646241502625912</v>
          </cell>
          <cell r="U552" t="str">
            <v>2000WV</v>
          </cell>
          <cell r="V552">
            <v>0.51513740399999997</v>
          </cell>
          <cell r="W552">
            <v>2.2979044000000001E-2</v>
          </cell>
          <cell r="X552">
            <v>0.13203989599999999</v>
          </cell>
          <cell r="Y552">
            <v>9.6822375000000002E-2</v>
          </cell>
          <cell r="Z552">
            <v>0.233021281</v>
          </cell>
          <cell r="AB552" t="str">
            <v>2000WV</v>
          </cell>
          <cell r="AC552">
            <v>0</v>
          </cell>
          <cell r="AD552">
            <v>0</v>
          </cell>
          <cell r="AE552">
            <v>0.05</v>
          </cell>
          <cell r="AF552">
            <v>0.95</v>
          </cell>
        </row>
        <row r="553">
          <cell r="B553" t="str">
            <v>2000WI</v>
          </cell>
          <cell r="C553">
            <v>9.8110228626836396E-2</v>
          </cell>
          <cell r="D553">
            <v>0.21083333788698508</v>
          </cell>
          <cell r="E553">
            <v>0.13569679852135794</v>
          </cell>
          <cell r="F553">
            <v>0.43603103969351165</v>
          </cell>
          <cell r="G553">
            <v>8.0337905592246753E-2</v>
          </cell>
          <cell r="H553">
            <v>3.8990689679062052E-2</v>
          </cell>
          <cell r="J553" t="str">
            <v>2000WI</v>
          </cell>
          <cell r="K553">
            <v>0.7839652958863953</v>
          </cell>
          <cell r="L553">
            <v>8.0337905592246753E-2</v>
          </cell>
          <cell r="M553">
            <v>0.13569679852135794</v>
          </cell>
          <cell r="U553" t="str">
            <v>2000WI</v>
          </cell>
          <cell r="V553">
            <v>0.132732552</v>
          </cell>
          <cell r="W553">
            <v>4.1896249000000003E-2</v>
          </cell>
          <cell r="X553">
            <v>0.23531795999999999</v>
          </cell>
          <cell r="Y553">
            <v>0.17053849300000001</v>
          </cell>
          <cell r="Z553">
            <v>0.41951474500000002</v>
          </cell>
          <cell r="AB553" t="str">
            <v>2000WI</v>
          </cell>
          <cell r="AC553">
            <v>0</v>
          </cell>
          <cell r="AD553">
            <v>0</v>
          </cell>
          <cell r="AE553">
            <v>0.02</v>
          </cell>
          <cell r="AF553">
            <v>0.98</v>
          </cell>
        </row>
        <row r="554">
          <cell r="B554" t="str">
            <v>2000WY</v>
          </cell>
          <cell r="C554">
            <v>0.28743234351533831</v>
          </cell>
          <cell r="D554">
            <v>0.22627226307293014</v>
          </cell>
          <cell r="E554">
            <v>0.12744970747231177</v>
          </cell>
          <cell r="F554">
            <v>0.22415488465763844</v>
          </cell>
          <cell r="G554">
            <v>7.5455299448781571E-2</v>
          </cell>
          <cell r="H554">
            <v>5.9235501832999873E-2</v>
          </cell>
          <cell r="J554" t="str">
            <v>2000WY</v>
          </cell>
          <cell r="K554">
            <v>0.79709499307890663</v>
          </cell>
          <cell r="L554">
            <v>7.5455299448781571E-2</v>
          </cell>
          <cell r="M554">
            <v>0.12744970747231177</v>
          </cell>
          <cell r="U554" t="str">
            <v>2000WY</v>
          </cell>
          <cell r="V554">
            <v>3.8450467000000002E-2</v>
          </cell>
          <cell r="W554">
            <v>5.3256181999999999E-2</v>
          </cell>
          <cell r="X554">
            <v>0.25352733500000002</v>
          </cell>
          <cell r="Y554">
            <v>0.166393608</v>
          </cell>
          <cell r="Z554">
            <v>0.48837240700000001</v>
          </cell>
          <cell r="AB554" t="str">
            <v>2000WY</v>
          </cell>
          <cell r="AC554">
            <v>0</v>
          </cell>
          <cell r="AD554">
            <v>0</v>
          </cell>
          <cell r="AE554">
            <v>0.6</v>
          </cell>
          <cell r="AF554">
            <v>0.4</v>
          </cell>
        </row>
        <row r="555">
          <cell r="B555" t="str">
            <v>2001AL</v>
          </cell>
          <cell r="C555">
            <v>0.15452604926226265</v>
          </cell>
          <cell r="D555">
            <v>9.1340937276523385E-2</v>
          </cell>
          <cell r="E555">
            <v>0.16317977165765876</v>
          </cell>
          <cell r="F555">
            <v>0.10020626389625498</v>
          </cell>
          <cell r="G555">
            <v>0.48630007855170115</v>
          </cell>
          <cell r="H555">
            <v>4.44689935559888E-3</v>
          </cell>
          <cell r="J555" t="str">
            <v>2001AL</v>
          </cell>
          <cell r="K555">
            <v>0.35052014979064006</v>
          </cell>
          <cell r="L555">
            <v>0.48630007855170115</v>
          </cell>
          <cell r="M555">
            <v>0.16317977165765876</v>
          </cell>
          <cell r="U555" t="str">
            <v>2001AL</v>
          </cell>
          <cell r="V555">
            <v>6.3379710000000006E-2</v>
          </cell>
          <cell r="W555">
            <v>3.5927876999999997E-2</v>
          </cell>
          <cell r="X555">
            <v>9.1702209000000007E-2</v>
          </cell>
          <cell r="Y555">
            <v>0.48972430900000002</v>
          </cell>
          <cell r="Z555">
            <v>0.31926589500000002</v>
          </cell>
          <cell r="AB555" t="str">
            <v>2001AL</v>
          </cell>
          <cell r="AC555">
            <v>0</v>
          </cell>
          <cell r="AD555">
            <v>0</v>
          </cell>
          <cell r="AE555">
            <v>0.41899999999999998</v>
          </cell>
          <cell r="AF555">
            <v>0.58099999999999996</v>
          </cell>
        </row>
        <row r="556">
          <cell r="B556" t="str">
            <v>2001AK</v>
          </cell>
          <cell r="C556">
            <v>0.292537440183126</v>
          </cell>
          <cell r="D556">
            <v>0.22926169824080564</v>
          </cell>
          <cell r="E556">
            <v>8.3286121674823715E-2</v>
          </cell>
          <cell r="F556">
            <v>0.27220980994353239</v>
          </cell>
          <cell r="G556">
            <v>4.9308698902010062E-2</v>
          </cell>
          <cell r="H556">
            <v>7.3396231055702241E-2</v>
          </cell>
          <cell r="J556" t="str">
            <v>2001AK</v>
          </cell>
          <cell r="K556">
            <v>0.86740517942316619</v>
          </cell>
          <cell r="L556">
            <v>4.9308698902010062E-2</v>
          </cell>
          <cell r="M556">
            <v>8.3286121674823715E-2</v>
          </cell>
          <cell r="U556" t="str">
            <v>2001AK</v>
          </cell>
          <cell r="V556">
            <v>0.62106060399999996</v>
          </cell>
          <cell r="W556">
            <v>1.6673332999999999E-2</v>
          </cell>
          <cell r="X556">
            <v>0.10458727299999999</v>
          </cell>
          <cell r="Y556">
            <v>7.9956211999999999E-2</v>
          </cell>
          <cell r="Z556">
            <v>0.17772257699999999</v>
          </cell>
          <cell r="AB556" t="str">
            <v>2001AK</v>
          </cell>
          <cell r="AC556">
            <v>0</v>
          </cell>
          <cell r="AD556">
            <v>0</v>
          </cell>
          <cell r="AE556">
            <v>0.25</v>
          </cell>
          <cell r="AF556">
            <v>0.75</v>
          </cell>
        </row>
        <row r="557">
          <cell r="B557" t="str">
            <v>2001AZ</v>
          </cell>
          <cell r="C557">
            <v>0.61066356556686596</v>
          </cell>
          <cell r="D557">
            <v>0.19683983895712734</v>
          </cell>
          <cell r="E557">
            <v>9.8383799063414948E-2</v>
          </cell>
          <cell r="F557">
            <v>9.3613648525950208E-2</v>
          </cell>
          <cell r="G557">
            <v>0</v>
          </cell>
          <cell r="H557">
            <v>4.9914788664147717E-4</v>
          </cell>
          <cell r="J557" t="str">
            <v>2001AZ</v>
          </cell>
          <cell r="K557">
            <v>0.90161620093658501</v>
          </cell>
          <cell r="L557">
            <v>0</v>
          </cell>
          <cell r="M557">
            <v>9.8383799063414948E-2</v>
          </cell>
          <cell r="U557" t="str">
            <v>2001AZ</v>
          </cell>
          <cell r="V557">
            <v>0.122040811</v>
          </cell>
          <cell r="W557">
            <v>3.3071529000000002E-2</v>
          </cell>
          <cell r="X557">
            <v>6.6821426000000003E-2</v>
          </cell>
          <cell r="Y557">
            <v>0.49256470600000002</v>
          </cell>
          <cell r="Z557">
            <v>0.285501528</v>
          </cell>
          <cell r="AB557" t="str">
            <v>2001AZ</v>
          </cell>
          <cell r="AC557">
            <v>0</v>
          </cell>
          <cell r="AD557">
            <v>0</v>
          </cell>
          <cell r="AE557">
            <v>0.6</v>
          </cell>
          <cell r="AF557">
            <v>0.4</v>
          </cell>
        </row>
        <row r="558">
          <cell r="B558" t="str">
            <v>2001AR</v>
          </cell>
          <cell r="C558">
            <v>8.8799573863684714E-2</v>
          </cell>
          <cell r="D558">
            <v>6.2746615277499251E-2</v>
          </cell>
          <cell r="E558">
            <v>0.14693168624425226</v>
          </cell>
          <cell r="F558">
            <v>0.113204557049567</v>
          </cell>
          <cell r="G558">
            <v>0.58268846024894128</v>
          </cell>
          <cell r="H558">
            <v>5.6291073160556603E-3</v>
          </cell>
          <cell r="J558" t="str">
            <v>2001AR</v>
          </cell>
          <cell r="K558">
            <v>0.27037985350680649</v>
          </cell>
          <cell r="L558">
            <v>0.58268846024894128</v>
          </cell>
          <cell r="M558">
            <v>0.14693168624425226</v>
          </cell>
          <cell r="U558" t="str">
            <v>2001AR</v>
          </cell>
          <cell r="V558">
            <v>3.5474551999999999E-2</v>
          </cell>
          <cell r="W558">
            <v>3.7687677000000003E-2</v>
          </cell>
          <cell r="X558">
            <v>0.11619919300000001</v>
          </cell>
          <cell r="Y558">
            <v>0.46620176800000002</v>
          </cell>
          <cell r="Z558">
            <v>0.34443680999999998</v>
          </cell>
          <cell r="AB558" t="str">
            <v>2001AR</v>
          </cell>
          <cell r="AC558">
            <v>0</v>
          </cell>
          <cell r="AD558">
            <v>0</v>
          </cell>
          <cell r="AE558">
            <v>0</v>
          </cell>
          <cell r="AF558">
            <v>1</v>
          </cell>
        </row>
        <row r="559">
          <cell r="B559" t="str">
            <v>2001CA</v>
          </cell>
          <cell r="C559">
            <v>0.57911866075532703</v>
          </cell>
          <cell r="D559">
            <v>0.20831208937001458</v>
          </cell>
          <cell r="E559">
            <v>0.10849181512099904</v>
          </cell>
          <cell r="F559">
            <v>9.2042958470053754E-2</v>
          </cell>
          <cell r="G559">
            <v>9.7333870052621584E-3</v>
          </cell>
          <cell r="H559">
            <v>2.3010892783432964E-3</v>
          </cell>
          <cell r="J559" t="str">
            <v>2001CA</v>
          </cell>
          <cell r="K559">
            <v>0.8817747978737388</v>
          </cell>
          <cell r="L559">
            <v>9.7333870052621584E-3</v>
          </cell>
          <cell r="M559">
            <v>0.10849181512099904</v>
          </cell>
          <cell r="U559" t="str">
            <v>2001CA</v>
          </cell>
          <cell r="V559">
            <v>0.12622599700000001</v>
          </cell>
          <cell r="W559">
            <v>3.3213632E-2</v>
          </cell>
          <cell r="X559">
            <v>7.5966513999999999E-2</v>
          </cell>
          <cell r="Y559">
            <v>0.47364463099999998</v>
          </cell>
          <cell r="Z559">
            <v>0.29094922600000001</v>
          </cell>
          <cell r="AB559" t="str">
            <v>2001CA</v>
          </cell>
          <cell r="AC559">
            <v>0</v>
          </cell>
          <cell r="AD559">
            <v>0</v>
          </cell>
          <cell r="AE559">
            <v>0.12</v>
          </cell>
          <cell r="AF559">
            <v>0.88</v>
          </cell>
        </row>
        <row r="560">
          <cell r="B560" t="str">
            <v>2001CO</v>
          </cell>
          <cell r="C560">
            <v>0.60445179294146667</v>
          </cell>
          <cell r="D560">
            <v>0.24693453064410317</v>
          </cell>
          <cell r="E560">
            <v>1.3285468290908816E-2</v>
          </cell>
          <cell r="F560">
            <v>0.11750242144338718</v>
          </cell>
          <cell r="G560">
            <v>7.8655260030753658E-3</v>
          </cell>
          <cell r="H560">
            <v>9.960260677058682E-3</v>
          </cell>
          <cell r="J560" t="str">
            <v>2001CO</v>
          </cell>
          <cell r="K560">
            <v>0.97884900570601585</v>
          </cell>
          <cell r="L560">
            <v>7.8655260030753658E-3</v>
          </cell>
          <cell r="M560">
            <v>1.3285468290908816E-2</v>
          </cell>
          <cell r="U560" t="str">
            <v>2001CO</v>
          </cell>
          <cell r="V560">
            <v>2.3700479E-2</v>
          </cell>
          <cell r="W560">
            <v>5.3874324000000001E-2</v>
          </cell>
          <cell r="X560">
            <v>0.25763176100000001</v>
          </cell>
          <cell r="Y560">
            <v>0.16960871599999999</v>
          </cell>
          <cell r="Z560">
            <v>0.49518472000000002</v>
          </cell>
          <cell r="AB560" t="str">
            <v>2001CO</v>
          </cell>
          <cell r="AC560">
            <v>0</v>
          </cell>
          <cell r="AD560">
            <v>0</v>
          </cell>
          <cell r="AE560">
            <v>0.6</v>
          </cell>
          <cell r="AF560">
            <v>0.4</v>
          </cell>
        </row>
        <row r="561">
          <cell r="B561" t="str">
            <v>2001CT</v>
          </cell>
          <cell r="C561">
            <v>0.10738487460098185</v>
          </cell>
          <cell r="D561">
            <v>0.19411613372425637</v>
          </cell>
          <cell r="E561">
            <v>0.43380447680129214</v>
          </cell>
          <cell r="F561">
            <v>0.18303801389647759</v>
          </cell>
          <cell r="G561">
            <v>5.6936433316811599E-2</v>
          </cell>
          <cell r="H561">
            <v>2.4720067660180506E-2</v>
          </cell>
          <cell r="J561" t="str">
            <v>2001CT</v>
          </cell>
          <cell r="K561">
            <v>0.50925908988189628</v>
          </cell>
          <cell r="L561">
            <v>5.6936433316811599E-2</v>
          </cell>
          <cell r="M561">
            <v>0.43380447680129214</v>
          </cell>
          <cell r="U561" t="str">
            <v>2001CT</v>
          </cell>
          <cell r="V561">
            <v>0.57935227</v>
          </cell>
          <cell r="W561">
            <v>1.8508500000000001E-2</v>
          </cell>
          <cell r="X561">
            <v>0.116098773</v>
          </cell>
          <cell r="Y561">
            <v>8.8756670999999995E-2</v>
          </cell>
          <cell r="Z561">
            <v>0.19728378499999999</v>
          </cell>
          <cell r="AB561" t="str">
            <v>2001CT</v>
          </cell>
          <cell r="AC561">
            <v>0</v>
          </cell>
          <cell r="AD561">
            <v>0</v>
          </cell>
          <cell r="AE561">
            <v>0.05</v>
          </cell>
          <cell r="AF561">
            <v>0.95</v>
          </cell>
        </row>
        <row r="562">
          <cell r="B562" t="str">
            <v>2001DE</v>
          </cell>
          <cell r="C562">
            <v>9.181812862439008E-2</v>
          </cell>
          <cell r="D562">
            <v>0.18064274582299022</v>
          </cell>
          <cell r="E562">
            <v>0.44063279726983451</v>
          </cell>
          <cell r="F562">
            <v>0.19888487181705006</v>
          </cell>
          <cell r="G562">
            <v>6.3095907367815632E-2</v>
          </cell>
          <cell r="H562">
            <v>2.4925549097919521E-2</v>
          </cell>
          <cell r="J562" t="str">
            <v>2001DE</v>
          </cell>
          <cell r="K562">
            <v>0.49627129536234982</v>
          </cell>
          <cell r="L562">
            <v>6.3095907367815632E-2</v>
          </cell>
          <cell r="M562">
            <v>0.44063279726983451</v>
          </cell>
          <cell r="U562" t="str">
            <v>2001DE</v>
          </cell>
          <cell r="V562">
            <v>0.11914625299999999</v>
          </cell>
          <cell r="W562">
            <v>4.2436859E-2</v>
          </cell>
          <cell r="X562">
            <v>0.23912973200000001</v>
          </cell>
          <cell r="Y562">
            <v>0.17359582600000001</v>
          </cell>
          <cell r="Z562">
            <v>0.42569132900000001</v>
          </cell>
          <cell r="AB562" t="str">
            <v>2001DE</v>
          </cell>
          <cell r="AC562">
            <v>0</v>
          </cell>
          <cell r="AD562">
            <v>0</v>
          </cell>
          <cell r="AE562">
            <v>0.05</v>
          </cell>
          <cell r="AF562">
            <v>0.95</v>
          </cell>
        </row>
        <row r="563">
          <cell r="B563" t="str">
            <v>2001FL</v>
          </cell>
          <cell r="C563">
            <v>0.39615689717087532</v>
          </cell>
          <cell r="D563">
            <v>0.14599879203590171</v>
          </cell>
          <cell r="E563">
            <v>0.21802865311397029</v>
          </cell>
          <cell r="F563">
            <v>7.7785954192067644E-2</v>
          </cell>
          <cell r="G563">
            <v>0.16092051616243697</v>
          </cell>
          <cell r="H563">
            <v>1.1091873247480563E-3</v>
          </cell>
          <cell r="J563" t="str">
            <v>2001FL</v>
          </cell>
          <cell r="K563">
            <v>0.62105083072359268</v>
          </cell>
          <cell r="L563">
            <v>0.16092051616243697</v>
          </cell>
          <cell r="M563">
            <v>0.21802865311397029</v>
          </cell>
          <cell r="U563" t="str">
            <v>2001FL</v>
          </cell>
          <cell r="V563">
            <v>0.69268118700000003</v>
          </cell>
          <cell r="W563">
            <v>1.3522028E-2</v>
          </cell>
          <cell r="X563">
            <v>8.4819991999999997E-2</v>
          </cell>
          <cell r="Y563">
            <v>6.4844268999999996E-2</v>
          </cell>
          <cell r="Z563">
            <v>0.14413252300000001</v>
          </cell>
          <cell r="AB563" t="str">
            <v>2001FL</v>
          </cell>
          <cell r="AC563">
            <v>0</v>
          </cell>
          <cell r="AD563">
            <v>0</v>
          </cell>
          <cell r="AE563">
            <v>0.41899999999999998</v>
          </cell>
          <cell r="AF563">
            <v>0.58099999999999996</v>
          </cell>
        </row>
        <row r="564">
          <cell r="B564" t="str">
            <v>2001GA</v>
          </cell>
          <cell r="C564">
            <v>0.19273069744191781</v>
          </cell>
          <cell r="D564">
            <v>0.10555474279279485</v>
          </cell>
          <cell r="E564">
            <v>0.17295655404371213</v>
          </cell>
          <cell r="F564">
            <v>9.6506118471406332E-2</v>
          </cell>
          <cell r="G564">
            <v>0.42830135387610352</v>
          </cell>
          <cell r="H564">
            <v>3.9505333740652553E-3</v>
          </cell>
          <cell r="J564" t="str">
            <v>2001GA</v>
          </cell>
          <cell r="K564">
            <v>0.3987420920801843</v>
          </cell>
          <cell r="L564">
            <v>0.42830135387610352</v>
          </cell>
          <cell r="M564">
            <v>0.17295655404371213</v>
          </cell>
          <cell r="U564" t="str">
            <v>2001GA</v>
          </cell>
          <cell r="V564">
            <v>8.0750719999999998E-2</v>
          </cell>
          <cell r="W564">
            <v>3.5715670999999997E-2</v>
          </cell>
          <cell r="X564">
            <v>0.10433897</v>
          </cell>
          <cell r="Y564">
            <v>0.45553477799999997</v>
          </cell>
          <cell r="Z564">
            <v>0.32365986200000002</v>
          </cell>
          <cell r="AB564" t="str">
            <v>2001GA</v>
          </cell>
          <cell r="AC564">
            <v>0</v>
          </cell>
          <cell r="AD564">
            <v>0</v>
          </cell>
          <cell r="AE564">
            <v>0.41899999999999998</v>
          </cell>
          <cell r="AF564">
            <v>0.58099999999999996</v>
          </cell>
        </row>
        <row r="565">
          <cell r="B565" t="str">
            <v>2001HI</v>
          </cell>
          <cell r="C565">
            <v>0.64293450136661257</v>
          </cell>
          <cell r="D565">
            <v>0.21080842362338434</v>
          </cell>
          <cell r="E565">
            <v>0</v>
          </cell>
          <cell r="F565">
            <v>0.11187896607757755</v>
          </cell>
          <cell r="G565">
            <v>2.9738451123291681E-2</v>
          </cell>
          <cell r="H565">
            <v>4.6396578091335485E-3</v>
          </cell>
          <cell r="J565" t="str">
            <v>2001HI</v>
          </cell>
          <cell r="K565">
            <v>0.97026154887670835</v>
          </cell>
          <cell r="L565">
            <v>2.9738451123291681E-2</v>
          </cell>
          <cell r="M565">
            <v>0</v>
          </cell>
          <cell r="U565" t="str">
            <v>2001HI</v>
          </cell>
          <cell r="V565">
            <v>0.25719484500000001</v>
          </cell>
          <cell r="W565">
            <v>3.1979661E-2</v>
          </cell>
          <cell r="X565">
            <v>0.18279532000000001</v>
          </cell>
          <cell r="Y565">
            <v>0.19564010200000001</v>
          </cell>
          <cell r="Z565">
            <v>0.33239007300000001</v>
          </cell>
          <cell r="AB565" t="str">
            <v>2001HI</v>
          </cell>
          <cell r="AC565">
            <v>0</v>
          </cell>
          <cell r="AD565">
            <v>0</v>
          </cell>
          <cell r="AE565">
            <v>0.25</v>
          </cell>
          <cell r="AF565">
            <v>0.75</v>
          </cell>
        </row>
        <row r="566">
          <cell r="B566" t="str">
            <v>2001ID</v>
          </cell>
          <cell r="C566">
            <v>0.61430166883381587</v>
          </cell>
          <cell r="D566">
            <v>0.23588808139293274</v>
          </cell>
          <cell r="E566">
            <v>8.7687239881535685E-3</v>
          </cell>
          <cell r="F566">
            <v>0.12473532172122244</v>
          </cell>
          <cell r="G566">
            <v>5.1914336049267377E-3</v>
          </cell>
          <cell r="H566">
            <v>1.1114770458948466E-2</v>
          </cell>
          <cell r="J566" t="str">
            <v>2001ID</v>
          </cell>
          <cell r="K566">
            <v>0.98603984240691966</v>
          </cell>
          <cell r="L566">
            <v>5.1914336049267377E-3</v>
          </cell>
          <cell r="M566">
            <v>8.7687239881535685E-3</v>
          </cell>
          <cell r="U566" t="str">
            <v>2001ID</v>
          </cell>
          <cell r="V566">
            <v>0.43587902499999998</v>
          </cell>
          <cell r="W566">
            <v>2.7990579000000002E-2</v>
          </cell>
          <cell r="X566">
            <v>0.152264028</v>
          </cell>
          <cell r="Y566">
            <v>0.10846533799999999</v>
          </cell>
          <cell r="Z566">
            <v>0.27540102999999999</v>
          </cell>
          <cell r="AB566" t="str">
            <v>2001ID</v>
          </cell>
          <cell r="AC566">
            <v>0</v>
          </cell>
          <cell r="AD566">
            <v>0</v>
          </cell>
          <cell r="AE566">
            <v>0.6</v>
          </cell>
          <cell r="AF566">
            <v>0.4</v>
          </cell>
        </row>
        <row r="567">
          <cell r="B567" t="str">
            <v>2001IL</v>
          </cell>
          <cell r="C567">
            <v>0.11752980811051092</v>
          </cell>
          <cell r="D567">
            <v>0.24611444193150428</v>
          </cell>
          <cell r="E567">
            <v>8.9366883832010871E-2</v>
          </cell>
          <cell r="F567">
            <v>0.44743179590562965</v>
          </cell>
          <cell r="G567">
            <v>5.2908752119449204E-2</v>
          </cell>
          <cell r="H567">
            <v>4.6648318100895154E-2</v>
          </cell>
          <cell r="J567" t="str">
            <v>2001IL</v>
          </cell>
          <cell r="K567">
            <v>0.85772436404853991</v>
          </cell>
          <cell r="L567">
            <v>5.2908752119449204E-2</v>
          </cell>
          <cell r="M567">
            <v>8.9366883832010871E-2</v>
          </cell>
          <cell r="U567" t="str">
            <v>2001IL</v>
          </cell>
          <cell r="V567">
            <v>2.4653621000000001E-2</v>
          </cell>
          <cell r="W567">
            <v>4.5417750999999999E-2</v>
          </cell>
          <cell r="X567">
            <v>0.27858001399999999</v>
          </cell>
          <cell r="Y567">
            <v>0.151368487</v>
          </cell>
          <cell r="Z567">
            <v>0.499980127</v>
          </cell>
          <cell r="AB567" t="str">
            <v>2001IL</v>
          </cell>
          <cell r="AC567">
            <v>0</v>
          </cell>
          <cell r="AD567">
            <v>0</v>
          </cell>
          <cell r="AE567">
            <v>0.02</v>
          </cell>
          <cell r="AF567">
            <v>0.98</v>
          </cell>
        </row>
        <row r="568">
          <cell r="B568" t="str">
            <v>2001IN</v>
          </cell>
          <cell r="C568">
            <v>0.13949762266810836</v>
          </cell>
          <cell r="D568">
            <v>0.22540591023217604</v>
          </cell>
          <cell r="E568">
            <v>0.14373555211257233</v>
          </cell>
          <cell r="F568">
            <v>0.37023579731477485</v>
          </cell>
          <cell r="G568">
            <v>8.5097167668637327E-2</v>
          </cell>
          <cell r="H568">
            <v>3.6027950003731081E-2</v>
          </cell>
          <cell r="J568" t="str">
            <v>2001IN</v>
          </cell>
          <cell r="K568">
            <v>0.77116728021879033</v>
          </cell>
          <cell r="L568">
            <v>8.5097167668637327E-2</v>
          </cell>
          <cell r="M568">
            <v>0.14373555211257233</v>
          </cell>
          <cell r="U568" t="str">
            <v>2001IN</v>
          </cell>
          <cell r="V568">
            <v>2.9254426E-2</v>
          </cell>
          <cell r="W568">
            <v>4.5261148000000001E-2</v>
          </cell>
          <cell r="X568">
            <v>0.277482063</v>
          </cell>
          <cell r="Y568">
            <v>0.14940086399999999</v>
          </cell>
          <cell r="Z568">
            <v>0.498601499</v>
          </cell>
          <cell r="AB568" t="str">
            <v>2001IN</v>
          </cell>
          <cell r="AC568">
            <v>0</v>
          </cell>
          <cell r="AD568">
            <v>0</v>
          </cell>
          <cell r="AE568">
            <v>0</v>
          </cell>
          <cell r="AF568">
            <v>1</v>
          </cell>
        </row>
        <row r="569">
          <cell r="B569" t="str">
            <v>2001IA</v>
          </cell>
          <cell r="C569">
            <v>0.12161098135776444</v>
          </cell>
          <cell r="D569">
            <v>0.23304307399039556</v>
          </cell>
          <cell r="E569">
            <v>0.11756752945199038</v>
          </cell>
          <cell r="F569">
            <v>0.41825171211270906</v>
          </cell>
          <cell r="G569">
            <v>6.960465674023314E-2</v>
          </cell>
          <cell r="H569">
            <v>3.9922046346907297E-2</v>
          </cell>
          <cell r="J569" t="str">
            <v>2001IA</v>
          </cell>
          <cell r="K569">
            <v>0.81282781380777647</v>
          </cell>
          <cell r="L569">
            <v>6.960465674023314E-2</v>
          </cell>
          <cell r="M569">
            <v>0.11756752945199038</v>
          </cell>
          <cell r="U569" t="str">
            <v>2001IA</v>
          </cell>
          <cell r="V569">
            <v>1.3297399999999999E-2</v>
          </cell>
          <cell r="W569">
            <v>3.8853431000000001E-2</v>
          </cell>
          <cell r="X569">
            <v>0.12831735699999999</v>
          </cell>
          <cell r="Y569">
            <v>0.46037914000000002</v>
          </cell>
          <cell r="Z569">
            <v>0.35915267299999998</v>
          </cell>
          <cell r="AB569" t="str">
            <v>2001IA</v>
          </cell>
          <cell r="AC569">
            <v>0</v>
          </cell>
          <cell r="AD569">
            <v>0</v>
          </cell>
          <cell r="AE569">
            <v>0</v>
          </cell>
          <cell r="AF569">
            <v>1</v>
          </cell>
        </row>
        <row r="570">
          <cell r="B570" t="str">
            <v>2001KS</v>
          </cell>
          <cell r="C570">
            <v>0.24040229240750161</v>
          </cell>
          <cell r="D570">
            <v>0.29511144451605525</v>
          </cell>
          <cell r="E570">
            <v>6.8375025993027055E-2</v>
          </cell>
          <cell r="F570">
            <v>0.3240311234528549</v>
          </cell>
          <cell r="G570">
            <v>4.048073678194139E-2</v>
          </cell>
          <cell r="H570">
            <v>3.1599376848619833E-2</v>
          </cell>
          <cell r="J570" t="str">
            <v>2001KS</v>
          </cell>
          <cell r="K570">
            <v>0.89114423722503155</v>
          </cell>
          <cell r="L570">
            <v>4.048073678194139E-2</v>
          </cell>
          <cell r="M570">
            <v>6.8375025993027055E-2</v>
          </cell>
          <cell r="U570" t="str">
            <v>2001KS</v>
          </cell>
          <cell r="V570">
            <v>3.0161084000000001E-2</v>
          </cell>
          <cell r="W570">
            <v>4.5849022000000003E-2</v>
          </cell>
          <cell r="X570">
            <v>0.27958595200000003</v>
          </cell>
          <cell r="Y570">
            <v>0.13555563000000001</v>
          </cell>
          <cell r="Z570">
            <v>0.508848313</v>
          </cell>
          <cell r="AB570" t="str">
            <v>2001KS</v>
          </cell>
          <cell r="AC570">
            <v>0</v>
          </cell>
          <cell r="AD570">
            <v>0</v>
          </cell>
          <cell r="AE570">
            <v>0.02</v>
          </cell>
          <cell r="AF570">
            <v>0.98</v>
          </cell>
        </row>
        <row r="571">
          <cell r="B571" t="str">
            <v>2001KY</v>
          </cell>
          <cell r="C571">
            <v>2.1296812132125385E-2</v>
          </cell>
          <cell r="D571">
            <v>5.9856516434609569E-2</v>
          </cell>
          <cell r="E571">
            <v>0.14115090640569064</v>
          </cell>
          <cell r="F571">
            <v>0.14570543899354471</v>
          </cell>
          <cell r="G571">
            <v>0.61698173231207498</v>
          </cell>
          <cell r="H571">
            <v>1.5008593721954745E-2</v>
          </cell>
          <cell r="J571" t="str">
            <v>2001KY</v>
          </cell>
          <cell r="K571">
            <v>0.24186736128223441</v>
          </cell>
          <cell r="L571">
            <v>0.61698173231207498</v>
          </cell>
          <cell r="M571">
            <v>0.14115090640569064</v>
          </cell>
          <cell r="U571" t="str">
            <v>2001KY</v>
          </cell>
          <cell r="V571">
            <v>5.3776006000000001E-2</v>
          </cell>
          <cell r="W571">
            <v>3.7324938000000002E-2</v>
          </cell>
          <cell r="X571">
            <v>0.12511914399999999</v>
          </cell>
          <cell r="Y571">
            <v>0.43787483999999999</v>
          </cell>
          <cell r="Z571">
            <v>0.34590507199999998</v>
          </cell>
          <cell r="AB571" t="str">
            <v>2001KY</v>
          </cell>
          <cell r="AC571">
            <v>0</v>
          </cell>
          <cell r="AD571">
            <v>0</v>
          </cell>
          <cell r="AE571">
            <v>0.05</v>
          </cell>
          <cell r="AF571">
            <v>0.95</v>
          </cell>
        </row>
        <row r="572">
          <cell r="B572" t="str">
            <v>2001LA</v>
          </cell>
          <cell r="C572">
            <v>8.7952070275395616E-2</v>
          </cell>
          <cell r="D572">
            <v>6.4331431129071887E-2</v>
          </cell>
          <cell r="E572">
            <v>0.14508869818133804</v>
          </cell>
          <cell r="F572">
            <v>0.10386100500791073</v>
          </cell>
          <cell r="G572">
            <v>0.59362160297633304</v>
          </cell>
          <cell r="H572">
            <v>5.1451924299507016E-3</v>
          </cell>
          <cell r="J572" t="str">
            <v>2001LA</v>
          </cell>
          <cell r="K572">
            <v>0.26128969884232889</v>
          </cell>
          <cell r="L572">
            <v>0.59362160297633304</v>
          </cell>
          <cell r="M572">
            <v>0.14508869818133804</v>
          </cell>
          <cell r="U572" t="str">
            <v>2001LA</v>
          </cell>
          <cell r="V572">
            <v>0.55095465899999996</v>
          </cell>
          <cell r="W572">
            <v>1.9757995E-2</v>
          </cell>
          <cell r="X572">
            <v>0.123936514</v>
          </cell>
          <cell r="Y572">
            <v>9.4748567000000006E-2</v>
          </cell>
          <cell r="Z572">
            <v>0.21060226500000001</v>
          </cell>
          <cell r="AB572" t="str">
            <v>2001LA</v>
          </cell>
          <cell r="AC572">
            <v>0</v>
          </cell>
          <cell r="AD572">
            <v>0</v>
          </cell>
          <cell r="AE572">
            <v>0.6</v>
          </cell>
          <cell r="AF572">
            <v>0.4</v>
          </cell>
        </row>
        <row r="573">
          <cell r="B573" t="str">
            <v>2001ME</v>
          </cell>
          <cell r="C573">
            <v>8.3237260225509993E-2</v>
          </cell>
          <cell r="D573">
            <v>0.16100059153880975</v>
          </cell>
          <cell r="E573">
            <v>0.45255337984497107</v>
          </cell>
          <cell r="F573">
            <v>0.2087608964134065</v>
          </cell>
          <cell r="G573">
            <v>7.3848847184080094E-2</v>
          </cell>
          <cell r="H573">
            <v>2.0599024793222575E-2</v>
          </cell>
          <cell r="J573" t="str">
            <v>2001ME</v>
          </cell>
          <cell r="K573">
            <v>0.47359777297094885</v>
          </cell>
          <cell r="L573">
            <v>7.3848847184080094E-2</v>
          </cell>
          <cell r="M573">
            <v>0.45255337984497107</v>
          </cell>
          <cell r="U573" t="str">
            <v>2001ME</v>
          </cell>
          <cell r="V573">
            <v>0.78336161599999998</v>
          </cell>
          <cell r="W573">
            <v>9.5320890000000005E-3</v>
          </cell>
          <cell r="X573">
            <v>5.9792194E-2</v>
          </cell>
          <cell r="Y573">
            <v>4.5710699E-2</v>
          </cell>
          <cell r="Z573">
            <v>0.101603402</v>
          </cell>
          <cell r="AB573" t="str">
            <v>2001ME</v>
          </cell>
          <cell r="AC573">
            <v>0</v>
          </cell>
          <cell r="AD573">
            <v>0</v>
          </cell>
          <cell r="AE573">
            <v>0.05</v>
          </cell>
          <cell r="AF573">
            <v>0.95</v>
          </cell>
        </row>
        <row r="574">
          <cell r="B574" t="str">
            <v>2001MD</v>
          </cell>
          <cell r="C574">
            <v>7.2058863510237894E-2</v>
          </cell>
          <cell r="D574">
            <v>0.15012568562479242</v>
          </cell>
          <cell r="E574">
            <v>0.44610893570203869</v>
          </cell>
          <cell r="F574">
            <v>0.23328830319187582</v>
          </cell>
          <cell r="G574">
            <v>6.8035648073932004E-2</v>
          </cell>
          <cell r="H574">
            <v>3.0382563897123117E-2</v>
          </cell>
          <cell r="J574" t="str">
            <v>2001MD</v>
          </cell>
          <cell r="K574">
            <v>0.48585541622402928</v>
          </cell>
          <cell r="L574">
            <v>6.8035648073932004E-2</v>
          </cell>
          <cell r="M574">
            <v>0.44610893570203869</v>
          </cell>
          <cell r="U574" t="str">
            <v>2001MD</v>
          </cell>
          <cell r="V574">
            <v>0.207727785</v>
          </cell>
          <cell r="W574">
            <v>3.7949653999999999E-2</v>
          </cell>
          <cell r="X574">
            <v>0.21531998099999999</v>
          </cell>
          <cell r="Y574">
            <v>0.15687051499999999</v>
          </cell>
          <cell r="Z574">
            <v>0.38213206399999999</v>
          </cell>
          <cell r="AB574" t="str">
            <v>2001MD</v>
          </cell>
          <cell r="AC574">
            <v>0</v>
          </cell>
          <cell r="AD574">
            <v>0</v>
          </cell>
          <cell r="AE574">
            <v>0.05</v>
          </cell>
          <cell r="AF574">
            <v>0.95</v>
          </cell>
        </row>
        <row r="575">
          <cell r="B575" t="str">
            <v>2001MA</v>
          </cell>
          <cell r="C575">
            <v>5.8117003727455652E-2</v>
          </cell>
          <cell r="D575">
            <v>0.14489187340718115</v>
          </cell>
          <cell r="E575">
            <v>0.4533193396295096</v>
          </cell>
          <cell r="F575">
            <v>0.24049537446963945</v>
          </cell>
          <cell r="G575">
            <v>7.4539779813664817E-2</v>
          </cell>
          <cell r="H575">
            <v>2.8636628952549422E-2</v>
          </cell>
          <cell r="J575" t="str">
            <v>2001MA</v>
          </cell>
          <cell r="K575">
            <v>0.47214088055682557</v>
          </cell>
          <cell r="L575">
            <v>7.4539779813664817E-2</v>
          </cell>
          <cell r="M575">
            <v>0.4533193396295096</v>
          </cell>
          <cell r="U575" t="str">
            <v>2001MA</v>
          </cell>
          <cell r="V575">
            <v>0.33619639600000001</v>
          </cell>
          <cell r="W575">
            <v>2.9207358999999999E-2</v>
          </cell>
          <cell r="X575">
            <v>0.18320979500000001</v>
          </cell>
          <cell r="Y575">
            <v>0.14006256</v>
          </cell>
          <cell r="Z575">
            <v>0.31132388999999999</v>
          </cell>
          <cell r="AB575" t="str">
            <v>2001MA</v>
          </cell>
          <cell r="AC575">
            <v>0</v>
          </cell>
          <cell r="AD575">
            <v>0</v>
          </cell>
          <cell r="AE575">
            <v>0.05</v>
          </cell>
          <cell r="AF575">
            <v>0.95</v>
          </cell>
        </row>
        <row r="576">
          <cell r="B576" t="str">
            <v>2001MI</v>
          </cell>
          <cell r="C576">
            <v>0.19597637786778982</v>
          </cell>
          <cell r="D576">
            <v>0.31645192581103965</v>
          </cell>
          <cell r="E576">
            <v>6.6492213268677103E-2</v>
          </cell>
          <cell r="F576">
            <v>0.34033100898805096</v>
          </cell>
          <cell r="G576">
            <v>3.9366036711306333E-2</v>
          </cell>
          <cell r="H576">
            <v>4.138243735313607E-2</v>
          </cell>
          <cell r="J576" t="str">
            <v>2001MI</v>
          </cell>
          <cell r="K576">
            <v>0.89414175002001661</v>
          </cell>
          <cell r="L576">
            <v>3.9366036711306333E-2</v>
          </cell>
          <cell r="M576">
            <v>6.6492213268677103E-2</v>
          </cell>
          <cell r="U576" t="str">
            <v>2001MI</v>
          </cell>
          <cell r="V576">
            <v>4.9171380000000001E-2</v>
          </cell>
          <cell r="W576">
            <v>5.0025455000000003E-2</v>
          </cell>
          <cell r="X576">
            <v>0.25355728700000002</v>
          </cell>
          <cell r="Y576">
            <v>0.17332818799999999</v>
          </cell>
          <cell r="Z576">
            <v>0.47391769</v>
          </cell>
          <cell r="AB576" t="str">
            <v>2001MI</v>
          </cell>
          <cell r="AC576">
            <v>0</v>
          </cell>
          <cell r="AD576">
            <v>0</v>
          </cell>
          <cell r="AE576">
            <v>0.02</v>
          </cell>
          <cell r="AF576">
            <v>0.98</v>
          </cell>
        </row>
        <row r="577">
          <cell r="B577" t="str">
            <v>2001MN</v>
          </cell>
          <cell r="C577">
            <v>0.1029748495911046</v>
          </cell>
          <cell r="D577">
            <v>0.22267939011813431</v>
          </cell>
          <cell r="E577">
            <v>0.11844384616958983</v>
          </cell>
          <cell r="F577">
            <v>0.44052479539245526</v>
          </cell>
          <cell r="G577">
            <v>7.0123471115329267E-2</v>
          </cell>
          <cell r="H577">
            <v>4.5253647613386648E-2</v>
          </cell>
          <cell r="J577" t="str">
            <v>2001MN</v>
          </cell>
          <cell r="K577">
            <v>0.81143268271508084</v>
          </cell>
          <cell r="L577">
            <v>7.0123471115329267E-2</v>
          </cell>
          <cell r="M577">
            <v>0.11844384616958983</v>
          </cell>
          <cell r="U577" t="str">
            <v>2001MN</v>
          </cell>
          <cell r="V577">
            <v>1.83351E-2</v>
          </cell>
          <cell r="W577">
            <v>5.1437587999999999E-2</v>
          </cell>
          <cell r="X577">
            <v>0.26200815199999999</v>
          </cell>
          <cell r="Y577">
            <v>0.17965018599999999</v>
          </cell>
          <cell r="Z577">
            <v>0.48856897399999999</v>
          </cell>
          <cell r="AB577" t="str">
            <v>2001MN</v>
          </cell>
          <cell r="AC577">
            <v>0</v>
          </cell>
          <cell r="AD577">
            <v>0</v>
          </cell>
          <cell r="AE577">
            <v>0</v>
          </cell>
          <cell r="AF577">
            <v>1</v>
          </cell>
        </row>
        <row r="578">
          <cell r="B578" t="str">
            <v>2001MS</v>
          </cell>
          <cell r="C578">
            <v>9.798772460337063E-2</v>
          </cell>
          <cell r="D578">
            <v>6.9880547334418855E-2</v>
          </cell>
          <cell r="E578">
            <v>0.1472591568329065</v>
          </cell>
          <cell r="F578">
            <v>9.9293001029840094E-2</v>
          </cell>
          <cell r="G578">
            <v>0.58074580920478924</v>
          </cell>
          <cell r="H578">
            <v>4.8337609946748393E-3</v>
          </cell>
          <cell r="J578" t="str">
            <v>2001MS</v>
          </cell>
          <cell r="K578">
            <v>0.27199503396230429</v>
          </cell>
          <cell r="L578">
            <v>0.58074580920478924</v>
          </cell>
          <cell r="M578">
            <v>0.1472591568329065</v>
          </cell>
          <cell r="U578" t="str">
            <v>2001MS</v>
          </cell>
          <cell r="V578">
            <v>2.5282990000000002E-2</v>
          </cell>
          <cell r="W578">
            <v>3.6417168E-2</v>
          </cell>
          <cell r="X578">
            <v>6.4742741000000006E-2</v>
          </cell>
          <cell r="Y578">
            <v>0.56338489400000002</v>
          </cell>
          <cell r="Z578">
            <v>0.310172208</v>
          </cell>
          <cell r="AB578" t="str">
            <v>2001MS</v>
          </cell>
          <cell r="AC578">
            <v>0</v>
          </cell>
          <cell r="AD578">
            <v>0</v>
          </cell>
          <cell r="AE578">
            <v>0.6</v>
          </cell>
          <cell r="AF578">
            <v>0.4</v>
          </cell>
        </row>
        <row r="579">
          <cell r="B579" t="str">
            <v>2001MO</v>
          </cell>
          <cell r="C579">
            <v>6.1034724968324551E-2</v>
          </cell>
          <cell r="D579">
            <v>0.17701992489642668</v>
          </cell>
          <cell r="E579">
            <v>0.14689331075020168</v>
          </cell>
          <cell r="F579">
            <v>0.48144104764834394</v>
          </cell>
          <cell r="G579">
            <v>8.6966686464049717E-2</v>
          </cell>
          <cell r="H579">
            <v>4.6644305272653341E-2</v>
          </cell>
          <cell r="J579" t="str">
            <v>2001MO</v>
          </cell>
          <cell r="K579">
            <v>0.76614000278574856</v>
          </cell>
          <cell r="L579">
            <v>8.6966686464049717E-2</v>
          </cell>
          <cell r="M579">
            <v>0.14689331075020168</v>
          </cell>
          <cell r="U579" t="str">
            <v>2001MO</v>
          </cell>
          <cell r="V579">
            <v>3.3367441999999997E-2</v>
          </cell>
          <cell r="W579">
            <v>4.5528328999999999E-2</v>
          </cell>
          <cell r="X579">
            <v>0.27802744899999998</v>
          </cell>
          <cell r="Y579">
            <v>0.138785667</v>
          </cell>
          <cell r="Z579">
            <v>0.50429111299999996</v>
          </cell>
          <cell r="AB579" t="str">
            <v>2001MO</v>
          </cell>
          <cell r="AC579">
            <v>0</v>
          </cell>
          <cell r="AD579">
            <v>0</v>
          </cell>
          <cell r="AE579">
            <v>0</v>
          </cell>
          <cell r="AF579">
            <v>1</v>
          </cell>
        </row>
        <row r="580">
          <cell r="B580" t="str">
            <v>2001MT</v>
          </cell>
          <cell r="C580">
            <v>0.34448684903953858</v>
          </cell>
          <cell r="D580">
            <v>0.25401109266321004</v>
          </cell>
          <cell r="E580">
            <v>4.3485500105679739E-2</v>
          </cell>
          <cell r="F580">
            <v>0.26349345420732134</v>
          </cell>
          <cell r="G580">
            <v>2.5745146828735768E-2</v>
          </cell>
          <cell r="H580">
            <v>6.8777957155514324E-2</v>
          </cell>
          <cell r="J580" t="str">
            <v>2001MT</v>
          </cell>
          <cell r="K580">
            <v>0.9307693530655845</v>
          </cell>
          <cell r="L580">
            <v>2.5745146828735768E-2</v>
          </cell>
          <cell r="M580">
            <v>4.3485500105679739E-2</v>
          </cell>
          <cell r="U580" t="str">
            <v>2001MT</v>
          </cell>
          <cell r="V580">
            <v>6.4529449000000003E-2</v>
          </cell>
          <cell r="W580">
            <v>5.0732858999999998E-2</v>
          </cell>
          <cell r="X580">
            <v>0.24782003699999999</v>
          </cell>
          <cell r="Y580">
            <v>0.16547710199999999</v>
          </cell>
          <cell r="Z580">
            <v>0.47144055200000001</v>
          </cell>
          <cell r="AB580" t="str">
            <v>2001MT</v>
          </cell>
          <cell r="AC580">
            <v>0</v>
          </cell>
          <cell r="AD580">
            <v>0</v>
          </cell>
          <cell r="AE580">
            <v>0.6</v>
          </cell>
          <cell r="AF580">
            <v>0.4</v>
          </cell>
        </row>
        <row r="581">
          <cell r="B581" t="str">
            <v>2001NE</v>
          </cell>
          <cell r="C581">
            <v>0.18005137908478619</v>
          </cell>
          <cell r="D581">
            <v>0.27617746339993809</v>
          </cell>
          <cell r="E581">
            <v>8.0399829461586053E-2</v>
          </cell>
          <cell r="F581">
            <v>0.37410118052749769</v>
          </cell>
          <cell r="G581">
            <v>4.7599899034471344E-2</v>
          </cell>
          <cell r="H581">
            <v>4.1670248491720449E-2</v>
          </cell>
          <cell r="J581" t="str">
            <v>2001NE</v>
          </cell>
          <cell r="K581">
            <v>0.87200027150394255</v>
          </cell>
          <cell r="L581">
            <v>4.7599899034471344E-2</v>
          </cell>
          <cell r="M581">
            <v>8.0399829461586053E-2</v>
          </cell>
          <cell r="U581" t="str">
            <v>2001NE</v>
          </cell>
          <cell r="V581">
            <v>3.5008105999999997E-2</v>
          </cell>
          <cell r="W581">
            <v>4.4898285000000003E-2</v>
          </cell>
          <cell r="X581">
            <v>0.27548266900000001</v>
          </cell>
          <cell r="Y581">
            <v>0.15057283199999999</v>
          </cell>
          <cell r="Z581">
            <v>0.49403810799999998</v>
          </cell>
          <cell r="AB581" t="str">
            <v>2001NE</v>
          </cell>
          <cell r="AC581">
            <v>0</v>
          </cell>
          <cell r="AD581">
            <v>0</v>
          </cell>
          <cell r="AE581">
            <v>0.02</v>
          </cell>
          <cell r="AF581">
            <v>0.98</v>
          </cell>
        </row>
        <row r="582">
          <cell r="B582" t="str">
            <v>2001NV</v>
          </cell>
          <cell r="C582">
            <v>0.64021435237800872</v>
          </cell>
          <cell r="D582">
            <v>0.23124109546025451</v>
          </cell>
          <cell r="E582">
            <v>9.3244891682708712E-3</v>
          </cell>
          <cell r="F582">
            <v>0.10896621546179096</v>
          </cell>
          <cell r="G582">
            <v>5.5204687115633505E-3</v>
          </cell>
          <cell r="H582">
            <v>4.733378820111646E-3</v>
          </cell>
          <cell r="J582" t="str">
            <v>2001NV</v>
          </cell>
          <cell r="K582">
            <v>0.9851550421201658</v>
          </cell>
          <cell r="L582">
            <v>5.5204687115633505E-3</v>
          </cell>
          <cell r="M582">
            <v>9.3244891682708712E-3</v>
          </cell>
          <cell r="U582" t="str">
            <v>2001NV</v>
          </cell>
          <cell r="V582">
            <v>0.480032917</v>
          </cell>
          <cell r="W582">
            <v>1.9238781999999999E-2</v>
          </cell>
          <cell r="X582">
            <v>2.8598189999999999E-2</v>
          </cell>
          <cell r="Y582">
            <v>0.31094031599999999</v>
          </cell>
          <cell r="Z582">
            <v>0.161189796</v>
          </cell>
          <cell r="AB582" t="str">
            <v>2001NV</v>
          </cell>
          <cell r="AC582">
            <v>0</v>
          </cell>
          <cell r="AD582">
            <v>0</v>
          </cell>
          <cell r="AE582">
            <v>0</v>
          </cell>
          <cell r="AF582">
            <v>1</v>
          </cell>
        </row>
        <row r="583">
          <cell r="B583" t="str">
            <v>2001NH</v>
          </cell>
          <cell r="C583">
            <v>8.4981371299204606E-2</v>
          </cell>
          <cell r="D583">
            <v>0.1575570159051049</v>
          </cell>
          <cell r="E583">
            <v>0.44509352751883696</v>
          </cell>
          <cell r="F583">
            <v>0.21838963727645488</v>
          </cell>
          <cell r="G583">
            <v>6.7119700970332902E-2</v>
          </cell>
          <cell r="H583">
            <v>2.6858747030065695E-2</v>
          </cell>
          <cell r="J583" t="str">
            <v>2001NH</v>
          </cell>
          <cell r="K583">
            <v>0.48778677151083016</v>
          </cell>
          <cell r="L583">
            <v>6.7119700970332902E-2</v>
          </cell>
          <cell r="M583">
            <v>0.44509352751883696</v>
          </cell>
          <cell r="U583" t="str">
            <v>2001NH</v>
          </cell>
          <cell r="V583">
            <v>0.58006569600000002</v>
          </cell>
          <cell r="W583">
            <v>1.8477108999999999E-2</v>
          </cell>
          <cell r="X583">
            <v>0.11590186800000001</v>
          </cell>
          <cell r="Y583">
            <v>8.8606138000000001E-2</v>
          </cell>
          <cell r="Z583">
            <v>0.196949189</v>
          </cell>
          <cell r="AB583" t="str">
            <v>2001NH</v>
          </cell>
          <cell r="AC583">
            <v>0</v>
          </cell>
          <cell r="AD583">
            <v>0</v>
          </cell>
          <cell r="AE583">
            <v>0.05</v>
          </cell>
          <cell r="AF583">
            <v>0.95</v>
          </cell>
        </row>
        <row r="584">
          <cell r="B584" t="str">
            <v>2001NJ</v>
          </cell>
          <cell r="C584">
            <v>5.5099885322645523E-2</v>
          </cell>
          <cell r="D584">
            <v>0.13683645355638888</v>
          </cell>
          <cell r="E584">
            <v>0.45437354186919537</v>
          </cell>
          <cell r="F584">
            <v>0.24824999211483034</v>
          </cell>
          <cell r="G584">
            <v>7.5490721025309751E-2</v>
          </cell>
          <cell r="H584">
            <v>2.9949406111630057E-2</v>
          </cell>
          <cell r="J584" t="str">
            <v>2001NJ</v>
          </cell>
          <cell r="K584">
            <v>0.47013573710549483</v>
          </cell>
          <cell r="L584">
            <v>7.5490721025309751E-2</v>
          </cell>
          <cell r="M584">
            <v>0.45437354186919537</v>
          </cell>
          <cell r="U584" t="str">
            <v>2001NJ</v>
          </cell>
          <cell r="V584">
            <v>0.34526872600000003</v>
          </cell>
          <cell r="W584">
            <v>3.086204E-2</v>
          </cell>
          <cell r="X584">
            <v>0.17848081299999999</v>
          </cell>
          <cell r="Y584">
            <v>0.13130208700000001</v>
          </cell>
          <cell r="Z584">
            <v>0.31408633400000002</v>
          </cell>
          <cell r="AB584" t="str">
            <v>2001NJ</v>
          </cell>
          <cell r="AC584">
            <v>0</v>
          </cell>
          <cell r="AD584">
            <v>0</v>
          </cell>
          <cell r="AE584">
            <v>0.05</v>
          </cell>
          <cell r="AF584">
            <v>0.95</v>
          </cell>
        </row>
        <row r="585">
          <cell r="B585" t="str">
            <v>2001NM</v>
          </cell>
          <cell r="C585">
            <v>0.61154043436257577</v>
          </cell>
          <cell r="D585">
            <v>0.1942914523289212</v>
          </cell>
          <cell r="E585">
            <v>9.8948140364333637E-2</v>
          </cell>
          <cell r="F585">
            <v>9.4582752857958391E-2</v>
          </cell>
          <cell r="G585">
            <v>0</v>
          </cell>
          <cell r="H585">
            <v>6.3722008621101801E-4</v>
          </cell>
          <cell r="J585" t="str">
            <v>2001NM</v>
          </cell>
          <cell r="K585">
            <v>0.90105185963566636</v>
          </cell>
          <cell r="L585">
            <v>0</v>
          </cell>
          <cell r="M585">
            <v>9.8948140364333637E-2</v>
          </cell>
          <cell r="U585" t="str">
            <v>2001NM</v>
          </cell>
          <cell r="V585">
            <v>0.93324484900000004</v>
          </cell>
          <cell r="W585">
            <v>2.9372270000000002E-3</v>
          </cell>
          <cell r="X585">
            <v>1.8424421999999999E-2</v>
          </cell>
          <cell r="Y585">
            <v>1.4085337E-2</v>
          </cell>
          <cell r="Z585">
            <v>3.1308165999999998E-2</v>
          </cell>
          <cell r="AB585" t="str">
            <v>2001NM</v>
          </cell>
          <cell r="AC585">
            <v>0</v>
          </cell>
          <cell r="AD585">
            <v>0</v>
          </cell>
          <cell r="AE585">
            <v>0.6</v>
          </cell>
          <cell r="AF585">
            <v>0.4</v>
          </cell>
        </row>
        <row r="586">
          <cell r="B586" t="str">
            <v>2001NY</v>
          </cell>
          <cell r="C586">
            <v>9.2821771947524265E-2</v>
          </cell>
          <cell r="D586">
            <v>0.15617661216792894</v>
          </cell>
          <cell r="E586">
            <v>0.45012505081026677</v>
          </cell>
          <cell r="F586">
            <v>0.20812886650032614</v>
          </cell>
          <cell r="G586">
            <v>7.1658377397920053E-2</v>
          </cell>
          <cell r="H586">
            <v>2.1089321176033831E-2</v>
          </cell>
          <cell r="J586" t="str">
            <v>2001NY</v>
          </cell>
          <cell r="K586">
            <v>0.47821657179181321</v>
          </cell>
          <cell r="L586">
            <v>7.1658377397920053E-2</v>
          </cell>
          <cell r="M586">
            <v>0.45012505081026677</v>
          </cell>
          <cell r="U586" t="str">
            <v>2001NY</v>
          </cell>
          <cell r="V586">
            <v>0.227033876</v>
          </cell>
          <cell r="W586">
            <v>4.0492197000000001E-2</v>
          </cell>
          <cell r="X586">
            <v>0.20631682200000001</v>
          </cell>
          <cell r="Y586">
            <v>0.141490226</v>
          </cell>
          <cell r="Z586">
            <v>0.38466687900000002</v>
          </cell>
          <cell r="AB586" t="str">
            <v>2001NY</v>
          </cell>
          <cell r="AC586">
            <v>0</v>
          </cell>
          <cell r="AD586">
            <v>0</v>
          </cell>
          <cell r="AE586">
            <v>0.05</v>
          </cell>
          <cell r="AF586">
            <v>0.95</v>
          </cell>
        </row>
        <row r="587">
          <cell r="B587" t="str">
            <v>2001NC</v>
          </cell>
          <cell r="C587">
            <v>5.5752261173123339E-2</v>
          </cell>
          <cell r="D587">
            <v>0.10653637054102173</v>
          </cell>
          <cell r="E587">
            <v>0.15099123992936761</v>
          </cell>
          <cell r="F587">
            <v>0.11323329110713763</v>
          </cell>
          <cell r="G587">
            <v>0.55860600375234526</v>
          </cell>
          <cell r="H587">
            <v>1.4880833497004437E-2</v>
          </cell>
          <cell r="J587" t="str">
            <v>2001NC</v>
          </cell>
          <cell r="K587">
            <v>0.29040275631828716</v>
          </cell>
          <cell r="L587">
            <v>0.55860600375234526</v>
          </cell>
          <cell r="M587">
            <v>0.15099123992936761</v>
          </cell>
          <cell r="U587" t="str">
            <v>2001NC</v>
          </cell>
          <cell r="V587">
            <v>2.616691E-3</v>
          </cell>
          <cell r="W587">
            <v>3.7141913999999998E-2</v>
          </cell>
          <cell r="X587">
            <v>6.2393182999999998E-2</v>
          </cell>
          <cell r="Y587">
            <v>0.58323676499999999</v>
          </cell>
          <cell r="Z587">
            <v>0.31461144600000002</v>
          </cell>
          <cell r="AB587" t="str">
            <v>2001NC</v>
          </cell>
          <cell r="AC587">
            <v>0</v>
          </cell>
          <cell r="AD587">
            <v>0</v>
          </cell>
          <cell r="AE587">
            <v>0.41899999999999998</v>
          </cell>
          <cell r="AF587">
            <v>0.58099999999999996</v>
          </cell>
        </row>
        <row r="588">
          <cell r="B588" t="str">
            <v>2001ND</v>
          </cell>
          <cell r="C588">
            <v>0.10203086771259967</v>
          </cell>
          <cell r="D588">
            <v>0.19935082403892471</v>
          </cell>
          <cell r="E588">
            <v>0.12868992265438248</v>
          </cell>
          <cell r="F588">
            <v>0.45490123693386403</v>
          </cell>
          <cell r="G588">
            <v>7.6189556198365732E-2</v>
          </cell>
          <cell r="H588">
            <v>3.8837592461863309E-2</v>
          </cell>
          <cell r="J588" t="str">
            <v>2001ND</v>
          </cell>
          <cell r="K588">
            <v>0.79512052114725185</v>
          </cell>
          <cell r="L588">
            <v>7.6189556198365732E-2</v>
          </cell>
          <cell r="M588">
            <v>0.12868992265438248</v>
          </cell>
          <cell r="U588" t="str">
            <v>2001ND</v>
          </cell>
          <cell r="V588">
            <v>9.8910882000000006E-2</v>
          </cell>
          <cell r="W588">
            <v>4.6850138999999999E-2</v>
          </cell>
          <cell r="X588">
            <v>0.24089819400000001</v>
          </cell>
          <cell r="Y588">
            <v>0.166122411</v>
          </cell>
          <cell r="Z588">
            <v>0.447218375</v>
          </cell>
          <cell r="AB588" t="str">
            <v>2001ND</v>
          </cell>
          <cell r="AC588">
            <v>0</v>
          </cell>
          <cell r="AD588">
            <v>0</v>
          </cell>
          <cell r="AE588">
            <v>0.02</v>
          </cell>
          <cell r="AF588">
            <v>0.98</v>
          </cell>
        </row>
        <row r="589">
          <cell r="B589" t="str">
            <v>2001OH</v>
          </cell>
          <cell r="C589">
            <v>9.6623680490049615E-2</v>
          </cell>
          <cell r="D589">
            <v>0.21405286417858527</v>
          </cell>
          <cell r="E589">
            <v>0.1424851029587216</v>
          </cell>
          <cell r="F589">
            <v>0.42033602002704279</v>
          </cell>
          <cell r="G589">
            <v>8.4356852000437132E-2</v>
          </cell>
          <cell r="H589">
            <v>4.2145480345163758E-2</v>
          </cell>
          <cell r="J589" t="str">
            <v>2001OH</v>
          </cell>
          <cell r="K589">
            <v>0.77315804504084129</v>
          </cell>
          <cell r="L589">
            <v>8.4356852000437132E-2</v>
          </cell>
          <cell r="M589">
            <v>0.1424851029587216</v>
          </cell>
          <cell r="U589" t="str">
            <v>2001OH</v>
          </cell>
          <cell r="V589">
            <v>7.2129262999999999E-2</v>
          </cell>
          <cell r="W589">
            <v>4.2723809000000001E-2</v>
          </cell>
          <cell r="X589">
            <v>0.26320793399999998</v>
          </cell>
          <cell r="Y589">
            <v>0.15451018499999999</v>
          </cell>
          <cell r="Z589">
            <v>0.46742880999999997</v>
          </cell>
          <cell r="AB589" t="str">
            <v>2001OH</v>
          </cell>
          <cell r="AC589">
            <v>0</v>
          </cell>
          <cell r="AD589">
            <v>0</v>
          </cell>
          <cell r="AE589">
            <v>0</v>
          </cell>
          <cell r="AF589">
            <v>1</v>
          </cell>
        </row>
        <row r="590">
          <cell r="B590" t="str">
            <v>2001OK</v>
          </cell>
          <cell r="C590">
            <v>0.38089431950782515</v>
          </cell>
          <cell r="D590">
            <v>0.22578681060459513</v>
          </cell>
          <cell r="E590">
            <v>6.1917004752521168E-2</v>
          </cell>
          <cell r="F590">
            <v>0.26529730894101827</v>
          </cell>
          <cell r="G590">
            <v>0</v>
          </cell>
          <cell r="H590">
            <v>6.6104556194040293E-2</v>
          </cell>
          <cell r="J590" t="str">
            <v>2001OK</v>
          </cell>
          <cell r="K590">
            <v>0.93808299524747885</v>
          </cell>
          <cell r="L590">
            <v>0</v>
          </cell>
          <cell r="M590">
            <v>6.1917004752521168E-2</v>
          </cell>
          <cell r="U590" t="str">
            <v>2001OK</v>
          </cell>
          <cell r="V590">
            <v>1.4866692000000001E-2</v>
          </cell>
          <cell r="W590">
            <v>3.6735650000000002E-2</v>
          </cell>
          <cell r="X590">
            <v>6.3202837999999997E-2</v>
          </cell>
          <cell r="Y590">
            <v>0.57331362900000005</v>
          </cell>
          <cell r="Z590">
            <v>0.31188119199999997</v>
          </cell>
          <cell r="AB590" t="str">
            <v>2001OK</v>
          </cell>
          <cell r="AC590">
            <v>0</v>
          </cell>
          <cell r="AD590">
            <v>0</v>
          </cell>
          <cell r="AE590">
            <v>0.6</v>
          </cell>
          <cell r="AF590">
            <v>0.4</v>
          </cell>
        </row>
        <row r="591">
          <cell r="B591" t="str">
            <v>2001OR</v>
          </cell>
          <cell r="C591">
            <v>0.41689880880198443</v>
          </cell>
          <cell r="D591">
            <v>0.20833474100380128</v>
          </cell>
          <cell r="E591">
            <v>0</v>
          </cell>
          <cell r="F591">
            <v>0.12797524465619592</v>
          </cell>
          <cell r="G591">
            <v>0.22441969612767182</v>
          </cell>
          <cell r="H591">
            <v>2.2371509410346581E-2</v>
          </cell>
          <cell r="J591" t="str">
            <v>2001OR</v>
          </cell>
          <cell r="K591">
            <v>0.77558030387232813</v>
          </cell>
          <cell r="L591">
            <v>0.22441969612767182</v>
          </cell>
          <cell r="M591">
            <v>0</v>
          </cell>
          <cell r="U591" t="str">
            <v>2001OR</v>
          </cell>
          <cell r="V591">
            <v>0.59372205899999997</v>
          </cell>
          <cell r="W591">
            <v>1.7876229E-2</v>
          </cell>
          <cell r="X591">
            <v>0.112132712</v>
          </cell>
          <cell r="Y591">
            <v>8.5724645000000002E-2</v>
          </cell>
          <cell r="Z591">
            <v>0.190544354</v>
          </cell>
          <cell r="AB591" t="str">
            <v>2001OR</v>
          </cell>
          <cell r="AC591">
            <v>0</v>
          </cell>
          <cell r="AD591">
            <v>0</v>
          </cell>
          <cell r="AE591">
            <v>0.25</v>
          </cell>
          <cell r="AF591">
            <v>0.75</v>
          </cell>
        </row>
        <row r="592">
          <cell r="B592" t="str">
            <v>2001PA</v>
          </cell>
          <cell r="C592">
            <v>4.5960852941407122E-2</v>
          </cell>
          <cell r="D592">
            <v>0.11297472473398248</v>
          </cell>
          <cell r="E592">
            <v>0.47071205687316842</v>
          </cell>
          <cell r="F592">
            <v>0.25618598710209917</v>
          </cell>
          <cell r="G592">
            <v>9.0228848748303642E-2</v>
          </cell>
          <cell r="H592">
            <v>2.3937529601039162E-2</v>
          </cell>
          <cell r="J592" t="str">
            <v>2001PA</v>
          </cell>
          <cell r="K592">
            <v>0.43905909437852797</v>
          </cell>
          <cell r="L592">
            <v>9.0228848748303642E-2</v>
          </cell>
          <cell r="M592">
            <v>0.47071205687316842</v>
          </cell>
          <cell r="U592" t="str">
            <v>2001PA</v>
          </cell>
          <cell r="V592">
            <v>5.2319791999999997E-2</v>
          </cell>
          <cell r="W592">
            <v>4.9135616999999999E-2</v>
          </cell>
          <cell r="X592">
            <v>0.25350224199999999</v>
          </cell>
          <cell r="Y592">
            <v>0.17516823000000001</v>
          </cell>
          <cell r="Z592">
            <v>0.46987411899999998</v>
          </cell>
          <cell r="AB592" t="str">
            <v>2001PA</v>
          </cell>
          <cell r="AC592">
            <v>0</v>
          </cell>
          <cell r="AD592">
            <v>0</v>
          </cell>
          <cell r="AE592">
            <v>0</v>
          </cell>
          <cell r="AF592">
            <v>1</v>
          </cell>
        </row>
        <row r="593">
          <cell r="B593" t="str">
            <v>2001RI</v>
          </cell>
          <cell r="C593">
            <v>3.707773000474144E-2</v>
          </cell>
          <cell r="D593">
            <v>0.10713517076261135</v>
          </cell>
          <cell r="E593">
            <v>0.47589658299294657</v>
          </cell>
          <cell r="F593">
            <v>0.26112576981468621</v>
          </cell>
          <cell r="G593">
            <v>9.4905541098734808E-2</v>
          </cell>
          <cell r="H593">
            <v>2.3859205326279664E-2</v>
          </cell>
          <cell r="J593" t="str">
            <v>2001RI</v>
          </cell>
          <cell r="K593">
            <v>0.42919787590831859</v>
          </cell>
          <cell r="L593">
            <v>9.4905541098734808E-2</v>
          </cell>
          <cell r="M593">
            <v>0.47589658299294657</v>
          </cell>
          <cell r="U593" t="str">
            <v>2001RI</v>
          </cell>
          <cell r="V593">
            <v>0.53863711400000003</v>
          </cell>
          <cell r="W593">
            <v>2.0299966999999999E-2</v>
          </cell>
          <cell r="X593">
            <v>0.12733615700000001</v>
          </cell>
          <cell r="Y593">
            <v>9.7347568999999995E-2</v>
          </cell>
          <cell r="Z593">
            <v>0.216379194</v>
          </cell>
          <cell r="AB593" t="str">
            <v>2001RI</v>
          </cell>
          <cell r="AC593">
            <v>0</v>
          </cell>
          <cell r="AD593">
            <v>0</v>
          </cell>
          <cell r="AE593">
            <v>0.05</v>
          </cell>
          <cell r="AF593">
            <v>0.95</v>
          </cell>
        </row>
        <row r="594">
          <cell r="B594" t="str">
            <v>2001SC</v>
          </cell>
          <cell r="C594">
            <v>0.1241536096174236</v>
          </cell>
          <cell r="D594">
            <v>8.5867233866270695E-2</v>
          </cell>
          <cell r="E594">
            <v>0.15143537558220191</v>
          </cell>
          <cell r="F594">
            <v>7.8992548110738053E-2</v>
          </cell>
          <cell r="G594">
            <v>0.5559712615201664</v>
          </cell>
          <cell r="H594">
            <v>3.579971303199279E-3</v>
          </cell>
          <cell r="J594" t="str">
            <v>2001SC</v>
          </cell>
          <cell r="K594">
            <v>0.29259336289763171</v>
          </cell>
          <cell r="L594">
            <v>0.5559712615201664</v>
          </cell>
          <cell r="M594">
            <v>0.15143537558220191</v>
          </cell>
          <cell r="U594" t="str">
            <v>2001SC</v>
          </cell>
          <cell r="V594">
            <v>6.6339492E-2</v>
          </cell>
          <cell r="W594">
            <v>3.5815598999999997E-2</v>
          </cell>
          <cell r="X594">
            <v>9.1452099999999995E-2</v>
          </cell>
          <cell r="Y594">
            <v>0.48810726999999998</v>
          </cell>
          <cell r="Z594">
            <v>0.31828553900000001</v>
          </cell>
          <cell r="AB594" t="str">
            <v>2001SC</v>
          </cell>
          <cell r="AC594">
            <v>0</v>
          </cell>
          <cell r="AD594">
            <v>0</v>
          </cell>
          <cell r="AE594">
            <v>0.6</v>
          </cell>
          <cell r="AF594">
            <v>0.4</v>
          </cell>
        </row>
        <row r="595">
          <cell r="B595" t="str">
            <v>2001SD</v>
          </cell>
          <cell r="C595">
            <v>0.15049054430114472</v>
          </cell>
          <cell r="D595">
            <v>0.25413580229700122</v>
          </cell>
          <cell r="E595">
            <v>9.8172813125203789E-2</v>
          </cell>
          <cell r="F595">
            <v>0.39730040760379393</v>
          </cell>
          <cell r="G595">
            <v>5.812221274576742E-2</v>
          </cell>
          <cell r="H595">
            <v>4.1778219927088966E-2</v>
          </cell>
          <cell r="J595" t="str">
            <v>2001SD</v>
          </cell>
          <cell r="K595">
            <v>0.84370497412902878</v>
          </cell>
          <cell r="L595">
            <v>5.812221274576742E-2</v>
          </cell>
          <cell r="M595">
            <v>9.8172813125203789E-2</v>
          </cell>
          <cell r="U595" t="str">
            <v>2001SD</v>
          </cell>
          <cell r="V595">
            <v>4.2270519999999999E-2</v>
          </cell>
          <cell r="W595">
            <v>5.0198490999999998E-2</v>
          </cell>
          <cell r="X595">
            <v>0.25560340999999998</v>
          </cell>
          <cell r="Y595">
            <v>0.175219608</v>
          </cell>
          <cell r="Z595">
            <v>0.47670797100000001</v>
          </cell>
          <cell r="AB595" t="str">
            <v>2001SD</v>
          </cell>
          <cell r="AC595">
            <v>0</v>
          </cell>
          <cell r="AD595">
            <v>0</v>
          </cell>
          <cell r="AE595">
            <v>0.02</v>
          </cell>
          <cell r="AF595">
            <v>0.98</v>
          </cell>
        </row>
        <row r="596">
          <cell r="B596" t="str">
            <v>2001TN</v>
          </cell>
          <cell r="C596">
            <v>3.7060356848582429E-2</v>
          </cell>
          <cell r="D596">
            <v>8.4974275049488388E-2</v>
          </cell>
          <cell r="E596">
            <v>0.14423847941488024</v>
          </cell>
          <cell r="F596">
            <v>0.11891263393822846</v>
          </cell>
          <cell r="G596">
            <v>0.59866534867943377</v>
          </cell>
          <cell r="H596">
            <v>1.6148906069386477E-2</v>
          </cell>
          <cell r="J596" t="str">
            <v>2001TN</v>
          </cell>
          <cell r="K596">
            <v>0.25709617190568601</v>
          </cell>
          <cell r="L596">
            <v>0.59866534867943377</v>
          </cell>
          <cell r="M596">
            <v>0.14423847941488024</v>
          </cell>
          <cell r="U596" t="str">
            <v>2001TN</v>
          </cell>
          <cell r="V596">
            <v>0.108409591</v>
          </cell>
          <cell r="W596">
            <v>3.5429463000000001E-2</v>
          </cell>
          <cell r="X596">
            <v>0.12609126000000001</v>
          </cell>
          <cell r="Y596">
            <v>0.39823977300000002</v>
          </cell>
          <cell r="Z596">
            <v>0.331829914</v>
          </cell>
          <cell r="AB596" t="str">
            <v>2001TN</v>
          </cell>
          <cell r="AC596">
            <v>0</v>
          </cell>
          <cell r="AD596">
            <v>0</v>
          </cell>
          <cell r="AE596">
            <v>0.05</v>
          </cell>
          <cell r="AF596">
            <v>0.95</v>
          </cell>
        </row>
        <row r="597">
          <cell r="B597" t="str">
            <v>2001TX</v>
          </cell>
          <cell r="C597">
            <v>0.5236318758006584</v>
          </cell>
          <cell r="D597">
            <v>0.24509615172894217</v>
          </cell>
          <cell r="E597">
            <v>7.8053314624641296E-2</v>
          </cell>
          <cell r="F597">
            <v>0.13380822059257452</v>
          </cell>
          <cell r="G597">
            <v>0</v>
          </cell>
          <cell r="H597">
            <v>1.9410437253183494E-2</v>
          </cell>
          <cell r="J597" t="str">
            <v>2001TX</v>
          </cell>
          <cell r="K597">
            <v>0.92194668537535873</v>
          </cell>
          <cell r="L597">
            <v>0</v>
          </cell>
          <cell r="M597">
            <v>7.8053314624641296E-2</v>
          </cell>
          <cell r="U597" t="str">
            <v>2001TX</v>
          </cell>
          <cell r="V597">
            <v>8.0687710999999995E-2</v>
          </cell>
          <cell r="W597">
            <v>3.4451694999999997E-2</v>
          </cell>
          <cell r="X597">
            <v>6.4363331999999995E-2</v>
          </cell>
          <cell r="Y597">
            <v>0.52558111399999996</v>
          </cell>
          <cell r="Z597">
            <v>0.29491614799999999</v>
          </cell>
          <cell r="AB597" t="str">
            <v>2001TX</v>
          </cell>
          <cell r="AC597">
            <v>0</v>
          </cell>
          <cell r="AD597">
            <v>0</v>
          </cell>
          <cell r="AE597">
            <v>0.12</v>
          </cell>
          <cell r="AF597">
            <v>0.88</v>
          </cell>
        </row>
        <row r="598">
          <cell r="B598" t="str">
            <v>2001UT</v>
          </cell>
          <cell r="C598">
            <v>0.49142356466584863</v>
          </cell>
          <cell r="D598">
            <v>0.26698234683994221</v>
          </cell>
          <cell r="E598">
            <v>1.6400401700708098E-2</v>
          </cell>
          <cell r="F598">
            <v>0.17967098713631494</v>
          </cell>
          <cell r="G598">
            <v>9.7096905591256954E-3</v>
          </cell>
          <cell r="H598">
            <v>3.5813009098060566E-2</v>
          </cell>
          <cell r="J598" t="str">
            <v>2001UT</v>
          </cell>
          <cell r="K598">
            <v>0.97388990774016615</v>
          </cell>
          <cell r="L598">
            <v>9.7096905591256954E-3</v>
          </cell>
          <cell r="M598">
            <v>1.6400401700708098E-2</v>
          </cell>
          <cell r="U598" t="str">
            <v>2001UT</v>
          </cell>
          <cell r="V598">
            <v>1.2238064999999999E-2</v>
          </cell>
          <cell r="W598">
            <v>5.5147839999999997E-2</v>
          </cell>
          <cell r="X598">
            <v>0.25996212000000002</v>
          </cell>
          <cell r="Y598">
            <v>0.16946338699999999</v>
          </cell>
          <cell r="Z598">
            <v>0.50318858899999996</v>
          </cell>
          <cell r="AB598" t="str">
            <v>2001UT</v>
          </cell>
          <cell r="AC598">
            <v>0</v>
          </cell>
          <cell r="AD598">
            <v>0</v>
          </cell>
          <cell r="AE598">
            <v>0.6</v>
          </cell>
          <cell r="AF598">
            <v>0.4</v>
          </cell>
        </row>
        <row r="599">
          <cell r="B599" t="str">
            <v>2001VT</v>
          </cell>
          <cell r="C599">
            <v>9.2750174521497239E-2</v>
          </cell>
          <cell r="D599">
            <v>0.16663269404025347</v>
          </cell>
          <cell r="E599">
            <v>0.44657561500708803</v>
          </cell>
          <cell r="F599">
            <v>0.20342293019446309</v>
          </cell>
          <cell r="G599">
            <v>6.8456615291688533E-2</v>
          </cell>
          <cell r="H599">
            <v>2.2161970945009775E-2</v>
          </cell>
          <cell r="J599" t="str">
            <v>2001VT</v>
          </cell>
          <cell r="K599">
            <v>0.48496776970122346</v>
          </cell>
          <cell r="L599">
            <v>6.8456615291688533E-2</v>
          </cell>
          <cell r="M599">
            <v>0.44657561500708803</v>
          </cell>
          <cell r="U599" t="str">
            <v>2001VT</v>
          </cell>
          <cell r="V599">
            <v>0.88830379500000001</v>
          </cell>
          <cell r="W599">
            <v>4.9146329999999998E-3</v>
          </cell>
          <cell r="X599">
            <v>3.0828153E-2</v>
          </cell>
          <cell r="Y599">
            <v>2.3567899E-2</v>
          </cell>
          <cell r="Z599">
            <v>5.2385519999999998E-2</v>
          </cell>
          <cell r="AB599" t="str">
            <v>2001VT</v>
          </cell>
          <cell r="AC599">
            <v>0</v>
          </cell>
          <cell r="AD599">
            <v>0</v>
          </cell>
          <cell r="AE599">
            <v>0.05</v>
          </cell>
          <cell r="AF599">
            <v>0.95</v>
          </cell>
        </row>
        <row r="600">
          <cell r="B600" t="str">
            <v>2001VA</v>
          </cell>
          <cell r="C600">
            <v>4.071470200789671E-2</v>
          </cell>
          <cell r="D600">
            <v>8.8388864677920481E-2</v>
          </cell>
          <cell r="E600">
            <v>0.14657774312124508</v>
          </cell>
          <cell r="F600">
            <v>0.123143312796931</v>
          </cell>
          <cell r="G600">
            <v>0.58478815408803042</v>
          </cell>
          <cell r="H600">
            <v>1.6387223307976536E-2</v>
          </cell>
          <cell r="J600" t="str">
            <v>2001VA</v>
          </cell>
          <cell r="K600">
            <v>0.26863410279072453</v>
          </cell>
          <cell r="L600">
            <v>0.58478815408803042</v>
          </cell>
          <cell r="M600">
            <v>0.14657774312124508</v>
          </cell>
          <cell r="U600" t="str">
            <v>2001VA</v>
          </cell>
          <cell r="V600">
            <v>3.6681409999999998E-2</v>
          </cell>
          <cell r="W600">
            <v>3.6275317000000001E-2</v>
          </cell>
          <cell r="X600">
            <v>7.2952366000000005E-2</v>
          </cell>
          <cell r="Y600">
            <v>0.54109470100000001</v>
          </cell>
          <cell r="Z600">
            <v>0.31299620700000003</v>
          </cell>
          <cell r="AB600" t="str">
            <v>2001VA</v>
          </cell>
          <cell r="AC600">
            <v>0</v>
          </cell>
          <cell r="AD600">
            <v>0</v>
          </cell>
          <cell r="AE600">
            <v>0.05</v>
          </cell>
          <cell r="AF600">
            <v>0.95</v>
          </cell>
        </row>
        <row r="601">
          <cell r="B601" t="str">
            <v>2001WA</v>
          </cell>
          <cell r="C601">
            <v>0.4750511000010994</v>
          </cell>
          <cell r="D601">
            <v>0.21950655611392048</v>
          </cell>
          <cell r="E601">
            <v>0</v>
          </cell>
          <cell r="F601">
            <v>0.11229624316231145</v>
          </cell>
          <cell r="G601">
            <v>0.17836320347689058</v>
          </cell>
          <cell r="H601">
            <v>1.4782897245778179E-2</v>
          </cell>
          <cell r="J601" t="str">
            <v>2001WA</v>
          </cell>
          <cell r="K601">
            <v>0.82163679652310939</v>
          </cell>
          <cell r="L601">
            <v>0.17836320347689058</v>
          </cell>
          <cell r="M601">
            <v>0</v>
          </cell>
          <cell r="U601" t="str">
            <v>2001WA</v>
          </cell>
          <cell r="V601">
            <v>0.358607079</v>
          </cell>
          <cell r="W601">
            <v>3.1847483000000003E-2</v>
          </cell>
          <cell r="X601">
            <v>0.17309606799999999</v>
          </cell>
          <cell r="Y601">
            <v>0.12324659</v>
          </cell>
          <cell r="Z601">
            <v>0.31320277899999999</v>
          </cell>
          <cell r="AB601" t="str">
            <v>2001WA</v>
          </cell>
          <cell r="AC601">
            <v>0</v>
          </cell>
          <cell r="AD601">
            <v>0</v>
          </cell>
          <cell r="AE601">
            <v>0.12</v>
          </cell>
          <cell r="AF601">
            <v>0.88</v>
          </cell>
        </row>
        <row r="602">
          <cell r="B602" t="str">
            <v>2001WV</v>
          </cell>
          <cell r="C602">
            <v>6.2232797890405152E-2</v>
          </cell>
          <cell r="D602">
            <v>0.14911096382229583</v>
          </cell>
          <cell r="E602">
            <v>0.45238863432908483</v>
          </cell>
          <cell r="F602">
            <v>0.23477722375205806</v>
          </cell>
          <cell r="G602">
            <v>7.3700238791314154E-2</v>
          </cell>
          <cell r="H602">
            <v>2.7790141414842082E-2</v>
          </cell>
          <cell r="J602" t="str">
            <v>2001WV</v>
          </cell>
          <cell r="K602">
            <v>0.47391112687960102</v>
          </cell>
          <cell r="L602">
            <v>7.3700238791314154E-2</v>
          </cell>
          <cell r="M602">
            <v>0.45238863432908483</v>
          </cell>
          <cell r="U602" t="str">
            <v>2001WV</v>
          </cell>
          <cell r="V602">
            <v>0.54716963900000004</v>
          </cell>
          <cell r="W602">
            <v>2.2117989000000001E-2</v>
          </cell>
          <cell r="X602">
            <v>0.122604938</v>
          </cell>
          <cell r="Y602">
            <v>8.8235695000000003E-2</v>
          </cell>
          <cell r="Z602">
            <v>0.21987173800000001</v>
          </cell>
          <cell r="AB602" t="str">
            <v>2001WV</v>
          </cell>
          <cell r="AC602">
            <v>0</v>
          </cell>
          <cell r="AD602">
            <v>0</v>
          </cell>
          <cell r="AE602">
            <v>0.05</v>
          </cell>
          <cell r="AF602">
            <v>0.95</v>
          </cell>
        </row>
        <row r="603">
          <cell r="B603" t="str">
            <v>2001WI</v>
          </cell>
          <cell r="C603">
            <v>0.11007227730014285</v>
          </cell>
          <cell r="D603">
            <v>0.22319481752133399</v>
          </cell>
          <cell r="E603">
            <v>0.12554926725270027</v>
          </cell>
          <cell r="F603">
            <v>0.42817906166820996</v>
          </cell>
          <cell r="G603">
            <v>7.433016319935988E-2</v>
          </cell>
          <cell r="H603">
            <v>3.8674413058252866E-2</v>
          </cell>
          <cell r="J603" t="str">
            <v>2001WI</v>
          </cell>
          <cell r="K603">
            <v>0.80012056954793986</v>
          </cell>
          <cell r="L603">
            <v>7.433016319935988E-2</v>
          </cell>
          <cell r="M603">
            <v>0.12554926725270027</v>
          </cell>
          <cell r="U603" t="str">
            <v>2001WI</v>
          </cell>
          <cell r="V603">
            <v>0.13078250899999999</v>
          </cell>
          <cell r="W603">
            <v>4.2230323E-2</v>
          </cell>
          <cell r="X603">
            <v>0.23558721099999999</v>
          </cell>
          <cell r="Y603">
            <v>0.17012237899999999</v>
          </cell>
          <cell r="Z603">
            <v>0.42127757700000001</v>
          </cell>
          <cell r="AB603" t="str">
            <v>2001WI</v>
          </cell>
          <cell r="AC603">
            <v>0</v>
          </cell>
          <cell r="AD603">
            <v>0</v>
          </cell>
          <cell r="AE603">
            <v>0.02</v>
          </cell>
          <cell r="AF603">
            <v>0.98</v>
          </cell>
        </row>
        <row r="604">
          <cell r="B604" t="str">
            <v>2001WY</v>
          </cell>
          <cell r="C604">
            <v>0.29125979436798566</v>
          </cell>
          <cell r="D604">
            <v>0.22939478040333319</v>
          </cell>
          <cell r="E604">
            <v>0.12453373344709558</v>
          </cell>
          <cell r="F604">
            <v>0.22245256597280511</v>
          </cell>
          <cell r="G604">
            <v>7.3728926767185912E-2</v>
          </cell>
          <cell r="H604">
            <v>5.8630199041594694E-2</v>
          </cell>
          <cell r="J604" t="str">
            <v>2001WY</v>
          </cell>
          <cell r="K604">
            <v>0.80173733978571848</v>
          </cell>
          <cell r="L604">
            <v>7.3728926767185912E-2</v>
          </cell>
          <cell r="M604">
            <v>0.12453373344709558</v>
          </cell>
          <cell r="U604" t="str">
            <v>2001WY</v>
          </cell>
          <cell r="V604">
            <v>3.5280018000000003E-2</v>
          </cell>
          <cell r="W604">
            <v>5.3426516E-2</v>
          </cell>
          <cell r="X604">
            <v>0.254368975</v>
          </cell>
          <cell r="Y604">
            <v>0.166959792</v>
          </cell>
          <cell r="Z604">
            <v>0.489964699</v>
          </cell>
          <cell r="AB604" t="str">
            <v>2001WY</v>
          </cell>
          <cell r="AC604">
            <v>0</v>
          </cell>
          <cell r="AD604">
            <v>0</v>
          </cell>
          <cell r="AE604">
            <v>0.6</v>
          </cell>
          <cell r="AF604">
            <v>0.4</v>
          </cell>
        </row>
        <row r="605">
          <cell r="B605" t="str">
            <v>2002AL</v>
          </cell>
          <cell r="C605">
            <v>0.17233560131521788</v>
          </cell>
          <cell r="D605">
            <v>9.7606154746872412E-2</v>
          </cell>
          <cell r="E605">
            <v>0.16919346457207346</v>
          </cell>
          <cell r="F605">
            <v>0.1056405325382436</v>
          </cell>
          <cell r="G605">
            <v>0.45062509818962659</v>
          </cell>
          <cell r="H605">
            <v>4.5991486379660445E-3</v>
          </cell>
          <cell r="J605" t="str">
            <v>2002AL</v>
          </cell>
          <cell r="K605">
            <v>0.38018143723829989</v>
          </cell>
          <cell r="L605">
            <v>0.45062509818962659</v>
          </cell>
          <cell r="M605">
            <v>0.16919346457207346</v>
          </cell>
          <cell r="U605" t="str">
            <v>2002AL</v>
          </cell>
          <cell r="V605">
            <v>5.3114938E-2</v>
          </cell>
          <cell r="W605">
            <v>3.6058960000000001E-2</v>
          </cell>
          <cell r="X605">
            <v>8.4414527000000003E-2</v>
          </cell>
          <cell r="Y605">
            <v>0.50961295299999998</v>
          </cell>
          <cell r="Z605">
            <v>0.316798623</v>
          </cell>
          <cell r="AB605" t="str">
            <v>2002AL</v>
          </cell>
          <cell r="AC605">
            <v>0</v>
          </cell>
          <cell r="AD605">
            <v>0</v>
          </cell>
          <cell r="AE605">
            <v>0.41899999999999998</v>
          </cell>
          <cell r="AF605">
            <v>0.58099999999999996</v>
          </cell>
        </row>
        <row r="606">
          <cell r="B606" t="str">
            <v>2002AK</v>
          </cell>
          <cell r="C606">
            <v>0.30334484066413492</v>
          </cell>
          <cell r="D606">
            <v>0.23769937716735701</v>
          </cell>
          <cell r="E606">
            <v>6.205843688929364E-2</v>
          </cell>
          <cell r="F606">
            <v>0.28363994741136878</v>
          </cell>
          <cell r="G606">
            <v>3.6741064625999714E-2</v>
          </cell>
          <cell r="H606">
            <v>7.6516333241846021E-2</v>
          </cell>
          <cell r="J606" t="str">
            <v>2002AK</v>
          </cell>
          <cell r="K606">
            <v>0.90120049848470662</v>
          </cell>
          <cell r="L606">
            <v>3.6741064625999714E-2</v>
          </cell>
          <cell r="M606">
            <v>6.205843688929364E-2</v>
          </cell>
          <cell r="U606" t="str">
            <v>2002AK</v>
          </cell>
          <cell r="V606">
            <v>0.52632575500000001</v>
          </cell>
          <cell r="W606">
            <v>2.0841667000000001E-2</v>
          </cell>
          <cell r="X606">
            <v>0.130734092</v>
          </cell>
          <cell r="Y606">
            <v>9.9945266000000005E-2</v>
          </cell>
          <cell r="Z606">
            <v>0.22215322100000001</v>
          </cell>
          <cell r="AB606" t="str">
            <v>2002AK</v>
          </cell>
          <cell r="AC606">
            <v>0</v>
          </cell>
          <cell r="AD606">
            <v>0</v>
          </cell>
          <cell r="AE606">
            <v>0.25</v>
          </cell>
          <cell r="AF606">
            <v>0.75</v>
          </cell>
        </row>
        <row r="607">
          <cell r="B607" t="str">
            <v>2002AZ</v>
          </cell>
          <cell r="C607">
            <v>0.611220636654217</v>
          </cell>
          <cell r="D607">
            <v>0.19572797693407004</v>
          </cell>
          <cell r="E607">
            <v>9.865488383487428E-2</v>
          </cell>
          <cell r="F607">
            <v>9.3890669243012675E-2</v>
          </cell>
          <cell r="G607">
            <v>0</v>
          </cell>
          <cell r="H607">
            <v>5.0583333382575558E-4</v>
          </cell>
          <cell r="J607" t="str">
            <v>2002AZ</v>
          </cell>
          <cell r="K607">
            <v>0.90134511616512569</v>
          </cell>
          <cell r="L607">
            <v>0</v>
          </cell>
          <cell r="M607">
            <v>9.865488383487428E-2</v>
          </cell>
          <cell r="U607" t="str">
            <v>2002AZ</v>
          </cell>
          <cell r="V607">
            <v>0.136592664</v>
          </cell>
          <cell r="W607">
            <v>3.2171241000000003E-2</v>
          </cell>
          <cell r="X607">
            <v>5.4596316999999998E-2</v>
          </cell>
          <cell r="Y607">
            <v>0.50386894699999996</v>
          </cell>
          <cell r="Z607">
            <v>0.27277083200000002</v>
          </cell>
          <cell r="AB607" t="str">
            <v>2002AZ</v>
          </cell>
          <cell r="AC607">
            <v>0</v>
          </cell>
          <cell r="AD607">
            <v>0</v>
          </cell>
          <cell r="AE607">
            <v>0.6</v>
          </cell>
          <cell r="AF607">
            <v>0.4</v>
          </cell>
        </row>
        <row r="608">
          <cell r="B608" t="str">
            <v>2002AR</v>
          </cell>
          <cell r="C608">
            <v>9.6391342329605903E-2</v>
          </cell>
          <cell r="D608">
            <v>6.6955456596874061E-2</v>
          </cell>
          <cell r="E608">
            <v>0.14888335780531528</v>
          </cell>
          <cell r="F608">
            <v>0.11118804006195876</v>
          </cell>
          <cell r="G608">
            <v>0.57111057531117648</v>
          </cell>
          <cell r="H608">
            <v>5.4712278950695761E-3</v>
          </cell>
          <cell r="J608" t="str">
            <v>2002AR</v>
          </cell>
          <cell r="K608">
            <v>0.28000606688350826</v>
          </cell>
          <cell r="L608">
            <v>0.57111057531117648</v>
          </cell>
          <cell r="M608">
            <v>0.14888335780531528</v>
          </cell>
          <cell r="U608" t="str">
            <v>2002AR</v>
          </cell>
          <cell r="V608">
            <v>3.9459004999999998E-2</v>
          </cell>
          <cell r="W608">
            <v>3.7640482000000003E-2</v>
          </cell>
          <cell r="X608">
            <v>0.11914443199999999</v>
          </cell>
          <cell r="Y608">
            <v>0.45827781299999998</v>
          </cell>
          <cell r="Z608">
            <v>0.34547826799999998</v>
          </cell>
          <cell r="AB608" t="str">
            <v>2002AR</v>
          </cell>
          <cell r="AC608">
            <v>0</v>
          </cell>
          <cell r="AD608">
            <v>0</v>
          </cell>
          <cell r="AE608">
            <v>0</v>
          </cell>
          <cell r="AF608">
            <v>1</v>
          </cell>
        </row>
        <row r="609">
          <cell r="B609" t="str">
            <v>2002CA</v>
          </cell>
          <cell r="C609">
            <v>0.58081862489107328</v>
          </cell>
          <cell r="D609">
            <v>0.20720345916912225</v>
          </cell>
          <cell r="E609">
            <v>0.10801924509893834</v>
          </cell>
          <cell r="F609">
            <v>9.2431120719429966E-2</v>
          </cell>
          <cell r="G609">
            <v>9.2523577326630076E-3</v>
          </cell>
          <cell r="H609">
            <v>2.2751923887731596E-3</v>
          </cell>
          <cell r="J609" t="str">
            <v>2002CA</v>
          </cell>
          <cell r="K609">
            <v>0.88272839716839868</v>
          </cell>
          <cell r="L609">
            <v>9.2523577326630076E-3</v>
          </cell>
          <cell r="M609">
            <v>0.10801924509893834</v>
          </cell>
          <cell r="U609" t="str">
            <v>2002CA</v>
          </cell>
          <cell r="V609">
            <v>0.133799526</v>
          </cell>
          <cell r="W609">
            <v>3.2941353E-2</v>
          </cell>
          <cell r="X609">
            <v>7.5800703999999997E-2</v>
          </cell>
          <cell r="Y609">
            <v>0.46867659099999998</v>
          </cell>
          <cell r="Z609">
            <v>0.28878182499999999</v>
          </cell>
          <cell r="AB609" t="str">
            <v>2002CA</v>
          </cell>
          <cell r="AC609">
            <v>0</v>
          </cell>
          <cell r="AD609">
            <v>0</v>
          </cell>
          <cell r="AE609">
            <v>0.12</v>
          </cell>
          <cell r="AF609">
            <v>0.88</v>
          </cell>
        </row>
        <row r="610">
          <cell r="B610" t="str">
            <v>2002CO</v>
          </cell>
          <cell r="C610">
            <v>0.61667904285785091</v>
          </cell>
          <cell r="D610">
            <v>0.24212893570430052</v>
          </cell>
          <cell r="E610">
            <v>1.1092391745361967E-2</v>
          </cell>
          <cell r="F610">
            <v>0.11516410971780773</v>
          </cell>
          <cell r="G610">
            <v>6.5671374014829543E-3</v>
          </cell>
          <cell r="H610">
            <v>8.3683825731959392E-3</v>
          </cell>
          <cell r="J610" t="str">
            <v>2002CO</v>
          </cell>
          <cell r="K610">
            <v>0.98234047085315512</v>
          </cell>
          <cell r="L610">
            <v>6.5671374014829543E-3</v>
          </cell>
          <cell r="M610">
            <v>1.1092391745361967E-2</v>
          </cell>
          <cell r="U610" t="str">
            <v>2002CO</v>
          </cell>
          <cell r="V610">
            <v>2.3378138E-2</v>
          </cell>
          <cell r="W610">
            <v>5.3880426000000002E-2</v>
          </cell>
          <cell r="X610">
            <v>0.25772948099999998</v>
          </cell>
          <cell r="Y610">
            <v>0.169703665</v>
          </cell>
          <cell r="Z610">
            <v>0.49530828999999998</v>
          </cell>
          <cell r="AB610" t="str">
            <v>2002CO</v>
          </cell>
          <cell r="AC610">
            <v>0</v>
          </cell>
          <cell r="AD610">
            <v>0</v>
          </cell>
          <cell r="AE610">
            <v>0.6</v>
          </cell>
          <cell r="AF610">
            <v>0.4</v>
          </cell>
        </row>
        <row r="611">
          <cell r="B611" t="str">
            <v>2002CT</v>
          </cell>
          <cell r="C611">
            <v>0.11572842393252261</v>
          </cell>
          <cell r="D611">
            <v>0.20119880615243968</v>
          </cell>
          <cell r="E611">
            <v>0.43233999756560143</v>
          </cell>
          <cell r="F611">
            <v>0.17234541515575838</v>
          </cell>
          <cell r="G611">
            <v>5.5615402487630847E-2</v>
          </cell>
          <cell r="H611">
            <v>2.2771954706046996E-2</v>
          </cell>
          <cell r="J611" t="str">
            <v>2002CT</v>
          </cell>
          <cell r="K611">
            <v>0.51204459994676776</v>
          </cell>
          <cell r="L611">
            <v>5.5615402487630847E-2</v>
          </cell>
          <cell r="M611">
            <v>0.43233999756560143</v>
          </cell>
          <cell r="U611" t="str">
            <v>2002CT</v>
          </cell>
          <cell r="V611">
            <v>0.57363861400000005</v>
          </cell>
          <cell r="W611">
            <v>1.8759900999999999E-2</v>
          </cell>
          <cell r="X611">
            <v>0.117675743</v>
          </cell>
          <cell r="Y611">
            <v>8.9962252000000006E-2</v>
          </cell>
          <cell r="Z611">
            <v>0.19996348999999999</v>
          </cell>
          <cell r="AB611" t="str">
            <v>2002CT</v>
          </cell>
          <cell r="AC611">
            <v>0</v>
          </cell>
          <cell r="AD611">
            <v>0</v>
          </cell>
          <cell r="AE611">
            <v>0.05</v>
          </cell>
          <cell r="AF611">
            <v>0.95</v>
          </cell>
        </row>
        <row r="612">
          <cell r="B612" t="str">
            <v>2002DE</v>
          </cell>
          <cell r="C612">
            <v>0.10201653895343663</v>
          </cell>
          <cell r="D612">
            <v>0.1910091905838856</v>
          </cell>
          <cell r="E612">
            <v>0.43707162937473454</v>
          </cell>
          <cell r="F612">
            <v>0.18637975788177577</v>
          </cell>
          <cell r="G612">
            <v>5.9883562349419175E-2</v>
          </cell>
          <cell r="H612">
            <v>2.3639320856748244E-2</v>
          </cell>
          <cell r="J612" t="str">
            <v>2002DE</v>
          </cell>
          <cell r="K612">
            <v>0.5030448082758463</v>
          </cell>
          <cell r="L612">
            <v>5.9883562349419175E-2</v>
          </cell>
          <cell r="M612">
            <v>0.43707162937473454</v>
          </cell>
          <cell r="U612" t="str">
            <v>2002DE</v>
          </cell>
          <cell r="V612">
            <v>0.120253529</v>
          </cell>
          <cell r="W612">
            <v>4.1631153999999997E-2</v>
          </cell>
          <cell r="X612">
            <v>0.23964419100000001</v>
          </cell>
          <cell r="Y612">
            <v>0.17588547500000001</v>
          </cell>
          <cell r="Z612">
            <v>0.42258565100000001</v>
          </cell>
          <cell r="AB612" t="str">
            <v>2002DE</v>
          </cell>
          <cell r="AC612">
            <v>0</v>
          </cell>
          <cell r="AD612">
            <v>0</v>
          </cell>
          <cell r="AE612">
            <v>0.05</v>
          </cell>
          <cell r="AF612">
            <v>0.95</v>
          </cell>
        </row>
        <row r="613">
          <cell r="B613" t="str">
            <v>2002FL</v>
          </cell>
          <cell r="C613">
            <v>0.38654865924430459</v>
          </cell>
          <cell r="D613">
            <v>0.14503983167997814</v>
          </cell>
          <cell r="E613">
            <v>0.21616400084919535</v>
          </cell>
          <cell r="F613">
            <v>7.8997496757044303E-2</v>
          </cell>
          <cell r="G613">
            <v>0.17198217725399226</v>
          </cell>
          <cell r="H613">
            <v>1.2678342154852779E-3</v>
          </cell>
          <cell r="J613" t="str">
            <v>2002FL</v>
          </cell>
          <cell r="K613">
            <v>0.61185382189681237</v>
          </cell>
          <cell r="L613">
            <v>0.17198217725399226</v>
          </cell>
          <cell r="M613">
            <v>0.21616400084919535</v>
          </cell>
          <cell r="U613" t="str">
            <v>2002FL</v>
          </cell>
          <cell r="V613">
            <v>0.71166924399999998</v>
          </cell>
          <cell r="W613">
            <v>1.2686553E-2</v>
          </cell>
          <cell r="X613">
            <v>7.9579288999999998E-2</v>
          </cell>
          <cell r="Y613">
            <v>6.0837789000000003E-2</v>
          </cell>
          <cell r="Z613">
            <v>0.135227124</v>
          </cell>
          <cell r="AB613" t="str">
            <v>2002FL</v>
          </cell>
          <cell r="AC613">
            <v>0</v>
          </cell>
          <cell r="AD613">
            <v>0</v>
          </cell>
          <cell r="AE613">
            <v>0.41899999999999998</v>
          </cell>
          <cell r="AF613">
            <v>0.58099999999999996</v>
          </cell>
        </row>
        <row r="614">
          <cell r="B614" t="str">
            <v>2002GA</v>
          </cell>
          <cell r="C614">
            <v>0.20823216155586291</v>
          </cell>
          <cell r="D614">
            <v>0.11033206176717186</v>
          </cell>
          <cell r="E614">
            <v>0.17733204084631207</v>
          </cell>
          <cell r="F614">
            <v>9.7862793659120595E-2</v>
          </cell>
          <cell r="G614">
            <v>0.40234468997942996</v>
          </cell>
          <cell r="H614">
            <v>3.8962521921025758E-3</v>
          </cell>
          <cell r="J614" t="str">
            <v>2002GA</v>
          </cell>
          <cell r="K614">
            <v>0.420323269174258</v>
          </cell>
          <cell r="L614">
            <v>0.40234468997942996</v>
          </cell>
          <cell r="M614">
            <v>0.17733204084631207</v>
          </cell>
          <cell r="U614" t="str">
            <v>2002GA</v>
          </cell>
          <cell r="V614">
            <v>7.8133266000000007E-2</v>
          </cell>
          <cell r="W614">
            <v>3.5587817000000001E-2</v>
          </cell>
          <cell r="X614">
            <v>9.7388838000000005E-2</v>
          </cell>
          <cell r="Y614">
            <v>0.46952270200000001</v>
          </cell>
          <cell r="Z614">
            <v>0.31936737799999998</v>
          </cell>
          <cell r="AB614" t="str">
            <v>2002GA</v>
          </cell>
          <cell r="AC614">
            <v>0</v>
          </cell>
          <cell r="AD614">
            <v>0</v>
          </cell>
          <cell r="AE614">
            <v>0.41899999999999998</v>
          </cell>
          <cell r="AF614">
            <v>0.58099999999999996</v>
          </cell>
        </row>
        <row r="615">
          <cell r="B615" t="str">
            <v>2002HI</v>
          </cell>
          <cell r="C615">
            <v>0.67137224197860923</v>
          </cell>
          <cell r="D615">
            <v>0.21100034068527662</v>
          </cell>
          <cell r="E615">
            <v>0</v>
          </cell>
          <cell r="F615">
            <v>0.10820426646618357</v>
          </cell>
          <cell r="G615">
            <v>7.5112148308577572E-3</v>
          </cell>
          <cell r="H615">
            <v>1.9119360390725836E-3</v>
          </cell>
          <cell r="J615" t="str">
            <v>2002HI</v>
          </cell>
          <cell r="K615">
            <v>0.9924887851691423</v>
          </cell>
          <cell r="L615">
            <v>7.5112148308577572E-3</v>
          </cell>
          <cell r="M615">
            <v>0</v>
          </cell>
          <cell r="U615" t="str">
            <v>2002HI</v>
          </cell>
          <cell r="V615">
            <v>0.23216878499999999</v>
          </cell>
          <cell r="W615">
            <v>3.2904865999999998E-2</v>
          </cell>
          <cell r="X615">
            <v>0.18414778700000001</v>
          </cell>
          <cell r="Y615">
            <v>0.21064765399999999</v>
          </cell>
          <cell r="Z615">
            <v>0.34013090899999998</v>
          </cell>
          <cell r="AB615" t="str">
            <v>2002HI</v>
          </cell>
          <cell r="AC615">
            <v>0</v>
          </cell>
          <cell r="AD615">
            <v>0</v>
          </cell>
          <cell r="AE615">
            <v>0.25</v>
          </cell>
          <cell r="AF615">
            <v>0.75</v>
          </cell>
        </row>
        <row r="616">
          <cell r="B616" t="str">
            <v>2002ID</v>
          </cell>
          <cell r="C616">
            <v>0.62850843440764703</v>
          </cell>
          <cell r="D616">
            <v>0.2329683972033782</v>
          </cell>
          <cell r="E616">
            <v>6.4436683947772669E-3</v>
          </cell>
          <cell r="F616">
            <v>0.11961222721284216</v>
          </cell>
          <cell r="G616">
            <v>3.8149081541218642E-3</v>
          </cell>
          <cell r="H616">
            <v>8.6523646272333287E-3</v>
          </cell>
          <cell r="J616" t="str">
            <v>2002ID</v>
          </cell>
          <cell r="K616">
            <v>0.98974142345110083</v>
          </cell>
          <cell r="L616">
            <v>3.8149081541218642E-3</v>
          </cell>
          <cell r="M616">
            <v>6.4436683947772669E-3</v>
          </cell>
          <cell r="U616" t="str">
            <v>2002ID</v>
          </cell>
          <cell r="V616">
            <v>0.460837895</v>
          </cell>
          <cell r="W616">
            <v>2.6974237000000002E-2</v>
          </cell>
          <cell r="X616">
            <v>0.14528671200000001</v>
          </cell>
          <cell r="Y616">
            <v>0.102926191</v>
          </cell>
          <cell r="Z616">
            <v>0.26397496599999998</v>
          </cell>
          <cell r="AB616" t="str">
            <v>2002ID</v>
          </cell>
          <cell r="AC616">
            <v>0</v>
          </cell>
          <cell r="AD616">
            <v>0</v>
          </cell>
          <cell r="AE616">
            <v>0.6</v>
          </cell>
          <cell r="AF616">
            <v>0.4</v>
          </cell>
        </row>
        <row r="617">
          <cell r="B617" t="str">
            <v>2002IL</v>
          </cell>
          <cell r="C617">
            <v>0.13175283144497188</v>
          </cell>
          <cell r="D617">
            <v>0.26046159534668961</v>
          </cell>
          <cell r="E617">
            <v>8.1383349234931596E-2</v>
          </cell>
          <cell r="F617">
            <v>0.43207247933210829</v>
          </cell>
          <cell r="G617">
            <v>4.8182181885357514E-2</v>
          </cell>
          <cell r="H617">
            <v>4.6147562755941125E-2</v>
          </cell>
          <cell r="J617" t="str">
            <v>2002IL</v>
          </cell>
          <cell r="K617">
            <v>0.87043446887971088</v>
          </cell>
          <cell r="L617">
            <v>4.8182181885357514E-2</v>
          </cell>
          <cell r="M617">
            <v>8.1383349234931596E-2</v>
          </cell>
          <cell r="U617" t="str">
            <v>2002IL</v>
          </cell>
          <cell r="V617">
            <v>2.0186552999999999E-2</v>
          </cell>
          <cell r="W617">
            <v>4.5739502000000001E-2</v>
          </cell>
          <cell r="X617">
            <v>0.28028242399999997</v>
          </cell>
          <cell r="Y617">
            <v>0.149587944</v>
          </cell>
          <cell r="Z617">
            <v>0.50420357699999996</v>
          </cell>
          <cell r="AB617" t="str">
            <v>2002IL</v>
          </cell>
          <cell r="AC617">
            <v>0</v>
          </cell>
          <cell r="AD617">
            <v>0</v>
          </cell>
          <cell r="AE617">
            <v>0.02</v>
          </cell>
          <cell r="AF617">
            <v>0.98</v>
          </cell>
        </row>
        <row r="618">
          <cell r="B618" t="str">
            <v>2002IN</v>
          </cell>
          <cell r="C618">
            <v>0.16189917384296076</v>
          </cell>
          <cell r="D618">
            <v>0.24163212738244233</v>
          </cell>
          <cell r="E618">
            <v>0.13392208737361183</v>
          </cell>
          <cell r="F618">
            <v>0.3491044693998876</v>
          </cell>
          <cell r="G618">
            <v>7.9287205957511472E-2</v>
          </cell>
          <cell r="H618">
            <v>3.4154936043586021E-2</v>
          </cell>
          <cell r="J618" t="str">
            <v>2002IN</v>
          </cell>
          <cell r="K618">
            <v>0.78679070666887663</v>
          </cell>
          <cell r="L618">
            <v>7.9287205957511472E-2</v>
          </cell>
          <cell r="M618">
            <v>0.13392208737361183</v>
          </cell>
          <cell r="U618" t="str">
            <v>2002IN</v>
          </cell>
          <cell r="V618">
            <v>2.5489210000000002E-2</v>
          </cell>
          <cell r="W618">
            <v>4.5536079E-2</v>
          </cell>
          <cell r="X618">
            <v>0.27893099599999999</v>
          </cell>
          <cell r="Y618">
            <v>0.14781887399999999</v>
          </cell>
          <cell r="Z618">
            <v>0.50222484099999998</v>
          </cell>
          <cell r="AB618" t="str">
            <v>2002IN</v>
          </cell>
          <cell r="AC618">
            <v>0</v>
          </cell>
          <cell r="AD618">
            <v>0</v>
          </cell>
          <cell r="AE618">
            <v>0</v>
          </cell>
          <cell r="AF618">
            <v>1</v>
          </cell>
        </row>
        <row r="619">
          <cell r="B619" t="str">
            <v>2002IA</v>
          </cell>
          <cell r="C619">
            <v>0.13792614664225575</v>
          </cell>
          <cell r="D619">
            <v>0.25047757969635848</v>
          </cell>
          <cell r="E619">
            <v>0.10477197231415941</v>
          </cell>
          <cell r="F619">
            <v>0.40507493125352922</v>
          </cell>
          <cell r="G619">
            <v>6.2029177638731184E-2</v>
          </cell>
          <cell r="H619">
            <v>3.9720192454965969E-2</v>
          </cell>
          <cell r="J619" t="str">
            <v>2002IA</v>
          </cell>
          <cell r="K619">
            <v>0.83319885004710947</v>
          </cell>
          <cell r="L619">
            <v>6.2029177638731184E-2</v>
          </cell>
          <cell r="M619">
            <v>0.10477197231415941</v>
          </cell>
          <cell r="U619" t="str">
            <v>2002IA</v>
          </cell>
          <cell r="V619">
            <v>9.6502570000000006E-3</v>
          </cell>
          <cell r="W619">
            <v>3.8739974000000003E-2</v>
          </cell>
          <cell r="X619">
            <v>0.12067557499999999</v>
          </cell>
          <cell r="Y619">
            <v>0.47629315999999999</v>
          </cell>
          <cell r="Z619">
            <v>0.35464103499999999</v>
          </cell>
          <cell r="AB619" t="str">
            <v>2002IA</v>
          </cell>
          <cell r="AC619">
            <v>0</v>
          </cell>
          <cell r="AD619">
            <v>0</v>
          </cell>
          <cell r="AE619">
            <v>0</v>
          </cell>
          <cell r="AF619">
            <v>1</v>
          </cell>
        </row>
        <row r="620">
          <cell r="B620" t="str">
            <v>2002KS</v>
          </cell>
          <cell r="C620">
            <v>0.28758404285910905</v>
          </cell>
          <cell r="D620">
            <v>0.32607606753917184</v>
          </cell>
          <cell r="E620">
            <v>5.1050547933917619E-2</v>
          </cell>
          <cell r="F620">
            <v>0.27762124338847843</v>
          </cell>
          <cell r="G620">
            <v>3.0223956239483565E-2</v>
          </cell>
          <cell r="H620">
            <v>2.7444142039839463E-2</v>
          </cell>
          <cell r="J620" t="str">
            <v>2002KS</v>
          </cell>
          <cell r="K620">
            <v>0.91872549582659879</v>
          </cell>
          <cell r="L620">
            <v>3.0223956239483565E-2</v>
          </cell>
          <cell r="M620">
            <v>5.1050547933917619E-2</v>
          </cell>
          <cell r="U620" t="str">
            <v>2002KS</v>
          </cell>
          <cell r="V620">
            <v>2.3647662E-2</v>
          </cell>
          <cell r="W620">
            <v>4.6272377000000003E-2</v>
          </cell>
          <cell r="X620">
            <v>0.28189652199999998</v>
          </cell>
          <cell r="Y620">
            <v>0.13395533500000001</v>
          </cell>
          <cell r="Z620">
            <v>0.51422810299999999</v>
          </cell>
          <cell r="AB620" t="str">
            <v>2002KS</v>
          </cell>
          <cell r="AC620">
            <v>0</v>
          </cell>
          <cell r="AD620">
            <v>0</v>
          </cell>
          <cell r="AE620">
            <v>0.02</v>
          </cell>
          <cell r="AF620">
            <v>0.98</v>
          </cell>
        </row>
        <row r="621">
          <cell r="B621" t="str">
            <v>2002KY</v>
          </cell>
          <cell r="C621">
            <v>2.3305602928070858E-2</v>
          </cell>
          <cell r="D621">
            <v>6.2885861766289422E-2</v>
          </cell>
          <cell r="E621">
            <v>0.14165738300711325</v>
          </cell>
          <cell r="F621">
            <v>0.14315421990856123</v>
          </cell>
          <cell r="G621">
            <v>0.61397716539009373</v>
          </cell>
          <cell r="H621">
            <v>1.5019766999871505E-2</v>
          </cell>
          <cell r="J621" t="str">
            <v>2002KY</v>
          </cell>
          <cell r="K621">
            <v>0.24436545160279299</v>
          </cell>
          <cell r="L621">
            <v>0.61397716539009373</v>
          </cell>
          <cell r="M621">
            <v>0.14165738300711325</v>
          </cell>
          <cell r="U621" t="str">
            <v>2002KY</v>
          </cell>
          <cell r="V621">
            <v>4.9184704000000003E-2</v>
          </cell>
          <cell r="W621">
            <v>3.7321891000000003E-2</v>
          </cell>
          <cell r="X621">
            <v>0.11991215400000001</v>
          </cell>
          <cell r="Y621">
            <v>0.45018075899999999</v>
          </cell>
          <cell r="Z621">
            <v>0.34340049099999997</v>
          </cell>
          <cell r="AB621" t="str">
            <v>2002KY</v>
          </cell>
          <cell r="AC621">
            <v>0</v>
          </cell>
          <cell r="AD621">
            <v>0</v>
          </cell>
          <cell r="AE621">
            <v>0.05</v>
          </cell>
          <cell r="AF621">
            <v>0.95</v>
          </cell>
        </row>
        <row r="622">
          <cell r="B622" t="str">
            <v>2002LA</v>
          </cell>
          <cell r="C622">
            <v>8.7696493950327165E-2</v>
          </cell>
          <cell r="D622">
            <v>6.4637521135916851E-2</v>
          </cell>
          <cell r="E622">
            <v>0.14461730665558523</v>
          </cell>
          <cell r="F622">
            <v>0.10160244529023774</v>
          </cell>
          <cell r="G622">
            <v>0.59641803499629376</v>
          </cell>
          <cell r="H622">
            <v>5.0281979716392446E-3</v>
          </cell>
          <cell r="J622" t="str">
            <v>2002LA</v>
          </cell>
          <cell r="K622">
            <v>0.25896465834812099</v>
          </cell>
          <cell r="L622">
            <v>0.59641803499629376</v>
          </cell>
          <cell r="M622">
            <v>0.14461730665558523</v>
          </cell>
          <cell r="U622" t="str">
            <v>2002LA</v>
          </cell>
          <cell r="V622">
            <v>0.53551704700000002</v>
          </cell>
          <cell r="W622">
            <v>2.0437250000000001E-2</v>
          </cell>
          <cell r="X622">
            <v>0.12819729499999999</v>
          </cell>
          <cell r="Y622">
            <v>9.8005903000000005E-2</v>
          </cell>
          <cell r="Z622">
            <v>0.21784250499999999</v>
          </cell>
          <cell r="AB622" t="str">
            <v>2002LA</v>
          </cell>
          <cell r="AC622">
            <v>0</v>
          </cell>
          <cell r="AD622">
            <v>0</v>
          </cell>
          <cell r="AE622">
            <v>0.6</v>
          </cell>
          <cell r="AF622">
            <v>0.4</v>
          </cell>
        </row>
        <row r="623">
          <cell r="B623" t="str">
            <v>2002ME</v>
          </cell>
          <cell r="C623">
            <v>9.3713015315557757E-2</v>
          </cell>
          <cell r="D623">
            <v>0.17210096338216258</v>
          </cell>
          <cell r="E623">
            <v>0.44837154081607639</v>
          </cell>
          <cell r="F623">
            <v>0.19633313267932656</v>
          </cell>
          <cell r="G623">
            <v>7.0076626899074845E-2</v>
          </cell>
          <cell r="H623">
            <v>1.9404720907801824E-2</v>
          </cell>
          <cell r="J623" t="str">
            <v>2002ME</v>
          </cell>
          <cell r="K623">
            <v>0.48155183228484877</v>
          </cell>
          <cell r="L623">
            <v>7.0076626899074845E-2</v>
          </cell>
          <cell r="M623">
            <v>0.44837154081607639</v>
          </cell>
          <cell r="U623" t="str">
            <v>2002ME</v>
          </cell>
          <cell r="V623">
            <v>0.72920202000000001</v>
          </cell>
          <cell r="W623">
            <v>1.1915111000000001E-2</v>
          </cell>
          <cell r="X623">
            <v>7.4740241999999998E-2</v>
          </cell>
          <cell r="Y623">
            <v>5.7138373999999999E-2</v>
          </cell>
          <cell r="Z623">
            <v>0.12700425300000001</v>
          </cell>
          <cell r="AB623" t="str">
            <v>2002ME</v>
          </cell>
          <cell r="AC623">
            <v>0</v>
          </cell>
          <cell r="AD623">
            <v>0</v>
          </cell>
          <cell r="AE623">
            <v>0.05</v>
          </cell>
          <cell r="AF623">
            <v>0.95</v>
          </cell>
        </row>
        <row r="624">
          <cell r="B624" t="str">
            <v>2002MD</v>
          </cell>
          <cell r="C624">
            <v>7.6488535055593554E-2</v>
          </cell>
          <cell r="D624">
            <v>0.15472472257238745</v>
          </cell>
          <cell r="E624">
            <v>0.44380834258126728</v>
          </cell>
          <cell r="F624">
            <v>0.22861605738914034</v>
          </cell>
          <cell r="G624">
            <v>6.5960402236453913E-2</v>
          </cell>
          <cell r="H624">
            <v>3.0401940165157418E-2</v>
          </cell>
          <cell r="J624" t="str">
            <v>2002MD</v>
          </cell>
          <cell r="K624">
            <v>0.49023125518227884</v>
          </cell>
          <cell r="L624">
            <v>6.5960402236453913E-2</v>
          </cell>
          <cell r="M624">
            <v>0.44380834258126728</v>
          </cell>
          <cell r="U624" t="str">
            <v>2002MD</v>
          </cell>
          <cell r="V624">
            <v>0.21140679400000001</v>
          </cell>
          <cell r="W624">
            <v>3.7602905999999998E-2</v>
          </cell>
          <cell r="X624">
            <v>0.214504853</v>
          </cell>
          <cell r="Y624">
            <v>0.15671048400000001</v>
          </cell>
          <cell r="Z624">
            <v>0.37977496300000002</v>
          </cell>
          <cell r="AB624" t="str">
            <v>2002MD</v>
          </cell>
          <cell r="AC624">
            <v>0</v>
          </cell>
          <cell r="AD624">
            <v>0</v>
          </cell>
          <cell r="AE624">
            <v>0.05</v>
          </cell>
          <cell r="AF624">
            <v>0.95</v>
          </cell>
        </row>
        <row r="625">
          <cell r="B625" t="str">
            <v>2002MA</v>
          </cell>
          <cell r="C625">
            <v>6.1305440163427552E-2</v>
          </cell>
          <cell r="D625">
            <v>0.14874705508142777</v>
          </cell>
          <cell r="E625">
            <v>0.45216403673004657</v>
          </cell>
          <cell r="F625">
            <v>0.23617268276189021</v>
          </cell>
          <cell r="G625">
            <v>7.3497640935872632E-2</v>
          </cell>
          <cell r="H625">
            <v>2.8113144327335336E-2</v>
          </cell>
          <cell r="J625" t="str">
            <v>2002MA</v>
          </cell>
          <cell r="K625">
            <v>0.4743383223340808</v>
          </cell>
          <cell r="L625">
            <v>7.3497640935872632E-2</v>
          </cell>
          <cell r="M625">
            <v>0.45216403673004657</v>
          </cell>
          <cell r="U625" t="str">
            <v>2002MA</v>
          </cell>
          <cell r="V625">
            <v>0.31419575799999999</v>
          </cell>
          <cell r="W625">
            <v>3.0175387000000001E-2</v>
          </cell>
          <cell r="X625">
            <v>0.18928197099999999</v>
          </cell>
          <cell r="Y625">
            <v>0.14470469499999999</v>
          </cell>
          <cell r="Z625">
            <v>0.32164218900000002</v>
          </cell>
          <cell r="AB625" t="str">
            <v>2002MA</v>
          </cell>
          <cell r="AC625">
            <v>0</v>
          </cell>
          <cell r="AD625">
            <v>0</v>
          </cell>
          <cell r="AE625">
            <v>0.05</v>
          </cell>
          <cell r="AF625">
            <v>0.95</v>
          </cell>
        </row>
        <row r="626">
          <cell r="B626" t="str">
            <v>2002MI</v>
          </cell>
          <cell r="C626">
            <v>0.21592740095911189</v>
          </cell>
          <cell r="D626">
            <v>0.33044604004991018</v>
          </cell>
          <cell r="E626">
            <v>5.8998863632555826E-2</v>
          </cell>
          <cell r="F626">
            <v>0.32074430847532459</v>
          </cell>
          <cell r="G626">
            <v>3.4929675483950956E-2</v>
          </cell>
          <cell r="H626">
            <v>3.8953711399146676E-2</v>
          </cell>
          <cell r="J626" t="str">
            <v>2002MI</v>
          </cell>
          <cell r="K626">
            <v>0.90607146088349322</v>
          </cell>
          <cell r="L626">
            <v>3.4929675483950956E-2</v>
          </cell>
          <cell r="M626">
            <v>5.8998863632555826E-2</v>
          </cell>
          <cell r="U626" t="str">
            <v>2002MI</v>
          </cell>
          <cell r="V626">
            <v>4.5127237000000001E-2</v>
          </cell>
          <cell r="W626">
            <v>5.0500046999999999E-2</v>
          </cell>
          <cell r="X626">
            <v>0.254352099</v>
          </cell>
          <cell r="Y626">
            <v>0.17319266699999999</v>
          </cell>
          <cell r="Z626">
            <v>0.47682794899999997</v>
          </cell>
          <cell r="AB626" t="str">
            <v>2002MI</v>
          </cell>
          <cell r="AC626">
            <v>0</v>
          </cell>
          <cell r="AD626">
            <v>0</v>
          </cell>
          <cell r="AE626">
            <v>0.02</v>
          </cell>
          <cell r="AF626">
            <v>0.98</v>
          </cell>
        </row>
        <row r="627">
          <cell r="B627" t="str">
            <v>2002MN</v>
          </cell>
          <cell r="C627">
            <v>0.11559741536790068</v>
          </cell>
          <cell r="D627">
            <v>0.23915415867765383</v>
          </cell>
          <cell r="E627">
            <v>0.10052931481156221</v>
          </cell>
          <cell r="F627">
            <v>0.43822851849088174</v>
          </cell>
          <cell r="G627">
            <v>5.9517355535203494E-2</v>
          </cell>
          <cell r="H627">
            <v>4.697323711679801E-2</v>
          </cell>
          <cell r="J627" t="str">
            <v>2002MN</v>
          </cell>
          <cell r="K627">
            <v>0.83995332965323433</v>
          </cell>
          <cell r="L627">
            <v>5.9517355535203494E-2</v>
          </cell>
          <cell r="M627">
            <v>0.10052931481156221</v>
          </cell>
          <cell r="U627" t="str">
            <v>2002MN</v>
          </cell>
          <cell r="V627">
            <v>1.5145339000000001E-2</v>
          </cell>
          <cell r="W627">
            <v>5.1986831999999997E-2</v>
          </cell>
          <cell r="X627">
            <v>0.262445557</v>
          </cell>
          <cell r="Y627">
            <v>0.17896024199999999</v>
          </cell>
          <cell r="Z627">
            <v>0.49146202900000002</v>
          </cell>
          <cell r="AB627" t="str">
            <v>2002MN</v>
          </cell>
          <cell r="AC627">
            <v>0</v>
          </cell>
          <cell r="AD627">
            <v>0</v>
          </cell>
          <cell r="AE627">
            <v>0</v>
          </cell>
          <cell r="AF627">
            <v>1</v>
          </cell>
        </row>
        <row r="628">
          <cell r="B628" t="str">
            <v>2002MS</v>
          </cell>
          <cell r="C628">
            <v>0.10416334210611014</v>
          </cell>
          <cell r="D628">
            <v>7.2829933678422776E-2</v>
          </cell>
          <cell r="E628">
            <v>0.14929269604113307</v>
          </cell>
          <cell r="F628">
            <v>0.10019278631941281</v>
          </cell>
          <cell r="G628">
            <v>0.56868226150598644</v>
          </cell>
          <cell r="H628">
            <v>4.838980348934833E-3</v>
          </cell>
          <cell r="J628" t="str">
            <v>2002MS</v>
          </cell>
          <cell r="K628">
            <v>0.28202504245288051</v>
          </cell>
          <cell r="L628">
            <v>0.56868226150598644</v>
          </cell>
          <cell r="M628">
            <v>0.14929269604113307</v>
          </cell>
          <cell r="U628" t="str">
            <v>2002MS</v>
          </cell>
          <cell r="V628">
            <v>2.1100625000000001E-2</v>
          </cell>
          <cell r="W628">
            <v>3.6418512E-2</v>
          </cell>
          <cell r="X628">
            <v>6.0129593000000002E-2</v>
          </cell>
          <cell r="Y628">
            <v>0.574366987</v>
          </cell>
          <cell r="Z628">
            <v>0.30798428300000003</v>
          </cell>
          <cell r="AB628" t="str">
            <v>2002MS</v>
          </cell>
          <cell r="AC628">
            <v>0</v>
          </cell>
          <cell r="AD628">
            <v>0</v>
          </cell>
          <cell r="AE628">
            <v>0.6</v>
          </cell>
          <cell r="AF628">
            <v>0.4</v>
          </cell>
        </row>
        <row r="629">
          <cell r="B629" t="str">
            <v>2002MO</v>
          </cell>
          <cell r="C629">
            <v>6.4925479522277466E-2</v>
          </cell>
          <cell r="D629">
            <v>0.18170303563698134</v>
          </cell>
          <cell r="E629">
            <v>0.14337282997597614</v>
          </cell>
          <cell r="F629">
            <v>0.47880340852502545</v>
          </cell>
          <cell r="G629">
            <v>8.4882421727070459E-2</v>
          </cell>
          <cell r="H629">
            <v>4.6312824612669105E-2</v>
          </cell>
          <cell r="J629" t="str">
            <v>2002MO</v>
          </cell>
          <cell r="K629">
            <v>0.77174474829695339</v>
          </cell>
          <cell r="L629">
            <v>8.4882421727070459E-2</v>
          </cell>
          <cell r="M629">
            <v>0.14337282997597614</v>
          </cell>
          <cell r="U629" t="str">
            <v>2002MO</v>
          </cell>
          <cell r="V629">
            <v>2.998994E-2</v>
          </cell>
          <cell r="W629">
            <v>4.5757142000000001E-2</v>
          </cell>
          <cell r="X629">
            <v>0.27926039899999999</v>
          </cell>
          <cell r="Y629">
            <v>0.13775391300000001</v>
          </cell>
          <cell r="Z629">
            <v>0.50723860600000004</v>
          </cell>
          <cell r="AB629" t="str">
            <v>2002MO</v>
          </cell>
          <cell r="AC629">
            <v>0</v>
          </cell>
          <cell r="AD629">
            <v>0</v>
          </cell>
          <cell r="AE629">
            <v>0</v>
          </cell>
          <cell r="AF629">
            <v>1</v>
          </cell>
        </row>
        <row r="630">
          <cell r="B630" t="str">
            <v>2002MT</v>
          </cell>
          <cell r="C630">
            <v>0.35597781750083307</v>
          </cell>
          <cell r="D630">
            <v>0.25924389885240834</v>
          </cell>
          <cell r="E630">
            <v>4.3797789125912777E-2</v>
          </cell>
          <cell r="F630">
            <v>0.25058080537727367</v>
          </cell>
          <cell r="G630">
            <v>2.5930034358127463E-2</v>
          </cell>
          <cell r="H630">
            <v>6.4469654785444572E-2</v>
          </cell>
          <cell r="J630" t="str">
            <v>2002MT</v>
          </cell>
          <cell r="K630">
            <v>0.93027217651595973</v>
          </cell>
          <cell r="L630">
            <v>2.5930034358127463E-2</v>
          </cell>
          <cell r="M630">
            <v>4.3797789125912777E-2</v>
          </cell>
          <cell r="U630" t="str">
            <v>2002MT</v>
          </cell>
          <cell r="V630">
            <v>6.0520032000000001E-2</v>
          </cell>
          <cell r="W630">
            <v>5.1214043000000001E-2</v>
          </cell>
          <cell r="X630">
            <v>0.24859647000000001</v>
          </cell>
          <cell r="Y630">
            <v>0.16530719099999999</v>
          </cell>
          <cell r="Z630">
            <v>0.47436226399999998</v>
          </cell>
          <cell r="AB630" t="str">
            <v>2002MT</v>
          </cell>
          <cell r="AC630">
            <v>0</v>
          </cell>
          <cell r="AD630">
            <v>0</v>
          </cell>
          <cell r="AE630">
            <v>0.6</v>
          </cell>
          <cell r="AF630">
            <v>0.4</v>
          </cell>
        </row>
        <row r="631">
          <cell r="B631" t="str">
            <v>2002NE</v>
          </cell>
          <cell r="C631">
            <v>0.21260954807532403</v>
          </cell>
          <cell r="D631">
            <v>0.30324255962083846</v>
          </cell>
          <cell r="E631">
            <v>6.1277054134417128E-2</v>
          </cell>
          <cell r="F631">
            <v>0.34696077142199511</v>
          </cell>
          <cell r="G631">
            <v>3.6278454935301678E-2</v>
          </cell>
          <cell r="H631">
            <v>3.9631611812123581E-2</v>
          </cell>
          <cell r="J631" t="str">
            <v>2002NE</v>
          </cell>
          <cell r="K631">
            <v>0.90244449093028123</v>
          </cell>
          <cell r="L631">
            <v>3.6278454935301678E-2</v>
          </cell>
          <cell r="M631">
            <v>6.1277054134417128E-2</v>
          </cell>
          <cell r="U631" t="str">
            <v>2002NE</v>
          </cell>
          <cell r="V631">
            <v>3.0063880000000001E-2</v>
          </cell>
          <cell r="W631">
            <v>4.5295173000000001E-2</v>
          </cell>
          <cell r="X631">
            <v>0.27751980599999998</v>
          </cell>
          <cell r="Y631">
            <v>0.147715386</v>
          </cell>
          <cell r="Z631">
            <v>0.49940575500000001</v>
          </cell>
          <cell r="AB631" t="str">
            <v>2002NE</v>
          </cell>
          <cell r="AC631">
            <v>0</v>
          </cell>
          <cell r="AD631">
            <v>0</v>
          </cell>
          <cell r="AE631">
            <v>0.02</v>
          </cell>
          <cell r="AF631">
            <v>0.98</v>
          </cell>
        </row>
        <row r="632">
          <cell r="B632" t="str">
            <v>2002NV</v>
          </cell>
          <cell r="C632">
            <v>0.64210148526116029</v>
          </cell>
          <cell r="D632">
            <v>0.238399883587257</v>
          </cell>
          <cell r="E632">
            <v>4.1594375177217181E-3</v>
          </cell>
          <cell r="F632">
            <v>0.10819864870890922</v>
          </cell>
          <cell r="G632">
            <v>2.4625525602432058E-3</v>
          </cell>
          <cell r="H632">
            <v>4.677992364708553E-3</v>
          </cell>
          <cell r="J632" t="str">
            <v>2002NV</v>
          </cell>
          <cell r="K632">
            <v>0.99337800992203507</v>
          </cell>
          <cell r="L632">
            <v>2.4625525602432058E-3</v>
          </cell>
          <cell r="M632">
            <v>4.1594375177217181E-3</v>
          </cell>
          <cell r="U632" t="str">
            <v>2002NV</v>
          </cell>
          <cell r="V632">
            <v>0.35004114600000003</v>
          </cell>
          <cell r="W632">
            <v>2.4048478000000002E-2</v>
          </cell>
          <cell r="X632">
            <v>3.5747737000000002E-2</v>
          </cell>
          <cell r="Y632">
            <v>0.38867539400000001</v>
          </cell>
          <cell r="Z632">
            <v>0.20148724500000001</v>
          </cell>
          <cell r="AB632" t="str">
            <v>2002NV</v>
          </cell>
          <cell r="AC632">
            <v>0</v>
          </cell>
          <cell r="AD632">
            <v>0</v>
          </cell>
          <cell r="AE632">
            <v>0</v>
          </cell>
          <cell r="AF632">
            <v>1</v>
          </cell>
        </row>
        <row r="633">
          <cell r="B633" t="str">
            <v>2002NH</v>
          </cell>
          <cell r="C633">
            <v>9.4573445198850817E-2</v>
          </cell>
          <cell r="D633">
            <v>0.16340842518862655</v>
          </cell>
          <cell r="E633">
            <v>0.44298025846087286</v>
          </cell>
          <cell r="F633">
            <v>0.20852129702854144</v>
          </cell>
          <cell r="G633">
            <v>6.52134304627775E-2</v>
          </cell>
          <cell r="H633">
            <v>2.5303143660330828E-2</v>
          </cell>
          <cell r="J633" t="str">
            <v>2002NH</v>
          </cell>
          <cell r="K633">
            <v>0.49180631107634964</v>
          </cell>
          <cell r="L633">
            <v>6.52134304627775E-2</v>
          </cell>
          <cell r="M633">
            <v>0.44298025846087286</v>
          </cell>
          <cell r="U633" t="str">
            <v>2002NH</v>
          </cell>
          <cell r="V633">
            <v>0.56759962799999997</v>
          </cell>
          <cell r="W633">
            <v>1.9025615999999999E-2</v>
          </cell>
          <cell r="X633">
            <v>0.119342503</v>
          </cell>
          <cell r="Y633">
            <v>9.1236478999999995E-2</v>
          </cell>
          <cell r="Z633">
            <v>0.20279577500000001</v>
          </cell>
          <cell r="AB633" t="str">
            <v>2002NH</v>
          </cell>
          <cell r="AC633">
            <v>0</v>
          </cell>
          <cell r="AD633">
            <v>0</v>
          </cell>
          <cell r="AE633">
            <v>0.05</v>
          </cell>
          <cell r="AF633">
            <v>0.95</v>
          </cell>
        </row>
        <row r="634">
          <cell r="B634" t="str">
            <v>2002NJ</v>
          </cell>
          <cell r="C634">
            <v>5.8003576611346738E-2</v>
          </cell>
          <cell r="D634">
            <v>0.13897871355240557</v>
          </cell>
          <cell r="E634">
            <v>0.45397029129837874</v>
          </cell>
          <cell r="F634">
            <v>0.24471653627570109</v>
          </cell>
          <cell r="G634">
            <v>7.5126969581826603E-2</v>
          </cell>
          <cell r="H634">
            <v>2.9203912680341212E-2</v>
          </cell>
          <cell r="J634" t="str">
            <v>2002NJ</v>
          </cell>
          <cell r="K634">
            <v>0.47090273911979463</v>
          </cell>
          <cell r="L634">
            <v>7.5126969581826603E-2</v>
          </cell>
          <cell r="M634">
            <v>0.45397029129837874</v>
          </cell>
          <cell r="U634" t="str">
            <v>2002NJ</v>
          </cell>
          <cell r="V634">
            <v>0.30808167400000003</v>
          </cell>
          <cell r="W634">
            <v>3.3011736E-2</v>
          </cell>
          <cell r="X634">
            <v>0.18818818500000001</v>
          </cell>
          <cell r="Y634">
            <v>0.137437002</v>
          </cell>
          <cell r="Z634">
            <v>0.333281404</v>
          </cell>
          <cell r="AB634" t="str">
            <v>2002NJ</v>
          </cell>
          <cell r="AC634">
            <v>0</v>
          </cell>
          <cell r="AD634">
            <v>0</v>
          </cell>
          <cell r="AE634">
            <v>0.05</v>
          </cell>
          <cell r="AF634">
            <v>0.95</v>
          </cell>
        </row>
        <row r="635">
          <cell r="B635" t="str">
            <v>2002NM</v>
          </cell>
          <cell r="C635">
            <v>0.61184589317007076</v>
          </cell>
          <cell r="D635">
            <v>0.19452029294367307</v>
          </cell>
          <cell r="E635">
            <v>9.8952813124742175E-2</v>
          </cell>
          <cell r="F635">
            <v>9.4174237847419268E-2</v>
          </cell>
          <cell r="G635">
            <v>0</v>
          </cell>
          <cell r="H635">
            <v>5.0676291409465751E-4</v>
          </cell>
          <cell r="J635" t="str">
            <v>2002NM</v>
          </cell>
          <cell r="K635">
            <v>0.90104718687525787</v>
          </cell>
          <cell r="L635">
            <v>0</v>
          </cell>
          <cell r="M635">
            <v>9.8952813124742175E-2</v>
          </cell>
          <cell r="U635" t="str">
            <v>2002NM</v>
          </cell>
          <cell r="V635">
            <v>0.91655606099999998</v>
          </cell>
          <cell r="W635">
            <v>3.6715329999999998E-3</v>
          </cell>
          <cell r="X635">
            <v>2.3030526999999999E-2</v>
          </cell>
          <cell r="Y635">
            <v>1.7606671000000001E-2</v>
          </cell>
          <cell r="Z635">
            <v>3.9135206999999998E-2</v>
          </cell>
          <cell r="AB635" t="str">
            <v>2002NM</v>
          </cell>
          <cell r="AC635">
            <v>0</v>
          </cell>
          <cell r="AD635">
            <v>0</v>
          </cell>
          <cell r="AE635">
            <v>0.6</v>
          </cell>
          <cell r="AF635">
            <v>0.4</v>
          </cell>
        </row>
        <row r="636">
          <cell r="B636" t="str">
            <v>2002NY</v>
          </cell>
          <cell r="C636">
            <v>9.8408703041683282E-2</v>
          </cell>
          <cell r="D636">
            <v>0.15954377256245178</v>
          </cell>
          <cell r="E636">
            <v>0.44849165243165579</v>
          </cell>
          <cell r="F636">
            <v>0.20287733376538455</v>
          </cell>
          <cell r="G636">
            <v>7.0184973363303343E-2</v>
          </cell>
          <cell r="H636">
            <v>2.0493564835521279E-2</v>
          </cell>
          <cell r="J636" t="str">
            <v>2002NY</v>
          </cell>
          <cell r="K636">
            <v>0.4813233742050409</v>
          </cell>
          <cell r="L636">
            <v>7.0184973363303343E-2</v>
          </cell>
          <cell r="M636">
            <v>0.44849165243165579</v>
          </cell>
          <cell r="U636" t="str">
            <v>2002NY</v>
          </cell>
          <cell r="V636">
            <v>0.20441514899999999</v>
          </cell>
          <cell r="W636">
            <v>4.1815811000000001E-2</v>
          </cell>
          <cell r="X636">
            <v>0.21220383400000001</v>
          </cell>
          <cell r="Y636">
            <v>0.145168144</v>
          </cell>
          <cell r="Z636">
            <v>0.396397061</v>
          </cell>
          <cell r="AB636" t="str">
            <v>2002NY</v>
          </cell>
          <cell r="AC636">
            <v>0</v>
          </cell>
          <cell r="AD636">
            <v>0</v>
          </cell>
          <cell r="AE636">
            <v>0.05</v>
          </cell>
          <cell r="AF636">
            <v>0.95</v>
          </cell>
        </row>
        <row r="637">
          <cell r="B637" t="str">
            <v>2002NC</v>
          </cell>
          <cell r="C637">
            <v>6.168821577504751E-2</v>
          </cell>
          <cell r="D637">
            <v>0.11278426418396881</v>
          </cell>
          <cell r="E637">
            <v>0.15395779991170949</v>
          </cell>
          <cell r="F637">
            <v>0.11589101949636353</v>
          </cell>
          <cell r="G637">
            <v>0.54100750469043157</v>
          </cell>
          <cell r="H637">
            <v>1.4671195942479084E-2</v>
          </cell>
          <cell r="J637" t="str">
            <v>2002NC</v>
          </cell>
          <cell r="K637">
            <v>0.30503469539785888</v>
          </cell>
          <cell r="L637">
            <v>0.54100750469043157</v>
          </cell>
          <cell r="M637">
            <v>0.15395779991170949</v>
          </cell>
          <cell r="U637" t="str">
            <v>2002NC</v>
          </cell>
          <cell r="V637">
            <v>2.4742549999999999E-3</v>
          </cell>
          <cell r="W637">
            <v>3.7123251000000003E-2</v>
          </cell>
          <cell r="X637">
            <v>6.1645423999999997E-2</v>
          </cell>
          <cell r="Y637">
            <v>0.58464508599999998</v>
          </cell>
          <cell r="Z637">
            <v>0.31411198400000001</v>
          </cell>
          <cell r="AB637" t="str">
            <v>2002NC</v>
          </cell>
          <cell r="AC637">
            <v>0</v>
          </cell>
          <cell r="AD637">
            <v>0</v>
          </cell>
          <cell r="AE637">
            <v>0.41899999999999998</v>
          </cell>
          <cell r="AF637">
            <v>0.58099999999999996</v>
          </cell>
        </row>
        <row r="638">
          <cell r="B638" t="str">
            <v>2002ND</v>
          </cell>
          <cell r="C638">
            <v>0.1196932700797023</v>
          </cell>
          <cell r="D638">
            <v>0.21866711268457967</v>
          </cell>
          <cell r="E638">
            <v>0.10978970169096619</v>
          </cell>
          <cell r="F638">
            <v>0.448028418369537</v>
          </cell>
          <cell r="G638">
            <v>6.499987314042277E-2</v>
          </cell>
          <cell r="H638">
            <v>3.8821624034792085E-2</v>
          </cell>
          <cell r="J638" t="str">
            <v>2002ND</v>
          </cell>
          <cell r="K638">
            <v>0.82521042516861098</v>
          </cell>
          <cell r="L638">
            <v>6.499987314042277E-2</v>
          </cell>
          <cell r="M638">
            <v>0.10978970169096619</v>
          </cell>
          <cell r="U638" t="str">
            <v>2002ND</v>
          </cell>
          <cell r="V638">
            <v>8.8434773999999994E-2</v>
          </cell>
          <cell r="W638">
            <v>4.7868137999999998E-2</v>
          </cell>
          <cell r="X638">
            <v>0.243186129</v>
          </cell>
          <cell r="Y638">
            <v>0.16647603599999999</v>
          </cell>
          <cell r="Z638">
            <v>0.45403492299999998</v>
          </cell>
          <cell r="AB638" t="str">
            <v>2002ND</v>
          </cell>
          <cell r="AC638">
            <v>0</v>
          </cell>
          <cell r="AD638">
            <v>0</v>
          </cell>
          <cell r="AE638">
            <v>0.02</v>
          </cell>
          <cell r="AF638">
            <v>0.98</v>
          </cell>
        </row>
        <row r="639">
          <cell r="B639" t="str">
            <v>2002OH</v>
          </cell>
          <cell r="C639">
            <v>0.10753833947858983</v>
          </cell>
          <cell r="D639">
            <v>0.22522557822049544</v>
          </cell>
          <cell r="E639">
            <v>0.13589110116557596</v>
          </cell>
          <cell r="F639">
            <v>0.4097570212201273</v>
          </cell>
          <cell r="G639">
            <v>8.0452940491062386E-2</v>
          </cell>
          <cell r="H639">
            <v>4.1135019424149183E-2</v>
          </cell>
          <cell r="J639" t="str">
            <v>2002OH</v>
          </cell>
          <cell r="K639">
            <v>0.78365595834336166</v>
          </cell>
          <cell r="L639">
            <v>8.0452940491062386E-2</v>
          </cell>
          <cell r="M639">
            <v>0.13589110116557596</v>
          </cell>
          <cell r="U639" t="str">
            <v>2002OH</v>
          </cell>
          <cell r="V639">
            <v>6.6338901000000006E-2</v>
          </cell>
          <cell r="W639">
            <v>4.3119113000000001E-2</v>
          </cell>
          <cell r="X639">
            <v>0.26533305600000001</v>
          </cell>
          <cell r="Y639">
            <v>0.15267545299999999</v>
          </cell>
          <cell r="Z639">
            <v>0.47253347699999998</v>
          </cell>
          <cell r="AB639" t="str">
            <v>2002OH</v>
          </cell>
          <cell r="AC639">
            <v>0</v>
          </cell>
          <cell r="AD639">
            <v>0</v>
          </cell>
          <cell r="AE639">
            <v>0</v>
          </cell>
          <cell r="AF639">
            <v>1</v>
          </cell>
        </row>
        <row r="640">
          <cell r="B640" t="str">
            <v>2002OK</v>
          </cell>
          <cell r="C640">
            <v>0.40296958934788546</v>
          </cell>
          <cell r="D640">
            <v>0.22528492954061258</v>
          </cell>
          <cell r="E640">
            <v>6.4896255940651446E-2</v>
          </cell>
          <cell r="F640">
            <v>0.24738177570149189</v>
          </cell>
          <cell r="G640">
            <v>0</v>
          </cell>
          <cell r="H640">
            <v>5.9467449469358676E-2</v>
          </cell>
          <cell r="J640" t="str">
            <v>2002OK</v>
          </cell>
          <cell r="K640">
            <v>0.9351037440593486</v>
          </cell>
          <cell r="L640">
            <v>0</v>
          </cell>
          <cell r="M640">
            <v>6.4896255940651446E-2</v>
          </cell>
          <cell r="U640" t="str">
            <v>2002OK</v>
          </cell>
          <cell r="V640">
            <v>1.2831308E-2</v>
          </cell>
          <cell r="W640">
            <v>3.6793041999999998E-2</v>
          </cell>
          <cell r="X640">
            <v>6.2749109999999997E-2</v>
          </cell>
          <cell r="Y640">
            <v>0.57552135800000004</v>
          </cell>
          <cell r="Z640">
            <v>0.31210518199999998</v>
          </cell>
          <cell r="AB640" t="str">
            <v>2002OK</v>
          </cell>
          <cell r="AC640">
            <v>0</v>
          </cell>
          <cell r="AD640">
            <v>0</v>
          </cell>
          <cell r="AE640">
            <v>0.6</v>
          </cell>
          <cell r="AF640">
            <v>0.4</v>
          </cell>
        </row>
        <row r="641">
          <cell r="B641" t="str">
            <v>2002OR</v>
          </cell>
          <cell r="C641">
            <v>0.43856747008812064</v>
          </cell>
          <cell r="D641">
            <v>0.20958259090942544</v>
          </cell>
          <cell r="E641">
            <v>0</v>
          </cell>
          <cell r="F641">
            <v>0.12862948158709187</v>
          </cell>
          <cell r="G641">
            <v>0.2018533708975031</v>
          </cell>
          <cell r="H641">
            <v>2.1367086517858933E-2</v>
          </cell>
          <cell r="J641" t="str">
            <v>2002OR</v>
          </cell>
          <cell r="K641">
            <v>0.7981466291024969</v>
          </cell>
          <cell r="L641">
            <v>0.2018533708975031</v>
          </cell>
          <cell r="M641">
            <v>0</v>
          </cell>
          <cell r="U641" t="str">
            <v>2002OR</v>
          </cell>
          <cell r="V641">
            <v>0.57640796000000005</v>
          </cell>
          <cell r="W641">
            <v>1.863805E-2</v>
          </cell>
          <cell r="X641">
            <v>0.116911403</v>
          </cell>
          <cell r="Y641">
            <v>8.937792E-2</v>
          </cell>
          <cell r="Z641">
            <v>0.19866466699999999</v>
          </cell>
          <cell r="AB641" t="str">
            <v>2002OR</v>
          </cell>
          <cell r="AC641">
            <v>0</v>
          </cell>
          <cell r="AD641">
            <v>0</v>
          </cell>
          <cell r="AE641">
            <v>0.25</v>
          </cell>
          <cell r="AF641">
            <v>0.75</v>
          </cell>
        </row>
        <row r="642">
          <cell r="B642" t="str">
            <v>2002PA</v>
          </cell>
          <cell r="C642">
            <v>4.9624045569858895E-2</v>
          </cell>
          <cell r="D642">
            <v>0.11712497857538914</v>
          </cell>
          <cell r="E642">
            <v>0.46874549019831585</v>
          </cell>
          <cell r="F642">
            <v>0.25230966018477574</v>
          </cell>
          <cell r="G642">
            <v>8.8454910858433447E-2</v>
          </cell>
          <cell r="H642">
            <v>2.3740914613226898E-2</v>
          </cell>
          <cell r="J642" t="str">
            <v>2002PA</v>
          </cell>
          <cell r="K642">
            <v>0.44279959894325072</v>
          </cell>
          <cell r="L642">
            <v>8.8454910858433447E-2</v>
          </cell>
          <cell r="M642">
            <v>0.46874549019831585</v>
          </cell>
          <cell r="U642" t="str">
            <v>2002PA</v>
          </cell>
          <cell r="V642">
            <v>5.0102499000000002E-2</v>
          </cell>
          <cell r="W642">
            <v>4.9409870000000002E-2</v>
          </cell>
          <cell r="X642">
            <v>0.25392279899999998</v>
          </cell>
          <cell r="Y642">
            <v>0.17504710600000001</v>
          </cell>
          <cell r="Z642">
            <v>0.47151772600000003</v>
          </cell>
          <cell r="AB642" t="str">
            <v>2002PA</v>
          </cell>
          <cell r="AC642">
            <v>0</v>
          </cell>
          <cell r="AD642">
            <v>0</v>
          </cell>
          <cell r="AE642">
            <v>0</v>
          </cell>
          <cell r="AF642">
            <v>1</v>
          </cell>
        </row>
        <row r="643">
          <cell r="B643" t="str">
            <v>2002RI</v>
          </cell>
          <cell r="C643">
            <v>4.2447025005926793E-2</v>
          </cell>
          <cell r="D643">
            <v>0.1190174947032642</v>
          </cell>
          <cell r="E643">
            <v>0.46784468707451643</v>
          </cell>
          <cell r="F643">
            <v>0.25730854976835782</v>
          </cell>
          <cell r="G643">
            <v>8.7642343040085183E-2</v>
          </cell>
          <cell r="H643">
            <v>2.5739900407849584E-2</v>
          </cell>
          <cell r="J643" t="str">
            <v>2002RI</v>
          </cell>
          <cell r="K643">
            <v>0.44451296988539835</v>
          </cell>
          <cell r="L643">
            <v>8.7642343040085183E-2</v>
          </cell>
          <cell r="M643">
            <v>0.46784468707451643</v>
          </cell>
          <cell r="U643" t="str">
            <v>2002RI</v>
          </cell>
          <cell r="V643">
            <v>0.56026879500000004</v>
          </cell>
          <cell r="W643">
            <v>1.9348173E-2</v>
          </cell>
          <cell r="X643">
            <v>0.121365813</v>
          </cell>
          <cell r="Y643">
            <v>9.2783283999999994E-2</v>
          </cell>
          <cell r="Z643">
            <v>0.20623393500000001</v>
          </cell>
          <cell r="AB643" t="str">
            <v>2002RI</v>
          </cell>
          <cell r="AC643">
            <v>0</v>
          </cell>
          <cell r="AD643">
            <v>0</v>
          </cell>
          <cell r="AE643">
            <v>0.05</v>
          </cell>
          <cell r="AF643">
            <v>0.95</v>
          </cell>
        </row>
        <row r="644">
          <cell r="B644" t="str">
            <v>2002SC</v>
          </cell>
          <cell r="C644">
            <v>0.13346180610825578</v>
          </cell>
          <cell r="D644">
            <v>9.0019723091430845E-2</v>
          </cell>
          <cell r="E644">
            <v>0.15451296947775242</v>
          </cell>
          <cell r="F644">
            <v>8.0687406490411034E-2</v>
          </cell>
          <cell r="G644">
            <v>0.53771407690020812</v>
          </cell>
          <cell r="H644">
            <v>3.6040179319418398E-3</v>
          </cell>
          <cell r="J644" t="str">
            <v>2002SC</v>
          </cell>
          <cell r="K644">
            <v>0.30777295362203949</v>
          </cell>
          <cell r="L644">
            <v>0.53771407690020812</v>
          </cell>
          <cell r="M644">
            <v>0.15451296947775242</v>
          </cell>
          <cell r="U644" t="str">
            <v>2002SC</v>
          </cell>
          <cell r="V644">
            <v>6.1629585000000001E-2</v>
          </cell>
          <cell r="W644">
            <v>3.5823032999999997E-2</v>
          </cell>
          <cell r="X644">
            <v>8.6443989999999998E-2</v>
          </cell>
          <cell r="Y644">
            <v>0.50014727299999995</v>
          </cell>
          <cell r="Z644">
            <v>0.31595611899999998</v>
          </cell>
          <cell r="AB644" t="str">
            <v>2002SC</v>
          </cell>
          <cell r="AC644">
            <v>0</v>
          </cell>
          <cell r="AD644">
            <v>0</v>
          </cell>
          <cell r="AE644">
            <v>0.6</v>
          </cell>
          <cell r="AF644">
            <v>0.4</v>
          </cell>
        </row>
        <row r="645">
          <cell r="B645" t="str">
            <v>2002SD</v>
          </cell>
          <cell r="C645">
            <v>0.17608951911561277</v>
          </cell>
          <cell r="D645">
            <v>0.277831368160596</v>
          </cell>
          <cell r="E645">
            <v>7.9800561964795444E-2</v>
          </cell>
          <cell r="F645">
            <v>0.37802114842972712</v>
          </cell>
          <cell r="G645">
            <v>4.724510882492864E-2</v>
          </cell>
          <cell r="H645">
            <v>4.1012293504340026E-2</v>
          </cell>
          <cell r="J645" t="str">
            <v>2002SD</v>
          </cell>
          <cell r="K645">
            <v>0.87295432921027594</v>
          </cell>
          <cell r="L645">
            <v>4.724510882492864E-2</v>
          </cell>
          <cell r="M645">
            <v>7.9800561964795444E-2</v>
          </cell>
          <cell r="U645" t="str">
            <v>2002SD</v>
          </cell>
          <cell r="V645">
            <v>3.3046748000000001E-2</v>
          </cell>
          <cell r="W645">
            <v>5.1157264000000001E-2</v>
          </cell>
          <cell r="X645">
            <v>0.25755016600000002</v>
          </cell>
          <cell r="Y645">
            <v>0.17532273200000001</v>
          </cell>
          <cell r="Z645">
            <v>0.48292308900000003</v>
          </cell>
          <cell r="AB645" t="str">
            <v>2002SD</v>
          </cell>
          <cell r="AC645">
            <v>0</v>
          </cell>
          <cell r="AD645">
            <v>0</v>
          </cell>
          <cell r="AE645">
            <v>0.02</v>
          </cell>
          <cell r="AF645">
            <v>0.98</v>
          </cell>
        </row>
        <row r="646">
          <cell r="B646" t="str">
            <v>2002TN</v>
          </cell>
          <cell r="C646">
            <v>4.0519949592449485E-2</v>
          </cell>
          <cell r="D646">
            <v>8.9664149461423162E-2</v>
          </cell>
          <cell r="E646">
            <v>0.14551684926860037</v>
          </cell>
          <cell r="F646">
            <v>0.1170185785979804</v>
          </cell>
          <cell r="G646">
            <v>0.59108168584929244</v>
          </cell>
          <cell r="H646">
            <v>1.6198787230254148E-2</v>
          </cell>
          <cell r="J646" t="str">
            <v>2002TN</v>
          </cell>
          <cell r="K646">
            <v>0.26340146488210725</v>
          </cell>
          <cell r="L646">
            <v>0.59108168584929244</v>
          </cell>
          <cell r="M646">
            <v>0.14551684926860037</v>
          </cell>
          <cell r="U646" t="str">
            <v>2002TN</v>
          </cell>
          <cell r="V646">
            <v>0.102875089</v>
          </cell>
          <cell r="W646">
            <v>3.5402429999999999E-2</v>
          </cell>
          <cell r="X646">
            <v>0.119077104</v>
          </cell>
          <cell r="Y646">
            <v>0.41436515099999999</v>
          </cell>
          <cell r="Z646">
            <v>0.32828022600000001</v>
          </cell>
          <cell r="AB646" t="str">
            <v>2002TN</v>
          </cell>
          <cell r="AC646">
            <v>0</v>
          </cell>
          <cell r="AD646">
            <v>0</v>
          </cell>
          <cell r="AE646">
            <v>0.05</v>
          </cell>
          <cell r="AF646">
            <v>0.95</v>
          </cell>
        </row>
        <row r="647">
          <cell r="B647" t="str">
            <v>2002TX</v>
          </cell>
          <cell r="C647">
            <v>0.53305655520056971</v>
          </cell>
          <cell r="D647">
            <v>0.24233312613196878</v>
          </cell>
          <cell r="E647">
            <v>7.9791980793249173E-2</v>
          </cell>
          <cell r="F647">
            <v>0.1278405091499755</v>
          </cell>
          <cell r="G647">
            <v>0</v>
          </cell>
          <cell r="H647">
            <v>1.6977828724236681E-2</v>
          </cell>
          <cell r="J647" t="str">
            <v>2002TX</v>
          </cell>
          <cell r="K647">
            <v>0.92020801920675077</v>
          </cell>
          <cell r="L647">
            <v>0</v>
          </cell>
          <cell r="M647">
            <v>7.9791980793249173E-2</v>
          </cell>
          <cell r="U647" t="str">
            <v>2002TX</v>
          </cell>
          <cell r="V647">
            <v>6.9632535999999995E-2</v>
          </cell>
          <cell r="W647">
            <v>3.4700662E-2</v>
          </cell>
          <cell r="X647">
            <v>5.9917572000000002E-2</v>
          </cell>
          <cell r="Y647">
            <v>0.54104196599999999</v>
          </cell>
          <cell r="Z647">
            <v>0.29470726400000002</v>
          </cell>
          <cell r="AB647" t="str">
            <v>2002TX</v>
          </cell>
          <cell r="AC647">
            <v>0</v>
          </cell>
          <cell r="AD647">
            <v>0</v>
          </cell>
          <cell r="AE647">
            <v>0.12</v>
          </cell>
          <cell r="AF647">
            <v>0.88</v>
          </cell>
        </row>
        <row r="648">
          <cell r="B648" t="str">
            <v>2002UT</v>
          </cell>
          <cell r="C648">
            <v>0.51165623152884221</v>
          </cell>
          <cell r="D648">
            <v>0.26394677259150623</v>
          </cell>
          <cell r="E648">
            <v>1.3999177703951423E-2</v>
          </cell>
          <cell r="F648">
            <v>0.17036034814732054</v>
          </cell>
          <cell r="G648">
            <v>8.2880703819413898E-3</v>
          </cell>
          <cell r="H648">
            <v>3.1749399646438282E-2</v>
          </cell>
          <cell r="J648" t="str">
            <v>2002UT</v>
          </cell>
          <cell r="K648">
            <v>0.97771275191410723</v>
          </cell>
          <cell r="L648">
            <v>8.2880703819413898E-3</v>
          </cell>
          <cell r="M648">
            <v>1.3999177703951423E-2</v>
          </cell>
          <cell r="U648" t="str">
            <v>2002UT</v>
          </cell>
          <cell r="V648">
            <v>8.6456620000000001E-3</v>
          </cell>
          <cell r="W648">
            <v>5.5424775000000003E-2</v>
          </cell>
          <cell r="X648">
            <v>0.260824848</v>
          </cell>
          <cell r="Y648">
            <v>0.16982515300000001</v>
          </cell>
          <cell r="Z648">
            <v>0.50527956200000002</v>
          </cell>
          <cell r="AB648" t="str">
            <v>2002UT</v>
          </cell>
          <cell r="AC648">
            <v>0</v>
          </cell>
          <cell r="AD648">
            <v>0</v>
          </cell>
          <cell r="AE648">
            <v>0.6</v>
          </cell>
          <cell r="AF648">
            <v>0.4</v>
          </cell>
        </row>
        <row r="649">
          <cell r="B649" t="str">
            <v>2002VT</v>
          </cell>
          <cell r="C649">
            <v>9.9973781354903396E-2</v>
          </cell>
          <cell r="D649">
            <v>0.17387691112967565</v>
          </cell>
          <cell r="E649">
            <v>0.44423932842492886</v>
          </cell>
          <cell r="F649">
            <v>0.19448861844630186</v>
          </cell>
          <cell r="G649">
            <v>6.6349172232328182E-2</v>
          </cell>
          <cell r="H649">
            <v>2.1072188411862088E-2</v>
          </cell>
          <cell r="J649" t="str">
            <v>2002VT</v>
          </cell>
          <cell r="K649">
            <v>0.48941149934274297</v>
          </cell>
          <cell r="L649">
            <v>6.6349172232328182E-2</v>
          </cell>
          <cell r="M649">
            <v>0.44423932842492886</v>
          </cell>
          <cell r="U649" t="str">
            <v>2002VT</v>
          </cell>
          <cell r="V649">
            <v>0.86037974299999997</v>
          </cell>
          <cell r="W649">
            <v>6.1432910000000004E-3</v>
          </cell>
          <cell r="X649">
            <v>3.8535191000000003E-2</v>
          </cell>
          <cell r="Y649">
            <v>2.9459874E-2</v>
          </cell>
          <cell r="Z649">
            <v>6.5481899999999996E-2</v>
          </cell>
          <cell r="AB649" t="str">
            <v>2002VT</v>
          </cell>
          <cell r="AC649">
            <v>0</v>
          </cell>
          <cell r="AD649">
            <v>0</v>
          </cell>
          <cell r="AE649">
            <v>0.05</v>
          </cell>
          <cell r="AF649">
            <v>0.95</v>
          </cell>
        </row>
        <row r="650">
          <cell r="B650" t="str">
            <v>2002VA</v>
          </cell>
          <cell r="C650">
            <v>4.4953509549794296E-2</v>
          </cell>
          <cell r="D650">
            <v>9.339670802378576E-2</v>
          </cell>
          <cell r="E650">
            <v>0.14844092890155638</v>
          </cell>
          <cell r="F650">
            <v>0.12331550684410268</v>
          </cell>
          <cell r="G650">
            <v>0.5737351926100378</v>
          </cell>
          <cell r="H650">
            <v>1.6158154070723133E-2</v>
          </cell>
          <cell r="J650" t="str">
            <v>2002VA</v>
          </cell>
          <cell r="K650">
            <v>0.27782387848840584</v>
          </cell>
          <cell r="L650">
            <v>0.5737351926100378</v>
          </cell>
          <cell r="M650">
            <v>0.14844092890155638</v>
          </cell>
          <cell r="U650" t="str">
            <v>2002VA</v>
          </cell>
          <cell r="V650">
            <v>3.3934871999999998E-2</v>
          </cell>
          <cell r="W650">
            <v>3.6244844999999998E-2</v>
          </cell>
          <cell r="X650">
            <v>6.8933026999999994E-2</v>
          </cell>
          <cell r="Y650">
            <v>0.550040046</v>
          </cell>
          <cell r="Z650">
            <v>0.31084721100000001</v>
          </cell>
          <cell r="AB650" t="str">
            <v>2002VA</v>
          </cell>
          <cell r="AC650">
            <v>0</v>
          </cell>
          <cell r="AD650">
            <v>0</v>
          </cell>
          <cell r="AE650">
            <v>0.05</v>
          </cell>
          <cell r="AF650">
            <v>0.95</v>
          </cell>
        </row>
        <row r="651">
          <cell r="B651" t="str">
            <v>2002WA</v>
          </cell>
          <cell r="C651">
            <v>0.48742079910802349</v>
          </cell>
          <cell r="D651">
            <v>0.21961274491816118</v>
          </cell>
          <cell r="E651">
            <v>0</v>
          </cell>
          <cell r="F651">
            <v>0.11254281869932067</v>
          </cell>
          <cell r="G651">
            <v>0.16627589127589129</v>
          </cell>
          <cell r="H651">
            <v>1.4147745998603438E-2</v>
          </cell>
          <cell r="J651" t="str">
            <v>2002WA</v>
          </cell>
          <cell r="K651">
            <v>0.83372410872410874</v>
          </cell>
          <cell r="L651">
            <v>0.16627589127589129</v>
          </cell>
          <cell r="M651">
            <v>0</v>
          </cell>
          <cell r="U651" t="str">
            <v>2002WA</v>
          </cell>
          <cell r="V651">
            <v>0.37353494700000001</v>
          </cell>
          <cell r="W651">
            <v>3.1263627000000002E-2</v>
          </cell>
          <cell r="X651">
            <v>0.168896926</v>
          </cell>
          <cell r="Y651">
            <v>0.119853577</v>
          </cell>
          <cell r="Z651">
            <v>0.30645092299999999</v>
          </cell>
          <cell r="AB651" t="str">
            <v>2002WA</v>
          </cell>
          <cell r="AC651">
            <v>0</v>
          </cell>
          <cell r="AD651">
            <v>0</v>
          </cell>
          <cell r="AE651">
            <v>0.12</v>
          </cell>
          <cell r="AF651">
            <v>0.88</v>
          </cell>
        </row>
        <row r="652">
          <cell r="B652" t="str">
            <v>2002WV</v>
          </cell>
          <cell r="C652">
            <v>6.8751812683186322E-2</v>
          </cell>
          <cell r="D652">
            <v>0.15888641455628993</v>
          </cell>
          <cell r="E652">
            <v>0.44831485363191043</v>
          </cell>
          <cell r="F652">
            <v>0.22633984896592482</v>
          </cell>
          <cell r="G652">
            <v>7.0025492327769459E-2</v>
          </cell>
          <cell r="H652">
            <v>2.7681577834919095E-2</v>
          </cell>
          <cell r="J652" t="str">
            <v>2002WV</v>
          </cell>
          <cell r="K652">
            <v>0.48165965404032007</v>
          </cell>
          <cell r="L652">
            <v>7.0025492327769459E-2</v>
          </cell>
          <cell r="M652">
            <v>0.44831485363191043</v>
          </cell>
          <cell r="U652" t="str">
            <v>2002WV</v>
          </cell>
          <cell r="V652">
            <v>0.57920187499999998</v>
          </cell>
          <cell r="W652">
            <v>2.1256934000000002E-2</v>
          </cell>
          <cell r="X652">
            <v>0.113169981</v>
          </cell>
          <cell r="Y652">
            <v>7.9649016000000003E-2</v>
          </cell>
          <cell r="Z652">
            <v>0.206722194</v>
          </cell>
          <cell r="AB652" t="str">
            <v>2002WV</v>
          </cell>
          <cell r="AC652">
            <v>0</v>
          </cell>
          <cell r="AD652">
            <v>0</v>
          </cell>
          <cell r="AE652">
            <v>0.05</v>
          </cell>
          <cell r="AF652">
            <v>0.95</v>
          </cell>
        </row>
        <row r="653">
          <cell r="B653" t="str">
            <v>2002WI</v>
          </cell>
          <cell r="C653">
            <v>0.12203432597344931</v>
          </cell>
          <cell r="D653">
            <v>0.23555629715568294</v>
          </cell>
          <cell r="E653">
            <v>0.11540173598404266</v>
          </cell>
          <cell r="F653">
            <v>0.42032708364290838</v>
          </cell>
          <cell r="G653">
            <v>6.8322420806473022E-2</v>
          </cell>
          <cell r="H653">
            <v>3.8358136437443673E-2</v>
          </cell>
          <cell r="J653" t="str">
            <v>2002WI</v>
          </cell>
          <cell r="K653">
            <v>0.81627584320948432</v>
          </cell>
          <cell r="L653">
            <v>6.8322420806473022E-2</v>
          </cell>
          <cell r="M653">
            <v>0.11540173598404266</v>
          </cell>
          <cell r="U653" t="str">
            <v>2002WI</v>
          </cell>
          <cell r="V653">
            <v>0.12883246500000001</v>
          </cell>
          <cell r="W653">
            <v>4.2564396999999997E-2</v>
          </cell>
          <cell r="X653">
            <v>0.23585646199999999</v>
          </cell>
          <cell r="Y653">
            <v>0.16970626599999999</v>
          </cell>
          <cell r="Z653">
            <v>0.42304040999999998</v>
          </cell>
          <cell r="AB653" t="str">
            <v>2002WI</v>
          </cell>
          <cell r="AC653">
            <v>0</v>
          </cell>
          <cell r="AD653">
            <v>0</v>
          </cell>
          <cell r="AE653">
            <v>0.02</v>
          </cell>
          <cell r="AF653">
            <v>0.98</v>
          </cell>
        </row>
        <row r="654">
          <cell r="B654" t="str">
            <v>2002WY</v>
          </cell>
          <cell r="C654">
            <v>0.29508724522063295</v>
          </cell>
          <cell r="D654">
            <v>0.23251729773373622</v>
          </cell>
          <cell r="E654">
            <v>0.12161775942187937</v>
          </cell>
          <cell r="F654">
            <v>0.2207502472879718</v>
          </cell>
          <cell r="G654">
            <v>7.2002554085590281E-2</v>
          </cell>
          <cell r="H654">
            <v>5.8024896250189507E-2</v>
          </cell>
          <cell r="J654" t="str">
            <v>2002WY</v>
          </cell>
          <cell r="K654">
            <v>0.80637968649253033</v>
          </cell>
          <cell r="L654">
            <v>7.2002554085590281E-2</v>
          </cell>
          <cell r="M654">
            <v>0.12161775942187937</v>
          </cell>
          <cell r="U654" t="str">
            <v>2002WY</v>
          </cell>
          <cell r="V654">
            <v>3.2109568999999998E-2</v>
          </cell>
          <cell r="W654">
            <v>5.3596850000000001E-2</v>
          </cell>
          <cell r="X654">
            <v>0.25521061499999997</v>
          </cell>
          <cell r="Y654">
            <v>0.16752597599999999</v>
          </cell>
          <cell r="Z654">
            <v>0.49155699000000003</v>
          </cell>
          <cell r="AB654" t="str">
            <v>2002WY</v>
          </cell>
          <cell r="AC654">
            <v>0</v>
          </cell>
          <cell r="AD654">
            <v>0</v>
          </cell>
          <cell r="AE654">
            <v>0.6</v>
          </cell>
          <cell r="AF654">
            <v>0.4</v>
          </cell>
        </row>
        <row r="655">
          <cell r="B655" t="str">
            <v>2003AL</v>
          </cell>
          <cell r="C655">
            <v>0.17233560131521788</v>
          </cell>
          <cell r="D655">
            <v>9.7606154746872412E-2</v>
          </cell>
          <cell r="E655">
            <v>0.16919346457207346</v>
          </cell>
          <cell r="F655">
            <v>0.1056405325382436</v>
          </cell>
          <cell r="G655">
            <v>0.45062509818962659</v>
          </cell>
          <cell r="H655">
            <v>4.5991486379660445E-3</v>
          </cell>
          <cell r="J655" t="str">
            <v>2003AL</v>
          </cell>
          <cell r="K655">
            <v>0.38018143723829989</v>
          </cell>
          <cell r="L655">
            <v>0.45062509818962659</v>
          </cell>
          <cell r="M655">
            <v>0.16919346457207346</v>
          </cell>
          <cell r="U655" t="str">
            <v>2003AL</v>
          </cell>
          <cell r="V655">
            <v>5.3114938E-2</v>
          </cell>
          <cell r="W655">
            <v>3.6058960000000001E-2</v>
          </cell>
          <cell r="X655">
            <v>8.4414527000000003E-2</v>
          </cell>
          <cell r="Y655">
            <v>0.50961295299999998</v>
          </cell>
          <cell r="Z655">
            <v>0.316798623</v>
          </cell>
          <cell r="AB655" t="str">
            <v>2003AL</v>
          </cell>
          <cell r="AC655">
            <v>0</v>
          </cell>
          <cell r="AD655">
            <v>0</v>
          </cell>
          <cell r="AE655">
            <v>0.41899999999999998</v>
          </cell>
          <cell r="AF655">
            <v>0.58099999999999996</v>
          </cell>
        </row>
        <row r="656">
          <cell r="B656" t="str">
            <v>2003AK</v>
          </cell>
          <cell r="C656">
            <v>0.30334484066413492</v>
          </cell>
          <cell r="D656">
            <v>0.23769937716735701</v>
          </cell>
          <cell r="E656">
            <v>6.205843688929364E-2</v>
          </cell>
          <cell r="F656">
            <v>0.28363994741136878</v>
          </cell>
          <cell r="G656">
            <v>3.6741064625999714E-2</v>
          </cell>
          <cell r="H656">
            <v>7.6516333241846021E-2</v>
          </cell>
          <cell r="J656" t="str">
            <v>2003AK</v>
          </cell>
          <cell r="K656">
            <v>0.90120049848470662</v>
          </cell>
          <cell r="L656">
            <v>3.6741064625999714E-2</v>
          </cell>
          <cell r="M656">
            <v>6.205843688929364E-2</v>
          </cell>
          <cell r="U656" t="str">
            <v>2003AK</v>
          </cell>
          <cell r="V656">
            <v>0.52632575500000001</v>
          </cell>
          <cell r="W656">
            <v>2.0841667000000001E-2</v>
          </cell>
          <cell r="X656">
            <v>0.130734092</v>
          </cell>
          <cell r="Y656">
            <v>9.9945266000000005E-2</v>
          </cell>
          <cell r="Z656">
            <v>0.22215322100000001</v>
          </cell>
          <cell r="AB656" t="str">
            <v>2003AK</v>
          </cell>
          <cell r="AC656">
            <v>0</v>
          </cell>
          <cell r="AD656">
            <v>0</v>
          </cell>
          <cell r="AE656">
            <v>0.25</v>
          </cell>
          <cell r="AF656">
            <v>0.75</v>
          </cell>
        </row>
        <row r="657">
          <cell r="B657" t="str">
            <v>2003AZ</v>
          </cell>
          <cell r="C657">
            <v>0.611220636654217</v>
          </cell>
          <cell r="D657">
            <v>0.19572797693407004</v>
          </cell>
          <cell r="E657">
            <v>9.865488383487428E-2</v>
          </cell>
          <cell r="F657">
            <v>9.3890669243012675E-2</v>
          </cell>
          <cell r="G657">
            <v>0</v>
          </cell>
          <cell r="H657">
            <v>5.0583333382575558E-4</v>
          </cell>
          <cell r="J657" t="str">
            <v>2003AZ</v>
          </cell>
          <cell r="K657">
            <v>0.90134511616512569</v>
          </cell>
          <cell r="L657">
            <v>0</v>
          </cell>
          <cell r="M657">
            <v>9.865488383487428E-2</v>
          </cell>
          <cell r="U657" t="str">
            <v>2003AZ</v>
          </cell>
          <cell r="V657">
            <v>0.136592664</v>
          </cell>
          <cell r="W657">
            <v>3.2171241000000003E-2</v>
          </cell>
          <cell r="X657">
            <v>5.4596316999999998E-2</v>
          </cell>
          <cell r="Y657">
            <v>0.50386894699999996</v>
          </cell>
          <cell r="Z657">
            <v>0.27277083200000002</v>
          </cell>
          <cell r="AB657" t="str">
            <v>2003AZ</v>
          </cell>
          <cell r="AC657">
            <v>0</v>
          </cell>
          <cell r="AD657">
            <v>0</v>
          </cell>
          <cell r="AE657">
            <v>0.6</v>
          </cell>
          <cell r="AF657">
            <v>0.4</v>
          </cell>
        </row>
        <row r="658">
          <cell r="B658" t="str">
            <v>2003AR</v>
          </cell>
          <cell r="C658">
            <v>9.6391342329605903E-2</v>
          </cell>
          <cell r="D658">
            <v>6.6955456596874061E-2</v>
          </cell>
          <cell r="E658">
            <v>0.14888335780531528</v>
          </cell>
          <cell r="F658">
            <v>0.11118804006195876</v>
          </cell>
          <cell r="G658">
            <v>0.57111057531117648</v>
          </cell>
          <cell r="H658">
            <v>5.4712278950695761E-3</v>
          </cell>
          <cell r="J658" t="str">
            <v>2003AR</v>
          </cell>
          <cell r="K658">
            <v>0.28000606688350826</v>
          </cell>
          <cell r="L658">
            <v>0.57111057531117648</v>
          </cell>
          <cell r="M658">
            <v>0.14888335780531528</v>
          </cell>
          <cell r="U658" t="str">
            <v>2003AR</v>
          </cell>
          <cell r="V658">
            <v>3.9459004999999998E-2</v>
          </cell>
          <cell r="W658">
            <v>3.7640482000000003E-2</v>
          </cell>
          <cell r="X658">
            <v>0.11914443199999999</v>
          </cell>
          <cell r="Y658">
            <v>0.45827781299999998</v>
          </cell>
          <cell r="Z658">
            <v>0.34547826799999998</v>
          </cell>
          <cell r="AB658" t="str">
            <v>2003AR</v>
          </cell>
          <cell r="AC658">
            <v>0</v>
          </cell>
          <cell r="AD658">
            <v>0</v>
          </cell>
          <cell r="AE658">
            <v>0</v>
          </cell>
          <cell r="AF658">
            <v>1</v>
          </cell>
        </row>
        <row r="659">
          <cell r="B659" t="str">
            <v>2003CA</v>
          </cell>
          <cell r="C659">
            <v>0.58081862489107328</v>
          </cell>
          <cell r="D659">
            <v>0.20720345916912225</v>
          </cell>
          <cell r="E659">
            <v>0.10801924509893834</v>
          </cell>
          <cell r="F659">
            <v>9.2431120719429966E-2</v>
          </cell>
          <cell r="G659">
            <v>9.2523577326630076E-3</v>
          </cell>
          <cell r="H659">
            <v>2.2751923887731596E-3</v>
          </cell>
          <cell r="J659" t="str">
            <v>2003CA</v>
          </cell>
          <cell r="K659">
            <v>0.88272839716839868</v>
          </cell>
          <cell r="L659">
            <v>9.2523577326630076E-3</v>
          </cell>
          <cell r="M659">
            <v>0.10801924509893834</v>
          </cell>
          <cell r="U659" t="str">
            <v>2003CA</v>
          </cell>
          <cell r="V659">
            <v>0.133799526</v>
          </cell>
          <cell r="W659">
            <v>3.2941353E-2</v>
          </cell>
          <cell r="X659">
            <v>7.5800703999999997E-2</v>
          </cell>
          <cell r="Y659">
            <v>0.46867659099999998</v>
          </cell>
          <cell r="Z659">
            <v>0.28878182499999999</v>
          </cell>
          <cell r="AB659" t="str">
            <v>2003CA</v>
          </cell>
          <cell r="AC659">
            <v>0</v>
          </cell>
          <cell r="AD659">
            <v>0</v>
          </cell>
          <cell r="AE659">
            <v>0.12</v>
          </cell>
          <cell r="AF659">
            <v>0.88</v>
          </cell>
        </row>
        <row r="660">
          <cell r="B660" t="str">
            <v>2003CO</v>
          </cell>
          <cell r="C660">
            <v>0.61667904285785091</v>
          </cell>
          <cell r="D660">
            <v>0.24212893570430052</v>
          </cell>
          <cell r="E660">
            <v>1.1092391745361967E-2</v>
          </cell>
          <cell r="F660">
            <v>0.11516410971780773</v>
          </cell>
          <cell r="G660">
            <v>6.5671374014829543E-3</v>
          </cell>
          <cell r="H660">
            <v>8.3683825731959392E-3</v>
          </cell>
          <cell r="J660" t="str">
            <v>2003CO</v>
          </cell>
          <cell r="K660">
            <v>0.98234047085315512</v>
          </cell>
          <cell r="L660">
            <v>6.5671374014829543E-3</v>
          </cell>
          <cell r="M660">
            <v>1.1092391745361967E-2</v>
          </cell>
          <cell r="U660" t="str">
            <v>2003CO</v>
          </cell>
          <cell r="V660">
            <v>2.3378138E-2</v>
          </cell>
          <cell r="W660">
            <v>5.3880426000000002E-2</v>
          </cell>
          <cell r="X660">
            <v>0.25772948099999998</v>
          </cell>
          <cell r="Y660">
            <v>0.169703665</v>
          </cell>
          <cell r="Z660">
            <v>0.49530828999999998</v>
          </cell>
          <cell r="AB660" t="str">
            <v>2003CO</v>
          </cell>
          <cell r="AC660">
            <v>0</v>
          </cell>
          <cell r="AD660">
            <v>0</v>
          </cell>
          <cell r="AE660">
            <v>0.6</v>
          </cell>
          <cell r="AF660">
            <v>0.4</v>
          </cell>
        </row>
        <row r="661">
          <cell r="B661" t="str">
            <v>2003CT</v>
          </cell>
          <cell r="C661">
            <v>0.11572842393252261</v>
          </cell>
          <cell r="D661">
            <v>0.20119880615243968</v>
          </cell>
          <cell r="E661">
            <v>0.43233999756560143</v>
          </cell>
          <cell r="F661">
            <v>0.17234541515575838</v>
          </cell>
          <cell r="G661">
            <v>5.5615402487630847E-2</v>
          </cell>
          <cell r="H661">
            <v>2.2771954706046996E-2</v>
          </cell>
          <cell r="J661" t="str">
            <v>2003CT</v>
          </cell>
          <cell r="K661">
            <v>0.51204459994676776</v>
          </cell>
          <cell r="L661">
            <v>5.5615402487630847E-2</v>
          </cell>
          <cell r="M661">
            <v>0.43233999756560143</v>
          </cell>
          <cell r="U661" t="str">
            <v>2003CT</v>
          </cell>
          <cell r="V661">
            <v>0.57363861400000005</v>
          </cell>
          <cell r="W661">
            <v>1.8759900999999999E-2</v>
          </cell>
          <cell r="X661">
            <v>0.117675743</v>
          </cell>
          <cell r="Y661">
            <v>8.9962252000000006E-2</v>
          </cell>
          <cell r="Z661">
            <v>0.19996348999999999</v>
          </cell>
          <cell r="AB661" t="str">
            <v>2003CT</v>
          </cell>
          <cell r="AC661">
            <v>0</v>
          </cell>
          <cell r="AD661">
            <v>0</v>
          </cell>
          <cell r="AE661">
            <v>0.05</v>
          </cell>
          <cell r="AF661">
            <v>0.95</v>
          </cell>
        </row>
        <row r="662">
          <cell r="B662" t="str">
            <v>2003DE</v>
          </cell>
          <cell r="C662">
            <v>0.10201653895343663</v>
          </cell>
          <cell r="D662">
            <v>0.1910091905838856</v>
          </cell>
          <cell r="E662">
            <v>0.43707162937473454</v>
          </cell>
          <cell r="F662">
            <v>0.18637975788177577</v>
          </cell>
          <cell r="G662">
            <v>5.9883562349419175E-2</v>
          </cell>
          <cell r="H662">
            <v>2.3639320856748244E-2</v>
          </cell>
          <cell r="J662" t="str">
            <v>2003DE</v>
          </cell>
          <cell r="K662">
            <v>0.5030448082758463</v>
          </cell>
          <cell r="L662">
            <v>5.9883562349419175E-2</v>
          </cell>
          <cell r="M662">
            <v>0.43707162937473454</v>
          </cell>
          <cell r="U662" t="str">
            <v>2003DE</v>
          </cell>
          <cell r="V662">
            <v>0.120253529</v>
          </cell>
          <cell r="W662">
            <v>4.1631153999999997E-2</v>
          </cell>
          <cell r="X662">
            <v>0.23964419100000001</v>
          </cell>
          <cell r="Y662">
            <v>0.17588547500000001</v>
          </cell>
          <cell r="Z662">
            <v>0.42258565100000001</v>
          </cell>
          <cell r="AB662" t="str">
            <v>2003DE</v>
          </cell>
          <cell r="AC662">
            <v>0</v>
          </cell>
          <cell r="AD662">
            <v>0</v>
          </cell>
          <cell r="AE662">
            <v>0.05</v>
          </cell>
          <cell r="AF662">
            <v>0.95</v>
          </cell>
        </row>
        <row r="663">
          <cell r="B663" t="str">
            <v>2003FL</v>
          </cell>
          <cell r="C663">
            <v>0.38654865924430459</v>
          </cell>
          <cell r="D663">
            <v>0.14503983167997814</v>
          </cell>
          <cell r="E663">
            <v>0.21616400084919535</v>
          </cell>
          <cell r="F663">
            <v>7.8997496757044303E-2</v>
          </cell>
          <cell r="G663">
            <v>0.17198217725399226</v>
          </cell>
          <cell r="H663">
            <v>1.2678342154852779E-3</v>
          </cell>
          <cell r="J663" t="str">
            <v>2003FL</v>
          </cell>
          <cell r="K663">
            <v>0.61185382189681237</v>
          </cell>
          <cell r="L663">
            <v>0.17198217725399226</v>
          </cell>
          <cell r="M663">
            <v>0.21616400084919535</v>
          </cell>
          <cell r="U663" t="str">
            <v>2003FL</v>
          </cell>
          <cell r="V663">
            <v>0.71166924399999998</v>
          </cell>
          <cell r="W663">
            <v>1.2686553E-2</v>
          </cell>
          <cell r="X663">
            <v>7.9579288999999998E-2</v>
          </cell>
          <cell r="Y663">
            <v>6.0837789000000003E-2</v>
          </cell>
          <cell r="Z663">
            <v>0.135227124</v>
          </cell>
          <cell r="AB663" t="str">
            <v>2003FL</v>
          </cell>
          <cell r="AC663">
            <v>0</v>
          </cell>
          <cell r="AD663">
            <v>0</v>
          </cell>
          <cell r="AE663">
            <v>0.41899999999999998</v>
          </cell>
          <cell r="AF663">
            <v>0.58099999999999996</v>
          </cell>
        </row>
        <row r="664">
          <cell r="B664" t="str">
            <v>2003GA</v>
          </cell>
          <cell r="C664">
            <v>0.20823216155586291</v>
          </cell>
          <cell r="D664">
            <v>0.11033206176717186</v>
          </cell>
          <cell r="E664">
            <v>0.17733204084631207</v>
          </cell>
          <cell r="F664">
            <v>9.7862793659120595E-2</v>
          </cell>
          <cell r="G664">
            <v>0.40234468997942996</v>
          </cell>
          <cell r="H664">
            <v>3.8962521921025758E-3</v>
          </cell>
          <cell r="J664" t="str">
            <v>2003GA</v>
          </cell>
          <cell r="K664">
            <v>0.420323269174258</v>
          </cell>
          <cell r="L664">
            <v>0.40234468997942996</v>
          </cell>
          <cell r="M664">
            <v>0.17733204084631207</v>
          </cell>
          <cell r="U664" t="str">
            <v>2003GA</v>
          </cell>
          <cell r="V664">
            <v>7.8133266000000007E-2</v>
          </cell>
          <cell r="W664">
            <v>3.5587817000000001E-2</v>
          </cell>
          <cell r="X664">
            <v>9.7388838000000005E-2</v>
          </cell>
          <cell r="Y664">
            <v>0.46952270200000001</v>
          </cell>
          <cell r="Z664">
            <v>0.31936737799999998</v>
          </cell>
          <cell r="AB664" t="str">
            <v>2003GA</v>
          </cell>
          <cell r="AC664">
            <v>0</v>
          </cell>
          <cell r="AD664">
            <v>0</v>
          </cell>
          <cell r="AE664">
            <v>0.41899999999999998</v>
          </cell>
          <cell r="AF664">
            <v>0.58099999999999996</v>
          </cell>
        </row>
        <row r="665">
          <cell r="B665" t="str">
            <v>2003HI</v>
          </cell>
          <cell r="C665">
            <v>0.67137224197860923</v>
          </cell>
          <cell r="D665">
            <v>0.21100034068527662</v>
          </cell>
          <cell r="E665">
            <v>0</v>
          </cell>
          <cell r="F665">
            <v>0.10820426646618357</v>
          </cell>
          <cell r="G665">
            <v>7.5112148308577572E-3</v>
          </cell>
          <cell r="H665">
            <v>1.9119360390725836E-3</v>
          </cell>
          <cell r="J665" t="str">
            <v>2003HI</v>
          </cell>
          <cell r="K665">
            <v>0.9924887851691423</v>
          </cell>
          <cell r="L665">
            <v>7.5112148308577572E-3</v>
          </cell>
          <cell r="M665">
            <v>0</v>
          </cell>
          <cell r="U665" t="str">
            <v>2003HI</v>
          </cell>
          <cell r="V665">
            <v>0.23216878499999999</v>
          </cell>
          <cell r="W665">
            <v>3.2904865999999998E-2</v>
          </cell>
          <cell r="X665">
            <v>0.18414778700000001</v>
          </cell>
          <cell r="Y665">
            <v>0.21064765399999999</v>
          </cell>
          <cell r="Z665">
            <v>0.34013090899999998</v>
          </cell>
          <cell r="AB665" t="str">
            <v>2003HI</v>
          </cell>
          <cell r="AC665">
            <v>0</v>
          </cell>
          <cell r="AD665">
            <v>0</v>
          </cell>
          <cell r="AE665">
            <v>0.25</v>
          </cell>
          <cell r="AF665">
            <v>0.75</v>
          </cell>
        </row>
        <row r="666">
          <cell r="B666" t="str">
            <v>2003ID</v>
          </cell>
          <cell r="C666">
            <v>0.62850843440764703</v>
          </cell>
          <cell r="D666">
            <v>0.2329683972033782</v>
          </cell>
          <cell r="E666">
            <v>6.4436683947772669E-3</v>
          </cell>
          <cell r="F666">
            <v>0.11961222721284216</v>
          </cell>
          <cell r="G666">
            <v>3.8149081541218642E-3</v>
          </cell>
          <cell r="H666">
            <v>8.6523646272333287E-3</v>
          </cell>
          <cell r="J666" t="str">
            <v>2003ID</v>
          </cell>
          <cell r="K666">
            <v>0.98974142345110083</v>
          </cell>
          <cell r="L666">
            <v>3.8149081541218642E-3</v>
          </cell>
          <cell r="M666">
            <v>6.4436683947772669E-3</v>
          </cell>
          <cell r="U666" t="str">
            <v>2003ID</v>
          </cell>
          <cell r="V666">
            <v>0.460837895</v>
          </cell>
          <cell r="W666">
            <v>2.6974237000000002E-2</v>
          </cell>
          <cell r="X666">
            <v>0.14528671200000001</v>
          </cell>
          <cell r="Y666">
            <v>0.102926191</v>
          </cell>
          <cell r="Z666">
            <v>0.26397496599999998</v>
          </cell>
          <cell r="AB666" t="str">
            <v>2003ID</v>
          </cell>
          <cell r="AC666">
            <v>0</v>
          </cell>
          <cell r="AD666">
            <v>0</v>
          </cell>
          <cell r="AE666">
            <v>0.6</v>
          </cell>
          <cell r="AF666">
            <v>0.4</v>
          </cell>
        </row>
        <row r="667">
          <cell r="B667" t="str">
            <v>2003IL</v>
          </cell>
          <cell r="C667">
            <v>0.13175283144497188</v>
          </cell>
          <cell r="D667">
            <v>0.26046159534668961</v>
          </cell>
          <cell r="E667">
            <v>8.1383349234931596E-2</v>
          </cell>
          <cell r="F667">
            <v>0.43207247933210829</v>
          </cell>
          <cell r="G667">
            <v>4.8182181885357514E-2</v>
          </cell>
          <cell r="H667">
            <v>4.6147562755941125E-2</v>
          </cell>
          <cell r="J667" t="str">
            <v>2003IL</v>
          </cell>
          <cell r="K667">
            <v>0.87043446887971088</v>
          </cell>
          <cell r="L667">
            <v>4.8182181885357514E-2</v>
          </cell>
          <cell r="M667">
            <v>8.1383349234931596E-2</v>
          </cell>
          <cell r="U667" t="str">
            <v>2003IL</v>
          </cell>
          <cell r="V667">
            <v>2.0186552999999999E-2</v>
          </cell>
          <cell r="W667">
            <v>4.5739502000000001E-2</v>
          </cell>
          <cell r="X667">
            <v>0.28028242399999997</v>
          </cell>
          <cell r="Y667">
            <v>0.149587944</v>
          </cell>
          <cell r="Z667">
            <v>0.50420357699999996</v>
          </cell>
          <cell r="AB667" t="str">
            <v>2003IL</v>
          </cell>
          <cell r="AC667">
            <v>0</v>
          </cell>
          <cell r="AD667">
            <v>0</v>
          </cell>
          <cell r="AE667">
            <v>0.02</v>
          </cell>
          <cell r="AF667">
            <v>0.98</v>
          </cell>
        </row>
        <row r="668">
          <cell r="B668" t="str">
            <v>2003IN</v>
          </cell>
          <cell r="C668">
            <v>0.16189917384296076</v>
          </cell>
          <cell r="D668">
            <v>0.24163212738244233</v>
          </cell>
          <cell r="E668">
            <v>0.13392208737361183</v>
          </cell>
          <cell r="F668">
            <v>0.3491044693998876</v>
          </cell>
          <cell r="G668">
            <v>7.9287205957511472E-2</v>
          </cell>
          <cell r="H668">
            <v>3.4154936043586021E-2</v>
          </cell>
          <cell r="J668" t="str">
            <v>2003IN</v>
          </cell>
          <cell r="K668">
            <v>0.78679070666887663</v>
          </cell>
          <cell r="L668">
            <v>7.9287205957511472E-2</v>
          </cell>
          <cell r="M668">
            <v>0.13392208737361183</v>
          </cell>
          <cell r="U668" t="str">
            <v>2003IN</v>
          </cell>
          <cell r="V668">
            <v>2.5489210000000002E-2</v>
          </cell>
          <cell r="W668">
            <v>4.5536079E-2</v>
          </cell>
          <cell r="X668">
            <v>0.27893099599999999</v>
          </cell>
          <cell r="Y668">
            <v>0.14781887399999999</v>
          </cell>
          <cell r="Z668">
            <v>0.50222484099999998</v>
          </cell>
          <cell r="AB668" t="str">
            <v>2003IN</v>
          </cell>
          <cell r="AC668">
            <v>0</v>
          </cell>
          <cell r="AD668">
            <v>0</v>
          </cell>
          <cell r="AE668">
            <v>0</v>
          </cell>
          <cell r="AF668">
            <v>1</v>
          </cell>
        </row>
        <row r="669">
          <cell r="B669" t="str">
            <v>2003IA</v>
          </cell>
          <cell r="C669">
            <v>0.13792614664225575</v>
          </cell>
          <cell r="D669">
            <v>0.25047757969635848</v>
          </cell>
          <cell r="E669">
            <v>0.10477197231415941</v>
          </cell>
          <cell r="F669">
            <v>0.40507493125352922</v>
          </cell>
          <cell r="G669">
            <v>6.2029177638731184E-2</v>
          </cell>
          <cell r="H669">
            <v>3.9720192454965969E-2</v>
          </cell>
          <cell r="J669" t="str">
            <v>2003IA</v>
          </cell>
          <cell r="K669">
            <v>0.83319885004710947</v>
          </cell>
          <cell r="L669">
            <v>6.2029177638731184E-2</v>
          </cell>
          <cell r="M669">
            <v>0.10477197231415941</v>
          </cell>
          <cell r="U669" t="str">
            <v>2003IA</v>
          </cell>
          <cell r="V669">
            <v>9.6502570000000006E-3</v>
          </cell>
          <cell r="W669">
            <v>3.8739974000000003E-2</v>
          </cell>
          <cell r="X669">
            <v>0.12067557499999999</v>
          </cell>
          <cell r="Y669">
            <v>0.47629315999999999</v>
          </cell>
          <cell r="Z669">
            <v>0.35464103499999999</v>
          </cell>
          <cell r="AB669" t="str">
            <v>2003IA</v>
          </cell>
          <cell r="AC669">
            <v>0</v>
          </cell>
          <cell r="AD669">
            <v>0</v>
          </cell>
          <cell r="AE669">
            <v>0</v>
          </cell>
          <cell r="AF669">
            <v>1</v>
          </cell>
        </row>
        <row r="670">
          <cell r="B670" t="str">
            <v>2003KS</v>
          </cell>
          <cell r="C670">
            <v>0.28758404285910905</v>
          </cell>
          <cell r="D670">
            <v>0.32607606753917184</v>
          </cell>
          <cell r="E670">
            <v>5.1050547933917619E-2</v>
          </cell>
          <cell r="F670">
            <v>0.27762124338847843</v>
          </cell>
          <cell r="G670">
            <v>3.0223956239483565E-2</v>
          </cell>
          <cell r="H670">
            <v>2.7444142039839463E-2</v>
          </cell>
          <cell r="J670" t="str">
            <v>2003KS</v>
          </cell>
          <cell r="K670">
            <v>0.91872549582659879</v>
          </cell>
          <cell r="L670">
            <v>3.0223956239483565E-2</v>
          </cell>
          <cell r="M670">
            <v>5.1050547933917619E-2</v>
          </cell>
          <cell r="U670" t="str">
            <v>2003KS</v>
          </cell>
          <cell r="V670">
            <v>2.3647662E-2</v>
          </cell>
          <cell r="W670">
            <v>4.6272377000000003E-2</v>
          </cell>
          <cell r="X670">
            <v>0.28189652199999998</v>
          </cell>
          <cell r="Y670">
            <v>0.13395533500000001</v>
          </cell>
          <cell r="Z670">
            <v>0.51422810299999999</v>
          </cell>
          <cell r="AB670" t="str">
            <v>2003KS</v>
          </cell>
          <cell r="AC670">
            <v>0</v>
          </cell>
          <cell r="AD670">
            <v>0</v>
          </cell>
          <cell r="AE670">
            <v>0.02</v>
          </cell>
          <cell r="AF670">
            <v>0.98</v>
          </cell>
        </row>
        <row r="671">
          <cell r="B671" t="str">
            <v>2003KY</v>
          </cell>
          <cell r="C671">
            <v>2.3305602928070858E-2</v>
          </cell>
          <cell r="D671">
            <v>6.2885861766289422E-2</v>
          </cell>
          <cell r="E671">
            <v>0.14165738300711325</v>
          </cell>
          <cell r="F671">
            <v>0.14315421990856123</v>
          </cell>
          <cell r="G671">
            <v>0.61397716539009373</v>
          </cell>
          <cell r="H671">
            <v>1.5019766999871505E-2</v>
          </cell>
          <cell r="J671" t="str">
            <v>2003KY</v>
          </cell>
          <cell r="K671">
            <v>0.24436545160279299</v>
          </cell>
          <cell r="L671">
            <v>0.61397716539009373</v>
          </cell>
          <cell r="M671">
            <v>0.14165738300711325</v>
          </cell>
          <cell r="U671" t="str">
            <v>2003KY</v>
          </cell>
          <cell r="V671">
            <v>4.9184704000000003E-2</v>
          </cell>
          <cell r="W671">
            <v>3.7321891000000003E-2</v>
          </cell>
          <cell r="X671">
            <v>0.11991215400000001</v>
          </cell>
          <cell r="Y671">
            <v>0.45018075899999999</v>
          </cell>
          <cell r="Z671">
            <v>0.34340049099999997</v>
          </cell>
          <cell r="AB671" t="str">
            <v>2003KY</v>
          </cell>
          <cell r="AC671">
            <v>0</v>
          </cell>
          <cell r="AD671">
            <v>0</v>
          </cell>
          <cell r="AE671">
            <v>0.05</v>
          </cell>
          <cell r="AF671">
            <v>0.95</v>
          </cell>
        </row>
        <row r="672">
          <cell r="B672" t="str">
            <v>2003LA</v>
          </cell>
          <cell r="C672">
            <v>8.7696493950327165E-2</v>
          </cell>
          <cell r="D672">
            <v>6.4637521135916851E-2</v>
          </cell>
          <cell r="E672">
            <v>0.14461730665558523</v>
          </cell>
          <cell r="F672">
            <v>0.10160244529023774</v>
          </cell>
          <cell r="G672">
            <v>0.59641803499629376</v>
          </cell>
          <cell r="H672">
            <v>5.0281979716392446E-3</v>
          </cell>
          <cell r="J672" t="str">
            <v>2003LA</v>
          </cell>
          <cell r="K672">
            <v>0.25896465834812099</v>
          </cell>
          <cell r="L672">
            <v>0.59641803499629376</v>
          </cell>
          <cell r="M672">
            <v>0.14461730665558523</v>
          </cell>
          <cell r="U672" t="str">
            <v>2003LA</v>
          </cell>
          <cell r="V672">
            <v>0.53551704700000002</v>
          </cell>
          <cell r="W672">
            <v>2.0437250000000001E-2</v>
          </cell>
          <cell r="X672">
            <v>0.12819729499999999</v>
          </cell>
          <cell r="Y672">
            <v>9.8005903000000005E-2</v>
          </cell>
          <cell r="Z672">
            <v>0.21784250499999999</v>
          </cell>
          <cell r="AB672" t="str">
            <v>2003LA</v>
          </cell>
          <cell r="AC672">
            <v>0</v>
          </cell>
          <cell r="AD672">
            <v>0</v>
          </cell>
          <cell r="AE672">
            <v>0.6</v>
          </cell>
          <cell r="AF672">
            <v>0.4</v>
          </cell>
        </row>
        <row r="673">
          <cell r="B673" t="str">
            <v>2003ME</v>
          </cell>
          <cell r="C673">
            <v>9.3713015315557757E-2</v>
          </cell>
          <cell r="D673">
            <v>0.17210096338216258</v>
          </cell>
          <cell r="E673">
            <v>0.44837154081607639</v>
          </cell>
          <cell r="F673">
            <v>0.19633313267932656</v>
          </cell>
          <cell r="G673">
            <v>7.0076626899074845E-2</v>
          </cell>
          <cell r="H673">
            <v>1.9404720907801824E-2</v>
          </cell>
          <cell r="J673" t="str">
            <v>2003ME</v>
          </cell>
          <cell r="K673">
            <v>0.48155183228484877</v>
          </cell>
          <cell r="L673">
            <v>7.0076626899074845E-2</v>
          </cell>
          <cell r="M673">
            <v>0.44837154081607639</v>
          </cell>
          <cell r="U673" t="str">
            <v>2003ME</v>
          </cell>
          <cell r="V673">
            <v>0.72920202000000001</v>
          </cell>
          <cell r="W673">
            <v>1.1915111000000001E-2</v>
          </cell>
          <cell r="X673">
            <v>7.4740241999999998E-2</v>
          </cell>
          <cell r="Y673">
            <v>5.7138373999999999E-2</v>
          </cell>
          <cell r="Z673">
            <v>0.12700425300000001</v>
          </cell>
          <cell r="AB673" t="str">
            <v>2003ME</v>
          </cell>
          <cell r="AC673">
            <v>0</v>
          </cell>
          <cell r="AD673">
            <v>0</v>
          </cell>
          <cell r="AE673">
            <v>0.05</v>
          </cell>
          <cell r="AF673">
            <v>0.95</v>
          </cell>
        </row>
        <row r="674">
          <cell r="B674" t="str">
            <v>2003MD</v>
          </cell>
          <cell r="C674">
            <v>7.6488535055593554E-2</v>
          </cell>
          <cell r="D674">
            <v>0.15472472257238745</v>
          </cell>
          <cell r="E674">
            <v>0.44380834258126728</v>
          </cell>
          <cell r="F674">
            <v>0.22861605738914034</v>
          </cell>
          <cell r="G674">
            <v>6.5960402236453913E-2</v>
          </cell>
          <cell r="H674">
            <v>3.0401940165157418E-2</v>
          </cell>
          <cell r="J674" t="str">
            <v>2003MD</v>
          </cell>
          <cell r="K674">
            <v>0.49023125518227884</v>
          </cell>
          <cell r="L674">
            <v>6.5960402236453913E-2</v>
          </cell>
          <cell r="M674">
            <v>0.44380834258126728</v>
          </cell>
          <cell r="U674" t="str">
            <v>2003MD</v>
          </cell>
          <cell r="V674">
            <v>0.21140679400000001</v>
          </cell>
          <cell r="W674">
            <v>3.7602905999999998E-2</v>
          </cell>
          <cell r="X674">
            <v>0.214504853</v>
          </cell>
          <cell r="Y674">
            <v>0.15671048400000001</v>
          </cell>
          <cell r="Z674">
            <v>0.37977496300000002</v>
          </cell>
          <cell r="AB674" t="str">
            <v>2003MD</v>
          </cell>
          <cell r="AC674">
            <v>0</v>
          </cell>
          <cell r="AD674">
            <v>0</v>
          </cell>
          <cell r="AE674">
            <v>0.05</v>
          </cell>
          <cell r="AF674">
            <v>0.95</v>
          </cell>
        </row>
        <row r="675">
          <cell r="B675" t="str">
            <v>2003MA</v>
          </cell>
          <cell r="C675">
            <v>6.1305440163427552E-2</v>
          </cell>
          <cell r="D675">
            <v>0.14874705508142777</v>
          </cell>
          <cell r="E675">
            <v>0.45216403673004657</v>
          </cell>
          <cell r="F675">
            <v>0.23617268276189021</v>
          </cell>
          <cell r="G675">
            <v>7.3497640935872632E-2</v>
          </cell>
          <cell r="H675">
            <v>2.8113144327335336E-2</v>
          </cell>
          <cell r="J675" t="str">
            <v>2003MA</v>
          </cell>
          <cell r="K675">
            <v>0.4743383223340808</v>
          </cell>
          <cell r="L675">
            <v>7.3497640935872632E-2</v>
          </cell>
          <cell r="M675">
            <v>0.45216403673004657</v>
          </cell>
          <cell r="U675" t="str">
            <v>2003MA</v>
          </cell>
          <cell r="V675">
            <v>0.31419575799999999</v>
          </cell>
          <cell r="W675">
            <v>3.0175387000000001E-2</v>
          </cell>
          <cell r="X675">
            <v>0.18928197099999999</v>
          </cell>
          <cell r="Y675">
            <v>0.14470469499999999</v>
          </cell>
          <cell r="Z675">
            <v>0.32164218900000002</v>
          </cell>
          <cell r="AB675" t="str">
            <v>2003MA</v>
          </cell>
          <cell r="AC675">
            <v>0</v>
          </cell>
          <cell r="AD675">
            <v>0</v>
          </cell>
          <cell r="AE675">
            <v>0.05</v>
          </cell>
          <cell r="AF675">
            <v>0.95</v>
          </cell>
        </row>
        <row r="676">
          <cell r="B676" t="str">
            <v>2003MI</v>
          </cell>
          <cell r="C676">
            <v>0.21592740095911189</v>
          </cell>
          <cell r="D676">
            <v>0.33044604004991018</v>
          </cell>
          <cell r="E676">
            <v>5.8998863632555826E-2</v>
          </cell>
          <cell r="F676">
            <v>0.32074430847532459</v>
          </cell>
          <cell r="G676">
            <v>3.4929675483950956E-2</v>
          </cell>
          <cell r="H676">
            <v>3.8953711399146676E-2</v>
          </cell>
          <cell r="J676" t="str">
            <v>2003MI</v>
          </cell>
          <cell r="K676">
            <v>0.90607146088349322</v>
          </cell>
          <cell r="L676">
            <v>3.4929675483950956E-2</v>
          </cell>
          <cell r="M676">
            <v>5.8998863632555826E-2</v>
          </cell>
          <cell r="U676" t="str">
            <v>2003MI</v>
          </cell>
          <cell r="V676">
            <v>4.5127237000000001E-2</v>
          </cell>
          <cell r="W676">
            <v>5.0500046999999999E-2</v>
          </cell>
          <cell r="X676">
            <v>0.254352099</v>
          </cell>
          <cell r="Y676">
            <v>0.17319266699999999</v>
          </cell>
          <cell r="Z676">
            <v>0.47682794899999997</v>
          </cell>
          <cell r="AB676" t="str">
            <v>2003MI</v>
          </cell>
          <cell r="AC676">
            <v>0</v>
          </cell>
          <cell r="AD676">
            <v>0</v>
          </cell>
          <cell r="AE676">
            <v>0.02</v>
          </cell>
          <cell r="AF676">
            <v>0.98</v>
          </cell>
        </row>
        <row r="677">
          <cell r="B677" t="str">
            <v>2003MN</v>
          </cell>
          <cell r="C677">
            <v>0.11559741536790068</v>
          </cell>
          <cell r="D677">
            <v>0.23915415867765383</v>
          </cell>
          <cell r="E677">
            <v>0.10052931481156221</v>
          </cell>
          <cell r="F677">
            <v>0.43822851849088174</v>
          </cell>
          <cell r="G677">
            <v>5.9517355535203494E-2</v>
          </cell>
          <cell r="H677">
            <v>4.697323711679801E-2</v>
          </cell>
          <cell r="J677" t="str">
            <v>2003MN</v>
          </cell>
          <cell r="K677">
            <v>0.83995332965323433</v>
          </cell>
          <cell r="L677">
            <v>5.9517355535203494E-2</v>
          </cell>
          <cell r="M677">
            <v>0.10052931481156221</v>
          </cell>
          <cell r="U677" t="str">
            <v>2003MN</v>
          </cell>
          <cell r="V677">
            <v>1.5145339000000001E-2</v>
          </cell>
          <cell r="W677">
            <v>5.1986831999999997E-2</v>
          </cell>
          <cell r="X677">
            <v>0.262445557</v>
          </cell>
          <cell r="Y677">
            <v>0.17896024199999999</v>
          </cell>
          <cell r="Z677">
            <v>0.49146202900000002</v>
          </cell>
          <cell r="AB677" t="str">
            <v>2003MN</v>
          </cell>
          <cell r="AC677">
            <v>0</v>
          </cell>
          <cell r="AD677">
            <v>0</v>
          </cell>
          <cell r="AE677">
            <v>0</v>
          </cell>
          <cell r="AF677">
            <v>1</v>
          </cell>
        </row>
        <row r="678">
          <cell r="B678" t="str">
            <v>2003MS</v>
          </cell>
          <cell r="C678">
            <v>0.10416334210611014</v>
          </cell>
          <cell r="D678">
            <v>7.2829933678422776E-2</v>
          </cell>
          <cell r="E678">
            <v>0.14929269604113307</v>
          </cell>
          <cell r="F678">
            <v>0.10019278631941281</v>
          </cell>
          <cell r="G678">
            <v>0.56868226150598644</v>
          </cell>
          <cell r="H678">
            <v>4.838980348934833E-3</v>
          </cell>
          <cell r="J678" t="str">
            <v>2003MS</v>
          </cell>
          <cell r="K678">
            <v>0.28202504245288051</v>
          </cell>
          <cell r="L678">
            <v>0.56868226150598644</v>
          </cell>
          <cell r="M678">
            <v>0.14929269604113307</v>
          </cell>
          <cell r="U678" t="str">
            <v>2003MS</v>
          </cell>
          <cell r="V678">
            <v>2.1100625000000001E-2</v>
          </cell>
          <cell r="W678">
            <v>3.6418512E-2</v>
          </cell>
          <cell r="X678">
            <v>6.0129593000000002E-2</v>
          </cell>
          <cell r="Y678">
            <v>0.574366987</v>
          </cell>
          <cell r="Z678">
            <v>0.30798428300000003</v>
          </cell>
          <cell r="AB678" t="str">
            <v>2003MS</v>
          </cell>
          <cell r="AC678">
            <v>0</v>
          </cell>
          <cell r="AD678">
            <v>0</v>
          </cell>
          <cell r="AE678">
            <v>0.6</v>
          </cell>
          <cell r="AF678">
            <v>0.4</v>
          </cell>
        </row>
        <row r="679">
          <cell r="B679" t="str">
            <v>2003MO</v>
          </cell>
          <cell r="C679">
            <v>6.4925479522277466E-2</v>
          </cell>
          <cell r="D679">
            <v>0.18170303563698134</v>
          </cell>
          <cell r="E679">
            <v>0.14337282997597614</v>
          </cell>
          <cell r="F679">
            <v>0.47880340852502545</v>
          </cell>
          <cell r="G679">
            <v>8.4882421727070459E-2</v>
          </cell>
          <cell r="H679">
            <v>4.6312824612669105E-2</v>
          </cell>
          <cell r="J679" t="str">
            <v>2003MO</v>
          </cell>
          <cell r="K679">
            <v>0.77174474829695339</v>
          </cell>
          <cell r="L679">
            <v>8.4882421727070459E-2</v>
          </cell>
          <cell r="M679">
            <v>0.14337282997597614</v>
          </cell>
          <cell r="U679" t="str">
            <v>2003MO</v>
          </cell>
          <cell r="V679">
            <v>2.998994E-2</v>
          </cell>
          <cell r="W679">
            <v>4.5757142000000001E-2</v>
          </cell>
          <cell r="X679">
            <v>0.27926039899999999</v>
          </cell>
          <cell r="Y679">
            <v>0.13775391300000001</v>
          </cell>
          <cell r="Z679">
            <v>0.50723860600000004</v>
          </cell>
          <cell r="AB679" t="str">
            <v>2003MO</v>
          </cell>
          <cell r="AC679">
            <v>0</v>
          </cell>
          <cell r="AD679">
            <v>0</v>
          </cell>
          <cell r="AE679">
            <v>0</v>
          </cell>
          <cell r="AF679">
            <v>1</v>
          </cell>
        </row>
        <row r="680">
          <cell r="B680" t="str">
            <v>2003MT</v>
          </cell>
          <cell r="C680">
            <v>0.35597781750083307</v>
          </cell>
          <cell r="D680">
            <v>0.25924389885240834</v>
          </cell>
          <cell r="E680">
            <v>4.3797789125912777E-2</v>
          </cell>
          <cell r="F680">
            <v>0.25058080537727367</v>
          </cell>
          <cell r="G680">
            <v>2.5930034358127463E-2</v>
          </cell>
          <cell r="H680">
            <v>6.4469654785444572E-2</v>
          </cell>
          <cell r="J680" t="str">
            <v>2003MT</v>
          </cell>
          <cell r="K680">
            <v>0.93027217651595973</v>
          </cell>
          <cell r="L680">
            <v>2.5930034358127463E-2</v>
          </cell>
          <cell r="M680">
            <v>4.3797789125912777E-2</v>
          </cell>
          <cell r="U680" t="str">
            <v>2003MT</v>
          </cell>
          <cell r="V680">
            <v>6.0520032000000001E-2</v>
          </cell>
          <cell r="W680">
            <v>5.1214043000000001E-2</v>
          </cell>
          <cell r="X680">
            <v>0.24859647000000001</v>
          </cell>
          <cell r="Y680">
            <v>0.16530719099999999</v>
          </cell>
          <cell r="Z680">
            <v>0.47436226399999998</v>
          </cell>
          <cell r="AB680" t="str">
            <v>2003MT</v>
          </cell>
          <cell r="AC680">
            <v>0</v>
          </cell>
          <cell r="AD680">
            <v>0</v>
          </cell>
          <cell r="AE680">
            <v>0.6</v>
          </cell>
          <cell r="AF680">
            <v>0.4</v>
          </cell>
        </row>
        <row r="681">
          <cell r="B681" t="str">
            <v>2003NE</v>
          </cell>
          <cell r="C681">
            <v>0.21260954807532403</v>
          </cell>
          <cell r="D681">
            <v>0.30324255962083846</v>
          </cell>
          <cell r="E681">
            <v>6.1277054134417128E-2</v>
          </cell>
          <cell r="F681">
            <v>0.34696077142199511</v>
          </cell>
          <cell r="G681">
            <v>3.6278454935301678E-2</v>
          </cell>
          <cell r="H681">
            <v>3.9631611812123581E-2</v>
          </cell>
          <cell r="J681" t="str">
            <v>2003NE</v>
          </cell>
          <cell r="K681">
            <v>0.90244449093028123</v>
          </cell>
          <cell r="L681">
            <v>3.6278454935301678E-2</v>
          </cell>
          <cell r="M681">
            <v>6.1277054134417128E-2</v>
          </cell>
          <cell r="U681" t="str">
            <v>2003NE</v>
          </cell>
          <cell r="V681">
            <v>3.0063880000000001E-2</v>
          </cell>
          <cell r="W681">
            <v>4.5295173000000001E-2</v>
          </cell>
          <cell r="X681">
            <v>0.27751980599999998</v>
          </cell>
          <cell r="Y681">
            <v>0.147715386</v>
          </cell>
          <cell r="Z681">
            <v>0.49940575500000001</v>
          </cell>
          <cell r="AB681" t="str">
            <v>2003NE</v>
          </cell>
          <cell r="AC681">
            <v>0</v>
          </cell>
          <cell r="AD681">
            <v>0</v>
          </cell>
          <cell r="AE681">
            <v>0.02</v>
          </cell>
          <cell r="AF681">
            <v>0.98</v>
          </cell>
        </row>
        <row r="682">
          <cell r="B682" t="str">
            <v>2003NV</v>
          </cell>
          <cell r="C682">
            <v>0.64210148526116029</v>
          </cell>
          <cell r="D682">
            <v>0.238399883587257</v>
          </cell>
          <cell r="E682">
            <v>4.1594375177217181E-3</v>
          </cell>
          <cell r="F682">
            <v>0.10819864870890922</v>
          </cell>
          <cell r="G682">
            <v>2.4625525602432058E-3</v>
          </cell>
          <cell r="H682">
            <v>4.677992364708553E-3</v>
          </cell>
          <cell r="J682" t="str">
            <v>2003NV</v>
          </cell>
          <cell r="K682">
            <v>0.99337800992203507</v>
          </cell>
          <cell r="L682">
            <v>2.4625525602432058E-3</v>
          </cell>
          <cell r="M682">
            <v>4.1594375177217181E-3</v>
          </cell>
          <cell r="U682" t="str">
            <v>2003NV</v>
          </cell>
          <cell r="V682">
            <v>0.35004114600000003</v>
          </cell>
          <cell r="W682">
            <v>2.4048478000000002E-2</v>
          </cell>
          <cell r="X682">
            <v>3.5747737000000002E-2</v>
          </cell>
          <cell r="Y682">
            <v>0.38867539400000001</v>
          </cell>
          <cell r="Z682">
            <v>0.20148724500000001</v>
          </cell>
          <cell r="AB682" t="str">
            <v>2003NV</v>
          </cell>
          <cell r="AC682">
            <v>0</v>
          </cell>
          <cell r="AD682">
            <v>0</v>
          </cell>
          <cell r="AE682">
            <v>0</v>
          </cell>
          <cell r="AF682">
            <v>1</v>
          </cell>
        </row>
        <row r="683">
          <cell r="B683" t="str">
            <v>2003NH</v>
          </cell>
          <cell r="C683">
            <v>9.4573445198850817E-2</v>
          </cell>
          <cell r="D683">
            <v>0.16340842518862655</v>
          </cell>
          <cell r="E683">
            <v>0.44298025846087286</v>
          </cell>
          <cell r="F683">
            <v>0.20852129702854144</v>
          </cell>
          <cell r="G683">
            <v>6.52134304627775E-2</v>
          </cell>
          <cell r="H683">
            <v>2.5303143660330828E-2</v>
          </cell>
          <cell r="J683" t="str">
            <v>2003NH</v>
          </cell>
          <cell r="K683">
            <v>0.49180631107634964</v>
          </cell>
          <cell r="L683">
            <v>6.52134304627775E-2</v>
          </cell>
          <cell r="M683">
            <v>0.44298025846087286</v>
          </cell>
          <cell r="U683" t="str">
            <v>2003NH</v>
          </cell>
          <cell r="V683">
            <v>0.56759962799999997</v>
          </cell>
          <cell r="W683">
            <v>1.9025615999999999E-2</v>
          </cell>
          <cell r="X683">
            <v>0.119342503</v>
          </cell>
          <cell r="Y683">
            <v>9.1236478999999995E-2</v>
          </cell>
          <cell r="Z683">
            <v>0.20279577500000001</v>
          </cell>
          <cell r="AB683" t="str">
            <v>2003NH</v>
          </cell>
          <cell r="AC683">
            <v>0</v>
          </cell>
          <cell r="AD683">
            <v>0</v>
          </cell>
          <cell r="AE683">
            <v>0.05</v>
          </cell>
          <cell r="AF683">
            <v>0.95</v>
          </cell>
        </row>
        <row r="684">
          <cell r="B684" t="str">
            <v>2003NJ</v>
          </cell>
          <cell r="C684">
            <v>5.8003576611346738E-2</v>
          </cell>
          <cell r="D684">
            <v>0.13897871355240557</v>
          </cell>
          <cell r="E684">
            <v>0.45397029129837874</v>
          </cell>
          <cell r="F684">
            <v>0.24471653627570109</v>
          </cell>
          <cell r="G684">
            <v>7.5126969581826603E-2</v>
          </cell>
          <cell r="H684">
            <v>2.9203912680341212E-2</v>
          </cell>
          <cell r="J684" t="str">
            <v>2003NJ</v>
          </cell>
          <cell r="K684">
            <v>0.47090273911979463</v>
          </cell>
          <cell r="L684">
            <v>7.5126969581826603E-2</v>
          </cell>
          <cell r="M684">
            <v>0.45397029129837874</v>
          </cell>
          <cell r="U684" t="str">
            <v>2003NJ</v>
          </cell>
          <cell r="V684">
            <v>0.30808167400000003</v>
          </cell>
          <cell r="W684">
            <v>3.3011736E-2</v>
          </cell>
          <cell r="X684">
            <v>0.18818818500000001</v>
          </cell>
          <cell r="Y684">
            <v>0.137437002</v>
          </cell>
          <cell r="Z684">
            <v>0.333281404</v>
          </cell>
          <cell r="AB684" t="str">
            <v>2003NJ</v>
          </cell>
          <cell r="AC684">
            <v>0</v>
          </cell>
          <cell r="AD684">
            <v>0</v>
          </cell>
          <cell r="AE684">
            <v>0.05</v>
          </cell>
          <cell r="AF684">
            <v>0.95</v>
          </cell>
        </row>
        <row r="685">
          <cell r="B685" t="str">
            <v>2003NM</v>
          </cell>
          <cell r="C685">
            <v>0.61184589317007076</v>
          </cell>
          <cell r="D685">
            <v>0.19452029294367307</v>
          </cell>
          <cell r="E685">
            <v>9.8952813124742175E-2</v>
          </cell>
          <cell r="F685">
            <v>9.4174237847419268E-2</v>
          </cell>
          <cell r="G685">
            <v>0</v>
          </cell>
          <cell r="H685">
            <v>5.0676291409465751E-4</v>
          </cell>
          <cell r="J685" t="str">
            <v>2003NM</v>
          </cell>
          <cell r="K685">
            <v>0.90104718687525787</v>
          </cell>
          <cell r="L685">
            <v>0</v>
          </cell>
          <cell r="M685">
            <v>9.8952813124742175E-2</v>
          </cell>
          <cell r="U685" t="str">
            <v>2003NM</v>
          </cell>
          <cell r="V685">
            <v>0.91655606099999998</v>
          </cell>
          <cell r="W685">
            <v>3.6715329999999998E-3</v>
          </cell>
          <cell r="X685">
            <v>2.3030526999999999E-2</v>
          </cell>
          <cell r="Y685">
            <v>1.7606671000000001E-2</v>
          </cell>
          <cell r="Z685">
            <v>3.9135206999999998E-2</v>
          </cell>
          <cell r="AB685" t="str">
            <v>2003NM</v>
          </cell>
          <cell r="AC685">
            <v>0</v>
          </cell>
          <cell r="AD685">
            <v>0</v>
          </cell>
          <cell r="AE685">
            <v>0.6</v>
          </cell>
          <cell r="AF685">
            <v>0.4</v>
          </cell>
        </row>
        <row r="686">
          <cell r="B686" t="str">
            <v>2003NY</v>
          </cell>
          <cell r="C686">
            <v>9.8408703041683282E-2</v>
          </cell>
          <cell r="D686">
            <v>0.15954377256245178</v>
          </cell>
          <cell r="E686">
            <v>0.44849165243165579</v>
          </cell>
          <cell r="F686">
            <v>0.20287733376538455</v>
          </cell>
          <cell r="G686">
            <v>7.0184973363303343E-2</v>
          </cell>
          <cell r="H686">
            <v>2.0493564835521279E-2</v>
          </cell>
          <cell r="J686" t="str">
            <v>2003NY</v>
          </cell>
          <cell r="K686">
            <v>0.4813233742050409</v>
          </cell>
          <cell r="L686">
            <v>7.0184973363303343E-2</v>
          </cell>
          <cell r="M686">
            <v>0.44849165243165579</v>
          </cell>
          <cell r="U686" t="str">
            <v>2003NY</v>
          </cell>
          <cell r="V686">
            <v>0.20441514899999999</v>
          </cell>
          <cell r="W686">
            <v>4.1815811000000001E-2</v>
          </cell>
          <cell r="X686">
            <v>0.21220383400000001</v>
          </cell>
          <cell r="Y686">
            <v>0.145168144</v>
          </cell>
          <cell r="Z686">
            <v>0.396397061</v>
          </cell>
          <cell r="AB686" t="str">
            <v>2003NY</v>
          </cell>
          <cell r="AC686">
            <v>0</v>
          </cell>
          <cell r="AD686">
            <v>0</v>
          </cell>
          <cell r="AE686">
            <v>0.05</v>
          </cell>
          <cell r="AF686">
            <v>0.95</v>
          </cell>
        </row>
        <row r="687">
          <cell r="B687" t="str">
            <v>2003NC</v>
          </cell>
          <cell r="C687">
            <v>6.168821577504751E-2</v>
          </cell>
          <cell r="D687">
            <v>0.11278426418396881</v>
          </cell>
          <cell r="E687">
            <v>0.15395779991170949</v>
          </cell>
          <cell r="F687">
            <v>0.11589101949636353</v>
          </cell>
          <cell r="G687">
            <v>0.54100750469043157</v>
          </cell>
          <cell r="H687">
            <v>1.4671195942479084E-2</v>
          </cell>
          <cell r="J687" t="str">
            <v>2003NC</v>
          </cell>
          <cell r="K687">
            <v>0.30503469539785888</v>
          </cell>
          <cell r="L687">
            <v>0.54100750469043157</v>
          </cell>
          <cell r="M687">
            <v>0.15395779991170949</v>
          </cell>
          <cell r="U687" t="str">
            <v>2003NC</v>
          </cell>
          <cell r="V687">
            <v>2.4742549999999999E-3</v>
          </cell>
          <cell r="W687">
            <v>3.7123251000000003E-2</v>
          </cell>
          <cell r="X687">
            <v>6.1645423999999997E-2</v>
          </cell>
          <cell r="Y687">
            <v>0.58464508599999998</v>
          </cell>
          <cell r="Z687">
            <v>0.31411198400000001</v>
          </cell>
          <cell r="AB687" t="str">
            <v>2003NC</v>
          </cell>
          <cell r="AC687">
            <v>0</v>
          </cell>
          <cell r="AD687">
            <v>0</v>
          </cell>
          <cell r="AE687">
            <v>0.41899999999999998</v>
          </cell>
          <cell r="AF687">
            <v>0.58099999999999996</v>
          </cell>
        </row>
        <row r="688">
          <cell r="B688" t="str">
            <v>2003ND</v>
          </cell>
          <cell r="C688">
            <v>0.1196932700797023</v>
          </cell>
          <cell r="D688">
            <v>0.21866711268457967</v>
          </cell>
          <cell r="E688">
            <v>0.10978970169096619</v>
          </cell>
          <cell r="F688">
            <v>0.448028418369537</v>
          </cell>
          <cell r="G688">
            <v>6.499987314042277E-2</v>
          </cell>
          <cell r="H688">
            <v>3.8821624034792085E-2</v>
          </cell>
          <cell r="J688" t="str">
            <v>2003ND</v>
          </cell>
          <cell r="K688">
            <v>0.82521042516861098</v>
          </cell>
          <cell r="L688">
            <v>6.499987314042277E-2</v>
          </cell>
          <cell r="M688">
            <v>0.10978970169096619</v>
          </cell>
          <cell r="U688" t="str">
            <v>2003ND</v>
          </cell>
          <cell r="V688">
            <v>8.8434773999999994E-2</v>
          </cell>
          <cell r="W688">
            <v>4.7868137999999998E-2</v>
          </cell>
          <cell r="X688">
            <v>0.243186129</v>
          </cell>
          <cell r="Y688">
            <v>0.16647603599999999</v>
          </cell>
          <cell r="Z688">
            <v>0.45403492299999998</v>
          </cell>
          <cell r="AB688" t="str">
            <v>2003ND</v>
          </cell>
          <cell r="AC688">
            <v>0</v>
          </cell>
          <cell r="AD688">
            <v>0</v>
          </cell>
          <cell r="AE688">
            <v>0.02</v>
          </cell>
          <cell r="AF688">
            <v>0.98</v>
          </cell>
        </row>
        <row r="689">
          <cell r="B689" t="str">
            <v>2003OH</v>
          </cell>
          <cell r="C689">
            <v>0.10753833947858983</v>
          </cell>
          <cell r="D689">
            <v>0.22522557822049544</v>
          </cell>
          <cell r="E689">
            <v>0.13589110116557596</v>
          </cell>
          <cell r="F689">
            <v>0.4097570212201273</v>
          </cell>
          <cell r="G689">
            <v>8.0452940491062386E-2</v>
          </cell>
          <cell r="H689">
            <v>4.1135019424149183E-2</v>
          </cell>
          <cell r="J689" t="str">
            <v>2003OH</v>
          </cell>
          <cell r="K689">
            <v>0.78365595834336166</v>
          </cell>
          <cell r="L689">
            <v>8.0452940491062386E-2</v>
          </cell>
          <cell r="M689">
            <v>0.13589110116557596</v>
          </cell>
          <cell r="U689" t="str">
            <v>2003OH</v>
          </cell>
          <cell r="V689">
            <v>6.6338901000000006E-2</v>
          </cell>
          <cell r="W689">
            <v>4.3119113000000001E-2</v>
          </cell>
          <cell r="X689">
            <v>0.26533305600000001</v>
          </cell>
          <cell r="Y689">
            <v>0.15267545299999999</v>
          </cell>
          <cell r="Z689">
            <v>0.47253347699999998</v>
          </cell>
          <cell r="AB689" t="str">
            <v>2003OH</v>
          </cell>
          <cell r="AC689">
            <v>0</v>
          </cell>
          <cell r="AD689">
            <v>0</v>
          </cell>
          <cell r="AE689">
            <v>0</v>
          </cell>
          <cell r="AF689">
            <v>1</v>
          </cell>
        </row>
        <row r="690">
          <cell r="B690" t="str">
            <v>2003OK</v>
          </cell>
          <cell r="C690">
            <v>0.40296958934788546</v>
          </cell>
          <cell r="D690">
            <v>0.22528492954061258</v>
          </cell>
          <cell r="E690">
            <v>6.4896255940651446E-2</v>
          </cell>
          <cell r="F690">
            <v>0.24738177570149189</v>
          </cell>
          <cell r="G690">
            <v>0</v>
          </cell>
          <cell r="H690">
            <v>5.9467449469358676E-2</v>
          </cell>
          <cell r="J690" t="str">
            <v>2003OK</v>
          </cell>
          <cell r="K690">
            <v>0.9351037440593486</v>
          </cell>
          <cell r="L690">
            <v>0</v>
          </cell>
          <cell r="M690">
            <v>6.4896255940651446E-2</v>
          </cell>
          <cell r="U690" t="str">
            <v>2003OK</v>
          </cell>
          <cell r="V690">
            <v>1.2831308E-2</v>
          </cell>
          <cell r="W690">
            <v>3.6793041999999998E-2</v>
          </cell>
          <cell r="X690">
            <v>6.2749109999999997E-2</v>
          </cell>
          <cell r="Y690">
            <v>0.57552135800000004</v>
          </cell>
          <cell r="Z690">
            <v>0.31210518199999998</v>
          </cell>
          <cell r="AB690" t="str">
            <v>2003OK</v>
          </cell>
          <cell r="AC690">
            <v>0</v>
          </cell>
          <cell r="AD690">
            <v>0</v>
          </cell>
          <cell r="AE690">
            <v>0.6</v>
          </cell>
          <cell r="AF690">
            <v>0.4</v>
          </cell>
        </row>
        <row r="691">
          <cell r="B691" t="str">
            <v>2003OR</v>
          </cell>
          <cell r="C691">
            <v>0.43856747008812064</v>
          </cell>
          <cell r="D691">
            <v>0.20958259090942544</v>
          </cell>
          <cell r="E691">
            <v>0</v>
          </cell>
          <cell r="F691">
            <v>0.12862948158709187</v>
          </cell>
          <cell r="G691">
            <v>0.2018533708975031</v>
          </cell>
          <cell r="H691">
            <v>2.1367086517858933E-2</v>
          </cell>
          <cell r="J691" t="str">
            <v>2003OR</v>
          </cell>
          <cell r="K691">
            <v>0.7981466291024969</v>
          </cell>
          <cell r="L691">
            <v>0.2018533708975031</v>
          </cell>
          <cell r="M691">
            <v>0</v>
          </cell>
          <cell r="U691" t="str">
            <v>2003OR</v>
          </cell>
          <cell r="V691">
            <v>0.57640796000000005</v>
          </cell>
          <cell r="W691">
            <v>1.863805E-2</v>
          </cell>
          <cell r="X691">
            <v>0.116911403</v>
          </cell>
          <cell r="Y691">
            <v>8.937792E-2</v>
          </cell>
          <cell r="Z691">
            <v>0.19866466699999999</v>
          </cell>
          <cell r="AB691" t="str">
            <v>2003OR</v>
          </cell>
          <cell r="AC691">
            <v>0</v>
          </cell>
          <cell r="AD691">
            <v>0</v>
          </cell>
          <cell r="AE691">
            <v>0.25</v>
          </cell>
          <cell r="AF691">
            <v>0.75</v>
          </cell>
        </row>
        <row r="692">
          <cell r="B692" t="str">
            <v>2003PA</v>
          </cell>
          <cell r="C692">
            <v>4.9624045569858895E-2</v>
          </cell>
          <cell r="D692">
            <v>0.11712497857538914</v>
          </cell>
          <cell r="E692">
            <v>0.46874549019831585</v>
          </cell>
          <cell r="F692">
            <v>0.25230966018477574</v>
          </cell>
          <cell r="G692">
            <v>8.8454910858433447E-2</v>
          </cell>
          <cell r="H692">
            <v>2.3740914613226898E-2</v>
          </cell>
          <cell r="J692" t="str">
            <v>2003PA</v>
          </cell>
          <cell r="K692">
            <v>0.44279959894325072</v>
          </cell>
          <cell r="L692">
            <v>8.8454910858433447E-2</v>
          </cell>
          <cell r="M692">
            <v>0.46874549019831585</v>
          </cell>
          <cell r="U692" t="str">
            <v>2003PA</v>
          </cell>
          <cell r="V692">
            <v>5.0102499000000002E-2</v>
          </cell>
          <cell r="W692">
            <v>4.9409870000000002E-2</v>
          </cell>
          <cell r="X692">
            <v>0.25392279899999998</v>
          </cell>
          <cell r="Y692">
            <v>0.17504710600000001</v>
          </cell>
          <cell r="Z692">
            <v>0.47151772600000003</v>
          </cell>
          <cell r="AB692" t="str">
            <v>2003PA</v>
          </cell>
          <cell r="AC692">
            <v>0</v>
          </cell>
          <cell r="AD692">
            <v>0</v>
          </cell>
          <cell r="AE692">
            <v>0</v>
          </cell>
          <cell r="AF692">
            <v>1</v>
          </cell>
        </row>
        <row r="693">
          <cell r="B693" t="str">
            <v>2003RI</v>
          </cell>
          <cell r="C693">
            <v>4.2447025005926793E-2</v>
          </cell>
          <cell r="D693">
            <v>0.1190174947032642</v>
          </cell>
          <cell r="E693">
            <v>0.46784468707451643</v>
          </cell>
          <cell r="F693">
            <v>0.25730854976835782</v>
          </cell>
          <cell r="G693">
            <v>8.7642343040085183E-2</v>
          </cell>
          <cell r="H693">
            <v>2.5739900407849584E-2</v>
          </cell>
          <cell r="J693" t="str">
            <v>2003RI</v>
          </cell>
          <cell r="K693">
            <v>0.44451296988539835</v>
          </cell>
          <cell r="L693">
            <v>8.7642343040085183E-2</v>
          </cell>
          <cell r="M693">
            <v>0.46784468707451643</v>
          </cell>
          <cell r="U693" t="str">
            <v>2003RI</v>
          </cell>
          <cell r="V693">
            <v>0.56026879500000004</v>
          </cell>
          <cell r="W693">
            <v>1.9348173E-2</v>
          </cell>
          <cell r="X693">
            <v>0.121365813</v>
          </cell>
          <cell r="Y693">
            <v>9.2783283999999994E-2</v>
          </cell>
          <cell r="Z693">
            <v>0.20623393500000001</v>
          </cell>
          <cell r="AB693" t="str">
            <v>2003RI</v>
          </cell>
          <cell r="AC693">
            <v>0</v>
          </cell>
          <cell r="AD693">
            <v>0</v>
          </cell>
          <cell r="AE693">
            <v>0.05</v>
          </cell>
          <cell r="AF693">
            <v>0.95</v>
          </cell>
        </row>
        <row r="694">
          <cell r="B694" t="str">
            <v>2003SC</v>
          </cell>
          <cell r="C694">
            <v>0.13346180610825578</v>
          </cell>
          <cell r="D694">
            <v>9.0019723091430845E-2</v>
          </cell>
          <cell r="E694">
            <v>0.15451296947775242</v>
          </cell>
          <cell r="F694">
            <v>8.0687406490411034E-2</v>
          </cell>
          <cell r="G694">
            <v>0.53771407690020812</v>
          </cell>
          <cell r="H694">
            <v>3.6040179319418398E-3</v>
          </cell>
          <cell r="J694" t="str">
            <v>2003SC</v>
          </cell>
          <cell r="K694">
            <v>0.30777295362203949</v>
          </cell>
          <cell r="L694">
            <v>0.53771407690020812</v>
          </cell>
          <cell r="M694">
            <v>0.15451296947775242</v>
          </cell>
          <cell r="U694" t="str">
            <v>2003SC</v>
          </cell>
          <cell r="V694">
            <v>6.1629585000000001E-2</v>
          </cell>
          <cell r="W694">
            <v>3.5823032999999997E-2</v>
          </cell>
          <cell r="X694">
            <v>8.6443989999999998E-2</v>
          </cell>
          <cell r="Y694">
            <v>0.50014727299999995</v>
          </cell>
          <cell r="Z694">
            <v>0.31595611899999998</v>
          </cell>
          <cell r="AB694" t="str">
            <v>2003SC</v>
          </cell>
          <cell r="AC694">
            <v>0</v>
          </cell>
          <cell r="AD694">
            <v>0</v>
          </cell>
          <cell r="AE694">
            <v>0.6</v>
          </cell>
          <cell r="AF694">
            <v>0.4</v>
          </cell>
        </row>
        <row r="695">
          <cell r="B695" t="str">
            <v>2003SD</v>
          </cell>
          <cell r="C695">
            <v>0.17608951911561277</v>
          </cell>
          <cell r="D695">
            <v>0.277831368160596</v>
          </cell>
          <cell r="E695">
            <v>7.9800561964795444E-2</v>
          </cell>
          <cell r="F695">
            <v>0.37802114842972712</v>
          </cell>
          <cell r="G695">
            <v>4.724510882492864E-2</v>
          </cell>
          <cell r="H695">
            <v>4.1012293504340026E-2</v>
          </cell>
          <cell r="J695" t="str">
            <v>2003SD</v>
          </cell>
          <cell r="K695">
            <v>0.87295432921027594</v>
          </cell>
          <cell r="L695">
            <v>4.724510882492864E-2</v>
          </cell>
          <cell r="M695">
            <v>7.9800561964795444E-2</v>
          </cell>
          <cell r="U695" t="str">
            <v>2003SD</v>
          </cell>
          <cell r="V695">
            <v>3.3046748000000001E-2</v>
          </cell>
          <cell r="W695">
            <v>5.1157264000000001E-2</v>
          </cell>
          <cell r="X695">
            <v>0.25755016600000002</v>
          </cell>
          <cell r="Y695">
            <v>0.17532273200000001</v>
          </cell>
          <cell r="Z695">
            <v>0.48292308900000003</v>
          </cell>
          <cell r="AB695" t="str">
            <v>2003SD</v>
          </cell>
          <cell r="AC695">
            <v>0</v>
          </cell>
          <cell r="AD695">
            <v>0</v>
          </cell>
          <cell r="AE695">
            <v>0.02</v>
          </cell>
          <cell r="AF695">
            <v>0.98</v>
          </cell>
        </row>
        <row r="696">
          <cell r="B696" t="str">
            <v>2003TN</v>
          </cell>
          <cell r="C696">
            <v>4.0519949592449485E-2</v>
          </cell>
          <cell r="D696">
            <v>8.9664149461423162E-2</v>
          </cell>
          <cell r="E696">
            <v>0.14551684926860037</v>
          </cell>
          <cell r="F696">
            <v>0.1170185785979804</v>
          </cell>
          <cell r="G696">
            <v>0.59108168584929244</v>
          </cell>
          <cell r="H696">
            <v>1.6198787230254148E-2</v>
          </cell>
          <cell r="J696" t="str">
            <v>2003TN</v>
          </cell>
          <cell r="K696">
            <v>0.26340146488210725</v>
          </cell>
          <cell r="L696">
            <v>0.59108168584929244</v>
          </cell>
          <cell r="M696">
            <v>0.14551684926860037</v>
          </cell>
          <cell r="U696" t="str">
            <v>2003TN</v>
          </cell>
          <cell r="V696">
            <v>0.102875089</v>
          </cell>
          <cell r="W696">
            <v>3.5402429999999999E-2</v>
          </cell>
          <cell r="X696">
            <v>0.119077104</v>
          </cell>
          <cell r="Y696">
            <v>0.41436515099999999</v>
          </cell>
          <cell r="Z696">
            <v>0.32828022600000001</v>
          </cell>
          <cell r="AB696" t="str">
            <v>2003TN</v>
          </cell>
          <cell r="AC696">
            <v>0</v>
          </cell>
          <cell r="AD696">
            <v>0</v>
          </cell>
          <cell r="AE696">
            <v>0.05</v>
          </cell>
          <cell r="AF696">
            <v>0.95</v>
          </cell>
        </row>
        <row r="697">
          <cell r="B697" t="str">
            <v>2003TX</v>
          </cell>
          <cell r="C697">
            <v>0.53305655520056971</v>
          </cell>
          <cell r="D697">
            <v>0.24233312613196878</v>
          </cell>
          <cell r="E697">
            <v>7.9791980793249173E-2</v>
          </cell>
          <cell r="F697">
            <v>0.1278405091499755</v>
          </cell>
          <cell r="G697">
            <v>0</v>
          </cell>
          <cell r="H697">
            <v>1.6977828724236681E-2</v>
          </cell>
          <cell r="J697" t="str">
            <v>2003TX</v>
          </cell>
          <cell r="K697">
            <v>0.92020801920675077</v>
          </cell>
          <cell r="L697">
            <v>0</v>
          </cell>
          <cell r="M697">
            <v>7.9791980793249173E-2</v>
          </cell>
          <cell r="U697" t="str">
            <v>2003TX</v>
          </cell>
          <cell r="V697">
            <v>6.9632535999999995E-2</v>
          </cell>
          <cell r="W697">
            <v>3.4700662E-2</v>
          </cell>
          <cell r="X697">
            <v>5.9917572000000002E-2</v>
          </cell>
          <cell r="Y697">
            <v>0.54104196599999999</v>
          </cell>
          <cell r="Z697">
            <v>0.29470726400000002</v>
          </cell>
          <cell r="AB697" t="str">
            <v>2003TX</v>
          </cell>
          <cell r="AC697">
            <v>0</v>
          </cell>
          <cell r="AD697">
            <v>0</v>
          </cell>
          <cell r="AE697">
            <v>0.12</v>
          </cell>
          <cell r="AF697">
            <v>0.88</v>
          </cell>
        </row>
        <row r="698">
          <cell r="B698" t="str">
            <v>2003UT</v>
          </cell>
          <cell r="C698">
            <v>0.51165623152884221</v>
          </cell>
          <cell r="D698">
            <v>0.26394677259150623</v>
          </cell>
          <cell r="E698">
            <v>1.3999177703951423E-2</v>
          </cell>
          <cell r="F698">
            <v>0.17036034814732054</v>
          </cell>
          <cell r="G698">
            <v>8.2880703819413898E-3</v>
          </cell>
          <cell r="H698">
            <v>3.1749399646438282E-2</v>
          </cell>
          <cell r="J698" t="str">
            <v>2003UT</v>
          </cell>
          <cell r="K698">
            <v>0.97771275191410723</v>
          </cell>
          <cell r="L698">
            <v>8.2880703819413898E-3</v>
          </cell>
          <cell r="M698">
            <v>1.3999177703951423E-2</v>
          </cell>
          <cell r="U698" t="str">
            <v>2003UT</v>
          </cell>
          <cell r="V698">
            <v>8.6456620000000001E-3</v>
          </cell>
          <cell r="W698">
            <v>5.5424775000000003E-2</v>
          </cell>
          <cell r="X698">
            <v>0.260824848</v>
          </cell>
          <cell r="Y698">
            <v>0.16982515300000001</v>
          </cell>
          <cell r="Z698">
            <v>0.50527956200000002</v>
          </cell>
          <cell r="AB698" t="str">
            <v>2003UT</v>
          </cell>
          <cell r="AC698">
            <v>0</v>
          </cell>
          <cell r="AD698">
            <v>0</v>
          </cell>
          <cell r="AE698">
            <v>0.6</v>
          </cell>
          <cell r="AF698">
            <v>0.4</v>
          </cell>
        </row>
        <row r="699">
          <cell r="B699" t="str">
            <v>2003VT</v>
          </cell>
          <cell r="C699">
            <v>9.9973781354903396E-2</v>
          </cell>
          <cell r="D699">
            <v>0.17387691112967565</v>
          </cell>
          <cell r="E699">
            <v>0.44423932842492886</v>
          </cell>
          <cell r="F699">
            <v>0.19448861844630186</v>
          </cell>
          <cell r="G699">
            <v>6.6349172232328182E-2</v>
          </cell>
          <cell r="H699">
            <v>2.1072188411862088E-2</v>
          </cell>
          <cell r="J699" t="str">
            <v>2003VT</v>
          </cell>
          <cell r="K699">
            <v>0.48941149934274297</v>
          </cell>
          <cell r="L699">
            <v>6.6349172232328182E-2</v>
          </cell>
          <cell r="M699">
            <v>0.44423932842492886</v>
          </cell>
          <cell r="U699" t="str">
            <v>2003VT</v>
          </cell>
          <cell r="V699">
            <v>0.86037974299999997</v>
          </cell>
          <cell r="W699">
            <v>6.1432910000000004E-3</v>
          </cell>
          <cell r="X699">
            <v>3.8535191000000003E-2</v>
          </cell>
          <cell r="Y699">
            <v>2.9459874E-2</v>
          </cell>
          <cell r="Z699">
            <v>6.5481899999999996E-2</v>
          </cell>
          <cell r="AB699" t="str">
            <v>2003VT</v>
          </cell>
          <cell r="AC699">
            <v>0</v>
          </cell>
          <cell r="AD699">
            <v>0</v>
          </cell>
          <cell r="AE699">
            <v>0.05</v>
          </cell>
          <cell r="AF699">
            <v>0.95</v>
          </cell>
        </row>
        <row r="700">
          <cell r="B700" t="str">
            <v>2003VA</v>
          </cell>
          <cell r="C700">
            <v>4.4953509549794296E-2</v>
          </cell>
          <cell r="D700">
            <v>9.339670802378576E-2</v>
          </cell>
          <cell r="E700">
            <v>0.14844092890155638</v>
          </cell>
          <cell r="F700">
            <v>0.12331550684410268</v>
          </cell>
          <cell r="G700">
            <v>0.5737351926100378</v>
          </cell>
          <cell r="H700">
            <v>1.6158154070723133E-2</v>
          </cell>
          <cell r="J700" t="str">
            <v>2003VA</v>
          </cell>
          <cell r="K700">
            <v>0.27782387848840584</v>
          </cell>
          <cell r="L700">
            <v>0.5737351926100378</v>
          </cell>
          <cell r="M700">
            <v>0.14844092890155638</v>
          </cell>
          <cell r="U700" t="str">
            <v>2003VA</v>
          </cell>
          <cell r="V700">
            <v>3.3934871999999998E-2</v>
          </cell>
          <cell r="W700">
            <v>3.6244844999999998E-2</v>
          </cell>
          <cell r="X700">
            <v>6.8933026999999994E-2</v>
          </cell>
          <cell r="Y700">
            <v>0.550040046</v>
          </cell>
          <cell r="Z700">
            <v>0.31084721100000001</v>
          </cell>
          <cell r="AB700" t="str">
            <v>2003VA</v>
          </cell>
          <cell r="AC700">
            <v>0</v>
          </cell>
          <cell r="AD700">
            <v>0</v>
          </cell>
          <cell r="AE700">
            <v>0.05</v>
          </cell>
          <cell r="AF700">
            <v>0.95</v>
          </cell>
        </row>
        <row r="701">
          <cell r="B701" t="str">
            <v>2003WA</v>
          </cell>
          <cell r="C701">
            <v>0.48742079910802349</v>
          </cell>
          <cell r="D701">
            <v>0.21961274491816118</v>
          </cell>
          <cell r="E701">
            <v>0</v>
          </cell>
          <cell r="F701">
            <v>0.11254281869932067</v>
          </cell>
          <cell r="G701">
            <v>0.16627589127589129</v>
          </cell>
          <cell r="H701">
            <v>1.4147745998603438E-2</v>
          </cell>
          <cell r="J701" t="str">
            <v>2003WA</v>
          </cell>
          <cell r="K701">
            <v>0.83372410872410874</v>
          </cell>
          <cell r="L701">
            <v>0.16627589127589129</v>
          </cell>
          <cell r="M701">
            <v>0</v>
          </cell>
          <cell r="U701" t="str">
            <v>2003WA</v>
          </cell>
          <cell r="V701">
            <v>0.37353494700000001</v>
          </cell>
          <cell r="W701">
            <v>3.1263627000000002E-2</v>
          </cell>
          <cell r="X701">
            <v>0.168896926</v>
          </cell>
          <cell r="Y701">
            <v>0.119853577</v>
          </cell>
          <cell r="Z701">
            <v>0.30645092299999999</v>
          </cell>
          <cell r="AB701" t="str">
            <v>2003WA</v>
          </cell>
          <cell r="AC701">
            <v>0</v>
          </cell>
          <cell r="AD701">
            <v>0</v>
          </cell>
          <cell r="AE701">
            <v>0.12</v>
          </cell>
          <cell r="AF701">
            <v>0.88</v>
          </cell>
        </row>
        <row r="702">
          <cell r="B702" t="str">
            <v>2003WV</v>
          </cell>
          <cell r="C702">
            <v>6.8751812683186322E-2</v>
          </cell>
          <cell r="D702">
            <v>0.15888641455628993</v>
          </cell>
          <cell r="E702">
            <v>0.44831485363191043</v>
          </cell>
          <cell r="F702">
            <v>0.22633984896592482</v>
          </cell>
          <cell r="G702">
            <v>7.0025492327769459E-2</v>
          </cell>
          <cell r="H702">
            <v>2.7681577834919095E-2</v>
          </cell>
          <cell r="J702" t="str">
            <v>2003WV</v>
          </cell>
          <cell r="K702">
            <v>0.48165965404032007</v>
          </cell>
          <cell r="L702">
            <v>7.0025492327769459E-2</v>
          </cell>
          <cell r="M702">
            <v>0.44831485363191043</v>
          </cell>
          <cell r="U702" t="str">
            <v>2003WV</v>
          </cell>
          <cell r="V702">
            <v>0.57920187499999998</v>
          </cell>
          <cell r="W702">
            <v>2.1256934000000002E-2</v>
          </cell>
          <cell r="X702">
            <v>0.113169981</v>
          </cell>
          <cell r="Y702">
            <v>7.9649016000000003E-2</v>
          </cell>
          <cell r="Z702">
            <v>0.206722194</v>
          </cell>
          <cell r="AB702" t="str">
            <v>2003WV</v>
          </cell>
          <cell r="AC702">
            <v>0</v>
          </cell>
          <cell r="AD702">
            <v>0</v>
          </cell>
          <cell r="AE702">
            <v>0.05</v>
          </cell>
          <cell r="AF702">
            <v>0.95</v>
          </cell>
        </row>
        <row r="703">
          <cell r="B703" t="str">
            <v>2003WI</v>
          </cell>
          <cell r="C703">
            <v>0.12203432597344931</v>
          </cell>
          <cell r="D703">
            <v>0.23555629715568294</v>
          </cell>
          <cell r="E703">
            <v>0.11540173598404266</v>
          </cell>
          <cell r="F703">
            <v>0.42032708364290838</v>
          </cell>
          <cell r="G703">
            <v>6.8322420806473022E-2</v>
          </cell>
          <cell r="H703">
            <v>3.8358136437443673E-2</v>
          </cell>
          <cell r="J703" t="str">
            <v>2003WI</v>
          </cell>
          <cell r="K703">
            <v>0.81627584320948432</v>
          </cell>
          <cell r="L703">
            <v>6.8322420806473022E-2</v>
          </cell>
          <cell r="M703">
            <v>0.11540173598404266</v>
          </cell>
          <cell r="U703" t="str">
            <v>2003WI</v>
          </cell>
          <cell r="V703">
            <v>0.12883246500000001</v>
          </cell>
          <cell r="W703">
            <v>4.2564396999999997E-2</v>
          </cell>
          <cell r="X703">
            <v>0.23585646199999999</v>
          </cell>
          <cell r="Y703">
            <v>0.16970626599999999</v>
          </cell>
          <cell r="Z703">
            <v>0.42304040999999998</v>
          </cell>
          <cell r="AB703" t="str">
            <v>2003WI</v>
          </cell>
          <cell r="AC703">
            <v>0</v>
          </cell>
          <cell r="AD703">
            <v>0</v>
          </cell>
          <cell r="AE703">
            <v>0.02</v>
          </cell>
          <cell r="AF703">
            <v>0.98</v>
          </cell>
        </row>
        <row r="704">
          <cell r="B704" t="str">
            <v>2003WY</v>
          </cell>
          <cell r="C704">
            <v>0.29508724522063295</v>
          </cell>
          <cell r="D704">
            <v>0.23251729773373622</v>
          </cell>
          <cell r="E704">
            <v>0.12161775942187937</v>
          </cell>
          <cell r="F704">
            <v>0.2207502472879718</v>
          </cell>
          <cell r="G704">
            <v>7.2002554085590281E-2</v>
          </cell>
          <cell r="H704">
            <v>5.8024896250189507E-2</v>
          </cell>
          <cell r="J704" t="str">
            <v>2003WY</v>
          </cell>
          <cell r="K704">
            <v>0.80637968649253033</v>
          </cell>
          <cell r="L704">
            <v>7.2002554085590281E-2</v>
          </cell>
          <cell r="M704">
            <v>0.12161775942187937</v>
          </cell>
          <cell r="U704" t="str">
            <v>2003WY</v>
          </cell>
          <cell r="V704">
            <v>3.2109568999999998E-2</v>
          </cell>
          <cell r="W704">
            <v>5.3596850000000001E-2</v>
          </cell>
          <cell r="X704">
            <v>0.25521061499999997</v>
          </cell>
          <cell r="Y704">
            <v>0.16752597599999999</v>
          </cell>
          <cell r="Z704">
            <v>0.49155699000000003</v>
          </cell>
          <cell r="AB704" t="str">
            <v>2003WY</v>
          </cell>
          <cell r="AC704">
            <v>0</v>
          </cell>
          <cell r="AD704">
            <v>0</v>
          </cell>
          <cell r="AE704">
            <v>0.6</v>
          </cell>
          <cell r="AF704">
            <v>0.4</v>
          </cell>
        </row>
        <row r="705">
          <cell r="B705" t="str">
            <v>2004AL</v>
          </cell>
          <cell r="C705">
            <v>0.17233560131521788</v>
          </cell>
          <cell r="D705">
            <v>9.7606154746872412E-2</v>
          </cell>
          <cell r="E705">
            <v>0.16919346457207346</v>
          </cell>
          <cell r="F705">
            <v>0.1056405325382436</v>
          </cell>
          <cell r="G705">
            <v>0.45062509818962659</v>
          </cell>
          <cell r="H705">
            <v>4.5991486379660445E-3</v>
          </cell>
          <cell r="J705" t="str">
            <v>2004AL</v>
          </cell>
          <cell r="K705">
            <v>0.38018143723829989</v>
          </cell>
          <cell r="L705">
            <v>0.45062509818962659</v>
          </cell>
          <cell r="M705">
            <v>0.16919346457207346</v>
          </cell>
          <cell r="U705" t="str">
            <v>2004AL</v>
          </cell>
          <cell r="V705">
            <v>5.3114938E-2</v>
          </cell>
          <cell r="W705">
            <v>3.6058960000000001E-2</v>
          </cell>
          <cell r="X705">
            <v>8.4414527000000003E-2</v>
          </cell>
          <cell r="Y705">
            <v>0.50961295299999998</v>
          </cell>
          <cell r="Z705">
            <v>0.316798623</v>
          </cell>
          <cell r="AB705" t="str">
            <v>2004AL</v>
          </cell>
          <cell r="AC705">
            <v>0</v>
          </cell>
          <cell r="AD705">
            <v>0</v>
          </cell>
          <cell r="AE705">
            <v>0.41899999999999998</v>
          </cell>
          <cell r="AF705">
            <v>0.58099999999999996</v>
          </cell>
        </row>
        <row r="706">
          <cell r="B706" t="str">
            <v>2004AK</v>
          </cell>
          <cell r="C706">
            <v>0.30334484066413492</v>
          </cell>
          <cell r="D706">
            <v>0.23769937716735701</v>
          </cell>
          <cell r="E706">
            <v>6.205843688929364E-2</v>
          </cell>
          <cell r="F706">
            <v>0.28363994741136878</v>
          </cell>
          <cell r="G706">
            <v>3.6741064625999714E-2</v>
          </cell>
          <cell r="H706">
            <v>7.6516333241846021E-2</v>
          </cell>
          <cell r="J706" t="str">
            <v>2004AK</v>
          </cell>
          <cell r="K706">
            <v>0.90120049848470662</v>
          </cell>
          <cell r="L706">
            <v>3.6741064625999714E-2</v>
          </cell>
          <cell r="M706">
            <v>6.205843688929364E-2</v>
          </cell>
          <cell r="U706" t="str">
            <v>2004AK</v>
          </cell>
          <cell r="V706">
            <v>0.52632575500000001</v>
          </cell>
          <cell r="W706">
            <v>2.0841667000000001E-2</v>
          </cell>
          <cell r="X706">
            <v>0.130734092</v>
          </cell>
          <cell r="Y706">
            <v>9.9945266000000005E-2</v>
          </cell>
          <cell r="Z706">
            <v>0.22215322100000001</v>
          </cell>
          <cell r="AB706" t="str">
            <v>2004AK</v>
          </cell>
          <cell r="AC706">
            <v>0</v>
          </cell>
          <cell r="AD706">
            <v>0</v>
          </cell>
          <cell r="AE706">
            <v>0.25</v>
          </cell>
          <cell r="AF706">
            <v>0.75</v>
          </cell>
        </row>
        <row r="707">
          <cell r="B707" t="str">
            <v>2004AZ</v>
          </cell>
          <cell r="C707">
            <v>0.611220636654217</v>
          </cell>
          <cell r="D707">
            <v>0.19572797693407004</v>
          </cell>
          <cell r="E707">
            <v>9.865488383487428E-2</v>
          </cell>
          <cell r="F707">
            <v>9.3890669243012675E-2</v>
          </cell>
          <cell r="G707">
            <v>0</v>
          </cell>
          <cell r="H707">
            <v>5.0583333382575558E-4</v>
          </cell>
          <cell r="J707" t="str">
            <v>2004AZ</v>
          </cell>
          <cell r="K707">
            <v>0.90134511616512569</v>
          </cell>
          <cell r="L707">
            <v>0</v>
          </cell>
          <cell r="M707">
            <v>9.865488383487428E-2</v>
          </cell>
          <cell r="U707" t="str">
            <v>2004AZ</v>
          </cell>
          <cell r="V707">
            <v>0.136592664</v>
          </cell>
          <cell r="W707">
            <v>3.2171241000000003E-2</v>
          </cell>
          <cell r="X707">
            <v>5.4596316999999998E-2</v>
          </cell>
          <cell r="Y707">
            <v>0.50386894699999996</v>
          </cell>
          <cell r="Z707">
            <v>0.27277083200000002</v>
          </cell>
          <cell r="AB707" t="str">
            <v>2004AZ</v>
          </cell>
          <cell r="AC707">
            <v>0</v>
          </cell>
          <cell r="AD707">
            <v>0</v>
          </cell>
          <cell r="AE707">
            <v>0.6</v>
          </cell>
          <cell r="AF707">
            <v>0.4</v>
          </cell>
        </row>
        <row r="708">
          <cell r="B708" t="str">
            <v>2004AR</v>
          </cell>
          <cell r="C708">
            <v>9.6391342329605903E-2</v>
          </cell>
          <cell r="D708">
            <v>6.6955456596874061E-2</v>
          </cell>
          <cell r="E708">
            <v>0.14888335780531528</v>
          </cell>
          <cell r="F708">
            <v>0.11118804006195876</v>
          </cell>
          <cell r="G708">
            <v>0.57111057531117648</v>
          </cell>
          <cell r="H708">
            <v>5.4712278950695761E-3</v>
          </cell>
          <cell r="J708" t="str">
            <v>2004AR</v>
          </cell>
          <cell r="K708">
            <v>0.28000606688350826</v>
          </cell>
          <cell r="L708">
            <v>0.57111057531117648</v>
          </cell>
          <cell r="M708">
            <v>0.14888335780531528</v>
          </cell>
          <cell r="U708" t="str">
            <v>2004AR</v>
          </cell>
          <cell r="V708">
            <v>3.9459004999999998E-2</v>
          </cell>
          <cell r="W708">
            <v>3.7640482000000003E-2</v>
          </cell>
          <cell r="X708">
            <v>0.11914443199999999</v>
          </cell>
          <cell r="Y708">
            <v>0.45827781299999998</v>
          </cell>
          <cell r="Z708">
            <v>0.34547826799999998</v>
          </cell>
          <cell r="AB708" t="str">
            <v>2004AR</v>
          </cell>
          <cell r="AC708">
            <v>0</v>
          </cell>
          <cell r="AD708">
            <v>0</v>
          </cell>
          <cell r="AE708">
            <v>0</v>
          </cell>
          <cell r="AF708">
            <v>1</v>
          </cell>
        </row>
        <row r="709">
          <cell r="B709" t="str">
            <v>2004CA</v>
          </cell>
          <cell r="C709">
            <v>0.58081862489107328</v>
          </cell>
          <cell r="D709">
            <v>0.20720345916912225</v>
          </cell>
          <cell r="E709">
            <v>0.10801924509893834</v>
          </cell>
          <cell r="F709">
            <v>9.2431120719429966E-2</v>
          </cell>
          <cell r="G709">
            <v>9.2523577326630076E-3</v>
          </cell>
          <cell r="H709">
            <v>2.2751923887731596E-3</v>
          </cell>
          <cell r="J709" t="str">
            <v>2004CA</v>
          </cell>
          <cell r="K709">
            <v>0.88272839716839868</v>
          </cell>
          <cell r="L709">
            <v>9.2523577326630076E-3</v>
          </cell>
          <cell r="M709">
            <v>0.10801924509893834</v>
          </cell>
          <cell r="U709" t="str">
            <v>2004CA</v>
          </cell>
          <cell r="V709">
            <v>0.133799526</v>
          </cell>
          <cell r="W709">
            <v>3.2941353E-2</v>
          </cell>
          <cell r="X709">
            <v>7.5800703999999997E-2</v>
          </cell>
          <cell r="Y709">
            <v>0.46867659099999998</v>
          </cell>
          <cell r="Z709">
            <v>0.28878182499999999</v>
          </cell>
          <cell r="AB709" t="str">
            <v>2004CA</v>
          </cell>
          <cell r="AC709">
            <v>0</v>
          </cell>
          <cell r="AD709">
            <v>0</v>
          </cell>
          <cell r="AE709">
            <v>0.12</v>
          </cell>
          <cell r="AF709">
            <v>0.88</v>
          </cell>
        </row>
        <row r="710">
          <cell r="B710" t="str">
            <v>2004CO</v>
          </cell>
          <cell r="C710">
            <v>0.61667904285785091</v>
          </cell>
          <cell r="D710">
            <v>0.24212893570430052</v>
          </cell>
          <cell r="E710">
            <v>1.1092391745361967E-2</v>
          </cell>
          <cell r="F710">
            <v>0.11516410971780773</v>
          </cell>
          <cell r="G710">
            <v>6.5671374014829543E-3</v>
          </cell>
          <cell r="H710">
            <v>8.3683825731959392E-3</v>
          </cell>
          <cell r="J710" t="str">
            <v>2004CO</v>
          </cell>
          <cell r="K710">
            <v>0.98234047085315512</v>
          </cell>
          <cell r="L710">
            <v>6.5671374014829543E-3</v>
          </cell>
          <cell r="M710">
            <v>1.1092391745361967E-2</v>
          </cell>
          <cell r="U710" t="str">
            <v>2004CO</v>
          </cell>
          <cell r="V710">
            <v>2.3378138E-2</v>
          </cell>
          <cell r="W710">
            <v>5.3880426000000002E-2</v>
          </cell>
          <cell r="X710">
            <v>0.25772948099999998</v>
          </cell>
          <cell r="Y710">
            <v>0.169703665</v>
          </cell>
          <cell r="Z710">
            <v>0.49530828999999998</v>
          </cell>
          <cell r="AB710" t="str">
            <v>2004CO</v>
          </cell>
          <cell r="AC710">
            <v>0</v>
          </cell>
          <cell r="AD710">
            <v>0</v>
          </cell>
          <cell r="AE710">
            <v>0.6</v>
          </cell>
          <cell r="AF710">
            <v>0.4</v>
          </cell>
        </row>
        <row r="711">
          <cell r="B711" t="str">
            <v>2004CT</v>
          </cell>
          <cell r="C711">
            <v>0.11572842393252261</v>
          </cell>
          <cell r="D711">
            <v>0.20119880615243968</v>
          </cell>
          <cell r="E711">
            <v>0.43233999756560143</v>
          </cell>
          <cell r="F711">
            <v>0.17234541515575838</v>
          </cell>
          <cell r="G711">
            <v>5.5615402487630847E-2</v>
          </cell>
          <cell r="H711">
            <v>2.2771954706046996E-2</v>
          </cell>
          <cell r="J711" t="str">
            <v>2004CT</v>
          </cell>
          <cell r="K711">
            <v>0.51204459994676776</v>
          </cell>
          <cell r="L711">
            <v>5.5615402487630847E-2</v>
          </cell>
          <cell r="M711">
            <v>0.43233999756560143</v>
          </cell>
          <cell r="U711" t="str">
            <v>2004CT</v>
          </cell>
          <cell r="V711">
            <v>0.57363861400000005</v>
          </cell>
          <cell r="W711">
            <v>1.8759900999999999E-2</v>
          </cell>
          <cell r="X711">
            <v>0.117675743</v>
          </cell>
          <cell r="Y711">
            <v>8.9962252000000006E-2</v>
          </cell>
          <cell r="Z711">
            <v>0.19996348999999999</v>
          </cell>
          <cell r="AB711" t="str">
            <v>2004CT</v>
          </cell>
          <cell r="AC711">
            <v>0</v>
          </cell>
          <cell r="AD711">
            <v>0</v>
          </cell>
          <cell r="AE711">
            <v>0.05</v>
          </cell>
          <cell r="AF711">
            <v>0.95</v>
          </cell>
        </row>
        <row r="712">
          <cell r="B712" t="str">
            <v>2004DE</v>
          </cell>
          <cell r="C712">
            <v>0.10201653895343663</v>
          </cell>
          <cell r="D712">
            <v>0.1910091905838856</v>
          </cell>
          <cell r="E712">
            <v>0.43707162937473454</v>
          </cell>
          <cell r="F712">
            <v>0.18637975788177577</v>
          </cell>
          <cell r="G712">
            <v>5.9883562349419175E-2</v>
          </cell>
          <cell r="H712">
            <v>2.3639320856748244E-2</v>
          </cell>
          <cell r="J712" t="str">
            <v>2004DE</v>
          </cell>
          <cell r="K712">
            <v>0.5030448082758463</v>
          </cell>
          <cell r="L712">
            <v>5.9883562349419175E-2</v>
          </cell>
          <cell r="M712">
            <v>0.43707162937473454</v>
          </cell>
          <cell r="U712" t="str">
            <v>2004DE</v>
          </cell>
          <cell r="V712">
            <v>0.120253529</v>
          </cell>
          <cell r="W712">
            <v>4.1631153999999997E-2</v>
          </cell>
          <cell r="X712">
            <v>0.23964419100000001</v>
          </cell>
          <cell r="Y712">
            <v>0.17588547500000001</v>
          </cell>
          <cell r="Z712">
            <v>0.42258565100000001</v>
          </cell>
          <cell r="AB712" t="str">
            <v>2004DE</v>
          </cell>
          <cell r="AC712">
            <v>0</v>
          </cell>
          <cell r="AD712">
            <v>0</v>
          </cell>
          <cell r="AE712">
            <v>0.05</v>
          </cell>
          <cell r="AF712">
            <v>0.95</v>
          </cell>
        </row>
        <row r="713">
          <cell r="B713" t="str">
            <v>2004FL</v>
          </cell>
          <cell r="C713">
            <v>0.38654865924430459</v>
          </cell>
          <cell r="D713">
            <v>0.14503983167997814</v>
          </cell>
          <cell r="E713">
            <v>0.21616400084919535</v>
          </cell>
          <cell r="F713">
            <v>7.8997496757044303E-2</v>
          </cell>
          <cell r="G713">
            <v>0.17198217725399226</v>
          </cell>
          <cell r="H713">
            <v>1.2678342154852779E-3</v>
          </cell>
          <cell r="J713" t="str">
            <v>2004FL</v>
          </cell>
          <cell r="K713">
            <v>0.61185382189681237</v>
          </cell>
          <cell r="L713">
            <v>0.17198217725399226</v>
          </cell>
          <cell r="M713">
            <v>0.21616400084919535</v>
          </cell>
          <cell r="U713" t="str">
            <v>2004FL</v>
          </cell>
          <cell r="V713">
            <v>0.71166924399999998</v>
          </cell>
          <cell r="W713">
            <v>1.2686553E-2</v>
          </cell>
          <cell r="X713">
            <v>7.9579288999999998E-2</v>
          </cell>
          <cell r="Y713">
            <v>6.0837789000000003E-2</v>
          </cell>
          <cell r="Z713">
            <v>0.135227124</v>
          </cell>
          <cell r="AB713" t="str">
            <v>2004FL</v>
          </cell>
          <cell r="AC713">
            <v>0</v>
          </cell>
          <cell r="AD713">
            <v>0</v>
          </cell>
          <cell r="AE713">
            <v>0.41899999999999998</v>
          </cell>
          <cell r="AF713">
            <v>0.58099999999999996</v>
          </cell>
        </row>
        <row r="714">
          <cell r="B714" t="str">
            <v>2004GA</v>
          </cell>
          <cell r="C714">
            <v>0.20823216155586291</v>
          </cell>
          <cell r="D714">
            <v>0.11033206176717186</v>
          </cell>
          <cell r="E714">
            <v>0.17733204084631207</v>
          </cell>
          <cell r="F714">
            <v>9.7862793659120595E-2</v>
          </cell>
          <cell r="G714">
            <v>0.40234468997942996</v>
          </cell>
          <cell r="H714">
            <v>3.8962521921025758E-3</v>
          </cell>
          <cell r="J714" t="str">
            <v>2004GA</v>
          </cell>
          <cell r="K714">
            <v>0.420323269174258</v>
          </cell>
          <cell r="L714">
            <v>0.40234468997942996</v>
          </cell>
          <cell r="M714">
            <v>0.17733204084631207</v>
          </cell>
          <cell r="U714" t="str">
            <v>2004GA</v>
          </cell>
          <cell r="V714">
            <v>7.8133266000000007E-2</v>
          </cell>
          <cell r="W714">
            <v>3.5587817000000001E-2</v>
          </cell>
          <cell r="X714">
            <v>9.7388838000000005E-2</v>
          </cell>
          <cell r="Y714">
            <v>0.46952270200000001</v>
          </cell>
          <cell r="Z714">
            <v>0.31936737799999998</v>
          </cell>
          <cell r="AB714" t="str">
            <v>2004GA</v>
          </cell>
          <cell r="AC714">
            <v>0</v>
          </cell>
          <cell r="AD714">
            <v>0</v>
          </cell>
          <cell r="AE714">
            <v>0.41899999999999998</v>
          </cell>
          <cell r="AF714">
            <v>0.58099999999999996</v>
          </cell>
        </row>
        <row r="715">
          <cell r="B715" t="str">
            <v>2004HI</v>
          </cell>
          <cell r="C715">
            <v>0.67137224197860923</v>
          </cell>
          <cell r="D715">
            <v>0.21100034068527662</v>
          </cell>
          <cell r="E715">
            <v>0</v>
          </cell>
          <cell r="F715">
            <v>0.10820426646618357</v>
          </cell>
          <cell r="G715">
            <v>7.5112148308577572E-3</v>
          </cell>
          <cell r="H715">
            <v>1.9119360390725836E-3</v>
          </cell>
          <cell r="J715" t="str">
            <v>2004HI</v>
          </cell>
          <cell r="K715">
            <v>0.9924887851691423</v>
          </cell>
          <cell r="L715">
            <v>7.5112148308577572E-3</v>
          </cell>
          <cell r="M715">
            <v>0</v>
          </cell>
          <cell r="U715" t="str">
            <v>2004HI</v>
          </cell>
          <cell r="V715">
            <v>0.23216878499999999</v>
          </cell>
          <cell r="W715">
            <v>3.2904865999999998E-2</v>
          </cell>
          <cell r="X715">
            <v>0.18414778700000001</v>
          </cell>
          <cell r="Y715">
            <v>0.21064765399999999</v>
          </cell>
          <cell r="Z715">
            <v>0.34013090899999998</v>
          </cell>
          <cell r="AB715" t="str">
            <v>2004HI</v>
          </cell>
          <cell r="AC715">
            <v>0</v>
          </cell>
          <cell r="AD715">
            <v>0</v>
          </cell>
          <cell r="AE715">
            <v>0.25</v>
          </cell>
          <cell r="AF715">
            <v>0.75</v>
          </cell>
        </row>
        <row r="716">
          <cell r="B716" t="str">
            <v>2004ID</v>
          </cell>
          <cell r="C716">
            <v>0.62850843440764703</v>
          </cell>
          <cell r="D716">
            <v>0.2329683972033782</v>
          </cell>
          <cell r="E716">
            <v>6.4436683947772669E-3</v>
          </cell>
          <cell r="F716">
            <v>0.11961222721284216</v>
          </cell>
          <cell r="G716">
            <v>3.8149081541218642E-3</v>
          </cell>
          <cell r="H716">
            <v>8.6523646272333287E-3</v>
          </cell>
          <cell r="J716" t="str">
            <v>2004ID</v>
          </cell>
          <cell r="K716">
            <v>0.98974142345110083</v>
          </cell>
          <cell r="L716">
            <v>3.8149081541218642E-3</v>
          </cell>
          <cell r="M716">
            <v>6.4436683947772669E-3</v>
          </cell>
          <cell r="U716" t="str">
            <v>2004ID</v>
          </cell>
          <cell r="V716">
            <v>0.460837895</v>
          </cell>
          <cell r="W716">
            <v>2.6974237000000002E-2</v>
          </cell>
          <cell r="X716">
            <v>0.14528671200000001</v>
          </cell>
          <cell r="Y716">
            <v>0.102926191</v>
          </cell>
          <cell r="Z716">
            <v>0.26397496599999998</v>
          </cell>
          <cell r="AB716" t="str">
            <v>2004ID</v>
          </cell>
          <cell r="AC716">
            <v>0</v>
          </cell>
          <cell r="AD716">
            <v>0</v>
          </cell>
          <cell r="AE716">
            <v>0.6</v>
          </cell>
          <cell r="AF716">
            <v>0.4</v>
          </cell>
        </row>
        <row r="717">
          <cell r="B717" t="str">
            <v>2004IL</v>
          </cell>
          <cell r="C717">
            <v>0.13175283144497188</v>
          </cell>
          <cell r="D717">
            <v>0.26046159534668961</v>
          </cell>
          <cell r="E717">
            <v>8.1383349234931596E-2</v>
          </cell>
          <cell r="F717">
            <v>0.43207247933210829</v>
          </cell>
          <cell r="G717">
            <v>4.8182181885357514E-2</v>
          </cell>
          <cell r="H717">
            <v>4.6147562755941125E-2</v>
          </cell>
          <cell r="J717" t="str">
            <v>2004IL</v>
          </cell>
          <cell r="K717">
            <v>0.87043446887971088</v>
          </cell>
          <cell r="L717">
            <v>4.8182181885357514E-2</v>
          </cell>
          <cell r="M717">
            <v>8.1383349234931596E-2</v>
          </cell>
          <cell r="U717" t="str">
            <v>2004IL</v>
          </cell>
          <cell r="V717">
            <v>2.0186552999999999E-2</v>
          </cell>
          <cell r="W717">
            <v>4.5739502000000001E-2</v>
          </cell>
          <cell r="X717">
            <v>0.28028242399999997</v>
          </cell>
          <cell r="Y717">
            <v>0.149587944</v>
          </cell>
          <cell r="Z717">
            <v>0.50420357699999996</v>
          </cell>
          <cell r="AB717" t="str">
            <v>2004IL</v>
          </cell>
          <cell r="AC717">
            <v>0</v>
          </cell>
          <cell r="AD717">
            <v>0</v>
          </cell>
          <cell r="AE717">
            <v>0.02</v>
          </cell>
          <cell r="AF717">
            <v>0.98</v>
          </cell>
        </row>
        <row r="718">
          <cell r="B718" t="str">
            <v>2004IN</v>
          </cell>
          <cell r="C718">
            <v>0.16189917384296076</v>
          </cell>
          <cell r="D718">
            <v>0.24163212738244233</v>
          </cell>
          <cell r="E718">
            <v>0.13392208737361183</v>
          </cell>
          <cell r="F718">
            <v>0.3491044693998876</v>
          </cell>
          <cell r="G718">
            <v>7.9287205957511472E-2</v>
          </cell>
          <cell r="H718">
            <v>3.4154936043586021E-2</v>
          </cell>
          <cell r="J718" t="str">
            <v>2004IN</v>
          </cell>
          <cell r="K718">
            <v>0.78679070666887663</v>
          </cell>
          <cell r="L718">
            <v>7.9287205957511472E-2</v>
          </cell>
          <cell r="M718">
            <v>0.13392208737361183</v>
          </cell>
          <cell r="U718" t="str">
            <v>2004IN</v>
          </cell>
          <cell r="V718">
            <v>2.5489210000000002E-2</v>
          </cell>
          <cell r="W718">
            <v>4.5536079E-2</v>
          </cell>
          <cell r="X718">
            <v>0.27893099599999999</v>
          </cell>
          <cell r="Y718">
            <v>0.14781887399999999</v>
          </cell>
          <cell r="Z718">
            <v>0.50222484099999998</v>
          </cell>
          <cell r="AB718" t="str">
            <v>2004IN</v>
          </cell>
          <cell r="AC718">
            <v>0</v>
          </cell>
          <cell r="AD718">
            <v>0</v>
          </cell>
          <cell r="AE718">
            <v>0</v>
          </cell>
          <cell r="AF718">
            <v>1</v>
          </cell>
        </row>
        <row r="719">
          <cell r="B719" t="str">
            <v>2004IA</v>
          </cell>
          <cell r="C719">
            <v>0.13792614664225575</v>
          </cell>
          <cell r="D719">
            <v>0.25047757969635848</v>
          </cell>
          <cell r="E719">
            <v>0.10477197231415941</v>
          </cell>
          <cell r="F719">
            <v>0.40507493125352922</v>
          </cell>
          <cell r="G719">
            <v>6.2029177638731184E-2</v>
          </cell>
          <cell r="H719">
            <v>3.9720192454965969E-2</v>
          </cell>
          <cell r="J719" t="str">
            <v>2004IA</v>
          </cell>
          <cell r="K719">
            <v>0.83319885004710947</v>
          </cell>
          <cell r="L719">
            <v>6.2029177638731184E-2</v>
          </cell>
          <cell r="M719">
            <v>0.10477197231415941</v>
          </cell>
          <cell r="U719" t="str">
            <v>2004IA</v>
          </cell>
          <cell r="V719">
            <v>9.6502570000000006E-3</v>
          </cell>
          <cell r="W719">
            <v>3.8739974000000003E-2</v>
          </cell>
          <cell r="X719">
            <v>0.12067557499999999</v>
          </cell>
          <cell r="Y719">
            <v>0.47629315999999999</v>
          </cell>
          <cell r="Z719">
            <v>0.35464103499999999</v>
          </cell>
          <cell r="AB719" t="str">
            <v>2004IA</v>
          </cell>
          <cell r="AC719">
            <v>0</v>
          </cell>
          <cell r="AD719">
            <v>0</v>
          </cell>
          <cell r="AE719">
            <v>0</v>
          </cell>
          <cell r="AF719">
            <v>1</v>
          </cell>
        </row>
        <row r="720">
          <cell r="B720" t="str">
            <v>2004KS</v>
          </cell>
          <cell r="C720">
            <v>0.28758404285910905</v>
          </cell>
          <cell r="D720">
            <v>0.32607606753917184</v>
          </cell>
          <cell r="E720">
            <v>5.1050547933917619E-2</v>
          </cell>
          <cell r="F720">
            <v>0.27762124338847843</v>
          </cell>
          <cell r="G720">
            <v>3.0223956239483565E-2</v>
          </cell>
          <cell r="H720">
            <v>2.7444142039839463E-2</v>
          </cell>
          <cell r="J720" t="str">
            <v>2004KS</v>
          </cell>
          <cell r="K720">
            <v>0.91872549582659879</v>
          </cell>
          <cell r="L720">
            <v>3.0223956239483565E-2</v>
          </cell>
          <cell r="M720">
            <v>5.1050547933917619E-2</v>
          </cell>
          <cell r="U720" t="str">
            <v>2004KS</v>
          </cell>
          <cell r="V720">
            <v>2.3647662E-2</v>
          </cell>
          <cell r="W720">
            <v>4.6272377000000003E-2</v>
          </cell>
          <cell r="X720">
            <v>0.28189652199999998</v>
          </cell>
          <cell r="Y720">
            <v>0.13395533500000001</v>
          </cell>
          <cell r="Z720">
            <v>0.51422810299999999</v>
          </cell>
          <cell r="AB720" t="str">
            <v>2004KS</v>
          </cell>
          <cell r="AC720">
            <v>0</v>
          </cell>
          <cell r="AD720">
            <v>0</v>
          </cell>
          <cell r="AE720">
            <v>0.02</v>
          </cell>
          <cell r="AF720">
            <v>0.98</v>
          </cell>
        </row>
        <row r="721">
          <cell r="B721" t="str">
            <v>2004KY</v>
          </cell>
          <cell r="C721">
            <v>2.3305602928070858E-2</v>
          </cell>
          <cell r="D721">
            <v>6.2885861766289422E-2</v>
          </cell>
          <cell r="E721">
            <v>0.14165738300711325</v>
          </cell>
          <cell r="F721">
            <v>0.14315421990856123</v>
          </cell>
          <cell r="G721">
            <v>0.61397716539009373</v>
          </cell>
          <cell r="H721">
            <v>1.5019766999871505E-2</v>
          </cell>
          <cell r="J721" t="str">
            <v>2004KY</v>
          </cell>
          <cell r="K721">
            <v>0.24436545160279299</v>
          </cell>
          <cell r="L721">
            <v>0.61397716539009373</v>
          </cell>
          <cell r="M721">
            <v>0.14165738300711325</v>
          </cell>
          <cell r="U721" t="str">
            <v>2004KY</v>
          </cell>
          <cell r="V721">
            <v>4.9184704000000003E-2</v>
          </cell>
          <cell r="W721">
            <v>3.7321891000000003E-2</v>
          </cell>
          <cell r="X721">
            <v>0.11991215400000001</v>
          </cell>
          <cell r="Y721">
            <v>0.45018075899999999</v>
          </cell>
          <cell r="Z721">
            <v>0.34340049099999997</v>
          </cell>
          <cell r="AB721" t="str">
            <v>2004KY</v>
          </cell>
          <cell r="AC721">
            <v>0</v>
          </cell>
          <cell r="AD721">
            <v>0</v>
          </cell>
          <cell r="AE721">
            <v>0.05</v>
          </cell>
          <cell r="AF721">
            <v>0.95</v>
          </cell>
        </row>
        <row r="722">
          <cell r="B722" t="str">
            <v>2004LA</v>
          </cell>
          <cell r="C722">
            <v>8.7696493950327165E-2</v>
          </cell>
          <cell r="D722">
            <v>6.4637521135916851E-2</v>
          </cell>
          <cell r="E722">
            <v>0.14461730665558523</v>
          </cell>
          <cell r="F722">
            <v>0.10160244529023774</v>
          </cell>
          <cell r="G722">
            <v>0.59641803499629376</v>
          </cell>
          <cell r="H722">
            <v>5.0281979716392446E-3</v>
          </cell>
          <cell r="J722" t="str">
            <v>2004LA</v>
          </cell>
          <cell r="K722">
            <v>0.25896465834812099</v>
          </cell>
          <cell r="L722">
            <v>0.59641803499629376</v>
          </cell>
          <cell r="M722">
            <v>0.14461730665558523</v>
          </cell>
          <cell r="U722" t="str">
            <v>2004LA</v>
          </cell>
          <cell r="V722">
            <v>0.53551704700000002</v>
          </cell>
          <cell r="W722">
            <v>2.0437250000000001E-2</v>
          </cell>
          <cell r="X722">
            <v>0.12819729499999999</v>
          </cell>
          <cell r="Y722">
            <v>9.8005903000000005E-2</v>
          </cell>
          <cell r="Z722">
            <v>0.21784250499999999</v>
          </cell>
          <cell r="AB722" t="str">
            <v>2004LA</v>
          </cell>
          <cell r="AC722">
            <v>0</v>
          </cell>
          <cell r="AD722">
            <v>0</v>
          </cell>
          <cell r="AE722">
            <v>0.6</v>
          </cell>
          <cell r="AF722">
            <v>0.4</v>
          </cell>
        </row>
        <row r="723">
          <cell r="B723" t="str">
            <v>2004ME</v>
          </cell>
          <cell r="C723">
            <v>9.3713015315557757E-2</v>
          </cell>
          <cell r="D723">
            <v>0.17210096338216258</v>
          </cell>
          <cell r="E723">
            <v>0.44837154081607639</v>
          </cell>
          <cell r="F723">
            <v>0.19633313267932656</v>
          </cell>
          <cell r="G723">
            <v>7.0076626899074845E-2</v>
          </cell>
          <cell r="H723">
            <v>1.9404720907801824E-2</v>
          </cell>
          <cell r="J723" t="str">
            <v>2004ME</v>
          </cell>
          <cell r="K723">
            <v>0.48155183228484877</v>
          </cell>
          <cell r="L723">
            <v>7.0076626899074845E-2</v>
          </cell>
          <cell r="M723">
            <v>0.44837154081607639</v>
          </cell>
          <cell r="U723" t="str">
            <v>2004ME</v>
          </cell>
          <cell r="V723">
            <v>0.72920202000000001</v>
          </cell>
          <cell r="W723">
            <v>1.1915111000000001E-2</v>
          </cell>
          <cell r="X723">
            <v>7.4740241999999998E-2</v>
          </cell>
          <cell r="Y723">
            <v>5.7138373999999999E-2</v>
          </cell>
          <cell r="Z723">
            <v>0.12700425300000001</v>
          </cell>
          <cell r="AB723" t="str">
            <v>2004ME</v>
          </cell>
          <cell r="AC723">
            <v>0</v>
          </cell>
          <cell r="AD723">
            <v>0</v>
          </cell>
          <cell r="AE723">
            <v>0.05</v>
          </cell>
          <cell r="AF723">
            <v>0.95</v>
          </cell>
        </row>
        <row r="724">
          <cell r="B724" t="str">
            <v>2004MD</v>
          </cell>
          <cell r="C724">
            <v>7.6488535055593554E-2</v>
          </cell>
          <cell r="D724">
            <v>0.15472472257238745</v>
          </cell>
          <cell r="E724">
            <v>0.44380834258126728</v>
          </cell>
          <cell r="F724">
            <v>0.22861605738914034</v>
          </cell>
          <cell r="G724">
            <v>6.5960402236453913E-2</v>
          </cell>
          <cell r="H724">
            <v>3.0401940165157418E-2</v>
          </cell>
          <cell r="J724" t="str">
            <v>2004MD</v>
          </cell>
          <cell r="K724">
            <v>0.49023125518227884</v>
          </cell>
          <cell r="L724">
            <v>6.5960402236453913E-2</v>
          </cell>
          <cell r="M724">
            <v>0.44380834258126728</v>
          </cell>
          <cell r="U724" t="str">
            <v>2004MD</v>
          </cell>
          <cell r="V724">
            <v>0.21140679400000001</v>
          </cell>
          <cell r="W724">
            <v>3.7602905999999998E-2</v>
          </cell>
          <cell r="X724">
            <v>0.214504853</v>
          </cell>
          <cell r="Y724">
            <v>0.15671048400000001</v>
          </cell>
          <cell r="Z724">
            <v>0.37977496300000002</v>
          </cell>
          <cell r="AB724" t="str">
            <v>2004MD</v>
          </cell>
          <cell r="AC724">
            <v>0</v>
          </cell>
          <cell r="AD724">
            <v>0</v>
          </cell>
          <cell r="AE724">
            <v>0.05</v>
          </cell>
          <cell r="AF724">
            <v>0.95</v>
          </cell>
        </row>
        <row r="725">
          <cell r="B725" t="str">
            <v>2004MA</v>
          </cell>
          <cell r="C725">
            <v>6.1305440163427552E-2</v>
          </cell>
          <cell r="D725">
            <v>0.14874705508142777</v>
          </cell>
          <cell r="E725">
            <v>0.45216403673004657</v>
          </cell>
          <cell r="F725">
            <v>0.23617268276189021</v>
          </cell>
          <cell r="G725">
            <v>7.3497640935872632E-2</v>
          </cell>
          <cell r="H725">
            <v>2.8113144327335336E-2</v>
          </cell>
          <cell r="J725" t="str">
            <v>2004MA</v>
          </cell>
          <cell r="K725">
            <v>0.4743383223340808</v>
          </cell>
          <cell r="L725">
            <v>7.3497640935872632E-2</v>
          </cell>
          <cell r="M725">
            <v>0.45216403673004657</v>
          </cell>
          <cell r="U725" t="str">
            <v>2004MA</v>
          </cell>
          <cell r="V725">
            <v>0.31419575799999999</v>
          </cell>
          <cell r="W725">
            <v>3.0175387000000001E-2</v>
          </cell>
          <cell r="X725">
            <v>0.18928197099999999</v>
          </cell>
          <cell r="Y725">
            <v>0.14470469499999999</v>
          </cell>
          <cell r="Z725">
            <v>0.32164218900000002</v>
          </cell>
          <cell r="AB725" t="str">
            <v>2004MA</v>
          </cell>
          <cell r="AC725">
            <v>0</v>
          </cell>
          <cell r="AD725">
            <v>0</v>
          </cell>
          <cell r="AE725">
            <v>0.05</v>
          </cell>
          <cell r="AF725">
            <v>0.95</v>
          </cell>
        </row>
        <row r="726">
          <cell r="B726" t="str">
            <v>2004MI</v>
          </cell>
          <cell r="C726">
            <v>0.21592740095911189</v>
          </cell>
          <cell r="D726">
            <v>0.33044604004991018</v>
          </cell>
          <cell r="E726">
            <v>5.8998863632555826E-2</v>
          </cell>
          <cell r="F726">
            <v>0.32074430847532459</v>
          </cell>
          <cell r="G726">
            <v>3.4929675483950956E-2</v>
          </cell>
          <cell r="H726">
            <v>3.8953711399146676E-2</v>
          </cell>
          <cell r="J726" t="str">
            <v>2004MI</v>
          </cell>
          <cell r="K726">
            <v>0.90607146088349322</v>
          </cell>
          <cell r="L726">
            <v>3.4929675483950956E-2</v>
          </cell>
          <cell r="M726">
            <v>5.8998863632555826E-2</v>
          </cell>
          <cell r="U726" t="str">
            <v>2004MI</v>
          </cell>
          <cell r="V726">
            <v>4.5127237000000001E-2</v>
          </cell>
          <cell r="W726">
            <v>5.0500046999999999E-2</v>
          </cell>
          <cell r="X726">
            <v>0.254352099</v>
          </cell>
          <cell r="Y726">
            <v>0.17319266699999999</v>
          </cell>
          <cell r="Z726">
            <v>0.47682794899999997</v>
          </cell>
          <cell r="AB726" t="str">
            <v>2004MI</v>
          </cell>
          <cell r="AC726">
            <v>0</v>
          </cell>
          <cell r="AD726">
            <v>0</v>
          </cell>
          <cell r="AE726">
            <v>0.02</v>
          </cell>
          <cell r="AF726">
            <v>0.98</v>
          </cell>
        </row>
        <row r="727">
          <cell r="B727" t="str">
            <v>2004MN</v>
          </cell>
          <cell r="C727">
            <v>0.11559741536790068</v>
          </cell>
          <cell r="D727">
            <v>0.23915415867765383</v>
          </cell>
          <cell r="E727">
            <v>0.10052931481156221</v>
          </cell>
          <cell r="F727">
            <v>0.43822851849088174</v>
          </cell>
          <cell r="G727">
            <v>5.9517355535203494E-2</v>
          </cell>
          <cell r="H727">
            <v>4.697323711679801E-2</v>
          </cell>
          <cell r="J727" t="str">
            <v>2004MN</v>
          </cell>
          <cell r="K727">
            <v>0.83995332965323433</v>
          </cell>
          <cell r="L727">
            <v>5.9517355535203494E-2</v>
          </cell>
          <cell r="M727">
            <v>0.10052931481156221</v>
          </cell>
          <cell r="U727" t="str">
            <v>2004MN</v>
          </cell>
          <cell r="V727">
            <v>1.5145339000000001E-2</v>
          </cell>
          <cell r="W727">
            <v>5.1986831999999997E-2</v>
          </cell>
          <cell r="X727">
            <v>0.262445557</v>
          </cell>
          <cell r="Y727">
            <v>0.17896024199999999</v>
          </cell>
          <cell r="Z727">
            <v>0.49146202900000002</v>
          </cell>
          <cell r="AB727" t="str">
            <v>2004MN</v>
          </cell>
          <cell r="AC727">
            <v>0</v>
          </cell>
          <cell r="AD727">
            <v>0</v>
          </cell>
          <cell r="AE727">
            <v>0</v>
          </cell>
          <cell r="AF727">
            <v>1</v>
          </cell>
        </row>
        <row r="728">
          <cell r="B728" t="str">
            <v>2004MS</v>
          </cell>
          <cell r="C728">
            <v>0.10416334210611014</v>
          </cell>
          <cell r="D728">
            <v>7.2829933678422776E-2</v>
          </cell>
          <cell r="E728">
            <v>0.14929269604113307</v>
          </cell>
          <cell r="F728">
            <v>0.10019278631941281</v>
          </cell>
          <cell r="G728">
            <v>0.56868226150598644</v>
          </cell>
          <cell r="H728">
            <v>4.838980348934833E-3</v>
          </cell>
          <cell r="J728" t="str">
            <v>2004MS</v>
          </cell>
          <cell r="K728">
            <v>0.28202504245288051</v>
          </cell>
          <cell r="L728">
            <v>0.56868226150598644</v>
          </cell>
          <cell r="M728">
            <v>0.14929269604113307</v>
          </cell>
          <cell r="U728" t="str">
            <v>2004MS</v>
          </cell>
          <cell r="V728">
            <v>2.1100625000000001E-2</v>
          </cell>
          <cell r="W728">
            <v>3.6418512E-2</v>
          </cell>
          <cell r="X728">
            <v>6.0129593000000002E-2</v>
          </cell>
          <cell r="Y728">
            <v>0.574366987</v>
          </cell>
          <cell r="Z728">
            <v>0.30798428300000003</v>
          </cell>
          <cell r="AB728" t="str">
            <v>2004MS</v>
          </cell>
          <cell r="AC728">
            <v>0</v>
          </cell>
          <cell r="AD728">
            <v>0</v>
          </cell>
          <cell r="AE728">
            <v>0.6</v>
          </cell>
          <cell r="AF728">
            <v>0.4</v>
          </cell>
        </row>
        <row r="729">
          <cell r="B729" t="str">
            <v>2004MO</v>
          </cell>
          <cell r="C729">
            <v>6.4925479522277466E-2</v>
          </cell>
          <cell r="D729">
            <v>0.18170303563698134</v>
          </cell>
          <cell r="E729">
            <v>0.14337282997597614</v>
          </cell>
          <cell r="F729">
            <v>0.47880340852502545</v>
          </cell>
          <cell r="G729">
            <v>8.4882421727070459E-2</v>
          </cell>
          <cell r="H729">
            <v>4.6312824612669105E-2</v>
          </cell>
          <cell r="J729" t="str">
            <v>2004MO</v>
          </cell>
          <cell r="K729">
            <v>0.77174474829695339</v>
          </cell>
          <cell r="L729">
            <v>8.4882421727070459E-2</v>
          </cell>
          <cell r="M729">
            <v>0.14337282997597614</v>
          </cell>
          <cell r="U729" t="str">
            <v>2004MO</v>
          </cell>
          <cell r="V729">
            <v>2.998994E-2</v>
          </cell>
          <cell r="W729">
            <v>4.5757142000000001E-2</v>
          </cell>
          <cell r="X729">
            <v>0.27926039899999999</v>
          </cell>
          <cell r="Y729">
            <v>0.13775391300000001</v>
          </cell>
          <cell r="Z729">
            <v>0.50723860600000004</v>
          </cell>
          <cell r="AB729" t="str">
            <v>2004MO</v>
          </cell>
          <cell r="AC729">
            <v>0</v>
          </cell>
          <cell r="AD729">
            <v>0</v>
          </cell>
          <cell r="AE729">
            <v>0</v>
          </cell>
          <cell r="AF729">
            <v>1</v>
          </cell>
        </row>
        <row r="730">
          <cell r="B730" t="str">
            <v>2004MT</v>
          </cell>
          <cell r="C730">
            <v>0.35597781750083307</v>
          </cell>
          <cell r="D730">
            <v>0.25924389885240834</v>
          </cell>
          <cell r="E730">
            <v>4.3797789125912777E-2</v>
          </cell>
          <cell r="F730">
            <v>0.25058080537727367</v>
          </cell>
          <cell r="G730">
            <v>2.5930034358127463E-2</v>
          </cell>
          <cell r="H730">
            <v>6.4469654785444572E-2</v>
          </cell>
          <cell r="J730" t="str">
            <v>2004MT</v>
          </cell>
          <cell r="K730">
            <v>0.93027217651595973</v>
          </cell>
          <cell r="L730">
            <v>2.5930034358127463E-2</v>
          </cell>
          <cell r="M730">
            <v>4.3797789125912777E-2</v>
          </cell>
          <cell r="U730" t="str">
            <v>2004MT</v>
          </cell>
          <cell r="V730">
            <v>6.0520032000000001E-2</v>
          </cell>
          <cell r="W730">
            <v>5.1214043000000001E-2</v>
          </cell>
          <cell r="X730">
            <v>0.24859647000000001</v>
          </cell>
          <cell r="Y730">
            <v>0.16530719099999999</v>
          </cell>
          <cell r="Z730">
            <v>0.47436226399999998</v>
          </cell>
          <cell r="AB730" t="str">
            <v>2004MT</v>
          </cell>
          <cell r="AC730">
            <v>0</v>
          </cell>
          <cell r="AD730">
            <v>0</v>
          </cell>
          <cell r="AE730">
            <v>0.6</v>
          </cell>
          <cell r="AF730">
            <v>0.4</v>
          </cell>
        </row>
        <row r="731">
          <cell r="B731" t="str">
            <v>2004NE</v>
          </cell>
          <cell r="C731">
            <v>0.21260954807532403</v>
          </cell>
          <cell r="D731">
            <v>0.30324255962083846</v>
          </cell>
          <cell r="E731">
            <v>6.1277054134417128E-2</v>
          </cell>
          <cell r="F731">
            <v>0.34696077142199511</v>
          </cell>
          <cell r="G731">
            <v>3.6278454935301678E-2</v>
          </cell>
          <cell r="H731">
            <v>3.9631611812123581E-2</v>
          </cell>
          <cell r="J731" t="str">
            <v>2004NE</v>
          </cell>
          <cell r="K731">
            <v>0.90244449093028123</v>
          </cell>
          <cell r="L731">
            <v>3.6278454935301678E-2</v>
          </cell>
          <cell r="M731">
            <v>6.1277054134417128E-2</v>
          </cell>
          <cell r="U731" t="str">
            <v>2004NE</v>
          </cell>
          <cell r="V731">
            <v>3.0063880000000001E-2</v>
          </cell>
          <cell r="W731">
            <v>4.5295173000000001E-2</v>
          </cell>
          <cell r="X731">
            <v>0.27751980599999998</v>
          </cell>
          <cell r="Y731">
            <v>0.147715386</v>
          </cell>
          <cell r="Z731">
            <v>0.49940575500000001</v>
          </cell>
          <cell r="AB731" t="str">
            <v>2004NE</v>
          </cell>
          <cell r="AC731">
            <v>0</v>
          </cell>
          <cell r="AD731">
            <v>0</v>
          </cell>
          <cell r="AE731">
            <v>0.02</v>
          </cell>
          <cell r="AF731">
            <v>0.98</v>
          </cell>
        </row>
        <row r="732">
          <cell r="B732" t="str">
            <v>2004NV</v>
          </cell>
          <cell r="C732">
            <v>0.64210148526116029</v>
          </cell>
          <cell r="D732">
            <v>0.238399883587257</v>
          </cell>
          <cell r="E732">
            <v>4.1594375177217181E-3</v>
          </cell>
          <cell r="F732">
            <v>0.10819864870890922</v>
          </cell>
          <cell r="G732">
            <v>2.4625525602432058E-3</v>
          </cell>
          <cell r="H732">
            <v>4.677992364708553E-3</v>
          </cell>
          <cell r="J732" t="str">
            <v>2004NV</v>
          </cell>
          <cell r="K732">
            <v>0.99337800992203507</v>
          </cell>
          <cell r="L732">
            <v>2.4625525602432058E-3</v>
          </cell>
          <cell r="M732">
            <v>4.1594375177217181E-3</v>
          </cell>
          <cell r="U732" t="str">
            <v>2004NV</v>
          </cell>
          <cell r="V732">
            <v>0.35004114600000003</v>
          </cell>
          <cell r="W732">
            <v>2.4048478000000002E-2</v>
          </cell>
          <cell r="X732">
            <v>3.5747737000000002E-2</v>
          </cell>
          <cell r="Y732">
            <v>0.38867539400000001</v>
          </cell>
          <cell r="Z732">
            <v>0.20148724500000001</v>
          </cell>
          <cell r="AB732" t="str">
            <v>2004NV</v>
          </cell>
          <cell r="AC732">
            <v>0</v>
          </cell>
          <cell r="AD732">
            <v>0</v>
          </cell>
          <cell r="AE732">
            <v>0</v>
          </cell>
          <cell r="AF732">
            <v>1</v>
          </cell>
        </row>
        <row r="733">
          <cell r="B733" t="str">
            <v>2004NH</v>
          </cell>
          <cell r="C733">
            <v>9.4573445198850817E-2</v>
          </cell>
          <cell r="D733">
            <v>0.16340842518862655</v>
          </cell>
          <cell r="E733">
            <v>0.44298025846087286</v>
          </cell>
          <cell r="F733">
            <v>0.20852129702854144</v>
          </cell>
          <cell r="G733">
            <v>6.52134304627775E-2</v>
          </cell>
          <cell r="H733">
            <v>2.5303143660330828E-2</v>
          </cell>
          <cell r="J733" t="str">
            <v>2004NH</v>
          </cell>
          <cell r="K733">
            <v>0.49180631107634964</v>
          </cell>
          <cell r="L733">
            <v>6.52134304627775E-2</v>
          </cell>
          <cell r="M733">
            <v>0.44298025846087286</v>
          </cell>
          <cell r="U733" t="str">
            <v>2004NH</v>
          </cell>
          <cell r="V733">
            <v>0.56759962799999997</v>
          </cell>
          <cell r="W733">
            <v>1.9025615999999999E-2</v>
          </cell>
          <cell r="X733">
            <v>0.119342503</v>
          </cell>
          <cell r="Y733">
            <v>9.1236478999999995E-2</v>
          </cell>
          <cell r="Z733">
            <v>0.20279577500000001</v>
          </cell>
          <cell r="AB733" t="str">
            <v>2004NH</v>
          </cell>
          <cell r="AC733">
            <v>0</v>
          </cell>
          <cell r="AD733">
            <v>0</v>
          </cell>
          <cell r="AE733">
            <v>0.05</v>
          </cell>
          <cell r="AF733">
            <v>0.95</v>
          </cell>
        </row>
        <row r="734">
          <cell r="B734" t="str">
            <v>2004NJ</v>
          </cell>
          <cell r="C734">
            <v>5.8003576611346738E-2</v>
          </cell>
          <cell r="D734">
            <v>0.13897871355240557</v>
          </cell>
          <cell r="E734">
            <v>0.45397029129837874</v>
          </cell>
          <cell r="F734">
            <v>0.24471653627570109</v>
          </cell>
          <cell r="G734">
            <v>7.5126969581826603E-2</v>
          </cell>
          <cell r="H734">
            <v>2.9203912680341212E-2</v>
          </cell>
          <cell r="J734" t="str">
            <v>2004NJ</v>
          </cell>
          <cell r="K734">
            <v>0.47090273911979463</v>
          </cell>
          <cell r="L734">
            <v>7.5126969581826603E-2</v>
          </cell>
          <cell r="M734">
            <v>0.45397029129837874</v>
          </cell>
          <cell r="U734" t="str">
            <v>2004NJ</v>
          </cell>
          <cell r="V734">
            <v>0.30808167400000003</v>
          </cell>
          <cell r="W734">
            <v>3.3011736E-2</v>
          </cell>
          <cell r="X734">
            <v>0.18818818500000001</v>
          </cell>
          <cell r="Y734">
            <v>0.137437002</v>
          </cell>
          <cell r="Z734">
            <v>0.333281404</v>
          </cell>
          <cell r="AB734" t="str">
            <v>2004NJ</v>
          </cell>
          <cell r="AC734">
            <v>0</v>
          </cell>
          <cell r="AD734">
            <v>0</v>
          </cell>
          <cell r="AE734">
            <v>0.05</v>
          </cell>
          <cell r="AF734">
            <v>0.95</v>
          </cell>
        </row>
        <row r="735">
          <cell r="B735" t="str">
            <v>2004NM</v>
          </cell>
          <cell r="C735">
            <v>0.61184589317007076</v>
          </cell>
          <cell r="D735">
            <v>0.19452029294367307</v>
          </cell>
          <cell r="E735">
            <v>9.8952813124742175E-2</v>
          </cell>
          <cell r="F735">
            <v>9.4174237847419268E-2</v>
          </cell>
          <cell r="G735">
            <v>0</v>
          </cell>
          <cell r="H735">
            <v>5.0676291409465751E-4</v>
          </cell>
          <cell r="J735" t="str">
            <v>2004NM</v>
          </cell>
          <cell r="K735">
            <v>0.90104718687525787</v>
          </cell>
          <cell r="L735">
            <v>0</v>
          </cell>
          <cell r="M735">
            <v>9.8952813124742175E-2</v>
          </cell>
          <cell r="U735" t="str">
            <v>2004NM</v>
          </cell>
          <cell r="V735">
            <v>0.91655606099999998</v>
          </cell>
          <cell r="W735">
            <v>3.6715329999999998E-3</v>
          </cell>
          <cell r="X735">
            <v>2.3030526999999999E-2</v>
          </cell>
          <cell r="Y735">
            <v>1.7606671000000001E-2</v>
          </cell>
          <cell r="Z735">
            <v>3.9135206999999998E-2</v>
          </cell>
          <cell r="AB735" t="str">
            <v>2004NM</v>
          </cell>
          <cell r="AC735">
            <v>0</v>
          </cell>
          <cell r="AD735">
            <v>0</v>
          </cell>
          <cell r="AE735">
            <v>0.6</v>
          </cell>
          <cell r="AF735">
            <v>0.4</v>
          </cell>
        </row>
        <row r="736">
          <cell r="B736" t="str">
            <v>2004NY</v>
          </cell>
          <cell r="C736">
            <v>9.8408703041683282E-2</v>
          </cell>
          <cell r="D736">
            <v>0.15954377256245178</v>
          </cell>
          <cell r="E736">
            <v>0.44849165243165579</v>
          </cell>
          <cell r="F736">
            <v>0.20287733376538455</v>
          </cell>
          <cell r="G736">
            <v>7.0184973363303343E-2</v>
          </cell>
          <cell r="H736">
            <v>2.0493564835521279E-2</v>
          </cell>
          <cell r="J736" t="str">
            <v>2004NY</v>
          </cell>
          <cell r="K736">
            <v>0.4813233742050409</v>
          </cell>
          <cell r="L736">
            <v>7.0184973363303343E-2</v>
          </cell>
          <cell r="M736">
            <v>0.44849165243165579</v>
          </cell>
          <cell r="U736" t="str">
            <v>2004NY</v>
          </cell>
          <cell r="V736">
            <v>0.20441514899999999</v>
          </cell>
          <cell r="W736">
            <v>4.1815811000000001E-2</v>
          </cell>
          <cell r="X736">
            <v>0.21220383400000001</v>
          </cell>
          <cell r="Y736">
            <v>0.145168144</v>
          </cell>
          <cell r="Z736">
            <v>0.396397061</v>
          </cell>
          <cell r="AB736" t="str">
            <v>2004NY</v>
          </cell>
          <cell r="AC736">
            <v>0</v>
          </cell>
          <cell r="AD736">
            <v>0</v>
          </cell>
          <cell r="AE736">
            <v>0.05</v>
          </cell>
          <cell r="AF736">
            <v>0.95</v>
          </cell>
        </row>
        <row r="737">
          <cell r="B737" t="str">
            <v>2004NC</v>
          </cell>
          <cell r="C737">
            <v>6.168821577504751E-2</v>
          </cell>
          <cell r="D737">
            <v>0.11278426418396881</v>
          </cell>
          <cell r="E737">
            <v>0.15395779991170949</v>
          </cell>
          <cell r="F737">
            <v>0.11589101949636353</v>
          </cell>
          <cell r="G737">
            <v>0.54100750469043157</v>
          </cell>
          <cell r="H737">
            <v>1.4671195942479084E-2</v>
          </cell>
          <cell r="J737" t="str">
            <v>2004NC</v>
          </cell>
          <cell r="K737">
            <v>0.30503469539785888</v>
          </cell>
          <cell r="L737">
            <v>0.54100750469043157</v>
          </cell>
          <cell r="M737">
            <v>0.15395779991170949</v>
          </cell>
          <cell r="U737" t="str">
            <v>2004NC</v>
          </cell>
          <cell r="V737">
            <v>2.4742549999999999E-3</v>
          </cell>
          <cell r="W737">
            <v>3.7123251000000003E-2</v>
          </cell>
          <cell r="X737">
            <v>6.1645423999999997E-2</v>
          </cell>
          <cell r="Y737">
            <v>0.58464508599999998</v>
          </cell>
          <cell r="Z737">
            <v>0.31411198400000001</v>
          </cell>
          <cell r="AB737" t="str">
            <v>2004NC</v>
          </cell>
          <cell r="AC737">
            <v>0</v>
          </cell>
          <cell r="AD737">
            <v>0</v>
          </cell>
          <cell r="AE737">
            <v>0.41899999999999998</v>
          </cell>
          <cell r="AF737">
            <v>0.58099999999999996</v>
          </cell>
        </row>
        <row r="738">
          <cell r="B738" t="str">
            <v>2004ND</v>
          </cell>
          <cell r="C738">
            <v>0.1196932700797023</v>
          </cell>
          <cell r="D738">
            <v>0.21866711268457967</v>
          </cell>
          <cell r="E738">
            <v>0.10978970169096619</v>
          </cell>
          <cell r="F738">
            <v>0.448028418369537</v>
          </cell>
          <cell r="G738">
            <v>6.499987314042277E-2</v>
          </cell>
          <cell r="H738">
            <v>3.8821624034792085E-2</v>
          </cell>
          <cell r="J738" t="str">
            <v>2004ND</v>
          </cell>
          <cell r="K738">
            <v>0.82521042516861098</v>
          </cell>
          <cell r="L738">
            <v>6.499987314042277E-2</v>
          </cell>
          <cell r="M738">
            <v>0.10978970169096619</v>
          </cell>
          <cell r="U738" t="str">
            <v>2004ND</v>
          </cell>
          <cell r="V738">
            <v>8.8434773999999994E-2</v>
          </cell>
          <cell r="W738">
            <v>4.7868137999999998E-2</v>
          </cell>
          <cell r="X738">
            <v>0.243186129</v>
          </cell>
          <cell r="Y738">
            <v>0.16647603599999999</v>
          </cell>
          <cell r="Z738">
            <v>0.45403492299999998</v>
          </cell>
          <cell r="AB738" t="str">
            <v>2004ND</v>
          </cell>
          <cell r="AC738">
            <v>0</v>
          </cell>
          <cell r="AD738">
            <v>0</v>
          </cell>
          <cell r="AE738">
            <v>0.02</v>
          </cell>
          <cell r="AF738">
            <v>0.98</v>
          </cell>
        </row>
        <row r="739">
          <cell r="B739" t="str">
            <v>2004OH</v>
          </cell>
          <cell r="C739">
            <v>0.10753833947858983</v>
          </cell>
          <cell r="D739">
            <v>0.22522557822049544</v>
          </cell>
          <cell r="E739">
            <v>0.13589110116557596</v>
          </cell>
          <cell r="F739">
            <v>0.4097570212201273</v>
          </cell>
          <cell r="G739">
            <v>8.0452940491062386E-2</v>
          </cell>
          <cell r="H739">
            <v>4.1135019424149183E-2</v>
          </cell>
          <cell r="J739" t="str">
            <v>2004OH</v>
          </cell>
          <cell r="K739">
            <v>0.78365595834336166</v>
          </cell>
          <cell r="L739">
            <v>8.0452940491062386E-2</v>
          </cell>
          <cell r="M739">
            <v>0.13589110116557596</v>
          </cell>
          <cell r="U739" t="str">
            <v>2004OH</v>
          </cell>
          <cell r="V739">
            <v>6.6338901000000006E-2</v>
          </cell>
          <cell r="W739">
            <v>4.3119113000000001E-2</v>
          </cell>
          <cell r="X739">
            <v>0.26533305600000001</v>
          </cell>
          <cell r="Y739">
            <v>0.15267545299999999</v>
          </cell>
          <cell r="Z739">
            <v>0.47253347699999998</v>
          </cell>
          <cell r="AB739" t="str">
            <v>2004OH</v>
          </cell>
          <cell r="AC739">
            <v>0</v>
          </cell>
          <cell r="AD739">
            <v>0</v>
          </cell>
          <cell r="AE739">
            <v>0</v>
          </cell>
          <cell r="AF739">
            <v>1</v>
          </cell>
        </row>
        <row r="740">
          <cell r="B740" t="str">
            <v>2004OK</v>
          </cell>
          <cell r="C740">
            <v>0.40296958934788546</v>
          </cell>
          <cell r="D740">
            <v>0.22528492954061258</v>
          </cell>
          <cell r="E740">
            <v>6.4896255940651446E-2</v>
          </cell>
          <cell r="F740">
            <v>0.24738177570149189</v>
          </cell>
          <cell r="G740">
            <v>0</v>
          </cell>
          <cell r="H740">
            <v>5.9467449469358676E-2</v>
          </cell>
          <cell r="J740" t="str">
            <v>2004OK</v>
          </cell>
          <cell r="K740">
            <v>0.9351037440593486</v>
          </cell>
          <cell r="L740">
            <v>0</v>
          </cell>
          <cell r="M740">
            <v>6.4896255940651446E-2</v>
          </cell>
          <cell r="U740" t="str">
            <v>2004OK</v>
          </cell>
          <cell r="V740">
            <v>1.2831308E-2</v>
          </cell>
          <cell r="W740">
            <v>3.6793041999999998E-2</v>
          </cell>
          <cell r="X740">
            <v>6.2749109999999997E-2</v>
          </cell>
          <cell r="Y740">
            <v>0.57552135800000004</v>
          </cell>
          <cell r="Z740">
            <v>0.31210518199999998</v>
          </cell>
          <cell r="AB740" t="str">
            <v>2004OK</v>
          </cell>
          <cell r="AC740">
            <v>0</v>
          </cell>
          <cell r="AD740">
            <v>0</v>
          </cell>
          <cell r="AE740">
            <v>0.6</v>
          </cell>
          <cell r="AF740">
            <v>0.4</v>
          </cell>
        </row>
        <row r="741">
          <cell r="B741" t="str">
            <v>2004OR</v>
          </cell>
          <cell r="C741">
            <v>0.43856747008812064</v>
          </cell>
          <cell r="D741">
            <v>0.20958259090942544</v>
          </cell>
          <cell r="E741">
            <v>0</v>
          </cell>
          <cell r="F741">
            <v>0.12862948158709187</v>
          </cell>
          <cell r="G741">
            <v>0.2018533708975031</v>
          </cell>
          <cell r="H741">
            <v>2.1367086517858933E-2</v>
          </cell>
          <cell r="J741" t="str">
            <v>2004OR</v>
          </cell>
          <cell r="K741">
            <v>0.7981466291024969</v>
          </cell>
          <cell r="L741">
            <v>0.2018533708975031</v>
          </cell>
          <cell r="M741">
            <v>0</v>
          </cell>
          <cell r="U741" t="str">
            <v>2004OR</v>
          </cell>
          <cell r="V741">
            <v>0.57640796000000005</v>
          </cell>
          <cell r="W741">
            <v>1.863805E-2</v>
          </cell>
          <cell r="X741">
            <v>0.116911403</v>
          </cell>
          <cell r="Y741">
            <v>8.937792E-2</v>
          </cell>
          <cell r="Z741">
            <v>0.19866466699999999</v>
          </cell>
          <cell r="AB741" t="str">
            <v>2004OR</v>
          </cell>
          <cell r="AC741">
            <v>0</v>
          </cell>
          <cell r="AD741">
            <v>0</v>
          </cell>
          <cell r="AE741">
            <v>0.25</v>
          </cell>
          <cell r="AF741">
            <v>0.75</v>
          </cell>
        </row>
        <row r="742">
          <cell r="B742" t="str">
            <v>2004PA</v>
          </cell>
          <cell r="C742">
            <v>4.9624045569858895E-2</v>
          </cell>
          <cell r="D742">
            <v>0.11712497857538914</v>
          </cell>
          <cell r="E742">
            <v>0.46874549019831585</v>
          </cell>
          <cell r="F742">
            <v>0.25230966018477574</v>
          </cell>
          <cell r="G742">
            <v>8.8454910858433447E-2</v>
          </cell>
          <cell r="H742">
            <v>2.3740914613226898E-2</v>
          </cell>
          <cell r="J742" t="str">
            <v>2004PA</v>
          </cell>
          <cell r="K742">
            <v>0.44279959894325072</v>
          </cell>
          <cell r="L742">
            <v>8.8454910858433447E-2</v>
          </cell>
          <cell r="M742">
            <v>0.46874549019831585</v>
          </cell>
          <cell r="U742" t="str">
            <v>2004PA</v>
          </cell>
          <cell r="V742">
            <v>5.0102499000000002E-2</v>
          </cell>
          <cell r="W742">
            <v>4.9409870000000002E-2</v>
          </cell>
          <cell r="X742">
            <v>0.25392279899999998</v>
          </cell>
          <cell r="Y742">
            <v>0.17504710600000001</v>
          </cell>
          <cell r="Z742">
            <v>0.47151772600000003</v>
          </cell>
          <cell r="AB742" t="str">
            <v>2004PA</v>
          </cell>
          <cell r="AC742">
            <v>0</v>
          </cell>
          <cell r="AD742">
            <v>0</v>
          </cell>
          <cell r="AE742">
            <v>0</v>
          </cell>
          <cell r="AF742">
            <v>1</v>
          </cell>
        </row>
        <row r="743">
          <cell r="B743" t="str">
            <v>2004RI</v>
          </cell>
          <cell r="C743">
            <v>4.2447025005926793E-2</v>
          </cell>
          <cell r="D743">
            <v>0.1190174947032642</v>
          </cell>
          <cell r="E743">
            <v>0.46784468707451643</v>
          </cell>
          <cell r="F743">
            <v>0.25730854976835782</v>
          </cell>
          <cell r="G743">
            <v>8.7642343040085183E-2</v>
          </cell>
          <cell r="H743">
            <v>2.5739900407849584E-2</v>
          </cell>
          <cell r="J743" t="str">
            <v>2004RI</v>
          </cell>
          <cell r="K743">
            <v>0.44451296988539835</v>
          </cell>
          <cell r="L743">
            <v>8.7642343040085183E-2</v>
          </cell>
          <cell r="M743">
            <v>0.46784468707451643</v>
          </cell>
          <cell r="U743" t="str">
            <v>2004RI</v>
          </cell>
          <cell r="V743">
            <v>0.56026879500000004</v>
          </cell>
          <cell r="W743">
            <v>1.9348173E-2</v>
          </cell>
          <cell r="X743">
            <v>0.121365813</v>
          </cell>
          <cell r="Y743">
            <v>9.2783283999999994E-2</v>
          </cell>
          <cell r="Z743">
            <v>0.20623393500000001</v>
          </cell>
          <cell r="AB743" t="str">
            <v>2004RI</v>
          </cell>
          <cell r="AC743">
            <v>0</v>
          </cell>
          <cell r="AD743">
            <v>0</v>
          </cell>
          <cell r="AE743">
            <v>0.05</v>
          </cell>
          <cell r="AF743">
            <v>0.95</v>
          </cell>
        </row>
        <row r="744">
          <cell r="B744" t="str">
            <v>2004SC</v>
          </cell>
          <cell r="C744">
            <v>0.13346180610825578</v>
          </cell>
          <cell r="D744">
            <v>9.0019723091430845E-2</v>
          </cell>
          <cell r="E744">
            <v>0.15451296947775242</v>
          </cell>
          <cell r="F744">
            <v>8.0687406490411034E-2</v>
          </cell>
          <cell r="G744">
            <v>0.53771407690020812</v>
          </cell>
          <cell r="H744">
            <v>3.6040179319418398E-3</v>
          </cell>
          <cell r="J744" t="str">
            <v>2004SC</v>
          </cell>
          <cell r="K744">
            <v>0.30777295362203949</v>
          </cell>
          <cell r="L744">
            <v>0.53771407690020812</v>
          </cell>
          <cell r="M744">
            <v>0.15451296947775242</v>
          </cell>
          <cell r="U744" t="str">
            <v>2004SC</v>
          </cell>
          <cell r="V744">
            <v>6.1629585000000001E-2</v>
          </cell>
          <cell r="W744">
            <v>3.5823032999999997E-2</v>
          </cell>
          <cell r="X744">
            <v>8.6443989999999998E-2</v>
          </cell>
          <cell r="Y744">
            <v>0.50014727299999995</v>
          </cell>
          <cell r="Z744">
            <v>0.31595611899999998</v>
          </cell>
          <cell r="AB744" t="str">
            <v>2004SC</v>
          </cell>
          <cell r="AC744">
            <v>0</v>
          </cell>
          <cell r="AD744">
            <v>0</v>
          </cell>
          <cell r="AE744">
            <v>0.6</v>
          </cell>
          <cell r="AF744">
            <v>0.4</v>
          </cell>
        </row>
        <row r="745">
          <cell r="B745" t="str">
            <v>2004SD</v>
          </cell>
          <cell r="C745">
            <v>0.17608951911561277</v>
          </cell>
          <cell r="D745">
            <v>0.277831368160596</v>
          </cell>
          <cell r="E745">
            <v>7.9800561964795444E-2</v>
          </cell>
          <cell r="F745">
            <v>0.37802114842972712</v>
          </cell>
          <cell r="G745">
            <v>4.724510882492864E-2</v>
          </cell>
          <cell r="H745">
            <v>4.1012293504340026E-2</v>
          </cell>
          <cell r="J745" t="str">
            <v>2004SD</v>
          </cell>
          <cell r="K745">
            <v>0.87295432921027594</v>
          </cell>
          <cell r="L745">
            <v>4.724510882492864E-2</v>
          </cell>
          <cell r="M745">
            <v>7.9800561964795444E-2</v>
          </cell>
          <cell r="U745" t="str">
            <v>2004SD</v>
          </cell>
          <cell r="V745">
            <v>3.3046748000000001E-2</v>
          </cell>
          <cell r="W745">
            <v>5.1157264000000001E-2</v>
          </cell>
          <cell r="X745">
            <v>0.25755016600000002</v>
          </cell>
          <cell r="Y745">
            <v>0.17532273200000001</v>
          </cell>
          <cell r="Z745">
            <v>0.48292308900000003</v>
          </cell>
          <cell r="AB745" t="str">
            <v>2004SD</v>
          </cell>
          <cell r="AC745">
            <v>0</v>
          </cell>
          <cell r="AD745">
            <v>0</v>
          </cell>
          <cell r="AE745">
            <v>0.02</v>
          </cell>
          <cell r="AF745">
            <v>0.98</v>
          </cell>
        </row>
        <row r="746">
          <cell r="B746" t="str">
            <v>2004TN</v>
          </cell>
          <cell r="C746">
            <v>4.0519949592449485E-2</v>
          </cell>
          <cell r="D746">
            <v>8.9664149461423162E-2</v>
          </cell>
          <cell r="E746">
            <v>0.14551684926860037</v>
          </cell>
          <cell r="F746">
            <v>0.1170185785979804</v>
          </cell>
          <cell r="G746">
            <v>0.59108168584929244</v>
          </cell>
          <cell r="H746">
            <v>1.6198787230254148E-2</v>
          </cell>
          <cell r="J746" t="str">
            <v>2004TN</v>
          </cell>
          <cell r="K746">
            <v>0.26340146488210725</v>
          </cell>
          <cell r="L746">
            <v>0.59108168584929244</v>
          </cell>
          <cell r="M746">
            <v>0.14551684926860037</v>
          </cell>
          <cell r="U746" t="str">
            <v>2004TN</v>
          </cell>
          <cell r="V746">
            <v>0.102875089</v>
          </cell>
          <cell r="W746">
            <v>3.5402429999999999E-2</v>
          </cell>
          <cell r="X746">
            <v>0.119077104</v>
          </cell>
          <cell r="Y746">
            <v>0.41436515099999999</v>
          </cell>
          <cell r="Z746">
            <v>0.32828022600000001</v>
          </cell>
          <cell r="AB746" t="str">
            <v>2004TN</v>
          </cell>
          <cell r="AC746">
            <v>0</v>
          </cell>
          <cell r="AD746">
            <v>0</v>
          </cell>
          <cell r="AE746">
            <v>0.05</v>
          </cell>
          <cell r="AF746">
            <v>0.95</v>
          </cell>
        </row>
        <row r="747">
          <cell r="B747" t="str">
            <v>2004TX</v>
          </cell>
          <cell r="C747">
            <v>0.53305655520056971</v>
          </cell>
          <cell r="D747">
            <v>0.24233312613196878</v>
          </cell>
          <cell r="E747">
            <v>7.9791980793249173E-2</v>
          </cell>
          <cell r="F747">
            <v>0.1278405091499755</v>
          </cell>
          <cell r="G747">
            <v>0</v>
          </cell>
          <cell r="H747">
            <v>1.6977828724236681E-2</v>
          </cell>
          <cell r="J747" t="str">
            <v>2004TX</v>
          </cell>
          <cell r="K747">
            <v>0.92020801920675077</v>
          </cell>
          <cell r="L747">
            <v>0</v>
          </cell>
          <cell r="M747">
            <v>7.9791980793249173E-2</v>
          </cell>
          <cell r="U747" t="str">
            <v>2004TX</v>
          </cell>
          <cell r="V747">
            <v>6.9632535999999995E-2</v>
          </cell>
          <cell r="W747">
            <v>3.4700662E-2</v>
          </cell>
          <cell r="X747">
            <v>5.9917572000000002E-2</v>
          </cell>
          <cell r="Y747">
            <v>0.54104196599999999</v>
          </cell>
          <cell r="Z747">
            <v>0.29470726400000002</v>
          </cell>
          <cell r="AB747" t="str">
            <v>2004TX</v>
          </cell>
          <cell r="AC747">
            <v>0</v>
          </cell>
          <cell r="AD747">
            <v>0</v>
          </cell>
          <cell r="AE747">
            <v>0.12</v>
          </cell>
          <cell r="AF747">
            <v>0.88</v>
          </cell>
        </row>
        <row r="748">
          <cell r="B748" t="str">
            <v>2004UT</v>
          </cell>
          <cell r="C748">
            <v>0.51165623152884221</v>
          </cell>
          <cell r="D748">
            <v>0.26394677259150623</v>
          </cell>
          <cell r="E748">
            <v>1.3999177703951423E-2</v>
          </cell>
          <cell r="F748">
            <v>0.17036034814732054</v>
          </cell>
          <cell r="G748">
            <v>8.2880703819413898E-3</v>
          </cell>
          <cell r="H748">
            <v>3.1749399646438282E-2</v>
          </cell>
          <cell r="J748" t="str">
            <v>2004UT</v>
          </cell>
          <cell r="K748">
            <v>0.97771275191410723</v>
          </cell>
          <cell r="L748">
            <v>8.2880703819413898E-3</v>
          </cell>
          <cell r="M748">
            <v>1.3999177703951423E-2</v>
          </cell>
          <cell r="U748" t="str">
            <v>2004UT</v>
          </cell>
          <cell r="V748">
            <v>8.6456620000000001E-3</v>
          </cell>
          <cell r="W748">
            <v>5.5424775000000003E-2</v>
          </cell>
          <cell r="X748">
            <v>0.260824848</v>
          </cell>
          <cell r="Y748">
            <v>0.16982515300000001</v>
          </cell>
          <cell r="Z748">
            <v>0.50527956200000002</v>
          </cell>
          <cell r="AB748" t="str">
            <v>2004UT</v>
          </cell>
          <cell r="AC748">
            <v>0</v>
          </cell>
          <cell r="AD748">
            <v>0</v>
          </cell>
          <cell r="AE748">
            <v>0.6</v>
          </cell>
          <cell r="AF748">
            <v>0.4</v>
          </cell>
        </row>
        <row r="749">
          <cell r="B749" t="str">
            <v>2004VT</v>
          </cell>
          <cell r="C749">
            <v>9.9973781354903396E-2</v>
          </cell>
          <cell r="D749">
            <v>0.17387691112967565</v>
          </cell>
          <cell r="E749">
            <v>0.44423932842492886</v>
          </cell>
          <cell r="F749">
            <v>0.19448861844630186</v>
          </cell>
          <cell r="G749">
            <v>6.6349172232328182E-2</v>
          </cell>
          <cell r="H749">
            <v>2.1072188411862088E-2</v>
          </cell>
          <cell r="J749" t="str">
            <v>2004VT</v>
          </cell>
          <cell r="K749">
            <v>0.48941149934274297</v>
          </cell>
          <cell r="L749">
            <v>6.6349172232328182E-2</v>
          </cell>
          <cell r="M749">
            <v>0.44423932842492886</v>
          </cell>
          <cell r="U749" t="str">
            <v>2004VT</v>
          </cell>
          <cell r="V749">
            <v>0.86037974299999997</v>
          </cell>
          <cell r="W749">
            <v>6.1432910000000004E-3</v>
          </cell>
          <cell r="X749">
            <v>3.8535191000000003E-2</v>
          </cell>
          <cell r="Y749">
            <v>2.9459874E-2</v>
          </cell>
          <cell r="Z749">
            <v>6.5481899999999996E-2</v>
          </cell>
          <cell r="AB749" t="str">
            <v>2004VT</v>
          </cell>
          <cell r="AC749">
            <v>0</v>
          </cell>
          <cell r="AD749">
            <v>0</v>
          </cell>
          <cell r="AE749">
            <v>0.05</v>
          </cell>
          <cell r="AF749">
            <v>0.95</v>
          </cell>
        </row>
        <row r="750">
          <cell r="B750" t="str">
            <v>2004VA</v>
          </cell>
          <cell r="C750">
            <v>4.4953509549794296E-2</v>
          </cell>
          <cell r="D750">
            <v>9.339670802378576E-2</v>
          </cell>
          <cell r="E750">
            <v>0.14844092890155638</v>
          </cell>
          <cell r="F750">
            <v>0.12331550684410268</v>
          </cell>
          <cell r="G750">
            <v>0.5737351926100378</v>
          </cell>
          <cell r="H750">
            <v>1.6158154070723133E-2</v>
          </cell>
          <cell r="J750" t="str">
            <v>2004VA</v>
          </cell>
          <cell r="K750">
            <v>0.27782387848840584</v>
          </cell>
          <cell r="L750">
            <v>0.5737351926100378</v>
          </cell>
          <cell r="M750">
            <v>0.14844092890155638</v>
          </cell>
          <cell r="U750" t="str">
            <v>2004VA</v>
          </cell>
          <cell r="V750">
            <v>3.3934871999999998E-2</v>
          </cell>
          <cell r="W750">
            <v>3.6244844999999998E-2</v>
          </cell>
          <cell r="X750">
            <v>6.8933026999999994E-2</v>
          </cell>
          <cell r="Y750">
            <v>0.550040046</v>
          </cell>
          <cell r="Z750">
            <v>0.31084721100000001</v>
          </cell>
          <cell r="AB750" t="str">
            <v>2004VA</v>
          </cell>
          <cell r="AC750">
            <v>0</v>
          </cell>
          <cell r="AD750">
            <v>0</v>
          </cell>
          <cell r="AE750">
            <v>0.05</v>
          </cell>
          <cell r="AF750">
            <v>0.95</v>
          </cell>
        </row>
        <row r="751">
          <cell r="B751" t="str">
            <v>2004WA</v>
          </cell>
          <cell r="C751">
            <v>0.48742079910802349</v>
          </cell>
          <cell r="D751">
            <v>0.21961274491816118</v>
          </cell>
          <cell r="E751">
            <v>0</v>
          </cell>
          <cell r="F751">
            <v>0.11254281869932067</v>
          </cell>
          <cell r="G751">
            <v>0.16627589127589129</v>
          </cell>
          <cell r="H751">
            <v>1.4147745998603438E-2</v>
          </cell>
          <cell r="J751" t="str">
            <v>2004WA</v>
          </cell>
          <cell r="K751">
            <v>0.83372410872410874</v>
          </cell>
          <cell r="L751">
            <v>0.16627589127589129</v>
          </cell>
          <cell r="M751">
            <v>0</v>
          </cell>
          <cell r="U751" t="str">
            <v>2004WA</v>
          </cell>
          <cell r="V751">
            <v>0.37353494700000001</v>
          </cell>
          <cell r="W751">
            <v>3.1263627000000002E-2</v>
          </cell>
          <cell r="X751">
            <v>0.168896926</v>
          </cell>
          <cell r="Y751">
            <v>0.119853577</v>
          </cell>
          <cell r="Z751">
            <v>0.30645092299999999</v>
          </cell>
          <cell r="AB751" t="str">
            <v>2004WA</v>
          </cell>
          <cell r="AC751">
            <v>0</v>
          </cell>
          <cell r="AD751">
            <v>0</v>
          </cell>
          <cell r="AE751">
            <v>0.12</v>
          </cell>
          <cell r="AF751">
            <v>0.88</v>
          </cell>
        </row>
        <row r="752">
          <cell r="B752" t="str">
            <v>2004WV</v>
          </cell>
          <cell r="C752">
            <v>6.8751812683186322E-2</v>
          </cell>
          <cell r="D752">
            <v>0.15888641455628993</v>
          </cell>
          <cell r="E752">
            <v>0.44831485363191043</v>
          </cell>
          <cell r="F752">
            <v>0.22633984896592482</v>
          </cell>
          <cell r="G752">
            <v>7.0025492327769459E-2</v>
          </cell>
          <cell r="H752">
            <v>2.7681577834919095E-2</v>
          </cell>
          <cell r="J752" t="str">
            <v>2004WV</v>
          </cell>
          <cell r="K752">
            <v>0.48165965404032007</v>
          </cell>
          <cell r="L752">
            <v>7.0025492327769459E-2</v>
          </cell>
          <cell r="M752">
            <v>0.44831485363191043</v>
          </cell>
          <cell r="U752" t="str">
            <v>2004WV</v>
          </cell>
          <cell r="V752">
            <v>0.57920187499999998</v>
          </cell>
          <cell r="W752">
            <v>2.1256934000000002E-2</v>
          </cell>
          <cell r="X752">
            <v>0.113169981</v>
          </cell>
          <cell r="Y752">
            <v>7.9649016000000003E-2</v>
          </cell>
          <cell r="Z752">
            <v>0.206722194</v>
          </cell>
          <cell r="AB752" t="str">
            <v>2004WV</v>
          </cell>
          <cell r="AC752">
            <v>0</v>
          </cell>
          <cell r="AD752">
            <v>0</v>
          </cell>
          <cell r="AE752">
            <v>0.05</v>
          </cell>
          <cell r="AF752">
            <v>0.95</v>
          </cell>
        </row>
        <row r="753">
          <cell r="B753" t="str">
            <v>2004WI</v>
          </cell>
          <cell r="C753">
            <v>0.12203432597344931</v>
          </cell>
          <cell r="D753">
            <v>0.23555629715568294</v>
          </cell>
          <cell r="E753">
            <v>0.11540173598404266</v>
          </cell>
          <cell r="F753">
            <v>0.42032708364290838</v>
          </cell>
          <cell r="G753">
            <v>6.8322420806473022E-2</v>
          </cell>
          <cell r="H753">
            <v>3.8358136437443673E-2</v>
          </cell>
          <cell r="J753" t="str">
            <v>2004WI</v>
          </cell>
          <cell r="K753">
            <v>0.81627584320948432</v>
          </cell>
          <cell r="L753">
            <v>6.8322420806473022E-2</v>
          </cell>
          <cell r="M753">
            <v>0.11540173598404266</v>
          </cell>
          <cell r="U753" t="str">
            <v>2004WI</v>
          </cell>
          <cell r="V753">
            <v>0.12883246500000001</v>
          </cell>
          <cell r="W753">
            <v>4.2564396999999997E-2</v>
          </cell>
          <cell r="X753">
            <v>0.23585646199999999</v>
          </cell>
          <cell r="Y753">
            <v>0.16970626599999999</v>
          </cell>
          <cell r="Z753">
            <v>0.42304040999999998</v>
          </cell>
          <cell r="AB753" t="str">
            <v>2004WI</v>
          </cell>
          <cell r="AC753">
            <v>0</v>
          </cell>
          <cell r="AD753">
            <v>0</v>
          </cell>
          <cell r="AE753">
            <v>0.02</v>
          </cell>
          <cell r="AF753">
            <v>0.98</v>
          </cell>
        </row>
        <row r="754">
          <cell r="B754" t="str">
            <v>2004WY</v>
          </cell>
          <cell r="C754">
            <v>0.29508724522063295</v>
          </cell>
          <cell r="D754">
            <v>0.23251729773373622</v>
          </cell>
          <cell r="E754">
            <v>0.12161775942187937</v>
          </cell>
          <cell r="F754">
            <v>0.2207502472879718</v>
          </cell>
          <cell r="G754">
            <v>7.2002554085590281E-2</v>
          </cell>
          <cell r="H754">
            <v>5.8024896250189507E-2</v>
          </cell>
          <cell r="J754" t="str">
            <v>2004WY</v>
          </cell>
          <cell r="K754">
            <v>0.80637968649253033</v>
          </cell>
          <cell r="L754">
            <v>7.2002554085590281E-2</v>
          </cell>
          <cell r="M754">
            <v>0.12161775942187937</v>
          </cell>
          <cell r="U754" t="str">
            <v>2004WY</v>
          </cell>
          <cell r="V754">
            <v>3.2109568999999998E-2</v>
          </cell>
          <cell r="W754">
            <v>5.3596850000000001E-2</v>
          </cell>
          <cell r="X754">
            <v>0.25521061499999997</v>
          </cell>
          <cell r="Y754">
            <v>0.16752597599999999</v>
          </cell>
          <cell r="Z754">
            <v>0.49155699000000003</v>
          </cell>
          <cell r="AB754" t="str">
            <v>2004WY</v>
          </cell>
          <cell r="AC754">
            <v>0</v>
          </cell>
          <cell r="AD754">
            <v>0</v>
          </cell>
          <cell r="AE754">
            <v>0.6</v>
          </cell>
          <cell r="AF754">
            <v>0.4</v>
          </cell>
        </row>
        <row r="755">
          <cell r="B755" t="str">
            <v>2005AL</v>
          </cell>
          <cell r="C755">
            <v>0.17233560131521788</v>
          </cell>
          <cell r="D755">
            <v>9.7606154746872412E-2</v>
          </cell>
          <cell r="E755">
            <v>0.16919346457207346</v>
          </cell>
          <cell r="F755">
            <v>0.1056405325382436</v>
          </cell>
          <cell r="G755">
            <v>0.45062509818962659</v>
          </cell>
          <cell r="H755">
            <v>4.5991486379660445E-3</v>
          </cell>
          <cell r="J755" t="str">
            <v>2005AL</v>
          </cell>
          <cell r="K755">
            <v>0.38018143723829989</v>
          </cell>
          <cell r="L755">
            <v>0.45062509818962659</v>
          </cell>
          <cell r="M755">
            <v>0.16919346457207346</v>
          </cell>
          <cell r="U755" t="str">
            <v>2005AL</v>
          </cell>
          <cell r="V755">
            <v>5.3114938E-2</v>
          </cell>
          <cell r="W755">
            <v>3.6058960000000001E-2</v>
          </cell>
          <cell r="X755">
            <v>8.4414527000000003E-2</v>
          </cell>
          <cell r="Y755">
            <v>0.50961295299999998</v>
          </cell>
          <cell r="Z755">
            <v>0.316798623</v>
          </cell>
          <cell r="AB755" t="str">
            <v>2005AL</v>
          </cell>
          <cell r="AC755">
            <v>0</v>
          </cell>
          <cell r="AD755">
            <v>0</v>
          </cell>
          <cell r="AE755">
            <v>0.41899999999999998</v>
          </cell>
          <cell r="AF755">
            <v>0.58099999999999996</v>
          </cell>
        </row>
        <row r="756">
          <cell r="B756" t="str">
            <v>2005AK</v>
          </cell>
          <cell r="C756">
            <v>0.30334484066413492</v>
          </cell>
          <cell r="D756">
            <v>0.23769937716735701</v>
          </cell>
          <cell r="E756">
            <v>6.205843688929364E-2</v>
          </cell>
          <cell r="F756">
            <v>0.28363994741136878</v>
          </cell>
          <cell r="G756">
            <v>3.6741064625999714E-2</v>
          </cell>
          <cell r="H756">
            <v>7.6516333241846021E-2</v>
          </cell>
          <cell r="J756" t="str">
            <v>2005AK</v>
          </cell>
          <cell r="K756">
            <v>0.90120049848470662</v>
          </cell>
          <cell r="L756">
            <v>3.6741064625999714E-2</v>
          </cell>
          <cell r="M756">
            <v>6.205843688929364E-2</v>
          </cell>
          <cell r="U756" t="str">
            <v>2005AK</v>
          </cell>
          <cell r="V756">
            <v>0.52632575500000001</v>
          </cell>
          <cell r="W756">
            <v>2.0841667000000001E-2</v>
          </cell>
          <cell r="X756">
            <v>0.130734092</v>
          </cell>
          <cell r="Y756">
            <v>9.9945266000000005E-2</v>
          </cell>
          <cell r="Z756">
            <v>0.22215322100000001</v>
          </cell>
          <cell r="AB756" t="str">
            <v>2005AK</v>
          </cell>
          <cell r="AC756">
            <v>0</v>
          </cell>
          <cell r="AD756">
            <v>0</v>
          </cell>
          <cell r="AE756">
            <v>0.25</v>
          </cell>
          <cell r="AF756">
            <v>0.75</v>
          </cell>
        </row>
        <row r="757">
          <cell r="B757" t="str">
            <v>2005AZ</v>
          </cell>
          <cell r="C757">
            <v>0.611220636654217</v>
          </cell>
          <cell r="D757">
            <v>0.19572797693407004</v>
          </cell>
          <cell r="E757">
            <v>9.865488383487428E-2</v>
          </cell>
          <cell r="F757">
            <v>9.3890669243012675E-2</v>
          </cell>
          <cell r="G757">
            <v>0</v>
          </cell>
          <cell r="H757">
            <v>5.0583333382575558E-4</v>
          </cell>
          <cell r="J757" t="str">
            <v>2005AZ</v>
          </cell>
          <cell r="K757">
            <v>0.90134511616512569</v>
          </cell>
          <cell r="L757">
            <v>0</v>
          </cell>
          <cell r="M757">
            <v>9.865488383487428E-2</v>
          </cell>
          <cell r="U757" t="str">
            <v>2005AZ</v>
          </cell>
          <cell r="V757">
            <v>0.136592664</v>
          </cell>
          <cell r="W757">
            <v>3.2171241000000003E-2</v>
          </cell>
          <cell r="X757">
            <v>5.4596316999999998E-2</v>
          </cell>
          <cell r="Y757">
            <v>0.50386894699999996</v>
          </cell>
          <cell r="Z757">
            <v>0.27277083200000002</v>
          </cell>
          <cell r="AB757" t="str">
            <v>2005AZ</v>
          </cell>
          <cell r="AC757">
            <v>0</v>
          </cell>
          <cell r="AD757">
            <v>0</v>
          </cell>
          <cell r="AE757">
            <v>0.6</v>
          </cell>
          <cell r="AF757">
            <v>0.4</v>
          </cell>
        </row>
        <row r="758">
          <cell r="B758" t="str">
            <v>2005AR</v>
          </cell>
          <cell r="C758">
            <v>9.6391342329605903E-2</v>
          </cell>
          <cell r="D758">
            <v>6.6955456596874061E-2</v>
          </cell>
          <cell r="E758">
            <v>0.14888335780531528</v>
          </cell>
          <cell r="F758">
            <v>0.11118804006195876</v>
          </cell>
          <cell r="G758">
            <v>0.57111057531117648</v>
          </cell>
          <cell r="H758">
            <v>5.4712278950695761E-3</v>
          </cell>
          <cell r="J758" t="str">
            <v>2005AR</v>
          </cell>
          <cell r="K758">
            <v>0.28000606688350826</v>
          </cell>
          <cell r="L758">
            <v>0.57111057531117648</v>
          </cell>
          <cell r="M758">
            <v>0.14888335780531528</v>
          </cell>
          <cell r="U758" t="str">
            <v>2005AR</v>
          </cell>
          <cell r="V758">
            <v>3.9459004999999998E-2</v>
          </cell>
          <cell r="W758">
            <v>3.7640482000000003E-2</v>
          </cell>
          <cell r="X758">
            <v>0.11914443199999999</v>
          </cell>
          <cell r="Y758">
            <v>0.45827781299999998</v>
          </cell>
          <cell r="Z758">
            <v>0.34547826799999998</v>
          </cell>
          <cell r="AB758" t="str">
            <v>2005AR</v>
          </cell>
          <cell r="AC758">
            <v>0</v>
          </cell>
          <cell r="AD758">
            <v>0</v>
          </cell>
          <cell r="AE758">
            <v>0</v>
          </cell>
          <cell r="AF758">
            <v>1</v>
          </cell>
        </row>
        <row r="759">
          <cell r="B759" t="str">
            <v>2005CA</v>
          </cell>
          <cell r="C759">
            <v>0.58081862489107328</v>
          </cell>
          <cell r="D759">
            <v>0.20720345916912225</v>
          </cell>
          <cell r="E759">
            <v>0.10801924509893834</v>
          </cell>
          <cell r="F759">
            <v>9.2431120719429966E-2</v>
          </cell>
          <cell r="G759">
            <v>9.2523577326630076E-3</v>
          </cell>
          <cell r="H759">
            <v>2.2751923887731596E-3</v>
          </cell>
          <cell r="J759" t="str">
            <v>2005CA</v>
          </cell>
          <cell r="K759">
            <v>0.88272839716839868</v>
          </cell>
          <cell r="L759">
            <v>9.2523577326630076E-3</v>
          </cell>
          <cell r="M759">
            <v>0.10801924509893834</v>
          </cell>
          <cell r="U759" t="str">
            <v>2005CA</v>
          </cell>
          <cell r="V759">
            <v>0.133799526</v>
          </cell>
          <cell r="W759">
            <v>3.2941353E-2</v>
          </cell>
          <cell r="X759">
            <v>7.5800703999999997E-2</v>
          </cell>
          <cell r="Y759">
            <v>0.46867659099999998</v>
          </cell>
          <cell r="Z759">
            <v>0.28878182499999999</v>
          </cell>
          <cell r="AB759" t="str">
            <v>2005CA</v>
          </cell>
          <cell r="AC759">
            <v>0</v>
          </cell>
          <cell r="AD759">
            <v>0</v>
          </cell>
          <cell r="AE759">
            <v>0.12</v>
          </cell>
          <cell r="AF759">
            <v>0.88</v>
          </cell>
        </row>
        <row r="760">
          <cell r="B760" t="str">
            <v>2005CO</v>
          </cell>
          <cell r="C760">
            <v>0.61667904285785091</v>
          </cell>
          <cell r="D760">
            <v>0.24212893570430052</v>
          </cell>
          <cell r="E760">
            <v>1.1092391745361967E-2</v>
          </cell>
          <cell r="F760">
            <v>0.11516410971780773</v>
          </cell>
          <cell r="G760">
            <v>6.5671374014829543E-3</v>
          </cell>
          <cell r="H760">
            <v>8.3683825731959392E-3</v>
          </cell>
          <cell r="J760" t="str">
            <v>2005CO</v>
          </cell>
          <cell r="K760">
            <v>0.98234047085315512</v>
          </cell>
          <cell r="L760">
            <v>6.5671374014829543E-3</v>
          </cell>
          <cell r="M760">
            <v>1.1092391745361967E-2</v>
          </cell>
          <cell r="U760" t="str">
            <v>2005CO</v>
          </cell>
          <cell r="V760">
            <v>2.3378138E-2</v>
          </cell>
          <cell r="W760">
            <v>5.3880426000000002E-2</v>
          </cell>
          <cell r="X760">
            <v>0.25772948099999998</v>
          </cell>
          <cell r="Y760">
            <v>0.169703665</v>
          </cell>
          <cell r="Z760">
            <v>0.49530828999999998</v>
          </cell>
          <cell r="AB760" t="str">
            <v>2005CO</v>
          </cell>
          <cell r="AC760">
            <v>0</v>
          </cell>
          <cell r="AD760">
            <v>0</v>
          </cell>
          <cell r="AE760">
            <v>0.6</v>
          </cell>
          <cell r="AF760">
            <v>0.4</v>
          </cell>
        </row>
        <row r="761">
          <cell r="B761" t="str">
            <v>2005CT</v>
          </cell>
          <cell r="C761">
            <v>0.11572842393252261</v>
          </cell>
          <cell r="D761">
            <v>0.20119880615243968</v>
          </cell>
          <cell r="E761">
            <v>0.43233999756560143</v>
          </cell>
          <cell r="F761">
            <v>0.17234541515575838</v>
          </cell>
          <cell r="G761">
            <v>5.5615402487630847E-2</v>
          </cell>
          <cell r="H761">
            <v>2.2771954706046996E-2</v>
          </cell>
          <cell r="J761" t="str">
            <v>2005CT</v>
          </cell>
          <cell r="K761">
            <v>0.51204459994676776</v>
          </cell>
          <cell r="L761">
            <v>5.5615402487630847E-2</v>
          </cell>
          <cell r="M761">
            <v>0.43233999756560143</v>
          </cell>
          <cell r="U761" t="str">
            <v>2005CT</v>
          </cell>
          <cell r="V761">
            <v>0.57363861400000005</v>
          </cell>
          <cell r="W761">
            <v>1.8759900999999999E-2</v>
          </cell>
          <cell r="X761">
            <v>0.117675743</v>
          </cell>
          <cell r="Y761">
            <v>8.9962252000000006E-2</v>
          </cell>
          <cell r="Z761">
            <v>0.19996348999999999</v>
          </cell>
          <cell r="AB761" t="str">
            <v>2005CT</v>
          </cell>
          <cell r="AC761">
            <v>0</v>
          </cell>
          <cell r="AD761">
            <v>0</v>
          </cell>
          <cell r="AE761">
            <v>0.05</v>
          </cell>
          <cell r="AF761">
            <v>0.95</v>
          </cell>
        </row>
        <row r="762">
          <cell r="B762" t="str">
            <v>2005DE</v>
          </cell>
          <cell r="C762">
            <v>0.10201653895343663</v>
          </cell>
          <cell r="D762">
            <v>0.1910091905838856</v>
          </cell>
          <cell r="E762">
            <v>0.43707162937473454</v>
          </cell>
          <cell r="F762">
            <v>0.18637975788177577</v>
          </cell>
          <cell r="G762">
            <v>5.9883562349419175E-2</v>
          </cell>
          <cell r="H762">
            <v>2.3639320856748244E-2</v>
          </cell>
          <cell r="J762" t="str">
            <v>2005DE</v>
          </cell>
          <cell r="K762">
            <v>0.5030448082758463</v>
          </cell>
          <cell r="L762">
            <v>5.9883562349419175E-2</v>
          </cell>
          <cell r="M762">
            <v>0.43707162937473454</v>
          </cell>
          <cell r="U762" t="str">
            <v>2005DE</v>
          </cell>
          <cell r="V762">
            <v>0.120253529</v>
          </cell>
          <cell r="W762">
            <v>4.1631153999999997E-2</v>
          </cell>
          <cell r="X762">
            <v>0.23964419100000001</v>
          </cell>
          <cell r="Y762">
            <v>0.17588547500000001</v>
          </cell>
          <cell r="Z762">
            <v>0.42258565100000001</v>
          </cell>
          <cell r="AB762" t="str">
            <v>2005DE</v>
          </cell>
          <cell r="AC762">
            <v>0</v>
          </cell>
          <cell r="AD762">
            <v>0</v>
          </cell>
          <cell r="AE762">
            <v>0.05</v>
          </cell>
          <cell r="AF762">
            <v>0.95</v>
          </cell>
        </row>
        <row r="763">
          <cell r="B763" t="str">
            <v>2005FL</v>
          </cell>
          <cell r="C763">
            <v>0.38654865924430459</v>
          </cell>
          <cell r="D763">
            <v>0.14503983167997814</v>
          </cell>
          <cell r="E763">
            <v>0.21616400084919535</v>
          </cell>
          <cell r="F763">
            <v>7.8997496757044303E-2</v>
          </cell>
          <cell r="G763">
            <v>0.17198217725399226</v>
          </cell>
          <cell r="H763">
            <v>1.2678342154852779E-3</v>
          </cell>
          <cell r="J763" t="str">
            <v>2005FL</v>
          </cell>
          <cell r="K763">
            <v>0.61185382189681237</v>
          </cell>
          <cell r="L763">
            <v>0.17198217725399226</v>
          </cell>
          <cell r="M763">
            <v>0.21616400084919535</v>
          </cell>
          <cell r="U763" t="str">
            <v>2005FL</v>
          </cell>
          <cell r="V763">
            <v>0.71166924399999998</v>
          </cell>
          <cell r="W763">
            <v>1.2686553E-2</v>
          </cell>
          <cell r="X763">
            <v>7.9579288999999998E-2</v>
          </cell>
          <cell r="Y763">
            <v>6.0837789000000003E-2</v>
          </cell>
          <cell r="Z763">
            <v>0.135227124</v>
          </cell>
          <cell r="AB763" t="str">
            <v>2005FL</v>
          </cell>
          <cell r="AC763">
            <v>0</v>
          </cell>
          <cell r="AD763">
            <v>0</v>
          </cell>
          <cell r="AE763">
            <v>0.41899999999999998</v>
          </cell>
          <cell r="AF763">
            <v>0.58099999999999996</v>
          </cell>
        </row>
        <row r="764">
          <cell r="B764" t="str">
            <v>2005GA</v>
          </cell>
          <cell r="C764">
            <v>0.20823216155586291</v>
          </cell>
          <cell r="D764">
            <v>0.11033206176717186</v>
          </cell>
          <cell r="E764">
            <v>0.17733204084631207</v>
          </cell>
          <cell r="F764">
            <v>9.7862793659120595E-2</v>
          </cell>
          <cell r="G764">
            <v>0.40234468997942996</v>
          </cell>
          <cell r="H764">
            <v>3.8962521921025758E-3</v>
          </cell>
          <cell r="J764" t="str">
            <v>2005GA</v>
          </cell>
          <cell r="K764">
            <v>0.420323269174258</v>
          </cell>
          <cell r="L764">
            <v>0.40234468997942996</v>
          </cell>
          <cell r="M764">
            <v>0.17733204084631207</v>
          </cell>
          <cell r="U764" t="str">
            <v>2005GA</v>
          </cell>
          <cell r="V764">
            <v>7.8133266000000007E-2</v>
          </cell>
          <cell r="W764">
            <v>3.5587817000000001E-2</v>
          </cell>
          <cell r="X764">
            <v>9.7388838000000005E-2</v>
          </cell>
          <cell r="Y764">
            <v>0.46952270200000001</v>
          </cell>
          <cell r="Z764">
            <v>0.31936737799999998</v>
          </cell>
          <cell r="AB764" t="str">
            <v>2005GA</v>
          </cell>
          <cell r="AC764">
            <v>0</v>
          </cell>
          <cell r="AD764">
            <v>0</v>
          </cell>
          <cell r="AE764">
            <v>0.41899999999999998</v>
          </cell>
          <cell r="AF764">
            <v>0.58099999999999996</v>
          </cell>
        </row>
        <row r="765">
          <cell r="B765" t="str">
            <v>2005HI</v>
          </cell>
          <cell r="C765">
            <v>0.67137224197860923</v>
          </cell>
          <cell r="D765">
            <v>0.21100034068527662</v>
          </cell>
          <cell r="E765">
            <v>0</v>
          </cell>
          <cell r="F765">
            <v>0.10820426646618357</v>
          </cell>
          <cell r="G765">
            <v>7.5112148308577572E-3</v>
          </cell>
          <cell r="H765">
            <v>1.9119360390725836E-3</v>
          </cell>
          <cell r="J765" t="str">
            <v>2005HI</v>
          </cell>
          <cell r="K765">
            <v>0.9924887851691423</v>
          </cell>
          <cell r="L765">
            <v>7.5112148308577572E-3</v>
          </cell>
          <cell r="M765">
            <v>0</v>
          </cell>
          <cell r="U765" t="str">
            <v>2005HI</v>
          </cell>
          <cell r="V765">
            <v>0.23216878499999999</v>
          </cell>
          <cell r="W765">
            <v>3.2904865999999998E-2</v>
          </cell>
          <cell r="X765">
            <v>0.18414778700000001</v>
          </cell>
          <cell r="Y765">
            <v>0.21064765399999999</v>
          </cell>
          <cell r="Z765">
            <v>0.34013090899999998</v>
          </cell>
          <cell r="AB765" t="str">
            <v>2005HI</v>
          </cell>
          <cell r="AC765">
            <v>0</v>
          </cell>
          <cell r="AD765">
            <v>0</v>
          </cell>
          <cell r="AE765">
            <v>0.25</v>
          </cell>
          <cell r="AF765">
            <v>0.75</v>
          </cell>
        </row>
        <row r="766">
          <cell r="B766" t="str">
            <v>2005ID</v>
          </cell>
          <cell r="C766">
            <v>0.62850843440764703</v>
          </cell>
          <cell r="D766">
            <v>0.2329683972033782</v>
          </cell>
          <cell r="E766">
            <v>6.4436683947772669E-3</v>
          </cell>
          <cell r="F766">
            <v>0.11961222721284216</v>
          </cell>
          <cell r="G766">
            <v>3.8149081541218642E-3</v>
          </cell>
          <cell r="H766">
            <v>8.6523646272333287E-3</v>
          </cell>
          <cell r="J766" t="str">
            <v>2005ID</v>
          </cell>
          <cell r="K766">
            <v>0.98974142345110083</v>
          </cell>
          <cell r="L766">
            <v>3.8149081541218642E-3</v>
          </cell>
          <cell r="M766">
            <v>6.4436683947772669E-3</v>
          </cell>
          <cell r="U766" t="str">
            <v>2005ID</v>
          </cell>
          <cell r="V766">
            <v>0.460837895</v>
          </cell>
          <cell r="W766">
            <v>2.6974237000000002E-2</v>
          </cell>
          <cell r="X766">
            <v>0.14528671200000001</v>
          </cell>
          <cell r="Y766">
            <v>0.102926191</v>
          </cell>
          <cell r="Z766">
            <v>0.26397496599999998</v>
          </cell>
          <cell r="AB766" t="str">
            <v>2005ID</v>
          </cell>
          <cell r="AC766">
            <v>0</v>
          </cell>
          <cell r="AD766">
            <v>0</v>
          </cell>
          <cell r="AE766">
            <v>0.6</v>
          </cell>
          <cell r="AF766">
            <v>0.4</v>
          </cell>
        </row>
        <row r="767">
          <cell r="B767" t="str">
            <v>2005IL</v>
          </cell>
          <cell r="C767">
            <v>0.13175283144497188</v>
          </cell>
          <cell r="D767">
            <v>0.26046159534668961</v>
          </cell>
          <cell r="E767">
            <v>8.1383349234931596E-2</v>
          </cell>
          <cell r="F767">
            <v>0.43207247933210829</v>
          </cell>
          <cell r="G767">
            <v>4.8182181885357514E-2</v>
          </cell>
          <cell r="H767">
            <v>4.6147562755941125E-2</v>
          </cell>
          <cell r="J767" t="str">
            <v>2005IL</v>
          </cell>
          <cell r="K767">
            <v>0.87043446887971088</v>
          </cell>
          <cell r="L767">
            <v>4.8182181885357514E-2</v>
          </cell>
          <cell r="M767">
            <v>8.1383349234931596E-2</v>
          </cell>
          <cell r="U767" t="str">
            <v>2005IL</v>
          </cell>
          <cell r="V767">
            <v>2.0186552999999999E-2</v>
          </cell>
          <cell r="W767">
            <v>4.5739502000000001E-2</v>
          </cell>
          <cell r="X767">
            <v>0.28028242399999997</v>
          </cell>
          <cell r="Y767">
            <v>0.149587944</v>
          </cell>
          <cell r="Z767">
            <v>0.50420357699999996</v>
          </cell>
          <cell r="AB767" t="str">
            <v>2005IL</v>
          </cell>
          <cell r="AC767">
            <v>0</v>
          </cell>
          <cell r="AD767">
            <v>0</v>
          </cell>
          <cell r="AE767">
            <v>0.02</v>
          </cell>
          <cell r="AF767">
            <v>0.98</v>
          </cell>
        </row>
        <row r="768">
          <cell r="B768" t="str">
            <v>2005IN</v>
          </cell>
          <cell r="C768">
            <v>0.16189917384296076</v>
          </cell>
          <cell r="D768">
            <v>0.24163212738244233</v>
          </cell>
          <cell r="E768">
            <v>0.13392208737361183</v>
          </cell>
          <cell r="F768">
            <v>0.3491044693998876</v>
          </cell>
          <cell r="G768">
            <v>7.9287205957511472E-2</v>
          </cell>
          <cell r="H768">
            <v>3.4154936043586021E-2</v>
          </cell>
          <cell r="J768" t="str">
            <v>2005IN</v>
          </cell>
          <cell r="K768">
            <v>0.78679070666887663</v>
          </cell>
          <cell r="L768">
            <v>7.9287205957511472E-2</v>
          </cell>
          <cell r="M768">
            <v>0.13392208737361183</v>
          </cell>
          <cell r="U768" t="str">
            <v>2005IN</v>
          </cell>
          <cell r="V768">
            <v>2.5489210000000002E-2</v>
          </cell>
          <cell r="W768">
            <v>4.5536079E-2</v>
          </cell>
          <cell r="X768">
            <v>0.27893099599999999</v>
          </cell>
          <cell r="Y768">
            <v>0.14781887399999999</v>
          </cell>
          <cell r="Z768">
            <v>0.50222484099999998</v>
          </cell>
          <cell r="AB768" t="str">
            <v>2005IN</v>
          </cell>
          <cell r="AC768">
            <v>0</v>
          </cell>
          <cell r="AD768">
            <v>0</v>
          </cell>
          <cell r="AE768">
            <v>0</v>
          </cell>
          <cell r="AF768">
            <v>1</v>
          </cell>
        </row>
        <row r="769">
          <cell r="B769" t="str">
            <v>2005IA</v>
          </cell>
          <cell r="C769">
            <v>0.13792614664225575</v>
          </cell>
          <cell r="D769">
            <v>0.25047757969635848</v>
          </cell>
          <cell r="E769">
            <v>0.10477197231415941</v>
          </cell>
          <cell r="F769">
            <v>0.40507493125352922</v>
          </cell>
          <cell r="G769">
            <v>6.2029177638731184E-2</v>
          </cell>
          <cell r="H769">
            <v>3.9720192454965969E-2</v>
          </cell>
          <cell r="J769" t="str">
            <v>2005IA</v>
          </cell>
          <cell r="K769">
            <v>0.83319885004710947</v>
          </cell>
          <cell r="L769">
            <v>6.2029177638731184E-2</v>
          </cell>
          <cell r="M769">
            <v>0.10477197231415941</v>
          </cell>
          <cell r="U769" t="str">
            <v>2005IA</v>
          </cell>
          <cell r="V769">
            <v>9.6502570000000006E-3</v>
          </cell>
          <cell r="W769">
            <v>3.8739974000000003E-2</v>
          </cell>
          <cell r="X769">
            <v>0.12067557499999999</v>
          </cell>
          <cell r="Y769">
            <v>0.47629315999999999</v>
          </cell>
          <cell r="Z769">
            <v>0.35464103499999999</v>
          </cell>
          <cell r="AB769" t="str">
            <v>2005IA</v>
          </cell>
          <cell r="AC769">
            <v>0</v>
          </cell>
          <cell r="AD769">
            <v>0</v>
          </cell>
          <cell r="AE769">
            <v>0</v>
          </cell>
          <cell r="AF769">
            <v>1</v>
          </cell>
        </row>
        <row r="770">
          <cell r="B770" t="str">
            <v>2005KS</v>
          </cell>
          <cell r="C770">
            <v>0.28758404285910905</v>
          </cell>
          <cell r="D770">
            <v>0.32607606753917184</v>
          </cell>
          <cell r="E770">
            <v>5.1050547933917619E-2</v>
          </cell>
          <cell r="F770">
            <v>0.27762124338847843</v>
          </cell>
          <cell r="G770">
            <v>3.0223956239483565E-2</v>
          </cell>
          <cell r="H770">
            <v>2.7444142039839463E-2</v>
          </cell>
          <cell r="J770" t="str">
            <v>2005KS</v>
          </cell>
          <cell r="K770">
            <v>0.91872549582659879</v>
          </cell>
          <cell r="L770">
            <v>3.0223956239483565E-2</v>
          </cell>
          <cell r="M770">
            <v>5.1050547933917619E-2</v>
          </cell>
          <cell r="U770" t="str">
            <v>2005KS</v>
          </cell>
          <cell r="V770">
            <v>2.3647662E-2</v>
          </cell>
          <cell r="W770">
            <v>4.6272377000000003E-2</v>
          </cell>
          <cell r="X770">
            <v>0.28189652199999998</v>
          </cell>
          <cell r="Y770">
            <v>0.13395533500000001</v>
          </cell>
          <cell r="Z770">
            <v>0.51422810299999999</v>
          </cell>
          <cell r="AB770" t="str">
            <v>2005KS</v>
          </cell>
          <cell r="AC770">
            <v>0</v>
          </cell>
          <cell r="AD770">
            <v>0</v>
          </cell>
          <cell r="AE770">
            <v>0.02</v>
          </cell>
          <cell r="AF770">
            <v>0.98</v>
          </cell>
        </row>
        <row r="771">
          <cell r="B771" t="str">
            <v>2005KY</v>
          </cell>
          <cell r="C771">
            <v>2.3305602928070858E-2</v>
          </cell>
          <cell r="D771">
            <v>6.2885861766289422E-2</v>
          </cell>
          <cell r="E771">
            <v>0.14165738300711325</v>
          </cell>
          <cell r="F771">
            <v>0.14315421990856123</v>
          </cell>
          <cell r="G771">
            <v>0.61397716539009373</v>
          </cell>
          <cell r="H771">
            <v>1.5019766999871505E-2</v>
          </cell>
          <cell r="J771" t="str">
            <v>2005KY</v>
          </cell>
          <cell r="K771">
            <v>0.24436545160279299</v>
          </cell>
          <cell r="L771">
            <v>0.61397716539009373</v>
          </cell>
          <cell r="M771">
            <v>0.14165738300711325</v>
          </cell>
          <cell r="U771" t="str">
            <v>2005KY</v>
          </cell>
          <cell r="V771">
            <v>4.9184704000000003E-2</v>
          </cell>
          <cell r="W771">
            <v>3.7321891000000003E-2</v>
          </cell>
          <cell r="X771">
            <v>0.11991215400000001</v>
          </cell>
          <cell r="Y771">
            <v>0.45018075899999999</v>
          </cell>
          <cell r="Z771">
            <v>0.34340049099999997</v>
          </cell>
          <cell r="AB771" t="str">
            <v>2005KY</v>
          </cell>
          <cell r="AC771">
            <v>0</v>
          </cell>
          <cell r="AD771">
            <v>0</v>
          </cell>
          <cell r="AE771">
            <v>0.05</v>
          </cell>
          <cell r="AF771">
            <v>0.95</v>
          </cell>
        </row>
        <row r="772">
          <cell r="B772" t="str">
            <v>2005LA</v>
          </cell>
          <cell r="C772">
            <v>8.7696493950327165E-2</v>
          </cell>
          <cell r="D772">
            <v>6.4637521135916851E-2</v>
          </cell>
          <cell r="E772">
            <v>0.14461730665558523</v>
          </cell>
          <cell r="F772">
            <v>0.10160244529023774</v>
          </cell>
          <cell r="G772">
            <v>0.59641803499629376</v>
          </cell>
          <cell r="H772">
            <v>5.0281979716392446E-3</v>
          </cell>
          <cell r="J772" t="str">
            <v>2005LA</v>
          </cell>
          <cell r="K772">
            <v>0.25896465834812099</v>
          </cell>
          <cell r="L772">
            <v>0.59641803499629376</v>
          </cell>
          <cell r="M772">
            <v>0.14461730665558523</v>
          </cell>
          <cell r="U772" t="str">
            <v>2005LA</v>
          </cell>
          <cell r="V772">
            <v>0.53551704700000002</v>
          </cell>
          <cell r="W772">
            <v>2.0437250000000001E-2</v>
          </cell>
          <cell r="X772">
            <v>0.12819729499999999</v>
          </cell>
          <cell r="Y772">
            <v>9.8005903000000005E-2</v>
          </cell>
          <cell r="Z772">
            <v>0.21784250499999999</v>
          </cell>
          <cell r="AB772" t="str">
            <v>2005LA</v>
          </cell>
          <cell r="AC772">
            <v>0</v>
          </cell>
          <cell r="AD772">
            <v>0</v>
          </cell>
          <cell r="AE772">
            <v>0.6</v>
          </cell>
          <cell r="AF772">
            <v>0.4</v>
          </cell>
        </row>
        <row r="773">
          <cell r="B773" t="str">
            <v>2005ME</v>
          </cell>
          <cell r="C773">
            <v>9.3713015315557757E-2</v>
          </cell>
          <cell r="D773">
            <v>0.17210096338216258</v>
          </cell>
          <cell r="E773">
            <v>0.44837154081607639</v>
          </cell>
          <cell r="F773">
            <v>0.19633313267932656</v>
          </cell>
          <cell r="G773">
            <v>7.0076626899074845E-2</v>
          </cell>
          <cell r="H773">
            <v>1.9404720907801824E-2</v>
          </cell>
          <cell r="J773" t="str">
            <v>2005ME</v>
          </cell>
          <cell r="K773">
            <v>0.48155183228484877</v>
          </cell>
          <cell r="L773">
            <v>7.0076626899074845E-2</v>
          </cell>
          <cell r="M773">
            <v>0.44837154081607639</v>
          </cell>
          <cell r="U773" t="str">
            <v>2005ME</v>
          </cell>
          <cell r="V773">
            <v>0.72920202000000001</v>
          </cell>
          <cell r="W773">
            <v>1.1915111000000001E-2</v>
          </cell>
          <cell r="X773">
            <v>7.4740241999999998E-2</v>
          </cell>
          <cell r="Y773">
            <v>5.7138373999999999E-2</v>
          </cell>
          <cell r="Z773">
            <v>0.12700425300000001</v>
          </cell>
          <cell r="AB773" t="str">
            <v>2005ME</v>
          </cell>
          <cell r="AC773">
            <v>0</v>
          </cell>
          <cell r="AD773">
            <v>0</v>
          </cell>
          <cell r="AE773">
            <v>0.05</v>
          </cell>
          <cell r="AF773">
            <v>0.95</v>
          </cell>
        </row>
        <row r="774">
          <cell r="B774" t="str">
            <v>2005MD</v>
          </cell>
          <cell r="C774">
            <v>7.6488535055593554E-2</v>
          </cell>
          <cell r="D774">
            <v>0.15472472257238745</v>
          </cell>
          <cell r="E774">
            <v>0.44380834258126728</v>
          </cell>
          <cell r="F774">
            <v>0.22861605738914034</v>
          </cell>
          <cell r="G774">
            <v>6.5960402236453913E-2</v>
          </cell>
          <cell r="H774">
            <v>3.0401940165157418E-2</v>
          </cell>
          <cell r="J774" t="str">
            <v>2005MD</v>
          </cell>
          <cell r="K774">
            <v>0.49023125518227884</v>
          </cell>
          <cell r="L774">
            <v>6.5960402236453913E-2</v>
          </cell>
          <cell r="M774">
            <v>0.44380834258126728</v>
          </cell>
          <cell r="U774" t="str">
            <v>2005MD</v>
          </cell>
          <cell r="V774">
            <v>0.21140679400000001</v>
          </cell>
          <cell r="W774">
            <v>3.7602905999999998E-2</v>
          </cell>
          <cell r="X774">
            <v>0.214504853</v>
          </cell>
          <cell r="Y774">
            <v>0.15671048400000001</v>
          </cell>
          <cell r="Z774">
            <v>0.37977496300000002</v>
          </cell>
          <cell r="AB774" t="str">
            <v>2005MD</v>
          </cell>
          <cell r="AC774">
            <v>0</v>
          </cell>
          <cell r="AD774">
            <v>0</v>
          </cell>
          <cell r="AE774">
            <v>0.05</v>
          </cell>
          <cell r="AF774">
            <v>0.95</v>
          </cell>
        </row>
        <row r="775">
          <cell r="B775" t="str">
            <v>2005MA</v>
          </cell>
          <cell r="C775">
            <v>6.1305440163427552E-2</v>
          </cell>
          <cell r="D775">
            <v>0.14874705508142777</v>
          </cell>
          <cell r="E775">
            <v>0.45216403673004657</v>
          </cell>
          <cell r="F775">
            <v>0.23617268276189021</v>
          </cell>
          <cell r="G775">
            <v>7.3497640935872632E-2</v>
          </cell>
          <cell r="H775">
            <v>2.8113144327335336E-2</v>
          </cell>
          <cell r="J775" t="str">
            <v>2005MA</v>
          </cell>
          <cell r="K775">
            <v>0.4743383223340808</v>
          </cell>
          <cell r="L775">
            <v>7.3497640935872632E-2</v>
          </cell>
          <cell r="M775">
            <v>0.45216403673004657</v>
          </cell>
          <cell r="U775" t="str">
            <v>2005MA</v>
          </cell>
          <cell r="V775">
            <v>0.31419575799999999</v>
          </cell>
          <cell r="W775">
            <v>3.0175387000000001E-2</v>
          </cell>
          <cell r="X775">
            <v>0.18928197099999999</v>
          </cell>
          <cell r="Y775">
            <v>0.14470469499999999</v>
          </cell>
          <cell r="Z775">
            <v>0.32164218900000002</v>
          </cell>
          <cell r="AB775" t="str">
            <v>2005MA</v>
          </cell>
          <cell r="AC775">
            <v>0</v>
          </cell>
          <cell r="AD775">
            <v>0</v>
          </cell>
          <cell r="AE775">
            <v>0.05</v>
          </cell>
          <cell r="AF775">
            <v>0.95</v>
          </cell>
        </row>
        <row r="776">
          <cell r="B776" t="str">
            <v>2005MI</v>
          </cell>
          <cell r="C776">
            <v>0.21592740095911189</v>
          </cell>
          <cell r="D776">
            <v>0.33044604004991018</v>
          </cell>
          <cell r="E776">
            <v>5.8998863632555826E-2</v>
          </cell>
          <cell r="F776">
            <v>0.32074430847532459</v>
          </cell>
          <cell r="G776">
            <v>3.4929675483950956E-2</v>
          </cell>
          <cell r="H776">
            <v>3.8953711399146676E-2</v>
          </cell>
          <cell r="J776" t="str">
            <v>2005MI</v>
          </cell>
          <cell r="K776">
            <v>0.90607146088349322</v>
          </cell>
          <cell r="L776">
            <v>3.4929675483950956E-2</v>
          </cell>
          <cell r="M776">
            <v>5.8998863632555826E-2</v>
          </cell>
          <cell r="U776" t="str">
            <v>2005MI</v>
          </cell>
          <cell r="V776">
            <v>4.5127237000000001E-2</v>
          </cell>
          <cell r="W776">
            <v>5.0500046999999999E-2</v>
          </cell>
          <cell r="X776">
            <v>0.254352099</v>
          </cell>
          <cell r="Y776">
            <v>0.17319266699999999</v>
          </cell>
          <cell r="Z776">
            <v>0.47682794899999997</v>
          </cell>
          <cell r="AB776" t="str">
            <v>2005MI</v>
          </cell>
          <cell r="AC776">
            <v>0</v>
          </cell>
          <cell r="AD776">
            <v>0</v>
          </cell>
          <cell r="AE776">
            <v>0.02</v>
          </cell>
          <cell r="AF776">
            <v>0.98</v>
          </cell>
        </row>
        <row r="777">
          <cell r="B777" t="str">
            <v>2005MN</v>
          </cell>
          <cell r="C777">
            <v>0.11559741536790068</v>
          </cell>
          <cell r="D777">
            <v>0.23915415867765383</v>
          </cell>
          <cell r="E777">
            <v>0.10052931481156221</v>
          </cell>
          <cell r="F777">
            <v>0.43822851849088174</v>
          </cell>
          <cell r="G777">
            <v>5.9517355535203494E-2</v>
          </cell>
          <cell r="H777">
            <v>4.697323711679801E-2</v>
          </cell>
          <cell r="J777" t="str">
            <v>2005MN</v>
          </cell>
          <cell r="K777">
            <v>0.83995332965323433</v>
          </cell>
          <cell r="L777">
            <v>5.9517355535203494E-2</v>
          </cell>
          <cell r="M777">
            <v>0.10052931481156221</v>
          </cell>
          <cell r="U777" t="str">
            <v>2005MN</v>
          </cell>
          <cell r="V777">
            <v>1.5145339000000001E-2</v>
          </cell>
          <cell r="W777">
            <v>5.1986831999999997E-2</v>
          </cell>
          <cell r="X777">
            <v>0.262445557</v>
          </cell>
          <cell r="Y777">
            <v>0.17896024199999999</v>
          </cell>
          <cell r="Z777">
            <v>0.49146202900000002</v>
          </cell>
          <cell r="AB777" t="str">
            <v>2005MN</v>
          </cell>
          <cell r="AC777">
            <v>0</v>
          </cell>
          <cell r="AD777">
            <v>0</v>
          </cell>
          <cell r="AE777">
            <v>0</v>
          </cell>
          <cell r="AF777">
            <v>1</v>
          </cell>
        </row>
        <row r="778">
          <cell r="B778" t="str">
            <v>2005MS</v>
          </cell>
          <cell r="C778">
            <v>0.10416334210611014</v>
          </cell>
          <cell r="D778">
            <v>7.2829933678422776E-2</v>
          </cell>
          <cell r="E778">
            <v>0.14929269604113307</v>
          </cell>
          <cell r="F778">
            <v>0.10019278631941281</v>
          </cell>
          <cell r="G778">
            <v>0.56868226150598644</v>
          </cell>
          <cell r="H778">
            <v>4.838980348934833E-3</v>
          </cell>
          <cell r="J778" t="str">
            <v>2005MS</v>
          </cell>
          <cell r="K778">
            <v>0.28202504245288051</v>
          </cell>
          <cell r="L778">
            <v>0.56868226150598644</v>
          </cell>
          <cell r="M778">
            <v>0.14929269604113307</v>
          </cell>
          <cell r="U778" t="str">
            <v>2005MS</v>
          </cell>
          <cell r="V778">
            <v>2.1100625000000001E-2</v>
          </cell>
          <cell r="W778">
            <v>3.6418512E-2</v>
          </cell>
          <cell r="X778">
            <v>6.0129593000000002E-2</v>
          </cell>
          <cell r="Y778">
            <v>0.574366987</v>
          </cell>
          <cell r="Z778">
            <v>0.30798428300000003</v>
          </cell>
          <cell r="AB778" t="str">
            <v>2005MS</v>
          </cell>
          <cell r="AC778">
            <v>0</v>
          </cell>
          <cell r="AD778">
            <v>0</v>
          </cell>
          <cell r="AE778">
            <v>0.6</v>
          </cell>
          <cell r="AF778">
            <v>0.4</v>
          </cell>
        </row>
        <row r="779">
          <cell r="B779" t="str">
            <v>2005MO</v>
          </cell>
          <cell r="C779">
            <v>6.4925479522277466E-2</v>
          </cell>
          <cell r="D779">
            <v>0.18170303563698134</v>
          </cell>
          <cell r="E779">
            <v>0.14337282997597614</v>
          </cell>
          <cell r="F779">
            <v>0.47880340852502545</v>
          </cell>
          <cell r="G779">
            <v>8.4882421727070459E-2</v>
          </cell>
          <cell r="H779">
            <v>4.6312824612669105E-2</v>
          </cell>
          <cell r="J779" t="str">
            <v>2005MO</v>
          </cell>
          <cell r="K779">
            <v>0.77174474829695339</v>
          </cell>
          <cell r="L779">
            <v>8.4882421727070459E-2</v>
          </cell>
          <cell r="M779">
            <v>0.14337282997597614</v>
          </cell>
          <cell r="U779" t="str">
            <v>2005MO</v>
          </cell>
          <cell r="V779">
            <v>2.998994E-2</v>
          </cell>
          <cell r="W779">
            <v>4.5757142000000001E-2</v>
          </cell>
          <cell r="X779">
            <v>0.27926039899999999</v>
          </cell>
          <cell r="Y779">
            <v>0.13775391300000001</v>
          </cell>
          <cell r="Z779">
            <v>0.50723860600000004</v>
          </cell>
          <cell r="AB779" t="str">
            <v>2005MO</v>
          </cell>
          <cell r="AC779">
            <v>0</v>
          </cell>
          <cell r="AD779">
            <v>0</v>
          </cell>
          <cell r="AE779">
            <v>0</v>
          </cell>
          <cell r="AF779">
            <v>1</v>
          </cell>
        </row>
        <row r="780">
          <cell r="B780" t="str">
            <v>2005MT</v>
          </cell>
          <cell r="C780">
            <v>0.35597781750083307</v>
          </cell>
          <cell r="D780">
            <v>0.25924389885240834</v>
          </cell>
          <cell r="E780">
            <v>4.3797789125912777E-2</v>
          </cell>
          <cell r="F780">
            <v>0.25058080537727367</v>
          </cell>
          <cell r="G780">
            <v>2.5930034358127463E-2</v>
          </cell>
          <cell r="H780">
            <v>6.4469654785444572E-2</v>
          </cell>
          <cell r="J780" t="str">
            <v>2005MT</v>
          </cell>
          <cell r="K780">
            <v>0.93027217651595973</v>
          </cell>
          <cell r="L780">
            <v>2.5930034358127463E-2</v>
          </cell>
          <cell r="M780">
            <v>4.3797789125912777E-2</v>
          </cell>
          <cell r="U780" t="str">
            <v>2005MT</v>
          </cell>
          <cell r="V780">
            <v>6.0520032000000001E-2</v>
          </cell>
          <cell r="W780">
            <v>5.1214043000000001E-2</v>
          </cell>
          <cell r="X780">
            <v>0.24859647000000001</v>
          </cell>
          <cell r="Y780">
            <v>0.16530719099999999</v>
          </cell>
          <cell r="Z780">
            <v>0.47436226399999998</v>
          </cell>
          <cell r="AB780" t="str">
            <v>2005MT</v>
          </cell>
          <cell r="AC780">
            <v>0</v>
          </cell>
          <cell r="AD780">
            <v>0</v>
          </cell>
          <cell r="AE780">
            <v>0.6</v>
          </cell>
          <cell r="AF780">
            <v>0.4</v>
          </cell>
        </row>
        <row r="781">
          <cell r="B781" t="str">
            <v>2005NE</v>
          </cell>
          <cell r="C781">
            <v>0.21260954807532403</v>
          </cell>
          <cell r="D781">
            <v>0.30324255962083846</v>
          </cell>
          <cell r="E781">
            <v>6.1277054134417128E-2</v>
          </cell>
          <cell r="F781">
            <v>0.34696077142199511</v>
          </cell>
          <cell r="G781">
            <v>3.6278454935301678E-2</v>
          </cell>
          <cell r="H781">
            <v>3.9631611812123581E-2</v>
          </cell>
          <cell r="J781" t="str">
            <v>2005NE</v>
          </cell>
          <cell r="K781">
            <v>0.90244449093028123</v>
          </cell>
          <cell r="L781">
            <v>3.6278454935301678E-2</v>
          </cell>
          <cell r="M781">
            <v>6.1277054134417128E-2</v>
          </cell>
          <cell r="U781" t="str">
            <v>2005NE</v>
          </cell>
          <cell r="V781">
            <v>3.0063880000000001E-2</v>
          </cell>
          <cell r="W781">
            <v>4.5295173000000001E-2</v>
          </cell>
          <cell r="X781">
            <v>0.27751980599999998</v>
          </cell>
          <cell r="Y781">
            <v>0.147715386</v>
          </cell>
          <cell r="Z781">
            <v>0.49940575500000001</v>
          </cell>
          <cell r="AB781" t="str">
            <v>2005NE</v>
          </cell>
          <cell r="AC781">
            <v>0</v>
          </cell>
          <cell r="AD781">
            <v>0</v>
          </cell>
          <cell r="AE781">
            <v>0.02</v>
          </cell>
          <cell r="AF781">
            <v>0.98</v>
          </cell>
        </row>
        <row r="782">
          <cell r="B782" t="str">
            <v>2005NV</v>
          </cell>
          <cell r="C782">
            <v>0.64210148526116029</v>
          </cell>
          <cell r="D782">
            <v>0.238399883587257</v>
          </cell>
          <cell r="E782">
            <v>4.1594375177217181E-3</v>
          </cell>
          <cell r="F782">
            <v>0.10819864870890922</v>
          </cell>
          <cell r="G782">
            <v>2.4625525602432058E-3</v>
          </cell>
          <cell r="H782">
            <v>4.677992364708553E-3</v>
          </cell>
          <cell r="J782" t="str">
            <v>2005NV</v>
          </cell>
          <cell r="K782">
            <v>0.99337800992203507</v>
          </cell>
          <cell r="L782">
            <v>2.4625525602432058E-3</v>
          </cell>
          <cell r="M782">
            <v>4.1594375177217181E-3</v>
          </cell>
          <cell r="U782" t="str">
            <v>2005NV</v>
          </cell>
          <cell r="V782">
            <v>0.35004114600000003</v>
          </cell>
          <cell r="W782">
            <v>2.4048478000000002E-2</v>
          </cell>
          <cell r="X782">
            <v>3.5747737000000002E-2</v>
          </cell>
          <cell r="Y782">
            <v>0.38867539400000001</v>
          </cell>
          <cell r="Z782">
            <v>0.20148724500000001</v>
          </cell>
          <cell r="AB782" t="str">
            <v>2005NV</v>
          </cell>
          <cell r="AC782">
            <v>0</v>
          </cell>
          <cell r="AD782">
            <v>0</v>
          </cell>
          <cell r="AE782">
            <v>0</v>
          </cell>
          <cell r="AF782">
            <v>1</v>
          </cell>
        </row>
        <row r="783">
          <cell r="B783" t="str">
            <v>2005NH</v>
          </cell>
          <cell r="C783">
            <v>9.4573445198850817E-2</v>
          </cell>
          <cell r="D783">
            <v>0.16340842518862655</v>
          </cell>
          <cell r="E783">
            <v>0.44298025846087286</v>
          </cell>
          <cell r="F783">
            <v>0.20852129702854144</v>
          </cell>
          <cell r="G783">
            <v>6.52134304627775E-2</v>
          </cell>
          <cell r="H783">
            <v>2.5303143660330828E-2</v>
          </cell>
          <cell r="J783" t="str">
            <v>2005NH</v>
          </cell>
          <cell r="K783">
            <v>0.49180631107634964</v>
          </cell>
          <cell r="L783">
            <v>6.52134304627775E-2</v>
          </cell>
          <cell r="M783">
            <v>0.44298025846087286</v>
          </cell>
          <cell r="U783" t="str">
            <v>2005NH</v>
          </cell>
          <cell r="V783">
            <v>0.56759962799999997</v>
          </cell>
          <cell r="W783">
            <v>1.9025615999999999E-2</v>
          </cell>
          <cell r="X783">
            <v>0.119342503</v>
          </cell>
          <cell r="Y783">
            <v>9.1236478999999995E-2</v>
          </cell>
          <cell r="Z783">
            <v>0.20279577500000001</v>
          </cell>
          <cell r="AB783" t="str">
            <v>2005NH</v>
          </cell>
          <cell r="AC783">
            <v>0</v>
          </cell>
          <cell r="AD783">
            <v>0</v>
          </cell>
          <cell r="AE783">
            <v>0.05</v>
          </cell>
          <cell r="AF783">
            <v>0.95</v>
          </cell>
        </row>
        <row r="784">
          <cell r="B784" t="str">
            <v>2005NJ</v>
          </cell>
          <cell r="C784">
            <v>5.8003576611346738E-2</v>
          </cell>
          <cell r="D784">
            <v>0.13897871355240557</v>
          </cell>
          <cell r="E784">
            <v>0.45397029129837874</v>
          </cell>
          <cell r="F784">
            <v>0.24471653627570109</v>
          </cell>
          <cell r="G784">
            <v>7.5126969581826603E-2</v>
          </cell>
          <cell r="H784">
            <v>2.9203912680341212E-2</v>
          </cell>
          <cell r="J784" t="str">
            <v>2005NJ</v>
          </cell>
          <cell r="K784">
            <v>0.47090273911979463</v>
          </cell>
          <cell r="L784">
            <v>7.5126969581826603E-2</v>
          </cell>
          <cell r="M784">
            <v>0.45397029129837874</v>
          </cell>
          <cell r="U784" t="str">
            <v>2005NJ</v>
          </cell>
          <cell r="V784">
            <v>0.30808167400000003</v>
          </cell>
          <cell r="W784">
            <v>3.3011736E-2</v>
          </cell>
          <cell r="X784">
            <v>0.18818818500000001</v>
          </cell>
          <cell r="Y784">
            <v>0.137437002</v>
          </cell>
          <cell r="Z784">
            <v>0.333281404</v>
          </cell>
          <cell r="AB784" t="str">
            <v>2005NJ</v>
          </cell>
          <cell r="AC784">
            <v>0</v>
          </cell>
          <cell r="AD784">
            <v>0</v>
          </cell>
          <cell r="AE784">
            <v>0.05</v>
          </cell>
          <cell r="AF784">
            <v>0.95</v>
          </cell>
        </row>
        <row r="785">
          <cell r="B785" t="str">
            <v>2005NM</v>
          </cell>
          <cell r="C785">
            <v>0.61184589317007076</v>
          </cell>
          <cell r="D785">
            <v>0.19452029294367307</v>
          </cell>
          <cell r="E785">
            <v>9.8952813124742175E-2</v>
          </cell>
          <cell r="F785">
            <v>9.4174237847419268E-2</v>
          </cell>
          <cell r="G785">
            <v>0</v>
          </cell>
          <cell r="H785">
            <v>5.0676291409465751E-4</v>
          </cell>
          <cell r="J785" t="str">
            <v>2005NM</v>
          </cell>
          <cell r="K785">
            <v>0.90104718687525787</v>
          </cell>
          <cell r="L785">
            <v>0</v>
          </cell>
          <cell r="M785">
            <v>9.8952813124742175E-2</v>
          </cell>
          <cell r="U785" t="str">
            <v>2005NM</v>
          </cell>
          <cell r="V785">
            <v>0.91655606099999998</v>
          </cell>
          <cell r="W785">
            <v>3.6715329999999998E-3</v>
          </cell>
          <cell r="X785">
            <v>2.3030526999999999E-2</v>
          </cell>
          <cell r="Y785">
            <v>1.7606671000000001E-2</v>
          </cell>
          <cell r="Z785">
            <v>3.9135206999999998E-2</v>
          </cell>
          <cell r="AB785" t="str">
            <v>2005NM</v>
          </cell>
          <cell r="AC785">
            <v>0</v>
          </cell>
          <cell r="AD785">
            <v>0</v>
          </cell>
          <cell r="AE785">
            <v>0.6</v>
          </cell>
          <cell r="AF785">
            <v>0.4</v>
          </cell>
        </row>
        <row r="786">
          <cell r="B786" t="str">
            <v>2005NY</v>
          </cell>
          <cell r="C786">
            <v>9.8408703041683282E-2</v>
          </cell>
          <cell r="D786">
            <v>0.15954377256245178</v>
          </cell>
          <cell r="E786">
            <v>0.44849165243165579</v>
          </cell>
          <cell r="F786">
            <v>0.20287733376538455</v>
          </cell>
          <cell r="G786">
            <v>7.0184973363303343E-2</v>
          </cell>
          <cell r="H786">
            <v>2.0493564835521279E-2</v>
          </cell>
          <cell r="J786" t="str">
            <v>2005NY</v>
          </cell>
          <cell r="K786">
            <v>0.4813233742050409</v>
          </cell>
          <cell r="L786">
            <v>7.0184973363303343E-2</v>
          </cell>
          <cell r="M786">
            <v>0.44849165243165579</v>
          </cell>
          <cell r="U786" t="str">
            <v>2005NY</v>
          </cell>
          <cell r="V786">
            <v>0.20441514899999999</v>
          </cell>
          <cell r="W786">
            <v>4.1815811000000001E-2</v>
          </cell>
          <cell r="X786">
            <v>0.21220383400000001</v>
          </cell>
          <cell r="Y786">
            <v>0.145168144</v>
          </cell>
          <cell r="Z786">
            <v>0.396397061</v>
          </cell>
          <cell r="AB786" t="str">
            <v>2005NY</v>
          </cell>
          <cell r="AC786">
            <v>0</v>
          </cell>
          <cell r="AD786">
            <v>0</v>
          </cell>
          <cell r="AE786">
            <v>0.05</v>
          </cell>
          <cell r="AF786">
            <v>0.95</v>
          </cell>
        </row>
        <row r="787">
          <cell r="B787" t="str">
            <v>2005NC</v>
          </cell>
          <cell r="C787">
            <v>6.168821577504751E-2</v>
          </cell>
          <cell r="D787">
            <v>0.11278426418396881</v>
          </cell>
          <cell r="E787">
            <v>0.15395779991170949</v>
          </cell>
          <cell r="F787">
            <v>0.11589101949636353</v>
          </cell>
          <cell r="G787">
            <v>0.54100750469043157</v>
          </cell>
          <cell r="H787">
            <v>1.4671195942479084E-2</v>
          </cell>
          <cell r="J787" t="str">
            <v>2005NC</v>
          </cell>
          <cell r="K787">
            <v>0.30503469539785888</v>
          </cell>
          <cell r="L787">
            <v>0.54100750469043157</v>
          </cell>
          <cell r="M787">
            <v>0.15395779991170949</v>
          </cell>
          <cell r="U787" t="str">
            <v>2005NC</v>
          </cell>
          <cell r="V787">
            <v>2.4742549999999999E-3</v>
          </cell>
          <cell r="W787">
            <v>3.7123251000000003E-2</v>
          </cell>
          <cell r="X787">
            <v>6.1645423999999997E-2</v>
          </cell>
          <cell r="Y787">
            <v>0.58464508599999998</v>
          </cell>
          <cell r="Z787">
            <v>0.31411198400000001</v>
          </cell>
          <cell r="AB787" t="str">
            <v>2005NC</v>
          </cell>
          <cell r="AC787">
            <v>0</v>
          </cell>
          <cell r="AD787">
            <v>0</v>
          </cell>
          <cell r="AE787">
            <v>0.41899999999999998</v>
          </cell>
          <cell r="AF787">
            <v>0.58099999999999996</v>
          </cell>
        </row>
        <row r="788">
          <cell r="B788" t="str">
            <v>2005ND</v>
          </cell>
          <cell r="C788">
            <v>0.1196932700797023</v>
          </cell>
          <cell r="D788">
            <v>0.21866711268457967</v>
          </cell>
          <cell r="E788">
            <v>0.10978970169096619</v>
          </cell>
          <cell r="F788">
            <v>0.448028418369537</v>
          </cell>
          <cell r="G788">
            <v>6.499987314042277E-2</v>
          </cell>
          <cell r="H788">
            <v>3.8821624034792085E-2</v>
          </cell>
          <cell r="J788" t="str">
            <v>2005ND</v>
          </cell>
          <cell r="K788">
            <v>0.82521042516861098</v>
          </cell>
          <cell r="L788">
            <v>6.499987314042277E-2</v>
          </cell>
          <cell r="M788">
            <v>0.10978970169096619</v>
          </cell>
          <cell r="U788" t="str">
            <v>2005ND</v>
          </cell>
          <cell r="V788">
            <v>8.8434773999999994E-2</v>
          </cell>
          <cell r="W788">
            <v>4.7868137999999998E-2</v>
          </cell>
          <cell r="X788">
            <v>0.243186129</v>
          </cell>
          <cell r="Y788">
            <v>0.16647603599999999</v>
          </cell>
          <cell r="Z788">
            <v>0.45403492299999998</v>
          </cell>
          <cell r="AB788" t="str">
            <v>2005ND</v>
          </cell>
          <cell r="AC788">
            <v>0</v>
          </cell>
          <cell r="AD788">
            <v>0</v>
          </cell>
          <cell r="AE788">
            <v>0.02</v>
          </cell>
          <cell r="AF788">
            <v>0.98</v>
          </cell>
        </row>
        <row r="789">
          <cell r="B789" t="str">
            <v>2005OH</v>
          </cell>
          <cell r="C789">
            <v>0.10753833947858983</v>
          </cell>
          <cell r="D789">
            <v>0.22522557822049544</v>
          </cell>
          <cell r="E789">
            <v>0.13589110116557596</v>
          </cell>
          <cell r="F789">
            <v>0.4097570212201273</v>
          </cell>
          <cell r="G789">
            <v>8.0452940491062386E-2</v>
          </cell>
          <cell r="H789">
            <v>4.1135019424149183E-2</v>
          </cell>
          <cell r="J789" t="str">
            <v>2005OH</v>
          </cell>
          <cell r="K789">
            <v>0.78365595834336166</v>
          </cell>
          <cell r="L789">
            <v>8.0452940491062386E-2</v>
          </cell>
          <cell r="M789">
            <v>0.13589110116557596</v>
          </cell>
          <cell r="U789" t="str">
            <v>2005OH</v>
          </cell>
          <cell r="V789">
            <v>6.6338901000000006E-2</v>
          </cell>
          <cell r="W789">
            <v>4.3119113000000001E-2</v>
          </cell>
          <cell r="X789">
            <v>0.26533305600000001</v>
          </cell>
          <cell r="Y789">
            <v>0.15267545299999999</v>
          </cell>
          <cell r="Z789">
            <v>0.47253347699999998</v>
          </cell>
          <cell r="AB789" t="str">
            <v>2005OH</v>
          </cell>
          <cell r="AC789">
            <v>0</v>
          </cell>
          <cell r="AD789">
            <v>0</v>
          </cell>
          <cell r="AE789">
            <v>0</v>
          </cell>
          <cell r="AF789">
            <v>1</v>
          </cell>
        </row>
        <row r="790">
          <cell r="B790" t="str">
            <v>2005OK</v>
          </cell>
          <cell r="C790">
            <v>0.40296958934788546</v>
          </cell>
          <cell r="D790">
            <v>0.22528492954061258</v>
          </cell>
          <cell r="E790">
            <v>6.4896255940651446E-2</v>
          </cell>
          <cell r="F790">
            <v>0.24738177570149189</v>
          </cell>
          <cell r="G790">
            <v>0</v>
          </cell>
          <cell r="H790">
            <v>5.9467449469358676E-2</v>
          </cell>
          <cell r="J790" t="str">
            <v>2005OK</v>
          </cell>
          <cell r="K790">
            <v>0.9351037440593486</v>
          </cell>
          <cell r="L790">
            <v>0</v>
          </cell>
          <cell r="M790">
            <v>6.4896255940651446E-2</v>
          </cell>
          <cell r="U790" t="str">
            <v>2005OK</v>
          </cell>
          <cell r="V790">
            <v>1.2831308E-2</v>
          </cell>
          <cell r="W790">
            <v>3.6793041999999998E-2</v>
          </cell>
          <cell r="X790">
            <v>6.2749109999999997E-2</v>
          </cell>
          <cell r="Y790">
            <v>0.57552135800000004</v>
          </cell>
          <cell r="Z790">
            <v>0.31210518199999998</v>
          </cell>
          <cell r="AB790" t="str">
            <v>2005OK</v>
          </cell>
          <cell r="AC790">
            <v>0</v>
          </cell>
          <cell r="AD790">
            <v>0</v>
          </cell>
          <cell r="AE790">
            <v>0.6</v>
          </cell>
          <cell r="AF790">
            <v>0.4</v>
          </cell>
        </row>
        <row r="791">
          <cell r="B791" t="str">
            <v>2005OR</v>
          </cell>
          <cell r="C791">
            <v>0.43856747008812064</v>
          </cell>
          <cell r="D791">
            <v>0.20958259090942544</v>
          </cell>
          <cell r="E791">
            <v>0</v>
          </cell>
          <cell r="F791">
            <v>0.12862948158709187</v>
          </cell>
          <cell r="G791">
            <v>0.2018533708975031</v>
          </cell>
          <cell r="H791">
            <v>2.1367086517858933E-2</v>
          </cell>
          <cell r="J791" t="str">
            <v>2005OR</v>
          </cell>
          <cell r="K791">
            <v>0.7981466291024969</v>
          </cell>
          <cell r="L791">
            <v>0.2018533708975031</v>
          </cell>
          <cell r="M791">
            <v>0</v>
          </cell>
          <cell r="U791" t="str">
            <v>2005OR</v>
          </cell>
          <cell r="V791">
            <v>0.57640796000000005</v>
          </cell>
          <cell r="W791">
            <v>1.863805E-2</v>
          </cell>
          <cell r="X791">
            <v>0.116911403</v>
          </cell>
          <cell r="Y791">
            <v>8.937792E-2</v>
          </cell>
          <cell r="Z791">
            <v>0.19866466699999999</v>
          </cell>
          <cell r="AB791" t="str">
            <v>2005OR</v>
          </cell>
          <cell r="AC791">
            <v>0</v>
          </cell>
          <cell r="AD791">
            <v>0</v>
          </cell>
          <cell r="AE791">
            <v>0.25</v>
          </cell>
          <cell r="AF791">
            <v>0.75</v>
          </cell>
        </row>
        <row r="792">
          <cell r="B792" t="str">
            <v>2005PA</v>
          </cell>
          <cell r="C792">
            <v>4.9624045569858895E-2</v>
          </cell>
          <cell r="D792">
            <v>0.11712497857538914</v>
          </cell>
          <cell r="E792">
            <v>0.46874549019831585</v>
          </cell>
          <cell r="F792">
            <v>0.25230966018477574</v>
          </cell>
          <cell r="G792">
            <v>8.8454910858433447E-2</v>
          </cell>
          <cell r="H792">
            <v>2.3740914613226898E-2</v>
          </cell>
          <cell r="J792" t="str">
            <v>2005PA</v>
          </cell>
          <cell r="K792">
            <v>0.44279959894325072</v>
          </cell>
          <cell r="L792">
            <v>8.8454910858433447E-2</v>
          </cell>
          <cell r="M792">
            <v>0.46874549019831585</v>
          </cell>
          <cell r="U792" t="str">
            <v>2005PA</v>
          </cell>
          <cell r="V792">
            <v>5.0102499000000002E-2</v>
          </cell>
          <cell r="W792">
            <v>4.9409870000000002E-2</v>
          </cell>
          <cell r="X792">
            <v>0.25392279899999998</v>
          </cell>
          <cell r="Y792">
            <v>0.17504710600000001</v>
          </cell>
          <cell r="Z792">
            <v>0.47151772600000003</v>
          </cell>
          <cell r="AB792" t="str">
            <v>2005PA</v>
          </cell>
          <cell r="AC792">
            <v>0</v>
          </cell>
          <cell r="AD792">
            <v>0</v>
          </cell>
          <cell r="AE792">
            <v>0</v>
          </cell>
          <cell r="AF792">
            <v>1</v>
          </cell>
        </row>
        <row r="793">
          <cell r="B793" t="str">
            <v>2005RI</v>
          </cell>
          <cell r="C793">
            <v>4.2447025005926793E-2</v>
          </cell>
          <cell r="D793">
            <v>0.1190174947032642</v>
          </cell>
          <cell r="E793">
            <v>0.46784468707451643</v>
          </cell>
          <cell r="F793">
            <v>0.25730854976835782</v>
          </cell>
          <cell r="G793">
            <v>8.7642343040085183E-2</v>
          </cell>
          <cell r="H793">
            <v>2.5739900407849584E-2</v>
          </cell>
          <cell r="J793" t="str">
            <v>2005RI</v>
          </cell>
          <cell r="K793">
            <v>0.44451296988539835</v>
          </cell>
          <cell r="L793">
            <v>8.7642343040085183E-2</v>
          </cell>
          <cell r="M793">
            <v>0.46784468707451643</v>
          </cell>
          <cell r="U793" t="str">
            <v>2005RI</v>
          </cell>
          <cell r="V793">
            <v>0.56026879500000004</v>
          </cell>
          <cell r="W793">
            <v>1.9348173E-2</v>
          </cell>
          <cell r="X793">
            <v>0.121365813</v>
          </cell>
          <cell r="Y793">
            <v>9.2783283999999994E-2</v>
          </cell>
          <cell r="Z793">
            <v>0.20623393500000001</v>
          </cell>
          <cell r="AB793" t="str">
            <v>2005RI</v>
          </cell>
          <cell r="AC793">
            <v>0</v>
          </cell>
          <cell r="AD793">
            <v>0</v>
          </cell>
          <cell r="AE793">
            <v>0.05</v>
          </cell>
          <cell r="AF793">
            <v>0.95</v>
          </cell>
        </row>
        <row r="794">
          <cell r="B794" t="str">
            <v>2005SC</v>
          </cell>
          <cell r="C794">
            <v>0.13346180610825578</v>
          </cell>
          <cell r="D794">
            <v>9.0019723091430845E-2</v>
          </cell>
          <cell r="E794">
            <v>0.15451296947775242</v>
          </cell>
          <cell r="F794">
            <v>8.0687406490411034E-2</v>
          </cell>
          <cell r="G794">
            <v>0.53771407690020812</v>
          </cell>
          <cell r="H794">
            <v>3.6040179319418398E-3</v>
          </cell>
          <cell r="J794" t="str">
            <v>2005SC</v>
          </cell>
          <cell r="K794">
            <v>0.30777295362203949</v>
          </cell>
          <cell r="L794">
            <v>0.53771407690020812</v>
          </cell>
          <cell r="M794">
            <v>0.15451296947775242</v>
          </cell>
          <cell r="U794" t="str">
            <v>2005SC</v>
          </cell>
          <cell r="V794">
            <v>6.1629585000000001E-2</v>
          </cell>
          <cell r="W794">
            <v>3.5823032999999997E-2</v>
          </cell>
          <cell r="X794">
            <v>8.6443989999999998E-2</v>
          </cell>
          <cell r="Y794">
            <v>0.50014727299999995</v>
          </cell>
          <cell r="Z794">
            <v>0.31595611899999998</v>
          </cell>
          <cell r="AB794" t="str">
            <v>2005SC</v>
          </cell>
          <cell r="AC794">
            <v>0</v>
          </cell>
          <cell r="AD794">
            <v>0</v>
          </cell>
          <cell r="AE794">
            <v>0.6</v>
          </cell>
          <cell r="AF794">
            <v>0.4</v>
          </cell>
        </row>
        <row r="795">
          <cell r="B795" t="str">
            <v>2005SD</v>
          </cell>
          <cell r="C795">
            <v>0.17608951911561277</v>
          </cell>
          <cell r="D795">
            <v>0.277831368160596</v>
          </cell>
          <cell r="E795">
            <v>7.9800561964795444E-2</v>
          </cell>
          <cell r="F795">
            <v>0.37802114842972712</v>
          </cell>
          <cell r="G795">
            <v>4.724510882492864E-2</v>
          </cell>
          <cell r="H795">
            <v>4.1012293504340026E-2</v>
          </cell>
          <cell r="J795" t="str">
            <v>2005SD</v>
          </cell>
          <cell r="K795">
            <v>0.87295432921027594</v>
          </cell>
          <cell r="L795">
            <v>4.724510882492864E-2</v>
          </cell>
          <cell r="M795">
            <v>7.9800561964795444E-2</v>
          </cell>
          <cell r="U795" t="str">
            <v>2005SD</v>
          </cell>
          <cell r="V795">
            <v>3.3046748000000001E-2</v>
          </cell>
          <cell r="W795">
            <v>5.1157264000000001E-2</v>
          </cell>
          <cell r="X795">
            <v>0.25755016600000002</v>
          </cell>
          <cell r="Y795">
            <v>0.17532273200000001</v>
          </cell>
          <cell r="Z795">
            <v>0.48292308900000003</v>
          </cell>
          <cell r="AB795" t="str">
            <v>2005SD</v>
          </cell>
          <cell r="AC795">
            <v>0</v>
          </cell>
          <cell r="AD795">
            <v>0</v>
          </cell>
          <cell r="AE795">
            <v>0.02</v>
          </cell>
          <cell r="AF795">
            <v>0.98</v>
          </cell>
        </row>
        <row r="796">
          <cell r="B796" t="str">
            <v>2005TN</v>
          </cell>
          <cell r="C796">
            <v>4.0519949592449485E-2</v>
          </cell>
          <cell r="D796">
            <v>8.9664149461423162E-2</v>
          </cell>
          <cell r="E796">
            <v>0.14551684926860037</v>
          </cell>
          <cell r="F796">
            <v>0.1170185785979804</v>
          </cell>
          <cell r="G796">
            <v>0.59108168584929244</v>
          </cell>
          <cell r="H796">
            <v>1.6198787230254148E-2</v>
          </cell>
          <cell r="J796" t="str">
            <v>2005TN</v>
          </cell>
          <cell r="K796">
            <v>0.26340146488210725</v>
          </cell>
          <cell r="L796">
            <v>0.59108168584929244</v>
          </cell>
          <cell r="M796">
            <v>0.14551684926860037</v>
          </cell>
          <cell r="U796" t="str">
            <v>2005TN</v>
          </cell>
          <cell r="V796">
            <v>0.102875089</v>
          </cell>
          <cell r="W796">
            <v>3.5402429999999999E-2</v>
          </cell>
          <cell r="X796">
            <v>0.119077104</v>
          </cell>
          <cell r="Y796">
            <v>0.41436515099999999</v>
          </cell>
          <cell r="Z796">
            <v>0.32828022600000001</v>
          </cell>
          <cell r="AB796" t="str">
            <v>2005TN</v>
          </cell>
          <cell r="AC796">
            <v>0</v>
          </cell>
          <cell r="AD796">
            <v>0</v>
          </cell>
          <cell r="AE796">
            <v>0.05</v>
          </cell>
          <cell r="AF796">
            <v>0.95</v>
          </cell>
        </row>
        <row r="797">
          <cell r="B797" t="str">
            <v>2005TX</v>
          </cell>
          <cell r="C797">
            <v>0.53305655520056971</v>
          </cell>
          <cell r="D797">
            <v>0.24233312613196878</v>
          </cell>
          <cell r="E797">
            <v>7.9791980793249173E-2</v>
          </cell>
          <cell r="F797">
            <v>0.1278405091499755</v>
          </cell>
          <cell r="G797">
            <v>0</v>
          </cell>
          <cell r="H797">
            <v>1.6977828724236681E-2</v>
          </cell>
          <cell r="J797" t="str">
            <v>2005TX</v>
          </cell>
          <cell r="K797">
            <v>0.92020801920675077</v>
          </cell>
          <cell r="L797">
            <v>0</v>
          </cell>
          <cell r="M797">
            <v>7.9791980793249173E-2</v>
          </cell>
          <cell r="U797" t="str">
            <v>2005TX</v>
          </cell>
          <cell r="V797">
            <v>6.9632535999999995E-2</v>
          </cell>
          <cell r="W797">
            <v>3.4700662E-2</v>
          </cell>
          <cell r="X797">
            <v>5.9917572000000002E-2</v>
          </cell>
          <cell r="Y797">
            <v>0.54104196599999999</v>
          </cell>
          <cell r="Z797">
            <v>0.29470726400000002</v>
          </cell>
          <cell r="AB797" t="str">
            <v>2005TX</v>
          </cell>
          <cell r="AC797">
            <v>0</v>
          </cell>
          <cell r="AD797">
            <v>0</v>
          </cell>
          <cell r="AE797">
            <v>0.12</v>
          </cell>
          <cell r="AF797">
            <v>0.88</v>
          </cell>
        </row>
        <row r="798">
          <cell r="B798" t="str">
            <v>2005UT</v>
          </cell>
          <cell r="C798">
            <v>0.51165623152884221</v>
          </cell>
          <cell r="D798">
            <v>0.26394677259150623</v>
          </cell>
          <cell r="E798">
            <v>1.3999177703951423E-2</v>
          </cell>
          <cell r="F798">
            <v>0.17036034814732054</v>
          </cell>
          <cell r="G798">
            <v>8.2880703819413898E-3</v>
          </cell>
          <cell r="H798">
            <v>3.1749399646438282E-2</v>
          </cell>
          <cell r="J798" t="str">
            <v>2005UT</v>
          </cell>
          <cell r="K798">
            <v>0.97771275191410723</v>
          </cell>
          <cell r="L798">
            <v>8.2880703819413898E-3</v>
          </cell>
          <cell r="M798">
            <v>1.3999177703951423E-2</v>
          </cell>
          <cell r="U798" t="str">
            <v>2005UT</v>
          </cell>
          <cell r="V798">
            <v>8.6456620000000001E-3</v>
          </cell>
          <cell r="W798">
            <v>5.5424775000000003E-2</v>
          </cell>
          <cell r="X798">
            <v>0.260824848</v>
          </cell>
          <cell r="Y798">
            <v>0.16982515300000001</v>
          </cell>
          <cell r="Z798">
            <v>0.50527956200000002</v>
          </cell>
          <cell r="AB798" t="str">
            <v>2005UT</v>
          </cell>
          <cell r="AC798">
            <v>0</v>
          </cell>
          <cell r="AD798">
            <v>0</v>
          </cell>
          <cell r="AE798">
            <v>0.6</v>
          </cell>
          <cell r="AF798">
            <v>0.4</v>
          </cell>
        </row>
        <row r="799">
          <cell r="B799" t="str">
            <v>2005VT</v>
          </cell>
          <cell r="C799">
            <v>9.9973781354903396E-2</v>
          </cell>
          <cell r="D799">
            <v>0.17387691112967565</v>
          </cell>
          <cell r="E799">
            <v>0.44423932842492886</v>
          </cell>
          <cell r="F799">
            <v>0.19448861844630186</v>
          </cell>
          <cell r="G799">
            <v>6.6349172232328182E-2</v>
          </cell>
          <cell r="H799">
            <v>2.1072188411862088E-2</v>
          </cell>
          <cell r="J799" t="str">
            <v>2005VT</v>
          </cell>
          <cell r="K799">
            <v>0.48941149934274297</v>
          </cell>
          <cell r="L799">
            <v>6.6349172232328182E-2</v>
          </cell>
          <cell r="M799">
            <v>0.44423932842492886</v>
          </cell>
          <cell r="U799" t="str">
            <v>2005VT</v>
          </cell>
          <cell r="V799">
            <v>0.86037974299999997</v>
          </cell>
          <cell r="W799">
            <v>6.1432910000000004E-3</v>
          </cell>
          <cell r="X799">
            <v>3.8535191000000003E-2</v>
          </cell>
          <cell r="Y799">
            <v>2.9459874E-2</v>
          </cell>
          <cell r="Z799">
            <v>6.5481899999999996E-2</v>
          </cell>
          <cell r="AB799" t="str">
            <v>2005VT</v>
          </cell>
          <cell r="AC799">
            <v>0</v>
          </cell>
          <cell r="AD799">
            <v>0</v>
          </cell>
          <cell r="AE799">
            <v>0.05</v>
          </cell>
          <cell r="AF799">
            <v>0.95</v>
          </cell>
        </row>
        <row r="800">
          <cell r="B800" t="str">
            <v>2005VA</v>
          </cell>
          <cell r="C800">
            <v>4.4953509549794296E-2</v>
          </cell>
          <cell r="D800">
            <v>9.339670802378576E-2</v>
          </cell>
          <cell r="E800">
            <v>0.14844092890155638</v>
          </cell>
          <cell r="F800">
            <v>0.12331550684410268</v>
          </cell>
          <cell r="G800">
            <v>0.5737351926100378</v>
          </cell>
          <cell r="H800">
            <v>1.6158154070723133E-2</v>
          </cell>
          <cell r="J800" t="str">
            <v>2005VA</v>
          </cell>
          <cell r="K800">
            <v>0.27782387848840584</v>
          </cell>
          <cell r="L800">
            <v>0.5737351926100378</v>
          </cell>
          <cell r="M800">
            <v>0.14844092890155638</v>
          </cell>
          <cell r="U800" t="str">
            <v>2005VA</v>
          </cell>
          <cell r="V800">
            <v>3.3934871999999998E-2</v>
          </cell>
          <cell r="W800">
            <v>3.6244844999999998E-2</v>
          </cell>
          <cell r="X800">
            <v>6.8933026999999994E-2</v>
          </cell>
          <cell r="Y800">
            <v>0.550040046</v>
          </cell>
          <cell r="Z800">
            <v>0.31084721100000001</v>
          </cell>
          <cell r="AB800" t="str">
            <v>2005VA</v>
          </cell>
          <cell r="AC800">
            <v>0</v>
          </cell>
          <cell r="AD800">
            <v>0</v>
          </cell>
          <cell r="AE800">
            <v>0.05</v>
          </cell>
          <cell r="AF800">
            <v>0.95</v>
          </cell>
        </row>
        <row r="801">
          <cell r="B801" t="str">
            <v>2005WA</v>
          </cell>
          <cell r="C801">
            <v>0.48742079910802349</v>
          </cell>
          <cell r="D801">
            <v>0.21961274491816118</v>
          </cell>
          <cell r="E801">
            <v>0</v>
          </cell>
          <cell r="F801">
            <v>0.11254281869932067</v>
          </cell>
          <cell r="G801">
            <v>0.16627589127589129</v>
          </cell>
          <cell r="H801">
            <v>1.4147745998603438E-2</v>
          </cell>
          <cell r="J801" t="str">
            <v>2005WA</v>
          </cell>
          <cell r="K801">
            <v>0.83372410872410874</v>
          </cell>
          <cell r="L801">
            <v>0.16627589127589129</v>
          </cell>
          <cell r="M801">
            <v>0</v>
          </cell>
          <cell r="U801" t="str">
            <v>2005WA</v>
          </cell>
          <cell r="V801">
            <v>0.37353494700000001</v>
          </cell>
          <cell r="W801">
            <v>3.1263627000000002E-2</v>
          </cell>
          <cell r="X801">
            <v>0.168896926</v>
          </cell>
          <cell r="Y801">
            <v>0.119853577</v>
          </cell>
          <cell r="Z801">
            <v>0.30645092299999999</v>
          </cell>
          <cell r="AB801" t="str">
            <v>2005WA</v>
          </cell>
          <cell r="AC801">
            <v>0</v>
          </cell>
          <cell r="AD801">
            <v>0</v>
          </cell>
          <cell r="AE801">
            <v>0.12</v>
          </cell>
          <cell r="AF801">
            <v>0.88</v>
          </cell>
        </row>
        <row r="802">
          <cell r="B802" t="str">
            <v>2005WV</v>
          </cell>
          <cell r="C802">
            <v>6.8751812683186322E-2</v>
          </cell>
          <cell r="D802">
            <v>0.15888641455628993</v>
          </cell>
          <cell r="E802">
            <v>0.44831485363191043</v>
          </cell>
          <cell r="F802">
            <v>0.22633984896592482</v>
          </cell>
          <cell r="G802">
            <v>7.0025492327769459E-2</v>
          </cell>
          <cell r="H802">
            <v>2.7681577834919095E-2</v>
          </cell>
          <cell r="J802" t="str">
            <v>2005WV</v>
          </cell>
          <cell r="K802">
            <v>0.48165965404032007</v>
          </cell>
          <cell r="L802">
            <v>7.0025492327769459E-2</v>
          </cell>
          <cell r="M802">
            <v>0.44831485363191043</v>
          </cell>
          <cell r="U802" t="str">
            <v>2005WV</v>
          </cell>
          <cell r="V802">
            <v>0.57920187499999998</v>
          </cell>
          <cell r="W802">
            <v>2.1256934000000002E-2</v>
          </cell>
          <cell r="X802">
            <v>0.113169981</v>
          </cell>
          <cell r="Y802">
            <v>7.9649016000000003E-2</v>
          </cell>
          <cell r="Z802">
            <v>0.206722194</v>
          </cell>
          <cell r="AB802" t="str">
            <v>2005WV</v>
          </cell>
          <cell r="AC802">
            <v>0</v>
          </cell>
          <cell r="AD802">
            <v>0</v>
          </cell>
          <cell r="AE802">
            <v>0.05</v>
          </cell>
          <cell r="AF802">
            <v>0.95</v>
          </cell>
        </row>
        <row r="803">
          <cell r="B803" t="str">
            <v>2005WI</v>
          </cell>
          <cell r="C803">
            <v>0.12203432597344931</v>
          </cell>
          <cell r="D803">
            <v>0.23555629715568294</v>
          </cell>
          <cell r="E803">
            <v>0.11540173598404266</v>
          </cell>
          <cell r="F803">
            <v>0.42032708364290838</v>
          </cell>
          <cell r="G803">
            <v>6.8322420806473022E-2</v>
          </cell>
          <cell r="H803">
            <v>3.8358136437443673E-2</v>
          </cell>
          <cell r="J803" t="str">
            <v>2005WI</v>
          </cell>
          <cell r="K803">
            <v>0.81627584320948432</v>
          </cell>
          <cell r="L803">
            <v>6.8322420806473022E-2</v>
          </cell>
          <cell r="M803">
            <v>0.11540173598404266</v>
          </cell>
          <cell r="U803" t="str">
            <v>2005WI</v>
          </cell>
          <cell r="V803">
            <v>0.12883246500000001</v>
          </cell>
          <cell r="W803">
            <v>4.2564396999999997E-2</v>
          </cell>
          <cell r="X803">
            <v>0.23585646199999999</v>
          </cell>
          <cell r="Y803">
            <v>0.16970626599999999</v>
          </cell>
          <cell r="Z803">
            <v>0.42304040999999998</v>
          </cell>
          <cell r="AB803" t="str">
            <v>2005WI</v>
          </cell>
          <cell r="AC803">
            <v>0</v>
          </cell>
          <cell r="AD803">
            <v>0</v>
          </cell>
          <cell r="AE803">
            <v>0.02</v>
          </cell>
          <cell r="AF803">
            <v>0.98</v>
          </cell>
        </row>
        <row r="804">
          <cell r="B804" t="str">
            <v>2005WY</v>
          </cell>
          <cell r="C804">
            <v>0.29508724522063295</v>
          </cell>
          <cell r="D804">
            <v>0.23251729773373622</v>
          </cell>
          <cell r="E804">
            <v>0.12161775942187937</v>
          </cell>
          <cell r="F804">
            <v>0.2207502472879718</v>
          </cell>
          <cell r="G804">
            <v>7.2002554085590281E-2</v>
          </cell>
          <cell r="H804">
            <v>5.8024896250189507E-2</v>
          </cell>
          <cell r="J804" t="str">
            <v>2005WY</v>
          </cell>
          <cell r="K804">
            <v>0.80637968649253033</v>
          </cell>
          <cell r="L804">
            <v>7.2002554085590281E-2</v>
          </cell>
          <cell r="M804">
            <v>0.12161775942187937</v>
          </cell>
          <cell r="U804" t="str">
            <v>2005WY</v>
          </cell>
          <cell r="V804">
            <v>3.2109568999999998E-2</v>
          </cell>
          <cell r="W804">
            <v>5.3596850000000001E-2</v>
          </cell>
          <cell r="X804">
            <v>0.25521061499999997</v>
          </cell>
          <cell r="Y804">
            <v>0.16752597599999999</v>
          </cell>
          <cell r="Z804">
            <v>0.49155699000000003</v>
          </cell>
          <cell r="AB804" t="str">
            <v>2005WY</v>
          </cell>
          <cell r="AC804">
            <v>0</v>
          </cell>
          <cell r="AD804">
            <v>0</v>
          </cell>
          <cell r="AE804">
            <v>0.6</v>
          </cell>
          <cell r="AF804">
            <v>0.4</v>
          </cell>
        </row>
        <row r="805">
          <cell r="B805" t="str">
            <v>2006AL</v>
          </cell>
          <cell r="C805">
            <v>0.17233560131521788</v>
          </cell>
          <cell r="D805">
            <v>9.7606154746872412E-2</v>
          </cell>
          <cell r="E805">
            <v>0.16919346457207346</v>
          </cell>
          <cell r="F805">
            <v>0.1056405325382436</v>
          </cell>
          <cell r="G805">
            <v>0.45062509818962659</v>
          </cell>
          <cell r="H805">
            <v>4.5991486379660445E-3</v>
          </cell>
          <cell r="J805" t="str">
            <v>2006AL</v>
          </cell>
          <cell r="K805">
            <v>0.38018143723829989</v>
          </cell>
          <cell r="L805">
            <v>0.45062509818962659</v>
          </cell>
          <cell r="M805">
            <v>0.16919346457207346</v>
          </cell>
          <cell r="U805" t="str">
            <v>2006AL</v>
          </cell>
          <cell r="V805">
            <v>5.3114938E-2</v>
          </cell>
          <cell r="W805">
            <v>3.6058960000000001E-2</v>
          </cell>
          <cell r="X805">
            <v>8.4414527000000003E-2</v>
          </cell>
          <cell r="Y805">
            <v>0.50961295299999998</v>
          </cell>
          <cell r="Z805">
            <v>0.316798623</v>
          </cell>
          <cell r="AB805" t="str">
            <v>2006AL</v>
          </cell>
          <cell r="AC805">
            <v>0</v>
          </cell>
          <cell r="AD805">
            <v>0</v>
          </cell>
          <cell r="AE805">
            <v>0.41899999999999998</v>
          </cell>
          <cell r="AF805">
            <v>0.58099999999999996</v>
          </cell>
        </row>
        <row r="806">
          <cell r="B806" t="str">
            <v>2006AK</v>
          </cell>
          <cell r="C806">
            <v>0.30334484066413492</v>
          </cell>
          <cell r="D806">
            <v>0.23769937716735701</v>
          </cell>
          <cell r="E806">
            <v>6.205843688929364E-2</v>
          </cell>
          <cell r="F806">
            <v>0.28363994741136878</v>
          </cell>
          <cell r="G806">
            <v>3.6741064625999714E-2</v>
          </cell>
          <cell r="H806">
            <v>7.6516333241846021E-2</v>
          </cell>
          <cell r="J806" t="str">
            <v>2006AK</v>
          </cell>
          <cell r="K806">
            <v>0.90120049848470662</v>
          </cell>
          <cell r="L806">
            <v>3.6741064625999714E-2</v>
          </cell>
          <cell r="M806">
            <v>6.205843688929364E-2</v>
          </cell>
          <cell r="U806" t="str">
            <v>2006AK</v>
          </cell>
          <cell r="V806">
            <v>0.52632575500000001</v>
          </cell>
          <cell r="W806">
            <v>2.0841667000000001E-2</v>
          </cell>
          <cell r="X806">
            <v>0.130734092</v>
          </cell>
          <cell r="Y806">
            <v>9.9945266000000005E-2</v>
          </cell>
          <cell r="Z806">
            <v>0.22215322100000001</v>
          </cell>
          <cell r="AB806" t="str">
            <v>2006AK</v>
          </cell>
          <cell r="AC806">
            <v>0</v>
          </cell>
          <cell r="AD806">
            <v>0</v>
          </cell>
          <cell r="AE806">
            <v>0.25</v>
          </cell>
          <cell r="AF806">
            <v>0.75</v>
          </cell>
        </row>
        <row r="807">
          <cell r="B807" t="str">
            <v>2006AZ</v>
          </cell>
          <cell r="C807">
            <v>0.611220636654217</v>
          </cell>
          <cell r="D807">
            <v>0.19572797693407004</v>
          </cell>
          <cell r="E807">
            <v>9.865488383487428E-2</v>
          </cell>
          <cell r="F807">
            <v>9.3890669243012675E-2</v>
          </cell>
          <cell r="G807">
            <v>0</v>
          </cell>
          <cell r="H807">
            <v>5.0583333382575558E-4</v>
          </cell>
          <cell r="J807" t="str">
            <v>2006AZ</v>
          </cell>
          <cell r="K807">
            <v>0.90134511616512569</v>
          </cell>
          <cell r="L807">
            <v>0</v>
          </cell>
          <cell r="M807">
            <v>9.865488383487428E-2</v>
          </cell>
          <cell r="U807" t="str">
            <v>2006AZ</v>
          </cell>
          <cell r="V807">
            <v>0.136592664</v>
          </cell>
          <cell r="W807">
            <v>3.2171241000000003E-2</v>
          </cell>
          <cell r="X807">
            <v>5.4596316999999998E-2</v>
          </cell>
          <cell r="Y807">
            <v>0.50386894699999996</v>
          </cell>
          <cell r="Z807">
            <v>0.27277083200000002</v>
          </cell>
          <cell r="AB807" t="str">
            <v>2006AZ</v>
          </cell>
          <cell r="AC807">
            <v>0</v>
          </cell>
          <cell r="AD807">
            <v>0</v>
          </cell>
          <cell r="AE807">
            <v>0.6</v>
          </cell>
          <cell r="AF807">
            <v>0.4</v>
          </cell>
        </row>
        <row r="808">
          <cell r="B808" t="str">
            <v>2006AR</v>
          </cell>
          <cell r="C808">
            <v>9.6391342329605903E-2</v>
          </cell>
          <cell r="D808">
            <v>6.6955456596874061E-2</v>
          </cell>
          <cell r="E808">
            <v>0.14888335780531528</v>
          </cell>
          <cell r="F808">
            <v>0.11118804006195876</v>
          </cell>
          <cell r="G808">
            <v>0.57111057531117648</v>
          </cell>
          <cell r="H808">
            <v>5.4712278950695761E-3</v>
          </cell>
          <cell r="J808" t="str">
            <v>2006AR</v>
          </cell>
          <cell r="K808">
            <v>0.28000606688350826</v>
          </cell>
          <cell r="L808">
            <v>0.57111057531117648</v>
          </cell>
          <cell r="M808">
            <v>0.14888335780531528</v>
          </cell>
          <cell r="U808" t="str">
            <v>2006AR</v>
          </cell>
          <cell r="V808">
            <v>3.9459004999999998E-2</v>
          </cell>
          <cell r="W808">
            <v>3.7640482000000003E-2</v>
          </cell>
          <cell r="X808">
            <v>0.11914443199999999</v>
          </cell>
          <cell r="Y808">
            <v>0.45827781299999998</v>
          </cell>
          <cell r="Z808">
            <v>0.34547826799999998</v>
          </cell>
          <cell r="AB808" t="str">
            <v>2006AR</v>
          </cell>
          <cell r="AC808">
            <v>0</v>
          </cell>
          <cell r="AD808">
            <v>0</v>
          </cell>
          <cell r="AE808">
            <v>0</v>
          </cell>
          <cell r="AF808">
            <v>1</v>
          </cell>
        </row>
        <row r="809">
          <cell r="B809" t="str">
            <v>2006CA</v>
          </cell>
          <cell r="C809">
            <v>0.58081862489107328</v>
          </cell>
          <cell r="D809">
            <v>0.20720345916912225</v>
          </cell>
          <cell r="E809">
            <v>0.10801924509893834</v>
          </cell>
          <cell r="F809">
            <v>9.2431120719429966E-2</v>
          </cell>
          <cell r="G809">
            <v>9.2523577326630076E-3</v>
          </cell>
          <cell r="H809">
            <v>2.2751923887731596E-3</v>
          </cell>
          <cell r="J809" t="str">
            <v>2006CA</v>
          </cell>
          <cell r="K809">
            <v>0.88272839716839868</v>
          </cell>
          <cell r="L809">
            <v>9.2523577326630076E-3</v>
          </cell>
          <cell r="M809">
            <v>0.10801924509893834</v>
          </cell>
          <cell r="U809" t="str">
            <v>2006CA</v>
          </cell>
          <cell r="V809">
            <v>0.133799526</v>
          </cell>
          <cell r="W809">
            <v>3.2941353E-2</v>
          </cell>
          <cell r="X809">
            <v>7.5800703999999997E-2</v>
          </cell>
          <cell r="Y809">
            <v>0.46867659099999998</v>
          </cell>
          <cell r="Z809">
            <v>0.28878182499999999</v>
          </cell>
          <cell r="AB809" t="str">
            <v>2006CA</v>
          </cell>
          <cell r="AC809">
            <v>0</v>
          </cell>
          <cell r="AD809">
            <v>0</v>
          </cell>
          <cell r="AE809">
            <v>0.12</v>
          </cell>
          <cell r="AF809">
            <v>0.88</v>
          </cell>
        </row>
        <row r="810">
          <cell r="B810" t="str">
            <v>2006CO</v>
          </cell>
          <cell r="C810">
            <v>0.61667904285785091</v>
          </cell>
          <cell r="D810">
            <v>0.24212893570430052</v>
          </cell>
          <cell r="E810">
            <v>1.1092391745361967E-2</v>
          </cell>
          <cell r="F810">
            <v>0.11516410971780773</v>
          </cell>
          <cell r="G810">
            <v>6.5671374014829543E-3</v>
          </cell>
          <cell r="H810">
            <v>8.3683825731959392E-3</v>
          </cell>
          <cell r="J810" t="str">
            <v>2006CO</v>
          </cell>
          <cell r="K810">
            <v>0.98234047085315512</v>
          </cell>
          <cell r="L810">
            <v>6.5671374014829543E-3</v>
          </cell>
          <cell r="M810">
            <v>1.1092391745361967E-2</v>
          </cell>
          <cell r="U810" t="str">
            <v>2006CO</v>
          </cell>
          <cell r="V810">
            <v>2.3378138E-2</v>
          </cell>
          <cell r="W810">
            <v>5.3880426000000002E-2</v>
          </cell>
          <cell r="X810">
            <v>0.25772948099999998</v>
          </cell>
          <cell r="Y810">
            <v>0.169703665</v>
          </cell>
          <cell r="Z810">
            <v>0.49530828999999998</v>
          </cell>
          <cell r="AB810" t="str">
            <v>2006CO</v>
          </cell>
          <cell r="AC810">
            <v>0</v>
          </cell>
          <cell r="AD810">
            <v>0</v>
          </cell>
          <cell r="AE810">
            <v>0.6</v>
          </cell>
          <cell r="AF810">
            <v>0.4</v>
          </cell>
        </row>
        <row r="811">
          <cell r="B811" t="str">
            <v>2006CT</v>
          </cell>
          <cell r="C811">
            <v>0.11572842393252261</v>
          </cell>
          <cell r="D811">
            <v>0.20119880615243968</v>
          </cell>
          <cell r="E811">
            <v>0.43233999756560143</v>
          </cell>
          <cell r="F811">
            <v>0.17234541515575838</v>
          </cell>
          <cell r="G811">
            <v>5.5615402487630847E-2</v>
          </cell>
          <cell r="H811">
            <v>2.2771954706046996E-2</v>
          </cell>
          <cell r="J811" t="str">
            <v>2006CT</v>
          </cell>
          <cell r="K811">
            <v>0.51204459994676776</v>
          </cell>
          <cell r="L811">
            <v>5.5615402487630847E-2</v>
          </cell>
          <cell r="M811">
            <v>0.43233999756560143</v>
          </cell>
          <cell r="U811" t="str">
            <v>2006CT</v>
          </cell>
          <cell r="V811">
            <v>0.57363861400000005</v>
          </cell>
          <cell r="W811">
            <v>1.8759900999999999E-2</v>
          </cell>
          <cell r="X811">
            <v>0.117675743</v>
          </cell>
          <cell r="Y811">
            <v>8.9962252000000006E-2</v>
          </cell>
          <cell r="Z811">
            <v>0.19996348999999999</v>
          </cell>
          <cell r="AB811" t="str">
            <v>2006CT</v>
          </cell>
          <cell r="AC811">
            <v>0</v>
          </cell>
          <cell r="AD811">
            <v>0</v>
          </cell>
          <cell r="AE811">
            <v>0.05</v>
          </cell>
          <cell r="AF811">
            <v>0.95</v>
          </cell>
        </row>
        <row r="812">
          <cell r="B812" t="str">
            <v>2006DE</v>
          </cell>
          <cell r="C812">
            <v>0.10201653895343663</v>
          </cell>
          <cell r="D812">
            <v>0.1910091905838856</v>
          </cell>
          <cell r="E812">
            <v>0.43707162937473454</v>
          </cell>
          <cell r="F812">
            <v>0.18637975788177577</v>
          </cell>
          <cell r="G812">
            <v>5.9883562349419175E-2</v>
          </cell>
          <cell r="H812">
            <v>2.3639320856748244E-2</v>
          </cell>
          <cell r="J812" t="str">
            <v>2006DE</v>
          </cell>
          <cell r="K812">
            <v>0.5030448082758463</v>
          </cell>
          <cell r="L812">
            <v>5.9883562349419175E-2</v>
          </cell>
          <cell r="M812">
            <v>0.43707162937473454</v>
          </cell>
          <cell r="U812" t="str">
            <v>2006DE</v>
          </cell>
          <cell r="V812">
            <v>0.120253529</v>
          </cell>
          <cell r="W812">
            <v>4.1631153999999997E-2</v>
          </cell>
          <cell r="X812">
            <v>0.23964419100000001</v>
          </cell>
          <cell r="Y812">
            <v>0.17588547500000001</v>
          </cell>
          <cell r="Z812">
            <v>0.42258565100000001</v>
          </cell>
          <cell r="AB812" t="str">
            <v>2006DE</v>
          </cell>
          <cell r="AC812">
            <v>0</v>
          </cell>
          <cell r="AD812">
            <v>0</v>
          </cell>
          <cell r="AE812">
            <v>0.05</v>
          </cell>
          <cell r="AF812">
            <v>0.95</v>
          </cell>
        </row>
        <row r="813">
          <cell r="B813" t="str">
            <v>2006FL</v>
          </cell>
          <cell r="C813">
            <v>0.38654865924430459</v>
          </cell>
          <cell r="D813">
            <v>0.14503983167997814</v>
          </cell>
          <cell r="E813">
            <v>0.21616400084919535</v>
          </cell>
          <cell r="F813">
            <v>7.8997496757044303E-2</v>
          </cell>
          <cell r="G813">
            <v>0.17198217725399226</v>
          </cell>
          <cell r="H813">
            <v>1.2678342154852779E-3</v>
          </cell>
          <cell r="J813" t="str">
            <v>2006FL</v>
          </cell>
          <cell r="K813">
            <v>0.61185382189681237</v>
          </cell>
          <cell r="L813">
            <v>0.17198217725399226</v>
          </cell>
          <cell r="M813">
            <v>0.21616400084919535</v>
          </cell>
          <cell r="U813" t="str">
            <v>2006FL</v>
          </cell>
          <cell r="V813">
            <v>0.71166924399999998</v>
          </cell>
          <cell r="W813">
            <v>1.2686553E-2</v>
          </cell>
          <cell r="X813">
            <v>7.9579288999999998E-2</v>
          </cell>
          <cell r="Y813">
            <v>6.0837789000000003E-2</v>
          </cell>
          <cell r="Z813">
            <v>0.135227124</v>
          </cell>
          <cell r="AB813" t="str">
            <v>2006FL</v>
          </cell>
          <cell r="AC813">
            <v>0</v>
          </cell>
          <cell r="AD813">
            <v>0</v>
          </cell>
          <cell r="AE813">
            <v>0.41899999999999998</v>
          </cell>
          <cell r="AF813">
            <v>0.58099999999999996</v>
          </cell>
        </row>
        <row r="814">
          <cell r="B814" t="str">
            <v>2006GA</v>
          </cell>
          <cell r="C814">
            <v>0.20823216155586291</v>
          </cell>
          <cell r="D814">
            <v>0.11033206176717186</v>
          </cell>
          <cell r="E814">
            <v>0.17733204084631207</v>
          </cell>
          <cell r="F814">
            <v>9.7862793659120595E-2</v>
          </cell>
          <cell r="G814">
            <v>0.40234468997942996</v>
          </cell>
          <cell r="H814">
            <v>3.8962521921025758E-3</v>
          </cell>
          <cell r="J814" t="str">
            <v>2006GA</v>
          </cell>
          <cell r="K814">
            <v>0.420323269174258</v>
          </cell>
          <cell r="L814">
            <v>0.40234468997942996</v>
          </cell>
          <cell r="M814">
            <v>0.17733204084631207</v>
          </cell>
          <cell r="U814" t="str">
            <v>2006GA</v>
          </cell>
          <cell r="V814">
            <v>7.8133266000000007E-2</v>
          </cell>
          <cell r="W814">
            <v>3.5587817000000001E-2</v>
          </cell>
          <cell r="X814">
            <v>9.7388838000000005E-2</v>
          </cell>
          <cell r="Y814">
            <v>0.46952270200000001</v>
          </cell>
          <cell r="Z814">
            <v>0.31936737799999998</v>
          </cell>
          <cell r="AB814" t="str">
            <v>2006GA</v>
          </cell>
          <cell r="AC814">
            <v>0</v>
          </cell>
          <cell r="AD814">
            <v>0</v>
          </cell>
          <cell r="AE814">
            <v>0.41899999999999998</v>
          </cell>
          <cell r="AF814">
            <v>0.58099999999999996</v>
          </cell>
        </row>
        <row r="815">
          <cell r="B815" t="str">
            <v>2006HI</v>
          </cell>
          <cell r="C815">
            <v>0.67137224197860923</v>
          </cell>
          <cell r="D815">
            <v>0.21100034068527662</v>
          </cell>
          <cell r="E815">
            <v>0</v>
          </cell>
          <cell r="F815">
            <v>0.10820426646618357</v>
          </cell>
          <cell r="G815">
            <v>7.5112148308577572E-3</v>
          </cell>
          <cell r="H815">
            <v>1.9119360390725836E-3</v>
          </cell>
          <cell r="J815" t="str">
            <v>2006HI</v>
          </cell>
          <cell r="K815">
            <v>0.9924887851691423</v>
          </cell>
          <cell r="L815">
            <v>7.5112148308577572E-3</v>
          </cell>
          <cell r="M815">
            <v>0</v>
          </cell>
          <cell r="U815" t="str">
            <v>2006HI</v>
          </cell>
          <cell r="V815">
            <v>0.23216878499999999</v>
          </cell>
          <cell r="W815">
            <v>3.2904865999999998E-2</v>
          </cell>
          <cell r="X815">
            <v>0.18414778700000001</v>
          </cell>
          <cell r="Y815">
            <v>0.21064765399999999</v>
          </cell>
          <cell r="Z815">
            <v>0.34013090899999998</v>
          </cell>
          <cell r="AB815" t="str">
            <v>2006HI</v>
          </cell>
          <cell r="AC815">
            <v>0</v>
          </cell>
          <cell r="AD815">
            <v>0</v>
          </cell>
          <cell r="AE815">
            <v>0.25</v>
          </cell>
          <cell r="AF815">
            <v>0.75</v>
          </cell>
        </row>
        <row r="816">
          <cell r="B816" t="str">
            <v>2006ID</v>
          </cell>
          <cell r="C816">
            <v>0.62850843440764703</v>
          </cell>
          <cell r="D816">
            <v>0.2329683972033782</v>
          </cell>
          <cell r="E816">
            <v>6.4436683947772669E-3</v>
          </cell>
          <cell r="F816">
            <v>0.11961222721284216</v>
          </cell>
          <cell r="G816">
            <v>3.8149081541218642E-3</v>
          </cell>
          <cell r="H816">
            <v>8.6523646272333287E-3</v>
          </cell>
          <cell r="J816" t="str">
            <v>2006ID</v>
          </cell>
          <cell r="K816">
            <v>0.98974142345110083</v>
          </cell>
          <cell r="L816">
            <v>3.8149081541218642E-3</v>
          </cell>
          <cell r="M816">
            <v>6.4436683947772669E-3</v>
          </cell>
          <cell r="U816" t="str">
            <v>2006ID</v>
          </cell>
          <cell r="V816">
            <v>0.460837895</v>
          </cell>
          <cell r="W816">
            <v>2.6974237000000002E-2</v>
          </cell>
          <cell r="X816">
            <v>0.14528671200000001</v>
          </cell>
          <cell r="Y816">
            <v>0.102926191</v>
          </cell>
          <cell r="Z816">
            <v>0.26397496599999998</v>
          </cell>
          <cell r="AB816" t="str">
            <v>2006ID</v>
          </cell>
          <cell r="AC816">
            <v>0</v>
          </cell>
          <cell r="AD816">
            <v>0</v>
          </cell>
          <cell r="AE816">
            <v>0.6</v>
          </cell>
          <cell r="AF816">
            <v>0.4</v>
          </cell>
        </row>
        <row r="817">
          <cell r="B817" t="str">
            <v>2006IL</v>
          </cell>
          <cell r="C817">
            <v>0.13175283144497188</v>
          </cell>
          <cell r="D817">
            <v>0.26046159534668961</v>
          </cell>
          <cell r="E817">
            <v>8.1383349234931596E-2</v>
          </cell>
          <cell r="F817">
            <v>0.43207247933210829</v>
          </cell>
          <cell r="G817">
            <v>4.8182181885357514E-2</v>
          </cell>
          <cell r="H817">
            <v>4.6147562755941125E-2</v>
          </cell>
          <cell r="J817" t="str">
            <v>2006IL</v>
          </cell>
          <cell r="K817">
            <v>0.87043446887971088</v>
          </cell>
          <cell r="L817">
            <v>4.8182181885357514E-2</v>
          </cell>
          <cell r="M817">
            <v>8.1383349234931596E-2</v>
          </cell>
          <cell r="U817" t="str">
            <v>2006IL</v>
          </cell>
          <cell r="V817">
            <v>2.0186552999999999E-2</v>
          </cell>
          <cell r="W817">
            <v>4.5739502000000001E-2</v>
          </cell>
          <cell r="X817">
            <v>0.28028242399999997</v>
          </cell>
          <cell r="Y817">
            <v>0.149587944</v>
          </cell>
          <cell r="Z817">
            <v>0.50420357699999996</v>
          </cell>
          <cell r="AB817" t="str">
            <v>2006IL</v>
          </cell>
          <cell r="AC817">
            <v>0</v>
          </cell>
          <cell r="AD817">
            <v>0</v>
          </cell>
          <cell r="AE817">
            <v>0.02</v>
          </cell>
          <cell r="AF817">
            <v>0.98</v>
          </cell>
        </row>
        <row r="818">
          <cell r="B818" t="str">
            <v>2006IN</v>
          </cell>
          <cell r="C818">
            <v>0.16189917384296076</v>
          </cell>
          <cell r="D818">
            <v>0.24163212738244233</v>
          </cell>
          <cell r="E818">
            <v>0.13392208737361183</v>
          </cell>
          <cell r="F818">
            <v>0.3491044693998876</v>
          </cell>
          <cell r="G818">
            <v>7.9287205957511472E-2</v>
          </cell>
          <cell r="H818">
            <v>3.4154936043586021E-2</v>
          </cell>
          <cell r="J818" t="str">
            <v>2006IN</v>
          </cell>
          <cell r="K818">
            <v>0.78679070666887663</v>
          </cell>
          <cell r="L818">
            <v>7.9287205957511472E-2</v>
          </cell>
          <cell r="M818">
            <v>0.13392208737361183</v>
          </cell>
          <cell r="U818" t="str">
            <v>2006IN</v>
          </cell>
          <cell r="V818">
            <v>2.5489210000000002E-2</v>
          </cell>
          <cell r="W818">
            <v>4.5536079E-2</v>
          </cell>
          <cell r="X818">
            <v>0.27893099599999999</v>
          </cell>
          <cell r="Y818">
            <v>0.14781887399999999</v>
          </cell>
          <cell r="Z818">
            <v>0.50222484099999998</v>
          </cell>
          <cell r="AB818" t="str">
            <v>2006IN</v>
          </cell>
          <cell r="AC818">
            <v>0</v>
          </cell>
          <cell r="AD818">
            <v>0</v>
          </cell>
          <cell r="AE818">
            <v>0</v>
          </cell>
          <cell r="AF818">
            <v>1</v>
          </cell>
        </row>
        <row r="819">
          <cell r="B819" t="str">
            <v>2006IA</v>
          </cell>
          <cell r="C819">
            <v>0.13792614664225575</v>
          </cell>
          <cell r="D819">
            <v>0.25047757969635848</v>
          </cell>
          <cell r="E819">
            <v>0.10477197231415941</v>
          </cell>
          <cell r="F819">
            <v>0.40507493125352922</v>
          </cell>
          <cell r="G819">
            <v>6.2029177638731184E-2</v>
          </cell>
          <cell r="H819">
            <v>3.9720192454965969E-2</v>
          </cell>
          <cell r="J819" t="str">
            <v>2006IA</v>
          </cell>
          <cell r="K819">
            <v>0.83319885004710947</v>
          </cell>
          <cell r="L819">
            <v>6.2029177638731184E-2</v>
          </cell>
          <cell r="M819">
            <v>0.10477197231415941</v>
          </cell>
          <cell r="U819" t="str">
            <v>2006IA</v>
          </cell>
          <cell r="V819">
            <v>9.6502570000000006E-3</v>
          </cell>
          <cell r="W819">
            <v>3.8739974000000003E-2</v>
          </cell>
          <cell r="X819">
            <v>0.12067557499999999</v>
          </cell>
          <cell r="Y819">
            <v>0.47629315999999999</v>
          </cell>
          <cell r="Z819">
            <v>0.35464103499999999</v>
          </cell>
          <cell r="AB819" t="str">
            <v>2006IA</v>
          </cell>
          <cell r="AC819">
            <v>0</v>
          </cell>
          <cell r="AD819">
            <v>0</v>
          </cell>
          <cell r="AE819">
            <v>0</v>
          </cell>
          <cell r="AF819">
            <v>1</v>
          </cell>
        </row>
        <row r="820">
          <cell r="B820" t="str">
            <v>2006KS</v>
          </cell>
          <cell r="C820">
            <v>0.28758404285910905</v>
          </cell>
          <cell r="D820">
            <v>0.32607606753917184</v>
          </cell>
          <cell r="E820">
            <v>5.1050547933917619E-2</v>
          </cell>
          <cell r="F820">
            <v>0.27762124338847843</v>
          </cell>
          <cell r="G820">
            <v>3.0223956239483565E-2</v>
          </cell>
          <cell r="H820">
            <v>2.7444142039839463E-2</v>
          </cell>
          <cell r="J820" t="str">
            <v>2006KS</v>
          </cell>
          <cell r="K820">
            <v>0.91872549582659879</v>
          </cell>
          <cell r="L820">
            <v>3.0223956239483565E-2</v>
          </cell>
          <cell r="M820">
            <v>5.1050547933917619E-2</v>
          </cell>
          <cell r="U820" t="str">
            <v>2006KS</v>
          </cell>
          <cell r="V820">
            <v>2.3647662E-2</v>
          </cell>
          <cell r="W820">
            <v>4.6272377000000003E-2</v>
          </cell>
          <cell r="X820">
            <v>0.28189652199999998</v>
          </cell>
          <cell r="Y820">
            <v>0.13395533500000001</v>
          </cell>
          <cell r="Z820">
            <v>0.51422810299999999</v>
          </cell>
          <cell r="AB820" t="str">
            <v>2006KS</v>
          </cell>
          <cell r="AC820">
            <v>0</v>
          </cell>
          <cell r="AD820">
            <v>0</v>
          </cell>
          <cell r="AE820">
            <v>0.02</v>
          </cell>
          <cell r="AF820">
            <v>0.98</v>
          </cell>
        </row>
        <row r="821">
          <cell r="B821" t="str">
            <v>2006KY</v>
          </cell>
          <cell r="C821">
            <v>2.3305602928070858E-2</v>
          </cell>
          <cell r="D821">
            <v>6.2885861766289422E-2</v>
          </cell>
          <cell r="E821">
            <v>0.14165738300711325</v>
          </cell>
          <cell r="F821">
            <v>0.14315421990856123</v>
          </cell>
          <cell r="G821">
            <v>0.61397716539009373</v>
          </cell>
          <cell r="H821">
            <v>1.5019766999871505E-2</v>
          </cell>
          <cell r="J821" t="str">
            <v>2006KY</v>
          </cell>
          <cell r="K821">
            <v>0.24436545160279299</v>
          </cell>
          <cell r="L821">
            <v>0.61397716539009373</v>
          </cell>
          <cell r="M821">
            <v>0.14165738300711325</v>
          </cell>
          <cell r="U821" t="str">
            <v>2006KY</v>
          </cell>
          <cell r="V821">
            <v>4.9184704000000003E-2</v>
          </cell>
          <cell r="W821">
            <v>3.7321891000000003E-2</v>
          </cell>
          <cell r="X821">
            <v>0.11991215400000001</v>
          </cell>
          <cell r="Y821">
            <v>0.45018075899999999</v>
          </cell>
          <cell r="Z821">
            <v>0.34340049099999997</v>
          </cell>
          <cell r="AB821" t="str">
            <v>2006KY</v>
          </cell>
          <cell r="AC821">
            <v>0</v>
          </cell>
          <cell r="AD821">
            <v>0</v>
          </cell>
          <cell r="AE821">
            <v>0.05</v>
          </cell>
          <cell r="AF821">
            <v>0.95</v>
          </cell>
        </row>
        <row r="822">
          <cell r="B822" t="str">
            <v>2006LA</v>
          </cell>
          <cell r="C822">
            <v>8.7696493950327165E-2</v>
          </cell>
          <cell r="D822">
            <v>6.4637521135916851E-2</v>
          </cell>
          <cell r="E822">
            <v>0.14461730665558523</v>
          </cell>
          <cell r="F822">
            <v>0.10160244529023774</v>
          </cell>
          <cell r="G822">
            <v>0.59641803499629376</v>
          </cell>
          <cell r="H822">
            <v>5.0281979716392446E-3</v>
          </cell>
          <cell r="J822" t="str">
            <v>2006LA</v>
          </cell>
          <cell r="K822">
            <v>0.25896465834812099</v>
          </cell>
          <cell r="L822">
            <v>0.59641803499629376</v>
          </cell>
          <cell r="M822">
            <v>0.14461730665558523</v>
          </cell>
          <cell r="U822" t="str">
            <v>2006LA</v>
          </cell>
          <cell r="V822">
            <v>0.53551704700000002</v>
          </cell>
          <cell r="W822">
            <v>2.0437250000000001E-2</v>
          </cell>
          <cell r="X822">
            <v>0.12819729499999999</v>
          </cell>
          <cell r="Y822">
            <v>9.8005903000000005E-2</v>
          </cell>
          <cell r="Z822">
            <v>0.21784250499999999</v>
          </cell>
          <cell r="AB822" t="str">
            <v>2006LA</v>
          </cell>
          <cell r="AC822">
            <v>0</v>
          </cell>
          <cell r="AD822">
            <v>0</v>
          </cell>
          <cell r="AE822">
            <v>0.6</v>
          </cell>
          <cell r="AF822">
            <v>0.4</v>
          </cell>
        </row>
        <row r="823">
          <cell r="B823" t="str">
            <v>2006ME</v>
          </cell>
          <cell r="C823">
            <v>9.3713015315557757E-2</v>
          </cell>
          <cell r="D823">
            <v>0.17210096338216258</v>
          </cell>
          <cell r="E823">
            <v>0.44837154081607639</v>
          </cell>
          <cell r="F823">
            <v>0.19633313267932656</v>
          </cell>
          <cell r="G823">
            <v>7.0076626899074845E-2</v>
          </cell>
          <cell r="H823">
            <v>1.9404720907801824E-2</v>
          </cell>
          <cell r="J823" t="str">
            <v>2006ME</v>
          </cell>
          <cell r="K823">
            <v>0.48155183228484877</v>
          </cell>
          <cell r="L823">
            <v>7.0076626899074845E-2</v>
          </cell>
          <cell r="M823">
            <v>0.44837154081607639</v>
          </cell>
          <cell r="U823" t="str">
            <v>2006ME</v>
          </cell>
          <cell r="V823">
            <v>0.72920202000000001</v>
          </cell>
          <cell r="W823">
            <v>1.1915111000000001E-2</v>
          </cell>
          <cell r="X823">
            <v>7.4740241999999998E-2</v>
          </cell>
          <cell r="Y823">
            <v>5.7138373999999999E-2</v>
          </cell>
          <cell r="Z823">
            <v>0.12700425300000001</v>
          </cell>
          <cell r="AB823" t="str">
            <v>2006ME</v>
          </cell>
          <cell r="AC823">
            <v>0</v>
          </cell>
          <cell r="AD823">
            <v>0</v>
          </cell>
          <cell r="AE823">
            <v>0.05</v>
          </cell>
          <cell r="AF823">
            <v>0.95</v>
          </cell>
        </row>
        <row r="824">
          <cell r="B824" t="str">
            <v>2006MD</v>
          </cell>
          <cell r="C824">
            <v>7.6488535055593554E-2</v>
          </cell>
          <cell r="D824">
            <v>0.15472472257238745</v>
          </cell>
          <cell r="E824">
            <v>0.44380834258126728</v>
          </cell>
          <cell r="F824">
            <v>0.22861605738914034</v>
          </cell>
          <cell r="G824">
            <v>6.5960402236453913E-2</v>
          </cell>
          <cell r="H824">
            <v>3.0401940165157418E-2</v>
          </cell>
          <cell r="J824" t="str">
            <v>2006MD</v>
          </cell>
          <cell r="K824">
            <v>0.49023125518227884</v>
          </cell>
          <cell r="L824">
            <v>6.5960402236453913E-2</v>
          </cell>
          <cell r="M824">
            <v>0.44380834258126728</v>
          </cell>
          <cell r="U824" t="str">
            <v>2006MD</v>
          </cell>
          <cell r="V824">
            <v>0.21140679400000001</v>
          </cell>
          <cell r="W824">
            <v>3.7602905999999998E-2</v>
          </cell>
          <cell r="X824">
            <v>0.214504853</v>
          </cell>
          <cell r="Y824">
            <v>0.15671048400000001</v>
          </cell>
          <cell r="Z824">
            <v>0.37977496300000002</v>
          </cell>
          <cell r="AB824" t="str">
            <v>2006MD</v>
          </cell>
          <cell r="AC824">
            <v>0</v>
          </cell>
          <cell r="AD824">
            <v>0</v>
          </cell>
          <cell r="AE824">
            <v>0.05</v>
          </cell>
          <cell r="AF824">
            <v>0.95</v>
          </cell>
        </row>
        <row r="825">
          <cell r="B825" t="str">
            <v>2006MA</v>
          </cell>
          <cell r="C825">
            <v>6.1305440163427552E-2</v>
          </cell>
          <cell r="D825">
            <v>0.14874705508142777</v>
          </cell>
          <cell r="E825">
            <v>0.45216403673004657</v>
          </cell>
          <cell r="F825">
            <v>0.23617268276189021</v>
          </cell>
          <cell r="G825">
            <v>7.3497640935872632E-2</v>
          </cell>
          <cell r="H825">
            <v>2.8113144327335336E-2</v>
          </cell>
          <cell r="J825" t="str">
            <v>2006MA</v>
          </cell>
          <cell r="K825">
            <v>0.4743383223340808</v>
          </cell>
          <cell r="L825">
            <v>7.3497640935872632E-2</v>
          </cell>
          <cell r="M825">
            <v>0.45216403673004657</v>
          </cell>
          <cell r="U825" t="str">
            <v>2006MA</v>
          </cell>
          <cell r="V825">
            <v>0.31419575799999999</v>
          </cell>
          <cell r="W825">
            <v>3.0175387000000001E-2</v>
          </cell>
          <cell r="X825">
            <v>0.18928197099999999</v>
          </cell>
          <cell r="Y825">
            <v>0.14470469499999999</v>
          </cell>
          <cell r="Z825">
            <v>0.32164218900000002</v>
          </cell>
          <cell r="AB825" t="str">
            <v>2006MA</v>
          </cell>
          <cell r="AC825">
            <v>0</v>
          </cell>
          <cell r="AD825">
            <v>0</v>
          </cell>
          <cell r="AE825">
            <v>0.05</v>
          </cell>
          <cell r="AF825">
            <v>0.95</v>
          </cell>
        </row>
        <row r="826">
          <cell r="B826" t="str">
            <v>2006MI</v>
          </cell>
          <cell r="C826">
            <v>0.21592740095911189</v>
          </cell>
          <cell r="D826">
            <v>0.33044604004991018</v>
          </cell>
          <cell r="E826">
            <v>5.8998863632555826E-2</v>
          </cell>
          <cell r="F826">
            <v>0.32074430847532459</v>
          </cell>
          <cell r="G826">
            <v>3.4929675483950956E-2</v>
          </cell>
          <cell r="H826">
            <v>3.8953711399146676E-2</v>
          </cell>
          <cell r="J826" t="str">
            <v>2006MI</v>
          </cell>
          <cell r="K826">
            <v>0.90607146088349322</v>
          </cell>
          <cell r="L826">
            <v>3.4929675483950956E-2</v>
          </cell>
          <cell r="M826">
            <v>5.8998863632555826E-2</v>
          </cell>
          <cell r="U826" t="str">
            <v>2006MI</v>
          </cell>
          <cell r="V826">
            <v>4.5127237000000001E-2</v>
          </cell>
          <cell r="W826">
            <v>5.0500046999999999E-2</v>
          </cell>
          <cell r="X826">
            <v>0.254352099</v>
          </cell>
          <cell r="Y826">
            <v>0.17319266699999999</v>
          </cell>
          <cell r="Z826">
            <v>0.47682794899999997</v>
          </cell>
          <cell r="AB826" t="str">
            <v>2006MI</v>
          </cell>
          <cell r="AC826">
            <v>0</v>
          </cell>
          <cell r="AD826">
            <v>0</v>
          </cell>
          <cell r="AE826">
            <v>0.02</v>
          </cell>
          <cell r="AF826">
            <v>0.98</v>
          </cell>
        </row>
        <row r="827">
          <cell r="B827" t="str">
            <v>2006MN</v>
          </cell>
          <cell r="C827">
            <v>0.11559741536790068</v>
          </cell>
          <cell r="D827">
            <v>0.23915415867765383</v>
          </cell>
          <cell r="E827">
            <v>0.10052931481156221</v>
          </cell>
          <cell r="F827">
            <v>0.43822851849088174</v>
          </cell>
          <cell r="G827">
            <v>5.9517355535203494E-2</v>
          </cell>
          <cell r="H827">
            <v>4.697323711679801E-2</v>
          </cell>
          <cell r="J827" t="str">
            <v>2006MN</v>
          </cell>
          <cell r="K827">
            <v>0.83995332965323433</v>
          </cell>
          <cell r="L827">
            <v>5.9517355535203494E-2</v>
          </cell>
          <cell r="M827">
            <v>0.10052931481156221</v>
          </cell>
          <cell r="U827" t="str">
            <v>2006MN</v>
          </cell>
          <cell r="V827">
            <v>1.5145339000000001E-2</v>
          </cell>
          <cell r="W827">
            <v>5.1986831999999997E-2</v>
          </cell>
          <cell r="X827">
            <v>0.262445557</v>
          </cell>
          <cell r="Y827">
            <v>0.17896024199999999</v>
          </cell>
          <cell r="Z827">
            <v>0.49146202900000002</v>
          </cell>
          <cell r="AB827" t="str">
            <v>2006MN</v>
          </cell>
          <cell r="AC827">
            <v>0</v>
          </cell>
          <cell r="AD827">
            <v>0</v>
          </cell>
          <cell r="AE827">
            <v>0</v>
          </cell>
          <cell r="AF827">
            <v>1</v>
          </cell>
        </row>
        <row r="828">
          <cell r="B828" t="str">
            <v>2006MS</v>
          </cell>
          <cell r="C828">
            <v>0.10416334210611014</v>
          </cell>
          <cell r="D828">
            <v>7.2829933678422776E-2</v>
          </cell>
          <cell r="E828">
            <v>0.14929269604113307</v>
          </cell>
          <cell r="F828">
            <v>0.10019278631941281</v>
          </cell>
          <cell r="G828">
            <v>0.56868226150598644</v>
          </cell>
          <cell r="H828">
            <v>4.838980348934833E-3</v>
          </cell>
          <cell r="J828" t="str">
            <v>2006MS</v>
          </cell>
          <cell r="K828">
            <v>0.28202504245288051</v>
          </cell>
          <cell r="L828">
            <v>0.56868226150598644</v>
          </cell>
          <cell r="M828">
            <v>0.14929269604113307</v>
          </cell>
          <cell r="U828" t="str">
            <v>2006MS</v>
          </cell>
          <cell r="V828">
            <v>2.1100625000000001E-2</v>
          </cell>
          <cell r="W828">
            <v>3.6418512E-2</v>
          </cell>
          <cell r="X828">
            <v>6.0129593000000002E-2</v>
          </cell>
          <cell r="Y828">
            <v>0.574366987</v>
          </cell>
          <cell r="Z828">
            <v>0.30798428300000003</v>
          </cell>
          <cell r="AB828" t="str">
            <v>2006MS</v>
          </cell>
          <cell r="AC828">
            <v>0</v>
          </cell>
          <cell r="AD828">
            <v>0</v>
          </cell>
          <cell r="AE828">
            <v>0.6</v>
          </cell>
          <cell r="AF828">
            <v>0.4</v>
          </cell>
        </row>
        <row r="829">
          <cell r="B829" t="str">
            <v>2006MO</v>
          </cell>
          <cell r="C829">
            <v>6.4925479522277466E-2</v>
          </cell>
          <cell r="D829">
            <v>0.18170303563698134</v>
          </cell>
          <cell r="E829">
            <v>0.14337282997597614</v>
          </cell>
          <cell r="F829">
            <v>0.47880340852502545</v>
          </cell>
          <cell r="G829">
            <v>8.4882421727070459E-2</v>
          </cell>
          <cell r="H829">
            <v>4.6312824612669105E-2</v>
          </cell>
          <cell r="J829" t="str">
            <v>2006MO</v>
          </cell>
          <cell r="K829">
            <v>0.77174474829695339</v>
          </cell>
          <cell r="L829">
            <v>8.4882421727070459E-2</v>
          </cell>
          <cell r="M829">
            <v>0.14337282997597614</v>
          </cell>
          <cell r="U829" t="str">
            <v>2006MO</v>
          </cell>
          <cell r="V829">
            <v>2.998994E-2</v>
          </cell>
          <cell r="W829">
            <v>4.5757142000000001E-2</v>
          </cell>
          <cell r="X829">
            <v>0.27926039899999999</v>
          </cell>
          <cell r="Y829">
            <v>0.13775391300000001</v>
          </cell>
          <cell r="Z829">
            <v>0.50723860600000004</v>
          </cell>
          <cell r="AB829" t="str">
            <v>2006MO</v>
          </cell>
          <cell r="AC829">
            <v>0</v>
          </cell>
          <cell r="AD829">
            <v>0</v>
          </cell>
          <cell r="AE829">
            <v>0</v>
          </cell>
          <cell r="AF829">
            <v>1</v>
          </cell>
        </row>
        <row r="830">
          <cell r="B830" t="str">
            <v>2006MT</v>
          </cell>
          <cell r="C830">
            <v>0.35597781750083307</v>
          </cell>
          <cell r="D830">
            <v>0.25924389885240834</v>
          </cell>
          <cell r="E830">
            <v>4.3797789125912777E-2</v>
          </cell>
          <cell r="F830">
            <v>0.25058080537727367</v>
          </cell>
          <cell r="G830">
            <v>2.5930034358127463E-2</v>
          </cell>
          <cell r="H830">
            <v>6.4469654785444572E-2</v>
          </cell>
          <cell r="J830" t="str">
            <v>2006MT</v>
          </cell>
          <cell r="K830">
            <v>0.93027217651595973</v>
          </cell>
          <cell r="L830">
            <v>2.5930034358127463E-2</v>
          </cell>
          <cell r="M830">
            <v>4.3797789125912777E-2</v>
          </cell>
          <cell r="U830" t="str">
            <v>2006MT</v>
          </cell>
          <cell r="V830">
            <v>6.0520032000000001E-2</v>
          </cell>
          <cell r="W830">
            <v>5.1214043000000001E-2</v>
          </cell>
          <cell r="X830">
            <v>0.24859647000000001</v>
          </cell>
          <cell r="Y830">
            <v>0.16530719099999999</v>
          </cell>
          <cell r="Z830">
            <v>0.47436226399999998</v>
          </cell>
          <cell r="AB830" t="str">
            <v>2006MT</v>
          </cell>
          <cell r="AC830">
            <v>0</v>
          </cell>
          <cell r="AD830">
            <v>0</v>
          </cell>
          <cell r="AE830">
            <v>0.6</v>
          </cell>
          <cell r="AF830">
            <v>0.4</v>
          </cell>
        </row>
        <row r="831">
          <cell r="B831" t="str">
            <v>2006NE</v>
          </cell>
          <cell r="C831">
            <v>0.21260954807532403</v>
          </cell>
          <cell r="D831">
            <v>0.30324255962083846</v>
          </cell>
          <cell r="E831">
            <v>6.1277054134417128E-2</v>
          </cell>
          <cell r="F831">
            <v>0.34696077142199511</v>
          </cell>
          <cell r="G831">
            <v>3.6278454935301678E-2</v>
          </cell>
          <cell r="H831">
            <v>3.9631611812123581E-2</v>
          </cell>
          <cell r="J831" t="str">
            <v>2006NE</v>
          </cell>
          <cell r="K831">
            <v>0.90244449093028123</v>
          </cell>
          <cell r="L831">
            <v>3.6278454935301678E-2</v>
          </cell>
          <cell r="M831">
            <v>6.1277054134417128E-2</v>
          </cell>
          <cell r="U831" t="str">
            <v>2006NE</v>
          </cell>
          <cell r="V831">
            <v>3.0063880000000001E-2</v>
          </cell>
          <cell r="W831">
            <v>4.5295173000000001E-2</v>
          </cell>
          <cell r="X831">
            <v>0.27751980599999998</v>
          </cell>
          <cell r="Y831">
            <v>0.147715386</v>
          </cell>
          <cell r="Z831">
            <v>0.49940575500000001</v>
          </cell>
          <cell r="AB831" t="str">
            <v>2006NE</v>
          </cell>
          <cell r="AC831">
            <v>0</v>
          </cell>
          <cell r="AD831">
            <v>0</v>
          </cell>
          <cell r="AE831">
            <v>0.02</v>
          </cell>
          <cell r="AF831">
            <v>0.98</v>
          </cell>
        </row>
        <row r="832">
          <cell r="B832" t="str">
            <v>2006NV</v>
          </cell>
          <cell r="C832">
            <v>0.64210148526116029</v>
          </cell>
          <cell r="D832">
            <v>0.238399883587257</v>
          </cell>
          <cell r="E832">
            <v>4.1594375177217181E-3</v>
          </cell>
          <cell r="F832">
            <v>0.10819864870890922</v>
          </cell>
          <cell r="G832">
            <v>2.4625525602432058E-3</v>
          </cell>
          <cell r="H832">
            <v>4.677992364708553E-3</v>
          </cell>
          <cell r="J832" t="str">
            <v>2006NV</v>
          </cell>
          <cell r="K832">
            <v>0.99337800992203507</v>
          </cell>
          <cell r="L832">
            <v>2.4625525602432058E-3</v>
          </cell>
          <cell r="M832">
            <v>4.1594375177217181E-3</v>
          </cell>
          <cell r="U832" t="str">
            <v>2006NV</v>
          </cell>
          <cell r="V832">
            <v>0.35004114600000003</v>
          </cell>
          <cell r="W832">
            <v>2.4048478000000002E-2</v>
          </cell>
          <cell r="X832">
            <v>3.5747737000000002E-2</v>
          </cell>
          <cell r="Y832">
            <v>0.38867539400000001</v>
          </cell>
          <cell r="Z832">
            <v>0.20148724500000001</v>
          </cell>
          <cell r="AB832" t="str">
            <v>2006NV</v>
          </cell>
          <cell r="AC832">
            <v>0</v>
          </cell>
          <cell r="AD832">
            <v>0</v>
          </cell>
          <cell r="AE832">
            <v>0</v>
          </cell>
          <cell r="AF832">
            <v>1</v>
          </cell>
        </row>
        <row r="833">
          <cell r="B833" t="str">
            <v>2006NH</v>
          </cell>
          <cell r="C833">
            <v>9.4573445198850817E-2</v>
          </cell>
          <cell r="D833">
            <v>0.16340842518862655</v>
          </cell>
          <cell r="E833">
            <v>0.44298025846087286</v>
          </cell>
          <cell r="F833">
            <v>0.20852129702854144</v>
          </cell>
          <cell r="G833">
            <v>6.52134304627775E-2</v>
          </cell>
          <cell r="H833">
            <v>2.5303143660330828E-2</v>
          </cell>
          <cell r="J833" t="str">
            <v>2006NH</v>
          </cell>
          <cell r="K833">
            <v>0.49180631107634964</v>
          </cell>
          <cell r="L833">
            <v>6.52134304627775E-2</v>
          </cell>
          <cell r="M833">
            <v>0.44298025846087286</v>
          </cell>
          <cell r="U833" t="str">
            <v>2006NH</v>
          </cell>
          <cell r="V833">
            <v>0.56759962799999997</v>
          </cell>
          <cell r="W833">
            <v>1.9025615999999999E-2</v>
          </cell>
          <cell r="X833">
            <v>0.119342503</v>
          </cell>
          <cell r="Y833">
            <v>9.1236478999999995E-2</v>
          </cell>
          <cell r="Z833">
            <v>0.20279577500000001</v>
          </cell>
          <cell r="AB833" t="str">
            <v>2006NH</v>
          </cell>
          <cell r="AC833">
            <v>0</v>
          </cell>
          <cell r="AD833">
            <v>0</v>
          </cell>
          <cell r="AE833">
            <v>0.05</v>
          </cell>
          <cell r="AF833">
            <v>0.95</v>
          </cell>
        </row>
        <row r="834">
          <cell r="B834" t="str">
            <v>2006NJ</v>
          </cell>
          <cell r="C834">
            <v>5.8003576611346738E-2</v>
          </cell>
          <cell r="D834">
            <v>0.13897871355240557</v>
          </cell>
          <cell r="E834">
            <v>0.45397029129837874</v>
          </cell>
          <cell r="F834">
            <v>0.24471653627570109</v>
          </cell>
          <cell r="G834">
            <v>7.5126969581826603E-2</v>
          </cell>
          <cell r="H834">
            <v>2.9203912680341212E-2</v>
          </cell>
          <cell r="J834" t="str">
            <v>2006NJ</v>
          </cell>
          <cell r="K834">
            <v>0.47090273911979463</v>
          </cell>
          <cell r="L834">
            <v>7.5126969581826603E-2</v>
          </cell>
          <cell r="M834">
            <v>0.45397029129837874</v>
          </cell>
          <cell r="U834" t="str">
            <v>2006NJ</v>
          </cell>
          <cell r="V834">
            <v>0.30808167400000003</v>
          </cell>
          <cell r="W834">
            <v>3.3011736E-2</v>
          </cell>
          <cell r="X834">
            <v>0.18818818500000001</v>
          </cell>
          <cell r="Y834">
            <v>0.137437002</v>
          </cell>
          <cell r="Z834">
            <v>0.333281404</v>
          </cell>
          <cell r="AB834" t="str">
            <v>2006NJ</v>
          </cell>
          <cell r="AC834">
            <v>0</v>
          </cell>
          <cell r="AD834">
            <v>0</v>
          </cell>
          <cell r="AE834">
            <v>0.05</v>
          </cell>
          <cell r="AF834">
            <v>0.95</v>
          </cell>
        </row>
        <row r="835">
          <cell r="B835" t="str">
            <v>2006NM</v>
          </cell>
          <cell r="C835">
            <v>0.61184589317007076</v>
          </cell>
          <cell r="D835">
            <v>0.19452029294367307</v>
          </cell>
          <cell r="E835">
            <v>9.8952813124742175E-2</v>
          </cell>
          <cell r="F835">
            <v>9.4174237847419268E-2</v>
          </cell>
          <cell r="G835">
            <v>0</v>
          </cell>
          <cell r="H835">
            <v>5.0676291409465751E-4</v>
          </cell>
          <cell r="J835" t="str">
            <v>2006NM</v>
          </cell>
          <cell r="K835">
            <v>0.90104718687525787</v>
          </cell>
          <cell r="L835">
            <v>0</v>
          </cell>
          <cell r="M835">
            <v>9.8952813124742175E-2</v>
          </cell>
          <cell r="U835" t="str">
            <v>2006NM</v>
          </cell>
          <cell r="V835">
            <v>0.91655606099999998</v>
          </cell>
          <cell r="W835">
            <v>3.6715329999999998E-3</v>
          </cell>
          <cell r="X835">
            <v>2.3030526999999999E-2</v>
          </cell>
          <cell r="Y835">
            <v>1.7606671000000001E-2</v>
          </cell>
          <cell r="Z835">
            <v>3.9135206999999998E-2</v>
          </cell>
          <cell r="AB835" t="str">
            <v>2006NM</v>
          </cell>
          <cell r="AC835">
            <v>0</v>
          </cell>
          <cell r="AD835">
            <v>0</v>
          </cell>
          <cell r="AE835">
            <v>0.6</v>
          </cell>
          <cell r="AF835">
            <v>0.4</v>
          </cell>
        </row>
        <row r="836">
          <cell r="B836" t="str">
            <v>2006NY</v>
          </cell>
          <cell r="C836">
            <v>9.8408703041683282E-2</v>
          </cell>
          <cell r="D836">
            <v>0.15954377256245178</v>
          </cell>
          <cell r="E836">
            <v>0.44849165243165579</v>
          </cell>
          <cell r="F836">
            <v>0.20287733376538455</v>
          </cell>
          <cell r="G836">
            <v>7.0184973363303343E-2</v>
          </cell>
          <cell r="H836">
            <v>2.0493564835521279E-2</v>
          </cell>
          <cell r="J836" t="str">
            <v>2006NY</v>
          </cell>
          <cell r="K836">
            <v>0.4813233742050409</v>
          </cell>
          <cell r="L836">
            <v>7.0184973363303343E-2</v>
          </cell>
          <cell r="M836">
            <v>0.44849165243165579</v>
          </cell>
          <cell r="U836" t="str">
            <v>2006NY</v>
          </cell>
          <cell r="V836">
            <v>0.20441514899999999</v>
          </cell>
          <cell r="W836">
            <v>4.1815811000000001E-2</v>
          </cell>
          <cell r="X836">
            <v>0.21220383400000001</v>
          </cell>
          <cell r="Y836">
            <v>0.145168144</v>
          </cell>
          <cell r="Z836">
            <v>0.396397061</v>
          </cell>
          <cell r="AB836" t="str">
            <v>2006NY</v>
          </cell>
          <cell r="AC836">
            <v>0</v>
          </cell>
          <cell r="AD836">
            <v>0</v>
          </cell>
          <cell r="AE836">
            <v>0.05</v>
          </cell>
          <cell r="AF836">
            <v>0.95</v>
          </cell>
        </row>
        <row r="837">
          <cell r="B837" t="str">
            <v>2006NC</v>
          </cell>
          <cell r="C837">
            <v>6.168821577504751E-2</v>
          </cell>
          <cell r="D837">
            <v>0.11278426418396881</v>
          </cell>
          <cell r="E837">
            <v>0.15395779991170949</v>
          </cell>
          <cell r="F837">
            <v>0.11589101949636353</v>
          </cell>
          <cell r="G837">
            <v>0.54100750469043157</v>
          </cell>
          <cell r="H837">
            <v>1.4671195942479084E-2</v>
          </cell>
          <cell r="J837" t="str">
            <v>2006NC</v>
          </cell>
          <cell r="K837">
            <v>0.30503469539785888</v>
          </cell>
          <cell r="L837">
            <v>0.54100750469043157</v>
          </cell>
          <cell r="M837">
            <v>0.15395779991170949</v>
          </cell>
          <cell r="U837" t="str">
            <v>2006NC</v>
          </cell>
          <cell r="V837">
            <v>2.4742549999999999E-3</v>
          </cell>
          <cell r="W837">
            <v>3.7123251000000003E-2</v>
          </cell>
          <cell r="X837">
            <v>6.1645423999999997E-2</v>
          </cell>
          <cell r="Y837">
            <v>0.58464508599999998</v>
          </cell>
          <cell r="Z837">
            <v>0.31411198400000001</v>
          </cell>
          <cell r="AB837" t="str">
            <v>2006NC</v>
          </cell>
          <cell r="AC837">
            <v>0</v>
          </cell>
          <cell r="AD837">
            <v>0</v>
          </cell>
          <cell r="AE837">
            <v>0.41899999999999998</v>
          </cell>
          <cell r="AF837">
            <v>0.58099999999999996</v>
          </cell>
        </row>
        <row r="838">
          <cell r="B838" t="str">
            <v>2006ND</v>
          </cell>
          <cell r="C838">
            <v>0.1196932700797023</v>
          </cell>
          <cell r="D838">
            <v>0.21866711268457967</v>
          </cell>
          <cell r="E838">
            <v>0.10978970169096619</v>
          </cell>
          <cell r="F838">
            <v>0.448028418369537</v>
          </cell>
          <cell r="G838">
            <v>6.499987314042277E-2</v>
          </cell>
          <cell r="H838">
            <v>3.8821624034792085E-2</v>
          </cell>
          <cell r="J838" t="str">
            <v>2006ND</v>
          </cell>
          <cell r="K838">
            <v>0.82521042516861098</v>
          </cell>
          <cell r="L838">
            <v>6.499987314042277E-2</v>
          </cell>
          <cell r="M838">
            <v>0.10978970169096619</v>
          </cell>
          <cell r="U838" t="str">
            <v>2006ND</v>
          </cell>
          <cell r="V838">
            <v>8.8434773999999994E-2</v>
          </cell>
          <cell r="W838">
            <v>4.7868137999999998E-2</v>
          </cell>
          <cell r="X838">
            <v>0.243186129</v>
          </cell>
          <cell r="Y838">
            <v>0.16647603599999999</v>
          </cell>
          <cell r="Z838">
            <v>0.45403492299999998</v>
          </cell>
          <cell r="AB838" t="str">
            <v>2006ND</v>
          </cell>
          <cell r="AC838">
            <v>0</v>
          </cell>
          <cell r="AD838">
            <v>0</v>
          </cell>
          <cell r="AE838">
            <v>0.02</v>
          </cell>
          <cell r="AF838">
            <v>0.98</v>
          </cell>
        </row>
        <row r="839">
          <cell r="B839" t="str">
            <v>2006OH</v>
          </cell>
          <cell r="C839">
            <v>0.10753833947858983</v>
          </cell>
          <cell r="D839">
            <v>0.22522557822049544</v>
          </cell>
          <cell r="E839">
            <v>0.13589110116557596</v>
          </cell>
          <cell r="F839">
            <v>0.4097570212201273</v>
          </cell>
          <cell r="G839">
            <v>8.0452940491062386E-2</v>
          </cell>
          <cell r="H839">
            <v>4.1135019424149183E-2</v>
          </cell>
          <cell r="J839" t="str">
            <v>2006OH</v>
          </cell>
          <cell r="K839">
            <v>0.78365595834336166</v>
          </cell>
          <cell r="L839">
            <v>8.0452940491062386E-2</v>
          </cell>
          <cell r="M839">
            <v>0.13589110116557596</v>
          </cell>
          <cell r="U839" t="str">
            <v>2006OH</v>
          </cell>
          <cell r="V839">
            <v>6.6338901000000006E-2</v>
          </cell>
          <cell r="W839">
            <v>4.3119113000000001E-2</v>
          </cell>
          <cell r="X839">
            <v>0.26533305600000001</v>
          </cell>
          <cell r="Y839">
            <v>0.15267545299999999</v>
          </cell>
          <cell r="Z839">
            <v>0.47253347699999998</v>
          </cell>
          <cell r="AB839" t="str">
            <v>2006OH</v>
          </cell>
          <cell r="AC839">
            <v>0</v>
          </cell>
          <cell r="AD839">
            <v>0</v>
          </cell>
          <cell r="AE839">
            <v>0</v>
          </cell>
          <cell r="AF839">
            <v>1</v>
          </cell>
        </row>
        <row r="840">
          <cell r="B840" t="str">
            <v>2006OK</v>
          </cell>
          <cell r="C840">
            <v>0.40296958934788546</v>
          </cell>
          <cell r="D840">
            <v>0.22528492954061258</v>
          </cell>
          <cell r="E840">
            <v>6.4896255940651446E-2</v>
          </cell>
          <cell r="F840">
            <v>0.24738177570149189</v>
          </cell>
          <cell r="G840">
            <v>0</v>
          </cell>
          <cell r="H840">
            <v>5.9467449469358676E-2</v>
          </cell>
          <cell r="J840" t="str">
            <v>2006OK</v>
          </cell>
          <cell r="K840">
            <v>0.9351037440593486</v>
          </cell>
          <cell r="L840">
            <v>0</v>
          </cell>
          <cell r="M840">
            <v>6.4896255940651446E-2</v>
          </cell>
          <cell r="U840" t="str">
            <v>2006OK</v>
          </cell>
          <cell r="V840">
            <v>1.2831308E-2</v>
          </cell>
          <cell r="W840">
            <v>3.6793041999999998E-2</v>
          </cell>
          <cell r="X840">
            <v>6.2749109999999997E-2</v>
          </cell>
          <cell r="Y840">
            <v>0.57552135800000004</v>
          </cell>
          <cell r="Z840">
            <v>0.31210518199999998</v>
          </cell>
          <cell r="AB840" t="str">
            <v>2006OK</v>
          </cell>
          <cell r="AC840">
            <v>0</v>
          </cell>
          <cell r="AD840">
            <v>0</v>
          </cell>
          <cell r="AE840">
            <v>0.6</v>
          </cell>
          <cell r="AF840">
            <v>0.4</v>
          </cell>
        </row>
        <row r="841">
          <cell r="B841" t="str">
            <v>2006OR</v>
          </cell>
          <cell r="C841">
            <v>0.43856747008812064</v>
          </cell>
          <cell r="D841">
            <v>0.20958259090942544</v>
          </cell>
          <cell r="E841">
            <v>0</v>
          </cell>
          <cell r="F841">
            <v>0.12862948158709187</v>
          </cell>
          <cell r="G841">
            <v>0.2018533708975031</v>
          </cell>
          <cell r="H841">
            <v>2.1367086517858933E-2</v>
          </cell>
          <cell r="J841" t="str">
            <v>2006OR</v>
          </cell>
          <cell r="K841">
            <v>0.7981466291024969</v>
          </cell>
          <cell r="L841">
            <v>0.2018533708975031</v>
          </cell>
          <cell r="M841">
            <v>0</v>
          </cell>
          <cell r="U841" t="str">
            <v>2006OR</v>
          </cell>
          <cell r="V841">
            <v>0.57640796000000005</v>
          </cell>
          <cell r="W841">
            <v>1.863805E-2</v>
          </cell>
          <cell r="X841">
            <v>0.116911403</v>
          </cell>
          <cell r="Y841">
            <v>8.937792E-2</v>
          </cell>
          <cell r="Z841">
            <v>0.19866466699999999</v>
          </cell>
          <cell r="AB841" t="str">
            <v>2006OR</v>
          </cell>
          <cell r="AC841">
            <v>0</v>
          </cell>
          <cell r="AD841">
            <v>0</v>
          </cell>
          <cell r="AE841">
            <v>0.25</v>
          </cell>
          <cell r="AF841">
            <v>0.75</v>
          </cell>
        </row>
        <row r="842">
          <cell r="B842" t="str">
            <v>2006PA</v>
          </cell>
          <cell r="C842">
            <v>4.9624045569858895E-2</v>
          </cell>
          <cell r="D842">
            <v>0.11712497857538914</v>
          </cell>
          <cell r="E842">
            <v>0.46874549019831585</v>
          </cell>
          <cell r="F842">
            <v>0.25230966018477574</v>
          </cell>
          <cell r="G842">
            <v>8.8454910858433447E-2</v>
          </cell>
          <cell r="H842">
            <v>2.3740914613226898E-2</v>
          </cell>
          <cell r="J842" t="str">
            <v>2006PA</v>
          </cell>
          <cell r="K842">
            <v>0.44279959894325072</v>
          </cell>
          <cell r="L842">
            <v>8.8454910858433447E-2</v>
          </cell>
          <cell r="M842">
            <v>0.46874549019831585</v>
          </cell>
          <cell r="U842" t="str">
            <v>2006PA</v>
          </cell>
          <cell r="V842">
            <v>5.0102499000000002E-2</v>
          </cell>
          <cell r="W842">
            <v>4.9409870000000002E-2</v>
          </cell>
          <cell r="X842">
            <v>0.25392279899999998</v>
          </cell>
          <cell r="Y842">
            <v>0.17504710600000001</v>
          </cell>
          <cell r="Z842">
            <v>0.47151772600000003</v>
          </cell>
          <cell r="AB842" t="str">
            <v>2006PA</v>
          </cell>
          <cell r="AC842">
            <v>0</v>
          </cell>
          <cell r="AD842">
            <v>0</v>
          </cell>
          <cell r="AE842">
            <v>0</v>
          </cell>
          <cell r="AF842">
            <v>1</v>
          </cell>
        </row>
        <row r="843">
          <cell r="B843" t="str">
            <v>2006RI</v>
          </cell>
          <cell r="C843">
            <v>4.2447025005926793E-2</v>
          </cell>
          <cell r="D843">
            <v>0.1190174947032642</v>
          </cell>
          <cell r="E843">
            <v>0.46784468707451643</v>
          </cell>
          <cell r="F843">
            <v>0.25730854976835782</v>
          </cell>
          <cell r="G843">
            <v>8.7642343040085183E-2</v>
          </cell>
          <cell r="H843">
            <v>2.5739900407849584E-2</v>
          </cell>
          <cell r="J843" t="str">
            <v>2006RI</v>
          </cell>
          <cell r="K843">
            <v>0.44451296988539835</v>
          </cell>
          <cell r="L843">
            <v>8.7642343040085183E-2</v>
          </cell>
          <cell r="M843">
            <v>0.46784468707451643</v>
          </cell>
          <cell r="U843" t="str">
            <v>2006RI</v>
          </cell>
          <cell r="V843">
            <v>0.56026879500000004</v>
          </cell>
          <cell r="W843">
            <v>1.9348173E-2</v>
          </cell>
          <cell r="X843">
            <v>0.121365813</v>
          </cell>
          <cell r="Y843">
            <v>9.2783283999999994E-2</v>
          </cell>
          <cell r="Z843">
            <v>0.20623393500000001</v>
          </cell>
          <cell r="AB843" t="str">
            <v>2006RI</v>
          </cell>
          <cell r="AC843">
            <v>0</v>
          </cell>
          <cell r="AD843">
            <v>0</v>
          </cell>
          <cell r="AE843">
            <v>0.05</v>
          </cell>
          <cell r="AF843">
            <v>0.95</v>
          </cell>
        </row>
        <row r="844">
          <cell r="B844" t="str">
            <v>2006SC</v>
          </cell>
          <cell r="C844">
            <v>0.13346180610825578</v>
          </cell>
          <cell r="D844">
            <v>9.0019723091430845E-2</v>
          </cell>
          <cell r="E844">
            <v>0.15451296947775242</v>
          </cell>
          <cell r="F844">
            <v>8.0687406490411034E-2</v>
          </cell>
          <cell r="G844">
            <v>0.53771407690020812</v>
          </cell>
          <cell r="H844">
            <v>3.6040179319418398E-3</v>
          </cell>
          <cell r="J844" t="str">
            <v>2006SC</v>
          </cell>
          <cell r="K844">
            <v>0.30777295362203949</v>
          </cell>
          <cell r="L844">
            <v>0.53771407690020812</v>
          </cell>
          <cell r="M844">
            <v>0.15451296947775242</v>
          </cell>
          <cell r="U844" t="str">
            <v>2006SC</v>
          </cell>
          <cell r="V844">
            <v>6.1629585000000001E-2</v>
          </cell>
          <cell r="W844">
            <v>3.5823032999999997E-2</v>
          </cell>
          <cell r="X844">
            <v>8.6443989999999998E-2</v>
          </cell>
          <cell r="Y844">
            <v>0.50014727299999995</v>
          </cell>
          <cell r="Z844">
            <v>0.31595611899999998</v>
          </cell>
          <cell r="AB844" t="str">
            <v>2006SC</v>
          </cell>
          <cell r="AC844">
            <v>0</v>
          </cell>
          <cell r="AD844">
            <v>0</v>
          </cell>
          <cell r="AE844">
            <v>0.6</v>
          </cell>
          <cell r="AF844">
            <v>0.4</v>
          </cell>
        </row>
        <row r="845">
          <cell r="B845" t="str">
            <v>2006SD</v>
          </cell>
          <cell r="C845">
            <v>0.17608951911561277</v>
          </cell>
          <cell r="D845">
            <v>0.277831368160596</v>
          </cell>
          <cell r="E845">
            <v>7.9800561964795444E-2</v>
          </cell>
          <cell r="F845">
            <v>0.37802114842972712</v>
          </cell>
          <cell r="G845">
            <v>4.724510882492864E-2</v>
          </cell>
          <cell r="H845">
            <v>4.1012293504340026E-2</v>
          </cell>
          <cell r="J845" t="str">
            <v>2006SD</v>
          </cell>
          <cell r="K845">
            <v>0.87295432921027594</v>
          </cell>
          <cell r="L845">
            <v>4.724510882492864E-2</v>
          </cell>
          <cell r="M845">
            <v>7.9800561964795444E-2</v>
          </cell>
          <cell r="U845" t="str">
            <v>2006SD</v>
          </cell>
          <cell r="V845">
            <v>3.3046748000000001E-2</v>
          </cell>
          <cell r="W845">
            <v>5.1157264000000001E-2</v>
          </cell>
          <cell r="X845">
            <v>0.25755016600000002</v>
          </cell>
          <cell r="Y845">
            <v>0.17532273200000001</v>
          </cell>
          <cell r="Z845">
            <v>0.48292308900000003</v>
          </cell>
          <cell r="AB845" t="str">
            <v>2006SD</v>
          </cell>
          <cell r="AC845">
            <v>0</v>
          </cell>
          <cell r="AD845">
            <v>0</v>
          </cell>
          <cell r="AE845">
            <v>0.02</v>
          </cell>
          <cell r="AF845">
            <v>0.98</v>
          </cell>
        </row>
        <row r="846">
          <cell r="B846" t="str">
            <v>2006TN</v>
          </cell>
          <cell r="C846">
            <v>4.0519949592449485E-2</v>
          </cell>
          <cell r="D846">
            <v>8.9664149461423162E-2</v>
          </cell>
          <cell r="E846">
            <v>0.14551684926860037</v>
          </cell>
          <cell r="F846">
            <v>0.1170185785979804</v>
          </cell>
          <cell r="G846">
            <v>0.59108168584929244</v>
          </cell>
          <cell r="H846">
            <v>1.6198787230254148E-2</v>
          </cell>
          <cell r="J846" t="str">
            <v>2006TN</v>
          </cell>
          <cell r="K846">
            <v>0.26340146488210725</v>
          </cell>
          <cell r="L846">
            <v>0.59108168584929244</v>
          </cell>
          <cell r="M846">
            <v>0.14551684926860037</v>
          </cell>
          <cell r="U846" t="str">
            <v>2006TN</v>
          </cell>
          <cell r="V846">
            <v>0.102875089</v>
          </cell>
          <cell r="W846">
            <v>3.5402429999999999E-2</v>
          </cell>
          <cell r="X846">
            <v>0.119077104</v>
          </cell>
          <cell r="Y846">
            <v>0.41436515099999999</v>
          </cell>
          <cell r="Z846">
            <v>0.32828022600000001</v>
          </cell>
          <cell r="AB846" t="str">
            <v>2006TN</v>
          </cell>
          <cell r="AC846">
            <v>0</v>
          </cell>
          <cell r="AD846">
            <v>0</v>
          </cell>
          <cell r="AE846">
            <v>0.05</v>
          </cell>
          <cell r="AF846">
            <v>0.95</v>
          </cell>
        </row>
        <row r="847">
          <cell r="B847" t="str">
            <v>2006TX</v>
          </cell>
          <cell r="C847">
            <v>0.53305655520056971</v>
          </cell>
          <cell r="D847">
            <v>0.24233312613196878</v>
          </cell>
          <cell r="E847">
            <v>7.9791980793249173E-2</v>
          </cell>
          <cell r="F847">
            <v>0.1278405091499755</v>
          </cell>
          <cell r="G847">
            <v>0</v>
          </cell>
          <cell r="H847">
            <v>1.6977828724236681E-2</v>
          </cell>
          <cell r="J847" t="str">
            <v>2006TX</v>
          </cell>
          <cell r="K847">
            <v>0.92020801920675077</v>
          </cell>
          <cell r="L847">
            <v>0</v>
          </cell>
          <cell r="M847">
            <v>7.9791980793249173E-2</v>
          </cell>
          <cell r="U847" t="str">
            <v>2006TX</v>
          </cell>
          <cell r="V847">
            <v>6.9632535999999995E-2</v>
          </cell>
          <cell r="W847">
            <v>3.4700662E-2</v>
          </cell>
          <cell r="X847">
            <v>5.9917572000000002E-2</v>
          </cell>
          <cell r="Y847">
            <v>0.54104196599999999</v>
          </cell>
          <cell r="Z847">
            <v>0.29470726400000002</v>
          </cell>
          <cell r="AB847" t="str">
            <v>2006TX</v>
          </cell>
          <cell r="AC847">
            <v>0</v>
          </cell>
          <cell r="AD847">
            <v>0</v>
          </cell>
          <cell r="AE847">
            <v>0.12</v>
          </cell>
          <cell r="AF847">
            <v>0.88</v>
          </cell>
        </row>
        <row r="848">
          <cell r="B848" t="str">
            <v>2006UT</v>
          </cell>
          <cell r="C848">
            <v>0.51165623152884221</v>
          </cell>
          <cell r="D848">
            <v>0.26394677259150623</v>
          </cell>
          <cell r="E848">
            <v>1.3999177703951423E-2</v>
          </cell>
          <cell r="F848">
            <v>0.17036034814732054</v>
          </cell>
          <cell r="G848">
            <v>8.2880703819413898E-3</v>
          </cell>
          <cell r="H848">
            <v>3.1749399646438282E-2</v>
          </cell>
          <cell r="J848" t="str">
            <v>2006UT</v>
          </cell>
          <cell r="K848">
            <v>0.97771275191410723</v>
          </cell>
          <cell r="L848">
            <v>8.2880703819413898E-3</v>
          </cell>
          <cell r="M848">
            <v>1.3999177703951423E-2</v>
          </cell>
          <cell r="U848" t="str">
            <v>2006UT</v>
          </cell>
          <cell r="V848">
            <v>8.6456620000000001E-3</v>
          </cell>
          <cell r="W848">
            <v>5.5424775000000003E-2</v>
          </cell>
          <cell r="X848">
            <v>0.260824848</v>
          </cell>
          <cell r="Y848">
            <v>0.16982515300000001</v>
          </cell>
          <cell r="Z848">
            <v>0.50527956200000002</v>
          </cell>
          <cell r="AB848" t="str">
            <v>2006UT</v>
          </cell>
          <cell r="AC848">
            <v>0</v>
          </cell>
          <cell r="AD848">
            <v>0</v>
          </cell>
          <cell r="AE848">
            <v>0.6</v>
          </cell>
          <cell r="AF848">
            <v>0.4</v>
          </cell>
        </row>
        <row r="849">
          <cell r="B849" t="str">
            <v>2006VT</v>
          </cell>
          <cell r="C849">
            <v>9.9973781354903396E-2</v>
          </cell>
          <cell r="D849">
            <v>0.17387691112967565</v>
          </cell>
          <cell r="E849">
            <v>0.44423932842492886</v>
          </cell>
          <cell r="F849">
            <v>0.19448861844630186</v>
          </cell>
          <cell r="G849">
            <v>6.6349172232328182E-2</v>
          </cell>
          <cell r="H849">
            <v>2.1072188411862088E-2</v>
          </cell>
          <cell r="J849" t="str">
            <v>2006VT</v>
          </cell>
          <cell r="K849">
            <v>0.48941149934274297</v>
          </cell>
          <cell r="L849">
            <v>6.6349172232328182E-2</v>
          </cell>
          <cell r="M849">
            <v>0.44423932842492886</v>
          </cell>
          <cell r="U849" t="str">
            <v>2006VT</v>
          </cell>
          <cell r="V849">
            <v>0.86037974299999997</v>
          </cell>
          <cell r="W849">
            <v>6.1432910000000004E-3</v>
          </cell>
          <cell r="X849">
            <v>3.8535191000000003E-2</v>
          </cell>
          <cell r="Y849">
            <v>2.9459874E-2</v>
          </cell>
          <cell r="Z849">
            <v>6.5481899999999996E-2</v>
          </cell>
          <cell r="AB849" t="str">
            <v>2006VT</v>
          </cell>
          <cell r="AC849">
            <v>0</v>
          </cell>
          <cell r="AD849">
            <v>0</v>
          </cell>
          <cell r="AE849">
            <v>0.05</v>
          </cell>
          <cell r="AF849">
            <v>0.95</v>
          </cell>
        </row>
        <row r="850">
          <cell r="B850" t="str">
            <v>2006VA</v>
          </cell>
          <cell r="C850">
            <v>4.4953509549794296E-2</v>
          </cell>
          <cell r="D850">
            <v>9.339670802378576E-2</v>
          </cell>
          <cell r="E850">
            <v>0.14844092890155638</v>
          </cell>
          <cell r="F850">
            <v>0.12331550684410268</v>
          </cell>
          <cell r="G850">
            <v>0.5737351926100378</v>
          </cell>
          <cell r="H850">
            <v>1.6158154070723133E-2</v>
          </cell>
          <cell r="J850" t="str">
            <v>2006VA</v>
          </cell>
          <cell r="K850">
            <v>0.27782387848840584</v>
          </cell>
          <cell r="L850">
            <v>0.5737351926100378</v>
          </cell>
          <cell r="M850">
            <v>0.14844092890155638</v>
          </cell>
          <cell r="U850" t="str">
            <v>2006VA</v>
          </cell>
          <cell r="V850">
            <v>3.3934871999999998E-2</v>
          </cell>
          <cell r="W850">
            <v>3.6244844999999998E-2</v>
          </cell>
          <cell r="X850">
            <v>6.8933026999999994E-2</v>
          </cell>
          <cell r="Y850">
            <v>0.550040046</v>
          </cell>
          <cell r="Z850">
            <v>0.31084721100000001</v>
          </cell>
          <cell r="AB850" t="str">
            <v>2006VA</v>
          </cell>
          <cell r="AC850">
            <v>0</v>
          </cell>
          <cell r="AD850">
            <v>0</v>
          </cell>
          <cell r="AE850">
            <v>0.05</v>
          </cell>
          <cell r="AF850">
            <v>0.95</v>
          </cell>
        </row>
        <row r="851">
          <cell r="B851" t="str">
            <v>2006WA</v>
          </cell>
          <cell r="C851">
            <v>0.48742079910802349</v>
          </cell>
          <cell r="D851">
            <v>0.21961274491816118</v>
          </cell>
          <cell r="E851">
            <v>0</v>
          </cell>
          <cell r="F851">
            <v>0.11254281869932067</v>
          </cell>
          <cell r="G851">
            <v>0.16627589127589129</v>
          </cell>
          <cell r="H851">
            <v>1.4147745998603438E-2</v>
          </cell>
          <cell r="J851" t="str">
            <v>2006WA</v>
          </cell>
          <cell r="K851">
            <v>0.83372410872410874</v>
          </cell>
          <cell r="L851">
            <v>0.16627589127589129</v>
          </cell>
          <cell r="M851">
            <v>0</v>
          </cell>
          <cell r="U851" t="str">
            <v>2006WA</v>
          </cell>
          <cell r="V851">
            <v>0.37353494700000001</v>
          </cell>
          <cell r="W851">
            <v>3.1263627000000002E-2</v>
          </cell>
          <cell r="X851">
            <v>0.168896926</v>
          </cell>
          <cell r="Y851">
            <v>0.119853577</v>
          </cell>
          <cell r="Z851">
            <v>0.30645092299999999</v>
          </cell>
          <cell r="AB851" t="str">
            <v>2006WA</v>
          </cell>
          <cell r="AC851">
            <v>0</v>
          </cell>
          <cell r="AD851">
            <v>0</v>
          </cell>
          <cell r="AE851">
            <v>0.12</v>
          </cell>
          <cell r="AF851">
            <v>0.88</v>
          </cell>
        </row>
        <row r="852">
          <cell r="B852" t="str">
            <v>2006WV</v>
          </cell>
          <cell r="C852">
            <v>6.8751812683186322E-2</v>
          </cell>
          <cell r="D852">
            <v>0.15888641455628993</v>
          </cell>
          <cell r="E852">
            <v>0.44831485363191043</v>
          </cell>
          <cell r="F852">
            <v>0.22633984896592482</v>
          </cell>
          <cell r="G852">
            <v>7.0025492327769459E-2</v>
          </cell>
          <cell r="H852">
            <v>2.7681577834919095E-2</v>
          </cell>
          <cell r="J852" t="str">
            <v>2006WV</v>
          </cell>
          <cell r="K852">
            <v>0.48165965404032007</v>
          </cell>
          <cell r="L852">
            <v>7.0025492327769459E-2</v>
          </cell>
          <cell r="M852">
            <v>0.44831485363191043</v>
          </cell>
          <cell r="U852" t="str">
            <v>2006WV</v>
          </cell>
          <cell r="V852">
            <v>0.57920187499999998</v>
          </cell>
          <cell r="W852">
            <v>2.1256934000000002E-2</v>
          </cell>
          <cell r="X852">
            <v>0.113169981</v>
          </cell>
          <cell r="Y852">
            <v>7.9649016000000003E-2</v>
          </cell>
          <cell r="Z852">
            <v>0.206722194</v>
          </cell>
          <cell r="AB852" t="str">
            <v>2006WV</v>
          </cell>
          <cell r="AC852">
            <v>0</v>
          </cell>
          <cell r="AD852">
            <v>0</v>
          </cell>
          <cell r="AE852">
            <v>0.05</v>
          </cell>
          <cell r="AF852">
            <v>0.95</v>
          </cell>
        </row>
        <row r="853">
          <cell r="B853" t="str">
            <v>2006WI</v>
          </cell>
          <cell r="C853">
            <v>0.12203432597344931</v>
          </cell>
          <cell r="D853">
            <v>0.23555629715568294</v>
          </cell>
          <cell r="E853">
            <v>0.11540173598404266</v>
          </cell>
          <cell r="F853">
            <v>0.42032708364290838</v>
          </cell>
          <cell r="G853">
            <v>6.8322420806473022E-2</v>
          </cell>
          <cell r="H853">
            <v>3.8358136437443673E-2</v>
          </cell>
          <cell r="J853" t="str">
            <v>2006WI</v>
          </cell>
          <cell r="K853">
            <v>0.81627584320948432</v>
          </cell>
          <cell r="L853">
            <v>6.8322420806473022E-2</v>
          </cell>
          <cell r="M853">
            <v>0.11540173598404266</v>
          </cell>
          <cell r="U853" t="str">
            <v>2006WI</v>
          </cell>
          <cell r="V853">
            <v>0.12883246500000001</v>
          </cell>
          <cell r="W853">
            <v>4.2564396999999997E-2</v>
          </cell>
          <cell r="X853">
            <v>0.23585646199999999</v>
          </cell>
          <cell r="Y853">
            <v>0.16970626599999999</v>
          </cell>
          <cell r="Z853">
            <v>0.42304040999999998</v>
          </cell>
          <cell r="AB853" t="str">
            <v>2006WI</v>
          </cell>
          <cell r="AC853">
            <v>0</v>
          </cell>
          <cell r="AD853">
            <v>0</v>
          </cell>
          <cell r="AE853">
            <v>0.02</v>
          </cell>
          <cell r="AF853">
            <v>0.98</v>
          </cell>
        </row>
        <row r="854">
          <cell r="B854" t="str">
            <v>2006WY</v>
          </cell>
          <cell r="C854">
            <v>0.29508724522063295</v>
          </cell>
          <cell r="D854">
            <v>0.23251729773373622</v>
          </cell>
          <cell r="E854">
            <v>0.12161775942187937</v>
          </cell>
          <cell r="F854">
            <v>0.2207502472879718</v>
          </cell>
          <cell r="G854">
            <v>7.2002554085590281E-2</v>
          </cell>
          <cell r="H854">
            <v>5.8024896250189507E-2</v>
          </cell>
          <cell r="J854" t="str">
            <v>2006WY</v>
          </cell>
          <cell r="K854">
            <v>0.80637968649253033</v>
          </cell>
          <cell r="L854">
            <v>7.2002554085590281E-2</v>
          </cell>
          <cell r="M854">
            <v>0.12161775942187937</v>
          </cell>
          <cell r="U854" t="str">
            <v>2006WY</v>
          </cell>
          <cell r="V854">
            <v>3.2109568999999998E-2</v>
          </cell>
          <cell r="W854">
            <v>5.3596850000000001E-2</v>
          </cell>
          <cell r="X854">
            <v>0.25521061499999997</v>
          </cell>
          <cell r="Y854">
            <v>0.16752597599999999</v>
          </cell>
          <cell r="Z854">
            <v>0.49155699000000003</v>
          </cell>
          <cell r="AB854" t="str">
            <v>2006WY</v>
          </cell>
          <cell r="AC854">
            <v>0</v>
          </cell>
          <cell r="AD854">
            <v>0</v>
          </cell>
          <cell r="AE854">
            <v>0.6</v>
          </cell>
          <cell r="AF854">
            <v>0.4</v>
          </cell>
        </row>
        <row r="855">
          <cell r="B855" t="str">
            <v>2007AL</v>
          </cell>
          <cell r="C855">
            <v>0.17233560131521788</v>
          </cell>
          <cell r="D855">
            <v>9.7606154746872412E-2</v>
          </cell>
          <cell r="E855">
            <v>0.16919346457207346</v>
          </cell>
          <cell r="F855">
            <v>0.1056405325382436</v>
          </cell>
          <cell r="G855">
            <v>0.45062509818962659</v>
          </cell>
          <cell r="H855">
            <v>4.5991486379660445E-3</v>
          </cell>
          <cell r="J855" t="str">
            <v>2007AL</v>
          </cell>
          <cell r="K855">
            <v>0.38018143700000007</v>
          </cell>
          <cell r="L855">
            <v>0.450625098</v>
          </cell>
          <cell r="M855">
            <v>0.16919346499999999</v>
          </cell>
          <cell r="U855" t="str">
            <v>2007AL</v>
          </cell>
          <cell r="V855">
            <v>5.3114938E-2</v>
          </cell>
          <cell r="W855">
            <v>3.6058960000000001E-2</v>
          </cell>
          <cell r="X855">
            <v>8.4414527000000003E-2</v>
          </cell>
          <cell r="Y855">
            <v>0.50961295299999998</v>
          </cell>
          <cell r="Z855">
            <v>0.316798623</v>
          </cell>
          <cell r="AB855" t="str">
            <v>2007AL</v>
          </cell>
          <cell r="AC855">
            <v>0</v>
          </cell>
          <cell r="AD855">
            <v>0</v>
          </cell>
          <cell r="AE855">
            <v>0.41899999999999998</v>
          </cell>
          <cell r="AF855">
            <v>0.58099999999999996</v>
          </cell>
        </row>
        <row r="856">
          <cell r="B856" t="str">
            <v>2007AK</v>
          </cell>
          <cell r="C856">
            <v>0.30334484066413492</v>
          </cell>
          <cell r="D856">
            <v>0.23769937716735701</v>
          </cell>
          <cell r="E856">
            <v>6.205843688929364E-2</v>
          </cell>
          <cell r="F856">
            <v>0.28363994741136878</v>
          </cell>
          <cell r="G856">
            <v>3.6741064625999714E-2</v>
          </cell>
          <cell r="H856">
            <v>7.6516333241846021E-2</v>
          </cell>
          <cell r="J856" t="str">
            <v>2007AK</v>
          </cell>
          <cell r="K856">
            <v>0.90120049800000002</v>
          </cell>
          <cell r="L856">
            <v>3.6741065000000003E-2</v>
          </cell>
          <cell r="M856">
            <v>6.2058437000000001E-2</v>
          </cell>
          <cell r="U856" t="str">
            <v>2007AK</v>
          </cell>
          <cell r="V856">
            <v>0.52632575500000001</v>
          </cell>
          <cell r="W856">
            <v>2.0841667000000001E-2</v>
          </cell>
          <cell r="X856">
            <v>0.130734092</v>
          </cell>
          <cell r="Y856">
            <v>9.9945266000000005E-2</v>
          </cell>
          <cell r="Z856">
            <v>0.22215322100000001</v>
          </cell>
          <cell r="AB856" t="str">
            <v>2007AK</v>
          </cell>
          <cell r="AC856">
            <v>0</v>
          </cell>
          <cell r="AD856">
            <v>0</v>
          </cell>
          <cell r="AE856">
            <v>0.25</v>
          </cell>
          <cell r="AF856">
            <v>0.75</v>
          </cell>
        </row>
        <row r="857">
          <cell r="B857" t="str">
            <v>2007AZ</v>
          </cell>
          <cell r="C857">
            <v>0.611220636654217</v>
          </cell>
          <cell r="D857">
            <v>0.19572797693407004</v>
          </cell>
          <cell r="E857">
            <v>9.865488383487428E-2</v>
          </cell>
          <cell r="F857">
            <v>9.3890669243012675E-2</v>
          </cell>
          <cell r="G857">
            <v>0</v>
          </cell>
          <cell r="H857">
            <v>5.0583333382575558E-4</v>
          </cell>
          <cell r="J857" t="str">
            <v>2007AZ</v>
          </cell>
          <cell r="K857">
            <v>0.901345116</v>
          </cell>
          <cell r="L857">
            <v>0</v>
          </cell>
          <cell r="M857">
            <v>9.8654883999999998E-2</v>
          </cell>
          <cell r="U857" t="str">
            <v>2007AZ</v>
          </cell>
          <cell r="V857">
            <v>0.136592664</v>
          </cell>
          <cell r="W857">
            <v>3.2171241000000003E-2</v>
          </cell>
          <cell r="X857">
            <v>5.4596316999999998E-2</v>
          </cell>
          <cell r="Y857">
            <v>0.50386894699999996</v>
          </cell>
          <cell r="Z857">
            <v>0.27277083200000002</v>
          </cell>
          <cell r="AB857" t="str">
            <v>2007AZ</v>
          </cell>
          <cell r="AC857">
            <v>0</v>
          </cell>
          <cell r="AD857">
            <v>0</v>
          </cell>
          <cell r="AE857">
            <v>0.6</v>
          </cell>
          <cell r="AF857">
            <v>0.4</v>
          </cell>
        </row>
        <row r="858">
          <cell r="B858" t="str">
            <v>2007AR</v>
          </cell>
          <cell r="C858">
            <v>9.6391342329605903E-2</v>
          </cell>
          <cell r="D858">
            <v>6.6955456596874061E-2</v>
          </cell>
          <cell r="E858">
            <v>0.14888335780531528</v>
          </cell>
          <cell r="F858">
            <v>0.11118804006195876</v>
          </cell>
          <cell r="G858">
            <v>0.57111057531117648</v>
          </cell>
          <cell r="H858">
            <v>5.4712278950695761E-3</v>
          </cell>
          <cell r="J858" t="str">
            <v>2007AR</v>
          </cell>
          <cell r="K858">
            <v>0.28000606700000008</v>
          </cell>
          <cell r="L858">
            <v>0.57111057499999995</v>
          </cell>
          <cell r="M858">
            <v>0.14888335799999999</v>
          </cell>
          <cell r="U858" t="str">
            <v>2007AR</v>
          </cell>
          <cell r="V858">
            <v>3.9459004999999998E-2</v>
          </cell>
          <cell r="W858">
            <v>3.7640482000000003E-2</v>
          </cell>
          <cell r="X858">
            <v>0.11914443199999999</v>
          </cell>
          <cell r="Y858">
            <v>0.45827781299999998</v>
          </cell>
          <cell r="Z858">
            <v>0.34547826799999998</v>
          </cell>
          <cell r="AB858" t="str">
            <v>2007AR</v>
          </cell>
          <cell r="AC858">
            <v>0</v>
          </cell>
          <cell r="AD858">
            <v>0</v>
          </cell>
          <cell r="AE858">
            <v>0</v>
          </cell>
          <cell r="AF858">
            <v>1</v>
          </cell>
        </row>
        <row r="859">
          <cell r="B859" t="str">
            <v>2007CA</v>
          </cell>
          <cell r="C859">
            <v>0.58081862489107328</v>
          </cell>
          <cell r="D859">
            <v>0.20720345916912225</v>
          </cell>
          <cell r="E859">
            <v>0.10801924509893834</v>
          </cell>
          <cell r="F859">
            <v>9.2431120719429966E-2</v>
          </cell>
          <cell r="G859">
            <v>9.2523577326630076E-3</v>
          </cell>
          <cell r="H859">
            <v>2.2751923887731596E-3</v>
          </cell>
          <cell r="J859" t="str">
            <v>2007CA</v>
          </cell>
          <cell r="K859">
            <v>0.88272839699999994</v>
          </cell>
          <cell r="L859">
            <v>9.2523580000000005E-3</v>
          </cell>
          <cell r="M859">
            <v>0.108019245</v>
          </cell>
          <cell r="U859" t="str">
            <v>2007CA</v>
          </cell>
          <cell r="V859">
            <v>0.133799526</v>
          </cell>
          <cell r="W859">
            <v>3.2941353E-2</v>
          </cell>
          <cell r="X859">
            <v>7.5800703999999997E-2</v>
          </cell>
          <cell r="Y859">
            <v>0.46867659099999998</v>
          </cell>
          <cell r="Z859">
            <v>0.28878182499999999</v>
          </cell>
          <cell r="AB859" t="str">
            <v>2007CA</v>
          </cell>
          <cell r="AC859">
            <v>0</v>
          </cell>
          <cell r="AD859">
            <v>0</v>
          </cell>
          <cell r="AE859">
            <v>0.12</v>
          </cell>
          <cell r="AF859">
            <v>0.88</v>
          </cell>
        </row>
        <row r="860">
          <cell r="B860" t="str">
            <v>2007CO</v>
          </cell>
          <cell r="C860">
            <v>0.61667904285785091</v>
          </cell>
          <cell r="D860">
            <v>0.24212893570430052</v>
          </cell>
          <cell r="E860">
            <v>1.1092391745361967E-2</v>
          </cell>
          <cell r="F860">
            <v>0.11516410971780773</v>
          </cell>
          <cell r="G860">
            <v>6.5671374014829543E-3</v>
          </cell>
          <cell r="H860">
            <v>8.3683825731959392E-3</v>
          </cell>
          <cell r="J860" t="str">
            <v>2007CO</v>
          </cell>
          <cell r="K860">
            <v>0.98234047099999999</v>
          </cell>
          <cell r="L860">
            <v>6.5671369999999998E-3</v>
          </cell>
          <cell r="M860">
            <v>1.1092392E-2</v>
          </cell>
          <cell r="U860" t="str">
            <v>2007CO</v>
          </cell>
          <cell r="V860">
            <v>2.3378138E-2</v>
          </cell>
          <cell r="W860">
            <v>5.3880426000000002E-2</v>
          </cell>
          <cell r="X860">
            <v>0.25772948099999998</v>
          </cell>
          <cell r="Y860">
            <v>0.169703665</v>
          </cell>
          <cell r="Z860">
            <v>0.49530828999999998</v>
          </cell>
          <cell r="AB860" t="str">
            <v>2007CO</v>
          </cell>
          <cell r="AC860">
            <v>0</v>
          </cell>
          <cell r="AD860">
            <v>0</v>
          </cell>
          <cell r="AE860">
            <v>0.6</v>
          </cell>
          <cell r="AF860">
            <v>0.4</v>
          </cell>
        </row>
        <row r="861">
          <cell r="B861" t="str">
            <v>2007CT</v>
          </cell>
          <cell r="C861">
            <v>0.11572842393252261</v>
          </cell>
          <cell r="D861">
            <v>0.20119880615243968</v>
          </cell>
          <cell r="E861">
            <v>0.43233999756560143</v>
          </cell>
          <cell r="F861">
            <v>0.17234541515575838</v>
          </cell>
          <cell r="G861">
            <v>5.5615402487630847E-2</v>
          </cell>
          <cell r="H861">
            <v>2.2771954706046996E-2</v>
          </cell>
          <cell r="J861" t="str">
            <v>2007CT</v>
          </cell>
          <cell r="K861">
            <v>0.51204460000000007</v>
          </cell>
          <cell r="L861">
            <v>5.5615402000000001E-2</v>
          </cell>
          <cell r="M861">
            <v>0.432339998</v>
          </cell>
          <cell r="U861" t="str">
            <v>2007CT</v>
          </cell>
          <cell r="V861">
            <v>0.57363861400000005</v>
          </cell>
          <cell r="W861">
            <v>1.8759900999999999E-2</v>
          </cell>
          <cell r="X861">
            <v>0.117675743</v>
          </cell>
          <cell r="Y861">
            <v>8.9962252000000006E-2</v>
          </cell>
          <cell r="Z861">
            <v>0.19996348999999999</v>
          </cell>
          <cell r="AB861" t="str">
            <v>2007CT</v>
          </cell>
          <cell r="AC861">
            <v>0</v>
          </cell>
          <cell r="AD861">
            <v>0</v>
          </cell>
          <cell r="AE861">
            <v>0.05</v>
          </cell>
          <cell r="AF861">
            <v>0.95</v>
          </cell>
        </row>
        <row r="862">
          <cell r="B862" t="str">
            <v>2007DE</v>
          </cell>
          <cell r="C862">
            <v>0.10201653895343663</v>
          </cell>
          <cell r="D862">
            <v>0.1910091905838856</v>
          </cell>
          <cell r="E862">
            <v>0.43707162937473454</v>
          </cell>
          <cell r="F862">
            <v>0.18637975788177577</v>
          </cell>
          <cell r="G862">
            <v>5.9883562349419175E-2</v>
          </cell>
          <cell r="H862">
            <v>2.3639320856748244E-2</v>
          </cell>
          <cell r="J862" t="str">
            <v>2007DE</v>
          </cell>
          <cell r="K862">
            <v>0.50304480899999993</v>
          </cell>
          <cell r="L862">
            <v>5.9883562000000001E-2</v>
          </cell>
          <cell r="M862">
            <v>0.43707162900000002</v>
          </cell>
          <cell r="U862" t="str">
            <v>2007DE</v>
          </cell>
          <cell r="V862">
            <v>0.120253529</v>
          </cell>
          <cell r="W862">
            <v>4.1631153999999997E-2</v>
          </cell>
          <cell r="X862">
            <v>0.23964419100000001</v>
          </cell>
          <cell r="Y862">
            <v>0.17588547500000001</v>
          </cell>
          <cell r="Z862">
            <v>0.42258565100000001</v>
          </cell>
          <cell r="AB862" t="str">
            <v>2007DE</v>
          </cell>
          <cell r="AC862">
            <v>0</v>
          </cell>
          <cell r="AD862">
            <v>0</v>
          </cell>
          <cell r="AE862">
            <v>0.05</v>
          </cell>
          <cell r="AF862">
            <v>0.95</v>
          </cell>
        </row>
        <row r="863">
          <cell r="B863" t="str">
            <v>2007FL</v>
          </cell>
          <cell r="C863">
            <v>0.38654865924430459</v>
          </cell>
          <cell r="D863">
            <v>0.14503983167997814</v>
          </cell>
          <cell r="E863">
            <v>0.21616400084919535</v>
          </cell>
          <cell r="F863">
            <v>7.8997496757044303E-2</v>
          </cell>
          <cell r="G863">
            <v>0.17198217725399226</v>
          </cell>
          <cell r="H863">
            <v>1.2678342154852779E-3</v>
          </cell>
          <cell r="J863" t="str">
            <v>2007FL</v>
          </cell>
          <cell r="K863">
            <v>0.61185382200000005</v>
          </cell>
          <cell r="L863">
            <v>0.17198217700000001</v>
          </cell>
          <cell r="M863">
            <v>0.21616400099999999</v>
          </cell>
          <cell r="U863" t="str">
            <v>2007FL</v>
          </cell>
          <cell r="V863">
            <v>0.71166924399999998</v>
          </cell>
          <cell r="W863">
            <v>1.2686553E-2</v>
          </cell>
          <cell r="X863">
            <v>7.9579288999999998E-2</v>
          </cell>
          <cell r="Y863">
            <v>6.0837789000000003E-2</v>
          </cell>
          <cell r="Z863">
            <v>0.135227124</v>
          </cell>
          <cell r="AB863" t="str">
            <v>2007FL</v>
          </cell>
          <cell r="AC863">
            <v>0</v>
          </cell>
          <cell r="AD863">
            <v>0</v>
          </cell>
          <cell r="AE863">
            <v>0.41899999999999998</v>
          </cell>
          <cell r="AF863">
            <v>0.58099999999999996</v>
          </cell>
        </row>
        <row r="864">
          <cell r="B864" t="str">
            <v>2007GA</v>
          </cell>
          <cell r="C864">
            <v>0.20823216155586291</v>
          </cell>
          <cell r="D864">
            <v>0.11033206176717186</v>
          </cell>
          <cell r="E864">
            <v>0.17733204084631207</v>
          </cell>
          <cell r="F864">
            <v>9.7862793659120595E-2</v>
          </cell>
          <cell r="G864">
            <v>0.40234468997942996</v>
          </cell>
          <cell r="H864">
            <v>3.8962521921025758E-3</v>
          </cell>
          <cell r="J864" t="str">
            <v>2007GA</v>
          </cell>
          <cell r="K864">
            <v>0.42032326900000005</v>
          </cell>
          <cell r="L864">
            <v>0.40234469</v>
          </cell>
          <cell r="M864">
            <v>0.177332041</v>
          </cell>
          <cell r="U864" t="str">
            <v>2007GA</v>
          </cell>
          <cell r="V864">
            <v>7.8133266000000007E-2</v>
          </cell>
          <cell r="W864">
            <v>3.5587817000000001E-2</v>
          </cell>
          <cell r="X864">
            <v>9.7388838000000005E-2</v>
          </cell>
          <cell r="Y864">
            <v>0.46952270200000001</v>
          </cell>
          <cell r="Z864">
            <v>0.31936737799999998</v>
          </cell>
          <cell r="AB864" t="str">
            <v>2007GA</v>
          </cell>
          <cell r="AC864">
            <v>0</v>
          </cell>
          <cell r="AD864">
            <v>0</v>
          </cell>
          <cell r="AE864">
            <v>0.41899999999999998</v>
          </cell>
          <cell r="AF864">
            <v>0.58099999999999996</v>
          </cell>
        </row>
        <row r="865">
          <cell r="B865" t="str">
            <v>2007HI</v>
          </cell>
          <cell r="C865">
            <v>0.67137224197860923</v>
          </cell>
          <cell r="D865">
            <v>0.21100034068527662</v>
          </cell>
          <cell r="E865">
            <v>0</v>
          </cell>
          <cell r="F865">
            <v>0.10820426646618357</v>
          </cell>
          <cell r="G865">
            <v>7.5112148308577572E-3</v>
          </cell>
          <cell r="H865">
            <v>1.9119360390725836E-3</v>
          </cell>
          <cell r="J865" t="str">
            <v>2007HI</v>
          </cell>
          <cell r="K865">
            <v>0.99248878500000004</v>
          </cell>
          <cell r="L865">
            <v>7.5112149999999999E-3</v>
          </cell>
          <cell r="M865">
            <v>0</v>
          </cell>
          <cell r="U865" t="str">
            <v>2007HI</v>
          </cell>
          <cell r="V865">
            <v>0.23216878499999999</v>
          </cell>
          <cell r="W865">
            <v>3.2904865999999998E-2</v>
          </cell>
          <cell r="X865">
            <v>0.18414778700000001</v>
          </cell>
          <cell r="Y865">
            <v>0.21064765399999999</v>
          </cell>
          <cell r="Z865">
            <v>0.34013090899999998</v>
          </cell>
          <cell r="AB865" t="str">
            <v>2007HI</v>
          </cell>
          <cell r="AC865">
            <v>0</v>
          </cell>
          <cell r="AD865">
            <v>0</v>
          </cell>
          <cell r="AE865">
            <v>0.25</v>
          </cell>
          <cell r="AF865">
            <v>0.75</v>
          </cell>
        </row>
        <row r="866">
          <cell r="B866" t="str">
            <v>2007ID</v>
          </cell>
          <cell r="C866">
            <v>0.62850843440764703</v>
          </cell>
          <cell r="D866">
            <v>0.2329683972033782</v>
          </cell>
          <cell r="E866">
            <v>6.4436683947772669E-3</v>
          </cell>
          <cell r="F866">
            <v>0.11961222721284216</v>
          </cell>
          <cell r="G866">
            <v>3.8149081541218642E-3</v>
          </cell>
          <cell r="H866">
            <v>8.6523646272333287E-3</v>
          </cell>
          <cell r="J866" t="str">
            <v>2007ID</v>
          </cell>
          <cell r="K866">
            <v>0.98974142399999998</v>
          </cell>
          <cell r="L866">
            <v>3.8149080000000001E-3</v>
          </cell>
          <cell r="M866">
            <v>6.4436679999999996E-3</v>
          </cell>
          <cell r="U866" t="str">
            <v>2007ID</v>
          </cell>
          <cell r="V866">
            <v>0.460837895</v>
          </cell>
          <cell r="W866">
            <v>2.6974237000000002E-2</v>
          </cell>
          <cell r="X866">
            <v>0.14528671200000001</v>
          </cell>
          <cell r="Y866">
            <v>0.102926191</v>
          </cell>
          <cell r="Z866">
            <v>0.26397496599999998</v>
          </cell>
          <cell r="AB866" t="str">
            <v>2007ID</v>
          </cell>
          <cell r="AC866">
            <v>0</v>
          </cell>
          <cell r="AD866">
            <v>0</v>
          </cell>
          <cell r="AE866">
            <v>0.6</v>
          </cell>
          <cell r="AF866">
            <v>0.4</v>
          </cell>
        </row>
        <row r="867">
          <cell r="B867" t="str">
            <v>2007IL</v>
          </cell>
          <cell r="C867">
            <v>0.13175283144497188</v>
          </cell>
          <cell r="D867">
            <v>0.26046159534668961</v>
          </cell>
          <cell r="E867">
            <v>8.1383349234931596E-2</v>
          </cell>
          <cell r="F867">
            <v>0.43207247933210829</v>
          </cell>
          <cell r="G867">
            <v>4.8182181885357514E-2</v>
          </cell>
          <cell r="H867">
            <v>4.6147562755941125E-2</v>
          </cell>
          <cell r="J867" t="str">
            <v>2007IL</v>
          </cell>
          <cell r="K867">
            <v>0.87043446899999999</v>
          </cell>
          <cell r="L867">
            <v>4.8182181999999997E-2</v>
          </cell>
          <cell r="M867">
            <v>8.1383348999999994E-2</v>
          </cell>
          <cell r="U867" t="str">
            <v>2007IL</v>
          </cell>
          <cell r="V867">
            <v>2.0186552999999999E-2</v>
          </cell>
          <cell r="W867">
            <v>4.5739502000000001E-2</v>
          </cell>
          <cell r="X867">
            <v>0.28028242399999997</v>
          </cell>
          <cell r="Y867">
            <v>0.149587944</v>
          </cell>
          <cell r="Z867">
            <v>0.50420357699999996</v>
          </cell>
          <cell r="AB867" t="str">
            <v>2007IL</v>
          </cell>
          <cell r="AC867">
            <v>0</v>
          </cell>
          <cell r="AD867">
            <v>0</v>
          </cell>
          <cell r="AE867">
            <v>0.02</v>
          </cell>
          <cell r="AF867">
            <v>0.98</v>
          </cell>
        </row>
        <row r="868">
          <cell r="B868" t="str">
            <v>2007IN</v>
          </cell>
          <cell r="C868">
            <v>0.16189917384296076</v>
          </cell>
          <cell r="D868">
            <v>0.24163212738244233</v>
          </cell>
          <cell r="E868">
            <v>0.13392208737361183</v>
          </cell>
          <cell r="F868">
            <v>0.3491044693998876</v>
          </cell>
          <cell r="G868">
            <v>7.9287205957511472E-2</v>
          </cell>
          <cell r="H868">
            <v>3.4154936043586021E-2</v>
          </cell>
          <cell r="J868" t="str">
            <v>2007IN</v>
          </cell>
          <cell r="K868">
            <v>0.78679070699999998</v>
          </cell>
          <cell r="L868">
            <v>7.9287205999999999E-2</v>
          </cell>
          <cell r="M868">
            <v>0.133922087</v>
          </cell>
          <cell r="U868" t="str">
            <v>2007IN</v>
          </cell>
          <cell r="V868">
            <v>2.5489210000000002E-2</v>
          </cell>
          <cell r="W868">
            <v>4.5536079E-2</v>
          </cell>
          <cell r="X868">
            <v>0.27893099599999999</v>
          </cell>
          <cell r="Y868">
            <v>0.14781887399999999</v>
          </cell>
          <cell r="Z868">
            <v>0.50222484099999998</v>
          </cell>
          <cell r="AB868" t="str">
            <v>2007IN</v>
          </cell>
          <cell r="AC868">
            <v>0</v>
          </cell>
          <cell r="AD868">
            <v>0</v>
          </cell>
          <cell r="AE868">
            <v>0</v>
          </cell>
          <cell r="AF868">
            <v>1</v>
          </cell>
        </row>
        <row r="869">
          <cell r="B869" t="str">
            <v>2007IA</v>
          </cell>
          <cell r="C869">
            <v>0.13792614664225575</v>
          </cell>
          <cell r="D869">
            <v>0.25047757969635848</v>
          </cell>
          <cell r="E869">
            <v>0.10477197231415941</v>
          </cell>
          <cell r="F869">
            <v>0.40507493125352922</v>
          </cell>
          <cell r="G869">
            <v>6.2029177638731184E-2</v>
          </cell>
          <cell r="H869">
            <v>3.9720192454965969E-2</v>
          </cell>
          <cell r="J869" t="str">
            <v>2007IA</v>
          </cell>
          <cell r="K869">
            <v>0.83319885000000005</v>
          </cell>
          <cell r="L869">
            <v>6.2029177999999997E-2</v>
          </cell>
          <cell r="M869">
            <v>0.104771972</v>
          </cell>
          <cell r="U869" t="str">
            <v>2007IA</v>
          </cell>
          <cell r="V869">
            <v>9.6502570000000006E-3</v>
          </cell>
          <cell r="W869">
            <v>3.8739974000000003E-2</v>
          </cell>
          <cell r="X869">
            <v>0.12067557499999999</v>
          </cell>
          <cell r="Y869">
            <v>0.47629315999999999</v>
          </cell>
          <cell r="Z869">
            <v>0.35464103499999999</v>
          </cell>
          <cell r="AB869" t="str">
            <v>2007IA</v>
          </cell>
          <cell r="AC869">
            <v>0</v>
          </cell>
          <cell r="AD869">
            <v>0</v>
          </cell>
          <cell r="AE869">
            <v>0</v>
          </cell>
          <cell r="AF869">
            <v>1</v>
          </cell>
        </row>
        <row r="870">
          <cell r="B870" t="str">
            <v>2007KS</v>
          </cell>
          <cell r="C870">
            <v>0.28758404285910905</v>
          </cell>
          <cell r="D870">
            <v>0.32607606753917184</v>
          </cell>
          <cell r="E870">
            <v>5.1050547933917619E-2</v>
          </cell>
          <cell r="F870">
            <v>0.27762124338847843</v>
          </cell>
          <cell r="G870">
            <v>3.0223956239483565E-2</v>
          </cell>
          <cell r="H870">
            <v>2.7444142039839463E-2</v>
          </cell>
          <cell r="J870" t="str">
            <v>2007KS</v>
          </cell>
          <cell r="K870">
            <v>0.91872549599999997</v>
          </cell>
          <cell r="L870">
            <v>3.0223956E-2</v>
          </cell>
          <cell r="M870">
            <v>5.1050548000000001E-2</v>
          </cell>
          <cell r="U870" t="str">
            <v>2007KS</v>
          </cell>
          <cell r="V870">
            <v>2.3647662E-2</v>
          </cell>
          <cell r="W870">
            <v>4.6272377000000003E-2</v>
          </cell>
          <cell r="X870">
            <v>0.28189652199999998</v>
          </cell>
          <cell r="Y870">
            <v>0.13395533500000001</v>
          </cell>
          <cell r="Z870">
            <v>0.51422810299999999</v>
          </cell>
          <cell r="AB870" t="str">
            <v>2007KS</v>
          </cell>
          <cell r="AC870">
            <v>0</v>
          </cell>
          <cell r="AD870">
            <v>0</v>
          </cell>
          <cell r="AE870">
            <v>0.02</v>
          </cell>
          <cell r="AF870">
            <v>0.98</v>
          </cell>
        </row>
        <row r="871">
          <cell r="B871" t="str">
            <v>2007KY</v>
          </cell>
          <cell r="C871">
            <v>2.3305602928070858E-2</v>
          </cell>
          <cell r="D871">
            <v>6.2885861766289422E-2</v>
          </cell>
          <cell r="E871">
            <v>0.14165738300711325</v>
          </cell>
          <cell r="F871">
            <v>0.14315421990856123</v>
          </cell>
          <cell r="G871">
            <v>0.61397716539009373</v>
          </cell>
          <cell r="H871">
            <v>1.5019766999871505E-2</v>
          </cell>
          <cell r="J871" t="str">
            <v>2007KY</v>
          </cell>
          <cell r="K871">
            <v>0.24436545200000004</v>
          </cell>
          <cell r="L871">
            <v>0.61397716499999999</v>
          </cell>
          <cell r="M871">
            <v>0.141657383</v>
          </cell>
          <cell r="U871" t="str">
            <v>2007KY</v>
          </cell>
          <cell r="V871">
            <v>4.9184704000000003E-2</v>
          </cell>
          <cell r="W871">
            <v>3.7321891000000003E-2</v>
          </cell>
          <cell r="X871">
            <v>0.11991215400000001</v>
          </cell>
          <cell r="Y871">
            <v>0.45018075899999999</v>
          </cell>
          <cell r="Z871">
            <v>0.34340049099999997</v>
          </cell>
          <cell r="AB871" t="str">
            <v>2007KY</v>
          </cell>
          <cell r="AC871">
            <v>0</v>
          </cell>
          <cell r="AD871">
            <v>0</v>
          </cell>
          <cell r="AE871">
            <v>0.05</v>
          </cell>
          <cell r="AF871">
            <v>0.95</v>
          </cell>
        </row>
        <row r="872">
          <cell r="B872" t="str">
            <v>2007LA</v>
          </cell>
          <cell r="C872">
            <v>8.7696493950327165E-2</v>
          </cell>
          <cell r="D872">
            <v>6.4637521135916851E-2</v>
          </cell>
          <cell r="E872">
            <v>0.14461730665558523</v>
          </cell>
          <cell r="F872">
            <v>0.10160244529023774</v>
          </cell>
          <cell r="G872">
            <v>0.59641803499629376</v>
          </cell>
          <cell r="H872">
            <v>5.0281979716392446E-3</v>
          </cell>
          <cell r="J872" t="str">
            <v>2007LA</v>
          </cell>
          <cell r="K872">
            <v>0.25896465800000001</v>
          </cell>
          <cell r="L872">
            <v>0.59641803500000001</v>
          </cell>
          <cell r="M872">
            <v>0.144617307</v>
          </cell>
          <cell r="U872" t="str">
            <v>2007LA</v>
          </cell>
          <cell r="V872">
            <v>0.53551704700000002</v>
          </cell>
          <cell r="W872">
            <v>2.0437250000000001E-2</v>
          </cell>
          <cell r="X872">
            <v>0.12819729499999999</v>
          </cell>
          <cell r="Y872">
            <v>9.8005903000000005E-2</v>
          </cell>
          <cell r="Z872">
            <v>0.21784250499999999</v>
          </cell>
          <cell r="AB872" t="str">
            <v>2007LA</v>
          </cell>
          <cell r="AC872">
            <v>0</v>
          </cell>
          <cell r="AD872">
            <v>0</v>
          </cell>
          <cell r="AE872">
            <v>0.6</v>
          </cell>
          <cell r="AF872">
            <v>0.4</v>
          </cell>
        </row>
        <row r="873">
          <cell r="B873" t="str">
            <v>2007ME</v>
          </cell>
          <cell r="C873">
            <v>9.3713015315557757E-2</v>
          </cell>
          <cell r="D873">
            <v>0.17210096338216258</v>
          </cell>
          <cell r="E873">
            <v>0.44837154081607639</v>
          </cell>
          <cell r="F873">
            <v>0.19633313267932656</v>
          </cell>
          <cell r="G873">
            <v>7.0076626899074845E-2</v>
          </cell>
          <cell r="H873">
            <v>1.9404720907801824E-2</v>
          </cell>
          <cell r="J873" t="str">
            <v>2007ME</v>
          </cell>
          <cell r="K873">
            <v>0.48155183200000007</v>
          </cell>
          <cell r="L873">
            <v>7.0076627000000002E-2</v>
          </cell>
          <cell r="M873">
            <v>0.44837154099999998</v>
          </cell>
          <cell r="U873" t="str">
            <v>2007ME</v>
          </cell>
          <cell r="V873">
            <v>0.72920202000000001</v>
          </cell>
          <cell r="W873">
            <v>1.1915111000000001E-2</v>
          </cell>
          <cell r="X873">
            <v>7.4740241999999998E-2</v>
          </cell>
          <cell r="Y873">
            <v>5.7138373999999999E-2</v>
          </cell>
          <cell r="Z873">
            <v>0.12700425300000001</v>
          </cell>
          <cell r="AB873" t="str">
            <v>2007ME</v>
          </cell>
          <cell r="AC873">
            <v>0</v>
          </cell>
          <cell r="AD873">
            <v>0</v>
          </cell>
          <cell r="AE873">
            <v>0.05</v>
          </cell>
          <cell r="AF873">
            <v>0.95</v>
          </cell>
        </row>
        <row r="874">
          <cell r="B874" t="str">
            <v>2007MD</v>
          </cell>
          <cell r="C874">
            <v>7.6488535055593554E-2</v>
          </cell>
          <cell r="D874">
            <v>0.15472472257238745</v>
          </cell>
          <cell r="E874">
            <v>0.44380834258126728</v>
          </cell>
          <cell r="F874">
            <v>0.22861605738914034</v>
          </cell>
          <cell r="G874">
            <v>6.5960402236453913E-2</v>
          </cell>
          <cell r="H874">
            <v>3.0401940165157418E-2</v>
          </cell>
          <cell r="J874" t="str">
            <v>2007MD</v>
          </cell>
          <cell r="K874">
            <v>0.49023125499999998</v>
          </cell>
          <cell r="L874">
            <v>6.5960402000000001E-2</v>
          </cell>
          <cell r="M874">
            <v>0.44380834299999999</v>
          </cell>
          <cell r="U874" t="str">
            <v>2007MD</v>
          </cell>
          <cell r="V874">
            <v>0.21140679400000001</v>
          </cell>
          <cell r="W874">
            <v>3.7602905999999998E-2</v>
          </cell>
          <cell r="X874">
            <v>0.214504853</v>
          </cell>
          <cell r="Y874">
            <v>0.15671048400000001</v>
          </cell>
          <cell r="Z874">
            <v>0.37977496300000002</v>
          </cell>
          <cell r="AB874" t="str">
            <v>2007MD</v>
          </cell>
          <cell r="AC874">
            <v>0</v>
          </cell>
          <cell r="AD874">
            <v>0</v>
          </cell>
          <cell r="AE874">
            <v>0.05</v>
          </cell>
          <cell r="AF874">
            <v>0.95</v>
          </cell>
        </row>
        <row r="875">
          <cell r="B875" t="str">
            <v>2007MA</v>
          </cell>
          <cell r="C875">
            <v>6.1305440163427552E-2</v>
          </cell>
          <cell r="D875">
            <v>0.14874705508142777</v>
          </cell>
          <cell r="E875">
            <v>0.45216403673004657</v>
          </cell>
          <cell r="F875">
            <v>0.23617268276189021</v>
          </cell>
          <cell r="G875">
            <v>7.3497640935872632E-2</v>
          </cell>
          <cell r="H875">
            <v>2.8113144327335336E-2</v>
          </cell>
          <cell r="J875" t="str">
            <v>2007MA</v>
          </cell>
          <cell r="K875">
            <v>0.47433832199999992</v>
          </cell>
          <cell r="L875">
            <v>7.3497641000000002E-2</v>
          </cell>
          <cell r="M875">
            <v>0.45216403700000002</v>
          </cell>
          <cell r="U875" t="str">
            <v>2007MA</v>
          </cell>
          <cell r="V875">
            <v>0.31419575799999999</v>
          </cell>
          <cell r="W875">
            <v>3.0175387000000001E-2</v>
          </cell>
          <cell r="X875">
            <v>0.18928197099999999</v>
          </cell>
          <cell r="Y875">
            <v>0.14470469499999999</v>
          </cell>
          <cell r="Z875">
            <v>0.32164218900000002</v>
          </cell>
          <cell r="AB875" t="str">
            <v>2007MA</v>
          </cell>
          <cell r="AC875">
            <v>0</v>
          </cell>
          <cell r="AD875">
            <v>0</v>
          </cell>
          <cell r="AE875">
            <v>0.05</v>
          </cell>
          <cell r="AF875">
            <v>0.95</v>
          </cell>
        </row>
        <row r="876">
          <cell r="B876" t="str">
            <v>2007MI</v>
          </cell>
          <cell r="C876">
            <v>0.21592740095911189</v>
          </cell>
          <cell r="D876">
            <v>0.33044604004991018</v>
          </cell>
          <cell r="E876">
            <v>5.8998863632555826E-2</v>
          </cell>
          <cell r="F876">
            <v>0.32074430847532459</v>
          </cell>
          <cell r="G876">
            <v>3.4929675483950956E-2</v>
          </cell>
          <cell r="H876">
            <v>3.8953711399146676E-2</v>
          </cell>
          <cell r="J876" t="str">
            <v>2007MI</v>
          </cell>
          <cell r="K876">
            <v>0.90607146100000002</v>
          </cell>
          <cell r="L876">
            <v>3.4929675E-2</v>
          </cell>
          <cell r="M876">
            <v>5.8998863999999998E-2</v>
          </cell>
          <cell r="U876" t="str">
            <v>2007MI</v>
          </cell>
          <cell r="V876">
            <v>4.5127237000000001E-2</v>
          </cell>
          <cell r="W876">
            <v>5.0500046999999999E-2</v>
          </cell>
          <cell r="X876">
            <v>0.254352099</v>
          </cell>
          <cell r="Y876">
            <v>0.17319266699999999</v>
          </cell>
          <cell r="Z876">
            <v>0.47682794899999997</v>
          </cell>
          <cell r="AB876" t="str">
            <v>2007MI</v>
          </cell>
          <cell r="AC876">
            <v>0</v>
          </cell>
          <cell r="AD876">
            <v>0</v>
          </cell>
          <cell r="AE876">
            <v>0.02</v>
          </cell>
          <cell r="AF876">
            <v>0.98</v>
          </cell>
        </row>
        <row r="877">
          <cell r="B877" t="str">
            <v>2007MN</v>
          </cell>
          <cell r="C877">
            <v>0.11559741536790068</v>
          </cell>
          <cell r="D877">
            <v>0.23915415867765383</v>
          </cell>
          <cell r="E877">
            <v>0.10052931481156221</v>
          </cell>
          <cell r="F877">
            <v>0.43822851849088174</v>
          </cell>
          <cell r="G877">
            <v>5.9517355535203494E-2</v>
          </cell>
          <cell r="H877">
            <v>4.697323711679801E-2</v>
          </cell>
          <cell r="J877" t="str">
            <v>2007MN</v>
          </cell>
          <cell r="K877">
            <v>0.83995332899999997</v>
          </cell>
          <cell r="L877">
            <v>5.9517356E-2</v>
          </cell>
          <cell r="M877">
            <v>0.10052931499999999</v>
          </cell>
          <cell r="U877" t="str">
            <v>2007MN</v>
          </cell>
          <cell r="V877">
            <v>1.5145339000000001E-2</v>
          </cell>
          <cell r="W877">
            <v>5.1986831999999997E-2</v>
          </cell>
          <cell r="X877">
            <v>0.262445557</v>
          </cell>
          <cell r="Y877">
            <v>0.17896024199999999</v>
          </cell>
          <cell r="Z877">
            <v>0.49146202900000002</v>
          </cell>
          <cell r="AB877" t="str">
            <v>2007MN</v>
          </cell>
          <cell r="AC877">
            <v>0</v>
          </cell>
          <cell r="AD877">
            <v>0</v>
          </cell>
          <cell r="AE877">
            <v>0</v>
          </cell>
          <cell r="AF877">
            <v>1</v>
          </cell>
        </row>
        <row r="878">
          <cell r="B878" t="str">
            <v>2007MS</v>
          </cell>
          <cell r="C878">
            <v>0.10416334210611014</v>
          </cell>
          <cell r="D878">
            <v>7.2829933678422776E-2</v>
          </cell>
          <cell r="E878">
            <v>0.14929269604113307</v>
          </cell>
          <cell r="F878">
            <v>0.10019278631941281</v>
          </cell>
          <cell r="G878">
            <v>0.56868226150598644</v>
          </cell>
          <cell r="H878">
            <v>4.838980348934833E-3</v>
          </cell>
          <cell r="J878" t="str">
            <v>2007MS</v>
          </cell>
          <cell r="K878">
            <v>0.28202504199999989</v>
          </cell>
          <cell r="L878">
            <v>0.56868226200000005</v>
          </cell>
          <cell r="M878">
            <v>0.149292696</v>
          </cell>
          <cell r="U878" t="str">
            <v>2007MS</v>
          </cell>
          <cell r="V878">
            <v>2.1100625000000001E-2</v>
          </cell>
          <cell r="W878">
            <v>3.6418512E-2</v>
          </cell>
          <cell r="X878">
            <v>6.0129593000000002E-2</v>
          </cell>
          <cell r="Y878">
            <v>0.574366987</v>
          </cell>
          <cell r="Z878">
            <v>0.30798428300000003</v>
          </cell>
          <cell r="AB878" t="str">
            <v>2007MS</v>
          </cell>
          <cell r="AC878">
            <v>0</v>
          </cell>
          <cell r="AD878">
            <v>0</v>
          </cell>
          <cell r="AE878">
            <v>0.6</v>
          </cell>
          <cell r="AF878">
            <v>0.4</v>
          </cell>
        </row>
        <row r="879">
          <cell r="B879" t="str">
            <v>2007MO</v>
          </cell>
          <cell r="C879">
            <v>6.4925479522277466E-2</v>
          </cell>
          <cell r="D879">
            <v>0.18170303563698134</v>
          </cell>
          <cell r="E879">
            <v>0.14337282997597614</v>
          </cell>
          <cell r="F879">
            <v>0.47880340852502545</v>
          </cell>
          <cell r="G879">
            <v>8.4882421727070459E-2</v>
          </cell>
          <cell r="H879">
            <v>4.6312824612669105E-2</v>
          </cell>
          <cell r="J879" t="str">
            <v>2007MO</v>
          </cell>
          <cell r="K879">
            <v>0.77174474799999992</v>
          </cell>
          <cell r="L879">
            <v>8.4882421999999999E-2</v>
          </cell>
          <cell r="M879">
            <v>0.14337283000000001</v>
          </cell>
          <cell r="U879" t="str">
            <v>2007MO</v>
          </cell>
          <cell r="V879">
            <v>2.998994E-2</v>
          </cell>
          <cell r="W879">
            <v>4.5757142000000001E-2</v>
          </cell>
          <cell r="X879">
            <v>0.27926039899999999</v>
          </cell>
          <cell r="Y879">
            <v>0.13775391300000001</v>
          </cell>
          <cell r="Z879">
            <v>0.50723860600000004</v>
          </cell>
          <cell r="AB879" t="str">
            <v>2007MO</v>
          </cell>
          <cell r="AC879">
            <v>0</v>
          </cell>
          <cell r="AD879">
            <v>0</v>
          </cell>
          <cell r="AE879">
            <v>0</v>
          </cell>
          <cell r="AF879">
            <v>1</v>
          </cell>
        </row>
        <row r="880">
          <cell r="B880" t="str">
            <v>2007MT</v>
          </cell>
          <cell r="C880">
            <v>0.35597781750083307</v>
          </cell>
          <cell r="D880">
            <v>0.25924389885240834</v>
          </cell>
          <cell r="E880">
            <v>4.3797789125912777E-2</v>
          </cell>
          <cell r="F880">
            <v>0.25058080537727367</v>
          </cell>
          <cell r="G880">
            <v>2.5930034358127463E-2</v>
          </cell>
          <cell r="H880">
            <v>6.4469654785444572E-2</v>
          </cell>
          <cell r="J880" t="str">
            <v>2007MT</v>
          </cell>
          <cell r="K880">
            <v>0.93027217699999998</v>
          </cell>
          <cell r="L880">
            <v>2.5930034000000001E-2</v>
          </cell>
          <cell r="M880">
            <v>4.3797788999999997E-2</v>
          </cell>
          <cell r="U880" t="str">
            <v>2007MT</v>
          </cell>
          <cell r="V880">
            <v>6.0520032000000001E-2</v>
          </cell>
          <cell r="W880">
            <v>5.1214043000000001E-2</v>
          </cell>
          <cell r="X880">
            <v>0.24859647000000001</v>
          </cell>
          <cell r="Y880">
            <v>0.16530719099999999</v>
          </cell>
          <cell r="Z880">
            <v>0.47436226399999998</v>
          </cell>
          <cell r="AB880" t="str">
            <v>2007MT</v>
          </cell>
          <cell r="AC880">
            <v>0</v>
          </cell>
          <cell r="AD880">
            <v>0</v>
          </cell>
          <cell r="AE880">
            <v>0.6</v>
          </cell>
          <cell r="AF880">
            <v>0.4</v>
          </cell>
        </row>
        <row r="881">
          <cell r="B881" t="str">
            <v>2007NE</v>
          </cell>
          <cell r="C881">
            <v>0.21260954807532403</v>
          </cell>
          <cell r="D881">
            <v>0.30324255962083846</v>
          </cell>
          <cell r="E881">
            <v>6.1277054134417128E-2</v>
          </cell>
          <cell r="F881">
            <v>0.34696077142199511</v>
          </cell>
          <cell r="G881">
            <v>3.6278454935301678E-2</v>
          </cell>
          <cell r="H881">
            <v>3.9631611812123581E-2</v>
          </cell>
          <cell r="J881" t="str">
            <v>2007NE</v>
          </cell>
          <cell r="K881">
            <v>0.90244449100000002</v>
          </cell>
          <cell r="L881">
            <v>3.6278455000000001E-2</v>
          </cell>
          <cell r="M881">
            <v>6.1277053999999997E-2</v>
          </cell>
          <cell r="U881" t="str">
            <v>2007NE</v>
          </cell>
          <cell r="V881">
            <v>3.0063880000000001E-2</v>
          </cell>
          <cell r="W881">
            <v>4.5295173000000001E-2</v>
          </cell>
          <cell r="X881">
            <v>0.27751980599999998</v>
          </cell>
          <cell r="Y881">
            <v>0.147715386</v>
          </cell>
          <cell r="Z881">
            <v>0.49940575500000001</v>
          </cell>
          <cell r="AB881" t="str">
            <v>2007NE</v>
          </cell>
          <cell r="AC881">
            <v>0</v>
          </cell>
          <cell r="AD881">
            <v>0</v>
          </cell>
          <cell r="AE881">
            <v>0.02</v>
          </cell>
          <cell r="AF881">
            <v>0.98</v>
          </cell>
        </row>
        <row r="882">
          <cell r="B882" t="str">
            <v>2007NV</v>
          </cell>
          <cell r="C882">
            <v>0.64210148526116029</v>
          </cell>
          <cell r="D882">
            <v>0.238399883587257</v>
          </cell>
          <cell r="E882">
            <v>4.1594375177217181E-3</v>
          </cell>
          <cell r="F882">
            <v>0.10819864870890922</v>
          </cell>
          <cell r="G882">
            <v>2.4625525602432058E-3</v>
          </cell>
          <cell r="H882">
            <v>4.677992364708553E-3</v>
          </cell>
          <cell r="J882" t="str">
            <v>2007NV</v>
          </cell>
          <cell r="K882">
            <v>0.99337800899999995</v>
          </cell>
          <cell r="L882">
            <v>2.4625530000000001E-3</v>
          </cell>
          <cell r="M882">
            <v>4.1594379999999997E-3</v>
          </cell>
          <cell r="U882" t="str">
            <v>2007NV</v>
          </cell>
          <cell r="V882">
            <v>0.35004114600000003</v>
          </cell>
          <cell r="W882">
            <v>2.4048478000000002E-2</v>
          </cell>
          <cell r="X882">
            <v>3.5747737000000002E-2</v>
          </cell>
          <cell r="Y882">
            <v>0.38867539400000001</v>
          </cell>
          <cell r="Z882">
            <v>0.20148724500000001</v>
          </cell>
          <cell r="AB882" t="str">
            <v>2007NV</v>
          </cell>
          <cell r="AC882">
            <v>0</v>
          </cell>
          <cell r="AD882">
            <v>0</v>
          </cell>
          <cell r="AE882">
            <v>0</v>
          </cell>
          <cell r="AF882">
            <v>1</v>
          </cell>
        </row>
        <row r="883">
          <cell r="B883" t="str">
            <v>2007NH</v>
          </cell>
          <cell r="C883">
            <v>9.4573445198850817E-2</v>
          </cell>
          <cell r="D883">
            <v>0.16340842518862655</v>
          </cell>
          <cell r="E883">
            <v>0.44298025846087286</v>
          </cell>
          <cell r="F883">
            <v>0.20852129702854144</v>
          </cell>
          <cell r="G883">
            <v>6.52134304627775E-2</v>
          </cell>
          <cell r="H883">
            <v>2.5303143660330828E-2</v>
          </cell>
          <cell r="J883" t="str">
            <v>2007NH</v>
          </cell>
          <cell r="K883">
            <v>0.49180631200000002</v>
          </cell>
          <cell r="L883">
            <v>6.5213430000000003E-2</v>
          </cell>
          <cell r="M883">
            <v>0.44298025800000002</v>
          </cell>
          <cell r="U883" t="str">
            <v>2007NH</v>
          </cell>
          <cell r="V883">
            <v>0.56759962799999997</v>
          </cell>
          <cell r="W883">
            <v>1.9025615999999999E-2</v>
          </cell>
          <cell r="X883">
            <v>0.119342503</v>
          </cell>
          <cell r="Y883">
            <v>9.1236478999999995E-2</v>
          </cell>
          <cell r="Z883">
            <v>0.20279577500000001</v>
          </cell>
          <cell r="AB883" t="str">
            <v>2007NH</v>
          </cell>
          <cell r="AC883">
            <v>0</v>
          </cell>
          <cell r="AD883">
            <v>0</v>
          </cell>
          <cell r="AE883">
            <v>0.05</v>
          </cell>
          <cell r="AF883">
            <v>0.95</v>
          </cell>
        </row>
        <row r="884">
          <cell r="B884" t="str">
            <v>2007NJ</v>
          </cell>
          <cell r="C884">
            <v>5.8003576611346738E-2</v>
          </cell>
          <cell r="D884">
            <v>0.13897871355240557</v>
          </cell>
          <cell r="E884">
            <v>0.45397029129837874</v>
          </cell>
          <cell r="F884">
            <v>0.24471653627570109</v>
          </cell>
          <cell r="G884">
            <v>7.5126969581826603E-2</v>
          </cell>
          <cell r="H884">
            <v>2.9203912680341212E-2</v>
          </cell>
          <cell r="J884" t="str">
            <v>2007NJ</v>
          </cell>
          <cell r="K884">
            <v>0.47090273900000001</v>
          </cell>
          <cell r="L884">
            <v>7.5126970000000001E-2</v>
          </cell>
          <cell r="M884">
            <v>0.45397029100000003</v>
          </cell>
          <cell r="U884" t="str">
            <v>2007NJ</v>
          </cell>
          <cell r="V884">
            <v>0.30808167400000003</v>
          </cell>
          <cell r="W884">
            <v>3.3011736E-2</v>
          </cell>
          <cell r="X884">
            <v>0.18818818500000001</v>
          </cell>
          <cell r="Y884">
            <v>0.137437002</v>
          </cell>
          <cell r="Z884">
            <v>0.333281404</v>
          </cell>
          <cell r="AB884" t="str">
            <v>2007NJ</v>
          </cell>
          <cell r="AC884">
            <v>0</v>
          </cell>
          <cell r="AD884">
            <v>0</v>
          </cell>
          <cell r="AE884">
            <v>0.05</v>
          </cell>
          <cell r="AF884">
            <v>0.95</v>
          </cell>
        </row>
        <row r="885">
          <cell r="B885" t="str">
            <v>2007NM</v>
          </cell>
          <cell r="C885">
            <v>0.61184589317007076</v>
          </cell>
          <cell r="D885">
            <v>0.19452029294367307</v>
          </cell>
          <cell r="E885">
            <v>9.8952813124742175E-2</v>
          </cell>
          <cell r="F885">
            <v>9.4174237847419268E-2</v>
          </cell>
          <cell r="G885">
            <v>0</v>
          </cell>
          <cell r="H885">
            <v>5.0676291409465751E-4</v>
          </cell>
          <cell r="J885" t="str">
            <v>2007NM</v>
          </cell>
          <cell r="K885">
            <v>0.90104718699999997</v>
          </cell>
          <cell r="L885">
            <v>0</v>
          </cell>
          <cell r="M885">
            <v>9.8952813000000001E-2</v>
          </cell>
          <cell r="U885" t="str">
            <v>2007NM</v>
          </cell>
          <cell r="V885">
            <v>0.91655606099999998</v>
          </cell>
          <cell r="W885">
            <v>3.6715329999999998E-3</v>
          </cell>
          <cell r="X885">
            <v>2.3030526999999999E-2</v>
          </cell>
          <cell r="Y885">
            <v>1.7606671000000001E-2</v>
          </cell>
          <cell r="Z885">
            <v>3.9135206999999998E-2</v>
          </cell>
          <cell r="AB885" t="str">
            <v>2007NM</v>
          </cell>
          <cell r="AC885">
            <v>0</v>
          </cell>
          <cell r="AD885">
            <v>0</v>
          </cell>
          <cell r="AE885">
            <v>0.6</v>
          </cell>
          <cell r="AF885">
            <v>0.4</v>
          </cell>
        </row>
        <row r="886">
          <cell r="B886" t="str">
            <v>2007NY</v>
          </cell>
          <cell r="C886">
            <v>9.8408703041683282E-2</v>
          </cell>
          <cell r="D886">
            <v>0.15954377256245178</v>
          </cell>
          <cell r="E886">
            <v>0.44849165243165579</v>
          </cell>
          <cell r="F886">
            <v>0.20287733376538455</v>
          </cell>
          <cell r="G886">
            <v>7.0184973363303343E-2</v>
          </cell>
          <cell r="H886">
            <v>2.0493564835521279E-2</v>
          </cell>
          <cell r="J886" t="str">
            <v>2007NY</v>
          </cell>
          <cell r="K886">
            <v>0.481323375</v>
          </cell>
          <cell r="L886">
            <v>7.0184972999999998E-2</v>
          </cell>
          <cell r="M886">
            <v>0.44849165200000002</v>
          </cell>
          <cell r="U886" t="str">
            <v>2007NY</v>
          </cell>
          <cell r="V886">
            <v>0.20441514899999999</v>
          </cell>
          <cell r="W886">
            <v>4.1815811000000001E-2</v>
          </cell>
          <cell r="X886">
            <v>0.21220383400000001</v>
          </cell>
          <cell r="Y886">
            <v>0.145168144</v>
          </cell>
          <cell r="Z886">
            <v>0.396397061</v>
          </cell>
          <cell r="AB886" t="str">
            <v>2007NY</v>
          </cell>
          <cell r="AC886">
            <v>0</v>
          </cell>
          <cell r="AD886">
            <v>0</v>
          </cell>
          <cell r="AE886">
            <v>0.05</v>
          </cell>
          <cell r="AF886">
            <v>0.95</v>
          </cell>
        </row>
        <row r="887">
          <cell r="B887" t="str">
            <v>2007NC</v>
          </cell>
          <cell r="C887">
            <v>6.168821577504751E-2</v>
          </cell>
          <cell r="D887">
            <v>0.11278426418396881</v>
          </cell>
          <cell r="E887">
            <v>0.15395779991170949</v>
          </cell>
          <cell r="F887">
            <v>0.11589101949636353</v>
          </cell>
          <cell r="G887">
            <v>0.54100750469043157</v>
          </cell>
          <cell r="H887">
            <v>1.4671195942479084E-2</v>
          </cell>
          <cell r="J887" t="str">
            <v>2007NC</v>
          </cell>
          <cell r="K887">
            <v>0.30503469499999991</v>
          </cell>
          <cell r="L887">
            <v>0.54100750500000006</v>
          </cell>
          <cell r="M887">
            <v>0.15395780000000001</v>
          </cell>
          <cell r="U887" t="str">
            <v>2007NC</v>
          </cell>
          <cell r="V887">
            <v>2.4742549999999999E-3</v>
          </cell>
          <cell r="W887">
            <v>3.7123251000000003E-2</v>
          </cell>
          <cell r="X887">
            <v>6.1645423999999997E-2</v>
          </cell>
          <cell r="Y887">
            <v>0.58464508599999998</v>
          </cell>
          <cell r="Z887">
            <v>0.31411198400000001</v>
          </cell>
          <cell r="AB887" t="str">
            <v>2007NC</v>
          </cell>
          <cell r="AC887">
            <v>0</v>
          </cell>
          <cell r="AD887">
            <v>0</v>
          </cell>
          <cell r="AE887">
            <v>0.41899999999999998</v>
          </cell>
          <cell r="AF887">
            <v>0.58099999999999996</v>
          </cell>
        </row>
        <row r="888">
          <cell r="B888" t="str">
            <v>2007ND</v>
          </cell>
          <cell r="C888">
            <v>0.1196932700797023</v>
          </cell>
          <cell r="D888">
            <v>0.21866711268457967</v>
          </cell>
          <cell r="E888">
            <v>0.10978970169096619</v>
          </cell>
          <cell r="F888">
            <v>0.448028418369537</v>
          </cell>
          <cell r="G888">
            <v>6.499987314042277E-2</v>
          </cell>
          <cell r="H888">
            <v>3.8821624034792085E-2</v>
          </cell>
          <cell r="J888" t="str">
            <v>2007ND</v>
          </cell>
          <cell r="K888">
            <v>0.82521042499999997</v>
          </cell>
          <cell r="L888">
            <v>6.4999873E-2</v>
          </cell>
          <cell r="M888">
            <v>0.109789702</v>
          </cell>
          <cell r="U888" t="str">
            <v>2007ND</v>
          </cell>
          <cell r="V888">
            <v>8.8434773999999994E-2</v>
          </cell>
          <cell r="W888">
            <v>4.7868137999999998E-2</v>
          </cell>
          <cell r="X888">
            <v>0.243186129</v>
          </cell>
          <cell r="Y888">
            <v>0.16647603599999999</v>
          </cell>
          <cell r="Z888">
            <v>0.45403492299999998</v>
          </cell>
          <cell r="AB888" t="str">
            <v>2007ND</v>
          </cell>
          <cell r="AC888">
            <v>0</v>
          </cell>
          <cell r="AD888">
            <v>0</v>
          </cell>
          <cell r="AE888">
            <v>0.02</v>
          </cell>
          <cell r="AF888">
            <v>0.98</v>
          </cell>
        </row>
        <row r="889">
          <cell r="B889" t="str">
            <v>2007OH</v>
          </cell>
          <cell r="C889">
            <v>0.10753833947858983</v>
          </cell>
          <cell r="D889">
            <v>0.22522557822049544</v>
          </cell>
          <cell r="E889">
            <v>0.13589110116557596</v>
          </cell>
          <cell r="F889">
            <v>0.4097570212201273</v>
          </cell>
          <cell r="G889">
            <v>8.0452940491062386E-2</v>
          </cell>
          <cell r="H889">
            <v>4.1135019424149183E-2</v>
          </cell>
          <cell r="J889" t="str">
            <v>2007OH</v>
          </cell>
          <cell r="K889">
            <v>0.78365595900000007</v>
          </cell>
          <cell r="L889">
            <v>8.0452940000000001E-2</v>
          </cell>
          <cell r="M889">
            <v>0.13589110099999999</v>
          </cell>
          <cell r="U889" t="str">
            <v>2007OH</v>
          </cell>
          <cell r="V889">
            <v>6.6338901000000006E-2</v>
          </cell>
          <cell r="W889">
            <v>4.3119113000000001E-2</v>
          </cell>
          <cell r="X889">
            <v>0.26533305600000001</v>
          </cell>
          <cell r="Y889">
            <v>0.15267545299999999</v>
          </cell>
          <cell r="Z889">
            <v>0.47253347699999998</v>
          </cell>
          <cell r="AB889" t="str">
            <v>2007OH</v>
          </cell>
          <cell r="AC889">
            <v>0</v>
          </cell>
          <cell r="AD889">
            <v>0</v>
          </cell>
          <cell r="AE889">
            <v>0</v>
          </cell>
          <cell r="AF889">
            <v>1</v>
          </cell>
        </row>
        <row r="890">
          <cell r="B890" t="str">
            <v>2007OK</v>
          </cell>
          <cell r="C890">
            <v>0.40296958934788546</v>
          </cell>
          <cell r="D890">
            <v>0.22528492954061258</v>
          </cell>
          <cell r="E890">
            <v>6.4896255940651446E-2</v>
          </cell>
          <cell r="F890">
            <v>0.24738177570149189</v>
          </cell>
          <cell r="G890">
            <v>0</v>
          </cell>
          <cell r="H890">
            <v>5.9467449469358676E-2</v>
          </cell>
          <cell r="J890" t="str">
            <v>2007OK</v>
          </cell>
          <cell r="K890">
            <v>0.93510374399999996</v>
          </cell>
          <cell r="L890">
            <v>0</v>
          </cell>
          <cell r="M890">
            <v>6.4896255999999999E-2</v>
          </cell>
          <cell r="U890" t="str">
            <v>2007OK</v>
          </cell>
          <cell r="V890">
            <v>1.2831308E-2</v>
          </cell>
          <cell r="W890">
            <v>3.6793041999999998E-2</v>
          </cell>
          <cell r="X890">
            <v>6.2749109999999997E-2</v>
          </cell>
          <cell r="Y890">
            <v>0.57552135800000004</v>
          </cell>
          <cell r="Z890">
            <v>0.31210518199999998</v>
          </cell>
          <cell r="AB890" t="str">
            <v>2007OK</v>
          </cell>
          <cell r="AC890">
            <v>0</v>
          </cell>
          <cell r="AD890">
            <v>0</v>
          </cell>
          <cell r="AE890">
            <v>0.6</v>
          </cell>
          <cell r="AF890">
            <v>0.4</v>
          </cell>
        </row>
        <row r="891">
          <cell r="B891" t="str">
            <v>2007OR</v>
          </cell>
          <cell r="C891">
            <v>0.43856747008812064</v>
          </cell>
          <cell r="D891">
            <v>0.20958259090942544</v>
          </cell>
          <cell r="E891">
            <v>0</v>
          </cell>
          <cell r="F891">
            <v>0.12862948158709187</v>
          </cell>
          <cell r="G891">
            <v>0.2018533708975031</v>
          </cell>
          <cell r="H891">
            <v>2.1367086517858933E-2</v>
          </cell>
          <cell r="J891" t="str">
            <v>2007OR</v>
          </cell>
          <cell r="K891">
            <v>0.798146629</v>
          </cell>
          <cell r="L891">
            <v>0.201853371</v>
          </cell>
          <cell r="M891">
            <v>0</v>
          </cell>
          <cell r="U891" t="str">
            <v>2007OR</v>
          </cell>
          <cell r="V891">
            <v>0.57640796000000005</v>
          </cell>
          <cell r="W891">
            <v>1.863805E-2</v>
          </cell>
          <cell r="X891">
            <v>0.116911403</v>
          </cell>
          <cell r="Y891">
            <v>8.937792E-2</v>
          </cell>
          <cell r="Z891">
            <v>0.19866466699999999</v>
          </cell>
          <cell r="AB891" t="str">
            <v>2007OR</v>
          </cell>
          <cell r="AC891">
            <v>0</v>
          </cell>
          <cell r="AD891">
            <v>0</v>
          </cell>
          <cell r="AE891">
            <v>0.25</v>
          </cell>
          <cell r="AF891">
            <v>0.75</v>
          </cell>
        </row>
        <row r="892">
          <cell r="B892" t="str">
            <v>2007PA</v>
          </cell>
          <cell r="C892">
            <v>4.9624045569858895E-2</v>
          </cell>
          <cell r="D892">
            <v>0.11712497857538914</v>
          </cell>
          <cell r="E892">
            <v>0.46874549019831585</v>
          </cell>
          <cell r="F892">
            <v>0.25230966018477574</v>
          </cell>
          <cell r="G892">
            <v>8.8454910858433447E-2</v>
          </cell>
          <cell r="H892">
            <v>2.3740914613226898E-2</v>
          </cell>
          <cell r="J892" t="str">
            <v>2007PA</v>
          </cell>
          <cell r="K892">
            <v>0.44279959899999999</v>
          </cell>
          <cell r="L892">
            <v>8.8454910999999997E-2</v>
          </cell>
          <cell r="M892">
            <v>0.46874548999999999</v>
          </cell>
          <cell r="U892" t="str">
            <v>2007PA</v>
          </cell>
          <cell r="V892">
            <v>5.0102499000000002E-2</v>
          </cell>
          <cell r="W892">
            <v>4.9409870000000002E-2</v>
          </cell>
          <cell r="X892">
            <v>0.25392279899999998</v>
          </cell>
          <cell r="Y892">
            <v>0.17504710600000001</v>
          </cell>
          <cell r="Z892">
            <v>0.47151772600000003</v>
          </cell>
          <cell r="AB892" t="str">
            <v>2007PA</v>
          </cell>
          <cell r="AC892">
            <v>0</v>
          </cell>
          <cell r="AD892">
            <v>0</v>
          </cell>
          <cell r="AE892">
            <v>0</v>
          </cell>
          <cell r="AF892">
            <v>1</v>
          </cell>
        </row>
        <row r="893">
          <cell r="B893" t="str">
            <v>2007RI</v>
          </cell>
          <cell r="C893">
            <v>4.2447025005926793E-2</v>
          </cell>
          <cell r="D893">
            <v>0.1190174947032642</v>
          </cell>
          <cell r="E893">
            <v>0.46784468707451643</v>
          </cell>
          <cell r="F893">
            <v>0.25730854976835782</v>
          </cell>
          <cell r="G893">
            <v>8.7642343040085183E-2</v>
          </cell>
          <cell r="H893">
            <v>2.5739900407849584E-2</v>
          </cell>
          <cell r="J893" t="str">
            <v>2007RI</v>
          </cell>
          <cell r="K893">
            <v>0.44451297000000001</v>
          </cell>
          <cell r="L893">
            <v>8.7642342999999998E-2</v>
          </cell>
          <cell r="M893">
            <v>0.46784468699999998</v>
          </cell>
          <cell r="U893" t="str">
            <v>2007RI</v>
          </cell>
          <cell r="V893">
            <v>0.56026879500000004</v>
          </cell>
          <cell r="W893">
            <v>1.9348173E-2</v>
          </cell>
          <cell r="X893">
            <v>0.121365813</v>
          </cell>
          <cell r="Y893">
            <v>9.2783283999999994E-2</v>
          </cell>
          <cell r="Z893">
            <v>0.20623393500000001</v>
          </cell>
          <cell r="AB893" t="str">
            <v>2007RI</v>
          </cell>
          <cell r="AC893">
            <v>0</v>
          </cell>
          <cell r="AD893">
            <v>0</v>
          </cell>
          <cell r="AE893">
            <v>0.05</v>
          </cell>
          <cell r="AF893">
            <v>0.95</v>
          </cell>
        </row>
        <row r="894">
          <cell r="B894" t="str">
            <v>2007SC</v>
          </cell>
          <cell r="C894">
            <v>0.13346180610825578</v>
          </cell>
          <cell r="D894">
            <v>9.0019723091430845E-2</v>
          </cell>
          <cell r="E894">
            <v>0.15451296947775242</v>
          </cell>
          <cell r="F894">
            <v>8.0687406490411034E-2</v>
          </cell>
          <cell r="G894">
            <v>0.53771407690020812</v>
          </cell>
          <cell r="H894">
            <v>3.6040179319418398E-3</v>
          </cell>
          <cell r="J894" t="str">
            <v>2007SC</v>
          </cell>
          <cell r="K894">
            <v>0.30777295400000004</v>
          </cell>
          <cell r="L894">
            <v>0.53771407699999996</v>
          </cell>
          <cell r="M894">
            <v>0.154512969</v>
          </cell>
          <cell r="U894" t="str">
            <v>2007SC</v>
          </cell>
          <cell r="V894">
            <v>6.1629585000000001E-2</v>
          </cell>
          <cell r="W894">
            <v>3.5823032999999997E-2</v>
          </cell>
          <cell r="X894">
            <v>8.6443989999999998E-2</v>
          </cell>
          <cell r="Y894">
            <v>0.50014727299999995</v>
          </cell>
          <cell r="Z894">
            <v>0.31595611899999998</v>
          </cell>
          <cell r="AB894" t="str">
            <v>2007SC</v>
          </cell>
          <cell r="AC894">
            <v>0</v>
          </cell>
          <cell r="AD894">
            <v>0</v>
          </cell>
          <cell r="AE894">
            <v>0.6</v>
          </cell>
          <cell r="AF894">
            <v>0.4</v>
          </cell>
        </row>
        <row r="895">
          <cell r="B895" t="str">
            <v>2007SD</v>
          </cell>
          <cell r="C895">
            <v>0.17608951911561277</v>
          </cell>
          <cell r="D895">
            <v>0.277831368160596</v>
          </cell>
          <cell r="E895">
            <v>7.9800561964795444E-2</v>
          </cell>
          <cell r="F895">
            <v>0.37802114842972712</v>
          </cell>
          <cell r="G895">
            <v>4.724510882492864E-2</v>
          </cell>
          <cell r="H895">
            <v>4.1012293504340026E-2</v>
          </cell>
          <cell r="J895" t="str">
            <v>2007SD</v>
          </cell>
          <cell r="K895">
            <v>0.87295432900000003</v>
          </cell>
          <cell r="L895">
            <v>4.7245109E-2</v>
          </cell>
          <cell r="M895">
            <v>7.9800562000000005E-2</v>
          </cell>
          <cell r="U895" t="str">
            <v>2007SD</v>
          </cell>
          <cell r="V895">
            <v>3.3046748000000001E-2</v>
          </cell>
          <cell r="W895">
            <v>5.1157264000000001E-2</v>
          </cell>
          <cell r="X895">
            <v>0.25755016600000002</v>
          </cell>
          <cell r="Y895">
            <v>0.17532273200000001</v>
          </cell>
          <cell r="Z895">
            <v>0.48292308900000003</v>
          </cell>
          <cell r="AB895" t="str">
            <v>2007SD</v>
          </cell>
          <cell r="AC895">
            <v>0</v>
          </cell>
          <cell r="AD895">
            <v>0</v>
          </cell>
          <cell r="AE895">
            <v>0.02</v>
          </cell>
          <cell r="AF895">
            <v>0.98</v>
          </cell>
        </row>
        <row r="896">
          <cell r="B896" t="str">
            <v>2007TN</v>
          </cell>
          <cell r="C896">
            <v>4.0519949592449485E-2</v>
          </cell>
          <cell r="D896">
            <v>8.9664149461423162E-2</v>
          </cell>
          <cell r="E896">
            <v>0.14551684926860037</v>
          </cell>
          <cell r="F896">
            <v>0.1170185785979804</v>
          </cell>
          <cell r="G896">
            <v>0.59108168584929244</v>
          </cell>
          <cell r="H896">
            <v>1.6198787230254148E-2</v>
          </cell>
          <cell r="J896" t="str">
            <v>2007TN</v>
          </cell>
          <cell r="K896">
            <v>0.26340146500000006</v>
          </cell>
          <cell r="L896">
            <v>0.591081686</v>
          </cell>
          <cell r="M896">
            <v>0.145516849</v>
          </cell>
          <cell r="U896" t="str">
            <v>2007TN</v>
          </cell>
          <cell r="V896">
            <v>0.102875089</v>
          </cell>
          <cell r="W896">
            <v>3.5402429999999999E-2</v>
          </cell>
          <cell r="X896">
            <v>0.119077104</v>
          </cell>
          <cell r="Y896">
            <v>0.41436515099999999</v>
          </cell>
          <cell r="Z896">
            <v>0.32828022600000001</v>
          </cell>
          <cell r="AB896" t="str">
            <v>2007TN</v>
          </cell>
          <cell r="AC896">
            <v>0</v>
          </cell>
          <cell r="AD896">
            <v>0</v>
          </cell>
          <cell r="AE896">
            <v>0.05</v>
          </cell>
          <cell r="AF896">
            <v>0.95</v>
          </cell>
        </row>
        <row r="897">
          <cell r="B897" t="str">
            <v>2007TX</v>
          </cell>
          <cell r="C897">
            <v>0.53305655520056971</v>
          </cell>
          <cell r="D897">
            <v>0.24233312613196878</v>
          </cell>
          <cell r="E897">
            <v>7.9791980793249173E-2</v>
          </cell>
          <cell r="F897">
            <v>0.1278405091499755</v>
          </cell>
          <cell r="G897">
            <v>0</v>
          </cell>
          <cell r="H897">
            <v>1.6977828724236681E-2</v>
          </cell>
          <cell r="J897" t="str">
            <v>2007TX</v>
          </cell>
          <cell r="K897">
            <v>0.92020801900000004</v>
          </cell>
          <cell r="L897">
            <v>0</v>
          </cell>
          <cell r="M897">
            <v>7.9791980999999998E-2</v>
          </cell>
          <cell r="U897" t="str">
            <v>2007TX</v>
          </cell>
          <cell r="V897">
            <v>6.9632535999999995E-2</v>
          </cell>
          <cell r="W897">
            <v>3.4700662E-2</v>
          </cell>
          <cell r="X897">
            <v>5.9917572000000002E-2</v>
          </cell>
          <cell r="Y897">
            <v>0.54104196599999999</v>
          </cell>
          <cell r="Z897">
            <v>0.29470726400000002</v>
          </cell>
          <cell r="AB897" t="str">
            <v>2007TX</v>
          </cell>
          <cell r="AC897">
            <v>0</v>
          </cell>
          <cell r="AD897">
            <v>0</v>
          </cell>
          <cell r="AE897">
            <v>0.12</v>
          </cell>
          <cell r="AF897">
            <v>0.88</v>
          </cell>
        </row>
        <row r="898">
          <cell r="B898" t="str">
            <v>2007UT</v>
          </cell>
          <cell r="C898">
            <v>0.51165623152884221</v>
          </cell>
          <cell r="D898">
            <v>0.26394677259150623</v>
          </cell>
          <cell r="E898">
            <v>1.3999177703951423E-2</v>
          </cell>
          <cell r="F898">
            <v>0.17036034814732054</v>
          </cell>
          <cell r="G898">
            <v>8.2880703819413898E-3</v>
          </cell>
          <cell r="H898">
            <v>3.1749399646438282E-2</v>
          </cell>
          <cell r="J898" t="str">
            <v>2007UT</v>
          </cell>
          <cell r="K898">
            <v>0.97771275199999996</v>
          </cell>
          <cell r="L898">
            <v>8.2880699999999998E-3</v>
          </cell>
          <cell r="M898">
            <v>1.3999177999999999E-2</v>
          </cell>
          <cell r="U898" t="str">
            <v>2007UT</v>
          </cell>
          <cell r="V898">
            <v>8.6456620000000001E-3</v>
          </cell>
          <cell r="W898">
            <v>5.5424775000000003E-2</v>
          </cell>
          <cell r="X898">
            <v>0.260824848</v>
          </cell>
          <cell r="Y898">
            <v>0.16982515300000001</v>
          </cell>
          <cell r="Z898">
            <v>0.50527956200000002</v>
          </cell>
          <cell r="AB898" t="str">
            <v>2007UT</v>
          </cell>
          <cell r="AC898">
            <v>0</v>
          </cell>
          <cell r="AD898">
            <v>0</v>
          </cell>
          <cell r="AE898">
            <v>0.6</v>
          </cell>
          <cell r="AF898">
            <v>0.4</v>
          </cell>
        </row>
        <row r="899">
          <cell r="B899" t="str">
            <v>2007VT</v>
          </cell>
          <cell r="C899">
            <v>9.9973781354903396E-2</v>
          </cell>
          <cell r="D899">
            <v>0.17387691112967565</v>
          </cell>
          <cell r="E899">
            <v>0.44423932842492886</v>
          </cell>
          <cell r="F899">
            <v>0.19448861844630186</v>
          </cell>
          <cell r="G899">
            <v>6.6349172232328182E-2</v>
          </cell>
          <cell r="H899">
            <v>2.1072188411862088E-2</v>
          </cell>
          <cell r="J899" t="str">
            <v>2007VT</v>
          </cell>
          <cell r="K899">
            <v>0.4894115</v>
          </cell>
          <cell r="L899">
            <v>6.6349171999999998E-2</v>
          </cell>
          <cell r="M899">
            <v>0.44423932799999999</v>
          </cell>
          <cell r="U899" t="str">
            <v>2007VT</v>
          </cell>
          <cell r="V899">
            <v>0.86037974299999997</v>
          </cell>
          <cell r="W899">
            <v>6.1432910000000004E-3</v>
          </cell>
          <cell r="X899">
            <v>3.8535191000000003E-2</v>
          </cell>
          <cell r="Y899">
            <v>2.9459874E-2</v>
          </cell>
          <cell r="Z899">
            <v>6.5481899999999996E-2</v>
          </cell>
          <cell r="AB899" t="str">
            <v>2007VT</v>
          </cell>
          <cell r="AC899">
            <v>0</v>
          </cell>
          <cell r="AD899">
            <v>0</v>
          </cell>
          <cell r="AE899">
            <v>0.05</v>
          </cell>
          <cell r="AF899">
            <v>0.95</v>
          </cell>
        </row>
        <row r="900">
          <cell r="B900" t="str">
            <v>2007VA</v>
          </cell>
          <cell r="C900">
            <v>4.4953509549794296E-2</v>
          </cell>
          <cell r="D900">
            <v>9.339670802378576E-2</v>
          </cell>
          <cell r="E900">
            <v>0.14844092890155638</v>
          </cell>
          <cell r="F900">
            <v>0.12331550684410268</v>
          </cell>
          <cell r="G900">
            <v>0.5737351926100378</v>
          </cell>
          <cell r="H900">
            <v>1.6158154070723133E-2</v>
          </cell>
          <cell r="J900" t="str">
            <v>2007VA</v>
          </cell>
          <cell r="K900">
            <v>0.27782387799999997</v>
          </cell>
          <cell r="L900">
            <v>0.57373519299999998</v>
          </cell>
          <cell r="M900">
            <v>0.148440929</v>
          </cell>
          <cell r="U900" t="str">
            <v>2007VA</v>
          </cell>
          <cell r="V900">
            <v>3.3934871999999998E-2</v>
          </cell>
          <cell r="W900">
            <v>3.6244844999999998E-2</v>
          </cell>
          <cell r="X900">
            <v>6.8933026999999994E-2</v>
          </cell>
          <cell r="Y900">
            <v>0.550040046</v>
          </cell>
          <cell r="Z900">
            <v>0.31084721100000001</v>
          </cell>
          <cell r="AB900" t="str">
            <v>2007VA</v>
          </cell>
          <cell r="AC900">
            <v>0</v>
          </cell>
          <cell r="AD900">
            <v>0</v>
          </cell>
          <cell r="AE900">
            <v>0.05</v>
          </cell>
          <cell r="AF900">
            <v>0.95</v>
          </cell>
        </row>
        <row r="901">
          <cell r="B901" t="str">
            <v>2007WA</v>
          </cell>
          <cell r="C901">
            <v>0.48742079910802349</v>
          </cell>
          <cell r="D901">
            <v>0.21961274491816118</v>
          </cell>
          <cell r="E901">
            <v>0</v>
          </cell>
          <cell r="F901">
            <v>0.11254281869932067</v>
          </cell>
          <cell r="G901">
            <v>0.16627589127589129</v>
          </cell>
          <cell r="H901">
            <v>1.4147745998603438E-2</v>
          </cell>
          <cell r="J901" t="str">
            <v>2007WA</v>
          </cell>
          <cell r="K901">
            <v>0.83372410900000005</v>
          </cell>
          <cell r="L901">
            <v>0.16627589100000001</v>
          </cell>
          <cell r="M901">
            <v>0</v>
          </cell>
          <cell r="U901" t="str">
            <v>2007WA</v>
          </cell>
          <cell r="V901">
            <v>0.37353494700000001</v>
          </cell>
          <cell r="W901">
            <v>3.1263627000000002E-2</v>
          </cell>
          <cell r="X901">
            <v>0.168896926</v>
          </cell>
          <cell r="Y901">
            <v>0.119853577</v>
          </cell>
          <cell r="Z901">
            <v>0.30645092299999999</v>
          </cell>
          <cell r="AB901" t="str">
            <v>2007WA</v>
          </cell>
          <cell r="AC901">
            <v>0</v>
          </cell>
          <cell r="AD901">
            <v>0</v>
          </cell>
          <cell r="AE901">
            <v>0.12</v>
          </cell>
          <cell r="AF901">
            <v>0.88</v>
          </cell>
        </row>
        <row r="902">
          <cell r="B902" t="str">
            <v>2007WV</v>
          </cell>
          <cell r="C902">
            <v>6.8751812683186322E-2</v>
          </cell>
          <cell r="D902">
            <v>0.15888641455628993</v>
          </cell>
          <cell r="E902">
            <v>0.44831485363191043</v>
          </cell>
          <cell r="F902">
            <v>0.22633984896592482</v>
          </cell>
          <cell r="G902">
            <v>7.0025492327769459E-2</v>
          </cell>
          <cell r="H902">
            <v>2.7681577834919095E-2</v>
          </cell>
          <cell r="J902" t="str">
            <v>2007WV</v>
          </cell>
          <cell r="K902">
            <v>0.48165965399999999</v>
          </cell>
          <cell r="L902">
            <v>7.0025491999999995E-2</v>
          </cell>
          <cell r="M902">
            <v>0.44831485399999998</v>
          </cell>
          <cell r="U902" t="str">
            <v>2007WV</v>
          </cell>
          <cell r="V902">
            <v>0.57920187499999998</v>
          </cell>
          <cell r="W902">
            <v>2.1256934000000002E-2</v>
          </cell>
          <cell r="X902">
            <v>0.113169981</v>
          </cell>
          <cell r="Y902">
            <v>7.9649016000000003E-2</v>
          </cell>
          <cell r="Z902">
            <v>0.206722194</v>
          </cell>
          <cell r="AB902" t="str">
            <v>2007WV</v>
          </cell>
          <cell r="AC902">
            <v>0</v>
          </cell>
          <cell r="AD902">
            <v>0</v>
          </cell>
          <cell r="AE902">
            <v>0.05</v>
          </cell>
          <cell r="AF902">
            <v>0.95</v>
          </cell>
        </row>
        <row r="903">
          <cell r="B903" t="str">
            <v>2007WI</v>
          </cell>
          <cell r="C903">
            <v>0.12203432597344931</v>
          </cell>
          <cell r="D903">
            <v>0.23555629715568294</v>
          </cell>
          <cell r="E903">
            <v>0.11540173598404266</v>
          </cell>
          <cell r="F903">
            <v>0.42032708364290838</v>
          </cell>
          <cell r="G903">
            <v>6.8322420806473022E-2</v>
          </cell>
          <cell r="H903">
            <v>3.8358136437443673E-2</v>
          </cell>
          <cell r="J903" t="str">
            <v>2007WI</v>
          </cell>
          <cell r="K903">
            <v>0.816275843</v>
          </cell>
          <cell r="L903">
            <v>6.8322420999999994E-2</v>
          </cell>
          <cell r="M903">
            <v>0.115401736</v>
          </cell>
          <cell r="U903" t="str">
            <v>2007WI</v>
          </cell>
          <cell r="V903">
            <v>0.12883246500000001</v>
          </cell>
          <cell r="W903">
            <v>4.2564396999999997E-2</v>
          </cell>
          <cell r="X903">
            <v>0.23585646199999999</v>
          </cell>
          <cell r="Y903">
            <v>0.16970626599999999</v>
          </cell>
          <cell r="Z903">
            <v>0.42304040999999998</v>
          </cell>
          <cell r="AB903" t="str">
            <v>2007WI</v>
          </cell>
          <cell r="AC903">
            <v>0</v>
          </cell>
          <cell r="AD903">
            <v>0</v>
          </cell>
          <cell r="AE903">
            <v>0.02</v>
          </cell>
          <cell r="AF903">
            <v>0.98</v>
          </cell>
        </row>
        <row r="904">
          <cell r="B904" t="str">
            <v>2007WY</v>
          </cell>
          <cell r="C904">
            <v>0.29508724522063295</v>
          </cell>
          <cell r="D904">
            <v>0.23251729773373622</v>
          </cell>
          <cell r="E904">
            <v>0.12161775942187937</v>
          </cell>
          <cell r="F904">
            <v>0.2207502472879718</v>
          </cell>
          <cell r="G904">
            <v>7.2002554085590281E-2</v>
          </cell>
          <cell r="H904">
            <v>5.8024896250189507E-2</v>
          </cell>
          <cell r="J904" t="str">
            <v>2007WY</v>
          </cell>
          <cell r="K904">
            <v>0.80637968699999996</v>
          </cell>
          <cell r="L904">
            <v>7.2002553999999996E-2</v>
          </cell>
          <cell r="M904">
            <v>0.12161775900000001</v>
          </cell>
          <cell r="U904" t="str">
            <v>2007WY</v>
          </cell>
          <cell r="V904">
            <v>3.2109568999999998E-2</v>
          </cell>
          <cell r="W904">
            <v>5.3596850000000001E-2</v>
          </cell>
          <cell r="X904">
            <v>0.25521061499999997</v>
          </cell>
          <cell r="Y904">
            <v>0.16752597599999999</v>
          </cell>
          <cell r="Z904">
            <v>0.49155699000000003</v>
          </cell>
          <cell r="AB904" t="str">
            <v>2007WY</v>
          </cell>
          <cell r="AC904">
            <v>0</v>
          </cell>
          <cell r="AD904">
            <v>0</v>
          </cell>
          <cell r="AE904">
            <v>0.6</v>
          </cell>
          <cell r="AF904">
            <v>0.4</v>
          </cell>
        </row>
        <row r="905">
          <cell r="B905" t="str">
            <v>2008AL</v>
          </cell>
          <cell r="C905">
            <v>0.17233560131521788</v>
          </cell>
          <cell r="D905">
            <v>9.7606154746872412E-2</v>
          </cell>
          <cell r="E905">
            <v>0.16919346457207346</v>
          </cell>
          <cell r="F905">
            <v>0.1056405325382436</v>
          </cell>
          <cell r="G905">
            <v>0.45062509818962659</v>
          </cell>
          <cell r="H905">
            <v>4.5991486379660445E-3</v>
          </cell>
          <cell r="J905" t="str">
            <v>2008AL</v>
          </cell>
          <cell r="K905">
            <v>0.38018143700000007</v>
          </cell>
          <cell r="L905">
            <v>0.450625098</v>
          </cell>
          <cell r="M905">
            <v>0.16919346499999999</v>
          </cell>
          <cell r="U905" t="str">
            <v>2008AL</v>
          </cell>
          <cell r="V905">
            <v>5.3114938E-2</v>
          </cell>
          <cell r="W905">
            <v>3.6058960000000001E-2</v>
          </cell>
          <cell r="X905">
            <v>8.4414527000000003E-2</v>
          </cell>
          <cell r="Y905">
            <v>0.50961295299999998</v>
          </cell>
          <cell r="Z905">
            <v>0.316798623</v>
          </cell>
          <cell r="AB905" t="str">
            <v>2008AL</v>
          </cell>
          <cell r="AC905">
            <v>0</v>
          </cell>
          <cell r="AD905">
            <v>0</v>
          </cell>
          <cell r="AE905">
            <v>0.41899999999999998</v>
          </cell>
          <cell r="AF905">
            <v>0.58099999999999996</v>
          </cell>
        </row>
        <row r="906">
          <cell r="B906" t="str">
            <v>2008AK</v>
          </cell>
          <cell r="C906">
            <v>0.30334484066413492</v>
          </cell>
          <cell r="D906">
            <v>0.23769937716735701</v>
          </cell>
          <cell r="E906">
            <v>6.205843688929364E-2</v>
          </cell>
          <cell r="F906">
            <v>0.28363994741136878</v>
          </cell>
          <cell r="G906">
            <v>3.6741064625999714E-2</v>
          </cell>
          <cell r="H906">
            <v>7.6516333241846021E-2</v>
          </cell>
          <cell r="J906" t="str">
            <v>2008AK</v>
          </cell>
          <cell r="K906">
            <v>0.90120049800000002</v>
          </cell>
          <cell r="L906">
            <v>3.6741065000000003E-2</v>
          </cell>
          <cell r="M906">
            <v>6.2058437000000001E-2</v>
          </cell>
          <cell r="U906" t="str">
            <v>2008AK</v>
          </cell>
          <cell r="V906">
            <v>0.52632575500000001</v>
          </cell>
          <cell r="W906">
            <v>2.0841667000000001E-2</v>
          </cell>
          <cell r="X906">
            <v>0.130734092</v>
          </cell>
          <cell r="Y906">
            <v>9.9945266000000005E-2</v>
          </cell>
          <cell r="Z906">
            <v>0.22215322100000001</v>
          </cell>
          <cell r="AB906" t="str">
            <v>2008AK</v>
          </cell>
          <cell r="AC906">
            <v>0</v>
          </cell>
          <cell r="AD906">
            <v>0</v>
          </cell>
          <cell r="AE906">
            <v>0.25</v>
          </cell>
          <cell r="AF906">
            <v>0.75</v>
          </cell>
        </row>
        <row r="907">
          <cell r="B907" t="str">
            <v>2008AZ</v>
          </cell>
          <cell r="C907">
            <v>0.611220636654217</v>
          </cell>
          <cell r="D907">
            <v>0.19572797693407004</v>
          </cell>
          <cell r="E907">
            <v>9.865488383487428E-2</v>
          </cell>
          <cell r="F907">
            <v>9.3890669243012675E-2</v>
          </cell>
          <cell r="G907">
            <v>0</v>
          </cell>
          <cell r="H907">
            <v>5.0583333382575558E-4</v>
          </cell>
          <cell r="J907" t="str">
            <v>2008AZ</v>
          </cell>
          <cell r="K907">
            <v>0.901345116</v>
          </cell>
          <cell r="L907">
            <v>0</v>
          </cell>
          <cell r="M907">
            <v>9.8654883999999998E-2</v>
          </cell>
          <cell r="U907" t="str">
            <v>2008AZ</v>
          </cell>
          <cell r="V907">
            <v>0.136592664</v>
          </cell>
          <cell r="W907">
            <v>3.2171241000000003E-2</v>
          </cell>
          <cell r="X907">
            <v>5.4596316999999998E-2</v>
          </cell>
          <cell r="Y907">
            <v>0.50386894699999996</v>
          </cell>
          <cell r="Z907">
            <v>0.27277083200000002</v>
          </cell>
          <cell r="AB907" t="str">
            <v>2008AZ</v>
          </cell>
          <cell r="AC907">
            <v>0</v>
          </cell>
          <cell r="AD907">
            <v>0</v>
          </cell>
          <cell r="AE907">
            <v>0.6</v>
          </cell>
          <cell r="AF907">
            <v>0.4</v>
          </cell>
        </row>
        <row r="908">
          <cell r="B908" t="str">
            <v>2008AR</v>
          </cell>
          <cell r="C908">
            <v>9.6391342329605903E-2</v>
          </cell>
          <cell r="D908">
            <v>6.6955456596874061E-2</v>
          </cell>
          <cell r="E908">
            <v>0.14888335780531528</v>
          </cell>
          <cell r="F908">
            <v>0.11118804006195876</v>
          </cell>
          <cell r="G908">
            <v>0.57111057531117648</v>
          </cell>
          <cell r="H908">
            <v>5.4712278950695761E-3</v>
          </cell>
          <cell r="J908" t="str">
            <v>2008AR</v>
          </cell>
          <cell r="K908">
            <v>0.28000606700000008</v>
          </cell>
          <cell r="L908">
            <v>0.57111057499999995</v>
          </cell>
          <cell r="M908">
            <v>0.14888335799999999</v>
          </cell>
          <cell r="U908" t="str">
            <v>2008AR</v>
          </cell>
          <cell r="V908">
            <v>3.9459004999999998E-2</v>
          </cell>
          <cell r="W908">
            <v>3.7640482000000003E-2</v>
          </cell>
          <cell r="X908">
            <v>0.11914443199999999</v>
          </cell>
          <cell r="Y908">
            <v>0.45827781299999998</v>
          </cell>
          <cell r="Z908">
            <v>0.34547826799999998</v>
          </cell>
          <cell r="AB908" t="str">
            <v>2008AR</v>
          </cell>
          <cell r="AC908">
            <v>0</v>
          </cell>
          <cell r="AD908">
            <v>0</v>
          </cell>
          <cell r="AE908">
            <v>0</v>
          </cell>
          <cell r="AF908">
            <v>1</v>
          </cell>
        </row>
        <row r="909">
          <cell r="B909" t="str">
            <v>2008CA</v>
          </cell>
          <cell r="C909">
            <v>0.58081862489107328</v>
          </cell>
          <cell r="D909">
            <v>0.20720345916912225</v>
          </cell>
          <cell r="E909">
            <v>0.10801924509893834</v>
          </cell>
          <cell r="F909">
            <v>9.2431120719429966E-2</v>
          </cell>
          <cell r="G909">
            <v>9.2523577326630076E-3</v>
          </cell>
          <cell r="H909">
            <v>2.2751923887731596E-3</v>
          </cell>
          <cell r="J909" t="str">
            <v>2008CA</v>
          </cell>
          <cell r="K909">
            <v>0.88272839699999994</v>
          </cell>
          <cell r="L909">
            <v>9.2523580000000005E-3</v>
          </cell>
          <cell r="M909">
            <v>0.108019245</v>
          </cell>
          <cell r="U909" t="str">
            <v>2008CA</v>
          </cell>
          <cell r="V909">
            <v>0.133799526</v>
          </cell>
          <cell r="W909">
            <v>3.2941353E-2</v>
          </cell>
          <cell r="X909">
            <v>7.5800703999999997E-2</v>
          </cell>
          <cell r="Y909">
            <v>0.46867659099999998</v>
          </cell>
          <cell r="Z909">
            <v>0.28878182499999999</v>
          </cell>
          <cell r="AB909" t="str">
            <v>2008CA</v>
          </cell>
          <cell r="AC909">
            <v>0</v>
          </cell>
          <cell r="AD909">
            <v>0</v>
          </cell>
          <cell r="AE909">
            <v>0.12</v>
          </cell>
          <cell r="AF909">
            <v>0.88</v>
          </cell>
        </row>
        <row r="910">
          <cell r="B910" t="str">
            <v>2008CO</v>
          </cell>
          <cell r="C910">
            <v>0.61667904285785091</v>
          </cell>
          <cell r="D910">
            <v>0.24212893570430052</v>
          </cell>
          <cell r="E910">
            <v>1.1092391745361967E-2</v>
          </cell>
          <cell r="F910">
            <v>0.11516410971780773</v>
          </cell>
          <cell r="G910">
            <v>6.5671374014829543E-3</v>
          </cell>
          <cell r="H910">
            <v>8.3683825731959392E-3</v>
          </cell>
          <cell r="J910" t="str">
            <v>2008CO</v>
          </cell>
          <cell r="K910">
            <v>0.98234047099999999</v>
          </cell>
          <cell r="L910">
            <v>6.5671369999999998E-3</v>
          </cell>
          <cell r="M910">
            <v>1.1092392E-2</v>
          </cell>
          <cell r="U910" t="str">
            <v>2008CO</v>
          </cell>
          <cell r="V910">
            <v>2.3378138E-2</v>
          </cell>
          <cell r="W910">
            <v>5.3880426000000002E-2</v>
          </cell>
          <cell r="X910">
            <v>0.25772948099999998</v>
          </cell>
          <cell r="Y910">
            <v>0.169703665</v>
          </cell>
          <cell r="Z910">
            <v>0.49530828999999998</v>
          </cell>
          <cell r="AB910" t="str">
            <v>2008CO</v>
          </cell>
          <cell r="AC910">
            <v>0</v>
          </cell>
          <cell r="AD910">
            <v>0</v>
          </cell>
          <cell r="AE910">
            <v>0.6</v>
          </cell>
          <cell r="AF910">
            <v>0.4</v>
          </cell>
        </row>
        <row r="911">
          <cell r="B911" t="str">
            <v>2008CT</v>
          </cell>
          <cell r="C911">
            <v>0.11572842393252261</v>
          </cell>
          <cell r="D911">
            <v>0.20119880615243968</v>
          </cell>
          <cell r="E911">
            <v>0.43233999756560143</v>
          </cell>
          <cell r="F911">
            <v>0.17234541515575838</v>
          </cell>
          <cell r="G911">
            <v>5.5615402487630847E-2</v>
          </cell>
          <cell r="H911">
            <v>2.2771954706046996E-2</v>
          </cell>
          <cell r="J911" t="str">
            <v>2008CT</v>
          </cell>
          <cell r="K911">
            <v>0.51204460000000007</v>
          </cell>
          <cell r="L911">
            <v>5.5615402000000001E-2</v>
          </cell>
          <cell r="M911">
            <v>0.432339998</v>
          </cell>
          <cell r="U911" t="str">
            <v>2008CT</v>
          </cell>
          <cell r="V911">
            <v>0.57363861400000005</v>
          </cell>
          <cell r="W911">
            <v>1.8759900999999999E-2</v>
          </cell>
          <cell r="X911">
            <v>0.117675743</v>
          </cell>
          <cell r="Y911">
            <v>8.9962252000000006E-2</v>
          </cell>
          <cell r="Z911">
            <v>0.19996348999999999</v>
          </cell>
          <cell r="AB911" t="str">
            <v>2008CT</v>
          </cell>
          <cell r="AC911">
            <v>0</v>
          </cell>
          <cell r="AD911">
            <v>0</v>
          </cell>
          <cell r="AE911">
            <v>0.05</v>
          </cell>
          <cell r="AF911">
            <v>0.95</v>
          </cell>
        </row>
        <row r="912">
          <cell r="B912" t="str">
            <v>2008DE</v>
          </cell>
          <cell r="C912">
            <v>0.10201653895343663</v>
          </cell>
          <cell r="D912">
            <v>0.1910091905838856</v>
          </cell>
          <cell r="E912">
            <v>0.43707162937473454</v>
          </cell>
          <cell r="F912">
            <v>0.18637975788177577</v>
          </cell>
          <cell r="G912">
            <v>5.9883562349419175E-2</v>
          </cell>
          <cell r="H912">
            <v>2.3639320856748244E-2</v>
          </cell>
          <cell r="J912" t="str">
            <v>2008DE</v>
          </cell>
          <cell r="K912">
            <v>0.50304480899999993</v>
          </cell>
          <cell r="L912">
            <v>5.9883562000000001E-2</v>
          </cell>
          <cell r="M912">
            <v>0.43707162900000002</v>
          </cell>
          <cell r="U912" t="str">
            <v>2008DE</v>
          </cell>
          <cell r="V912">
            <v>0.120253529</v>
          </cell>
          <cell r="W912">
            <v>4.1631153999999997E-2</v>
          </cell>
          <cell r="X912">
            <v>0.23964419100000001</v>
          </cell>
          <cell r="Y912">
            <v>0.17588547500000001</v>
          </cell>
          <cell r="Z912">
            <v>0.42258565100000001</v>
          </cell>
          <cell r="AB912" t="str">
            <v>2008DE</v>
          </cell>
          <cell r="AC912">
            <v>0</v>
          </cell>
          <cell r="AD912">
            <v>0</v>
          </cell>
          <cell r="AE912">
            <v>0.05</v>
          </cell>
          <cell r="AF912">
            <v>0.95</v>
          </cell>
        </row>
        <row r="913">
          <cell r="B913" t="str">
            <v>2008FL</v>
          </cell>
          <cell r="C913">
            <v>0.38654865924430459</v>
          </cell>
          <cell r="D913">
            <v>0.14503983167997814</v>
          </cell>
          <cell r="E913">
            <v>0.21616400084919535</v>
          </cell>
          <cell r="F913">
            <v>7.8997496757044303E-2</v>
          </cell>
          <cell r="G913">
            <v>0.17198217725399226</v>
          </cell>
          <cell r="H913">
            <v>1.2678342154852779E-3</v>
          </cell>
          <cell r="J913" t="str">
            <v>2008FL</v>
          </cell>
          <cell r="K913">
            <v>0.61185382200000005</v>
          </cell>
          <cell r="L913">
            <v>0.17198217700000001</v>
          </cell>
          <cell r="M913">
            <v>0.21616400099999999</v>
          </cell>
          <cell r="U913" t="str">
            <v>2008FL</v>
          </cell>
          <cell r="V913">
            <v>0.71166924399999998</v>
          </cell>
          <cell r="W913">
            <v>1.2686553E-2</v>
          </cell>
          <cell r="X913">
            <v>7.9579288999999998E-2</v>
          </cell>
          <cell r="Y913">
            <v>6.0837789000000003E-2</v>
          </cell>
          <cell r="Z913">
            <v>0.135227124</v>
          </cell>
          <cell r="AB913" t="str">
            <v>2008FL</v>
          </cell>
          <cell r="AC913">
            <v>0</v>
          </cell>
          <cell r="AD913">
            <v>0</v>
          </cell>
          <cell r="AE913">
            <v>0.41899999999999998</v>
          </cell>
          <cell r="AF913">
            <v>0.58099999999999996</v>
          </cell>
        </row>
        <row r="914">
          <cell r="B914" t="str">
            <v>2008GA</v>
          </cell>
          <cell r="C914">
            <v>0.20823216155586291</v>
          </cell>
          <cell r="D914">
            <v>0.11033206176717186</v>
          </cell>
          <cell r="E914">
            <v>0.17733204084631207</v>
          </cell>
          <cell r="F914">
            <v>9.7862793659120595E-2</v>
          </cell>
          <cell r="G914">
            <v>0.40234468997942996</v>
          </cell>
          <cell r="H914">
            <v>3.8962521921025758E-3</v>
          </cell>
          <cell r="J914" t="str">
            <v>2008GA</v>
          </cell>
          <cell r="K914">
            <v>0.42032326900000005</v>
          </cell>
          <cell r="L914">
            <v>0.40234469</v>
          </cell>
          <cell r="M914">
            <v>0.177332041</v>
          </cell>
          <cell r="U914" t="str">
            <v>2008GA</v>
          </cell>
          <cell r="V914">
            <v>7.8133266000000007E-2</v>
          </cell>
          <cell r="W914">
            <v>3.5587817000000001E-2</v>
          </cell>
          <cell r="X914">
            <v>9.7388838000000005E-2</v>
          </cell>
          <cell r="Y914">
            <v>0.46952270200000001</v>
          </cell>
          <cell r="Z914">
            <v>0.31936737799999998</v>
          </cell>
          <cell r="AB914" t="str">
            <v>2008GA</v>
          </cell>
          <cell r="AC914">
            <v>0</v>
          </cell>
          <cell r="AD914">
            <v>0</v>
          </cell>
          <cell r="AE914">
            <v>0.41899999999999998</v>
          </cell>
          <cell r="AF914">
            <v>0.58099999999999996</v>
          </cell>
        </row>
        <row r="915">
          <cell r="B915" t="str">
            <v>2008HI</v>
          </cell>
          <cell r="C915">
            <v>0.67137224197860923</v>
          </cell>
          <cell r="D915">
            <v>0.21100034068527662</v>
          </cell>
          <cell r="E915">
            <v>0</v>
          </cell>
          <cell r="F915">
            <v>0.10820426646618357</v>
          </cell>
          <cell r="G915">
            <v>7.5112148308577572E-3</v>
          </cell>
          <cell r="H915">
            <v>1.9119360390725836E-3</v>
          </cell>
          <cell r="J915" t="str">
            <v>2008HI</v>
          </cell>
          <cell r="K915">
            <v>0.99248878500000004</v>
          </cell>
          <cell r="L915">
            <v>7.5112149999999999E-3</v>
          </cell>
          <cell r="M915">
            <v>0</v>
          </cell>
          <cell r="U915" t="str">
            <v>2008HI</v>
          </cell>
          <cell r="V915">
            <v>0.23216878499999999</v>
          </cell>
          <cell r="W915">
            <v>3.2904865999999998E-2</v>
          </cell>
          <cell r="X915">
            <v>0.18414778700000001</v>
          </cell>
          <cell r="Y915">
            <v>0.21064765399999999</v>
          </cell>
          <cell r="Z915">
            <v>0.34013090899999998</v>
          </cell>
          <cell r="AB915" t="str">
            <v>2008HI</v>
          </cell>
          <cell r="AC915">
            <v>0</v>
          </cell>
          <cell r="AD915">
            <v>0</v>
          </cell>
          <cell r="AE915">
            <v>0.25</v>
          </cell>
          <cell r="AF915">
            <v>0.75</v>
          </cell>
        </row>
        <row r="916">
          <cell r="B916" t="str">
            <v>2008ID</v>
          </cell>
          <cell r="C916">
            <v>0.62850843440764703</v>
          </cell>
          <cell r="D916">
            <v>0.2329683972033782</v>
          </cell>
          <cell r="E916">
            <v>6.4436683947772669E-3</v>
          </cell>
          <cell r="F916">
            <v>0.11961222721284216</v>
          </cell>
          <cell r="G916">
            <v>3.8149081541218642E-3</v>
          </cell>
          <cell r="H916">
            <v>8.6523646272333287E-3</v>
          </cell>
          <cell r="J916" t="str">
            <v>2008ID</v>
          </cell>
          <cell r="K916">
            <v>0.98974142399999998</v>
          </cell>
          <cell r="L916">
            <v>3.8149080000000001E-3</v>
          </cell>
          <cell r="M916">
            <v>6.4436679999999996E-3</v>
          </cell>
          <cell r="U916" t="str">
            <v>2008ID</v>
          </cell>
          <cell r="V916">
            <v>0.460837895</v>
          </cell>
          <cell r="W916">
            <v>2.6974237000000002E-2</v>
          </cell>
          <cell r="X916">
            <v>0.14528671200000001</v>
          </cell>
          <cell r="Y916">
            <v>0.102926191</v>
          </cell>
          <cell r="Z916">
            <v>0.26397496599999998</v>
          </cell>
          <cell r="AB916" t="str">
            <v>2008ID</v>
          </cell>
          <cell r="AC916">
            <v>0</v>
          </cell>
          <cell r="AD916">
            <v>0</v>
          </cell>
          <cell r="AE916">
            <v>0.6</v>
          </cell>
          <cell r="AF916">
            <v>0.4</v>
          </cell>
        </row>
        <row r="917">
          <cell r="B917" t="str">
            <v>2008IL</v>
          </cell>
          <cell r="C917">
            <v>0.13175283144497188</v>
          </cell>
          <cell r="D917">
            <v>0.26046159534668961</v>
          </cell>
          <cell r="E917">
            <v>8.1383349234931596E-2</v>
          </cell>
          <cell r="F917">
            <v>0.43207247933210829</v>
          </cell>
          <cell r="G917">
            <v>4.8182181885357514E-2</v>
          </cell>
          <cell r="H917">
            <v>4.6147562755941125E-2</v>
          </cell>
          <cell r="J917" t="str">
            <v>2008IL</v>
          </cell>
          <cell r="K917">
            <v>0.87043446899999999</v>
          </cell>
          <cell r="L917">
            <v>4.8182181999999997E-2</v>
          </cell>
          <cell r="M917">
            <v>8.1383348999999994E-2</v>
          </cell>
          <cell r="U917" t="str">
            <v>2008IL</v>
          </cell>
          <cell r="V917">
            <v>2.0186552999999999E-2</v>
          </cell>
          <cell r="W917">
            <v>4.5739502000000001E-2</v>
          </cell>
          <cell r="X917">
            <v>0.28028242399999997</v>
          </cell>
          <cell r="Y917">
            <v>0.149587944</v>
          </cell>
          <cell r="Z917">
            <v>0.50420357699999996</v>
          </cell>
          <cell r="AB917" t="str">
            <v>2008IL</v>
          </cell>
          <cell r="AC917">
            <v>0</v>
          </cell>
          <cell r="AD917">
            <v>0</v>
          </cell>
          <cell r="AE917">
            <v>0.02</v>
          </cell>
          <cell r="AF917">
            <v>0.98</v>
          </cell>
        </row>
        <row r="918">
          <cell r="B918" t="str">
            <v>2008IN</v>
          </cell>
          <cell r="C918">
            <v>0.16189917384296076</v>
          </cell>
          <cell r="D918">
            <v>0.24163212738244233</v>
          </cell>
          <cell r="E918">
            <v>0.13392208737361183</v>
          </cell>
          <cell r="F918">
            <v>0.3491044693998876</v>
          </cell>
          <cell r="G918">
            <v>7.9287205957511472E-2</v>
          </cell>
          <cell r="H918">
            <v>3.4154936043586021E-2</v>
          </cell>
          <cell r="J918" t="str">
            <v>2008IN</v>
          </cell>
          <cell r="K918">
            <v>0.78679070699999998</v>
          </cell>
          <cell r="L918">
            <v>7.9287205999999999E-2</v>
          </cell>
          <cell r="M918">
            <v>0.133922087</v>
          </cell>
          <cell r="U918" t="str">
            <v>2008IN</v>
          </cell>
          <cell r="V918">
            <v>2.5489210000000002E-2</v>
          </cell>
          <cell r="W918">
            <v>4.5536079E-2</v>
          </cell>
          <cell r="X918">
            <v>0.27893099599999999</v>
          </cell>
          <cell r="Y918">
            <v>0.14781887399999999</v>
          </cell>
          <cell r="Z918">
            <v>0.50222484099999998</v>
          </cell>
          <cell r="AB918" t="str">
            <v>2008IN</v>
          </cell>
          <cell r="AC918">
            <v>0</v>
          </cell>
          <cell r="AD918">
            <v>0</v>
          </cell>
          <cell r="AE918">
            <v>0</v>
          </cell>
          <cell r="AF918">
            <v>1</v>
          </cell>
        </row>
        <row r="919">
          <cell r="B919" t="str">
            <v>2008IA</v>
          </cell>
          <cell r="C919">
            <v>0.13792614664225575</v>
          </cell>
          <cell r="D919">
            <v>0.25047757969635848</v>
          </cell>
          <cell r="E919">
            <v>0.10477197231415941</v>
          </cell>
          <cell r="F919">
            <v>0.40507493125352922</v>
          </cell>
          <cell r="G919">
            <v>6.2029177638731184E-2</v>
          </cell>
          <cell r="H919">
            <v>3.9720192454965969E-2</v>
          </cell>
          <cell r="J919" t="str">
            <v>2008IA</v>
          </cell>
          <cell r="K919">
            <v>0.83319885000000005</v>
          </cell>
          <cell r="L919">
            <v>6.2029177999999997E-2</v>
          </cell>
          <cell r="M919">
            <v>0.104771972</v>
          </cell>
          <cell r="U919" t="str">
            <v>2008IA</v>
          </cell>
          <cell r="V919">
            <v>9.6502570000000006E-3</v>
          </cell>
          <cell r="W919">
            <v>3.8739974000000003E-2</v>
          </cell>
          <cell r="X919">
            <v>0.12067557499999999</v>
          </cell>
          <cell r="Y919">
            <v>0.47629315999999999</v>
          </cell>
          <cell r="Z919">
            <v>0.35464103499999999</v>
          </cell>
          <cell r="AB919" t="str">
            <v>2008IA</v>
          </cell>
          <cell r="AC919">
            <v>0</v>
          </cell>
          <cell r="AD919">
            <v>0</v>
          </cell>
          <cell r="AE919">
            <v>0</v>
          </cell>
          <cell r="AF919">
            <v>1</v>
          </cell>
        </row>
        <row r="920">
          <cell r="B920" t="str">
            <v>2008KS</v>
          </cell>
          <cell r="C920">
            <v>0.28758404285910905</v>
          </cell>
          <cell r="D920">
            <v>0.32607606753917184</v>
          </cell>
          <cell r="E920">
            <v>5.1050547933917619E-2</v>
          </cell>
          <cell r="F920">
            <v>0.27762124338847843</v>
          </cell>
          <cell r="G920">
            <v>3.0223956239483565E-2</v>
          </cell>
          <cell r="H920">
            <v>2.7444142039839463E-2</v>
          </cell>
          <cell r="J920" t="str">
            <v>2008KS</v>
          </cell>
          <cell r="K920">
            <v>0.91872549599999997</v>
          </cell>
          <cell r="L920">
            <v>3.0223956E-2</v>
          </cell>
          <cell r="M920">
            <v>5.1050548000000001E-2</v>
          </cell>
          <cell r="U920" t="str">
            <v>2008KS</v>
          </cell>
          <cell r="V920">
            <v>2.3647662E-2</v>
          </cell>
          <cell r="W920">
            <v>4.6272377000000003E-2</v>
          </cell>
          <cell r="X920">
            <v>0.28189652199999998</v>
          </cell>
          <cell r="Y920">
            <v>0.13395533500000001</v>
          </cell>
          <cell r="Z920">
            <v>0.51422810299999999</v>
          </cell>
          <cell r="AB920" t="str">
            <v>2008KS</v>
          </cell>
          <cell r="AC920">
            <v>0</v>
          </cell>
          <cell r="AD920">
            <v>0</v>
          </cell>
          <cell r="AE920">
            <v>0.02</v>
          </cell>
          <cell r="AF920">
            <v>0.98</v>
          </cell>
        </row>
        <row r="921">
          <cell r="B921" t="str">
            <v>2008KY</v>
          </cell>
          <cell r="C921">
            <v>2.3305602928070858E-2</v>
          </cell>
          <cell r="D921">
            <v>6.2885861766289422E-2</v>
          </cell>
          <cell r="E921">
            <v>0.14165738300711325</v>
          </cell>
          <cell r="F921">
            <v>0.14315421990856123</v>
          </cell>
          <cell r="G921">
            <v>0.61397716539009373</v>
          </cell>
          <cell r="H921">
            <v>1.5019766999871505E-2</v>
          </cell>
          <cell r="J921" t="str">
            <v>2008KY</v>
          </cell>
          <cell r="K921">
            <v>0.24436545200000004</v>
          </cell>
          <cell r="L921">
            <v>0.61397716499999999</v>
          </cell>
          <cell r="M921">
            <v>0.141657383</v>
          </cell>
          <cell r="U921" t="str">
            <v>2008KY</v>
          </cell>
          <cell r="V921">
            <v>4.9184704000000003E-2</v>
          </cell>
          <cell r="W921">
            <v>3.7321891000000003E-2</v>
          </cell>
          <cell r="X921">
            <v>0.11991215400000001</v>
          </cell>
          <cell r="Y921">
            <v>0.45018075899999999</v>
          </cell>
          <cell r="Z921">
            <v>0.34340049099999997</v>
          </cell>
          <cell r="AB921" t="str">
            <v>2008KY</v>
          </cell>
          <cell r="AC921">
            <v>0</v>
          </cell>
          <cell r="AD921">
            <v>0</v>
          </cell>
          <cell r="AE921">
            <v>0.05</v>
          </cell>
          <cell r="AF921">
            <v>0.95</v>
          </cell>
        </row>
        <row r="922">
          <cell r="B922" t="str">
            <v>2008LA</v>
          </cell>
          <cell r="C922">
            <v>8.7696493950327165E-2</v>
          </cell>
          <cell r="D922">
            <v>6.4637521135916851E-2</v>
          </cell>
          <cell r="E922">
            <v>0.14461730665558523</v>
          </cell>
          <cell r="F922">
            <v>0.10160244529023774</v>
          </cell>
          <cell r="G922">
            <v>0.59641803499629376</v>
          </cell>
          <cell r="H922">
            <v>5.0281979716392446E-3</v>
          </cell>
          <cell r="J922" t="str">
            <v>2008LA</v>
          </cell>
          <cell r="K922">
            <v>0.25896465800000001</v>
          </cell>
          <cell r="L922">
            <v>0.59641803500000001</v>
          </cell>
          <cell r="M922">
            <v>0.144617307</v>
          </cell>
          <cell r="U922" t="str">
            <v>2008LA</v>
          </cell>
          <cell r="V922">
            <v>0.53551704700000002</v>
          </cell>
          <cell r="W922">
            <v>2.0437250000000001E-2</v>
          </cell>
          <cell r="X922">
            <v>0.12819729499999999</v>
          </cell>
          <cell r="Y922">
            <v>9.8005903000000005E-2</v>
          </cell>
          <cell r="Z922">
            <v>0.21784250499999999</v>
          </cell>
          <cell r="AB922" t="str">
            <v>2008LA</v>
          </cell>
          <cell r="AC922">
            <v>0</v>
          </cell>
          <cell r="AD922">
            <v>0</v>
          </cell>
          <cell r="AE922">
            <v>0.6</v>
          </cell>
          <cell r="AF922">
            <v>0.4</v>
          </cell>
        </row>
        <row r="923">
          <cell r="B923" t="str">
            <v>2008ME</v>
          </cell>
          <cell r="C923">
            <v>9.3713015315557757E-2</v>
          </cell>
          <cell r="D923">
            <v>0.17210096338216258</v>
          </cell>
          <cell r="E923">
            <v>0.44837154081607639</v>
          </cell>
          <cell r="F923">
            <v>0.19633313267932656</v>
          </cell>
          <cell r="G923">
            <v>7.0076626899074845E-2</v>
          </cell>
          <cell r="H923">
            <v>1.9404720907801824E-2</v>
          </cell>
          <cell r="J923" t="str">
            <v>2008ME</v>
          </cell>
          <cell r="K923">
            <v>0.48155183200000007</v>
          </cell>
          <cell r="L923">
            <v>7.0076627000000002E-2</v>
          </cell>
          <cell r="M923">
            <v>0.44837154099999998</v>
          </cell>
          <cell r="U923" t="str">
            <v>2008ME</v>
          </cell>
          <cell r="V923">
            <v>0.72920202000000001</v>
          </cell>
          <cell r="W923">
            <v>1.1915111000000001E-2</v>
          </cell>
          <cell r="X923">
            <v>7.4740241999999998E-2</v>
          </cell>
          <cell r="Y923">
            <v>5.7138373999999999E-2</v>
          </cell>
          <cell r="Z923">
            <v>0.12700425300000001</v>
          </cell>
          <cell r="AB923" t="str">
            <v>2008ME</v>
          </cell>
          <cell r="AC923">
            <v>0</v>
          </cell>
          <cell r="AD923">
            <v>0</v>
          </cell>
          <cell r="AE923">
            <v>0.05</v>
          </cell>
          <cell r="AF923">
            <v>0.95</v>
          </cell>
        </row>
        <row r="924">
          <cell r="B924" t="str">
            <v>2008MD</v>
          </cell>
          <cell r="C924">
            <v>7.6488535055593554E-2</v>
          </cell>
          <cell r="D924">
            <v>0.15472472257238745</v>
          </cell>
          <cell r="E924">
            <v>0.44380834258126728</v>
          </cell>
          <cell r="F924">
            <v>0.22861605738914034</v>
          </cell>
          <cell r="G924">
            <v>6.5960402236453913E-2</v>
          </cell>
          <cell r="H924">
            <v>3.0401940165157418E-2</v>
          </cell>
          <cell r="J924" t="str">
            <v>2008MD</v>
          </cell>
          <cell r="K924">
            <v>0.49023125499999998</v>
          </cell>
          <cell r="L924">
            <v>6.5960402000000001E-2</v>
          </cell>
          <cell r="M924">
            <v>0.44380834299999999</v>
          </cell>
          <cell r="U924" t="str">
            <v>2008MD</v>
          </cell>
          <cell r="V924">
            <v>0.21140679400000001</v>
          </cell>
          <cell r="W924">
            <v>3.7602905999999998E-2</v>
          </cell>
          <cell r="X924">
            <v>0.214504853</v>
          </cell>
          <cell r="Y924">
            <v>0.15671048400000001</v>
          </cell>
          <cell r="Z924">
            <v>0.37977496300000002</v>
          </cell>
          <cell r="AB924" t="str">
            <v>2008MD</v>
          </cell>
          <cell r="AC924">
            <v>0</v>
          </cell>
          <cell r="AD924">
            <v>0</v>
          </cell>
          <cell r="AE924">
            <v>0.05</v>
          </cell>
          <cell r="AF924">
            <v>0.95</v>
          </cell>
        </row>
        <row r="925">
          <cell r="B925" t="str">
            <v>2008MA</v>
          </cell>
          <cell r="C925">
            <v>6.1305440163427552E-2</v>
          </cell>
          <cell r="D925">
            <v>0.14874705508142777</v>
          </cell>
          <cell r="E925">
            <v>0.45216403673004657</v>
          </cell>
          <cell r="F925">
            <v>0.23617268276189021</v>
          </cell>
          <cell r="G925">
            <v>7.3497640935872632E-2</v>
          </cell>
          <cell r="H925">
            <v>2.8113144327335336E-2</v>
          </cell>
          <cell r="J925" t="str">
            <v>2008MA</v>
          </cell>
          <cell r="K925">
            <v>0.47433832199999992</v>
          </cell>
          <cell r="L925">
            <v>7.3497641000000002E-2</v>
          </cell>
          <cell r="M925">
            <v>0.45216403700000002</v>
          </cell>
          <cell r="U925" t="str">
            <v>2008MA</v>
          </cell>
          <cell r="V925">
            <v>0.31419575799999999</v>
          </cell>
          <cell r="W925">
            <v>3.0175387000000001E-2</v>
          </cell>
          <cell r="X925">
            <v>0.18928197099999999</v>
          </cell>
          <cell r="Y925">
            <v>0.14470469499999999</v>
          </cell>
          <cell r="Z925">
            <v>0.32164218900000002</v>
          </cell>
          <cell r="AB925" t="str">
            <v>2008MA</v>
          </cell>
          <cell r="AC925">
            <v>0</v>
          </cell>
          <cell r="AD925">
            <v>0</v>
          </cell>
          <cell r="AE925">
            <v>0.05</v>
          </cell>
          <cell r="AF925">
            <v>0.95</v>
          </cell>
        </row>
        <row r="926">
          <cell r="B926" t="str">
            <v>2008MI</v>
          </cell>
          <cell r="C926">
            <v>0.21592740095911189</v>
          </cell>
          <cell r="D926">
            <v>0.33044604004991018</v>
          </cell>
          <cell r="E926">
            <v>5.8998863632555826E-2</v>
          </cell>
          <cell r="F926">
            <v>0.32074430847532459</v>
          </cell>
          <cell r="G926">
            <v>3.4929675483950956E-2</v>
          </cell>
          <cell r="H926">
            <v>3.8953711399146676E-2</v>
          </cell>
          <cell r="J926" t="str">
            <v>2008MI</v>
          </cell>
          <cell r="K926">
            <v>0.90607146100000002</v>
          </cell>
          <cell r="L926">
            <v>3.4929675E-2</v>
          </cell>
          <cell r="M926">
            <v>5.8998863999999998E-2</v>
          </cell>
          <cell r="U926" t="str">
            <v>2008MI</v>
          </cell>
          <cell r="V926">
            <v>4.5127237000000001E-2</v>
          </cell>
          <cell r="W926">
            <v>5.0500046999999999E-2</v>
          </cell>
          <cell r="X926">
            <v>0.254352099</v>
          </cell>
          <cell r="Y926">
            <v>0.17319266699999999</v>
          </cell>
          <cell r="Z926">
            <v>0.47682794899999997</v>
          </cell>
          <cell r="AB926" t="str">
            <v>2008MI</v>
          </cell>
          <cell r="AC926">
            <v>0</v>
          </cell>
          <cell r="AD926">
            <v>0</v>
          </cell>
          <cell r="AE926">
            <v>0.02</v>
          </cell>
          <cell r="AF926">
            <v>0.98</v>
          </cell>
        </row>
        <row r="927">
          <cell r="B927" t="str">
            <v>2008MN</v>
          </cell>
          <cell r="C927">
            <v>0.11559741536790068</v>
          </cell>
          <cell r="D927">
            <v>0.23915415867765383</v>
          </cell>
          <cell r="E927">
            <v>0.10052931481156221</v>
          </cell>
          <cell r="F927">
            <v>0.43822851849088174</v>
          </cell>
          <cell r="G927">
            <v>5.9517355535203494E-2</v>
          </cell>
          <cell r="H927">
            <v>4.697323711679801E-2</v>
          </cell>
          <cell r="J927" t="str">
            <v>2008MN</v>
          </cell>
          <cell r="K927">
            <v>0.83995332899999997</v>
          </cell>
          <cell r="L927">
            <v>5.9517356E-2</v>
          </cell>
          <cell r="M927">
            <v>0.10052931499999999</v>
          </cell>
          <cell r="U927" t="str">
            <v>2008MN</v>
          </cell>
          <cell r="V927">
            <v>1.5145339000000001E-2</v>
          </cell>
          <cell r="W927">
            <v>5.1986831999999997E-2</v>
          </cell>
          <cell r="X927">
            <v>0.262445557</v>
          </cell>
          <cell r="Y927">
            <v>0.17896024199999999</v>
          </cell>
          <cell r="Z927">
            <v>0.49146202900000002</v>
          </cell>
          <cell r="AB927" t="str">
            <v>2008MN</v>
          </cell>
          <cell r="AC927">
            <v>0</v>
          </cell>
          <cell r="AD927">
            <v>0</v>
          </cell>
          <cell r="AE927">
            <v>0</v>
          </cell>
          <cell r="AF927">
            <v>1</v>
          </cell>
        </row>
        <row r="928">
          <cell r="B928" t="str">
            <v>2008MS</v>
          </cell>
          <cell r="C928">
            <v>0.10416334210611014</v>
          </cell>
          <cell r="D928">
            <v>7.2829933678422776E-2</v>
          </cell>
          <cell r="E928">
            <v>0.14929269604113307</v>
          </cell>
          <cell r="F928">
            <v>0.10019278631941281</v>
          </cell>
          <cell r="G928">
            <v>0.56868226150598644</v>
          </cell>
          <cell r="H928">
            <v>4.838980348934833E-3</v>
          </cell>
          <cell r="J928" t="str">
            <v>2008MS</v>
          </cell>
          <cell r="K928">
            <v>0.28202504199999989</v>
          </cell>
          <cell r="L928">
            <v>0.56868226200000005</v>
          </cell>
          <cell r="M928">
            <v>0.149292696</v>
          </cell>
          <cell r="U928" t="str">
            <v>2008MS</v>
          </cell>
          <cell r="V928">
            <v>2.1100625000000001E-2</v>
          </cell>
          <cell r="W928">
            <v>3.6418512E-2</v>
          </cell>
          <cell r="X928">
            <v>6.0129593000000002E-2</v>
          </cell>
          <cell r="Y928">
            <v>0.574366987</v>
          </cell>
          <cell r="Z928">
            <v>0.30798428300000003</v>
          </cell>
          <cell r="AB928" t="str">
            <v>2008MS</v>
          </cell>
          <cell r="AC928">
            <v>0</v>
          </cell>
          <cell r="AD928">
            <v>0</v>
          </cell>
          <cell r="AE928">
            <v>0.6</v>
          </cell>
          <cell r="AF928">
            <v>0.4</v>
          </cell>
        </row>
        <row r="929">
          <cell r="B929" t="str">
            <v>2008MO</v>
          </cell>
          <cell r="C929">
            <v>6.4925479522277466E-2</v>
          </cell>
          <cell r="D929">
            <v>0.18170303563698134</v>
          </cell>
          <cell r="E929">
            <v>0.14337282997597614</v>
          </cell>
          <cell r="F929">
            <v>0.47880340852502545</v>
          </cell>
          <cell r="G929">
            <v>8.4882421727070459E-2</v>
          </cell>
          <cell r="H929">
            <v>4.6312824612669105E-2</v>
          </cell>
          <cell r="J929" t="str">
            <v>2008MO</v>
          </cell>
          <cell r="K929">
            <v>0.77174474799999992</v>
          </cell>
          <cell r="L929">
            <v>8.4882421999999999E-2</v>
          </cell>
          <cell r="M929">
            <v>0.14337283000000001</v>
          </cell>
          <cell r="U929" t="str">
            <v>2008MO</v>
          </cell>
          <cell r="V929">
            <v>2.998994E-2</v>
          </cell>
          <cell r="W929">
            <v>4.5757142000000001E-2</v>
          </cell>
          <cell r="X929">
            <v>0.27926039899999999</v>
          </cell>
          <cell r="Y929">
            <v>0.13775391300000001</v>
          </cell>
          <cell r="Z929">
            <v>0.50723860600000004</v>
          </cell>
          <cell r="AB929" t="str">
            <v>2008MO</v>
          </cell>
          <cell r="AC929">
            <v>0</v>
          </cell>
          <cell r="AD929">
            <v>0</v>
          </cell>
          <cell r="AE929">
            <v>0</v>
          </cell>
          <cell r="AF929">
            <v>1</v>
          </cell>
        </row>
        <row r="930">
          <cell r="B930" t="str">
            <v>2008MT</v>
          </cell>
          <cell r="C930">
            <v>0.35597781750083307</v>
          </cell>
          <cell r="D930">
            <v>0.25924389885240834</v>
          </cell>
          <cell r="E930">
            <v>4.3797789125912777E-2</v>
          </cell>
          <cell r="F930">
            <v>0.25058080537727367</v>
          </cell>
          <cell r="G930">
            <v>2.5930034358127463E-2</v>
          </cell>
          <cell r="H930">
            <v>6.4469654785444572E-2</v>
          </cell>
          <cell r="J930" t="str">
            <v>2008MT</v>
          </cell>
          <cell r="K930">
            <v>0.93027217699999998</v>
          </cell>
          <cell r="L930">
            <v>2.5930034000000001E-2</v>
          </cell>
          <cell r="M930">
            <v>4.3797788999999997E-2</v>
          </cell>
          <cell r="U930" t="str">
            <v>2008MT</v>
          </cell>
          <cell r="V930">
            <v>6.0520032000000001E-2</v>
          </cell>
          <cell r="W930">
            <v>5.1214043000000001E-2</v>
          </cell>
          <cell r="X930">
            <v>0.24859647000000001</v>
          </cell>
          <cell r="Y930">
            <v>0.16530719099999999</v>
          </cell>
          <cell r="Z930">
            <v>0.47436226399999998</v>
          </cell>
          <cell r="AB930" t="str">
            <v>2008MT</v>
          </cell>
          <cell r="AC930">
            <v>0</v>
          </cell>
          <cell r="AD930">
            <v>0</v>
          </cell>
          <cell r="AE930">
            <v>0.6</v>
          </cell>
          <cell r="AF930">
            <v>0.4</v>
          </cell>
        </row>
        <row r="931">
          <cell r="B931" t="str">
            <v>2008NE</v>
          </cell>
          <cell r="C931">
            <v>0.21260954807532403</v>
          </cell>
          <cell r="D931">
            <v>0.30324255962083846</v>
          </cell>
          <cell r="E931">
            <v>6.1277054134417128E-2</v>
          </cell>
          <cell r="F931">
            <v>0.34696077142199511</v>
          </cell>
          <cell r="G931">
            <v>3.6278454935301678E-2</v>
          </cell>
          <cell r="H931">
            <v>3.9631611812123581E-2</v>
          </cell>
          <cell r="J931" t="str">
            <v>2008NE</v>
          </cell>
          <cell r="K931">
            <v>0.90244449100000002</v>
          </cell>
          <cell r="L931">
            <v>3.6278455000000001E-2</v>
          </cell>
          <cell r="M931">
            <v>6.1277053999999997E-2</v>
          </cell>
          <cell r="U931" t="str">
            <v>2008NE</v>
          </cell>
          <cell r="V931">
            <v>3.0063880000000001E-2</v>
          </cell>
          <cell r="W931">
            <v>4.5295173000000001E-2</v>
          </cell>
          <cell r="X931">
            <v>0.27751980599999998</v>
          </cell>
          <cell r="Y931">
            <v>0.147715386</v>
          </cell>
          <cell r="Z931">
            <v>0.49940575500000001</v>
          </cell>
          <cell r="AB931" t="str">
            <v>2008NE</v>
          </cell>
          <cell r="AC931">
            <v>0</v>
          </cell>
          <cell r="AD931">
            <v>0</v>
          </cell>
          <cell r="AE931">
            <v>0.02</v>
          </cell>
          <cell r="AF931">
            <v>0.98</v>
          </cell>
        </row>
        <row r="932">
          <cell r="B932" t="str">
            <v>2008NV</v>
          </cell>
          <cell r="C932">
            <v>0.64210148526116029</v>
          </cell>
          <cell r="D932">
            <v>0.238399883587257</v>
          </cell>
          <cell r="E932">
            <v>4.1594375177217181E-3</v>
          </cell>
          <cell r="F932">
            <v>0.10819864870890922</v>
          </cell>
          <cell r="G932">
            <v>2.4625525602432058E-3</v>
          </cell>
          <cell r="H932">
            <v>4.677992364708553E-3</v>
          </cell>
          <cell r="J932" t="str">
            <v>2008NV</v>
          </cell>
          <cell r="K932">
            <v>0.99337800899999995</v>
          </cell>
          <cell r="L932">
            <v>2.4625530000000001E-3</v>
          </cell>
          <cell r="M932">
            <v>4.1594379999999997E-3</v>
          </cell>
          <cell r="U932" t="str">
            <v>2008NV</v>
          </cell>
          <cell r="V932">
            <v>0.35004114600000003</v>
          </cell>
          <cell r="W932">
            <v>2.4048478000000002E-2</v>
          </cell>
          <cell r="X932">
            <v>3.5747737000000002E-2</v>
          </cell>
          <cell r="Y932">
            <v>0.38867539400000001</v>
          </cell>
          <cell r="Z932">
            <v>0.20148724500000001</v>
          </cell>
          <cell r="AB932" t="str">
            <v>2008NV</v>
          </cell>
          <cell r="AC932">
            <v>0</v>
          </cell>
          <cell r="AD932">
            <v>0</v>
          </cell>
          <cell r="AE932">
            <v>0</v>
          </cell>
          <cell r="AF932">
            <v>1</v>
          </cell>
        </row>
        <row r="933">
          <cell r="B933" t="str">
            <v>2008NH</v>
          </cell>
          <cell r="C933">
            <v>9.4573445198850817E-2</v>
          </cell>
          <cell r="D933">
            <v>0.16340842518862655</v>
          </cell>
          <cell r="E933">
            <v>0.44298025846087286</v>
          </cell>
          <cell r="F933">
            <v>0.20852129702854144</v>
          </cell>
          <cell r="G933">
            <v>6.52134304627775E-2</v>
          </cell>
          <cell r="H933">
            <v>2.5303143660330828E-2</v>
          </cell>
          <cell r="J933" t="str">
            <v>2008NH</v>
          </cell>
          <cell r="K933">
            <v>0.49180631200000002</v>
          </cell>
          <cell r="L933">
            <v>6.5213430000000003E-2</v>
          </cell>
          <cell r="M933">
            <v>0.44298025800000002</v>
          </cell>
          <cell r="U933" t="str">
            <v>2008NH</v>
          </cell>
          <cell r="V933">
            <v>0.56759962799999997</v>
          </cell>
          <cell r="W933">
            <v>1.9025615999999999E-2</v>
          </cell>
          <cell r="X933">
            <v>0.119342503</v>
          </cell>
          <cell r="Y933">
            <v>9.1236478999999995E-2</v>
          </cell>
          <cell r="Z933">
            <v>0.20279577500000001</v>
          </cell>
          <cell r="AB933" t="str">
            <v>2008NH</v>
          </cell>
          <cell r="AC933">
            <v>0</v>
          </cell>
          <cell r="AD933">
            <v>0</v>
          </cell>
          <cell r="AE933">
            <v>0.05</v>
          </cell>
          <cell r="AF933">
            <v>0.95</v>
          </cell>
        </row>
        <row r="934">
          <cell r="B934" t="str">
            <v>2008NJ</v>
          </cell>
          <cell r="C934">
            <v>5.8003576611346738E-2</v>
          </cell>
          <cell r="D934">
            <v>0.13897871355240557</v>
          </cell>
          <cell r="E934">
            <v>0.45397029129837874</v>
          </cell>
          <cell r="F934">
            <v>0.24471653627570109</v>
          </cell>
          <cell r="G934">
            <v>7.5126969581826603E-2</v>
          </cell>
          <cell r="H934">
            <v>2.9203912680341212E-2</v>
          </cell>
          <cell r="J934" t="str">
            <v>2008NJ</v>
          </cell>
          <cell r="K934">
            <v>0.47090273900000001</v>
          </cell>
          <cell r="L934">
            <v>7.5126970000000001E-2</v>
          </cell>
          <cell r="M934">
            <v>0.45397029100000003</v>
          </cell>
          <cell r="U934" t="str">
            <v>2008NJ</v>
          </cell>
          <cell r="V934">
            <v>0.30808167400000003</v>
          </cell>
          <cell r="W934">
            <v>3.3011736E-2</v>
          </cell>
          <cell r="X934">
            <v>0.18818818500000001</v>
          </cell>
          <cell r="Y934">
            <v>0.137437002</v>
          </cell>
          <cell r="Z934">
            <v>0.333281404</v>
          </cell>
          <cell r="AB934" t="str">
            <v>2008NJ</v>
          </cell>
          <cell r="AC934">
            <v>0</v>
          </cell>
          <cell r="AD934">
            <v>0</v>
          </cell>
          <cell r="AE934">
            <v>0.05</v>
          </cell>
          <cell r="AF934">
            <v>0.95</v>
          </cell>
        </row>
        <row r="935">
          <cell r="B935" t="str">
            <v>2008NM</v>
          </cell>
          <cell r="C935">
            <v>0.61184589317007076</v>
          </cell>
          <cell r="D935">
            <v>0.19452029294367307</v>
          </cell>
          <cell r="E935">
            <v>9.8952813124742175E-2</v>
          </cell>
          <cell r="F935">
            <v>9.4174237847419268E-2</v>
          </cell>
          <cell r="G935">
            <v>0</v>
          </cell>
          <cell r="H935">
            <v>5.0676291409465751E-4</v>
          </cell>
          <cell r="J935" t="str">
            <v>2008NM</v>
          </cell>
          <cell r="K935">
            <v>0.90104718699999997</v>
          </cell>
          <cell r="L935">
            <v>0</v>
          </cell>
          <cell r="M935">
            <v>9.8952813000000001E-2</v>
          </cell>
          <cell r="U935" t="str">
            <v>2008NM</v>
          </cell>
          <cell r="V935">
            <v>0.91655606099999998</v>
          </cell>
          <cell r="W935">
            <v>3.6715329999999998E-3</v>
          </cell>
          <cell r="X935">
            <v>2.3030526999999999E-2</v>
          </cell>
          <cell r="Y935">
            <v>1.7606671000000001E-2</v>
          </cell>
          <cell r="Z935">
            <v>3.9135206999999998E-2</v>
          </cell>
          <cell r="AB935" t="str">
            <v>2008NM</v>
          </cell>
          <cell r="AC935">
            <v>0</v>
          </cell>
          <cell r="AD935">
            <v>0</v>
          </cell>
          <cell r="AE935">
            <v>0.6</v>
          </cell>
          <cell r="AF935">
            <v>0.4</v>
          </cell>
        </row>
        <row r="936">
          <cell r="B936" t="str">
            <v>2008NY</v>
          </cell>
          <cell r="C936">
            <v>9.8408703041683282E-2</v>
          </cell>
          <cell r="D936">
            <v>0.15954377256245178</v>
          </cell>
          <cell r="E936">
            <v>0.44849165243165579</v>
          </cell>
          <cell r="F936">
            <v>0.20287733376538455</v>
          </cell>
          <cell r="G936">
            <v>7.0184973363303343E-2</v>
          </cell>
          <cell r="H936">
            <v>2.0493564835521279E-2</v>
          </cell>
          <cell r="J936" t="str">
            <v>2008NY</v>
          </cell>
          <cell r="K936">
            <v>0.481323375</v>
          </cell>
          <cell r="L936">
            <v>7.0184972999999998E-2</v>
          </cell>
          <cell r="M936">
            <v>0.44849165200000002</v>
          </cell>
          <cell r="U936" t="str">
            <v>2008NY</v>
          </cell>
          <cell r="V936">
            <v>0.20441514899999999</v>
          </cell>
          <cell r="W936">
            <v>4.1815811000000001E-2</v>
          </cell>
          <cell r="X936">
            <v>0.21220383400000001</v>
          </cell>
          <cell r="Y936">
            <v>0.145168144</v>
          </cell>
          <cell r="Z936">
            <v>0.396397061</v>
          </cell>
          <cell r="AB936" t="str">
            <v>2008NY</v>
          </cell>
          <cell r="AC936">
            <v>0</v>
          </cell>
          <cell r="AD936">
            <v>0</v>
          </cell>
          <cell r="AE936">
            <v>0.05</v>
          </cell>
          <cell r="AF936">
            <v>0.95</v>
          </cell>
        </row>
        <row r="937">
          <cell r="B937" t="str">
            <v>2008NC</v>
          </cell>
          <cell r="C937">
            <v>6.168821577504751E-2</v>
          </cell>
          <cell r="D937">
            <v>0.11278426418396881</v>
          </cell>
          <cell r="E937">
            <v>0.15395779991170949</v>
          </cell>
          <cell r="F937">
            <v>0.11589101949636353</v>
          </cell>
          <cell r="G937">
            <v>0.54100750469043157</v>
          </cell>
          <cell r="H937">
            <v>1.4671195942479084E-2</v>
          </cell>
          <cell r="J937" t="str">
            <v>2008NC</v>
          </cell>
          <cell r="K937">
            <v>0.30503469499999991</v>
          </cell>
          <cell r="L937">
            <v>0.54100750500000006</v>
          </cell>
          <cell r="M937">
            <v>0.15395780000000001</v>
          </cell>
          <cell r="U937" t="str">
            <v>2008NC</v>
          </cell>
          <cell r="V937">
            <v>2.4742549999999999E-3</v>
          </cell>
          <cell r="W937">
            <v>3.7123251000000003E-2</v>
          </cell>
          <cell r="X937">
            <v>6.1645423999999997E-2</v>
          </cell>
          <cell r="Y937">
            <v>0.58464508599999998</v>
          </cell>
          <cell r="Z937">
            <v>0.31411198400000001</v>
          </cell>
          <cell r="AB937" t="str">
            <v>2008NC</v>
          </cell>
          <cell r="AC937">
            <v>0</v>
          </cell>
          <cell r="AD937">
            <v>0</v>
          </cell>
          <cell r="AE937">
            <v>0.41899999999999998</v>
          </cell>
          <cell r="AF937">
            <v>0.58099999999999996</v>
          </cell>
        </row>
        <row r="938">
          <cell r="B938" t="str">
            <v>2008ND</v>
          </cell>
          <cell r="C938">
            <v>0.1196932700797023</v>
          </cell>
          <cell r="D938">
            <v>0.21866711268457967</v>
          </cell>
          <cell r="E938">
            <v>0.10978970169096619</v>
          </cell>
          <cell r="F938">
            <v>0.448028418369537</v>
          </cell>
          <cell r="G938">
            <v>6.499987314042277E-2</v>
          </cell>
          <cell r="H938">
            <v>3.8821624034792085E-2</v>
          </cell>
          <cell r="J938" t="str">
            <v>2008ND</v>
          </cell>
          <cell r="K938">
            <v>0.82521042499999997</v>
          </cell>
          <cell r="L938">
            <v>6.4999873E-2</v>
          </cell>
          <cell r="M938">
            <v>0.109789702</v>
          </cell>
          <cell r="U938" t="str">
            <v>2008ND</v>
          </cell>
          <cell r="V938">
            <v>8.8434773999999994E-2</v>
          </cell>
          <cell r="W938">
            <v>4.7868137999999998E-2</v>
          </cell>
          <cell r="X938">
            <v>0.243186129</v>
          </cell>
          <cell r="Y938">
            <v>0.16647603599999999</v>
          </cell>
          <cell r="Z938">
            <v>0.45403492299999998</v>
          </cell>
          <cell r="AB938" t="str">
            <v>2008ND</v>
          </cell>
          <cell r="AC938">
            <v>0</v>
          </cell>
          <cell r="AD938">
            <v>0</v>
          </cell>
          <cell r="AE938">
            <v>0.02</v>
          </cell>
          <cell r="AF938">
            <v>0.98</v>
          </cell>
        </row>
        <row r="939">
          <cell r="B939" t="str">
            <v>2008OH</v>
          </cell>
          <cell r="C939">
            <v>0.10753833947858983</v>
          </cell>
          <cell r="D939">
            <v>0.22522557822049544</v>
          </cell>
          <cell r="E939">
            <v>0.13589110116557596</v>
          </cell>
          <cell r="F939">
            <v>0.4097570212201273</v>
          </cell>
          <cell r="G939">
            <v>8.0452940491062386E-2</v>
          </cell>
          <cell r="H939">
            <v>4.1135019424149183E-2</v>
          </cell>
          <cell r="J939" t="str">
            <v>2008OH</v>
          </cell>
          <cell r="K939">
            <v>0.78365595900000007</v>
          </cell>
          <cell r="L939">
            <v>8.0452940000000001E-2</v>
          </cell>
          <cell r="M939">
            <v>0.13589110099999999</v>
          </cell>
          <cell r="U939" t="str">
            <v>2008OH</v>
          </cell>
          <cell r="V939">
            <v>6.6338901000000006E-2</v>
          </cell>
          <cell r="W939">
            <v>4.3119113000000001E-2</v>
          </cell>
          <cell r="X939">
            <v>0.26533305600000001</v>
          </cell>
          <cell r="Y939">
            <v>0.15267545299999999</v>
          </cell>
          <cell r="Z939">
            <v>0.47253347699999998</v>
          </cell>
          <cell r="AB939" t="str">
            <v>2008OH</v>
          </cell>
          <cell r="AC939">
            <v>0</v>
          </cell>
          <cell r="AD939">
            <v>0</v>
          </cell>
          <cell r="AE939">
            <v>0</v>
          </cell>
          <cell r="AF939">
            <v>1</v>
          </cell>
        </row>
        <row r="940">
          <cell r="B940" t="str">
            <v>2008OK</v>
          </cell>
          <cell r="C940">
            <v>0.40296958934788546</v>
          </cell>
          <cell r="D940">
            <v>0.22528492954061258</v>
          </cell>
          <cell r="E940">
            <v>6.4896255940651446E-2</v>
          </cell>
          <cell r="F940">
            <v>0.24738177570149189</v>
          </cell>
          <cell r="G940">
            <v>0</v>
          </cell>
          <cell r="H940">
            <v>5.9467449469358676E-2</v>
          </cell>
          <cell r="J940" t="str">
            <v>2008OK</v>
          </cell>
          <cell r="K940">
            <v>0.93510374399999996</v>
          </cell>
          <cell r="L940">
            <v>0</v>
          </cell>
          <cell r="M940">
            <v>6.4896255999999999E-2</v>
          </cell>
          <cell r="U940" t="str">
            <v>2008OK</v>
          </cell>
          <cell r="V940">
            <v>1.2831308E-2</v>
          </cell>
          <cell r="W940">
            <v>3.6793041999999998E-2</v>
          </cell>
          <cell r="X940">
            <v>6.2749109999999997E-2</v>
          </cell>
          <cell r="Y940">
            <v>0.57552135800000004</v>
          </cell>
          <cell r="Z940">
            <v>0.31210518199999998</v>
          </cell>
          <cell r="AB940" t="str">
            <v>2008OK</v>
          </cell>
          <cell r="AC940">
            <v>0</v>
          </cell>
          <cell r="AD940">
            <v>0</v>
          </cell>
          <cell r="AE940">
            <v>0.6</v>
          </cell>
          <cell r="AF940">
            <v>0.4</v>
          </cell>
        </row>
        <row r="941">
          <cell r="B941" t="str">
            <v>2008OR</v>
          </cell>
          <cell r="C941">
            <v>0.43856747008812064</v>
          </cell>
          <cell r="D941">
            <v>0.20958259090942544</v>
          </cell>
          <cell r="E941">
            <v>0</v>
          </cell>
          <cell r="F941">
            <v>0.12862948158709187</v>
          </cell>
          <cell r="G941">
            <v>0.2018533708975031</v>
          </cell>
          <cell r="H941">
            <v>2.1367086517858933E-2</v>
          </cell>
          <cell r="J941" t="str">
            <v>2008OR</v>
          </cell>
          <cell r="K941">
            <v>0.798146629</v>
          </cell>
          <cell r="L941">
            <v>0.201853371</v>
          </cell>
          <cell r="M941">
            <v>0</v>
          </cell>
          <cell r="U941" t="str">
            <v>2008OR</v>
          </cell>
          <cell r="V941">
            <v>0.57640796000000005</v>
          </cell>
          <cell r="W941">
            <v>1.863805E-2</v>
          </cell>
          <cell r="X941">
            <v>0.116911403</v>
          </cell>
          <cell r="Y941">
            <v>8.937792E-2</v>
          </cell>
          <cell r="Z941">
            <v>0.19866466699999999</v>
          </cell>
          <cell r="AB941" t="str">
            <v>2008OR</v>
          </cell>
          <cell r="AC941">
            <v>0</v>
          </cell>
          <cell r="AD941">
            <v>0</v>
          </cell>
          <cell r="AE941">
            <v>0.25</v>
          </cell>
          <cell r="AF941">
            <v>0.75</v>
          </cell>
        </row>
        <row r="942">
          <cell r="B942" t="str">
            <v>2008PA</v>
          </cell>
          <cell r="C942">
            <v>4.9624045569858895E-2</v>
          </cell>
          <cell r="D942">
            <v>0.11712497857538914</v>
          </cell>
          <cell r="E942">
            <v>0.46874549019831585</v>
          </cell>
          <cell r="F942">
            <v>0.25230966018477574</v>
          </cell>
          <cell r="G942">
            <v>8.8454910858433447E-2</v>
          </cell>
          <cell r="H942">
            <v>2.3740914613226898E-2</v>
          </cell>
          <cell r="J942" t="str">
            <v>2008PA</v>
          </cell>
          <cell r="K942">
            <v>0.44279959899999999</v>
          </cell>
          <cell r="L942">
            <v>8.8454910999999997E-2</v>
          </cell>
          <cell r="M942">
            <v>0.46874548999999999</v>
          </cell>
          <cell r="U942" t="str">
            <v>2008PA</v>
          </cell>
          <cell r="V942">
            <v>5.0102499000000002E-2</v>
          </cell>
          <cell r="W942">
            <v>4.9409870000000002E-2</v>
          </cell>
          <cell r="X942">
            <v>0.25392279899999998</v>
          </cell>
          <cell r="Y942">
            <v>0.17504710600000001</v>
          </cell>
          <cell r="Z942">
            <v>0.47151772600000003</v>
          </cell>
          <cell r="AB942" t="str">
            <v>2008PA</v>
          </cell>
          <cell r="AC942">
            <v>0</v>
          </cell>
          <cell r="AD942">
            <v>0</v>
          </cell>
          <cell r="AE942">
            <v>0</v>
          </cell>
          <cell r="AF942">
            <v>1</v>
          </cell>
        </row>
        <row r="943">
          <cell r="B943" t="str">
            <v>2008RI</v>
          </cell>
          <cell r="C943">
            <v>4.2447025005926793E-2</v>
          </cell>
          <cell r="D943">
            <v>0.1190174947032642</v>
          </cell>
          <cell r="E943">
            <v>0.46784468707451643</v>
          </cell>
          <cell r="F943">
            <v>0.25730854976835782</v>
          </cell>
          <cell r="G943">
            <v>8.7642343040085183E-2</v>
          </cell>
          <cell r="H943">
            <v>2.5739900407849584E-2</v>
          </cell>
          <cell r="J943" t="str">
            <v>2008RI</v>
          </cell>
          <cell r="K943">
            <v>0.44451297000000001</v>
          </cell>
          <cell r="L943">
            <v>8.7642342999999998E-2</v>
          </cell>
          <cell r="M943">
            <v>0.46784468699999998</v>
          </cell>
          <cell r="U943" t="str">
            <v>2008RI</v>
          </cell>
          <cell r="V943">
            <v>0.56026879500000004</v>
          </cell>
          <cell r="W943">
            <v>1.9348173E-2</v>
          </cell>
          <cell r="X943">
            <v>0.121365813</v>
          </cell>
          <cell r="Y943">
            <v>9.2783283999999994E-2</v>
          </cell>
          <cell r="Z943">
            <v>0.20623393500000001</v>
          </cell>
          <cell r="AB943" t="str">
            <v>2008RI</v>
          </cell>
          <cell r="AC943">
            <v>0</v>
          </cell>
          <cell r="AD943">
            <v>0</v>
          </cell>
          <cell r="AE943">
            <v>0.05</v>
          </cell>
          <cell r="AF943">
            <v>0.95</v>
          </cell>
        </row>
        <row r="944">
          <cell r="B944" t="str">
            <v>2008SC</v>
          </cell>
          <cell r="C944">
            <v>0.13346180610825578</v>
          </cell>
          <cell r="D944">
            <v>9.0019723091430845E-2</v>
          </cell>
          <cell r="E944">
            <v>0.15451296947775242</v>
          </cell>
          <cell r="F944">
            <v>8.0687406490411034E-2</v>
          </cell>
          <cell r="G944">
            <v>0.53771407690020812</v>
          </cell>
          <cell r="H944">
            <v>3.6040179319418398E-3</v>
          </cell>
          <cell r="J944" t="str">
            <v>2008SC</v>
          </cell>
          <cell r="K944">
            <v>0.30777295400000004</v>
          </cell>
          <cell r="L944">
            <v>0.53771407699999996</v>
          </cell>
          <cell r="M944">
            <v>0.154512969</v>
          </cell>
          <cell r="U944" t="str">
            <v>2008SC</v>
          </cell>
          <cell r="V944">
            <v>6.1629585000000001E-2</v>
          </cell>
          <cell r="W944">
            <v>3.5823032999999997E-2</v>
          </cell>
          <cell r="X944">
            <v>8.6443989999999998E-2</v>
          </cell>
          <cell r="Y944">
            <v>0.50014727299999995</v>
          </cell>
          <cell r="Z944">
            <v>0.31595611899999998</v>
          </cell>
          <cell r="AB944" t="str">
            <v>2008SC</v>
          </cell>
          <cell r="AC944">
            <v>0</v>
          </cell>
          <cell r="AD944">
            <v>0</v>
          </cell>
          <cell r="AE944">
            <v>0.6</v>
          </cell>
          <cell r="AF944">
            <v>0.4</v>
          </cell>
        </row>
        <row r="945">
          <cell r="B945" t="str">
            <v>2008SD</v>
          </cell>
          <cell r="C945">
            <v>0.17608951911561277</v>
          </cell>
          <cell r="D945">
            <v>0.277831368160596</v>
          </cell>
          <cell r="E945">
            <v>7.9800561964795444E-2</v>
          </cell>
          <cell r="F945">
            <v>0.37802114842972712</v>
          </cell>
          <cell r="G945">
            <v>4.724510882492864E-2</v>
          </cell>
          <cell r="H945">
            <v>4.1012293504340026E-2</v>
          </cell>
          <cell r="J945" t="str">
            <v>2008SD</v>
          </cell>
          <cell r="K945">
            <v>0.87295432900000003</v>
          </cell>
          <cell r="L945">
            <v>4.7245109E-2</v>
          </cell>
          <cell r="M945">
            <v>7.9800562000000005E-2</v>
          </cell>
          <cell r="U945" t="str">
            <v>2008SD</v>
          </cell>
          <cell r="V945">
            <v>3.3046748000000001E-2</v>
          </cell>
          <cell r="W945">
            <v>5.1157264000000001E-2</v>
          </cell>
          <cell r="X945">
            <v>0.25755016600000002</v>
          </cell>
          <cell r="Y945">
            <v>0.17532273200000001</v>
          </cell>
          <cell r="Z945">
            <v>0.48292308900000003</v>
          </cell>
          <cell r="AB945" t="str">
            <v>2008SD</v>
          </cell>
          <cell r="AC945">
            <v>0</v>
          </cell>
          <cell r="AD945">
            <v>0</v>
          </cell>
          <cell r="AE945">
            <v>0.02</v>
          </cell>
          <cell r="AF945">
            <v>0.98</v>
          </cell>
        </row>
        <row r="946">
          <cell r="B946" t="str">
            <v>2008TN</v>
          </cell>
          <cell r="C946">
            <v>4.0519949592449485E-2</v>
          </cell>
          <cell r="D946">
            <v>8.9664149461423162E-2</v>
          </cell>
          <cell r="E946">
            <v>0.14551684926860037</v>
          </cell>
          <cell r="F946">
            <v>0.1170185785979804</v>
          </cell>
          <cell r="G946">
            <v>0.59108168584929244</v>
          </cell>
          <cell r="H946">
            <v>1.6198787230254148E-2</v>
          </cell>
          <cell r="J946" t="str">
            <v>2008TN</v>
          </cell>
          <cell r="K946">
            <v>0.26340146500000006</v>
          </cell>
          <cell r="L946">
            <v>0.591081686</v>
          </cell>
          <cell r="M946">
            <v>0.145516849</v>
          </cell>
          <cell r="U946" t="str">
            <v>2008TN</v>
          </cell>
          <cell r="V946">
            <v>0.102875089</v>
          </cell>
          <cell r="W946">
            <v>3.5402429999999999E-2</v>
          </cell>
          <cell r="X946">
            <v>0.119077104</v>
          </cell>
          <cell r="Y946">
            <v>0.41436515099999999</v>
          </cell>
          <cell r="Z946">
            <v>0.32828022600000001</v>
          </cell>
          <cell r="AB946" t="str">
            <v>2008TN</v>
          </cell>
          <cell r="AC946">
            <v>0</v>
          </cell>
          <cell r="AD946">
            <v>0</v>
          </cell>
          <cell r="AE946">
            <v>0.05</v>
          </cell>
          <cell r="AF946">
            <v>0.95</v>
          </cell>
        </row>
        <row r="947">
          <cell r="B947" t="str">
            <v>2008TX</v>
          </cell>
          <cell r="C947">
            <v>0.53305655520056971</v>
          </cell>
          <cell r="D947">
            <v>0.24233312613196878</v>
          </cell>
          <cell r="E947">
            <v>7.9791980793249173E-2</v>
          </cell>
          <cell r="F947">
            <v>0.1278405091499755</v>
          </cell>
          <cell r="G947">
            <v>0</v>
          </cell>
          <cell r="H947">
            <v>1.6977828724236681E-2</v>
          </cell>
          <cell r="J947" t="str">
            <v>2008TX</v>
          </cell>
          <cell r="K947">
            <v>0.92020801900000004</v>
          </cell>
          <cell r="L947">
            <v>0</v>
          </cell>
          <cell r="M947">
            <v>7.9791980999999998E-2</v>
          </cell>
          <cell r="U947" t="str">
            <v>2008TX</v>
          </cell>
          <cell r="V947">
            <v>6.9632535999999995E-2</v>
          </cell>
          <cell r="W947">
            <v>3.4700662E-2</v>
          </cell>
          <cell r="X947">
            <v>5.9917572000000002E-2</v>
          </cell>
          <cell r="Y947">
            <v>0.54104196599999999</v>
          </cell>
          <cell r="Z947">
            <v>0.29470726400000002</v>
          </cell>
          <cell r="AB947" t="str">
            <v>2008TX</v>
          </cell>
          <cell r="AC947">
            <v>0</v>
          </cell>
          <cell r="AD947">
            <v>0</v>
          </cell>
          <cell r="AE947">
            <v>0.12</v>
          </cell>
          <cell r="AF947">
            <v>0.88</v>
          </cell>
        </row>
        <row r="948">
          <cell r="B948" t="str">
            <v>2008UT</v>
          </cell>
          <cell r="C948">
            <v>0.51165623152884221</v>
          </cell>
          <cell r="D948">
            <v>0.26394677259150623</v>
          </cell>
          <cell r="E948">
            <v>1.3999177703951423E-2</v>
          </cell>
          <cell r="F948">
            <v>0.17036034814732054</v>
          </cell>
          <cell r="G948">
            <v>8.2880703819413898E-3</v>
          </cell>
          <cell r="H948">
            <v>3.1749399646438282E-2</v>
          </cell>
          <cell r="J948" t="str">
            <v>2008UT</v>
          </cell>
          <cell r="K948">
            <v>0.97771275199999996</v>
          </cell>
          <cell r="L948">
            <v>8.2880699999999998E-3</v>
          </cell>
          <cell r="M948">
            <v>1.3999177999999999E-2</v>
          </cell>
          <cell r="U948" t="str">
            <v>2008UT</v>
          </cell>
          <cell r="V948">
            <v>8.6456620000000001E-3</v>
          </cell>
          <cell r="W948">
            <v>5.5424775000000003E-2</v>
          </cell>
          <cell r="X948">
            <v>0.260824848</v>
          </cell>
          <cell r="Y948">
            <v>0.16982515300000001</v>
          </cell>
          <cell r="Z948">
            <v>0.50527956200000002</v>
          </cell>
          <cell r="AB948" t="str">
            <v>2008UT</v>
          </cell>
          <cell r="AC948">
            <v>0</v>
          </cell>
          <cell r="AD948">
            <v>0</v>
          </cell>
          <cell r="AE948">
            <v>0.6</v>
          </cell>
          <cell r="AF948">
            <v>0.4</v>
          </cell>
        </row>
        <row r="949">
          <cell r="B949" t="str">
            <v>2008VT</v>
          </cell>
          <cell r="C949">
            <v>9.9973781354903396E-2</v>
          </cell>
          <cell r="D949">
            <v>0.17387691112967565</v>
          </cell>
          <cell r="E949">
            <v>0.44423932842492886</v>
          </cell>
          <cell r="F949">
            <v>0.19448861844630186</v>
          </cell>
          <cell r="G949">
            <v>6.6349172232328182E-2</v>
          </cell>
          <cell r="H949">
            <v>2.1072188411862088E-2</v>
          </cell>
          <cell r="J949" t="str">
            <v>2008VT</v>
          </cell>
          <cell r="K949">
            <v>0.4894115</v>
          </cell>
          <cell r="L949">
            <v>6.6349171999999998E-2</v>
          </cell>
          <cell r="M949">
            <v>0.44423932799999999</v>
          </cell>
          <cell r="U949" t="str">
            <v>2008VT</v>
          </cell>
          <cell r="V949">
            <v>0.86037974299999997</v>
          </cell>
          <cell r="W949">
            <v>6.1432910000000004E-3</v>
          </cell>
          <cell r="X949">
            <v>3.8535191000000003E-2</v>
          </cell>
          <cell r="Y949">
            <v>2.9459874E-2</v>
          </cell>
          <cell r="Z949">
            <v>6.5481899999999996E-2</v>
          </cell>
          <cell r="AB949" t="str">
            <v>2008VT</v>
          </cell>
          <cell r="AC949">
            <v>0</v>
          </cell>
          <cell r="AD949">
            <v>0</v>
          </cell>
          <cell r="AE949">
            <v>0.05</v>
          </cell>
          <cell r="AF949">
            <v>0.95</v>
          </cell>
        </row>
        <row r="950">
          <cell r="B950" t="str">
            <v>2008VA</v>
          </cell>
          <cell r="C950">
            <v>4.4953509549794296E-2</v>
          </cell>
          <cell r="D950">
            <v>9.339670802378576E-2</v>
          </cell>
          <cell r="E950">
            <v>0.14844092890155638</v>
          </cell>
          <cell r="F950">
            <v>0.12331550684410268</v>
          </cell>
          <cell r="G950">
            <v>0.5737351926100378</v>
          </cell>
          <cell r="H950">
            <v>1.6158154070723133E-2</v>
          </cell>
          <cell r="J950" t="str">
            <v>2008VA</v>
          </cell>
          <cell r="K950">
            <v>0.27782387799999997</v>
          </cell>
          <cell r="L950">
            <v>0.57373519299999998</v>
          </cell>
          <cell r="M950">
            <v>0.148440929</v>
          </cell>
          <cell r="U950" t="str">
            <v>2008VA</v>
          </cell>
          <cell r="V950">
            <v>3.3934871999999998E-2</v>
          </cell>
          <cell r="W950">
            <v>3.6244844999999998E-2</v>
          </cell>
          <cell r="X950">
            <v>6.8933026999999994E-2</v>
          </cell>
          <cell r="Y950">
            <v>0.550040046</v>
          </cell>
          <cell r="Z950">
            <v>0.31084721100000001</v>
          </cell>
          <cell r="AB950" t="str">
            <v>2008VA</v>
          </cell>
          <cell r="AC950">
            <v>0</v>
          </cell>
          <cell r="AD950">
            <v>0</v>
          </cell>
          <cell r="AE950">
            <v>0.05</v>
          </cell>
          <cell r="AF950">
            <v>0.95</v>
          </cell>
        </row>
        <row r="951">
          <cell r="B951" t="str">
            <v>2008WA</v>
          </cell>
          <cell r="C951">
            <v>0.48742079910802349</v>
          </cell>
          <cell r="D951">
            <v>0.21961274491816118</v>
          </cell>
          <cell r="E951">
            <v>0</v>
          </cell>
          <cell r="F951">
            <v>0.11254281869932067</v>
          </cell>
          <cell r="G951">
            <v>0.16627589127589129</v>
          </cell>
          <cell r="H951">
            <v>1.4147745998603438E-2</v>
          </cell>
          <cell r="J951" t="str">
            <v>2008WA</v>
          </cell>
          <cell r="K951">
            <v>0.83372410900000005</v>
          </cell>
          <cell r="L951">
            <v>0.16627589100000001</v>
          </cell>
          <cell r="M951">
            <v>0</v>
          </cell>
          <cell r="U951" t="str">
            <v>2008WA</v>
          </cell>
          <cell r="V951">
            <v>0.37353494700000001</v>
          </cell>
          <cell r="W951">
            <v>3.1263627000000002E-2</v>
          </cell>
          <cell r="X951">
            <v>0.168896926</v>
          </cell>
          <cell r="Y951">
            <v>0.119853577</v>
          </cell>
          <cell r="Z951">
            <v>0.30645092299999999</v>
          </cell>
          <cell r="AB951" t="str">
            <v>2008WA</v>
          </cell>
          <cell r="AC951">
            <v>0</v>
          </cell>
          <cell r="AD951">
            <v>0</v>
          </cell>
          <cell r="AE951">
            <v>0.12</v>
          </cell>
          <cell r="AF951">
            <v>0.88</v>
          </cell>
        </row>
        <row r="952">
          <cell r="B952" t="str">
            <v>2008WV</v>
          </cell>
          <cell r="C952">
            <v>6.8751812683186322E-2</v>
          </cell>
          <cell r="D952">
            <v>0.15888641455628993</v>
          </cell>
          <cell r="E952">
            <v>0.44831485363191043</v>
          </cell>
          <cell r="F952">
            <v>0.22633984896592482</v>
          </cell>
          <cell r="G952">
            <v>7.0025492327769459E-2</v>
          </cell>
          <cell r="H952">
            <v>2.7681577834919095E-2</v>
          </cell>
          <cell r="J952" t="str">
            <v>2008WV</v>
          </cell>
          <cell r="K952">
            <v>0.48165965399999999</v>
          </cell>
          <cell r="L952">
            <v>7.0025491999999995E-2</v>
          </cell>
          <cell r="M952">
            <v>0.44831485399999998</v>
          </cell>
          <cell r="U952" t="str">
            <v>2008WV</v>
          </cell>
          <cell r="V952">
            <v>0.57920187499999998</v>
          </cell>
          <cell r="W952">
            <v>2.1256934000000002E-2</v>
          </cell>
          <cell r="X952">
            <v>0.113169981</v>
          </cell>
          <cell r="Y952">
            <v>7.9649016000000003E-2</v>
          </cell>
          <cell r="Z952">
            <v>0.206722194</v>
          </cell>
          <cell r="AB952" t="str">
            <v>2008WV</v>
          </cell>
          <cell r="AC952">
            <v>0</v>
          </cell>
          <cell r="AD952">
            <v>0</v>
          </cell>
          <cell r="AE952">
            <v>0.05</v>
          </cell>
          <cell r="AF952">
            <v>0.95</v>
          </cell>
        </row>
        <row r="953">
          <cell r="B953" t="str">
            <v>2008WI</v>
          </cell>
          <cell r="C953">
            <v>0.12203432597344931</v>
          </cell>
          <cell r="D953">
            <v>0.23555629715568294</v>
          </cell>
          <cell r="E953">
            <v>0.11540173598404266</v>
          </cell>
          <cell r="F953">
            <v>0.42032708364290838</v>
          </cell>
          <cell r="G953">
            <v>6.8322420806473022E-2</v>
          </cell>
          <cell r="H953">
            <v>3.8358136437443673E-2</v>
          </cell>
          <cell r="J953" t="str">
            <v>2008WI</v>
          </cell>
          <cell r="K953">
            <v>0.816275843</v>
          </cell>
          <cell r="L953">
            <v>6.8322420999999994E-2</v>
          </cell>
          <cell r="M953">
            <v>0.115401736</v>
          </cell>
          <cell r="U953" t="str">
            <v>2008WI</v>
          </cell>
          <cell r="V953">
            <v>0.12883246500000001</v>
          </cell>
          <cell r="W953">
            <v>4.2564396999999997E-2</v>
          </cell>
          <cell r="X953">
            <v>0.23585646199999999</v>
          </cell>
          <cell r="Y953">
            <v>0.16970626599999999</v>
          </cell>
          <cell r="Z953">
            <v>0.42304040999999998</v>
          </cell>
          <cell r="AB953" t="str">
            <v>2008WI</v>
          </cell>
          <cell r="AC953">
            <v>0</v>
          </cell>
          <cell r="AD953">
            <v>0</v>
          </cell>
          <cell r="AE953">
            <v>0.02</v>
          </cell>
          <cell r="AF953">
            <v>0.98</v>
          </cell>
        </row>
        <row r="954">
          <cell r="B954" t="str">
            <v>2008WY</v>
          </cell>
          <cell r="C954">
            <v>0.29508724522063295</v>
          </cell>
          <cell r="D954">
            <v>0.23251729773373622</v>
          </cell>
          <cell r="E954">
            <v>0.12161775942187937</v>
          </cell>
          <cell r="F954">
            <v>0.2207502472879718</v>
          </cell>
          <cell r="G954">
            <v>7.2002554085590281E-2</v>
          </cell>
          <cell r="H954">
            <v>5.8024896250189507E-2</v>
          </cell>
          <cell r="J954" t="str">
            <v>2008WY</v>
          </cell>
          <cell r="K954">
            <v>0.80637968699999996</v>
          </cell>
          <cell r="L954">
            <v>7.2002553999999996E-2</v>
          </cell>
          <cell r="M954">
            <v>0.12161775900000001</v>
          </cell>
          <cell r="U954" t="str">
            <v>2008WY</v>
          </cell>
          <cell r="V954">
            <v>3.2109568999999998E-2</v>
          </cell>
          <cell r="W954">
            <v>5.3596850000000001E-2</v>
          </cell>
          <cell r="X954">
            <v>0.25521061499999997</v>
          </cell>
          <cell r="Y954">
            <v>0.16752597599999999</v>
          </cell>
          <cell r="Z954">
            <v>0.49155699000000003</v>
          </cell>
          <cell r="AB954" t="str">
            <v>2008WY</v>
          </cell>
          <cell r="AC954">
            <v>0</v>
          </cell>
          <cell r="AD954">
            <v>0</v>
          </cell>
          <cell r="AE954">
            <v>0.6</v>
          </cell>
          <cell r="AF954">
            <v>0.4</v>
          </cell>
        </row>
        <row r="955">
          <cell r="B955" t="str">
            <v>2009AL</v>
          </cell>
          <cell r="C955">
            <v>0.17233560131521788</v>
          </cell>
          <cell r="D955">
            <v>9.7606154746872412E-2</v>
          </cell>
          <cell r="E955">
            <v>0.16919346457207346</v>
          </cell>
          <cell r="F955">
            <v>0.1056405325382436</v>
          </cell>
          <cell r="G955">
            <v>0.45062509818962659</v>
          </cell>
          <cell r="H955">
            <v>4.5991486379660445E-3</v>
          </cell>
          <cell r="J955" t="str">
            <v>2009AL</v>
          </cell>
          <cell r="K955">
            <v>0.38018143700000007</v>
          </cell>
          <cell r="L955">
            <v>0.450625098</v>
          </cell>
          <cell r="M955">
            <v>0.16919346499999999</v>
          </cell>
          <cell r="U955" t="str">
            <v>2009AL</v>
          </cell>
          <cell r="V955">
            <v>5.3114938E-2</v>
          </cell>
          <cell r="W955">
            <v>3.6058960000000001E-2</v>
          </cell>
          <cell r="X955">
            <v>8.4414527000000003E-2</v>
          </cell>
          <cell r="Y955">
            <v>0.50961295299999998</v>
          </cell>
          <cell r="Z955">
            <v>0.316798623</v>
          </cell>
          <cell r="AB955" t="str">
            <v>2009AL</v>
          </cell>
          <cell r="AC955">
            <v>0</v>
          </cell>
          <cell r="AD955">
            <v>0</v>
          </cell>
          <cell r="AE955">
            <v>0.41899999999999998</v>
          </cell>
          <cell r="AF955">
            <v>0.58099999999999996</v>
          </cell>
        </row>
        <row r="956">
          <cell r="B956" t="str">
            <v>2009AK</v>
          </cell>
          <cell r="C956">
            <v>0.30334484066413492</v>
          </cell>
          <cell r="D956">
            <v>0.23769937716735701</v>
          </cell>
          <cell r="E956">
            <v>6.205843688929364E-2</v>
          </cell>
          <cell r="F956">
            <v>0.28363994741136878</v>
          </cell>
          <cell r="G956">
            <v>3.6741064625999714E-2</v>
          </cell>
          <cell r="H956">
            <v>7.6516333241846021E-2</v>
          </cell>
          <cell r="J956" t="str">
            <v>2009AK</v>
          </cell>
          <cell r="K956">
            <v>0.90120049800000002</v>
          </cell>
          <cell r="L956">
            <v>3.6741065000000003E-2</v>
          </cell>
          <cell r="M956">
            <v>6.2058437000000001E-2</v>
          </cell>
          <cell r="U956" t="str">
            <v>2009AK</v>
          </cell>
          <cell r="V956">
            <v>0.52632575500000001</v>
          </cell>
          <cell r="W956">
            <v>2.0841667000000001E-2</v>
          </cell>
          <cell r="X956">
            <v>0.130734092</v>
          </cell>
          <cell r="Y956">
            <v>9.9945266000000005E-2</v>
          </cell>
          <cell r="Z956">
            <v>0.22215322100000001</v>
          </cell>
          <cell r="AB956" t="str">
            <v>2009AK</v>
          </cell>
          <cell r="AC956">
            <v>0</v>
          </cell>
          <cell r="AD956">
            <v>0</v>
          </cell>
          <cell r="AE956">
            <v>0.25</v>
          </cell>
          <cell r="AF956">
            <v>0.75</v>
          </cell>
        </row>
        <row r="957">
          <cell r="B957" t="str">
            <v>2009AZ</v>
          </cell>
          <cell r="C957">
            <v>0.611220636654217</v>
          </cell>
          <cell r="D957">
            <v>0.19572797693407004</v>
          </cell>
          <cell r="E957">
            <v>9.865488383487428E-2</v>
          </cell>
          <cell r="F957">
            <v>9.3890669243012675E-2</v>
          </cell>
          <cell r="G957">
            <v>0</v>
          </cell>
          <cell r="H957">
            <v>5.0583333382575558E-4</v>
          </cell>
          <cell r="J957" t="str">
            <v>2009AZ</v>
          </cell>
          <cell r="K957">
            <v>0.901345116</v>
          </cell>
          <cell r="L957">
            <v>0</v>
          </cell>
          <cell r="M957">
            <v>9.8654883999999998E-2</v>
          </cell>
          <cell r="U957" t="str">
            <v>2009AZ</v>
          </cell>
          <cell r="V957">
            <v>0.136592664</v>
          </cell>
          <cell r="W957">
            <v>3.2171241000000003E-2</v>
          </cell>
          <cell r="X957">
            <v>5.4596316999999998E-2</v>
          </cell>
          <cell r="Y957">
            <v>0.50386894699999996</v>
          </cell>
          <cell r="Z957">
            <v>0.27277083200000002</v>
          </cell>
          <cell r="AB957" t="str">
            <v>2009AZ</v>
          </cell>
          <cell r="AC957">
            <v>0</v>
          </cell>
          <cell r="AD957">
            <v>0</v>
          </cell>
          <cell r="AE957">
            <v>0.6</v>
          </cell>
          <cell r="AF957">
            <v>0.4</v>
          </cell>
        </row>
        <row r="958">
          <cell r="B958" t="str">
            <v>2009AR</v>
          </cell>
          <cell r="C958">
            <v>9.6391342329605903E-2</v>
          </cell>
          <cell r="D958">
            <v>6.6955456596874061E-2</v>
          </cell>
          <cell r="E958">
            <v>0.14888335780531528</v>
          </cell>
          <cell r="F958">
            <v>0.11118804006195876</v>
          </cell>
          <cell r="G958">
            <v>0.57111057531117648</v>
          </cell>
          <cell r="H958">
            <v>5.4712278950695761E-3</v>
          </cell>
          <cell r="J958" t="str">
            <v>2009AR</v>
          </cell>
          <cell r="K958">
            <v>0.28000606700000008</v>
          </cell>
          <cell r="L958">
            <v>0.57111057499999995</v>
          </cell>
          <cell r="M958">
            <v>0.14888335799999999</v>
          </cell>
          <cell r="U958" t="str">
            <v>2009AR</v>
          </cell>
          <cell r="V958">
            <v>3.9459004999999998E-2</v>
          </cell>
          <cell r="W958">
            <v>3.7640482000000003E-2</v>
          </cell>
          <cell r="X958">
            <v>0.11914443199999999</v>
          </cell>
          <cell r="Y958">
            <v>0.45827781299999998</v>
          </cell>
          <cell r="Z958">
            <v>0.34547826799999998</v>
          </cell>
          <cell r="AB958" t="str">
            <v>2009AR</v>
          </cell>
          <cell r="AC958">
            <v>0</v>
          </cell>
          <cell r="AD958">
            <v>0</v>
          </cell>
          <cell r="AE958">
            <v>0</v>
          </cell>
          <cell r="AF958">
            <v>1</v>
          </cell>
        </row>
        <row r="959">
          <cell r="B959" t="str">
            <v>2009CA</v>
          </cell>
          <cell r="C959">
            <v>0.58081862489107328</v>
          </cell>
          <cell r="D959">
            <v>0.20720345916912225</v>
          </cell>
          <cell r="E959">
            <v>0.10801924509893834</v>
          </cell>
          <cell r="F959">
            <v>9.2431120719429966E-2</v>
          </cell>
          <cell r="G959">
            <v>9.2523577326630076E-3</v>
          </cell>
          <cell r="H959">
            <v>2.2751923887731596E-3</v>
          </cell>
          <cell r="J959" t="str">
            <v>2009CA</v>
          </cell>
          <cell r="K959">
            <v>0.88272839699999994</v>
          </cell>
          <cell r="L959">
            <v>9.2523580000000005E-3</v>
          </cell>
          <cell r="M959">
            <v>0.108019245</v>
          </cell>
          <cell r="U959" t="str">
            <v>2009CA</v>
          </cell>
          <cell r="V959">
            <v>0.133799526</v>
          </cell>
          <cell r="W959">
            <v>3.2941353E-2</v>
          </cell>
          <cell r="X959">
            <v>7.5800703999999997E-2</v>
          </cell>
          <cell r="Y959">
            <v>0.46867659099999998</v>
          </cell>
          <cell r="Z959">
            <v>0.28878182499999999</v>
          </cell>
          <cell r="AB959" t="str">
            <v>2009CA</v>
          </cell>
          <cell r="AC959">
            <v>0</v>
          </cell>
          <cell r="AD959">
            <v>0</v>
          </cell>
          <cell r="AE959">
            <v>0.12</v>
          </cell>
          <cell r="AF959">
            <v>0.88</v>
          </cell>
        </row>
        <row r="960">
          <cell r="B960" t="str">
            <v>2009CO</v>
          </cell>
          <cell r="C960">
            <v>0.61667904285785091</v>
          </cell>
          <cell r="D960">
            <v>0.24212893570430052</v>
          </cell>
          <cell r="E960">
            <v>1.1092391745361967E-2</v>
          </cell>
          <cell r="F960">
            <v>0.11516410971780773</v>
          </cell>
          <cell r="G960">
            <v>6.5671374014829543E-3</v>
          </cell>
          <cell r="H960">
            <v>8.3683825731959392E-3</v>
          </cell>
          <cell r="J960" t="str">
            <v>2009CO</v>
          </cell>
          <cell r="K960">
            <v>0.98234047099999999</v>
          </cell>
          <cell r="L960">
            <v>6.5671369999999998E-3</v>
          </cell>
          <cell r="M960">
            <v>1.1092392E-2</v>
          </cell>
          <cell r="U960" t="str">
            <v>2009CO</v>
          </cell>
          <cell r="V960">
            <v>2.3378138E-2</v>
          </cell>
          <cell r="W960">
            <v>5.3880426000000002E-2</v>
          </cell>
          <cell r="X960">
            <v>0.25772948099999998</v>
          </cell>
          <cell r="Y960">
            <v>0.169703665</v>
          </cell>
          <cell r="Z960">
            <v>0.49530828999999998</v>
          </cell>
          <cell r="AB960" t="str">
            <v>2009CO</v>
          </cell>
          <cell r="AC960">
            <v>0</v>
          </cell>
          <cell r="AD960">
            <v>0</v>
          </cell>
          <cell r="AE960">
            <v>0.6</v>
          </cell>
          <cell r="AF960">
            <v>0.4</v>
          </cell>
        </row>
        <row r="961">
          <cell r="B961" t="str">
            <v>2009CT</v>
          </cell>
          <cell r="C961">
            <v>0.11572842393252261</v>
          </cell>
          <cell r="D961">
            <v>0.20119880615243968</v>
          </cell>
          <cell r="E961">
            <v>0.43233999756560143</v>
          </cell>
          <cell r="F961">
            <v>0.17234541515575838</v>
          </cell>
          <cell r="G961">
            <v>5.5615402487630847E-2</v>
          </cell>
          <cell r="H961">
            <v>2.2771954706046996E-2</v>
          </cell>
          <cell r="J961" t="str">
            <v>2009CT</v>
          </cell>
          <cell r="K961">
            <v>0.51204460000000007</v>
          </cell>
          <cell r="L961">
            <v>5.5615402000000001E-2</v>
          </cell>
          <cell r="M961">
            <v>0.432339998</v>
          </cell>
          <cell r="U961" t="str">
            <v>2009CT</v>
          </cell>
          <cell r="V961">
            <v>0.57363861400000005</v>
          </cell>
          <cell r="W961">
            <v>1.8759900999999999E-2</v>
          </cell>
          <cell r="X961">
            <v>0.117675743</v>
          </cell>
          <cell r="Y961">
            <v>8.9962252000000006E-2</v>
          </cell>
          <cell r="Z961">
            <v>0.19996348999999999</v>
          </cell>
          <cell r="AB961" t="str">
            <v>2009CT</v>
          </cell>
          <cell r="AC961">
            <v>0</v>
          </cell>
          <cell r="AD961">
            <v>0</v>
          </cell>
          <cell r="AE961">
            <v>0.05</v>
          </cell>
          <cell r="AF961">
            <v>0.95</v>
          </cell>
        </row>
        <row r="962">
          <cell r="B962" t="str">
            <v>2009DE</v>
          </cell>
          <cell r="C962">
            <v>0.10201653895343663</v>
          </cell>
          <cell r="D962">
            <v>0.1910091905838856</v>
          </cell>
          <cell r="E962">
            <v>0.43707162937473454</v>
          </cell>
          <cell r="F962">
            <v>0.18637975788177577</v>
          </cell>
          <cell r="G962">
            <v>5.9883562349419175E-2</v>
          </cell>
          <cell r="H962">
            <v>2.3639320856748244E-2</v>
          </cell>
          <cell r="J962" t="str">
            <v>2009DE</v>
          </cell>
          <cell r="K962">
            <v>0.50304480899999993</v>
          </cell>
          <cell r="L962">
            <v>5.9883562000000001E-2</v>
          </cell>
          <cell r="M962">
            <v>0.43707162900000002</v>
          </cell>
          <cell r="U962" t="str">
            <v>2009DE</v>
          </cell>
          <cell r="V962">
            <v>0.120253529</v>
          </cell>
          <cell r="W962">
            <v>4.1631153999999997E-2</v>
          </cell>
          <cell r="X962">
            <v>0.23964419100000001</v>
          </cell>
          <cell r="Y962">
            <v>0.17588547500000001</v>
          </cell>
          <cell r="Z962">
            <v>0.42258565100000001</v>
          </cell>
          <cell r="AB962" t="str">
            <v>2009DE</v>
          </cell>
          <cell r="AC962">
            <v>0</v>
          </cell>
          <cell r="AD962">
            <v>0</v>
          </cell>
          <cell r="AE962">
            <v>0.05</v>
          </cell>
          <cell r="AF962">
            <v>0.95</v>
          </cell>
        </row>
        <row r="963">
          <cell r="B963" t="str">
            <v>2009FL</v>
          </cell>
          <cell r="C963">
            <v>0.38654865924430459</v>
          </cell>
          <cell r="D963">
            <v>0.14503983167997814</v>
          </cell>
          <cell r="E963">
            <v>0.21616400084919535</v>
          </cell>
          <cell r="F963">
            <v>7.8997496757044303E-2</v>
          </cell>
          <cell r="G963">
            <v>0.17198217725399226</v>
          </cell>
          <cell r="H963">
            <v>1.2678342154852779E-3</v>
          </cell>
          <cell r="J963" t="str">
            <v>2009FL</v>
          </cell>
          <cell r="K963">
            <v>0.61185382200000005</v>
          </cell>
          <cell r="L963">
            <v>0.17198217700000001</v>
          </cell>
          <cell r="M963">
            <v>0.21616400099999999</v>
          </cell>
          <cell r="U963" t="str">
            <v>2009FL</v>
          </cell>
          <cell r="V963">
            <v>0.71166924399999998</v>
          </cell>
          <cell r="W963">
            <v>1.2686553E-2</v>
          </cell>
          <cell r="X963">
            <v>7.9579288999999998E-2</v>
          </cell>
          <cell r="Y963">
            <v>6.0837789000000003E-2</v>
          </cell>
          <cell r="Z963">
            <v>0.135227124</v>
          </cell>
          <cell r="AB963" t="str">
            <v>2009FL</v>
          </cell>
          <cell r="AC963">
            <v>0</v>
          </cell>
          <cell r="AD963">
            <v>0</v>
          </cell>
          <cell r="AE963">
            <v>0.41899999999999998</v>
          </cell>
          <cell r="AF963">
            <v>0.58099999999999996</v>
          </cell>
        </row>
        <row r="964">
          <cell r="B964" t="str">
            <v>2009GA</v>
          </cell>
          <cell r="C964">
            <v>0.20823216155586291</v>
          </cell>
          <cell r="D964">
            <v>0.11033206176717186</v>
          </cell>
          <cell r="E964">
            <v>0.17733204084631207</v>
          </cell>
          <cell r="F964">
            <v>9.7862793659120595E-2</v>
          </cell>
          <cell r="G964">
            <v>0.40234468997942996</v>
          </cell>
          <cell r="H964">
            <v>3.8962521921025758E-3</v>
          </cell>
          <cell r="J964" t="str">
            <v>2009GA</v>
          </cell>
          <cell r="K964">
            <v>0.42032326900000005</v>
          </cell>
          <cell r="L964">
            <v>0.40234469</v>
          </cell>
          <cell r="M964">
            <v>0.177332041</v>
          </cell>
          <cell r="U964" t="str">
            <v>2009GA</v>
          </cell>
          <cell r="V964">
            <v>7.8133266000000007E-2</v>
          </cell>
          <cell r="W964">
            <v>3.5587817000000001E-2</v>
          </cell>
          <cell r="X964">
            <v>9.7388838000000005E-2</v>
          </cell>
          <cell r="Y964">
            <v>0.46952270200000001</v>
          </cell>
          <cell r="Z964">
            <v>0.31936737799999998</v>
          </cell>
          <cell r="AB964" t="str">
            <v>2009GA</v>
          </cell>
          <cell r="AC964">
            <v>0</v>
          </cell>
          <cell r="AD964">
            <v>0</v>
          </cell>
          <cell r="AE964">
            <v>0.41899999999999998</v>
          </cell>
          <cell r="AF964">
            <v>0.58099999999999996</v>
          </cell>
        </row>
        <row r="965">
          <cell r="B965" t="str">
            <v>2009HI</v>
          </cell>
          <cell r="C965">
            <v>0.67137224197860923</v>
          </cell>
          <cell r="D965">
            <v>0.21100034068527662</v>
          </cell>
          <cell r="E965">
            <v>0</v>
          </cell>
          <cell r="F965">
            <v>0.10820426646618357</v>
          </cell>
          <cell r="G965">
            <v>7.5112148308577572E-3</v>
          </cell>
          <cell r="H965">
            <v>1.9119360390725836E-3</v>
          </cell>
          <cell r="J965" t="str">
            <v>2009HI</v>
          </cell>
          <cell r="K965">
            <v>0.99248878500000004</v>
          </cell>
          <cell r="L965">
            <v>7.5112149999999999E-3</v>
          </cell>
          <cell r="M965">
            <v>0</v>
          </cell>
          <cell r="U965" t="str">
            <v>2009HI</v>
          </cell>
          <cell r="V965">
            <v>0.23216878499999999</v>
          </cell>
          <cell r="W965">
            <v>3.2904865999999998E-2</v>
          </cell>
          <cell r="X965">
            <v>0.18414778700000001</v>
          </cell>
          <cell r="Y965">
            <v>0.21064765399999999</v>
          </cell>
          <cell r="Z965">
            <v>0.34013090899999998</v>
          </cell>
          <cell r="AB965" t="str">
            <v>2009HI</v>
          </cell>
          <cell r="AC965">
            <v>0</v>
          </cell>
          <cell r="AD965">
            <v>0</v>
          </cell>
          <cell r="AE965">
            <v>0.25</v>
          </cell>
          <cell r="AF965">
            <v>0.75</v>
          </cell>
        </row>
        <row r="966">
          <cell r="B966" t="str">
            <v>2009ID</v>
          </cell>
          <cell r="C966">
            <v>0.62850843440764703</v>
          </cell>
          <cell r="D966">
            <v>0.2329683972033782</v>
          </cell>
          <cell r="E966">
            <v>6.4436683947772669E-3</v>
          </cell>
          <cell r="F966">
            <v>0.11961222721284216</v>
          </cell>
          <cell r="G966">
            <v>3.8149081541218642E-3</v>
          </cell>
          <cell r="H966">
            <v>8.6523646272333287E-3</v>
          </cell>
          <cell r="J966" t="str">
            <v>2009ID</v>
          </cell>
          <cell r="K966">
            <v>0.98974142399999998</v>
          </cell>
          <cell r="L966">
            <v>3.8149080000000001E-3</v>
          </cell>
          <cell r="M966">
            <v>6.4436679999999996E-3</v>
          </cell>
          <cell r="U966" t="str">
            <v>2009ID</v>
          </cell>
          <cell r="V966">
            <v>0.460837895</v>
          </cell>
          <cell r="W966">
            <v>2.6974237000000002E-2</v>
          </cell>
          <cell r="X966">
            <v>0.14528671200000001</v>
          </cell>
          <cell r="Y966">
            <v>0.102926191</v>
          </cell>
          <cell r="Z966">
            <v>0.26397496599999998</v>
          </cell>
          <cell r="AB966" t="str">
            <v>2009ID</v>
          </cell>
          <cell r="AC966">
            <v>0</v>
          </cell>
          <cell r="AD966">
            <v>0</v>
          </cell>
          <cell r="AE966">
            <v>0.6</v>
          </cell>
          <cell r="AF966">
            <v>0.4</v>
          </cell>
        </row>
        <row r="967">
          <cell r="B967" t="str">
            <v>2009IL</v>
          </cell>
          <cell r="C967">
            <v>0.13175283144497188</v>
          </cell>
          <cell r="D967">
            <v>0.26046159534668961</v>
          </cell>
          <cell r="E967">
            <v>8.1383349234931596E-2</v>
          </cell>
          <cell r="F967">
            <v>0.43207247933210829</v>
          </cell>
          <cell r="G967">
            <v>4.8182181885357514E-2</v>
          </cell>
          <cell r="H967">
            <v>4.6147562755941125E-2</v>
          </cell>
          <cell r="J967" t="str">
            <v>2009IL</v>
          </cell>
          <cell r="K967">
            <v>0.87043446899999999</v>
          </cell>
          <cell r="L967">
            <v>4.8182181999999997E-2</v>
          </cell>
          <cell r="M967">
            <v>8.1383348999999994E-2</v>
          </cell>
          <cell r="U967" t="str">
            <v>2009IL</v>
          </cell>
          <cell r="V967">
            <v>2.0186552999999999E-2</v>
          </cell>
          <cell r="W967">
            <v>4.5739502000000001E-2</v>
          </cell>
          <cell r="X967">
            <v>0.28028242399999997</v>
          </cell>
          <cell r="Y967">
            <v>0.149587944</v>
          </cell>
          <cell r="Z967">
            <v>0.50420357699999996</v>
          </cell>
          <cell r="AB967" t="str">
            <v>2009IL</v>
          </cell>
          <cell r="AC967">
            <v>0</v>
          </cell>
          <cell r="AD967">
            <v>0</v>
          </cell>
          <cell r="AE967">
            <v>0.02</v>
          </cell>
          <cell r="AF967">
            <v>0.98</v>
          </cell>
        </row>
        <row r="968">
          <cell r="B968" t="str">
            <v>2009IN</v>
          </cell>
          <cell r="C968">
            <v>0.16189917384296076</v>
          </cell>
          <cell r="D968">
            <v>0.24163212738244233</v>
          </cell>
          <cell r="E968">
            <v>0.13392208737361183</v>
          </cell>
          <cell r="F968">
            <v>0.3491044693998876</v>
          </cell>
          <cell r="G968">
            <v>7.9287205957511472E-2</v>
          </cell>
          <cell r="H968">
            <v>3.4154936043586021E-2</v>
          </cell>
          <cell r="J968" t="str">
            <v>2009IN</v>
          </cell>
          <cell r="K968">
            <v>0.78679070699999998</v>
          </cell>
          <cell r="L968">
            <v>7.9287205999999999E-2</v>
          </cell>
          <cell r="M968">
            <v>0.133922087</v>
          </cell>
          <cell r="U968" t="str">
            <v>2009IN</v>
          </cell>
          <cell r="V968">
            <v>2.5489210000000002E-2</v>
          </cell>
          <cell r="W968">
            <v>4.5536079E-2</v>
          </cell>
          <cell r="X968">
            <v>0.27893099599999999</v>
          </cell>
          <cell r="Y968">
            <v>0.14781887399999999</v>
          </cell>
          <cell r="Z968">
            <v>0.50222484099999998</v>
          </cell>
          <cell r="AB968" t="str">
            <v>2009IN</v>
          </cell>
          <cell r="AC968">
            <v>0</v>
          </cell>
          <cell r="AD968">
            <v>0</v>
          </cell>
          <cell r="AE968">
            <v>0</v>
          </cell>
          <cell r="AF968">
            <v>1</v>
          </cell>
        </row>
        <row r="969">
          <cell r="B969" t="str">
            <v>2009IA</v>
          </cell>
          <cell r="C969">
            <v>0.13792614664225575</v>
          </cell>
          <cell r="D969">
            <v>0.25047757969635848</v>
          </cell>
          <cell r="E969">
            <v>0.10477197231415941</v>
          </cell>
          <cell r="F969">
            <v>0.40507493125352922</v>
          </cell>
          <cell r="G969">
            <v>6.2029177638731184E-2</v>
          </cell>
          <cell r="H969">
            <v>3.9720192454965969E-2</v>
          </cell>
          <cell r="J969" t="str">
            <v>2009IA</v>
          </cell>
          <cell r="K969">
            <v>0.83319885000000005</v>
          </cell>
          <cell r="L969">
            <v>6.2029177999999997E-2</v>
          </cell>
          <cell r="M969">
            <v>0.104771972</v>
          </cell>
          <cell r="U969" t="str">
            <v>2009IA</v>
          </cell>
          <cell r="V969">
            <v>9.6502570000000006E-3</v>
          </cell>
          <cell r="W969">
            <v>3.8739974000000003E-2</v>
          </cell>
          <cell r="X969">
            <v>0.12067557499999999</v>
          </cell>
          <cell r="Y969">
            <v>0.47629315999999999</v>
          </cell>
          <cell r="Z969">
            <v>0.35464103499999999</v>
          </cell>
          <cell r="AB969" t="str">
            <v>2009IA</v>
          </cell>
          <cell r="AC969">
            <v>0</v>
          </cell>
          <cell r="AD969">
            <v>0</v>
          </cell>
          <cell r="AE969">
            <v>0</v>
          </cell>
          <cell r="AF969">
            <v>1</v>
          </cell>
        </row>
        <row r="970">
          <cell r="B970" t="str">
            <v>2009KS</v>
          </cell>
          <cell r="C970">
            <v>0.28758404285910905</v>
          </cell>
          <cell r="D970">
            <v>0.32607606753917184</v>
          </cell>
          <cell r="E970">
            <v>5.1050547933917619E-2</v>
          </cell>
          <cell r="F970">
            <v>0.27762124338847843</v>
          </cell>
          <cell r="G970">
            <v>3.0223956239483565E-2</v>
          </cell>
          <cell r="H970">
            <v>2.7444142039839463E-2</v>
          </cell>
          <cell r="J970" t="str">
            <v>2009KS</v>
          </cell>
          <cell r="K970">
            <v>0.91872549599999997</v>
          </cell>
          <cell r="L970">
            <v>3.0223956E-2</v>
          </cell>
          <cell r="M970">
            <v>5.1050548000000001E-2</v>
          </cell>
          <cell r="U970" t="str">
            <v>2009KS</v>
          </cell>
          <cell r="V970">
            <v>2.3647662E-2</v>
          </cell>
          <cell r="W970">
            <v>4.6272377000000003E-2</v>
          </cell>
          <cell r="X970">
            <v>0.28189652199999998</v>
          </cell>
          <cell r="Y970">
            <v>0.13395533500000001</v>
          </cell>
          <cell r="Z970">
            <v>0.51422810299999999</v>
          </cell>
          <cell r="AB970" t="str">
            <v>2009KS</v>
          </cell>
          <cell r="AC970">
            <v>0</v>
          </cell>
          <cell r="AD970">
            <v>0</v>
          </cell>
          <cell r="AE970">
            <v>0.02</v>
          </cell>
          <cell r="AF970">
            <v>0.98</v>
          </cell>
        </row>
        <row r="971">
          <cell r="B971" t="str">
            <v>2009KY</v>
          </cell>
          <cell r="C971">
            <v>2.3305602928070858E-2</v>
          </cell>
          <cell r="D971">
            <v>6.2885861766289422E-2</v>
          </cell>
          <cell r="E971">
            <v>0.14165738300711325</v>
          </cell>
          <cell r="F971">
            <v>0.14315421990856123</v>
          </cell>
          <cell r="G971">
            <v>0.61397716539009373</v>
          </cell>
          <cell r="H971">
            <v>1.5019766999871505E-2</v>
          </cell>
          <cell r="J971" t="str">
            <v>2009KY</v>
          </cell>
          <cell r="K971">
            <v>0.24436545200000004</v>
          </cell>
          <cell r="L971">
            <v>0.61397716499999999</v>
          </cell>
          <cell r="M971">
            <v>0.141657383</v>
          </cell>
          <cell r="U971" t="str">
            <v>2009KY</v>
          </cell>
          <cell r="V971">
            <v>4.9184704000000003E-2</v>
          </cell>
          <cell r="W971">
            <v>3.7321891000000003E-2</v>
          </cell>
          <cell r="X971">
            <v>0.11991215400000001</v>
          </cell>
          <cell r="Y971">
            <v>0.45018075899999999</v>
          </cell>
          <cell r="Z971">
            <v>0.34340049099999997</v>
          </cell>
          <cell r="AB971" t="str">
            <v>2009KY</v>
          </cell>
          <cell r="AC971">
            <v>0</v>
          </cell>
          <cell r="AD971">
            <v>0</v>
          </cell>
          <cell r="AE971">
            <v>0.05</v>
          </cell>
          <cell r="AF971">
            <v>0.95</v>
          </cell>
        </row>
        <row r="972">
          <cell r="B972" t="str">
            <v>2009LA</v>
          </cell>
          <cell r="C972">
            <v>8.7696493950327165E-2</v>
          </cell>
          <cell r="D972">
            <v>6.4637521135916851E-2</v>
          </cell>
          <cell r="E972">
            <v>0.14461730665558523</v>
          </cell>
          <cell r="F972">
            <v>0.10160244529023774</v>
          </cell>
          <cell r="G972">
            <v>0.59641803499629376</v>
          </cell>
          <cell r="H972">
            <v>5.0281979716392446E-3</v>
          </cell>
          <cell r="J972" t="str">
            <v>2009LA</v>
          </cell>
          <cell r="K972">
            <v>0.25896465800000001</v>
          </cell>
          <cell r="L972">
            <v>0.59641803500000001</v>
          </cell>
          <cell r="M972">
            <v>0.144617307</v>
          </cell>
          <cell r="U972" t="str">
            <v>2009LA</v>
          </cell>
          <cell r="V972">
            <v>0.53551704700000002</v>
          </cell>
          <cell r="W972">
            <v>2.0437250000000001E-2</v>
          </cell>
          <cell r="X972">
            <v>0.12819729499999999</v>
          </cell>
          <cell r="Y972">
            <v>9.8005903000000005E-2</v>
          </cell>
          <cell r="Z972">
            <v>0.21784250499999999</v>
          </cell>
          <cell r="AB972" t="str">
            <v>2009LA</v>
          </cell>
          <cell r="AC972">
            <v>0</v>
          </cell>
          <cell r="AD972">
            <v>0</v>
          </cell>
          <cell r="AE972">
            <v>0.6</v>
          </cell>
          <cell r="AF972">
            <v>0.4</v>
          </cell>
        </row>
        <row r="973">
          <cell r="B973" t="str">
            <v>2009ME</v>
          </cell>
          <cell r="C973">
            <v>9.3713015315557757E-2</v>
          </cell>
          <cell r="D973">
            <v>0.17210096338216258</v>
          </cell>
          <cell r="E973">
            <v>0.44837154081607639</v>
          </cell>
          <cell r="F973">
            <v>0.19633313267932656</v>
          </cell>
          <cell r="G973">
            <v>7.0076626899074845E-2</v>
          </cell>
          <cell r="H973">
            <v>1.9404720907801824E-2</v>
          </cell>
          <cell r="J973" t="str">
            <v>2009ME</v>
          </cell>
          <cell r="K973">
            <v>0.48155183200000007</v>
          </cell>
          <cell r="L973">
            <v>7.0076627000000002E-2</v>
          </cell>
          <cell r="M973">
            <v>0.44837154099999998</v>
          </cell>
          <cell r="U973" t="str">
            <v>2009ME</v>
          </cell>
          <cell r="V973">
            <v>0.72920202000000001</v>
          </cell>
          <cell r="W973">
            <v>1.1915111000000001E-2</v>
          </cell>
          <cell r="X973">
            <v>7.4740241999999998E-2</v>
          </cell>
          <cell r="Y973">
            <v>5.7138373999999999E-2</v>
          </cell>
          <cell r="Z973">
            <v>0.12700425300000001</v>
          </cell>
          <cell r="AB973" t="str">
            <v>2009ME</v>
          </cell>
          <cell r="AC973">
            <v>0</v>
          </cell>
          <cell r="AD973">
            <v>0</v>
          </cell>
          <cell r="AE973">
            <v>0.05</v>
          </cell>
          <cell r="AF973">
            <v>0.95</v>
          </cell>
        </row>
        <row r="974">
          <cell r="B974" t="str">
            <v>2009MD</v>
          </cell>
          <cell r="C974">
            <v>7.6488535055593554E-2</v>
          </cell>
          <cell r="D974">
            <v>0.15472472257238745</v>
          </cell>
          <cell r="E974">
            <v>0.44380834258126728</v>
          </cell>
          <cell r="F974">
            <v>0.22861605738914034</v>
          </cell>
          <cell r="G974">
            <v>6.5960402236453913E-2</v>
          </cell>
          <cell r="H974">
            <v>3.0401940165157418E-2</v>
          </cell>
          <cell r="J974" t="str">
            <v>2009MD</v>
          </cell>
          <cell r="K974">
            <v>0.49023125499999998</v>
          </cell>
          <cell r="L974">
            <v>6.5960402000000001E-2</v>
          </cell>
          <cell r="M974">
            <v>0.44380834299999999</v>
          </cell>
          <cell r="U974" t="str">
            <v>2009MD</v>
          </cell>
          <cell r="V974">
            <v>0.21140679400000001</v>
          </cell>
          <cell r="W974">
            <v>3.7602905999999998E-2</v>
          </cell>
          <cell r="X974">
            <v>0.214504853</v>
          </cell>
          <cell r="Y974">
            <v>0.15671048400000001</v>
          </cell>
          <cell r="Z974">
            <v>0.37977496300000002</v>
          </cell>
          <cell r="AB974" t="str">
            <v>2009MD</v>
          </cell>
          <cell r="AC974">
            <v>0</v>
          </cell>
          <cell r="AD974">
            <v>0</v>
          </cell>
          <cell r="AE974">
            <v>0.05</v>
          </cell>
          <cell r="AF974">
            <v>0.95</v>
          </cell>
        </row>
        <row r="975">
          <cell r="B975" t="str">
            <v>2009MA</v>
          </cell>
          <cell r="C975">
            <v>6.1305440163427552E-2</v>
          </cell>
          <cell r="D975">
            <v>0.14874705508142777</v>
          </cell>
          <cell r="E975">
            <v>0.45216403673004657</v>
          </cell>
          <cell r="F975">
            <v>0.23617268276189021</v>
          </cell>
          <cell r="G975">
            <v>7.3497640935872632E-2</v>
          </cell>
          <cell r="H975">
            <v>2.8113144327335336E-2</v>
          </cell>
          <cell r="J975" t="str">
            <v>2009MA</v>
          </cell>
          <cell r="K975">
            <v>0.47433832199999992</v>
          </cell>
          <cell r="L975">
            <v>7.3497641000000002E-2</v>
          </cell>
          <cell r="M975">
            <v>0.45216403700000002</v>
          </cell>
          <cell r="U975" t="str">
            <v>2009MA</v>
          </cell>
          <cell r="V975">
            <v>0.31419575799999999</v>
          </cell>
          <cell r="W975">
            <v>3.0175387000000001E-2</v>
          </cell>
          <cell r="X975">
            <v>0.18928197099999999</v>
          </cell>
          <cell r="Y975">
            <v>0.14470469499999999</v>
          </cell>
          <cell r="Z975">
            <v>0.32164218900000002</v>
          </cell>
          <cell r="AB975" t="str">
            <v>2009MA</v>
          </cell>
          <cell r="AC975">
            <v>0</v>
          </cell>
          <cell r="AD975">
            <v>0</v>
          </cell>
          <cell r="AE975">
            <v>0.05</v>
          </cell>
          <cell r="AF975">
            <v>0.95</v>
          </cell>
        </row>
        <row r="976">
          <cell r="B976" t="str">
            <v>2009MI</v>
          </cell>
          <cell r="C976">
            <v>0.21592740095911189</v>
          </cell>
          <cell r="D976">
            <v>0.33044604004991018</v>
          </cell>
          <cell r="E976">
            <v>5.8998863632555826E-2</v>
          </cell>
          <cell r="F976">
            <v>0.32074430847532459</v>
          </cell>
          <cell r="G976">
            <v>3.4929675483950956E-2</v>
          </cell>
          <cell r="H976">
            <v>3.8953711399146676E-2</v>
          </cell>
          <cell r="J976" t="str">
            <v>2009MI</v>
          </cell>
          <cell r="K976">
            <v>0.90607146100000002</v>
          </cell>
          <cell r="L976">
            <v>3.4929675E-2</v>
          </cell>
          <cell r="M976">
            <v>5.8998863999999998E-2</v>
          </cell>
          <cell r="U976" t="str">
            <v>2009MI</v>
          </cell>
          <cell r="V976">
            <v>4.5127237000000001E-2</v>
          </cell>
          <cell r="W976">
            <v>5.0500046999999999E-2</v>
          </cell>
          <cell r="X976">
            <v>0.254352099</v>
          </cell>
          <cell r="Y976">
            <v>0.17319266699999999</v>
          </cell>
          <cell r="Z976">
            <v>0.47682794899999997</v>
          </cell>
          <cell r="AB976" t="str">
            <v>2009MI</v>
          </cell>
          <cell r="AC976">
            <v>0</v>
          </cell>
          <cell r="AD976">
            <v>0</v>
          </cell>
          <cell r="AE976">
            <v>0.02</v>
          </cell>
          <cell r="AF976">
            <v>0.98</v>
          </cell>
        </row>
        <row r="977">
          <cell r="B977" t="str">
            <v>2009MN</v>
          </cell>
          <cell r="C977">
            <v>0.11559741536790068</v>
          </cell>
          <cell r="D977">
            <v>0.23915415867765383</v>
          </cell>
          <cell r="E977">
            <v>0.10052931481156221</v>
          </cell>
          <cell r="F977">
            <v>0.43822851849088174</v>
          </cell>
          <cell r="G977">
            <v>5.9517355535203494E-2</v>
          </cell>
          <cell r="H977">
            <v>4.697323711679801E-2</v>
          </cell>
          <cell r="J977" t="str">
            <v>2009MN</v>
          </cell>
          <cell r="K977">
            <v>0.83995332899999997</v>
          </cell>
          <cell r="L977">
            <v>5.9517356E-2</v>
          </cell>
          <cell r="M977">
            <v>0.10052931499999999</v>
          </cell>
          <cell r="U977" t="str">
            <v>2009MN</v>
          </cell>
          <cell r="V977">
            <v>1.5145339000000001E-2</v>
          </cell>
          <cell r="W977">
            <v>5.1986831999999997E-2</v>
          </cell>
          <cell r="X977">
            <v>0.262445557</v>
          </cell>
          <cell r="Y977">
            <v>0.17896024199999999</v>
          </cell>
          <cell r="Z977">
            <v>0.49146202900000002</v>
          </cell>
          <cell r="AB977" t="str">
            <v>2009MN</v>
          </cell>
          <cell r="AC977">
            <v>0</v>
          </cell>
          <cell r="AD977">
            <v>0</v>
          </cell>
          <cell r="AE977">
            <v>0</v>
          </cell>
          <cell r="AF977">
            <v>1</v>
          </cell>
        </row>
        <row r="978">
          <cell r="B978" t="str">
            <v>2009MS</v>
          </cell>
          <cell r="C978">
            <v>0.10416334210611014</v>
          </cell>
          <cell r="D978">
            <v>7.2829933678422776E-2</v>
          </cell>
          <cell r="E978">
            <v>0.14929269604113307</v>
          </cell>
          <cell r="F978">
            <v>0.10019278631941281</v>
          </cell>
          <cell r="G978">
            <v>0.56868226150598644</v>
          </cell>
          <cell r="H978">
            <v>4.838980348934833E-3</v>
          </cell>
          <cell r="J978" t="str">
            <v>2009MS</v>
          </cell>
          <cell r="K978">
            <v>0.28202504199999989</v>
          </cell>
          <cell r="L978">
            <v>0.56868226200000005</v>
          </cell>
          <cell r="M978">
            <v>0.149292696</v>
          </cell>
          <cell r="U978" t="str">
            <v>2009MS</v>
          </cell>
          <cell r="V978">
            <v>2.1100625000000001E-2</v>
          </cell>
          <cell r="W978">
            <v>3.6418512E-2</v>
          </cell>
          <cell r="X978">
            <v>6.0129593000000002E-2</v>
          </cell>
          <cell r="Y978">
            <v>0.574366987</v>
          </cell>
          <cell r="Z978">
            <v>0.30798428300000003</v>
          </cell>
          <cell r="AB978" t="str">
            <v>2009MS</v>
          </cell>
          <cell r="AC978">
            <v>0</v>
          </cell>
          <cell r="AD978">
            <v>0</v>
          </cell>
          <cell r="AE978">
            <v>0.6</v>
          </cell>
          <cell r="AF978">
            <v>0.4</v>
          </cell>
        </row>
        <row r="979">
          <cell r="B979" t="str">
            <v>2009MO</v>
          </cell>
          <cell r="C979">
            <v>6.4925479522277466E-2</v>
          </cell>
          <cell r="D979">
            <v>0.18170303563698134</v>
          </cell>
          <cell r="E979">
            <v>0.14337282997597614</v>
          </cell>
          <cell r="F979">
            <v>0.47880340852502545</v>
          </cell>
          <cell r="G979">
            <v>8.4882421727070459E-2</v>
          </cell>
          <cell r="H979">
            <v>4.6312824612669105E-2</v>
          </cell>
          <cell r="J979" t="str">
            <v>2009MO</v>
          </cell>
          <cell r="K979">
            <v>0.77174474799999992</v>
          </cell>
          <cell r="L979">
            <v>8.4882421999999999E-2</v>
          </cell>
          <cell r="M979">
            <v>0.14337283000000001</v>
          </cell>
          <cell r="U979" t="str">
            <v>2009MO</v>
          </cell>
          <cell r="V979">
            <v>2.998994E-2</v>
          </cell>
          <cell r="W979">
            <v>4.5757142000000001E-2</v>
          </cell>
          <cell r="X979">
            <v>0.27926039899999999</v>
          </cell>
          <cell r="Y979">
            <v>0.13775391300000001</v>
          </cell>
          <cell r="Z979">
            <v>0.50723860600000004</v>
          </cell>
          <cell r="AB979" t="str">
            <v>2009MO</v>
          </cell>
          <cell r="AC979">
            <v>0</v>
          </cell>
          <cell r="AD979">
            <v>0</v>
          </cell>
          <cell r="AE979">
            <v>0</v>
          </cell>
          <cell r="AF979">
            <v>1</v>
          </cell>
        </row>
        <row r="980">
          <cell r="B980" t="str">
            <v>2009MT</v>
          </cell>
          <cell r="C980">
            <v>0.35597781750083307</v>
          </cell>
          <cell r="D980">
            <v>0.25924389885240834</v>
          </cell>
          <cell r="E980">
            <v>4.3797789125912777E-2</v>
          </cell>
          <cell r="F980">
            <v>0.25058080537727367</v>
          </cell>
          <cell r="G980">
            <v>2.5930034358127463E-2</v>
          </cell>
          <cell r="H980">
            <v>6.4469654785444572E-2</v>
          </cell>
          <cell r="J980" t="str">
            <v>2009MT</v>
          </cell>
          <cell r="K980">
            <v>0.93027217699999998</v>
          </cell>
          <cell r="L980">
            <v>2.5930034000000001E-2</v>
          </cell>
          <cell r="M980">
            <v>4.3797788999999997E-2</v>
          </cell>
          <cell r="U980" t="str">
            <v>2009MT</v>
          </cell>
          <cell r="V980">
            <v>6.0520032000000001E-2</v>
          </cell>
          <cell r="W980">
            <v>5.1214043000000001E-2</v>
          </cell>
          <cell r="X980">
            <v>0.24859647000000001</v>
          </cell>
          <cell r="Y980">
            <v>0.16530719099999999</v>
          </cell>
          <cell r="Z980">
            <v>0.47436226399999998</v>
          </cell>
          <cell r="AB980" t="str">
            <v>2009MT</v>
          </cell>
          <cell r="AC980">
            <v>0</v>
          </cell>
          <cell r="AD980">
            <v>0</v>
          </cell>
          <cell r="AE980">
            <v>0.6</v>
          </cell>
          <cell r="AF980">
            <v>0.4</v>
          </cell>
        </row>
        <row r="981">
          <cell r="B981" t="str">
            <v>2009NE</v>
          </cell>
          <cell r="C981">
            <v>0.21260954807532403</v>
          </cell>
          <cell r="D981">
            <v>0.30324255962083846</v>
          </cell>
          <cell r="E981">
            <v>6.1277054134417128E-2</v>
          </cell>
          <cell r="F981">
            <v>0.34696077142199511</v>
          </cell>
          <cell r="G981">
            <v>3.6278454935301678E-2</v>
          </cell>
          <cell r="H981">
            <v>3.9631611812123581E-2</v>
          </cell>
          <cell r="J981" t="str">
            <v>2009NE</v>
          </cell>
          <cell r="K981">
            <v>0.90244449100000002</v>
          </cell>
          <cell r="L981">
            <v>3.6278455000000001E-2</v>
          </cell>
          <cell r="M981">
            <v>6.1277053999999997E-2</v>
          </cell>
          <cell r="U981" t="str">
            <v>2009NE</v>
          </cell>
          <cell r="V981">
            <v>3.0063880000000001E-2</v>
          </cell>
          <cell r="W981">
            <v>4.5295173000000001E-2</v>
          </cell>
          <cell r="X981">
            <v>0.27751980599999998</v>
          </cell>
          <cell r="Y981">
            <v>0.147715386</v>
          </cell>
          <cell r="Z981">
            <v>0.49940575500000001</v>
          </cell>
          <cell r="AB981" t="str">
            <v>2009NE</v>
          </cell>
          <cell r="AC981">
            <v>0</v>
          </cell>
          <cell r="AD981">
            <v>0</v>
          </cell>
          <cell r="AE981">
            <v>0.02</v>
          </cell>
          <cell r="AF981">
            <v>0.98</v>
          </cell>
        </row>
        <row r="982">
          <cell r="B982" t="str">
            <v>2009NV</v>
          </cell>
          <cell r="C982">
            <v>0.64210148526116029</v>
          </cell>
          <cell r="D982">
            <v>0.238399883587257</v>
          </cell>
          <cell r="E982">
            <v>4.1594375177217181E-3</v>
          </cell>
          <cell r="F982">
            <v>0.10819864870890922</v>
          </cell>
          <cell r="G982">
            <v>2.4625525602432058E-3</v>
          </cell>
          <cell r="H982">
            <v>4.677992364708553E-3</v>
          </cell>
          <cell r="J982" t="str">
            <v>2009NV</v>
          </cell>
          <cell r="K982">
            <v>0.99337800899999995</v>
          </cell>
          <cell r="L982">
            <v>2.4625530000000001E-3</v>
          </cell>
          <cell r="M982">
            <v>4.1594379999999997E-3</v>
          </cell>
          <cell r="U982" t="str">
            <v>2009NV</v>
          </cell>
          <cell r="V982">
            <v>0.35004114600000003</v>
          </cell>
          <cell r="W982">
            <v>2.4048478000000002E-2</v>
          </cell>
          <cell r="X982">
            <v>3.5747737000000002E-2</v>
          </cell>
          <cell r="Y982">
            <v>0.38867539400000001</v>
          </cell>
          <cell r="Z982">
            <v>0.20148724500000001</v>
          </cell>
          <cell r="AB982" t="str">
            <v>2009NV</v>
          </cell>
          <cell r="AC982">
            <v>0</v>
          </cell>
          <cell r="AD982">
            <v>0</v>
          </cell>
          <cell r="AE982">
            <v>0</v>
          </cell>
          <cell r="AF982">
            <v>1</v>
          </cell>
        </row>
        <row r="983">
          <cell r="B983" t="str">
            <v>2009NH</v>
          </cell>
          <cell r="C983">
            <v>9.4573445198850817E-2</v>
          </cell>
          <cell r="D983">
            <v>0.16340842518862655</v>
          </cell>
          <cell r="E983">
            <v>0.44298025846087286</v>
          </cell>
          <cell r="F983">
            <v>0.20852129702854144</v>
          </cell>
          <cell r="G983">
            <v>6.52134304627775E-2</v>
          </cell>
          <cell r="H983">
            <v>2.5303143660330828E-2</v>
          </cell>
          <cell r="J983" t="str">
            <v>2009NH</v>
          </cell>
          <cell r="K983">
            <v>0.49180631200000002</v>
          </cell>
          <cell r="L983">
            <v>6.5213430000000003E-2</v>
          </cell>
          <cell r="M983">
            <v>0.44298025800000002</v>
          </cell>
          <cell r="U983" t="str">
            <v>2009NH</v>
          </cell>
          <cell r="V983">
            <v>0.56759962799999997</v>
          </cell>
          <cell r="W983">
            <v>1.9025615999999999E-2</v>
          </cell>
          <cell r="X983">
            <v>0.119342503</v>
          </cell>
          <cell r="Y983">
            <v>9.1236478999999995E-2</v>
          </cell>
          <cell r="Z983">
            <v>0.20279577500000001</v>
          </cell>
          <cell r="AB983" t="str">
            <v>2009NH</v>
          </cell>
          <cell r="AC983">
            <v>0</v>
          </cell>
          <cell r="AD983">
            <v>0</v>
          </cell>
          <cell r="AE983">
            <v>0.05</v>
          </cell>
          <cell r="AF983">
            <v>0.95</v>
          </cell>
        </row>
        <row r="984">
          <cell r="B984" t="str">
            <v>2009NJ</v>
          </cell>
          <cell r="C984">
            <v>5.8003576611346738E-2</v>
          </cell>
          <cell r="D984">
            <v>0.13897871355240557</v>
          </cell>
          <cell r="E984">
            <v>0.45397029129837874</v>
          </cell>
          <cell r="F984">
            <v>0.24471653627570109</v>
          </cell>
          <cell r="G984">
            <v>7.5126969581826603E-2</v>
          </cell>
          <cell r="H984">
            <v>2.9203912680341212E-2</v>
          </cell>
          <cell r="J984" t="str">
            <v>2009NJ</v>
          </cell>
          <cell r="K984">
            <v>0.47090273900000001</v>
          </cell>
          <cell r="L984">
            <v>7.5126970000000001E-2</v>
          </cell>
          <cell r="M984">
            <v>0.45397029100000003</v>
          </cell>
          <cell r="U984" t="str">
            <v>2009NJ</v>
          </cell>
          <cell r="V984">
            <v>0.30808167400000003</v>
          </cell>
          <cell r="W984">
            <v>3.3011736E-2</v>
          </cell>
          <cell r="X984">
            <v>0.18818818500000001</v>
          </cell>
          <cell r="Y984">
            <v>0.137437002</v>
          </cell>
          <cell r="Z984">
            <v>0.333281404</v>
          </cell>
          <cell r="AB984" t="str">
            <v>2009NJ</v>
          </cell>
          <cell r="AC984">
            <v>0</v>
          </cell>
          <cell r="AD984">
            <v>0</v>
          </cell>
          <cell r="AE984">
            <v>0.05</v>
          </cell>
          <cell r="AF984">
            <v>0.95</v>
          </cell>
        </row>
        <row r="985">
          <cell r="B985" t="str">
            <v>2009NM</v>
          </cell>
          <cell r="C985">
            <v>0.61184589317007076</v>
          </cell>
          <cell r="D985">
            <v>0.19452029294367307</v>
          </cell>
          <cell r="E985">
            <v>9.8952813124742175E-2</v>
          </cell>
          <cell r="F985">
            <v>9.4174237847419268E-2</v>
          </cell>
          <cell r="G985">
            <v>0</v>
          </cell>
          <cell r="H985">
            <v>5.0676291409465751E-4</v>
          </cell>
          <cell r="J985" t="str">
            <v>2009NM</v>
          </cell>
          <cell r="K985">
            <v>0.90104718699999997</v>
          </cell>
          <cell r="L985">
            <v>0</v>
          </cell>
          <cell r="M985">
            <v>9.8952813000000001E-2</v>
          </cell>
          <cell r="U985" t="str">
            <v>2009NM</v>
          </cell>
          <cell r="V985">
            <v>0.91655606099999998</v>
          </cell>
          <cell r="W985">
            <v>3.6715329999999998E-3</v>
          </cell>
          <cell r="X985">
            <v>2.3030526999999999E-2</v>
          </cell>
          <cell r="Y985">
            <v>1.7606671000000001E-2</v>
          </cell>
          <cell r="Z985">
            <v>3.9135206999999998E-2</v>
          </cell>
          <cell r="AB985" t="str">
            <v>2009NM</v>
          </cell>
          <cell r="AC985">
            <v>0</v>
          </cell>
          <cell r="AD985">
            <v>0</v>
          </cell>
          <cell r="AE985">
            <v>0.6</v>
          </cell>
          <cell r="AF985">
            <v>0.4</v>
          </cell>
        </row>
        <row r="986">
          <cell r="B986" t="str">
            <v>2009NY</v>
          </cell>
          <cell r="C986">
            <v>9.8408703041683282E-2</v>
          </cell>
          <cell r="D986">
            <v>0.15954377256245178</v>
          </cell>
          <cell r="E986">
            <v>0.44849165243165579</v>
          </cell>
          <cell r="F986">
            <v>0.20287733376538455</v>
          </cell>
          <cell r="G986">
            <v>7.0184973363303343E-2</v>
          </cell>
          <cell r="H986">
            <v>2.0493564835521279E-2</v>
          </cell>
          <cell r="J986" t="str">
            <v>2009NY</v>
          </cell>
          <cell r="K986">
            <v>0.481323375</v>
          </cell>
          <cell r="L986">
            <v>7.0184972999999998E-2</v>
          </cell>
          <cell r="M986">
            <v>0.44849165200000002</v>
          </cell>
          <cell r="U986" t="str">
            <v>2009NY</v>
          </cell>
          <cell r="V986">
            <v>0.20441514899999999</v>
          </cell>
          <cell r="W986">
            <v>4.1815811000000001E-2</v>
          </cell>
          <cell r="X986">
            <v>0.21220383400000001</v>
          </cell>
          <cell r="Y986">
            <v>0.145168144</v>
          </cell>
          <cell r="Z986">
            <v>0.396397061</v>
          </cell>
          <cell r="AB986" t="str">
            <v>2009NY</v>
          </cell>
          <cell r="AC986">
            <v>0</v>
          </cell>
          <cell r="AD986">
            <v>0</v>
          </cell>
          <cell r="AE986">
            <v>0.05</v>
          </cell>
          <cell r="AF986">
            <v>0.95</v>
          </cell>
        </row>
        <row r="987">
          <cell r="B987" t="str">
            <v>2009NC</v>
          </cell>
          <cell r="C987">
            <v>6.168821577504751E-2</v>
          </cell>
          <cell r="D987">
            <v>0.11278426418396881</v>
          </cell>
          <cell r="E987">
            <v>0.15395779991170949</v>
          </cell>
          <cell r="F987">
            <v>0.11589101949636353</v>
          </cell>
          <cell r="G987">
            <v>0.54100750469043157</v>
          </cell>
          <cell r="H987">
            <v>1.4671195942479084E-2</v>
          </cell>
          <cell r="J987" t="str">
            <v>2009NC</v>
          </cell>
          <cell r="K987">
            <v>0.30503469499999991</v>
          </cell>
          <cell r="L987">
            <v>0.54100750500000006</v>
          </cell>
          <cell r="M987">
            <v>0.15395780000000001</v>
          </cell>
          <cell r="U987" t="str">
            <v>2009NC</v>
          </cell>
          <cell r="V987">
            <v>2.4742549999999999E-3</v>
          </cell>
          <cell r="W987">
            <v>3.7123251000000003E-2</v>
          </cell>
          <cell r="X987">
            <v>6.1645423999999997E-2</v>
          </cell>
          <cell r="Y987">
            <v>0.58464508599999998</v>
          </cell>
          <cell r="Z987">
            <v>0.31411198400000001</v>
          </cell>
          <cell r="AB987" t="str">
            <v>2009NC</v>
          </cell>
          <cell r="AC987">
            <v>0</v>
          </cell>
          <cell r="AD987">
            <v>0</v>
          </cell>
          <cell r="AE987">
            <v>0.41899999999999998</v>
          </cell>
          <cell r="AF987">
            <v>0.58099999999999996</v>
          </cell>
        </row>
        <row r="988">
          <cell r="B988" t="str">
            <v>2009ND</v>
          </cell>
          <cell r="C988">
            <v>0.1196932700797023</v>
          </cell>
          <cell r="D988">
            <v>0.21866711268457967</v>
          </cell>
          <cell r="E988">
            <v>0.10978970169096619</v>
          </cell>
          <cell r="F988">
            <v>0.448028418369537</v>
          </cell>
          <cell r="G988">
            <v>6.499987314042277E-2</v>
          </cell>
          <cell r="H988">
            <v>3.8821624034792085E-2</v>
          </cell>
          <cell r="J988" t="str">
            <v>2009ND</v>
          </cell>
          <cell r="K988">
            <v>0.82521042499999997</v>
          </cell>
          <cell r="L988">
            <v>6.4999873E-2</v>
          </cell>
          <cell r="M988">
            <v>0.109789702</v>
          </cell>
          <cell r="U988" t="str">
            <v>2009ND</v>
          </cell>
          <cell r="V988">
            <v>8.8434773999999994E-2</v>
          </cell>
          <cell r="W988">
            <v>4.7868137999999998E-2</v>
          </cell>
          <cell r="X988">
            <v>0.243186129</v>
          </cell>
          <cell r="Y988">
            <v>0.16647603599999999</v>
          </cell>
          <cell r="Z988">
            <v>0.45403492299999998</v>
          </cell>
          <cell r="AB988" t="str">
            <v>2009ND</v>
          </cell>
          <cell r="AC988">
            <v>0</v>
          </cell>
          <cell r="AD988">
            <v>0</v>
          </cell>
          <cell r="AE988">
            <v>0.02</v>
          </cell>
          <cell r="AF988">
            <v>0.98</v>
          </cell>
        </row>
        <row r="989">
          <cell r="B989" t="str">
            <v>2009OH</v>
          </cell>
          <cell r="C989">
            <v>0.10753833947858983</v>
          </cell>
          <cell r="D989">
            <v>0.22522557822049544</v>
          </cell>
          <cell r="E989">
            <v>0.13589110116557596</v>
          </cell>
          <cell r="F989">
            <v>0.4097570212201273</v>
          </cell>
          <cell r="G989">
            <v>8.0452940491062386E-2</v>
          </cell>
          <cell r="H989">
            <v>4.1135019424149183E-2</v>
          </cell>
          <cell r="J989" t="str">
            <v>2009OH</v>
          </cell>
          <cell r="K989">
            <v>0.78365595900000007</v>
          </cell>
          <cell r="L989">
            <v>8.0452940000000001E-2</v>
          </cell>
          <cell r="M989">
            <v>0.13589110099999999</v>
          </cell>
          <cell r="U989" t="str">
            <v>2009OH</v>
          </cell>
          <cell r="V989">
            <v>6.6338901000000006E-2</v>
          </cell>
          <cell r="W989">
            <v>4.3119113000000001E-2</v>
          </cell>
          <cell r="X989">
            <v>0.26533305600000001</v>
          </cell>
          <cell r="Y989">
            <v>0.15267545299999999</v>
          </cell>
          <cell r="Z989">
            <v>0.47253347699999998</v>
          </cell>
          <cell r="AB989" t="str">
            <v>2009OH</v>
          </cell>
          <cell r="AC989">
            <v>0</v>
          </cell>
          <cell r="AD989">
            <v>0</v>
          </cell>
          <cell r="AE989">
            <v>0</v>
          </cell>
          <cell r="AF989">
            <v>1</v>
          </cell>
        </row>
        <row r="990">
          <cell r="B990" t="str">
            <v>2009OK</v>
          </cell>
          <cell r="C990">
            <v>0.40296958934788546</v>
          </cell>
          <cell r="D990">
            <v>0.22528492954061258</v>
          </cell>
          <cell r="E990">
            <v>6.4896255940651446E-2</v>
          </cell>
          <cell r="F990">
            <v>0.24738177570149189</v>
          </cell>
          <cell r="G990">
            <v>0</v>
          </cell>
          <cell r="H990">
            <v>5.9467449469358676E-2</v>
          </cell>
          <cell r="J990" t="str">
            <v>2009OK</v>
          </cell>
          <cell r="K990">
            <v>0.93510374399999996</v>
          </cell>
          <cell r="L990">
            <v>0</v>
          </cell>
          <cell r="M990">
            <v>6.4896255999999999E-2</v>
          </cell>
          <cell r="U990" t="str">
            <v>2009OK</v>
          </cell>
          <cell r="V990">
            <v>1.2831308E-2</v>
          </cell>
          <cell r="W990">
            <v>3.6793041999999998E-2</v>
          </cell>
          <cell r="X990">
            <v>6.2749109999999997E-2</v>
          </cell>
          <cell r="Y990">
            <v>0.57552135800000004</v>
          </cell>
          <cell r="Z990">
            <v>0.31210518199999998</v>
          </cell>
          <cell r="AB990" t="str">
            <v>2009OK</v>
          </cell>
          <cell r="AC990">
            <v>0</v>
          </cell>
          <cell r="AD990">
            <v>0</v>
          </cell>
          <cell r="AE990">
            <v>0.6</v>
          </cell>
          <cell r="AF990">
            <v>0.4</v>
          </cell>
        </row>
        <row r="991">
          <cell r="B991" t="str">
            <v>2009OR</v>
          </cell>
          <cell r="C991">
            <v>0.43856747008812064</v>
          </cell>
          <cell r="D991">
            <v>0.20958259090942544</v>
          </cell>
          <cell r="E991">
            <v>0</v>
          </cell>
          <cell r="F991">
            <v>0.12862948158709187</v>
          </cell>
          <cell r="G991">
            <v>0.2018533708975031</v>
          </cell>
          <cell r="H991">
            <v>2.1367086517858933E-2</v>
          </cell>
          <cell r="J991" t="str">
            <v>2009OR</v>
          </cell>
          <cell r="K991">
            <v>0.798146629</v>
          </cell>
          <cell r="L991">
            <v>0.201853371</v>
          </cell>
          <cell r="M991">
            <v>0</v>
          </cell>
          <cell r="U991" t="str">
            <v>2009OR</v>
          </cell>
          <cell r="V991">
            <v>0.57640796000000005</v>
          </cell>
          <cell r="W991">
            <v>1.863805E-2</v>
          </cell>
          <cell r="X991">
            <v>0.116911403</v>
          </cell>
          <cell r="Y991">
            <v>8.937792E-2</v>
          </cell>
          <cell r="Z991">
            <v>0.19866466699999999</v>
          </cell>
          <cell r="AB991" t="str">
            <v>2009OR</v>
          </cell>
          <cell r="AC991">
            <v>0</v>
          </cell>
          <cell r="AD991">
            <v>0</v>
          </cell>
          <cell r="AE991">
            <v>0.25</v>
          </cell>
          <cell r="AF991">
            <v>0.75</v>
          </cell>
        </row>
        <row r="992">
          <cell r="B992" t="str">
            <v>2009PA</v>
          </cell>
          <cell r="C992">
            <v>4.9624045569858895E-2</v>
          </cell>
          <cell r="D992">
            <v>0.11712497857538914</v>
          </cell>
          <cell r="E992">
            <v>0.46874549019831585</v>
          </cell>
          <cell r="F992">
            <v>0.25230966018477574</v>
          </cell>
          <cell r="G992">
            <v>8.8454910858433447E-2</v>
          </cell>
          <cell r="H992">
            <v>2.3740914613226898E-2</v>
          </cell>
          <cell r="J992" t="str">
            <v>2009PA</v>
          </cell>
          <cell r="K992">
            <v>0.44279959899999999</v>
          </cell>
          <cell r="L992">
            <v>8.8454910999999997E-2</v>
          </cell>
          <cell r="M992">
            <v>0.46874548999999999</v>
          </cell>
          <cell r="U992" t="str">
            <v>2009PA</v>
          </cell>
          <cell r="V992">
            <v>5.0102499000000002E-2</v>
          </cell>
          <cell r="W992">
            <v>4.9409870000000002E-2</v>
          </cell>
          <cell r="X992">
            <v>0.25392279899999998</v>
          </cell>
          <cell r="Y992">
            <v>0.17504710600000001</v>
          </cell>
          <cell r="Z992">
            <v>0.47151772600000003</v>
          </cell>
          <cell r="AB992" t="str">
            <v>2009PA</v>
          </cell>
          <cell r="AC992">
            <v>0</v>
          </cell>
          <cell r="AD992">
            <v>0</v>
          </cell>
          <cell r="AE992">
            <v>0</v>
          </cell>
          <cell r="AF992">
            <v>1</v>
          </cell>
        </row>
        <row r="993">
          <cell r="B993" t="str">
            <v>2009RI</v>
          </cell>
          <cell r="C993">
            <v>4.2447025005926793E-2</v>
          </cell>
          <cell r="D993">
            <v>0.1190174947032642</v>
          </cell>
          <cell r="E993">
            <v>0.46784468707451643</v>
          </cell>
          <cell r="F993">
            <v>0.25730854976835782</v>
          </cell>
          <cell r="G993">
            <v>8.7642343040085183E-2</v>
          </cell>
          <cell r="H993">
            <v>2.5739900407849584E-2</v>
          </cell>
          <cell r="J993" t="str">
            <v>2009RI</v>
          </cell>
          <cell r="K993">
            <v>0.44451297000000001</v>
          </cell>
          <cell r="L993">
            <v>8.7642342999999998E-2</v>
          </cell>
          <cell r="M993">
            <v>0.46784468699999998</v>
          </cell>
          <cell r="U993" t="str">
            <v>2009RI</v>
          </cell>
          <cell r="V993">
            <v>0.56026879500000004</v>
          </cell>
          <cell r="W993">
            <v>1.9348173E-2</v>
          </cell>
          <cell r="X993">
            <v>0.121365813</v>
          </cell>
          <cell r="Y993">
            <v>9.2783283999999994E-2</v>
          </cell>
          <cell r="Z993">
            <v>0.20623393500000001</v>
          </cell>
          <cell r="AB993" t="str">
            <v>2009RI</v>
          </cell>
          <cell r="AC993">
            <v>0</v>
          </cell>
          <cell r="AD993">
            <v>0</v>
          </cell>
          <cell r="AE993">
            <v>0.05</v>
          </cell>
          <cell r="AF993">
            <v>0.95</v>
          </cell>
        </row>
        <row r="994">
          <cell r="B994" t="str">
            <v>2009SC</v>
          </cell>
          <cell r="C994">
            <v>0.13346180610825578</v>
          </cell>
          <cell r="D994">
            <v>9.0019723091430845E-2</v>
          </cell>
          <cell r="E994">
            <v>0.15451296947775242</v>
          </cell>
          <cell r="F994">
            <v>8.0687406490411034E-2</v>
          </cell>
          <cell r="G994">
            <v>0.53771407690020812</v>
          </cell>
          <cell r="H994">
            <v>3.6040179319418398E-3</v>
          </cell>
          <cell r="J994" t="str">
            <v>2009SC</v>
          </cell>
          <cell r="K994">
            <v>0.30777295400000004</v>
          </cell>
          <cell r="L994">
            <v>0.53771407699999996</v>
          </cell>
          <cell r="M994">
            <v>0.154512969</v>
          </cell>
          <cell r="U994" t="str">
            <v>2009SC</v>
          </cell>
          <cell r="V994">
            <v>6.1629585000000001E-2</v>
          </cell>
          <cell r="W994">
            <v>3.5823032999999997E-2</v>
          </cell>
          <cell r="X994">
            <v>8.6443989999999998E-2</v>
          </cell>
          <cell r="Y994">
            <v>0.50014727299999995</v>
          </cell>
          <cell r="Z994">
            <v>0.31595611899999998</v>
          </cell>
          <cell r="AB994" t="str">
            <v>2009SC</v>
          </cell>
          <cell r="AC994">
            <v>0</v>
          </cell>
          <cell r="AD994">
            <v>0</v>
          </cell>
          <cell r="AE994">
            <v>0.6</v>
          </cell>
          <cell r="AF994">
            <v>0.4</v>
          </cell>
        </row>
        <row r="995">
          <cell r="B995" t="str">
            <v>2009SD</v>
          </cell>
          <cell r="C995">
            <v>0.17608951911561277</v>
          </cell>
          <cell r="D995">
            <v>0.277831368160596</v>
          </cell>
          <cell r="E995">
            <v>7.9800561964795444E-2</v>
          </cell>
          <cell r="F995">
            <v>0.37802114842972712</v>
          </cell>
          <cell r="G995">
            <v>4.724510882492864E-2</v>
          </cell>
          <cell r="H995">
            <v>4.1012293504340026E-2</v>
          </cell>
          <cell r="J995" t="str">
            <v>2009SD</v>
          </cell>
          <cell r="K995">
            <v>0.87295432900000003</v>
          </cell>
          <cell r="L995">
            <v>4.7245109E-2</v>
          </cell>
          <cell r="M995">
            <v>7.9800562000000005E-2</v>
          </cell>
          <cell r="U995" t="str">
            <v>2009SD</v>
          </cell>
          <cell r="V995">
            <v>3.3046748000000001E-2</v>
          </cell>
          <cell r="W995">
            <v>5.1157264000000001E-2</v>
          </cell>
          <cell r="X995">
            <v>0.25755016600000002</v>
          </cell>
          <cell r="Y995">
            <v>0.17532273200000001</v>
          </cell>
          <cell r="Z995">
            <v>0.48292308900000003</v>
          </cell>
          <cell r="AB995" t="str">
            <v>2009SD</v>
          </cell>
          <cell r="AC995">
            <v>0</v>
          </cell>
          <cell r="AD995">
            <v>0</v>
          </cell>
          <cell r="AE995">
            <v>0.02</v>
          </cell>
          <cell r="AF995">
            <v>0.98</v>
          </cell>
        </row>
        <row r="996">
          <cell r="B996" t="str">
            <v>2009TN</v>
          </cell>
          <cell r="C996">
            <v>4.0519949592449485E-2</v>
          </cell>
          <cell r="D996">
            <v>8.9664149461423162E-2</v>
          </cell>
          <cell r="E996">
            <v>0.14551684926860037</v>
          </cell>
          <cell r="F996">
            <v>0.1170185785979804</v>
          </cell>
          <cell r="G996">
            <v>0.59108168584929244</v>
          </cell>
          <cell r="H996">
            <v>1.6198787230254148E-2</v>
          </cell>
          <cell r="J996" t="str">
            <v>2009TN</v>
          </cell>
          <cell r="K996">
            <v>0.26340146500000006</v>
          </cell>
          <cell r="L996">
            <v>0.591081686</v>
          </cell>
          <cell r="M996">
            <v>0.145516849</v>
          </cell>
          <cell r="U996" t="str">
            <v>2009TN</v>
          </cell>
          <cell r="V996">
            <v>0.102875089</v>
          </cell>
          <cell r="W996">
            <v>3.5402429999999999E-2</v>
          </cell>
          <cell r="X996">
            <v>0.119077104</v>
          </cell>
          <cell r="Y996">
            <v>0.41436515099999999</v>
          </cell>
          <cell r="Z996">
            <v>0.32828022600000001</v>
          </cell>
          <cell r="AB996" t="str">
            <v>2009TN</v>
          </cell>
          <cell r="AC996">
            <v>0</v>
          </cell>
          <cell r="AD996">
            <v>0</v>
          </cell>
          <cell r="AE996">
            <v>0.05</v>
          </cell>
          <cell r="AF996">
            <v>0.95</v>
          </cell>
        </row>
        <row r="997">
          <cell r="B997" t="str">
            <v>2009TX</v>
          </cell>
          <cell r="C997">
            <v>0.53305655520056971</v>
          </cell>
          <cell r="D997">
            <v>0.24233312613196878</v>
          </cell>
          <cell r="E997">
            <v>7.9791980793249173E-2</v>
          </cell>
          <cell r="F997">
            <v>0.1278405091499755</v>
          </cell>
          <cell r="G997">
            <v>0</v>
          </cell>
          <cell r="H997">
            <v>1.6977828724236681E-2</v>
          </cell>
          <cell r="J997" t="str">
            <v>2009TX</v>
          </cell>
          <cell r="K997">
            <v>0.92020801900000004</v>
          </cell>
          <cell r="L997">
            <v>0</v>
          </cell>
          <cell r="M997">
            <v>7.9791980999999998E-2</v>
          </cell>
          <cell r="U997" t="str">
            <v>2009TX</v>
          </cell>
          <cell r="V997">
            <v>6.9632535999999995E-2</v>
          </cell>
          <cell r="W997">
            <v>3.4700662E-2</v>
          </cell>
          <cell r="X997">
            <v>5.9917572000000002E-2</v>
          </cell>
          <cell r="Y997">
            <v>0.54104196599999999</v>
          </cell>
          <cell r="Z997">
            <v>0.29470726400000002</v>
          </cell>
          <cell r="AB997" t="str">
            <v>2009TX</v>
          </cell>
          <cell r="AC997">
            <v>0</v>
          </cell>
          <cell r="AD997">
            <v>0</v>
          </cell>
          <cell r="AE997">
            <v>0.12</v>
          </cell>
          <cell r="AF997">
            <v>0.88</v>
          </cell>
        </row>
        <row r="998">
          <cell r="B998" t="str">
            <v>2009UT</v>
          </cell>
          <cell r="C998">
            <v>0.51165623152884221</v>
          </cell>
          <cell r="D998">
            <v>0.26394677259150623</v>
          </cell>
          <cell r="E998">
            <v>1.3999177703951423E-2</v>
          </cell>
          <cell r="F998">
            <v>0.17036034814732054</v>
          </cell>
          <cell r="G998">
            <v>8.2880703819413898E-3</v>
          </cell>
          <cell r="H998">
            <v>3.1749399646438282E-2</v>
          </cell>
          <cell r="J998" t="str">
            <v>2009UT</v>
          </cell>
          <cell r="K998">
            <v>0.97771275199999996</v>
          </cell>
          <cell r="L998">
            <v>8.2880699999999998E-3</v>
          </cell>
          <cell r="M998">
            <v>1.3999177999999999E-2</v>
          </cell>
          <cell r="U998" t="str">
            <v>2009UT</v>
          </cell>
          <cell r="V998">
            <v>8.6456620000000001E-3</v>
          </cell>
          <cell r="W998">
            <v>5.5424775000000003E-2</v>
          </cell>
          <cell r="X998">
            <v>0.260824848</v>
          </cell>
          <cell r="Y998">
            <v>0.16982515300000001</v>
          </cell>
          <cell r="Z998">
            <v>0.50527956200000002</v>
          </cell>
          <cell r="AB998" t="str">
            <v>2009UT</v>
          </cell>
          <cell r="AC998">
            <v>0</v>
          </cell>
          <cell r="AD998">
            <v>0</v>
          </cell>
          <cell r="AE998">
            <v>0.6</v>
          </cell>
          <cell r="AF998">
            <v>0.4</v>
          </cell>
        </row>
        <row r="999">
          <cell r="B999" t="str">
            <v>2009VT</v>
          </cell>
          <cell r="C999">
            <v>9.9973781354903396E-2</v>
          </cell>
          <cell r="D999">
            <v>0.17387691112967565</v>
          </cell>
          <cell r="E999">
            <v>0.44423932842492886</v>
          </cell>
          <cell r="F999">
            <v>0.19448861844630186</v>
          </cell>
          <cell r="G999">
            <v>6.6349172232328182E-2</v>
          </cell>
          <cell r="H999">
            <v>2.1072188411862088E-2</v>
          </cell>
          <cell r="J999" t="str">
            <v>2009VT</v>
          </cell>
          <cell r="K999">
            <v>0.4894115</v>
          </cell>
          <cell r="L999">
            <v>6.6349171999999998E-2</v>
          </cell>
          <cell r="M999">
            <v>0.44423932799999999</v>
          </cell>
          <cell r="U999" t="str">
            <v>2009VT</v>
          </cell>
          <cell r="V999">
            <v>0.86037974299999997</v>
          </cell>
          <cell r="W999">
            <v>6.1432910000000004E-3</v>
          </cell>
          <cell r="X999">
            <v>3.8535191000000003E-2</v>
          </cell>
          <cell r="Y999">
            <v>2.9459874E-2</v>
          </cell>
          <cell r="Z999">
            <v>6.5481899999999996E-2</v>
          </cell>
          <cell r="AB999" t="str">
            <v>2009VT</v>
          </cell>
          <cell r="AC999">
            <v>0</v>
          </cell>
          <cell r="AD999">
            <v>0</v>
          </cell>
          <cell r="AE999">
            <v>0.05</v>
          </cell>
          <cell r="AF999">
            <v>0.95</v>
          </cell>
        </row>
        <row r="1000">
          <cell r="B1000" t="str">
            <v>2009VA</v>
          </cell>
          <cell r="C1000">
            <v>4.4953509549794296E-2</v>
          </cell>
          <cell r="D1000">
            <v>9.339670802378576E-2</v>
          </cell>
          <cell r="E1000">
            <v>0.14844092890155638</v>
          </cell>
          <cell r="F1000">
            <v>0.12331550684410268</v>
          </cell>
          <cell r="G1000">
            <v>0.5737351926100378</v>
          </cell>
          <cell r="H1000">
            <v>1.6158154070723133E-2</v>
          </cell>
          <cell r="J1000" t="str">
            <v>2009VA</v>
          </cell>
          <cell r="K1000">
            <v>0.27782387799999997</v>
          </cell>
          <cell r="L1000">
            <v>0.57373519299999998</v>
          </cell>
          <cell r="M1000">
            <v>0.148440929</v>
          </cell>
          <cell r="U1000" t="str">
            <v>2009VA</v>
          </cell>
          <cell r="V1000">
            <v>3.3934871999999998E-2</v>
          </cell>
          <cell r="W1000">
            <v>3.6244844999999998E-2</v>
          </cell>
          <cell r="X1000">
            <v>6.8933026999999994E-2</v>
          </cell>
          <cell r="Y1000">
            <v>0.550040046</v>
          </cell>
          <cell r="Z1000">
            <v>0.31084721100000001</v>
          </cell>
          <cell r="AB1000" t="str">
            <v>2009VA</v>
          </cell>
          <cell r="AC1000">
            <v>0</v>
          </cell>
          <cell r="AD1000">
            <v>0</v>
          </cell>
          <cell r="AE1000">
            <v>0.05</v>
          </cell>
          <cell r="AF1000">
            <v>0.95</v>
          </cell>
        </row>
        <row r="1001">
          <cell r="B1001" t="str">
            <v>2009WA</v>
          </cell>
          <cell r="C1001">
            <v>0.48742079910802349</v>
          </cell>
          <cell r="D1001">
            <v>0.21961274491816118</v>
          </cell>
          <cell r="E1001">
            <v>0</v>
          </cell>
          <cell r="F1001">
            <v>0.11254281869932067</v>
          </cell>
          <cell r="G1001">
            <v>0.16627589127589129</v>
          </cell>
          <cell r="H1001">
            <v>1.4147745998603438E-2</v>
          </cell>
          <cell r="J1001" t="str">
            <v>2009WA</v>
          </cell>
          <cell r="K1001">
            <v>0.83372410900000005</v>
          </cell>
          <cell r="L1001">
            <v>0.16627589100000001</v>
          </cell>
          <cell r="M1001">
            <v>0</v>
          </cell>
          <cell r="U1001" t="str">
            <v>2009WA</v>
          </cell>
          <cell r="V1001">
            <v>0.37353494700000001</v>
          </cell>
          <cell r="W1001">
            <v>3.1263627000000002E-2</v>
          </cell>
          <cell r="X1001">
            <v>0.168896926</v>
          </cell>
          <cell r="Y1001">
            <v>0.119853577</v>
          </cell>
          <cell r="Z1001">
            <v>0.30645092299999999</v>
          </cell>
          <cell r="AB1001" t="str">
            <v>2009WA</v>
          </cell>
          <cell r="AC1001">
            <v>0</v>
          </cell>
          <cell r="AD1001">
            <v>0</v>
          </cell>
          <cell r="AE1001">
            <v>0.12</v>
          </cell>
          <cell r="AF1001">
            <v>0.88</v>
          </cell>
        </row>
        <row r="1002">
          <cell r="B1002" t="str">
            <v>2009WV</v>
          </cell>
          <cell r="C1002">
            <v>6.8751812683186322E-2</v>
          </cell>
          <cell r="D1002">
            <v>0.15888641455628993</v>
          </cell>
          <cell r="E1002">
            <v>0.44831485363191043</v>
          </cell>
          <cell r="F1002">
            <v>0.22633984896592482</v>
          </cell>
          <cell r="G1002">
            <v>7.0025492327769459E-2</v>
          </cell>
          <cell r="H1002">
            <v>2.7681577834919095E-2</v>
          </cell>
          <cell r="J1002" t="str">
            <v>2009WV</v>
          </cell>
          <cell r="K1002">
            <v>0.48165965399999999</v>
          </cell>
          <cell r="L1002">
            <v>7.0025491999999995E-2</v>
          </cell>
          <cell r="M1002">
            <v>0.44831485399999998</v>
          </cell>
          <cell r="U1002" t="str">
            <v>2009WV</v>
          </cell>
          <cell r="V1002">
            <v>0.57920187499999998</v>
          </cell>
          <cell r="W1002">
            <v>2.1256934000000002E-2</v>
          </cell>
          <cell r="X1002">
            <v>0.113169981</v>
          </cell>
          <cell r="Y1002">
            <v>7.9649016000000003E-2</v>
          </cell>
          <cell r="Z1002">
            <v>0.206722194</v>
          </cell>
          <cell r="AB1002" t="str">
            <v>2009WV</v>
          </cell>
          <cell r="AC1002">
            <v>0</v>
          </cell>
          <cell r="AD1002">
            <v>0</v>
          </cell>
          <cell r="AE1002">
            <v>0.05</v>
          </cell>
          <cell r="AF1002">
            <v>0.95</v>
          </cell>
        </row>
        <row r="1003">
          <cell r="B1003" t="str">
            <v>2009WI</v>
          </cell>
          <cell r="C1003">
            <v>0.12203432597344931</v>
          </cell>
          <cell r="D1003">
            <v>0.23555629715568294</v>
          </cell>
          <cell r="E1003">
            <v>0.11540173598404266</v>
          </cell>
          <cell r="F1003">
            <v>0.42032708364290838</v>
          </cell>
          <cell r="G1003">
            <v>6.8322420806473022E-2</v>
          </cell>
          <cell r="H1003">
            <v>3.8358136437443673E-2</v>
          </cell>
          <cell r="J1003" t="str">
            <v>2009WI</v>
          </cell>
          <cell r="K1003">
            <v>0.816275843</v>
          </cell>
          <cell r="L1003">
            <v>6.8322420999999994E-2</v>
          </cell>
          <cell r="M1003">
            <v>0.115401736</v>
          </cell>
          <cell r="U1003" t="str">
            <v>2009WI</v>
          </cell>
          <cell r="V1003">
            <v>0.12883246500000001</v>
          </cell>
          <cell r="W1003">
            <v>4.2564396999999997E-2</v>
          </cell>
          <cell r="X1003">
            <v>0.23585646199999999</v>
          </cell>
          <cell r="Y1003">
            <v>0.16970626599999999</v>
          </cell>
          <cell r="Z1003">
            <v>0.42304040999999998</v>
          </cell>
          <cell r="AB1003" t="str">
            <v>2009WI</v>
          </cell>
          <cell r="AC1003">
            <v>0</v>
          </cell>
          <cell r="AD1003">
            <v>0</v>
          </cell>
          <cell r="AE1003">
            <v>0.02</v>
          </cell>
          <cell r="AF1003">
            <v>0.98</v>
          </cell>
        </row>
        <row r="1004">
          <cell r="B1004" t="str">
            <v>2009WY</v>
          </cell>
          <cell r="C1004">
            <v>0.29508724522063295</v>
          </cell>
          <cell r="D1004">
            <v>0.23251729773373622</v>
          </cell>
          <cell r="E1004">
            <v>0.12161775942187937</v>
          </cell>
          <cell r="F1004">
            <v>0.2207502472879718</v>
          </cell>
          <cell r="G1004">
            <v>7.2002554085590281E-2</v>
          </cell>
          <cell r="H1004">
            <v>5.8024896250189507E-2</v>
          </cell>
          <cell r="J1004" t="str">
            <v>2009WY</v>
          </cell>
          <cell r="K1004">
            <v>0.80637968699999996</v>
          </cell>
          <cell r="L1004">
            <v>7.2002553999999996E-2</v>
          </cell>
          <cell r="M1004">
            <v>0.12161775900000001</v>
          </cell>
          <cell r="U1004" t="str">
            <v>2009WY</v>
          </cell>
          <cell r="V1004">
            <v>3.2109568999999998E-2</v>
          </cell>
          <cell r="W1004">
            <v>5.3596850000000001E-2</v>
          </cell>
          <cell r="X1004">
            <v>0.25521061499999997</v>
          </cell>
          <cell r="Y1004">
            <v>0.16752597599999999</v>
          </cell>
          <cell r="Z1004">
            <v>0.49155699000000003</v>
          </cell>
          <cell r="AB1004" t="str">
            <v>2009WY</v>
          </cell>
          <cell r="AC1004">
            <v>0</v>
          </cell>
          <cell r="AD1004">
            <v>0</v>
          </cell>
          <cell r="AE1004">
            <v>0.6</v>
          </cell>
          <cell r="AF1004">
            <v>0.4</v>
          </cell>
        </row>
        <row r="1005">
          <cell r="B1005" t="str">
            <v>2010AL</v>
          </cell>
          <cell r="C1005">
            <v>0.17233560131521788</v>
          </cell>
          <cell r="D1005">
            <v>9.7606154746872412E-2</v>
          </cell>
          <cell r="E1005">
            <v>0.16919346457207346</v>
          </cell>
          <cell r="F1005">
            <v>0.1056405325382436</v>
          </cell>
          <cell r="G1005">
            <v>0.45062509818962659</v>
          </cell>
          <cell r="H1005">
            <v>4.5991486379660445E-3</v>
          </cell>
          <cell r="J1005" t="str">
            <v>2010AL</v>
          </cell>
          <cell r="K1005">
            <v>0.38018143700000007</v>
          </cell>
          <cell r="L1005">
            <v>0.450625098</v>
          </cell>
          <cell r="M1005">
            <v>0.16919346499999999</v>
          </cell>
          <cell r="U1005" t="str">
            <v>2010AL</v>
          </cell>
          <cell r="V1005">
            <v>5.3114938E-2</v>
          </cell>
          <cell r="W1005">
            <v>3.6058960000000001E-2</v>
          </cell>
          <cell r="X1005">
            <v>8.4414527000000003E-2</v>
          </cell>
          <cell r="Y1005">
            <v>0.50961295299999998</v>
          </cell>
          <cell r="Z1005">
            <v>0.316798623</v>
          </cell>
          <cell r="AB1005" t="str">
            <v>2010AL</v>
          </cell>
          <cell r="AC1005">
            <v>0</v>
          </cell>
          <cell r="AD1005">
            <v>0</v>
          </cell>
          <cell r="AE1005">
            <v>0.41899999999999998</v>
          </cell>
          <cell r="AF1005">
            <v>0.58099999999999996</v>
          </cell>
        </row>
        <row r="1006">
          <cell r="B1006" t="str">
            <v>2010AK</v>
          </cell>
          <cell r="C1006">
            <v>0.30334484066413492</v>
          </cell>
          <cell r="D1006">
            <v>0.23769937716735701</v>
          </cell>
          <cell r="E1006">
            <v>6.205843688929364E-2</v>
          </cell>
          <cell r="F1006">
            <v>0.28363994741136878</v>
          </cell>
          <cell r="G1006">
            <v>3.6741064625999714E-2</v>
          </cell>
          <cell r="H1006">
            <v>7.6516333241846021E-2</v>
          </cell>
          <cell r="J1006" t="str">
            <v>2010AK</v>
          </cell>
          <cell r="K1006">
            <v>0.90120049800000002</v>
          </cell>
          <cell r="L1006">
            <v>3.6741065000000003E-2</v>
          </cell>
          <cell r="M1006">
            <v>6.2058437000000001E-2</v>
          </cell>
          <cell r="U1006" t="str">
            <v>2010AK</v>
          </cell>
          <cell r="V1006">
            <v>0.52632575500000001</v>
          </cell>
          <cell r="W1006">
            <v>2.0841667000000001E-2</v>
          </cell>
          <cell r="X1006">
            <v>0.130734092</v>
          </cell>
          <cell r="Y1006">
            <v>9.9945266000000005E-2</v>
          </cell>
          <cell r="Z1006">
            <v>0.22215322100000001</v>
          </cell>
          <cell r="AB1006" t="str">
            <v>2010AK</v>
          </cell>
          <cell r="AC1006">
            <v>0</v>
          </cell>
          <cell r="AD1006">
            <v>0</v>
          </cell>
          <cell r="AE1006">
            <v>0.25</v>
          </cell>
          <cell r="AF1006">
            <v>0.75</v>
          </cell>
        </row>
        <row r="1007">
          <cell r="B1007" t="str">
            <v>2010AZ</v>
          </cell>
          <cell r="C1007">
            <v>0.611220636654217</v>
          </cell>
          <cell r="D1007">
            <v>0.19572797693407004</v>
          </cell>
          <cell r="E1007">
            <v>9.865488383487428E-2</v>
          </cell>
          <cell r="F1007">
            <v>9.3890669243012675E-2</v>
          </cell>
          <cell r="G1007">
            <v>0</v>
          </cell>
          <cell r="H1007">
            <v>5.0583333382575558E-4</v>
          </cell>
          <cell r="J1007" t="str">
            <v>2010AZ</v>
          </cell>
          <cell r="K1007">
            <v>0.901345116</v>
          </cell>
          <cell r="L1007">
            <v>0</v>
          </cell>
          <cell r="M1007">
            <v>9.8654883999999998E-2</v>
          </cell>
          <cell r="U1007" t="str">
            <v>2010AZ</v>
          </cell>
          <cell r="V1007">
            <v>0.136592664</v>
          </cell>
          <cell r="W1007">
            <v>3.2171241000000003E-2</v>
          </cell>
          <cell r="X1007">
            <v>5.4596316999999998E-2</v>
          </cell>
          <cell r="Y1007">
            <v>0.50386894699999996</v>
          </cell>
          <cell r="Z1007">
            <v>0.27277083200000002</v>
          </cell>
          <cell r="AB1007" t="str">
            <v>2010AZ</v>
          </cell>
          <cell r="AC1007">
            <v>0</v>
          </cell>
          <cell r="AD1007">
            <v>0</v>
          </cell>
          <cell r="AE1007">
            <v>0.6</v>
          </cell>
          <cell r="AF1007">
            <v>0.4</v>
          </cell>
        </row>
        <row r="1008">
          <cell r="B1008" t="str">
            <v>2010AR</v>
          </cell>
          <cell r="C1008">
            <v>9.6391342329605903E-2</v>
          </cell>
          <cell r="D1008">
            <v>6.6955456596874061E-2</v>
          </cell>
          <cell r="E1008">
            <v>0.14888335780531528</v>
          </cell>
          <cell r="F1008">
            <v>0.11118804006195876</v>
          </cell>
          <cell r="G1008">
            <v>0.57111057531117648</v>
          </cell>
          <cell r="H1008">
            <v>5.4712278950695761E-3</v>
          </cell>
          <cell r="J1008" t="str">
            <v>2010AR</v>
          </cell>
          <cell r="K1008">
            <v>0.28000606700000008</v>
          </cell>
          <cell r="L1008">
            <v>0.57111057499999995</v>
          </cell>
          <cell r="M1008">
            <v>0.14888335799999999</v>
          </cell>
          <cell r="U1008" t="str">
            <v>2010AR</v>
          </cell>
          <cell r="V1008">
            <v>3.9459004999999998E-2</v>
          </cell>
          <cell r="W1008">
            <v>3.7640482000000003E-2</v>
          </cell>
          <cell r="X1008">
            <v>0.11914443199999999</v>
          </cell>
          <cell r="Y1008">
            <v>0.45827781299999998</v>
          </cell>
          <cell r="Z1008">
            <v>0.34547826799999998</v>
          </cell>
          <cell r="AB1008" t="str">
            <v>2010AR</v>
          </cell>
          <cell r="AC1008">
            <v>0</v>
          </cell>
          <cell r="AD1008">
            <v>0</v>
          </cell>
          <cell r="AE1008">
            <v>0</v>
          </cell>
          <cell r="AF1008">
            <v>1</v>
          </cell>
        </row>
        <row r="1009">
          <cell r="B1009" t="str">
            <v>2010CA</v>
          </cell>
          <cell r="C1009">
            <v>0.58081862489107328</v>
          </cell>
          <cell r="D1009">
            <v>0.20720345916912225</v>
          </cell>
          <cell r="E1009">
            <v>0.10801924509893834</v>
          </cell>
          <cell r="F1009">
            <v>9.2431120719429966E-2</v>
          </cell>
          <cell r="G1009">
            <v>9.2523577326630076E-3</v>
          </cell>
          <cell r="H1009">
            <v>2.2751923887731596E-3</v>
          </cell>
          <cell r="J1009" t="str">
            <v>2010CA</v>
          </cell>
          <cell r="K1009">
            <v>0.88272839699999994</v>
          </cell>
          <cell r="L1009">
            <v>9.2523580000000005E-3</v>
          </cell>
          <cell r="M1009">
            <v>0.108019245</v>
          </cell>
          <cell r="U1009" t="str">
            <v>2010CA</v>
          </cell>
          <cell r="V1009">
            <v>0.133799526</v>
          </cell>
          <cell r="W1009">
            <v>3.2941353E-2</v>
          </cell>
          <cell r="X1009">
            <v>7.5800703999999997E-2</v>
          </cell>
          <cell r="Y1009">
            <v>0.46867659099999998</v>
          </cell>
          <cell r="Z1009">
            <v>0.28878182499999999</v>
          </cell>
          <cell r="AB1009" t="str">
            <v>2010CA</v>
          </cell>
          <cell r="AC1009">
            <v>0</v>
          </cell>
          <cell r="AD1009">
            <v>0</v>
          </cell>
          <cell r="AE1009">
            <v>0.12</v>
          </cell>
          <cell r="AF1009">
            <v>0.88</v>
          </cell>
        </row>
        <row r="1010">
          <cell r="B1010" t="str">
            <v>2010CO</v>
          </cell>
          <cell r="C1010">
            <v>0.61667904285785091</v>
          </cell>
          <cell r="D1010">
            <v>0.24212893570430052</v>
          </cell>
          <cell r="E1010">
            <v>1.1092391745361967E-2</v>
          </cell>
          <cell r="F1010">
            <v>0.11516410971780773</v>
          </cell>
          <cell r="G1010">
            <v>6.5671374014829543E-3</v>
          </cell>
          <cell r="H1010">
            <v>8.3683825731959392E-3</v>
          </cell>
          <cell r="J1010" t="str">
            <v>2010CO</v>
          </cell>
          <cell r="K1010">
            <v>0.98234047099999999</v>
          </cell>
          <cell r="L1010">
            <v>6.5671369999999998E-3</v>
          </cell>
          <cell r="M1010">
            <v>1.1092392E-2</v>
          </cell>
          <cell r="U1010" t="str">
            <v>2010CO</v>
          </cell>
          <cell r="V1010">
            <v>2.3378138E-2</v>
          </cell>
          <cell r="W1010">
            <v>5.3880426000000002E-2</v>
          </cell>
          <cell r="X1010">
            <v>0.25772948099999998</v>
          </cell>
          <cell r="Y1010">
            <v>0.169703665</v>
          </cell>
          <cell r="Z1010">
            <v>0.49530828999999998</v>
          </cell>
          <cell r="AB1010" t="str">
            <v>2010CO</v>
          </cell>
          <cell r="AC1010">
            <v>0</v>
          </cell>
          <cell r="AD1010">
            <v>0</v>
          </cell>
          <cell r="AE1010">
            <v>0.6</v>
          </cell>
          <cell r="AF1010">
            <v>0.4</v>
          </cell>
        </row>
        <row r="1011">
          <cell r="B1011" t="str">
            <v>2010CT</v>
          </cell>
          <cell r="C1011">
            <v>0.11572842393252261</v>
          </cell>
          <cell r="D1011">
            <v>0.20119880615243968</v>
          </cell>
          <cell r="E1011">
            <v>0.43233999756560143</v>
          </cell>
          <cell r="F1011">
            <v>0.17234541515575838</v>
          </cell>
          <cell r="G1011">
            <v>5.5615402487630847E-2</v>
          </cell>
          <cell r="H1011">
            <v>2.2771954706046996E-2</v>
          </cell>
          <cell r="J1011" t="str">
            <v>2010CT</v>
          </cell>
          <cell r="K1011">
            <v>0.51204460000000007</v>
          </cell>
          <cell r="L1011">
            <v>5.5615402000000001E-2</v>
          </cell>
          <cell r="M1011">
            <v>0.432339998</v>
          </cell>
          <cell r="U1011" t="str">
            <v>2010CT</v>
          </cell>
          <cell r="V1011">
            <v>0.57363861400000005</v>
          </cell>
          <cell r="W1011">
            <v>1.8759900999999999E-2</v>
          </cell>
          <cell r="X1011">
            <v>0.117675743</v>
          </cell>
          <cell r="Y1011">
            <v>8.9962252000000006E-2</v>
          </cell>
          <cell r="Z1011">
            <v>0.19996348999999999</v>
          </cell>
          <cell r="AB1011" t="str">
            <v>2010CT</v>
          </cell>
          <cell r="AC1011">
            <v>0</v>
          </cell>
          <cell r="AD1011">
            <v>0</v>
          </cell>
          <cell r="AE1011">
            <v>0.05</v>
          </cell>
          <cell r="AF1011">
            <v>0.95</v>
          </cell>
        </row>
        <row r="1012">
          <cell r="B1012" t="str">
            <v>2010DE</v>
          </cell>
          <cell r="C1012">
            <v>0.10201653895343663</v>
          </cell>
          <cell r="D1012">
            <v>0.1910091905838856</v>
          </cell>
          <cell r="E1012">
            <v>0.43707162937473454</v>
          </cell>
          <cell r="F1012">
            <v>0.18637975788177577</v>
          </cell>
          <cell r="G1012">
            <v>5.9883562349419175E-2</v>
          </cell>
          <cell r="H1012">
            <v>2.3639320856748244E-2</v>
          </cell>
          <cell r="J1012" t="str">
            <v>2010DE</v>
          </cell>
          <cell r="K1012">
            <v>0.50304480899999993</v>
          </cell>
          <cell r="L1012">
            <v>5.9883562000000001E-2</v>
          </cell>
          <cell r="M1012">
            <v>0.43707162900000002</v>
          </cell>
          <cell r="U1012" t="str">
            <v>2010DE</v>
          </cell>
          <cell r="V1012">
            <v>0.120253529</v>
          </cell>
          <cell r="W1012">
            <v>4.1631153999999997E-2</v>
          </cell>
          <cell r="X1012">
            <v>0.23964419100000001</v>
          </cell>
          <cell r="Y1012">
            <v>0.17588547500000001</v>
          </cell>
          <cell r="Z1012">
            <v>0.42258565100000001</v>
          </cell>
          <cell r="AB1012" t="str">
            <v>2010DE</v>
          </cell>
          <cell r="AC1012">
            <v>0</v>
          </cell>
          <cell r="AD1012">
            <v>0</v>
          </cell>
          <cell r="AE1012">
            <v>0.05</v>
          </cell>
          <cell r="AF1012">
            <v>0.95</v>
          </cell>
        </row>
        <row r="1013">
          <cell r="B1013" t="str">
            <v>2010FL</v>
          </cell>
          <cell r="C1013">
            <v>0.38654865924430459</v>
          </cell>
          <cell r="D1013">
            <v>0.14503983167997814</v>
          </cell>
          <cell r="E1013">
            <v>0.21616400084919535</v>
          </cell>
          <cell r="F1013">
            <v>7.8997496757044303E-2</v>
          </cell>
          <cell r="G1013">
            <v>0.17198217725399226</v>
          </cell>
          <cell r="H1013">
            <v>1.2678342154852779E-3</v>
          </cell>
          <cell r="J1013" t="str">
            <v>2010FL</v>
          </cell>
          <cell r="K1013">
            <v>0.61185382200000005</v>
          </cell>
          <cell r="L1013">
            <v>0.17198217700000001</v>
          </cell>
          <cell r="M1013">
            <v>0.21616400099999999</v>
          </cell>
          <cell r="U1013" t="str">
            <v>2010FL</v>
          </cell>
          <cell r="V1013">
            <v>0.71166924399999998</v>
          </cell>
          <cell r="W1013">
            <v>1.2686553E-2</v>
          </cell>
          <cell r="X1013">
            <v>7.9579288999999998E-2</v>
          </cell>
          <cell r="Y1013">
            <v>6.0837789000000003E-2</v>
          </cell>
          <cell r="Z1013">
            <v>0.135227124</v>
          </cell>
          <cell r="AB1013" t="str">
            <v>2010FL</v>
          </cell>
          <cell r="AC1013">
            <v>0</v>
          </cell>
          <cell r="AD1013">
            <v>0</v>
          </cell>
          <cell r="AE1013">
            <v>0.41899999999999998</v>
          </cell>
          <cell r="AF1013">
            <v>0.58099999999999996</v>
          </cell>
        </row>
        <row r="1014">
          <cell r="B1014" t="str">
            <v>2010GA</v>
          </cell>
          <cell r="C1014">
            <v>0.20823216155586291</v>
          </cell>
          <cell r="D1014">
            <v>0.11033206176717186</v>
          </cell>
          <cell r="E1014">
            <v>0.17733204084631207</v>
          </cell>
          <cell r="F1014">
            <v>9.7862793659120595E-2</v>
          </cell>
          <cell r="G1014">
            <v>0.40234468997942996</v>
          </cell>
          <cell r="H1014">
            <v>3.8962521921025758E-3</v>
          </cell>
          <cell r="J1014" t="str">
            <v>2010GA</v>
          </cell>
          <cell r="K1014">
            <v>0.42032326900000005</v>
          </cell>
          <cell r="L1014">
            <v>0.40234469</v>
          </cell>
          <cell r="M1014">
            <v>0.177332041</v>
          </cell>
          <cell r="U1014" t="str">
            <v>2010GA</v>
          </cell>
          <cell r="V1014">
            <v>7.8133266000000007E-2</v>
          </cell>
          <cell r="W1014">
            <v>3.5587817000000001E-2</v>
          </cell>
          <cell r="X1014">
            <v>9.7388838000000005E-2</v>
          </cell>
          <cell r="Y1014">
            <v>0.46952270200000001</v>
          </cell>
          <cell r="Z1014">
            <v>0.31936737799999998</v>
          </cell>
          <cell r="AB1014" t="str">
            <v>2010GA</v>
          </cell>
          <cell r="AC1014">
            <v>0</v>
          </cell>
          <cell r="AD1014">
            <v>0</v>
          </cell>
          <cell r="AE1014">
            <v>0.41899999999999998</v>
          </cell>
          <cell r="AF1014">
            <v>0.58099999999999996</v>
          </cell>
        </row>
        <row r="1015">
          <cell r="B1015" t="str">
            <v>2010HI</v>
          </cell>
          <cell r="C1015">
            <v>0.67137224197860923</v>
          </cell>
          <cell r="D1015">
            <v>0.21100034068527662</v>
          </cell>
          <cell r="E1015">
            <v>0</v>
          </cell>
          <cell r="F1015">
            <v>0.10820426646618357</v>
          </cell>
          <cell r="G1015">
            <v>7.5112148308577572E-3</v>
          </cell>
          <cell r="H1015">
            <v>1.9119360390725836E-3</v>
          </cell>
          <cell r="J1015" t="str">
            <v>2010HI</v>
          </cell>
          <cell r="K1015">
            <v>0.99248878500000004</v>
          </cell>
          <cell r="L1015">
            <v>7.5112149999999999E-3</v>
          </cell>
          <cell r="M1015">
            <v>0</v>
          </cell>
          <cell r="U1015" t="str">
            <v>2010HI</v>
          </cell>
          <cell r="V1015">
            <v>0.23216878499999999</v>
          </cell>
          <cell r="W1015">
            <v>3.2904865999999998E-2</v>
          </cell>
          <cell r="X1015">
            <v>0.18414778700000001</v>
          </cell>
          <cell r="Y1015">
            <v>0.21064765399999999</v>
          </cell>
          <cell r="Z1015">
            <v>0.34013090899999998</v>
          </cell>
          <cell r="AB1015" t="str">
            <v>2010HI</v>
          </cell>
          <cell r="AC1015">
            <v>0</v>
          </cell>
          <cell r="AD1015">
            <v>0</v>
          </cell>
          <cell r="AE1015">
            <v>0.25</v>
          </cell>
          <cell r="AF1015">
            <v>0.75</v>
          </cell>
        </row>
        <row r="1016">
          <cell r="B1016" t="str">
            <v>2010ID</v>
          </cell>
          <cell r="C1016">
            <v>0.62850843440764703</v>
          </cell>
          <cell r="D1016">
            <v>0.2329683972033782</v>
          </cell>
          <cell r="E1016">
            <v>6.4436683947772669E-3</v>
          </cell>
          <cell r="F1016">
            <v>0.11961222721284216</v>
          </cell>
          <cell r="G1016">
            <v>3.8149081541218642E-3</v>
          </cell>
          <cell r="H1016">
            <v>8.6523646272333287E-3</v>
          </cell>
          <cell r="J1016" t="str">
            <v>2010ID</v>
          </cell>
          <cell r="K1016">
            <v>0.98974142399999998</v>
          </cell>
          <cell r="L1016">
            <v>3.8149080000000001E-3</v>
          </cell>
          <cell r="M1016">
            <v>6.4436679999999996E-3</v>
          </cell>
          <cell r="U1016" t="str">
            <v>2010ID</v>
          </cell>
          <cell r="V1016">
            <v>0.460837895</v>
          </cell>
          <cell r="W1016">
            <v>2.6974237000000002E-2</v>
          </cell>
          <cell r="X1016">
            <v>0.14528671200000001</v>
          </cell>
          <cell r="Y1016">
            <v>0.102926191</v>
          </cell>
          <cell r="Z1016">
            <v>0.26397496599999998</v>
          </cell>
          <cell r="AB1016" t="str">
            <v>2010ID</v>
          </cell>
          <cell r="AC1016">
            <v>0</v>
          </cell>
          <cell r="AD1016">
            <v>0</v>
          </cell>
          <cell r="AE1016">
            <v>0.6</v>
          </cell>
          <cell r="AF1016">
            <v>0.4</v>
          </cell>
        </row>
        <row r="1017">
          <cell r="B1017" t="str">
            <v>2010IL</v>
          </cell>
          <cell r="C1017">
            <v>0.13175283144497188</v>
          </cell>
          <cell r="D1017">
            <v>0.26046159534668961</v>
          </cell>
          <cell r="E1017">
            <v>8.1383349234931596E-2</v>
          </cell>
          <cell r="F1017">
            <v>0.43207247933210829</v>
          </cell>
          <cell r="G1017">
            <v>4.8182181885357514E-2</v>
          </cell>
          <cell r="H1017">
            <v>4.6147562755941125E-2</v>
          </cell>
          <cell r="J1017" t="str">
            <v>2010IL</v>
          </cell>
          <cell r="K1017">
            <v>0.87043446899999999</v>
          </cell>
          <cell r="L1017">
            <v>4.8182181999999997E-2</v>
          </cell>
          <cell r="M1017">
            <v>8.1383348999999994E-2</v>
          </cell>
          <cell r="U1017" t="str">
            <v>2010IL</v>
          </cell>
          <cell r="V1017">
            <v>2.0186552999999999E-2</v>
          </cell>
          <cell r="W1017">
            <v>4.5739502000000001E-2</v>
          </cell>
          <cell r="X1017">
            <v>0.28028242399999997</v>
          </cell>
          <cell r="Y1017">
            <v>0.149587944</v>
          </cell>
          <cell r="Z1017">
            <v>0.50420357699999996</v>
          </cell>
          <cell r="AB1017" t="str">
            <v>2010IL</v>
          </cell>
          <cell r="AC1017">
            <v>0</v>
          </cell>
          <cell r="AD1017">
            <v>0</v>
          </cell>
          <cell r="AE1017">
            <v>0.02</v>
          </cell>
          <cell r="AF1017">
            <v>0.98</v>
          </cell>
        </row>
        <row r="1018">
          <cell r="B1018" t="str">
            <v>2010IN</v>
          </cell>
          <cell r="C1018">
            <v>0.16189917384296076</v>
          </cell>
          <cell r="D1018">
            <v>0.24163212738244233</v>
          </cell>
          <cell r="E1018">
            <v>0.13392208737361183</v>
          </cell>
          <cell r="F1018">
            <v>0.3491044693998876</v>
          </cell>
          <cell r="G1018">
            <v>7.9287205957511472E-2</v>
          </cell>
          <cell r="H1018">
            <v>3.4154936043586021E-2</v>
          </cell>
          <cell r="J1018" t="str">
            <v>2010IN</v>
          </cell>
          <cell r="K1018">
            <v>0.78679070699999998</v>
          </cell>
          <cell r="L1018">
            <v>7.9287205999999999E-2</v>
          </cell>
          <cell r="M1018">
            <v>0.133922087</v>
          </cell>
          <cell r="U1018" t="str">
            <v>2010IN</v>
          </cell>
          <cell r="V1018">
            <v>2.5489210000000002E-2</v>
          </cell>
          <cell r="W1018">
            <v>4.5536079E-2</v>
          </cell>
          <cell r="X1018">
            <v>0.27893099599999999</v>
          </cell>
          <cell r="Y1018">
            <v>0.14781887399999999</v>
          </cell>
          <cell r="Z1018">
            <v>0.50222484099999998</v>
          </cell>
          <cell r="AB1018" t="str">
            <v>2010IN</v>
          </cell>
          <cell r="AC1018">
            <v>0</v>
          </cell>
          <cell r="AD1018">
            <v>0</v>
          </cell>
          <cell r="AE1018">
            <v>0</v>
          </cell>
          <cell r="AF1018">
            <v>1</v>
          </cell>
        </row>
        <row r="1019">
          <cell r="B1019" t="str">
            <v>2010IA</v>
          </cell>
          <cell r="C1019">
            <v>0.13792614664225575</v>
          </cell>
          <cell r="D1019">
            <v>0.25047757969635848</v>
          </cell>
          <cell r="E1019">
            <v>0.10477197231415941</v>
          </cell>
          <cell r="F1019">
            <v>0.40507493125352922</v>
          </cell>
          <cell r="G1019">
            <v>6.2029177638731184E-2</v>
          </cell>
          <cell r="H1019">
            <v>3.9720192454965969E-2</v>
          </cell>
          <cell r="J1019" t="str">
            <v>2010IA</v>
          </cell>
          <cell r="K1019">
            <v>0.83319885000000005</v>
          </cell>
          <cell r="L1019">
            <v>6.2029177999999997E-2</v>
          </cell>
          <cell r="M1019">
            <v>0.104771972</v>
          </cell>
          <cell r="U1019" t="str">
            <v>2010IA</v>
          </cell>
          <cell r="V1019">
            <v>9.6502570000000006E-3</v>
          </cell>
          <cell r="W1019">
            <v>3.8739974000000003E-2</v>
          </cell>
          <cell r="X1019">
            <v>0.12067557499999999</v>
          </cell>
          <cell r="Y1019">
            <v>0.47629315999999999</v>
          </cell>
          <cell r="Z1019">
            <v>0.35464103499999999</v>
          </cell>
          <cell r="AB1019" t="str">
            <v>2010IA</v>
          </cell>
          <cell r="AC1019">
            <v>0</v>
          </cell>
          <cell r="AD1019">
            <v>0</v>
          </cell>
          <cell r="AE1019">
            <v>0</v>
          </cell>
          <cell r="AF1019">
            <v>1</v>
          </cell>
        </row>
        <row r="1020">
          <cell r="B1020" t="str">
            <v>2010KS</v>
          </cell>
          <cell r="C1020">
            <v>0.28758404285910905</v>
          </cell>
          <cell r="D1020">
            <v>0.32607606753917184</v>
          </cell>
          <cell r="E1020">
            <v>5.1050547933917619E-2</v>
          </cell>
          <cell r="F1020">
            <v>0.27762124338847843</v>
          </cell>
          <cell r="G1020">
            <v>3.0223956239483565E-2</v>
          </cell>
          <cell r="H1020">
            <v>2.7444142039839463E-2</v>
          </cell>
          <cell r="J1020" t="str">
            <v>2010KS</v>
          </cell>
          <cell r="K1020">
            <v>0.91872549599999997</v>
          </cell>
          <cell r="L1020">
            <v>3.0223956E-2</v>
          </cell>
          <cell r="M1020">
            <v>5.1050548000000001E-2</v>
          </cell>
          <cell r="U1020" t="str">
            <v>2010KS</v>
          </cell>
          <cell r="V1020">
            <v>2.3647662E-2</v>
          </cell>
          <cell r="W1020">
            <v>4.6272377000000003E-2</v>
          </cell>
          <cell r="X1020">
            <v>0.28189652199999998</v>
          </cell>
          <cell r="Y1020">
            <v>0.13395533500000001</v>
          </cell>
          <cell r="Z1020">
            <v>0.51422810299999999</v>
          </cell>
          <cell r="AB1020" t="str">
            <v>2010KS</v>
          </cell>
          <cell r="AC1020">
            <v>0</v>
          </cell>
          <cell r="AD1020">
            <v>0</v>
          </cell>
          <cell r="AE1020">
            <v>0.02</v>
          </cell>
          <cell r="AF1020">
            <v>0.98</v>
          </cell>
        </row>
        <row r="1021">
          <cell r="B1021" t="str">
            <v>2010KY</v>
          </cell>
          <cell r="C1021">
            <v>2.3305602928070858E-2</v>
          </cell>
          <cell r="D1021">
            <v>6.2885861766289422E-2</v>
          </cell>
          <cell r="E1021">
            <v>0.14165738300711325</v>
          </cell>
          <cell r="F1021">
            <v>0.14315421990856123</v>
          </cell>
          <cell r="G1021">
            <v>0.61397716539009373</v>
          </cell>
          <cell r="H1021">
            <v>1.5019766999871505E-2</v>
          </cell>
          <cell r="J1021" t="str">
            <v>2010KY</v>
          </cell>
          <cell r="K1021">
            <v>0.24436545200000004</v>
          </cell>
          <cell r="L1021">
            <v>0.61397716499999999</v>
          </cell>
          <cell r="M1021">
            <v>0.141657383</v>
          </cell>
          <cell r="U1021" t="str">
            <v>2010KY</v>
          </cell>
          <cell r="V1021">
            <v>4.9184704000000003E-2</v>
          </cell>
          <cell r="W1021">
            <v>3.7321891000000003E-2</v>
          </cell>
          <cell r="X1021">
            <v>0.11991215400000001</v>
          </cell>
          <cell r="Y1021">
            <v>0.45018075899999999</v>
          </cell>
          <cell r="Z1021">
            <v>0.34340049099999997</v>
          </cell>
          <cell r="AB1021" t="str">
            <v>2010KY</v>
          </cell>
          <cell r="AC1021">
            <v>0</v>
          </cell>
          <cell r="AD1021">
            <v>0</v>
          </cell>
          <cell r="AE1021">
            <v>0.05</v>
          </cell>
          <cell r="AF1021">
            <v>0.95</v>
          </cell>
        </row>
        <row r="1022">
          <cell r="B1022" t="str">
            <v>2010LA</v>
          </cell>
          <cell r="C1022">
            <v>8.7696493950327165E-2</v>
          </cell>
          <cell r="D1022">
            <v>6.4637521135916851E-2</v>
          </cell>
          <cell r="E1022">
            <v>0.14461730665558523</v>
          </cell>
          <cell r="F1022">
            <v>0.10160244529023774</v>
          </cell>
          <cell r="G1022">
            <v>0.59641803499629376</v>
          </cell>
          <cell r="H1022">
            <v>5.0281979716392446E-3</v>
          </cell>
          <cell r="J1022" t="str">
            <v>2010LA</v>
          </cell>
          <cell r="K1022">
            <v>0.25896465800000001</v>
          </cell>
          <cell r="L1022">
            <v>0.59641803500000001</v>
          </cell>
          <cell r="M1022">
            <v>0.144617307</v>
          </cell>
          <cell r="U1022" t="str">
            <v>2010LA</v>
          </cell>
          <cell r="V1022">
            <v>0.53551704700000002</v>
          </cell>
          <cell r="W1022">
            <v>2.0437250000000001E-2</v>
          </cell>
          <cell r="X1022">
            <v>0.12819729499999999</v>
          </cell>
          <cell r="Y1022">
            <v>9.8005903000000005E-2</v>
          </cell>
          <cell r="Z1022">
            <v>0.21784250499999999</v>
          </cell>
          <cell r="AB1022" t="str">
            <v>2010LA</v>
          </cell>
          <cell r="AC1022">
            <v>0</v>
          </cell>
          <cell r="AD1022">
            <v>0</v>
          </cell>
          <cell r="AE1022">
            <v>0.6</v>
          </cell>
          <cell r="AF1022">
            <v>0.4</v>
          </cell>
        </row>
        <row r="1023">
          <cell r="B1023" t="str">
            <v>2010ME</v>
          </cell>
          <cell r="C1023">
            <v>9.3713015315557757E-2</v>
          </cell>
          <cell r="D1023">
            <v>0.17210096338216258</v>
          </cell>
          <cell r="E1023">
            <v>0.44837154081607639</v>
          </cell>
          <cell r="F1023">
            <v>0.19633313267932656</v>
          </cell>
          <cell r="G1023">
            <v>7.0076626899074845E-2</v>
          </cell>
          <cell r="H1023">
            <v>1.9404720907801824E-2</v>
          </cell>
          <cell r="J1023" t="str">
            <v>2010ME</v>
          </cell>
          <cell r="K1023">
            <v>0.48155183200000007</v>
          </cell>
          <cell r="L1023">
            <v>7.0076627000000002E-2</v>
          </cell>
          <cell r="M1023">
            <v>0.44837154099999998</v>
          </cell>
          <cell r="U1023" t="str">
            <v>2010ME</v>
          </cell>
          <cell r="V1023">
            <v>0.72920202000000001</v>
          </cell>
          <cell r="W1023">
            <v>1.1915111000000001E-2</v>
          </cell>
          <cell r="X1023">
            <v>7.4740241999999998E-2</v>
          </cell>
          <cell r="Y1023">
            <v>5.7138373999999999E-2</v>
          </cell>
          <cell r="Z1023">
            <v>0.12700425300000001</v>
          </cell>
          <cell r="AB1023" t="str">
            <v>2010ME</v>
          </cell>
          <cell r="AC1023">
            <v>0</v>
          </cell>
          <cell r="AD1023">
            <v>0</v>
          </cell>
          <cell r="AE1023">
            <v>0.05</v>
          </cell>
          <cell r="AF1023">
            <v>0.95</v>
          </cell>
        </row>
        <row r="1024">
          <cell r="B1024" t="str">
            <v>2010MD</v>
          </cell>
          <cell r="C1024">
            <v>7.6488535055593554E-2</v>
          </cell>
          <cell r="D1024">
            <v>0.15472472257238745</v>
          </cell>
          <cell r="E1024">
            <v>0.44380834258126728</v>
          </cell>
          <cell r="F1024">
            <v>0.22861605738914034</v>
          </cell>
          <cell r="G1024">
            <v>6.5960402236453913E-2</v>
          </cell>
          <cell r="H1024">
            <v>3.0401940165157418E-2</v>
          </cell>
          <cell r="J1024" t="str">
            <v>2010MD</v>
          </cell>
          <cell r="K1024">
            <v>0.49023125499999998</v>
          </cell>
          <cell r="L1024">
            <v>6.5960402000000001E-2</v>
          </cell>
          <cell r="M1024">
            <v>0.44380834299999999</v>
          </cell>
          <cell r="U1024" t="str">
            <v>2010MD</v>
          </cell>
          <cell r="V1024">
            <v>0.21140679400000001</v>
          </cell>
          <cell r="W1024">
            <v>3.7602905999999998E-2</v>
          </cell>
          <cell r="X1024">
            <v>0.214504853</v>
          </cell>
          <cell r="Y1024">
            <v>0.15671048400000001</v>
          </cell>
          <cell r="Z1024">
            <v>0.37977496300000002</v>
          </cell>
          <cell r="AB1024" t="str">
            <v>2010MD</v>
          </cell>
          <cell r="AC1024">
            <v>0</v>
          </cell>
          <cell r="AD1024">
            <v>0</v>
          </cell>
          <cell r="AE1024">
            <v>0.05</v>
          </cell>
          <cell r="AF1024">
            <v>0.95</v>
          </cell>
        </row>
        <row r="1025">
          <cell r="B1025" t="str">
            <v>2010MA</v>
          </cell>
          <cell r="C1025">
            <v>6.1305440163427552E-2</v>
          </cell>
          <cell r="D1025">
            <v>0.14874705508142777</v>
          </cell>
          <cell r="E1025">
            <v>0.45216403673004657</v>
          </cell>
          <cell r="F1025">
            <v>0.23617268276189021</v>
          </cell>
          <cell r="G1025">
            <v>7.3497640935872632E-2</v>
          </cell>
          <cell r="H1025">
            <v>2.8113144327335336E-2</v>
          </cell>
          <cell r="J1025" t="str">
            <v>2010MA</v>
          </cell>
          <cell r="K1025">
            <v>0.47433832199999992</v>
          </cell>
          <cell r="L1025">
            <v>7.3497641000000002E-2</v>
          </cell>
          <cell r="M1025">
            <v>0.45216403700000002</v>
          </cell>
          <cell r="U1025" t="str">
            <v>2010MA</v>
          </cell>
          <cell r="V1025">
            <v>0.31419575799999999</v>
          </cell>
          <cell r="W1025">
            <v>3.0175387000000001E-2</v>
          </cell>
          <cell r="X1025">
            <v>0.18928197099999999</v>
          </cell>
          <cell r="Y1025">
            <v>0.14470469499999999</v>
          </cell>
          <cell r="Z1025">
            <v>0.32164218900000002</v>
          </cell>
          <cell r="AB1025" t="str">
            <v>2010MA</v>
          </cell>
          <cell r="AC1025">
            <v>0</v>
          </cell>
          <cell r="AD1025">
            <v>0</v>
          </cell>
          <cell r="AE1025">
            <v>0.05</v>
          </cell>
          <cell r="AF1025">
            <v>0.95</v>
          </cell>
        </row>
        <row r="1026">
          <cell r="B1026" t="str">
            <v>2010MI</v>
          </cell>
          <cell r="C1026">
            <v>0.21592740095911189</v>
          </cell>
          <cell r="D1026">
            <v>0.33044604004991018</v>
          </cell>
          <cell r="E1026">
            <v>5.8998863632555826E-2</v>
          </cell>
          <cell r="F1026">
            <v>0.32074430847532459</v>
          </cell>
          <cell r="G1026">
            <v>3.4929675483950956E-2</v>
          </cell>
          <cell r="H1026">
            <v>3.8953711399146676E-2</v>
          </cell>
          <cell r="J1026" t="str">
            <v>2010MI</v>
          </cell>
          <cell r="K1026">
            <v>0.90607146100000002</v>
          </cell>
          <cell r="L1026">
            <v>3.4929675E-2</v>
          </cell>
          <cell r="M1026">
            <v>5.8998863999999998E-2</v>
          </cell>
          <cell r="U1026" t="str">
            <v>2010MI</v>
          </cell>
          <cell r="V1026">
            <v>4.5127237000000001E-2</v>
          </cell>
          <cell r="W1026">
            <v>5.0500046999999999E-2</v>
          </cell>
          <cell r="X1026">
            <v>0.254352099</v>
          </cell>
          <cell r="Y1026">
            <v>0.17319266699999999</v>
          </cell>
          <cell r="Z1026">
            <v>0.47682794899999997</v>
          </cell>
          <cell r="AB1026" t="str">
            <v>2010MI</v>
          </cell>
          <cell r="AC1026">
            <v>0</v>
          </cell>
          <cell r="AD1026">
            <v>0</v>
          </cell>
          <cell r="AE1026">
            <v>0.02</v>
          </cell>
          <cell r="AF1026">
            <v>0.98</v>
          </cell>
        </row>
        <row r="1027">
          <cell r="B1027" t="str">
            <v>2010MN</v>
          </cell>
          <cell r="C1027">
            <v>0.11559741536790068</v>
          </cell>
          <cell r="D1027">
            <v>0.23915415867765383</v>
          </cell>
          <cell r="E1027">
            <v>0.10052931481156221</v>
          </cell>
          <cell r="F1027">
            <v>0.43822851849088174</v>
          </cell>
          <cell r="G1027">
            <v>5.9517355535203494E-2</v>
          </cell>
          <cell r="H1027">
            <v>4.697323711679801E-2</v>
          </cell>
          <cell r="J1027" t="str">
            <v>2010MN</v>
          </cell>
          <cell r="K1027">
            <v>0.83995332899999997</v>
          </cell>
          <cell r="L1027">
            <v>5.9517356E-2</v>
          </cell>
          <cell r="M1027">
            <v>0.10052931499999999</v>
          </cell>
          <cell r="U1027" t="str">
            <v>2010MN</v>
          </cell>
          <cell r="V1027">
            <v>1.5145339000000001E-2</v>
          </cell>
          <cell r="W1027">
            <v>5.1986831999999997E-2</v>
          </cell>
          <cell r="X1027">
            <v>0.262445557</v>
          </cell>
          <cell r="Y1027">
            <v>0.17896024199999999</v>
          </cell>
          <cell r="Z1027">
            <v>0.49146202900000002</v>
          </cell>
          <cell r="AB1027" t="str">
            <v>2010MN</v>
          </cell>
          <cell r="AC1027">
            <v>0</v>
          </cell>
          <cell r="AD1027">
            <v>0</v>
          </cell>
          <cell r="AE1027">
            <v>0</v>
          </cell>
          <cell r="AF1027">
            <v>1</v>
          </cell>
        </row>
        <row r="1028">
          <cell r="B1028" t="str">
            <v>2010MS</v>
          </cell>
          <cell r="C1028">
            <v>0.10416334210611014</v>
          </cell>
          <cell r="D1028">
            <v>7.2829933678422776E-2</v>
          </cell>
          <cell r="E1028">
            <v>0.14929269604113307</v>
          </cell>
          <cell r="F1028">
            <v>0.10019278631941281</v>
          </cell>
          <cell r="G1028">
            <v>0.56868226150598644</v>
          </cell>
          <cell r="H1028">
            <v>4.838980348934833E-3</v>
          </cell>
          <cell r="J1028" t="str">
            <v>2010MS</v>
          </cell>
          <cell r="K1028">
            <v>0.28202504199999989</v>
          </cell>
          <cell r="L1028">
            <v>0.56868226200000005</v>
          </cell>
          <cell r="M1028">
            <v>0.149292696</v>
          </cell>
          <cell r="U1028" t="str">
            <v>2010MS</v>
          </cell>
          <cell r="V1028">
            <v>2.1100625000000001E-2</v>
          </cell>
          <cell r="W1028">
            <v>3.6418512E-2</v>
          </cell>
          <cell r="X1028">
            <v>6.0129593000000002E-2</v>
          </cell>
          <cell r="Y1028">
            <v>0.574366987</v>
          </cell>
          <cell r="Z1028">
            <v>0.30798428300000003</v>
          </cell>
          <cell r="AB1028" t="str">
            <v>2010MS</v>
          </cell>
          <cell r="AC1028">
            <v>0</v>
          </cell>
          <cell r="AD1028">
            <v>0</v>
          </cell>
          <cell r="AE1028">
            <v>0.6</v>
          </cell>
          <cell r="AF1028">
            <v>0.4</v>
          </cell>
        </row>
        <row r="1029">
          <cell r="B1029" t="str">
            <v>2010MO</v>
          </cell>
          <cell r="C1029">
            <v>6.4925479522277466E-2</v>
          </cell>
          <cell r="D1029">
            <v>0.18170303563698134</v>
          </cell>
          <cell r="E1029">
            <v>0.14337282997597614</v>
          </cell>
          <cell r="F1029">
            <v>0.47880340852502545</v>
          </cell>
          <cell r="G1029">
            <v>8.4882421727070459E-2</v>
          </cell>
          <cell r="H1029">
            <v>4.6312824612669105E-2</v>
          </cell>
          <cell r="J1029" t="str">
            <v>2010MO</v>
          </cell>
          <cell r="K1029">
            <v>0.77174474799999992</v>
          </cell>
          <cell r="L1029">
            <v>8.4882421999999999E-2</v>
          </cell>
          <cell r="M1029">
            <v>0.14337283000000001</v>
          </cell>
          <cell r="U1029" t="str">
            <v>2010MO</v>
          </cell>
          <cell r="V1029">
            <v>2.998994E-2</v>
          </cell>
          <cell r="W1029">
            <v>4.5757142000000001E-2</v>
          </cell>
          <cell r="X1029">
            <v>0.27926039899999999</v>
          </cell>
          <cell r="Y1029">
            <v>0.13775391300000001</v>
          </cell>
          <cell r="Z1029">
            <v>0.50723860600000004</v>
          </cell>
          <cell r="AB1029" t="str">
            <v>2010MO</v>
          </cell>
          <cell r="AC1029">
            <v>0</v>
          </cell>
          <cell r="AD1029">
            <v>0</v>
          </cell>
          <cell r="AE1029">
            <v>0</v>
          </cell>
          <cell r="AF1029">
            <v>1</v>
          </cell>
        </row>
        <row r="1030">
          <cell r="B1030" t="str">
            <v>2010MT</v>
          </cell>
          <cell r="C1030">
            <v>0.35597781750083307</v>
          </cell>
          <cell r="D1030">
            <v>0.25924389885240834</v>
          </cell>
          <cell r="E1030">
            <v>4.3797789125912777E-2</v>
          </cell>
          <cell r="F1030">
            <v>0.25058080537727367</v>
          </cell>
          <cell r="G1030">
            <v>2.5930034358127463E-2</v>
          </cell>
          <cell r="H1030">
            <v>6.4469654785444572E-2</v>
          </cell>
          <cell r="J1030" t="str">
            <v>2010MT</v>
          </cell>
          <cell r="K1030">
            <v>0.93027217699999998</v>
          </cell>
          <cell r="L1030">
            <v>2.5930034000000001E-2</v>
          </cell>
          <cell r="M1030">
            <v>4.3797788999999997E-2</v>
          </cell>
          <cell r="U1030" t="str">
            <v>2010MT</v>
          </cell>
          <cell r="V1030">
            <v>6.0520032000000001E-2</v>
          </cell>
          <cell r="W1030">
            <v>5.1214043000000001E-2</v>
          </cell>
          <cell r="X1030">
            <v>0.24859647000000001</v>
          </cell>
          <cell r="Y1030">
            <v>0.16530719099999999</v>
          </cell>
          <cell r="Z1030">
            <v>0.47436226399999998</v>
          </cell>
          <cell r="AB1030" t="str">
            <v>2010MT</v>
          </cell>
          <cell r="AC1030">
            <v>0</v>
          </cell>
          <cell r="AD1030">
            <v>0</v>
          </cell>
          <cell r="AE1030">
            <v>0.6</v>
          </cell>
          <cell r="AF1030">
            <v>0.4</v>
          </cell>
        </row>
        <row r="1031">
          <cell r="B1031" t="str">
            <v>2010NE</v>
          </cell>
          <cell r="C1031">
            <v>0.21260954807532403</v>
          </cell>
          <cell r="D1031">
            <v>0.30324255962083846</v>
          </cell>
          <cell r="E1031">
            <v>6.1277054134417128E-2</v>
          </cell>
          <cell r="F1031">
            <v>0.34696077142199511</v>
          </cell>
          <cell r="G1031">
            <v>3.6278454935301678E-2</v>
          </cell>
          <cell r="H1031">
            <v>3.9631611812123581E-2</v>
          </cell>
          <cell r="J1031" t="str">
            <v>2010NE</v>
          </cell>
          <cell r="K1031">
            <v>0.90244449100000002</v>
          </cell>
          <cell r="L1031">
            <v>3.6278455000000001E-2</v>
          </cell>
          <cell r="M1031">
            <v>6.1277053999999997E-2</v>
          </cell>
          <cell r="U1031" t="str">
            <v>2010NE</v>
          </cell>
          <cell r="V1031">
            <v>3.0063880000000001E-2</v>
          </cell>
          <cell r="W1031">
            <v>4.5295173000000001E-2</v>
          </cell>
          <cell r="X1031">
            <v>0.27751980599999998</v>
          </cell>
          <cell r="Y1031">
            <v>0.147715386</v>
          </cell>
          <cell r="Z1031">
            <v>0.49940575500000001</v>
          </cell>
          <cell r="AB1031" t="str">
            <v>2010NE</v>
          </cell>
          <cell r="AC1031">
            <v>0</v>
          </cell>
          <cell r="AD1031">
            <v>0</v>
          </cell>
          <cell r="AE1031">
            <v>0.02</v>
          </cell>
          <cell r="AF1031">
            <v>0.98</v>
          </cell>
        </row>
        <row r="1032">
          <cell r="B1032" t="str">
            <v>2010NV</v>
          </cell>
          <cell r="C1032">
            <v>0.64210148526116029</v>
          </cell>
          <cell r="D1032">
            <v>0.238399883587257</v>
          </cell>
          <cell r="E1032">
            <v>4.1594375177217181E-3</v>
          </cell>
          <cell r="F1032">
            <v>0.10819864870890922</v>
          </cell>
          <cell r="G1032">
            <v>2.4625525602432058E-3</v>
          </cell>
          <cell r="H1032">
            <v>4.677992364708553E-3</v>
          </cell>
          <cell r="J1032" t="str">
            <v>2010NV</v>
          </cell>
          <cell r="K1032">
            <v>0.99337800899999995</v>
          </cell>
          <cell r="L1032">
            <v>2.4625530000000001E-3</v>
          </cell>
          <cell r="M1032">
            <v>4.1594379999999997E-3</v>
          </cell>
          <cell r="U1032" t="str">
            <v>2010NV</v>
          </cell>
          <cell r="V1032">
            <v>0.35004114600000003</v>
          </cell>
          <cell r="W1032">
            <v>2.4048478000000002E-2</v>
          </cell>
          <cell r="X1032">
            <v>3.5747737000000002E-2</v>
          </cell>
          <cell r="Y1032">
            <v>0.38867539400000001</v>
          </cell>
          <cell r="Z1032">
            <v>0.20148724500000001</v>
          </cell>
          <cell r="AB1032" t="str">
            <v>2010NV</v>
          </cell>
          <cell r="AC1032">
            <v>0</v>
          </cell>
          <cell r="AD1032">
            <v>0</v>
          </cell>
          <cell r="AE1032">
            <v>0</v>
          </cell>
          <cell r="AF1032">
            <v>1</v>
          </cell>
        </row>
        <row r="1033">
          <cell r="B1033" t="str">
            <v>2010NH</v>
          </cell>
          <cell r="C1033">
            <v>9.4573445198850817E-2</v>
          </cell>
          <cell r="D1033">
            <v>0.16340842518862655</v>
          </cell>
          <cell r="E1033">
            <v>0.44298025846087286</v>
          </cell>
          <cell r="F1033">
            <v>0.20852129702854144</v>
          </cell>
          <cell r="G1033">
            <v>6.52134304627775E-2</v>
          </cell>
          <cell r="H1033">
            <v>2.5303143660330828E-2</v>
          </cell>
          <cell r="J1033" t="str">
            <v>2010NH</v>
          </cell>
          <cell r="K1033">
            <v>0.49180631200000002</v>
          </cell>
          <cell r="L1033">
            <v>6.5213430000000003E-2</v>
          </cell>
          <cell r="M1033">
            <v>0.44298025800000002</v>
          </cell>
          <cell r="U1033" t="str">
            <v>2010NH</v>
          </cell>
          <cell r="V1033">
            <v>0.56759962799999997</v>
          </cell>
          <cell r="W1033">
            <v>1.9025615999999999E-2</v>
          </cell>
          <cell r="X1033">
            <v>0.119342503</v>
          </cell>
          <cell r="Y1033">
            <v>9.1236478999999995E-2</v>
          </cell>
          <cell r="Z1033">
            <v>0.20279577500000001</v>
          </cell>
          <cell r="AB1033" t="str">
            <v>2010NH</v>
          </cell>
          <cell r="AC1033">
            <v>0</v>
          </cell>
          <cell r="AD1033">
            <v>0</v>
          </cell>
          <cell r="AE1033">
            <v>0.05</v>
          </cell>
          <cell r="AF1033">
            <v>0.95</v>
          </cell>
        </row>
        <row r="1034">
          <cell r="B1034" t="str">
            <v>2010NJ</v>
          </cell>
          <cell r="C1034">
            <v>5.8003576611346738E-2</v>
          </cell>
          <cell r="D1034">
            <v>0.13897871355240557</v>
          </cell>
          <cell r="E1034">
            <v>0.45397029129837874</v>
          </cell>
          <cell r="F1034">
            <v>0.24471653627570109</v>
          </cell>
          <cell r="G1034">
            <v>7.5126969581826603E-2</v>
          </cell>
          <cell r="H1034">
            <v>2.9203912680341212E-2</v>
          </cell>
          <cell r="J1034" t="str">
            <v>2010NJ</v>
          </cell>
          <cell r="K1034">
            <v>0.47090273900000001</v>
          </cell>
          <cell r="L1034">
            <v>7.5126970000000001E-2</v>
          </cell>
          <cell r="M1034">
            <v>0.45397029100000003</v>
          </cell>
          <cell r="U1034" t="str">
            <v>2010NJ</v>
          </cell>
          <cell r="V1034">
            <v>0.30808167400000003</v>
          </cell>
          <cell r="W1034">
            <v>3.3011736E-2</v>
          </cell>
          <cell r="X1034">
            <v>0.18818818500000001</v>
          </cell>
          <cell r="Y1034">
            <v>0.137437002</v>
          </cell>
          <cell r="Z1034">
            <v>0.333281404</v>
          </cell>
          <cell r="AB1034" t="str">
            <v>2010NJ</v>
          </cell>
          <cell r="AC1034">
            <v>0</v>
          </cell>
          <cell r="AD1034">
            <v>0</v>
          </cell>
          <cell r="AE1034">
            <v>0.05</v>
          </cell>
          <cell r="AF1034">
            <v>0.95</v>
          </cell>
        </row>
        <row r="1035">
          <cell r="B1035" t="str">
            <v>2010NM</v>
          </cell>
          <cell r="C1035">
            <v>0.61184589317007076</v>
          </cell>
          <cell r="D1035">
            <v>0.19452029294367307</v>
          </cell>
          <cell r="E1035">
            <v>9.8952813124742175E-2</v>
          </cell>
          <cell r="F1035">
            <v>9.4174237847419268E-2</v>
          </cell>
          <cell r="G1035">
            <v>0</v>
          </cell>
          <cell r="H1035">
            <v>5.0676291409465751E-4</v>
          </cell>
          <cell r="J1035" t="str">
            <v>2010NM</v>
          </cell>
          <cell r="K1035">
            <v>0.90104718699999997</v>
          </cell>
          <cell r="L1035">
            <v>0</v>
          </cell>
          <cell r="M1035">
            <v>9.8952813000000001E-2</v>
          </cell>
          <cell r="U1035" t="str">
            <v>2010NM</v>
          </cell>
          <cell r="V1035">
            <v>0.91655606099999998</v>
          </cell>
          <cell r="W1035">
            <v>3.6715329999999998E-3</v>
          </cell>
          <cell r="X1035">
            <v>2.3030526999999999E-2</v>
          </cell>
          <cell r="Y1035">
            <v>1.7606671000000001E-2</v>
          </cell>
          <cell r="Z1035">
            <v>3.9135206999999998E-2</v>
          </cell>
          <cell r="AB1035" t="str">
            <v>2010NM</v>
          </cell>
          <cell r="AC1035">
            <v>0</v>
          </cell>
          <cell r="AD1035">
            <v>0</v>
          </cell>
          <cell r="AE1035">
            <v>0.6</v>
          </cell>
          <cell r="AF1035">
            <v>0.4</v>
          </cell>
        </row>
        <row r="1036">
          <cell r="B1036" t="str">
            <v>2010NY</v>
          </cell>
          <cell r="C1036">
            <v>9.8408703041683282E-2</v>
          </cell>
          <cell r="D1036">
            <v>0.15954377256245178</v>
          </cell>
          <cell r="E1036">
            <v>0.44849165243165579</v>
          </cell>
          <cell r="F1036">
            <v>0.20287733376538455</v>
          </cell>
          <cell r="G1036">
            <v>7.0184973363303343E-2</v>
          </cell>
          <cell r="H1036">
            <v>2.0493564835521279E-2</v>
          </cell>
          <cell r="J1036" t="str">
            <v>2010NY</v>
          </cell>
          <cell r="K1036">
            <v>0.481323375</v>
          </cell>
          <cell r="L1036">
            <v>7.0184972999999998E-2</v>
          </cell>
          <cell r="M1036">
            <v>0.44849165200000002</v>
          </cell>
          <cell r="U1036" t="str">
            <v>2010NY</v>
          </cell>
          <cell r="V1036">
            <v>0.20441514899999999</v>
          </cell>
          <cell r="W1036">
            <v>4.1815811000000001E-2</v>
          </cell>
          <cell r="X1036">
            <v>0.21220383400000001</v>
          </cell>
          <cell r="Y1036">
            <v>0.145168144</v>
          </cell>
          <cell r="Z1036">
            <v>0.396397061</v>
          </cell>
          <cell r="AB1036" t="str">
            <v>2010NY</v>
          </cell>
          <cell r="AC1036">
            <v>0</v>
          </cell>
          <cell r="AD1036">
            <v>0</v>
          </cell>
          <cell r="AE1036">
            <v>0.05</v>
          </cell>
          <cell r="AF1036">
            <v>0.95</v>
          </cell>
        </row>
        <row r="1037">
          <cell r="B1037" t="str">
            <v>2010NC</v>
          </cell>
          <cell r="C1037">
            <v>6.168821577504751E-2</v>
          </cell>
          <cell r="D1037">
            <v>0.11278426418396881</v>
          </cell>
          <cell r="E1037">
            <v>0.15395779991170949</v>
          </cell>
          <cell r="F1037">
            <v>0.11589101949636353</v>
          </cell>
          <cell r="G1037">
            <v>0.54100750469043157</v>
          </cell>
          <cell r="H1037">
            <v>1.4671195942479084E-2</v>
          </cell>
          <cell r="J1037" t="str">
            <v>2010NC</v>
          </cell>
          <cell r="K1037">
            <v>0.30503469499999991</v>
          </cell>
          <cell r="L1037">
            <v>0.54100750500000006</v>
          </cell>
          <cell r="M1037">
            <v>0.15395780000000001</v>
          </cell>
          <cell r="U1037" t="str">
            <v>2010NC</v>
          </cell>
          <cell r="V1037">
            <v>2.4742549999999999E-3</v>
          </cell>
          <cell r="W1037">
            <v>3.7123251000000003E-2</v>
          </cell>
          <cell r="X1037">
            <v>6.1645423999999997E-2</v>
          </cell>
          <cell r="Y1037">
            <v>0.58464508599999998</v>
          </cell>
          <cell r="Z1037">
            <v>0.31411198400000001</v>
          </cell>
          <cell r="AB1037" t="str">
            <v>2010NC</v>
          </cell>
          <cell r="AC1037">
            <v>0</v>
          </cell>
          <cell r="AD1037">
            <v>0</v>
          </cell>
          <cell r="AE1037">
            <v>0.41899999999999998</v>
          </cell>
          <cell r="AF1037">
            <v>0.58099999999999996</v>
          </cell>
        </row>
        <row r="1038">
          <cell r="B1038" t="str">
            <v>2010ND</v>
          </cell>
          <cell r="C1038">
            <v>0.1196932700797023</v>
          </cell>
          <cell r="D1038">
            <v>0.21866711268457967</v>
          </cell>
          <cell r="E1038">
            <v>0.10978970169096619</v>
          </cell>
          <cell r="F1038">
            <v>0.448028418369537</v>
          </cell>
          <cell r="G1038">
            <v>6.499987314042277E-2</v>
          </cell>
          <cell r="H1038">
            <v>3.8821624034792085E-2</v>
          </cell>
          <cell r="J1038" t="str">
            <v>2010ND</v>
          </cell>
          <cell r="K1038">
            <v>0.82521042499999997</v>
          </cell>
          <cell r="L1038">
            <v>6.4999873E-2</v>
          </cell>
          <cell r="M1038">
            <v>0.109789702</v>
          </cell>
          <cell r="U1038" t="str">
            <v>2010ND</v>
          </cell>
          <cell r="V1038">
            <v>8.8434773999999994E-2</v>
          </cell>
          <cell r="W1038">
            <v>4.7868137999999998E-2</v>
          </cell>
          <cell r="X1038">
            <v>0.243186129</v>
          </cell>
          <cell r="Y1038">
            <v>0.16647603599999999</v>
          </cell>
          <cell r="Z1038">
            <v>0.45403492299999998</v>
          </cell>
          <cell r="AB1038" t="str">
            <v>2010ND</v>
          </cell>
          <cell r="AC1038">
            <v>0</v>
          </cell>
          <cell r="AD1038">
            <v>0</v>
          </cell>
          <cell r="AE1038">
            <v>0.02</v>
          </cell>
          <cell r="AF1038">
            <v>0.98</v>
          </cell>
        </row>
        <row r="1039">
          <cell r="B1039" t="str">
            <v>2010OH</v>
          </cell>
          <cell r="C1039">
            <v>0.10753833947858983</v>
          </cell>
          <cell r="D1039">
            <v>0.22522557822049544</v>
          </cell>
          <cell r="E1039">
            <v>0.13589110116557596</v>
          </cell>
          <cell r="F1039">
            <v>0.4097570212201273</v>
          </cell>
          <cell r="G1039">
            <v>8.0452940491062386E-2</v>
          </cell>
          <cell r="H1039">
            <v>4.1135019424149183E-2</v>
          </cell>
          <cell r="J1039" t="str">
            <v>2010OH</v>
          </cell>
          <cell r="K1039">
            <v>0.78365595900000007</v>
          </cell>
          <cell r="L1039">
            <v>8.0452940000000001E-2</v>
          </cell>
          <cell r="M1039">
            <v>0.13589110099999999</v>
          </cell>
          <cell r="U1039" t="str">
            <v>2010OH</v>
          </cell>
          <cell r="V1039">
            <v>6.6338901000000006E-2</v>
          </cell>
          <cell r="W1039">
            <v>4.3119113000000001E-2</v>
          </cell>
          <cell r="X1039">
            <v>0.26533305600000001</v>
          </cell>
          <cell r="Y1039">
            <v>0.15267545299999999</v>
          </cell>
          <cell r="Z1039">
            <v>0.47253347699999998</v>
          </cell>
          <cell r="AB1039" t="str">
            <v>2010OH</v>
          </cell>
          <cell r="AC1039">
            <v>0</v>
          </cell>
          <cell r="AD1039">
            <v>0</v>
          </cell>
          <cell r="AE1039">
            <v>0</v>
          </cell>
          <cell r="AF1039">
            <v>1</v>
          </cell>
        </row>
        <row r="1040">
          <cell r="B1040" t="str">
            <v>2010OK</v>
          </cell>
          <cell r="C1040">
            <v>0.40296958934788546</v>
          </cell>
          <cell r="D1040">
            <v>0.22528492954061258</v>
          </cell>
          <cell r="E1040">
            <v>6.4896255940651446E-2</v>
          </cell>
          <cell r="F1040">
            <v>0.24738177570149189</v>
          </cell>
          <cell r="G1040">
            <v>0</v>
          </cell>
          <cell r="H1040">
            <v>5.9467449469358676E-2</v>
          </cell>
          <cell r="J1040" t="str">
            <v>2010OK</v>
          </cell>
          <cell r="K1040">
            <v>0.93510374399999996</v>
          </cell>
          <cell r="L1040">
            <v>0</v>
          </cell>
          <cell r="M1040">
            <v>6.4896255999999999E-2</v>
          </cell>
          <cell r="U1040" t="str">
            <v>2010OK</v>
          </cell>
          <cell r="V1040">
            <v>1.2831308E-2</v>
          </cell>
          <cell r="W1040">
            <v>3.6793041999999998E-2</v>
          </cell>
          <cell r="X1040">
            <v>6.2749109999999997E-2</v>
          </cell>
          <cell r="Y1040">
            <v>0.57552135800000004</v>
          </cell>
          <cell r="Z1040">
            <v>0.31210518199999998</v>
          </cell>
          <cell r="AB1040" t="str">
            <v>2010OK</v>
          </cell>
          <cell r="AC1040">
            <v>0</v>
          </cell>
          <cell r="AD1040">
            <v>0</v>
          </cell>
          <cell r="AE1040">
            <v>0.6</v>
          </cell>
          <cell r="AF1040">
            <v>0.4</v>
          </cell>
        </row>
        <row r="1041">
          <cell r="B1041" t="str">
            <v>2010OR</v>
          </cell>
          <cell r="C1041">
            <v>0.43856747008812064</v>
          </cell>
          <cell r="D1041">
            <v>0.20958259090942544</v>
          </cell>
          <cell r="E1041">
            <v>0</v>
          </cell>
          <cell r="F1041">
            <v>0.12862948158709187</v>
          </cell>
          <cell r="G1041">
            <v>0.2018533708975031</v>
          </cell>
          <cell r="H1041">
            <v>2.1367086517858933E-2</v>
          </cell>
          <cell r="J1041" t="str">
            <v>2010OR</v>
          </cell>
          <cell r="K1041">
            <v>0.798146629</v>
          </cell>
          <cell r="L1041">
            <v>0.201853371</v>
          </cell>
          <cell r="M1041">
            <v>0</v>
          </cell>
          <cell r="U1041" t="str">
            <v>2010OR</v>
          </cell>
          <cell r="V1041">
            <v>0.57640796000000005</v>
          </cell>
          <cell r="W1041">
            <v>1.863805E-2</v>
          </cell>
          <cell r="X1041">
            <v>0.116911403</v>
          </cell>
          <cell r="Y1041">
            <v>8.937792E-2</v>
          </cell>
          <cell r="Z1041">
            <v>0.19866466699999999</v>
          </cell>
          <cell r="AB1041" t="str">
            <v>2010OR</v>
          </cell>
          <cell r="AC1041">
            <v>0</v>
          </cell>
          <cell r="AD1041">
            <v>0</v>
          </cell>
          <cell r="AE1041">
            <v>0.25</v>
          </cell>
          <cell r="AF1041">
            <v>0.75</v>
          </cell>
        </row>
        <row r="1042">
          <cell r="B1042" t="str">
            <v>2010PA</v>
          </cell>
          <cell r="C1042">
            <v>4.9624045569858895E-2</v>
          </cell>
          <cell r="D1042">
            <v>0.11712497857538914</v>
          </cell>
          <cell r="E1042">
            <v>0.46874549019831585</v>
          </cell>
          <cell r="F1042">
            <v>0.25230966018477574</v>
          </cell>
          <cell r="G1042">
            <v>8.8454910858433447E-2</v>
          </cell>
          <cell r="H1042">
            <v>2.3740914613226898E-2</v>
          </cell>
          <cell r="J1042" t="str">
            <v>2010PA</v>
          </cell>
          <cell r="K1042">
            <v>0.44279959899999999</v>
          </cell>
          <cell r="L1042">
            <v>8.8454910999999997E-2</v>
          </cell>
          <cell r="M1042">
            <v>0.46874548999999999</v>
          </cell>
          <cell r="U1042" t="str">
            <v>2010PA</v>
          </cell>
          <cell r="V1042">
            <v>5.0102499000000002E-2</v>
          </cell>
          <cell r="W1042">
            <v>4.9409870000000002E-2</v>
          </cell>
          <cell r="X1042">
            <v>0.25392279899999998</v>
          </cell>
          <cell r="Y1042">
            <v>0.17504710600000001</v>
          </cell>
          <cell r="Z1042">
            <v>0.47151772600000003</v>
          </cell>
          <cell r="AB1042" t="str">
            <v>2010PA</v>
          </cell>
          <cell r="AC1042">
            <v>0</v>
          </cell>
          <cell r="AD1042">
            <v>0</v>
          </cell>
          <cell r="AE1042">
            <v>0</v>
          </cell>
          <cell r="AF1042">
            <v>1</v>
          </cell>
        </row>
        <row r="1043">
          <cell r="B1043" t="str">
            <v>2010RI</v>
          </cell>
          <cell r="C1043">
            <v>4.2447025005926793E-2</v>
          </cell>
          <cell r="D1043">
            <v>0.1190174947032642</v>
          </cell>
          <cell r="E1043">
            <v>0.46784468707451643</v>
          </cell>
          <cell r="F1043">
            <v>0.25730854976835782</v>
          </cell>
          <cell r="G1043">
            <v>8.7642343040085183E-2</v>
          </cell>
          <cell r="H1043">
            <v>2.5739900407849584E-2</v>
          </cell>
          <cell r="J1043" t="str">
            <v>2010RI</v>
          </cell>
          <cell r="K1043">
            <v>0.44451297000000001</v>
          </cell>
          <cell r="L1043">
            <v>8.7642342999999998E-2</v>
          </cell>
          <cell r="M1043">
            <v>0.46784468699999998</v>
          </cell>
          <cell r="U1043" t="str">
            <v>2010RI</v>
          </cell>
          <cell r="V1043">
            <v>0.56026879500000004</v>
          </cell>
          <cell r="W1043">
            <v>1.9348173E-2</v>
          </cell>
          <cell r="X1043">
            <v>0.121365813</v>
          </cell>
          <cell r="Y1043">
            <v>9.2783283999999994E-2</v>
          </cell>
          <cell r="Z1043">
            <v>0.20623393500000001</v>
          </cell>
          <cell r="AB1043" t="str">
            <v>2010RI</v>
          </cell>
          <cell r="AC1043">
            <v>0</v>
          </cell>
          <cell r="AD1043">
            <v>0</v>
          </cell>
          <cell r="AE1043">
            <v>0.05</v>
          </cell>
          <cell r="AF1043">
            <v>0.95</v>
          </cell>
        </row>
        <row r="1044">
          <cell r="B1044" t="str">
            <v>2010SC</v>
          </cell>
          <cell r="C1044">
            <v>0.13346180610825578</v>
          </cell>
          <cell r="D1044">
            <v>9.0019723091430845E-2</v>
          </cell>
          <cell r="E1044">
            <v>0.15451296947775242</v>
          </cell>
          <cell r="F1044">
            <v>8.0687406490411034E-2</v>
          </cell>
          <cell r="G1044">
            <v>0.53771407690020812</v>
          </cell>
          <cell r="H1044">
            <v>3.6040179319418398E-3</v>
          </cell>
          <cell r="J1044" t="str">
            <v>2010SC</v>
          </cell>
          <cell r="K1044">
            <v>0.30777295400000004</v>
          </cell>
          <cell r="L1044">
            <v>0.53771407699999996</v>
          </cell>
          <cell r="M1044">
            <v>0.154512969</v>
          </cell>
          <cell r="U1044" t="str">
            <v>2010SC</v>
          </cell>
          <cell r="V1044">
            <v>6.1629585000000001E-2</v>
          </cell>
          <cell r="W1044">
            <v>3.5823032999999997E-2</v>
          </cell>
          <cell r="X1044">
            <v>8.6443989999999998E-2</v>
          </cell>
          <cell r="Y1044">
            <v>0.50014727299999995</v>
          </cell>
          <cell r="Z1044">
            <v>0.31595611899999998</v>
          </cell>
          <cell r="AB1044" t="str">
            <v>2010SC</v>
          </cell>
          <cell r="AC1044">
            <v>0</v>
          </cell>
          <cell r="AD1044">
            <v>0</v>
          </cell>
          <cell r="AE1044">
            <v>0.6</v>
          </cell>
          <cell r="AF1044">
            <v>0.4</v>
          </cell>
        </row>
        <row r="1045">
          <cell r="B1045" t="str">
            <v>2010SD</v>
          </cell>
          <cell r="C1045">
            <v>0.17608951911561277</v>
          </cell>
          <cell r="D1045">
            <v>0.277831368160596</v>
          </cell>
          <cell r="E1045">
            <v>7.9800561964795444E-2</v>
          </cell>
          <cell r="F1045">
            <v>0.37802114842972712</v>
          </cell>
          <cell r="G1045">
            <v>4.724510882492864E-2</v>
          </cell>
          <cell r="H1045">
            <v>4.1012293504340026E-2</v>
          </cell>
          <cell r="J1045" t="str">
            <v>2010SD</v>
          </cell>
          <cell r="K1045">
            <v>0.87295432900000003</v>
          </cell>
          <cell r="L1045">
            <v>4.7245109E-2</v>
          </cell>
          <cell r="M1045">
            <v>7.9800562000000005E-2</v>
          </cell>
          <cell r="U1045" t="str">
            <v>2010SD</v>
          </cell>
          <cell r="V1045">
            <v>3.3046748000000001E-2</v>
          </cell>
          <cell r="W1045">
            <v>5.1157264000000001E-2</v>
          </cell>
          <cell r="X1045">
            <v>0.25755016600000002</v>
          </cell>
          <cell r="Y1045">
            <v>0.17532273200000001</v>
          </cell>
          <cell r="Z1045">
            <v>0.48292308900000003</v>
          </cell>
          <cell r="AB1045" t="str">
            <v>2010SD</v>
          </cell>
          <cell r="AC1045">
            <v>0</v>
          </cell>
          <cell r="AD1045">
            <v>0</v>
          </cell>
          <cell r="AE1045">
            <v>0.02</v>
          </cell>
          <cell r="AF1045">
            <v>0.98</v>
          </cell>
        </row>
        <row r="1046">
          <cell r="B1046" t="str">
            <v>2010TN</v>
          </cell>
          <cell r="C1046">
            <v>4.0519949592449485E-2</v>
          </cell>
          <cell r="D1046">
            <v>8.9664149461423162E-2</v>
          </cell>
          <cell r="E1046">
            <v>0.14551684926860037</v>
          </cell>
          <cell r="F1046">
            <v>0.1170185785979804</v>
          </cell>
          <cell r="G1046">
            <v>0.59108168584929244</v>
          </cell>
          <cell r="H1046">
            <v>1.6198787230254148E-2</v>
          </cell>
          <cell r="J1046" t="str">
            <v>2010TN</v>
          </cell>
          <cell r="K1046">
            <v>0.26340146500000006</v>
          </cell>
          <cell r="L1046">
            <v>0.591081686</v>
          </cell>
          <cell r="M1046">
            <v>0.145516849</v>
          </cell>
          <cell r="U1046" t="str">
            <v>2010TN</v>
          </cell>
          <cell r="V1046">
            <v>0.102875089</v>
          </cell>
          <cell r="W1046">
            <v>3.5402429999999999E-2</v>
          </cell>
          <cell r="X1046">
            <v>0.119077104</v>
          </cell>
          <cell r="Y1046">
            <v>0.41436515099999999</v>
          </cell>
          <cell r="Z1046">
            <v>0.32828022600000001</v>
          </cell>
          <cell r="AB1046" t="str">
            <v>2010TN</v>
          </cell>
          <cell r="AC1046">
            <v>0</v>
          </cell>
          <cell r="AD1046">
            <v>0</v>
          </cell>
          <cell r="AE1046">
            <v>0.05</v>
          </cell>
          <cell r="AF1046">
            <v>0.95</v>
          </cell>
        </row>
        <row r="1047">
          <cell r="B1047" t="str">
            <v>2010TX</v>
          </cell>
          <cell r="C1047">
            <v>0.53305655520056971</v>
          </cell>
          <cell r="D1047">
            <v>0.24233312613196878</v>
          </cell>
          <cell r="E1047">
            <v>7.9791980793249173E-2</v>
          </cell>
          <cell r="F1047">
            <v>0.1278405091499755</v>
          </cell>
          <cell r="G1047">
            <v>0</v>
          </cell>
          <cell r="H1047">
            <v>1.6977828724236681E-2</v>
          </cell>
          <cell r="J1047" t="str">
            <v>2010TX</v>
          </cell>
          <cell r="K1047">
            <v>0.92020801900000004</v>
          </cell>
          <cell r="L1047">
            <v>0</v>
          </cell>
          <cell r="M1047">
            <v>7.9791980999999998E-2</v>
          </cell>
          <cell r="U1047" t="str">
            <v>2010TX</v>
          </cell>
          <cell r="V1047">
            <v>6.9632535999999995E-2</v>
          </cell>
          <cell r="W1047">
            <v>3.4700662E-2</v>
          </cell>
          <cell r="X1047">
            <v>5.9917572000000002E-2</v>
          </cell>
          <cell r="Y1047">
            <v>0.54104196599999999</v>
          </cell>
          <cell r="Z1047">
            <v>0.29470726400000002</v>
          </cell>
          <cell r="AB1047" t="str">
            <v>2010TX</v>
          </cell>
          <cell r="AC1047">
            <v>0</v>
          </cell>
          <cell r="AD1047">
            <v>0</v>
          </cell>
          <cell r="AE1047">
            <v>0.12</v>
          </cell>
          <cell r="AF1047">
            <v>0.88</v>
          </cell>
        </row>
        <row r="1048">
          <cell r="B1048" t="str">
            <v>2010UT</v>
          </cell>
          <cell r="C1048">
            <v>0.51165623152884221</v>
          </cell>
          <cell r="D1048">
            <v>0.26394677259150623</v>
          </cell>
          <cell r="E1048">
            <v>1.3999177703951423E-2</v>
          </cell>
          <cell r="F1048">
            <v>0.17036034814732054</v>
          </cell>
          <cell r="G1048">
            <v>8.2880703819413898E-3</v>
          </cell>
          <cell r="H1048">
            <v>3.1749399646438282E-2</v>
          </cell>
          <cell r="J1048" t="str">
            <v>2010UT</v>
          </cell>
          <cell r="K1048">
            <v>0.97771275199999996</v>
          </cell>
          <cell r="L1048">
            <v>8.2880699999999998E-3</v>
          </cell>
          <cell r="M1048">
            <v>1.3999177999999999E-2</v>
          </cell>
          <cell r="U1048" t="str">
            <v>2010UT</v>
          </cell>
          <cell r="V1048">
            <v>8.6456620000000001E-3</v>
          </cell>
          <cell r="W1048">
            <v>5.5424775000000003E-2</v>
          </cell>
          <cell r="X1048">
            <v>0.260824848</v>
          </cell>
          <cell r="Y1048">
            <v>0.16982515300000001</v>
          </cell>
          <cell r="Z1048">
            <v>0.50527956200000002</v>
          </cell>
          <cell r="AB1048" t="str">
            <v>2010UT</v>
          </cell>
          <cell r="AC1048">
            <v>0</v>
          </cell>
          <cell r="AD1048">
            <v>0</v>
          </cell>
          <cell r="AE1048">
            <v>0.6</v>
          </cell>
          <cell r="AF1048">
            <v>0.4</v>
          </cell>
        </row>
        <row r="1049">
          <cell r="B1049" t="str">
            <v>2010VT</v>
          </cell>
          <cell r="C1049">
            <v>9.9973781354903396E-2</v>
          </cell>
          <cell r="D1049">
            <v>0.17387691112967565</v>
          </cell>
          <cell r="E1049">
            <v>0.44423932842492886</v>
          </cell>
          <cell r="F1049">
            <v>0.19448861844630186</v>
          </cell>
          <cell r="G1049">
            <v>6.6349172232328182E-2</v>
          </cell>
          <cell r="H1049">
            <v>2.1072188411862088E-2</v>
          </cell>
          <cell r="J1049" t="str">
            <v>2010VT</v>
          </cell>
          <cell r="K1049">
            <v>0.4894115</v>
          </cell>
          <cell r="L1049">
            <v>6.6349171999999998E-2</v>
          </cell>
          <cell r="M1049">
            <v>0.44423932799999999</v>
          </cell>
          <cell r="U1049" t="str">
            <v>2010VT</v>
          </cell>
          <cell r="V1049">
            <v>0.86037974299999997</v>
          </cell>
          <cell r="W1049">
            <v>6.1432910000000004E-3</v>
          </cell>
          <cell r="X1049">
            <v>3.8535191000000003E-2</v>
          </cell>
          <cell r="Y1049">
            <v>2.9459874E-2</v>
          </cell>
          <cell r="Z1049">
            <v>6.5481899999999996E-2</v>
          </cell>
          <cell r="AB1049" t="str">
            <v>2010VT</v>
          </cell>
          <cell r="AC1049">
            <v>0</v>
          </cell>
          <cell r="AD1049">
            <v>0</v>
          </cell>
          <cell r="AE1049">
            <v>0.05</v>
          </cell>
          <cell r="AF1049">
            <v>0.95</v>
          </cell>
        </row>
        <row r="1050">
          <cell r="B1050" t="str">
            <v>2010VA</v>
          </cell>
          <cell r="C1050">
            <v>4.4953509549794296E-2</v>
          </cell>
          <cell r="D1050">
            <v>9.339670802378576E-2</v>
          </cell>
          <cell r="E1050">
            <v>0.14844092890155638</v>
          </cell>
          <cell r="F1050">
            <v>0.12331550684410268</v>
          </cell>
          <cell r="G1050">
            <v>0.5737351926100378</v>
          </cell>
          <cell r="H1050">
            <v>1.6158154070723133E-2</v>
          </cell>
          <cell r="J1050" t="str">
            <v>2010VA</v>
          </cell>
          <cell r="K1050">
            <v>0.27782387799999997</v>
          </cell>
          <cell r="L1050">
            <v>0.57373519299999998</v>
          </cell>
          <cell r="M1050">
            <v>0.148440929</v>
          </cell>
          <cell r="U1050" t="str">
            <v>2010VA</v>
          </cell>
          <cell r="V1050">
            <v>3.3934871999999998E-2</v>
          </cell>
          <cell r="W1050">
            <v>3.6244844999999998E-2</v>
          </cell>
          <cell r="X1050">
            <v>6.8933026999999994E-2</v>
          </cell>
          <cell r="Y1050">
            <v>0.550040046</v>
          </cell>
          <cell r="Z1050">
            <v>0.31084721100000001</v>
          </cell>
          <cell r="AB1050" t="str">
            <v>2010VA</v>
          </cell>
          <cell r="AC1050">
            <v>0</v>
          </cell>
          <cell r="AD1050">
            <v>0</v>
          </cell>
          <cell r="AE1050">
            <v>0.05</v>
          </cell>
          <cell r="AF1050">
            <v>0.95</v>
          </cell>
        </row>
        <row r="1051">
          <cell r="B1051" t="str">
            <v>2010WA</v>
          </cell>
          <cell r="C1051">
            <v>0.48742079910802349</v>
          </cell>
          <cell r="D1051">
            <v>0.21961274491816118</v>
          </cell>
          <cell r="E1051">
            <v>0</v>
          </cell>
          <cell r="F1051">
            <v>0.11254281869932067</v>
          </cell>
          <cell r="G1051">
            <v>0.16627589127589129</v>
          </cell>
          <cell r="H1051">
            <v>1.4147745998603438E-2</v>
          </cell>
          <cell r="J1051" t="str">
            <v>2010WA</v>
          </cell>
          <cell r="K1051">
            <v>0.83372410900000005</v>
          </cell>
          <cell r="L1051">
            <v>0.16627589100000001</v>
          </cell>
          <cell r="M1051">
            <v>0</v>
          </cell>
          <cell r="U1051" t="str">
            <v>2010WA</v>
          </cell>
          <cell r="V1051">
            <v>0.37353494700000001</v>
          </cell>
          <cell r="W1051">
            <v>3.1263627000000002E-2</v>
          </cell>
          <cell r="X1051">
            <v>0.168896926</v>
          </cell>
          <cell r="Y1051">
            <v>0.119853577</v>
          </cell>
          <cell r="Z1051">
            <v>0.30645092299999999</v>
          </cell>
          <cell r="AB1051" t="str">
            <v>2010WA</v>
          </cell>
          <cell r="AC1051">
            <v>0</v>
          </cell>
          <cell r="AD1051">
            <v>0</v>
          </cell>
          <cell r="AE1051">
            <v>0.12</v>
          </cell>
          <cell r="AF1051">
            <v>0.88</v>
          </cell>
        </row>
        <row r="1052">
          <cell r="B1052" t="str">
            <v>2010WV</v>
          </cell>
          <cell r="C1052">
            <v>6.8751812683186322E-2</v>
          </cell>
          <cell r="D1052">
            <v>0.15888641455628993</v>
          </cell>
          <cell r="E1052">
            <v>0.44831485363191043</v>
          </cell>
          <cell r="F1052">
            <v>0.22633984896592482</v>
          </cell>
          <cell r="G1052">
            <v>7.0025492327769459E-2</v>
          </cell>
          <cell r="H1052">
            <v>2.7681577834919095E-2</v>
          </cell>
          <cell r="J1052" t="str">
            <v>2010WV</v>
          </cell>
          <cell r="K1052">
            <v>0.48165965399999999</v>
          </cell>
          <cell r="L1052">
            <v>7.0025491999999995E-2</v>
          </cell>
          <cell r="M1052">
            <v>0.44831485399999998</v>
          </cell>
          <cell r="U1052" t="str">
            <v>2010WV</v>
          </cell>
          <cell r="V1052">
            <v>0.57920187499999998</v>
          </cell>
          <cell r="W1052">
            <v>2.1256934000000002E-2</v>
          </cell>
          <cell r="X1052">
            <v>0.113169981</v>
          </cell>
          <cell r="Y1052">
            <v>7.9649016000000003E-2</v>
          </cell>
          <cell r="Z1052">
            <v>0.206722194</v>
          </cell>
          <cell r="AB1052" t="str">
            <v>2010WV</v>
          </cell>
          <cell r="AC1052">
            <v>0</v>
          </cell>
          <cell r="AD1052">
            <v>0</v>
          </cell>
          <cell r="AE1052">
            <v>0.05</v>
          </cell>
          <cell r="AF1052">
            <v>0.95</v>
          </cell>
        </row>
        <row r="1053">
          <cell r="B1053" t="str">
            <v>2010WI</v>
          </cell>
          <cell r="C1053">
            <v>0.12203432597344931</v>
          </cell>
          <cell r="D1053">
            <v>0.23555629715568294</v>
          </cell>
          <cell r="E1053">
            <v>0.11540173598404266</v>
          </cell>
          <cell r="F1053">
            <v>0.42032708364290838</v>
          </cell>
          <cell r="G1053">
            <v>6.8322420806473022E-2</v>
          </cell>
          <cell r="H1053">
            <v>3.8358136437443673E-2</v>
          </cell>
          <cell r="J1053" t="str">
            <v>2010WI</v>
          </cell>
          <cell r="K1053">
            <v>0.816275843</v>
          </cell>
          <cell r="L1053">
            <v>6.8322420999999994E-2</v>
          </cell>
          <cell r="M1053">
            <v>0.115401736</v>
          </cell>
          <cell r="U1053" t="str">
            <v>2010WI</v>
          </cell>
          <cell r="V1053">
            <v>0.12883246500000001</v>
          </cell>
          <cell r="W1053">
            <v>4.2564396999999997E-2</v>
          </cell>
          <cell r="X1053">
            <v>0.23585646199999999</v>
          </cell>
          <cell r="Y1053">
            <v>0.16970626599999999</v>
          </cell>
          <cell r="Z1053">
            <v>0.42304040999999998</v>
          </cell>
          <cell r="AB1053" t="str">
            <v>2010WI</v>
          </cell>
          <cell r="AC1053">
            <v>0</v>
          </cell>
          <cell r="AD1053">
            <v>0</v>
          </cell>
          <cell r="AE1053">
            <v>0.02</v>
          </cell>
          <cell r="AF1053">
            <v>0.98</v>
          </cell>
        </row>
        <row r="1054">
          <cell r="B1054" t="str">
            <v>2010WY</v>
          </cell>
          <cell r="C1054">
            <v>0.29508724522063295</v>
          </cell>
          <cell r="D1054">
            <v>0.23251729773373622</v>
          </cell>
          <cell r="E1054">
            <v>0.12161775942187937</v>
          </cell>
          <cell r="F1054">
            <v>0.2207502472879718</v>
          </cell>
          <cell r="G1054">
            <v>7.2002554085590281E-2</v>
          </cell>
          <cell r="H1054">
            <v>5.8024896250189507E-2</v>
          </cell>
          <cell r="J1054" t="str">
            <v>2010WY</v>
          </cell>
          <cell r="K1054">
            <v>0.80637968699999996</v>
          </cell>
          <cell r="L1054">
            <v>7.2002553999999996E-2</v>
          </cell>
          <cell r="M1054">
            <v>0.12161775900000001</v>
          </cell>
          <cell r="U1054" t="str">
            <v>2010WY</v>
          </cell>
          <cell r="V1054">
            <v>3.2109568999999998E-2</v>
          </cell>
          <cell r="W1054">
            <v>5.3596850000000001E-2</v>
          </cell>
          <cell r="X1054">
            <v>0.25521061499999997</v>
          </cell>
          <cell r="Y1054">
            <v>0.16752597599999999</v>
          </cell>
          <cell r="Z1054">
            <v>0.49155699000000003</v>
          </cell>
          <cell r="AB1054" t="str">
            <v>2010WY</v>
          </cell>
          <cell r="AC1054">
            <v>0</v>
          </cell>
          <cell r="AD1054">
            <v>0</v>
          </cell>
          <cell r="AE1054">
            <v>0.6</v>
          </cell>
          <cell r="AF1054">
            <v>0.4</v>
          </cell>
        </row>
        <row r="1055">
          <cell r="B1055" t="str">
            <v>2011AL</v>
          </cell>
          <cell r="C1055">
            <v>0.17233560131521788</v>
          </cell>
          <cell r="D1055">
            <v>9.7606154746872412E-2</v>
          </cell>
          <cell r="E1055">
            <v>0.16919346457207346</v>
          </cell>
          <cell r="F1055">
            <v>0.1056405325382436</v>
          </cell>
          <cell r="G1055">
            <v>0.45062509818962659</v>
          </cell>
          <cell r="H1055">
            <v>4.5991486379660445E-3</v>
          </cell>
          <cell r="J1055" t="str">
            <v>2011AL</v>
          </cell>
          <cell r="K1055">
            <v>0.38018143700000007</v>
          </cell>
          <cell r="L1055">
            <v>0.450625098</v>
          </cell>
          <cell r="M1055">
            <v>0.16919346499999999</v>
          </cell>
          <cell r="U1055" t="str">
            <v>2011AL</v>
          </cell>
          <cell r="V1055">
            <v>5.3114938E-2</v>
          </cell>
          <cell r="W1055">
            <v>3.6058960000000001E-2</v>
          </cell>
          <cell r="X1055">
            <v>8.4414527000000003E-2</v>
          </cell>
          <cell r="Y1055">
            <v>0.50961295299999998</v>
          </cell>
          <cell r="Z1055">
            <v>0.316798623</v>
          </cell>
          <cell r="AB1055" t="str">
            <v>2011AL</v>
          </cell>
          <cell r="AC1055">
            <v>0</v>
          </cell>
          <cell r="AD1055">
            <v>0</v>
          </cell>
          <cell r="AE1055">
            <v>0.41899999999999998</v>
          </cell>
          <cell r="AF1055">
            <v>0.58099999999999996</v>
          </cell>
        </row>
        <row r="1056">
          <cell r="B1056" t="str">
            <v>2011AK</v>
          </cell>
          <cell r="C1056">
            <v>0.30334484066413492</v>
          </cell>
          <cell r="D1056">
            <v>0.23769937716735701</v>
          </cell>
          <cell r="E1056">
            <v>6.205843688929364E-2</v>
          </cell>
          <cell r="F1056">
            <v>0.28363994741136878</v>
          </cell>
          <cell r="G1056">
            <v>3.6741064625999714E-2</v>
          </cell>
          <cell r="H1056">
            <v>7.6516333241846021E-2</v>
          </cell>
          <cell r="J1056" t="str">
            <v>2011AK</v>
          </cell>
          <cell r="K1056">
            <v>0.90120049800000002</v>
          </cell>
          <cell r="L1056">
            <v>3.6741065000000003E-2</v>
          </cell>
          <cell r="M1056">
            <v>6.2058437000000001E-2</v>
          </cell>
          <cell r="U1056" t="str">
            <v>2011AK</v>
          </cell>
          <cell r="V1056">
            <v>0.52632575500000001</v>
          </cell>
          <cell r="W1056">
            <v>2.0841667000000001E-2</v>
          </cell>
          <cell r="X1056">
            <v>0.130734092</v>
          </cell>
          <cell r="Y1056">
            <v>9.9945266000000005E-2</v>
          </cell>
          <cell r="Z1056">
            <v>0.22215322100000001</v>
          </cell>
          <cell r="AB1056" t="str">
            <v>2011AK</v>
          </cell>
          <cell r="AC1056">
            <v>0</v>
          </cell>
          <cell r="AD1056">
            <v>0</v>
          </cell>
          <cell r="AE1056">
            <v>0.25</v>
          </cell>
          <cell r="AF1056">
            <v>0.75</v>
          </cell>
        </row>
        <row r="1057">
          <cell r="B1057" t="str">
            <v>2011AZ</v>
          </cell>
          <cell r="C1057">
            <v>0.611220636654217</v>
          </cell>
          <cell r="D1057">
            <v>0.19572797693407004</v>
          </cell>
          <cell r="E1057">
            <v>9.865488383487428E-2</v>
          </cell>
          <cell r="F1057">
            <v>9.3890669243012675E-2</v>
          </cell>
          <cell r="G1057">
            <v>0</v>
          </cell>
          <cell r="H1057">
            <v>5.0583333382575558E-4</v>
          </cell>
          <cell r="J1057" t="str">
            <v>2011AZ</v>
          </cell>
          <cell r="K1057">
            <v>0.901345116</v>
          </cell>
          <cell r="L1057">
            <v>0</v>
          </cell>
          <cell r="M1057">
            <v>9.8654883999999998E-2</v>
          </cell>
          <cell r="U1057" t="str">
            <v>2011AZ</v>
          </cell>
          <cell r="V1057">
            <v>0.136592664</v>
          </cell>
          <cell r="W1057">
            <v>3.2171241000000003E-2</v>
          </cell>
          <cell r="X1057">
            <v>5.4596316999999998E-2</v>
          </cell>
          <cell r="Y1057">
            <v>0.50386894699999996</v>
          </cell>
          <cell r="Z1057">
            <v>0.27277083200000002</v>
          </cell>
          <cell r="AB1057" t="str">
            <v>2011AZ</v>
          </cell>
          <cell r="AC1057">
            <v>0</v>
          </cell>
          <cell r="AD1057">
            <v>0</v>
          </cell>
          <cell r="AE1057">
            <v>0.6</v>
          </cell>
          <cell r="AF1057">
            <v>0.4</v>
          </cell>
        </row>
        <row r="1058">
          <cell r="B1058" t="str">
            <v>2011AR</v>
          </cell>
          <cell r="C1058">
            <v>9.6391342329605903E-2</v>
          </cell>
          <cell r="D1058">
            <v>6.6955456596874061E-2</v>
          </cell>
          <cell r="E1058">
            <v>0.14888335780531528</v>
          </cell>
          <cell r="F1058">
            <v>0.11118804006195876</v>
          </cell>
          <cell r="G1058">
            <v>0.57111057531117648</v>
          </cell>
          <cell r="H1058">
            <v>5.4712278950695761E-3</v>
          </cell>
          <cell r="J1058" t="str">
            <v>2011AR</v>
          </cell>
          <cell r="K1058">
            <v>0.28000606700000008</v>
          </cell>
          <cell r="L1058">
            <v>0.57111057499999995</v>
          </cell>
          <cell r="M1058">
            <v>0.14888335799999999</v>
          </cell>
          <cell r="U1058" t="str">
            <v>2011AR</v>
          </cell>
          <cell r="V1058">
            <v>3.9459004999999998E-2</v>
          </cell>
          <cell r="W1058">
            <v>3.7640482000000003E-2</v>
          </cell>
          <cell r="X1058">
            <v>0.11914443199999999</v>
          </cell>
          <cell r="Y1058">
            <v>0.45827781299999998</v>
          </cell>
          <cell r="Z1058">
            <v>0.34547826799999998</v>
          </cell>
          <cell r="AB1058" t="str">
            <v>2011AR</v>
          </cell>
          <cell r="AC1058">
            <v>0</v>
          </cell>
          <cell r="AD1058">
            <v>0</v>
          </cell>
          <cell r="AE1058">
            <v>0</v>
          </cell>
          <cell r="AF1058">
            <v>1</v>
          </cell>
        </row>
        <row r="1059">
          <cell r="B1059" t="str">
            <v>2011CA</v>
          </cell>
          <cell r="C1059">
            <v>0.58081862489107328</v>
          </cell>
          <cell r="D1059">
            <v>0.20720345916912225</v>
          </cell>
          <cell r="E1059">
            <v>0.10801924509893834</v>
          </cell>
          <cell r="F1059">
            <v>9.2431120719429966E-2</v>
          </cell>
          <cell r="G1059">
            <v>9.2523577326630076E-3</v>
          </cell>
          <cell r="H1059">
            <v>2.2751923887731596E-3</v>
          </cell>
          <cell r="J1059" t="str">
            <v>2011CA</v>
          </cell>
          <cell r="K1059">
            <v>0.88272839699999994</v>
          </cell>
          <cell r="L1059">
            <v>9.2523580000000005E-3</v>
          </cell>
          <cell r="M1059">
            <v>0.108019245</v>
          </cell>
          <cell r="U1059" t="str">
            <v>2011CA</v>
          </cell>
          <cell r="V1059">
            <v>0.133799526</v>
          </cell>
          <cell r="W1059">
            <v>3.2941353E-2</v>
          </cell>
          <cell r="X1059">
            <v>7.5800703999999997E-2</v>
          </cell>
          <cell r="Y1059">
            <v>0.46867659099999998</v>
          </cell>
          <cell r="Z1059">
            <v>0.28878182499999999</v>
          </cell>
          <cell r="AB1059" t="str">
            <v>2011CA</v>
          </cell>
          <cell r="AC1059">
            <v>0</v>
          </cell>
          <cell r="AD1059">
            <v>0</v>
          </cell>
          <cell r="AE1059">
            <v>0.12</v>
          </cell>
          <cell r="AF1059">
            <v>0.88</v>
          </cell>
        </row>
        <row r="1060">
          <cell r="B1060" t="str">
            <v>2011CO</v>
          </cell>
          <cell r="C1060">
            <v>0.61667904285785091</v>
          </cell>
          <cell r="D1060">
            <v>0.24212893570430052</v>
          </cell>
          <cell r="E1060">
            <v>1.1092391745361967E-2</v>
          </cell>
          <cell r="F1060">
            <v>0.11516410971780773</v>
          </cell>
          <cell r="G1060">
            <v>6.5671374014829543E-3</v>
          </cell>
          <cell r="H1060">
            <v>8.3683825731959392E-3</v>
          </cell>
          <cell r="J1060" t="str">
            <v>2011CO</v>
          </cell>
          <cell r="K1060">
            <v>0.98234047099999999</v>
          </cell>
          <cell r="L1060">
            <v>6.5671369999999998E-3</v>
          </cell>
          <cell r="M1060">
            <v>1.1092392E-2</v>
          </cell>
          <cell r="U1060" t="str">
            <v>2011CO</v>
          </cell>
          <cell r="V1060">
            <v>2.3378138E-2</v>
          </cell>
          <cell r="W1060">
            <v>5.3880426000000002E-2</v>
          </cell>
          <cell r="X1060">
            <v>0.25772948099999998</v>
          </cell>
          <cell r="Y1060">
            <v>0.169703665</v>
          </cell>
          <cell r="Z1060">
            <v>0.49530828999999998</v>
          </cell>
          <cell r="AB1060" t="str">
            <v>2011CO</v>
          </cell>
          <cell r="AC1060">
            <v>0</v>
          </cell>
          <cell r="AD1060">
            <v>0</v>
          </cell>
          <cell r="AE1060">
            <v>0.6</v>
          </cell>
          <cell r="AF1060">
            <v>0.4</v>
          </cell>
        </row>
        <row r="1061">
          <cell r="B1061" t="str">
            <v>2011CT</v>
          </cell>
          <cell r="C1061">
            <v>0.11572842393252261</v>
          </cell>
          <cell r="D1061">
            <v>0.20119880615243968</v>
          </cell>
          <cell r="E1061">
            <v>0.43233999756560143</v>
          </cell>
          <cell r="F1061">
            <v>0.17234541515575838</v>
          </cell>
          <cell r="G1061">
            <v>5.5615402487630847E-2</v>
          </cell>
          <cell r="H1061">
            <v>2.2771954706046996E-2</v>
          </cell>
          <cell r="J1061" t="str">
            <v>2011CT</v>
          </cell>
          <cell r="K1061">
            <v>0.51204460000000007</v>
          </cell>
          <cell r="L1061">
            <v>5.5615402000000001E-2</v>
          </cell>
          <cell r="M1061">
            <v>0.432339998</v>
          </cell>
          <cell r="U1061" t="str">
            <v>2011CT</v>
          </cell>
          <cell r="V1061">
            <v>0.57363861400000005</v>
          </cell>
          <cell r="W1061">
            <v>1.8759900999999999E-2</v>
          </cell>
          <cell r="X1061">
            <v>0.117675743</v>
          </cell>
          <cell r="Y1061">
            <v>8.9962252000000006E-2</v>
          </cell>
          <cell r="Z1061">
            <v>0.19996348999999999</v>
          </cell>
          <cell r="AB1061" t="str">
            <v>2011CT</v>
          </cell>
          <cell r="AC1061">
            <v>0</v>
          </cell>
          <cell r="AD1061">
            <v>0</v>
          </cell>
          <cell r="AE1061">
            <v>0.05</v>
          </cell>
          <cell r="AF1061">
            <v>0.95</v>
          </cell>
        </row>
        <row r="1062">
          <cell r="B1062" t="str">
            <v>2011DE</v>
          </cell>
          <cell r="C1062">
            <v>0.10201653895343663</v>
          </cell>
          <cell r="D1062">
            <v>0.1910091905838856</v>
          </cell>
          <cell r="E1062">
            <v>0.43707162937473454</v>
          </cell>
          <cell r="F1062">
            <v>0.18637975788177577</v>
          </cell>
          <cell r="G1062">
            <v>5.9883562349419175E-2</v>
          </cell>
          <cell r="H1062">
            <v>2.3639320856748244E-2</v>
          </cell>
          <cell r="J1062" t="str">
            <v>2011DE</v>
          </cell>
          <cell r="K1062">
            <v>0.50304480899999993</v>
          </cell>
          <cell r="L1062">
            <v>5.9883562000000001E-2</v>
          </cell>
          <cell r="M1062">
            <v>0.43707162900000002</v>
          </cell>
          <cell r="U1062" t="str">
            <v>2011DE</v>
          </cell>
          <cell r="V1062">
            <v>0.120253529</v>
          </cell>
          <cell r="W1062">
            <v>4.1631153999999997E-2</v>
          </cell>
          <cell r="X1062">
            <v>0.23964419100000001</v>
          </cell>
          <cell r="Y1062">
            <v>0.17588547500000001</v>
          </cell>
          <cell r="Z1062">
            <v>0.42258565100000001</v>
          </cell>
          <cell r="AB1062" t="str">
            <v>2011DE</v>
          </cell>
          <cell r="AC1062">
            <v>0</v>
          </cell>
          <cell r="AD1062">
            <v>0</v>
          </cell>
          <cell r="AE1062">
            <v>0.05</v>
          </cell>
          <cell r="AF1062">
            <v>0.95</v>
          </cell>
        </row>
        <row r="1063">
          <cell r="B1063" t="str">
            <v>2011FL</v>
          </cell>
          <cell r="C1063">
            <v>0.38654865924430459</v>
          </cell>
          <cell r="D1063">
            <v>0.14503983167997814</v>
          </cell>
          <cell r="E1063">
            <v>0.21616400084919535</v>
          </cell>
          <cell r="F1063">
            <v>7.8997496757044303E-2</v>
          </cell>
          <cell r="G1063">
            <v>0.17198217725399226</v>
          </cell>
          <cell r="H1063">
            <v>1.2678342154852779E-3</v>
          </cell>
          <cell r="J1063" t="str">
            <v>2011FL</v>
          </cell>
          <cell r="K1063">
            <v>0.61185382200000005</v>
          </cell>
          <cell r="L1063">
            <v>0.17198217700000001</v>
          </cell>
          <cell r="M1063">
            <v>0.21616400099999999</v>
          </cell>
          <cell r="U1063" t="str">
            <v>2011FL</v>
          </cell>
          <cell r="V1063">
            <v>0.71166924399999998</v>
          </cell>
          <cell r="W1063">
            <v>1.2686553E-2</v>
          </cell>
          <cell r="X1063">
            <v>7.9579288999999998E-2</v>
          </cell>
          <cell r="Y1063">
            <v>6.0837789000000003E-2</v>
          </cell>
          <cell r="Z1063">
            <v>0.135227124</v>
          </cell>
          <cell r="AB1063" t="str">
            <v>2011FL</v>
          </cell>
          <cell r="AC1063">
            <v>0</v>
          </cell>
          <cell r="AD1063">
            <v>0</v>
          </cell>
          <cell r="AE1063">
            <v>0.41899999999999998</v>
          </cell>
          <cell r="AF1063">
            <v>0.58099999999999996</v>
          </cell>
        </row>
        <row r="1064">
          <cell r="B1064" t="str">
            <v>2011GA</v>
          </cell>
          <cell r="C1064">
            <v>0.20823216155586291</v>
          </cell>
          <cell r="D1064">
            <v>0.11033206176717186</v>
          </cell>
          <cell r="E1064">
            <v>0.17733204084631207</v>
          </cell>
          <cell r="F1064">
            <v>9.7862793659120595E-2</v>
          </cell>
          <cell r="G1064">
            <v>0.40234468997942996</v>
          </cell>
          <cell r="H1064">
            <v>3.8962521921025758E-3</v>
          </cell>
          <cell r="J1064" t="str">
            <v>2011GA</v>
          </cell>
          <cell r="K1064">
            <v>0.42032326900000005</v>
          </cell>
          <cell r="L1064">
            <v>0.40234469</v>
          </cell>
          <cell r="M1064">
            <v>0.177332041</v>
          </cell>
          <cell r="U1064" t="str">
            <v>2011GA</v>
          </cell>
          <cell r="V1064">
            <v>7.8133266000000007E-2</v>
          </cell>
          <cell r="W1064">
            <v>3.5587817000000001E-2</v>
          </cell>
          <cell r="X1064">
            <v>9.7388838000000005E-2</v>
          </cell>
          <cell r="Y1064">
            <v>0.46952270200000001</v>
          </cell>
          <cell r="Z1064">
            <v>0.31936737799999998</v>
          </cell>
          <cell r="AB1064" t="str">
            <v>2011GA</v>
          </cell>
          <cell r="AC1064">
            <v>0</v>
          </cell>
          <cell r="AD1064">
            <v>0</v>
          </cell>
          <cell r="AE1064">
            <v>0.41899999999999998</v>
          </cell>
          <cell r="AF1064">
            <v>0.58099999999999996</v>
          </cell>
        </row>
        <row r="1065">
          <cell r="B1065" t="str">
            <v>2011HI</v>
          </cell>
          <cell r="C1065">
            <v>0.67137224197860923</v>
          </cell>
          <cell r="D1065">
            <v>0.21100034068527662</v>
          </cell>
          <cell r="E1065">
            <v>0</v>
          </cell>
          <cell r="F1065">
            <v>0.10820426646618357</v>
          </cell>
          <cell r="G1065">
            <v>7.5112148308577572E-3</v>
          </cell>
          <cell r="H1065">
            <v>1.9119360390725836E-3</v>
          </cell>
          <cell r="J1065" t="str">
            <v>2011HI</v>
          </cell>
          <cell r="K1065">
            <v>0.99248878500000004</v>
          </cell>
          <cell r="L1065">
            <v>7.5112149999999999E-3</v>
          </cell>
          <cell r="M1065">
            <v>0</v>
          </cell>
          <cell r="U1065" t="str">
            <v>2011HI</v>
          </cell>
          <cell r="V1065">
            <v>0.23216878499999999</v>
          </cell>
          <cell r="W1065">
            <v>3.2904865999999998E-2</v>
          </cell>
          <cell r="X1065">
            <v>0.18414778700000001</v>
          </cell>
          <cell r="Y1065">
            <v>0.21064765399999999</v>
          </cell>
          <cell r="Z1065">
            <v>0.34013090899999998</v>
          </cell>
          <cell r="AB1065" t="str">
            <v>2011HI</v>
          </cell>
          <cell r="AC1065">
            <v>0</v>
          </cell>
          <cell r="AD1065">
            <v>0</v>
          </cell>
          <cell r="AE1065">
            <v>0.25</v>
          </cell>
          <cell r="AF1065">
            <v>0.75</v>
          </cell>
        </row>
        <row r="1066">
          <cell r="B1066" t="str">
            <v>2011ID</v>
          </cell>
          <cell r="C1066">
            <v>0.62850843440764703</v>
          </cell>
          <cell r="D1066">
            <v>0.2329683972033782</v>
          </cell>
          <cell r="E1066">
            <v>6.4436683947772669E-3</v>
          </cell>
          <cell r="F1066">
            <v>0.11961222721284216</v>
          </cell>
          <cell r="G1066">
            <v>3.8149081541218642E-3</v>
          </cell>
          <cell r="H1066">
            <v>8.6523646272333287E-3</v>
          </cell>
          <cell r="J1066" t="str">
            <v>2011ID</v>
          </cell>
          <cell r="K1066">
            <v>0.98974142399999998</v>
          </cell>
          <cell r="L1066">
            <v>3.8149080000000001E-3</v>
          </cell>
          <cell r="M1066">
            <v>6.4436679999999996E-3</v>
          </cell>
          <cell r="U1066" t="str">
            <v>2011ID</v>
          </cell>
          <cell r="V1066">
            <v>0.460837895</v>
          </cell>
          <cell r="W1066">
            <v>2.6974237000000002E-2</v>
          </cell>
          <cell r="X1066">
            <v>0.14528671200000001</v>
          </cell>
          <cell r="Y1066">
            <v>0.102926191</v>
          </cell>
          <cell r="Z1066">
            <v>0.26397496599999998</v>
          </cell>
          <cell r="AB1066" t="str">
            <v>2011ID</v>
          </cell>
          <cell r="AC1066">
            <v>0</v>
          </cell>
          <cell r="AD1066">
            <v>0</v>
          </cell>
          <cell r="AE1066">
            <v>0.6</v>
          </cell>
          <cell r="AF1066">
            <v>0.4</v>
          </cell>
        </row>
        <row r="1067">
          <cell r="B1067" t="str">
            <v>2011IL</v>
          </cell>
          <cell r="C1067">
            <v>0.13175283144497188</v>
          </cell>
          <cell r="D1067">
            <v>0.26046159534668961</v>
          </cell>
          <cell r="E1067">
            <v>8.1383349234931596E-2</v>
          </cell>
          <cell r="F1067">
            <v>0.43207247933210829</v>
          </cell>
          <cell r="G1067">
            <v>4.8182181885357514E-2</v>
          </cell>
          <cell r="H1067">
            <v>4.6147562755941125E-2</v>
          </cell>
          <cell r="J1067" t="str">
            <v>2011IL</v>
          </cell>
          <cell r="K1067">
            <v>0.87043446899999999</v>
          </cell>
          <cell r="L1067">
            <v>4.8182181999999997E-2</v>
          </cell>
          <cell r="M1067">
            <v>8.1383348999999994E-2</v>
          </cell>
          <cell r="U1067" t="str">
            <v>2011IL</v>
          </cell>
          <cell r="V1067">
            <v>2.0186552999999999E-2</v>
          </cell>
          <cell r="W1067">
            <v>4.5739502000000001E-2</v>
          </cell>
          <cell r="X1067">
            <v>0.28028242399999997</v>
          </cell>
          <cell r="Y1067">
            <v>0.149587944</v>
          </cell>
          <cell r="Z1067">
            <v>0.50420357699999996</v>
          </cell>
          <cell r="AB1067" t="str">
            <v>2011IL</v>
          </cell>
          <cell r="AC1067">
            <v>0</v>
          </cell>
          <cell r="AD1067">
            <v>0</v>
          </cell>
          <cell r="AE1067">
            <v>0.02</v>
          </cell>
          <cell r="AF1067">
            <v>0.98</v>
          </cell>
        </row>
        <row r="1068">
          <cell r="B1068" t="str">
            <v>2011IN</v>
          </cell>
          <cell r="C1068">
            <v>0.16189917384296076</v>
          </cell>
          <cell r="D1068">
            <v>0.24163212738244233</v>
          </cell>
          <cell r="E1068">
            <v>0.13392208737361183</v>
          </cell>
          <cell r="F1068">
            <v>0.3491044693998876</v>
          </cell>
          <cell r="G1068">
            <v>7.9287205957511472E-2</v>
          </cell>
          <cell r="H1068">
            <v>3.4154936043586021E-2</v>
          </cell>
          <cell r="J1068" t="str">
            <v>2011IN</v>
          </cell>
          <cell r="K1068">
            <v>0.78679070699999998</v>
          </cell>
          <cell r="L1068">
            <v>7.9287205999999999E-2</v>
          </cell>
          <cell r="M1068">
            <v>0.133922087</v>
          </cell>
          <cell r="U1068" t="str">
            <v>2011IN</v>
          </cell>
          <cell r="V1068">
            <v>2.5489210000000002E-2</v>
          </cell>
          <cell r="W1068">
            <v>4.5536079E-2</v>
          </cell>
          <cell r="X1068">
            <v>0.27893099599999999</v>
          </cell>
          <cell r="Y1068">
            <v>0.14781887399999999</v>
          </cell>
          <cell r="Z1068">
            <v>0.50222484099999998</v>
          </cell>
          <cell r="AB1068" t="str">
            <v>2011IN</v>
          </cell>
          <cell r="AC1068">
            <v>0</v>
          </cell>
          <cell r="AD1068">
            <v>0</v>
          </cell>
          <cell r="AE1068">
            <v>0</v>
          </cell>
          <cell r="AF1068">
            <v>1</v>
          </cell>
        </row>
        <row r="1069">
          <cell r="B1069" t="str">
            <v>2011IA</v>
          </cell>
          <cell r="C1069">
            <v>0.13792614664225575</v>
          </cell>
          <cell r="D1069">
            <v>0.25047757969635848</v>
          </cell>
          <cell r="E1069">
            <v>0.10477197231415941</v>
          </cell>
          <cell r="F1069">
            <v>0.40507493125352922</v>
          </cell>
          <cell r="G1069">
            <v>6.2029177638731184E-2</v>
          </cell>
          <cell r="H1069">
            <v>3.9720192454965969E-2</v>
          </cell>
          <cell r="J1069" t="str">
            <v>2011IA</v>
          </cell>
          <cell r="K1069">
            <v>0.83319885000000005</v>
          </cell>
          <cell r="L1069">
            <v>6.2029177999999997E-2</v>
          </cell>
          <cell r="M1069">
            <v>0.104771972</v>
          </cell>
          <cell r="U1069" t="str">
            <v>2011IA</v>
          </cell>
          <cell r="V1069">
            <v>9.6502570000000006E-3</v>
          </cell>
          <cell r="W1069">
            <v>3.8739974000000003E-2</v>
          </cell>
          <cell r="X1069">
            <v>0.12067557499999999</v>
          </cell>
          <cell r="Y1069">
            <v>0.47629315999999999</v>
          </cell>
          <cell r="Z1069">
            <v>0.35464103499999999</v>
          </cell>
          <cell r="AB1069" t="str">
            <v>2011IA</v>
          </cell>
          <cell r="AC1069">
            <v>0</v>
          </cell>
          <cell r="AD1069">
            <v>0</v>
          </cell>
          <cell r="AE1069">
            <v>0</v>
          </cell>
          <cell r="AF1069">
            <v>1</v>
          </cell>
        </row>
        <row r="1070">
          <cell r="B1070" t="str">
            <v>2011KS</v>
          </cell>
          <cell r="C1070">
            <v>0.28758404285910905</v>
          </cell>
          <cell r="D1070">
            <v>0.32607606753917184</v>
          </cell>
          <cell r="E1070">
            <v>5.1050547933917619E-2</v>
          </cell>
          <cell r="F1070">
            <v>0.27762124338847843</v>
          </cell>
          <cell r="G1070">
            <v>3.0223956239483565E-2</v>
          </cell>
          <cell r="H1070">
            <v>2.7444142039839463E-2</v>
          </cell>
          <cell r="J1070" t="str">
            <v>2011KS</v>
          </cell>
          <cell r="K1070">
            <v>0.91872549599999997</v>
          </cell>
          <cell r="L1070">
            <v>3.0223956E-2</v>
          </cell>
          <cell r="M1070">
            <v>5.1050548000000001E-2</v>
          </cell>
          <cell r="U1070" t="str">
            <v>2011KS</v>
          </cell>
          <cell r="V1070">
            <v>2.3647662E-2</v>
          </cell>
          <cell r="W1070">
            <v>4.6272377000000003E-2</v>
          </cell>
          <cell r="X1070">
            <v>0.28189652199999998</v>
          </cell>
          <cell r="Y1070">
            <v>0.13395533500000001</v>
          </cell>
          <cell r="Z1070">
            <v>0.51422810299999999</v>
          </cell>
          <cell r="AB1070" t="str">
            <v>2011KS</v>
          </cell>
          <cell r="AC1070">
            <v>0</v>
          </cell>
          <cell r="AD1070">
            <v>0</v>
          </cell>
          <cell r="AE1070">
            <v>0.02</v>
          </cell>
          <cell r="AF1070">
            <v>0.98</v>
          </cell>
        </row>
        <row r="1071">
          <cell r="B1071" t="str">
            <v>2011KY</v>
          </cell>
          <cell r="C1071">
            <v>2.3305602928070858E-2</v>
          </cell>
          <cell r="D1071">
            <v>6.2885861766289422E-2</v>
          </cell>
          <cell r="E1071">
            <v>0.14165738300711325</v>
          </cell>
          <cell r="F1071">
            <v>0.14315421990856123</v>
          </cell>
          <cell r="G1071">
            <v>0.61397716539009373</v>
          </cell>
          <cell r="H1071">
            <v>1.5019766999871505E-2</v>
          </cell>
          <cell r="J1071" t="str">
            <v>2011KY</v>
          </cell>
          <cell r="K1071">
            <v>0.24436545200000004</v>
          </cell>
          <cell r="L1071">
            <v>0.61397716499999999</v>
          </cell>
          <cell r="M1071">
            <v>0.141657383</v>
          </cell>
          <cell r="U1071" t="str">
            <v>2011KY</v>
          </cell>
          <cell r="V1071">
            <v>4.9184704000000003E-2</v>
          </cell>
          <cell r="W1071">
            <v>3.7321891000000003E-2</v>
          </cell>
          <cell r="X1071">
            <v>0.11991215400000001</v>
          </cell>
          <cell r="Y1071">
            <v>0.45018075899999999</v>
          </cell>
          <cell r="Z1071">
            <v>0.34340049099999997</v>
          </cell>
          <cell r="AB1071" t="str">
            <v>2011KY</v>
          </cell>
          <cell r="AC1071">
            <v>0</v>
          </cell>
          <cell r="AD1071">
            <v>0</v>
          </cell>
          <cell r="AE1071">
            <v>0.05</v>
          </cell>
          <cell r="AF1071">
            <v>0.95</v>
          </cell>
        </row>
        <row r="1072">
          <cell r="B1072" t="str">
            <v>2011LA</v>
          </cell>
          <cell r="C1072">
            <v>8.7696493950327165E-2</v>
          </cell>
          <cell r="D1072">
            <v>6.4637521135916851E-2</v>
          </cell>
          <cell r="E1072">
            <v>0.14461730665558523</v>
          </cell>
          <cell r="F1072">
            <v>0.10160244529023774</v>
          </cell>
          <cell r="G1072">
            <v>0.59641803499629376</v>
          </cell>
          <cell r="H1072">
            <v>5.0281979716392446E-3</v>
          </cell>
          <cell r="J1072" t="str">
            <v>2011LA</v>
          </cell>
          <cell r="K1072">
            <v>0.25896465800000001</v>
          </cell>
          <cell r="L1072">
            <v>0.59641803500000001</v>
          </cell>
          <cell r="M1072">
            <v>0.144617307</v>
          </cell>
          <cell r="U1072" t="str">
            <v>2011LA</v>
          </cell>
          <cell r="V1072">
            <v>0.53551704700000002</v>
          </cell>
          <cell r="W1072">
            <v>2.0437250000000001E-2</v>
          </cell>
          <cell r="X1072">
            <v>0.12819729499999999</v>
          </cell>
          <cell r="Y1072">
            <v>9.8005903000000005E-2</v>
          </cell>
          <cell r="Z1072">
            <v>0.21784250499999999</v>
          </cell>
          <cell r="AB1072" t="str">
            <v>2011LA</v>
          </cell>
          <cell r="AC1072">
            <v>0</v>
          </cell>
          <cell r="AD1072">
            <v>0</v>
          </cell>
          <cell r="AE1072">
            <v>0.6</v>
          </cell>
          <cell r="AF1072">
            <v>0.4</v>
          </cell>
        </row>
        <row r="1073">
          <cell r="B1073" t="str">
            <v>2011ME</v>
          </cell>
          <cell r="C1073">
            <v>9.3713015315557757E-2</v>
          </cell>
          <cell r="D1073">
            <v>0.17210096338216258</v>
          </cell>
          <cell r="E1073">
            <v>0.44837154081607639</v>
          </cell>
          <cell r="F1073">
            <v>0.19633313267932656</v>
          </cell>
          <cell r="G1073">
            <v>7.0076626899074845E-2</v>
          </cell>
          <cell r="H1073">
            <v>1.9404720907801824E-2</v>
          </cell>
          <cell r="J1073" t="str">
            <v>2011ME</v>
          </cell>
          <cell r="K1073">
            <v>0.48155183200000007</v>
          </cell>
          <cell r="L1073">
            <v>7.0076627000000002E-2</v>
          </cell>
          <cell r="M1073">
            <v>0.44837154099999998</v>
          </cell>
          <cell r="U1073" t="str">
            <v>2011ME</v>
          </cell>
          <cell r="V1073">
            <v>0.72920202000000001</v>
          </cell>
          <cell r="W1073">
            <v>1.1915111000000001E-2</v>
          </cell>
          <cell r="X1073">
            <v>7.4740241999999998E-2</v>
          </cell>
          <cell r="Y1073">
            <v>5.7138373999999999E-2</v>
          </cell>
          <cell r="Z1073">
            <v>0.12700425300000001</v>
          </cell>
          <cell r="AB1073" t="str">
            <v>2011ME</v>
          </cell>
          <cell r="AC1073">
            <v>0</v>
          </cell>
          <cell r="AD1073">
            <v>0</v>
          </cell>
          <cell r="AE1073">
            <v>0.05</v>
          </cell>
          <cell r="AF1073">
            <v>0.95</v>
          </cell>
        </row>
        <row r="1074">
          <cell r="B1074" t="str">
            <v>2011MD</v>
          </cell>
          <cell r="C1074">
            <v>7.6488535055593554E-2</v>
          </cell>
          <cell r="D1074">
            <v>0.15472472257238745</v>
          </cell>
          <cell r="E1074">
            <v>0.44380834258126728</v>
          </cell>
          <cell r="F1074">
            <v>0.22861605738914034</v>
          </cell>
          <cell r="G1074">
            <v>6.5960402236453913E-2</v>
          </cell>
          <cell r="H1074">
            <v>3.0401940165157418E-2</v>
          </cell>
          <cell r="J1074" t="str">
            <v>2011MD</v>
          </cell>
          <cell r="K1074">
            <v>0.49023125499999998</v>
          </cell>
          <cell r="L1074">
            <v>6.5960402000000001E-2</v>
          </cell>
          <cell r="M1074">
            <v>0.44380834299999999</v>
          </cell>
          <cell r="U1074" t="str">
            <v>2011MD</v>
          </cell>
          <cell r="V1074">
            <v>0.21140679400000001</v>
          </cell>
          <cell r="W1074">
            <v>3.7602905999999998E-2</v>
          </cell>
          <cell r="X1074">
            <v>0.214504853</v>
          </cell>
          <cell r="Y1074">
            <v>0.15671048400000001</v>
          </cell>
          <cell r="Z1074">
            <v>0.37977496300000002</v>
          </cell>
          <cell r="AB1074" t="str">
            <v>2011MD</v>
          </cell>
          <cell r="AC1074">
            <v>0</v>
          </cell>
          <cell r="AD1074">
            <v>0</v>
          </cell>
          <cell r="AE1074">
            <v>0.05</v>
          </cell>
          <cell r="AF1074">
            <v>0.95</v>
          </cell>
        </row>
        <row r="1075">
          <cell r="B1075" t="str">
            <v>2011MA</v>
          </cell>
          <cell r="C1075">
            <v>6.1305440163427552E-2</v>
          </cell>
          <cell r="D1075">
            <v>0.14874705508142777</v>
          </cell>
          <cell r="E1075">
            <v>0.45216403673004657</v>
          </cell>
          <cell r="F1075">
            <v>0.23617268276189021</v>
          </cell>
          <cell r="G1075">
            <v>7.3497640935872632E-2</v>
          </cell>
          <cell r="H1075">
            <v>2.8113144327335336E-2</v>
          </cell>
          <cell r="J1075" t="str">
            <v>2011MA</v>
          </cell>
          <cell r="K1075">
            <v>0.47433832199999992</v>
          </cell>
          <cell r="L1075">
            <v>7.3497641000000002E-2</v>
          </cell>
          <cell r="M1075">
            <v>0.45216403700000002</v>
          </cell>
          <cell r="U1075" t="str">
            <v>2011MA</v>
          </cell>
          <cell r="V1075">
            <v>0.31419575799999999</v>
          </cell>
          <cell r="W1075">
            <v>3.0175387000000001E-2</v>
          </cell>
          <cell r="X1075">
            <v>0.18928197099999999</v>
          </cell>
          <cell r="Y1075">
            <v>0.14470469499999999</v>
          </cell>
          <cell r="Z1075">
            <v>0.32164218900000002</v>
          </cell>
          <cell r="AB1075" t="str">
            <v>2011MA</v>
          </cell>
          <cell r="AC1075">
            <v>0</v>
          </cell>
          <cell r="AD1075">
            <v>0</v>
          </cell>
          <cell r="AE1075">
            <v>0.05</v>
          </cell>
          <cell r="AF1075">
            <v>0.95</v>
          </cell>
        </row>
        <row r="1076">
          <cell r="B1076" t="str">
            <v>2011MI</v>
          </cell>
          <cell r="C1076">
            <v>0.21592740095911189</v>
          </cell>
          <cell r="D1076">
            <v>0.33044604004991018</v>
          </cell>
          <cell r="E1076">
            <v>5.8998863632555826E-2</v>
          </cell>
          <cell r="F1076">
            <v>0.32074430847532459</v>
          </cell>
          <cell r="G1076">
            <v>3.4929675483950956E-2</v>
          </cell>
          <cell r="H1076">
            <v>3.8953711399146676E-2</v>
          </cell>
          <cell r="J1076" t="str">
            <v>2011MI</v>
          </cell>
          <cell r="K1076">
            <v>0.90607146100000002</v>
          </cell>
          <cell r="L1076">
            <v>3.4929675E-2</v>
          </cell>
          <cell r="M1076">
            <v>5.8998863999999998E-2</v>
          </cell>
          <cell r="U1076" t="str">
            <v>2011MI</v>
          </cell>
          <cell r="V1076">
            <v>4.5127237000000001E-2</v>
          </cell>
          <cell r="W1076">
            <v>5.0500046999999999E-2</v>
          </cell>
          <cell r="X1076">
            <v>0.254352099</v>
          </cell>
          <cell r="Y1076">
            <v>0.17319266699999999</v>
          </cell>
          <cell r="Z1076">
            <v>0.47682794899999997</v>
          </cell>
          <cell r="AB1076" t="str">
            <v>2011MI</v>
          </cell>
          <cell r="AC1076">
            <v>0</v>
          </cell>
          <cell r="AD1076">
            <v>0</v>
          </cell>
          <cell r="AE1076">
            <v>0.02</v>
          </cell>
          <cell r="AF1076">
            <v>0.98</v>
          </cell>
        </row>
        <row r="1077">
          <cell r="B1077" t="str">
            <v>2011MN</v>
          </cell>
          <cell r="C1077">
            <v>0.11559741536790068</v>
          </cell>
          <cell r="D1077">
            <v>0.23915415867765383</v>
          </cell>
          <cell r="E1077">
            <v>0.10052931481156221</v>
          </cell>
          <cell r="F1077">
            <v>0.43822851849088174</v>
          </cell>
          <cell r="G1077">
            <v>5.9517355535203494E-2</v>
          </cell>
          <cell r="H1077">
            <v>4.697323711679801E-2</v>
          </cell>
          <cell r="J1077" t="str">
            <v>2011MN</v>
          </cell>
          <cell r="K1077">
            <v>0.83995332899999997</v>
          </cell>
          <cell r="L1077">
            <v>5.9517356E-2</v>
          </cell>
          <cell r="M1077">
            <v>0.10052931499999999</v>
          </cell>
          <cell r="U1077" t="str">
            <v>2011MN</v>
          </cell>
          <cell r="V1077">
            <v>1.5145339000000001E-2</v>
          </cell>
          <cell r="W1077">
            <v>5.1986831999999997E-2</v>
          </cell>
          <cell r="X1077">
            <v>0.262445557</v>
          </cell>
          <cell r="Y1077">
            <v>0.17896024199999999</v>
          </cell>
          <cell r="Z1077">
            <v>0.49146202900000002</v>
          </cell>
          <cell r="AB1077" t="str">
            <v>2011MN</v>
          </cell>
          <cell r="AC1077">
            <v>0</v>
          </cell>
          <cell r="AD1077">
            <v>0</v>
          </cell>
          <cell r="AE1077">
            <v>0</v>
          </cell>
          <cell r="AF1077">
            <v>1</v>
          </cell>
        </row>
        <row r="1078">
          <cell r="B1078" t="str">
            <v>2011MS</v>
          </cell>
          <cell r="C1078">
            <v>0.10416334210611014</v>
          </cell>
          <cell r="D1078">
            <v>7.2829933678422776E-2</v>
          </cell>
          <cell r="E1078">
            <v>0.14929269604113307</v>
          </cell>
          <cell r="F1078">
            <v>0.10019278631941281</v>
          </cell>
          <cell r="G1078">
            <v>0.56868226150598644</v>
          </cell>
          <cell r="H1078">
            <v>4.838980348934833E-3</v>
          </cell>
          <cell r="J1078" t="str">
            <v>2011MS</v>
          </cell>
          <cell r="K1078">
            <v>0.28202504199999989</v>
          </cell>
          <cell r="L1078">
            <v>0.56868226200000005</v>
          </cell>
          <cell r="M1078">
            <v>0.149292696</v>
          </cell>
          <cell r="U1078" t="str">
            <v>2011MS</v>
          </cell>
          <cell r="V1078">
            <v>2.1100625000000001E-2</v>
          </cell>
          <cell r="W1078">
            <v>3.6418512E-2</v>
          </cell>
          <cell r="X1078">
            <v>6.0129593000000002E-2</v>
          </cell>
          <cell r="Y1078">
            <v>0.574366987</v>
          </cell>
          <cell r="Z1078">
            <v>0.30798428300000003</v>
          </cell>
          <cell r="AB1078" t="str">
            <v>2011MS</v>
          </cell>
          <cell r="AC1078">
            <v>0</v>
          </cell>
          <cell r="AD1078">
            <v>0</v>
          </cell>
          <cell r="AE1078">
            <v>0.6</v>
          </cell>
          <cell r="AF1078">
            <v>0.4</v>
          </cell>
        </row>
        <row r="1079">
          <cell r="B1079" t="str">
            <v>2011MO</v>
          </cell>
          <cell r="C1079">
            <v>6.4925479522277466E-2</v>
          </cell>
          <cell r="D1079">
            <v>0.18170303563698134</v>
          </cell>
          <cell r="E1079">
            <v>0.14337282997597614</v>
          </cell>
          <cell r="F1079">
            <v>0.47880340852502545</v>
          </cell>
          <cell r="G1079">
            <v>8.4882421727070459E-2</v>
          </cell>
          <cell r="H1079">
            <v>4.6312824612669105E-2</v>
          </cell>
          <cell r="J1079" t="str">
            <v>2011MO</v>
          </cell>
          <cell r="K1079">
            <v>0.77174474799999992</v>
          </cell>
          <cell r="L1079">
            <v>8.4882421999999999E-2</v>
          </cell>
          <cell r="M1079">
            <v>0.14337283000000001</v>
          </cell>
          <cell r="U1079" t="str">
            <v>2011MO</v>
          </cell>
          <cell r="V1079">
            <v>2.998994E-2</v>
          </cell>
          <cell r="W1079">
            <v>4.5757142000000001E-2</v>
          </cell>
          <cell r="X1079">
            <v>0.27926039899999999</v>
          </cell>
          <cell r="Y1079">
            <v>0.13775391300000001</v>
          </cell>
          <cell r="Z1079">
            <v>0.50723860600000004</v>
          </cell>
          <cell r="AB1079" t="str">
            <v>2011MO</v>
          </cell>
          <cell r="AC1079">
            <v>0</v>
          </cell>
          <cell r="AD1079">
            <v>0</v>
          </cell>
          <cell r="AE1079">
            <v>0</v>
          </cell>
          <cell r="AF1079">
            <v>1</v>
          </cell>
        </row>
        <row r="1080">
          <cell r="B1080" t="str">
            <v>2011MT</v>
          </cell>
          <cell r="C1080">
            <v>0.35597781750083307</v>
          </cell>
          <cell r="D1080">
            <v>0.25924389885240834</v>
          </cell>
          <cell r="E1080">
            <v>4.3797789125912777E-2</v>
          </cell>
          <cell r="F1080">
            <v>0.25058080537727367</v>
          </cell>
          <cell r="G1080">
            <v>2.5930034358127463E-2</v>
          </cell>
          <cell r="H1080">
            <v>6.4469654785444572E-2</v>
          </cell>
          <cell r="J1080" t="str">
            <v>2011MT</v>
          </cell>
          <cell r="K1080">
            <v>0.93027217699999998</v>
          </cell>
          <cell r="L1080">
            <v>2.5930034000000001E-2</v>
          </cell>
          <cell r="M1080">
            <v>4.3797788999999997E-2</v>
          </cell>
          <cell r="U1080" t="str">
            <v>2011MT</v>
          </cell>
          <cell r="V1080">
            <v>6.0520032000000001E-2</v>
          </cell>
          <cell r="W1080">
            <v>5.1214043000000001E-2</v>
          </cell>
          <cell r="X1080">
            <v>0.24859647000000001</v>
          </cell>
          <cell r="Y1080">
            <v>0.16530719099999999</v>
          </cell>
          <cell r="Z1080">
            <v>0.47436226399999998</v>
          </cell>
          <cell r="AB1080" t="str">
            <v>2011MT</v>
          </cell>
          <cell r="AC1080">
            <v>0</v>
          </cell>
          <cell r="AD1080">
            <v>0</v>
          </cell>
          <cell r="AE1080">
            <v>0.6</v>
          </cell>
          <cell r="AF1080">
            <v>0.4</v>
          </cell>
        </row>
        <row r="1081">
          <cell r="B1081" t="str">
            <v>2011NE</v>
          </cell>
          <cell r="C1081">
            <v>0.21260954807532403</v>
          </cell>
          <cell r="D1081">
            <v>0.30324255962083846</v>
          </cell>
          <cell r="E1081">
            <v>6.1277054134417128E-2</v>
          </cell>
          <cell r="F1081">
            <v>0.34696077142199511</v>
          </cell>
          <cell r="G1081">
            <v>3.6278454935301678E-2</v>
          </cell>
          <cell r="H1081">
            <v>3.9631611812123581E-2</v>
          </cell>
          <cell r="J1081" t="str">
            <v>2011NE</v>
          </cell>
          <cell r="K1081">
            <v>0.90244449100000002</v>
          </cell>
          <cell r="L1081">
            <v>3.6278455000000001E-2</v>
          </cell>
          <cell r="M1081">
            <v>6.1277053999999997E-2</v>
          </cell>
          <cell r="U1081" t="str">
            <v>2011NE</v>
          </cell>
          <cell r="V1081">
            <v>3.0063880000000001E-2</v>
          </cell>
          <cell r="W1081">
            <v>4.5295173000000001E-2</v>
          </cell>
          <cell r="X1081">
            <v>0.27751980599999998</v>
          </cell>
          <cell r="Y1081">
            <v>0.147715386</v>
          </cell>
          <cell r="Z1081">
            <v>0.49940575500000001</v>
          </cell>
          <cell r="AB1081" t="str">
            <v>2011NE</v>
          </cell>
          <cell r="AC1081">
            <v>0</v>
          </cell>
          <cell r="AD1081">
            <v>0</v>
          </cell>
          <cell r="AE1081">
            <v>0.02</v>
          </cell>
          <cell r="AF1081">
            <v>0.98</v>
          </cell>
        </row>
        <row r="1082">
          <cell r="B1082" t="str">
            <v>2011NV</v>
          </cell>
          <cell r="C1082">
            <v>0.64210148526116029</v>
          </cell>
          <cell r="D1082">
            <v>0.238399883587257</v>
          </cell>
          <cell r="E1082">
            <v>4.1594375177217181E-3</v>
          </cell>
          <cell r="F1082">
            <v>0.10819864870890922</v>
          </cell>
          <cell r="G1082">
            <v>2.4625525602432058E-3</v>
          </cell>
          <cell r="H1082">
            <v>4.677992364708553E-3</v>
          </cell>
          <cell r="J1082" t="str">
            <v>2011NV</v>
          </cell>
          <cell r="K1082">
            <v>0.99337800899999995</v>
          </cell>
          <cell r="L1082">
            <v>2.4625530000000001E-3</v>
          </cell>
          <cell r="M1082">
            <v>4.1594379999999997E-3</v>
          </cell>
          <cell r="U1082" t="str">
            <v>2011NV</v>
          </cell>
          <cell r="V1082">
            <v>0.35004114600000003</v>
          </cell>
          <cell r="W1082">
            <v>2.4048478000000002E-2</v>
          </cell>
          <cell r="X1082">
            <v>3.5747737000000002E-2</v>
          </cell>
          <cell r="Y1082">
            <v>0.38867539400000001</v>
          </cell>
          <cell r="Z1082">
            <v>0.20148724500000001</v>
          </cell>
          <cell r="AB1082" t="str">
            <v>2011NV</v>
          </cell>
          <cell r="AC1082">
            <v>0</v>
          </cell>
          <cell r="AD1082">
            <v>0</v>
          </cell>
          <cell r="AE1082">
            <v>0</v>
          </cell>
          <cell r="AF1082">
            <v>1</v>
          </cell>
        </row>
        <row r="1083">
          <cell r="B1083" t="str">
            <v>2011NH</v>
          </cell>
          <cell r="C1083">
            <v>9.4573445198850817E-2</v>
          </cell>
          <cell r="D1083">
            <v>0.16340842518862655</v>
          </cell>
          <cell r="E1083">
            <v>0.44298025846087286</v>
          </cell>
          <cell r="F1083">
            <v>0.20852129702854144</v>
          </cell>
          <cell r="G1083">
            <v>6.52134304627775E-2</v>
          </cell>
          <cell r="H1083">
            <v>2.5303143660330828E-2</v>
          </cell>
          <cell r="J1083" t="str">
            <v>2011NH</v>
          </cell>
          <cell r="K1083">
            <v>0.49180631200000002</v>
          </cell>
          <cell r="L1083">
            <v>6.5213430000000003E-2</v>
          </cell>
          <cell r="M1083">
            <v>0.44298025800000002</v>
          </cell>
          <cell r="U1083" t="str">
            <v>2011NH</v>
          </cell>
          <cell r="V1083">
            <v>0.56759962799999997</v>
          </cell>
          <cell r="W1083">
            <v>1.9025615999999999E-2</v>
          </cell>
          <cell r="X1083">
            <v>0.119342503</v>
          </cell>
          <cell r="Y1083">
            <v>9.1236478999999995E-2</v>
          </cell>
          <cell r="Z1083">
            <v>0.20279577500000001</v>
          </cell>
          <cell r="AB1083" t="str">
            <v>2011NH</v>
          </cell>
          <cell r="AC1083">
            <v>0</v>
          </cell>
          <cell r="AD1083">
            <v>0</v>
          </cell>
          <cell r="AE1083">
            <v>0.05</v>
          </cell>
          <cell r="AF1083">
            <v>0.95</v>
          </cell>
        </row>
        <row r="1084">
          <cell r="B1084" t="str">
            <v>2011NJ</v>
          </cell>
          <cell r="C1084">
            <v>5.8003576611346738E-2</v>
          </cell>
          <cell r="D1084">
            <v>0.13897871355240557</v>
          </cell>
          <cell r="E1084">
            <v>0.45397029129837874</v>
          </cell>
          <cell r="F1084">
            <v>0.24471653627570109</v>
          </cell>
          <cell r="G1084">
            <v>7.5126969581826603E-2</v>
          </cell>
          <cell r="H1084">
            <v>2.9203912680341212E-2</v>
          </cell>
          <cell r="J1084" t="str">
            <v>2011NJ</v>
          </cell>
          <cell r="K1084">
            <v>0.47090273900000001</v>
          </cell>
          <cell r="L1084">
            <v>7.5126970000000001E-2</v>
          </cell>
          <cell r="M1084">
            <v>0.45397029100000003</v>
          </cell>
          <cell r="U1084" t="str">
            <v>2011NJ</v>
          </cell>
          <cell r="V1084">
            <v>0.30808167400000003</v>
          </cell>
          <cell r="W1084">
            <v>3.3011736E-2</v>
          </cell>
          <cell r="X1084">
            <v>0.18818818500000001</v>
          </cell>
          <cell r="Y1084">
            <v>0.137437002</v>
          </cell>
          <cell r="Z1084">
            <v>0.333281404</v>
          </cell>
          <cell r="AB1084" t="str">
            <v>2011NJ</v>
          </cell>
          <cell r="AC1084">
            <v>0</v>
          </cell>
          <cell r="AD1084">
            <v>0</v>
          </cell>
          <cell r="AE1084">
            <v>0.05</v>
          </cell>
          <cell r="AF1084">
            <v>0.95</v>
          </cell>
        </row>
        <row r="1085">
          <cell r="B1085" t="str">
            <v>2011NM</v>
          </cell>
          <cell r="C1085">
            <v>0.61184589317007076</v>
          </cell>
          <cell r="D1085">
            <v>0.19452029294367307</v>
          </cell>
          <cell r="E1085">
            <v>9.8952813124742175E-2</v>
          </cell>
          <cell r="F1085">
            <v>9.4174237847419268E-2</v>
          </cell>
          <cell r="G1085">
            <v>0</v>
          </cell>
          <cell r="H1085">
            <v>5.0676291409465751E-4</v>
          </cell>
          <cell r="J1085" t="str">
            <v>2011NM</v>
          </cell>
          <cell r="K1085">
            <v>0.90104718699999997</v>
          </cell>
          <cell r="L1085">
            <v>0</v>
          </cell>
          <cell r="M1085">
            <v>9.8952813000000001E-2</v>
          </cell>
          <cell r="U1085" t="str">
            <v>2011NM</v>
          </cell>
          <cell r="V1085">
            <v>0.91655606099999998</v>
          </cell>
          <cell r="W1085">
            <v>3.6715329999999998E-3</v>
          </cell>
          <cell r="X1085">
            <v>2.3030526999999999E-2</v>
          </cell>
          <cell r="Y1085">
            <v>1.7606671000000001E-2</v>
          </cell>
          <cell r="Z1085">
            <v>3.9135206999999998E-2</v>
          </cell>
          <cell r="AB1085" t="str">
            <v>2011NM</v>
          </cell>
          <cell r="AC1085">
            <v>0</v>
          </cell>
          <cell r="AD1085">
            <v>0</v>
          </cell>
          <cell r="AE1085">
            <v>0.6</v>
          </cell>
          <cell r="AF1085">
            <v>0.4</v>
          </cell>
        </row>
        <row r="1086">
          <cell r="B1086" t="str">
            <v>2011NY</v>
          </cell>
          <cell r="C1086">
            <v>9.8408703041683282E-2</v>
          </cell>
          <cell r="D1086">
            <v>0.15954377256245178</v>
          </cell>
          <cell r="E1086">
            <v>0.44849165243165579</v>
          </cell>
          <cell r="F1086">
            <v>0.20287733376538455</v>
          </cell>
          <cell r="G1086">
            <v>7.0184973363303343E-2</v>
          </cell>
          <cell r="H1086">
            <v>2.0493564835521279E-2</v>
          </cell>
          <cell r="J1086" t="str">
            <v>2011NY</v>
          </cell>
          <cell r="K1086">
            <v>0.481323375</v>
          </cell>
          <cell r="L1086">
            <v>7.0184972999999998E-2</v>
          </cell>
          <cell r="M1086">
            <v>0.44849165200000002</v>
          </cell>
          <cell r="U1086" t="str">
            <v>2011NY</v>
          </cell>
          <cell r="V1086">
            <v>0.20441514899999999</v>
          </cell>
          <cell r="W1086">
            <v>4.1815811000000001E-2</v>
          </cell>
          <cell r="X1086">
            <v>0.21220383400000001</v>
          </cell>
          <cell r="Y1086">
            <v>0.145168144</v>
          </cell>
          <cell r="Z1086">
            <v>0.396397061</v>
          </cell>
          <cell r="AB1086" t="str">
            <v>2011NY</v>
          </cell>
          <cell r="AC1086">
            <v>0</v>
          </cell>
          <cell r="AD1086">
            <v>0</v>
          </cell>
          <cell r="AE1086">
            <v>0.05</v>
          </cell>
          <cell r="AF1086">
            <v>0.95</v>
          </cell>
        </row>
        <row r="1087">
          <cell r="B1087" t="str">
            <v>2011NC</v>
          </cell>
          <cell r="C1087">
            <v>6.168821577504751E-2</v>
          </cell>
          <cell r="D1087">
            <v>0.11278426418396881</v>
          </cell>
          <cell r="E1087">
            <v>0.15395779991170949</v>
          </cell>
          <cell r="F1087">
            <v>0.11589101949636353</v>
          </cell>
          <cell r="G1087">
            <v>0.54100750469043157</v>
          </cell>
          <cell r="H1087">
            <v>1.4671195942479084E-2</v>
          </cell>
          <cell r="J1087" t="str">
            <v>2011NC</v>
          </cell>
          <cell r="K1087">
            <v>0.30503469499999991</v>
          </cell>
          <cell r="L1087">
            <v>0.54100750500000006</v>
          </cell>
          <cell r="M1087">
            <v>0.15395780000000001</v>
          </cell>
          <cell r="U1087" t="str">
            <v>2011NC</v>
          </cell>
          <cell r="V1087">
            <v>2.4742549999999999E-3</v>
          </cell>
          <cell r="W1087">
            <v>3.7123251000000003E-2</v>
          </cell>
          <cell r="X1087">
            <v>6.1645423999999997E-2</v>
          </cell>
          <cell r="Y1087">
            <v>0.58464508599999998</v>
          </cell>
          <cell r="Z1087">
            <v>0.31411198400000001</v>
          </cell>
          <cell r="AB1087" t="str">
            <v>2011NC</v>
          </cell>
          <cell r="AC1087">
            <v>0</v>
          </cell>
          <cell r="AD1087">
            <v>0</v>
          </cell>
          <cell r="AE1087">
            <v>0.41899999999999998</v>
          </cell>
          <cell r="AF1087">
            <v>0.58099999999999996</v>
          </cell>
        </row>
        <row r="1088">
          <cell r="B1088" t="str">
            <v>2011ND</v>
          </cell>
          <cell r="C1088">
            <v>0.1196932700797023</v>
          </cell>
          <cell r="D1088">
            <v>0.21866711268457967</v>
          </cell>
          <cell r="E1088">
            <v>0.10978970169096619</v>
          </cell>
          <cell r="F1088">
            <v>0.448028418369537</v>
          </cell>
          <cell r="G1088">
            <v>6.499987314042277E-2</v>
          </cell>
          <cell r="H1088">
            <v>3.8821624034792085E-2</v>
          </cell>
          <cell r="J1088" t="str">
            <v>2011ND</v>
          </cell>
          <cell r="K1088">
            <v>0.82521042499999997</v>
          </cell>
          <cell r="L1088">
            <v>6.4999873E-2</v>
          </cell>
          <cell r="M1088">
            <v>0.109789702</v>
          </cell>
          <cell r="U1088" t="str">
            <v>2011ND</v>
          </cell>
          <cell r="V1088">
            <v>8.8434773999999994E-2</v>
          </cell>
          <cell r="W1088">
            <v>4.7868137999999998E-2</v>
          </cell>
          <cell r="X1088">
            <v>0.243186129</v>
          </cell>
          <cell r="Y1088">
            <v>0.16647603599999999</v>
          </cell>
          <cell r="Z1088">
            <v>0.45403492299999998</v>
          </cell>
          <cell r="AB1088" t="str">
            <v>2011ND</v>
          </cell>
          <cell r="AC1088">
            <v>0</v>
          </cell>
          <cell r="AD1088">
            <v>0</v>
          </cell>
          <cell r="AE1088">
            <v>0.02</v>
          </cell>
          <cell r="AF1088">
            <v>0.98</v>
          </cell>
        </row>
        <row r="1089">
          <cell r="B1089" t="str">
            <v>2011OH</v>
          </cell>
          <cell r="C1089">
            <v>0.10753833947858983</v>
          </cell>
          <cell r="D1089">
            <v>0.22522557822049544</v>
          </cell>
          <cell r="E1089">
            <v>0.13589110116557596</v>
          </cell>
          <cell r="F1089">
            <v>0.4097570212201273</v>
          </cell>
          <cell r="G1089">
            <v>8.0452940491062386E-2</v>
          </cell>
          <cell r="H1089">
            <v>4.1135019424149183E-2</v>
          </cell>
          <cell r="J1089" t="str">
            <v>2011OH</v>
          </cell>
          <cell r="K1089">
            <v>0.78365595900000007</v>
          </cell>
          <cell r="L1089">
            <v>8.0452940000000001E-2</v>
          </cell>
          <cell r="M1089">
            <v>0.13589110099999999</v>
          </cell>
          <cell r="U1089" t="str">
            <v>2011OH</v>
          </cell>
          <cell r="V1089">
            <v>6.6338901000000006E-2</v>
          </cell>
          <cell r="W1089">
            <v>4.3119113000000001E-2</v>
          </cell>
          <cell r="X1089">
            <v>0.26533305600000001</v>
          </cell>
          <cell r="Y1089">
            <v>0.15267545299999999</v>
          </cell>
          <cell r="Z1089">
            <v>0.47253347699999998</v>
          </cell>
          <cell r="AB1089" t="str">
            <v>2011OH</v>
          </cell>
          <cell r="AC1089">
            <v>0</v>
          </cell>
          <cell r="AD1089">
            <v>0</v>
          </cell>
          <cell r="AE1089">
            <v>0</v>
          </cell>
          <cell r="AF1089">
            <v>1</v>
          </cell>
        </row>
        <row r="1090">
          <cell r="B1090" t="str">
            <v>2011OK</v>
          </cell>
          <cell r="C1090">
            <v>0.40296958934788546</v>
          </cell>
          <cell r="D1090">
            <v>0.22528492954061258</v>
          </cell>
          <cell r="E1090">
            <v>6.4896255940651446E-2</v>
          </cell>
          <cell r="F1090">
            <v>0.24738177570149189</v>
          </cell>
          <cell r="G1090">
            <v>0</v>
          </cell>
          <cell r="H1090">
            <v>5.9467449469358676E-2</v>
          </cell>
          <cell r="J1090" t="str">
            <v>2011OK</v>
          </cell>
          <cell r="K1090">
            <v>0.93510374399999996</v>
          </cell>
          <cell r="L1090">
            <v>0</v>
          </cell>
          <cell r="M1090">
            <v>6.4896255999999999E-2</v>
          </cell>
          <cell r="U1090" t="str">
            <v>2011OK</v>
          </cell>
          <cell r="V1090">
            <v>1.2831308E-2</v>
          </cell>
          <cell r="W1090">
            <v>3.6793041999999998E-2</v>
          </cell>
          <cell r="X1090">
            <v>6.2749109999999997E-2</v>
          </cell>
          <cell r="Y1090">
            <v>0.57552135800000004</v>
          </cell>
          <cell r="Z1090">
            <v>0.31210518199999998</v>
          </cell>
          <cell r="AB1090" t="str">
            <v>2011OK</v>
          </cell>
          <cell r="AC1090">
            <v>0</v>
          </cell>
          <cell r="AD1090">
            <v>0</v>
          </cell>
          <cell r="AE1090">
            <v>0.6</v>
          </cell>
          <cell r="AF1090">
            <v>0.4</v>
          </cell>
        </row>
        <row r="1091">
          <cell r="B1091" t="str">
            <v>2011OR</v>
          </cell>
          <cell r="C1091">
            <v>0.43856747008812064</v>
          </cell>
          <cell r="D1091">
            <v>0.20958259090942544</v>
          </cell>
          <cell r="E1091">
            <v>0</v>
          </cell>
          <cell r="F1091">
            <v>0.12862948158709187</v>
          </cell>
          <cell r="G1091">
            <v>0.2018533708975031</v>
          </cell>
          <cell r="H1091">
            <v>2.1367086517858933E-2</v>
          </cell>
          <cell r="J1091" t="str">
            <v>2011OR</v>
          </cell>
          <cell r="K1091">
            <v>0.798146629</v>
          </cell>
          <cell r="L1091">
            <v>0.201853371</v>
          </cell>
          <cell r="M1091">
            <v>0</v>
          </cell>
          <cell r="U1091" t="str">
            <v>2011OR</v>
          </cell>
          <cell r="V1091">
            <v>0.57640796000000005</v>
          </cell>
          <cell r="W1091">
            <v>1.863805E-2</v>
          </cell>
          <cell r="X1091">
            <v>0.116911403</v>
          </cell>
          <cell r="Y1091">
            <v>8.937792E-2</v>
          </cell>
          <cell r="Z1091">
            <v>0.19866466699999999</v>
          </cell>
          <cell r="AB1091" t="str">
            <v>2011OR</v>
          </cell>
          <cell r="AC1091">
            <v>0</v>
          </cell>
          <cell r="AD1091">
            <v>0</v>
          </cell>
          <cell r="AE1091">
            <v>0.25</v>
          </cell>
          <cell r="AF1091">
            <v>0.75</v>
          </cell>
        </row>
        <row r="1092">
          <cell r="B1092" t="str">
            <v>2011PA</v>
          </cell>
          <cell r="C1092">
            <v>4.9624045569858895E-2</v>
          </cell>
          <cell r="D1092">
            <v>0.11712497857538914</v>
          </cell>
          <cell r="E1092">
            <v>0.46874549019831585</v>
          </cell>
          <cell r="F1092">
            <v>0.25230966018477574</v>
          </cell>
          <cell r="G1092">
            <v>8.8454910858433447E-2</v>
          </cell>
          <cell r="H1092">
            <v>2.3740914613226898E-2</v>
          </cell>
          <cell r="J1092" t="str">
            <v>2011PA</v>
          </cell>
          <cell r="K1092">
            <v>0.44279959899999999</v>
          </cell>
          <cell r="L1092">
            <v>8.8454910999999997E-2</v>
          </cell>
          <cell r="M1092">
            <v>0.46874548999999999</v>
          </cell>
          <cell r="U1092" t="str">
            <v>2011PA</v>
          </cell>
          <cell r="V1092">
            <v>5.0102499000000002E-2</v>
          </cell>
          <cell r="W1092">
            <v>4.9409870000000002E-2</v>
          </cell>
          <cell r="X1092">
            <v>0.25392279899999998</v>
          </cell>
          <cell r="Y1092">
            <v>0.17504710600000001</v>
          </cell>
          <cell r="Z1092">
            <v>0.47151772600000003</v>
          </cell>
          <cell r="AB1092" t="str">
            <v>2011PA</v>
          </cell>
          <cell r="AC1092">
            <v>0</v>
          </cell>
          <cell r="AD1092">
            <v>0</v>
          </cell>
          <cell r="AE1092">
            <v>0</v>
          </cell>
          <cell r="AF1092">
            <v>1</v>
          </cell>
        </row>
        <row r="1093">
          <cell r="B1093" t="str">
            <v>2011RI</v>
          </cell>
          <cell r="C1093">
            <v>4.2447025005926793E-2</v>
          </cell>
          <cell r="D1093">
            <v>0.1190174947032642</v>
          </cell>
          <cell r="E1093">
            <v>0.46784468707451643</v>
          </cell>
          <cell r="F1093">
            <v>0.25730854976835782</v>
          </cell>
          <cell r="G1093">
            <v>8.7642343040085183E-2</v>
          </cell>
          <cell r="H1093">
            <v>2.5739900407849584E-2</v>
          </cell>
          <cell r="J1093" t="str">
            <v>2011RI</v>
          </cell>
          <cell r="K1093">
            <v>0.44451297000000001</v>
          </cell>
          <cell r="L1093">
            <v>8.7642342999999998E-2</v>
          </cell>
          <cell r="M1093">
            <v>0.46784468699999998</v>
          </cell>
          <cell r="U1093" t="str">
            <v>2011RI</v>
          </cell>
          <cell r="V1093">
            <v>0.56026879500000004</v>
          </cell>
          <cell r="W1093">
            <v>1.9348173E-2</v>
          </cell>
          <cell r="X1093">
            <v>0.121365813</v>
          </cell>
          <cell r="Y1093">
            <v>9.2783283999999994E-2</v>
          </cell>
          <cell r="Z1093">
            <v>0.20623393500000001</v>
          </cell>
          <cell r="AB1093" t="str">
            <v>2011RI</v>
          </cell>
          <cell r="AC1093">
            <v>0</v>
          </cell>
          <cell r="AD1093">
            <v>0</v>
          </cell>
          <cell r="AE1093">
            <v>0.05</v>
          </cell>
          <cell r="AF1093">
            <v>0.95</v>
          </cell>
        </row>
        <row r="1094">
          <cell r="B1094" t="str">
            <v>2011SC</v>
          </cell>
          <cell r="C1094">
            <v>0.13346180610825578</v>
          </cell>
          <cell r="D1094">
            <v>9.0019723091430845E-2</v>
          </cell>
          <cell r="E1094">
            <v>0.15451296947775242</v>
          </cell>
          <cell r="F1094">
            <v>8.0687406490411034E-2</v>
          </cell>
          <cell r="G1094">
            <v>0.53771407690020812</v>
          </cell>
          <cell r="H1094">
            <v>3.6040179319418398E-3</v>
          </cell>
          <cell r="J1094" t="str">
            <v>2011SC</v>
          </cell>
          <cell r="K1094">
            <v>0.30777295400000004</v>
          </cell>
          <cell r="L1094">
            <v>0.53771407699999996</v>
          </cell>
          <cell r="M1094">
            <v>0.154512969</v>
          </cell>
          <cell r="U1094" t="str">
            <v>2011SC</v>
          </cell>
          <cell r="V1094">
            <v>6.1629585000000001E-2</v>
          </cell>
          <cell r="W1094">
            <v>3.5823032999999997E-2</v>
          </cell>
          <cell r="X1094">
            <v>8.6443989999999998E-2</v>
          </cell>
          <cell r="Y1094">
            <v>0.50014727299999995</v>
          </cell>
          <cell r="Z1094">
            <v>0.31595611899999998</v>
          </cell>
          <cell r="AB1094" t="str">
            <v>2011SC</v>
          </cell>
          <cell r="AC1094">
            <v>0</v>
          </cell>
          <cell r="AD1094">
            <v>0</v>
          </cell>
          <cell r="AE1094">
            <v>0.6</v>
          </cell>
          <cell r="AF1094">
            <v>0.4</v>
          </cell>
        </row>
        <row r="1095">
          <cell r="B1095" t="str">
            <v>2011SD</v>
          </cell>
          <cell r="C1095">
            <v>0.17608951911561277</v>
          </cell>
          <cell r="D1095">
            <v>0.277831368160596</v>
          </cell>
          <cell r="E1095">
            <v>7.9800561964795444E-2</v>
          </cell>
          <cell r="F1095">
            <v>0.37802114842972712</v>
          </cell>
          <cell r="G1095">
            <v>4.724510882492864E-2</v>
          </cell>
          <cell r="H1095">
            <v>4.1012293504340026E-2</v>
          </cell>
          <cell r="J1095" t="str">
            <v>2011SD</v>
          </cell>
          <cell r="K1095">
            <v>0.87295432900000003</v>
          </cell>
          <cell r="L1095">
            <v>4.7245109E-2</v>
          </cell>
          <cell r="M1095">
            <v>7.9800562000000005E-2</v>
          </cell>
          <cell r="U1095" t="str">
            <v>2011SD</v>
          </cell>
          <cell r="V1095">
            <v>3.3046748000000001E-2</v>
          </cell>
          <cell r="W1095">
            <v>5.1157264000000001E-2</v>
          </cell>
          <cell r="X1095">
            <v>0.25755016600000002</v>
          </cell>
          <cell r="Y1095">
            <v>0.17532273200000001</v>
          </cell>
          <cell r="Z1095">
            <v>0.48292308900000003</v>
          </cell>
          <cell r="AB1095" t="str">
            <v>2011SD</v>
          </cell>
          <cell r="AC1095">
            <v>0</v>
          </cell>
          <cell r="AD1095">
            <v>0</v>
          </cell>
          <cell r="AE1095">
            <v>0.02</v>
          </cell>
          <cell r="AF1095">
            <v>0.98</v>
          </cell>
        </row>
        <row r="1096">
          <cell r="B1096" t="str">
            <v>2011TN</v>
          </cell>
          <cell r="C1096">
            <v>4.0519949592449485E-2</v>
          </cell>
          <cell r="D1096">
            <v>8.9664149461423162E-2</v>
          </cell>
          <cell r="E1096">
            <v>0.14551684926860037</v>
          </cell>
          <cell r="F1096">
            <v>0.1170185785979804</v>
          </cell>
          <cell r="G1096">
            <v>0.59108168584929244</v>
          </cell>
          <cell r="H1096">
            <v>1.6198787230254148E-2</v>
          </cell>
          <cell r="J1096" t="str">
            <v>2011TN</v>
          </cell>
          <cell r="K1096">
            <v>0.26340146500000006</v>
          </cell>
          <cell r="L1096">
            <v>0.591081686</v>
          </cell>
          <cell r="M1096">
            <v>0.145516849</v>
          </cell>
          <cell r="U1096" t="str">
            <v>2011TN</v>
          </cell>
          <cell r="V1096">
            <v>0.102875089</v>
          </cell>
          <cell r="W1096">
            <v>3.5402429999999999E-2</v>
          </cell>
          <cell r="X1096">
            <v>0.119077104</v>
          </cell>
          <cell r="Y1096">
            <v>0.41436515099999999</v>
          </cell>
          <cell r="Z1096">
            <v>0.32828022600000001</v>
          </cell>
          <cell r="AB1096" t="str">
            <v>2011TN</v>
          </cell>
          <cell r="AC1096">
            <v>0</v>
          </cell>
          <cell r="AD1096">
            <v>0</v>
          </cell>
          <cell r="AE1096">
            <v>0.05</v>
          </cell>
          <cell r="AF1096">
            <v>0.95</v>
          </cell>
        </row>
        <row r="1097">
          <cell r="B1097" t="str">
            <v>2011TX</v>
          </cell>
          <cell r="C1097">
            <v>0.53305655520056971</v>
          </cell>
          <cell r="D1097">
            <v>0.24233312613196878</v>
          </cell>
          <cell r="E1097">
            <v>7.9791980793249173E-2</v>
          </cell>
          <cell r="F1097">
            <v>0.1278405091499755</v>
          </cell>
          <cell r="G1097">
            <v>0</v>
          </cell>
          <cell r="H1097">
            <v>1.6977828724236681E-2</v>
          </cell>
          <cell r="J1097" t="str">
            <v>2011TX</v>
          </cell>
          <cell r="K1097">
            <v>0.92020801900000004</v>
          </cell>
          <cell r="L1097">
            <v>0</v>
          </cell>
          <cell r="M1097">
            <v>7.9791980999999998E-2</v>
          </cell>
          <cell r="U1097" t="str">
            <v>2011TX</v>
          </cell>
          <cell r="V1097">
            <v>6.9632535999999995E-2</v>
          </cell>
          <cell r="W1097">
            <v>3.4700662E-2</v>
          </cell>
          <cell r="X1097">
            <v>5.9917572000000002E-2</v>
          </cell>
          <cell r="Y1097">
            <v>0.54104196599999999</v>
          </cell>
          <cell r="Z1097">
            <v>0.29470726400000002</v>
          </cell>
          <cell r="AB1097" t="str">
            <v>2011TX</v>
          </cell>
          <cell r="AC1097">
            <v>0</v>
          </cell>
          <cell r="AD1097">
            <v>0</v>
          </cell>
          <cell r="AE1097">
            <v>0.12</v>
          </cell>
          <cell r="AF1097">
            <v>0.88</v>
          </cell>
        </row>
        <row r="1098">
          <cell r="B1098" t="str">
            <v>2011UT</v>
          </cell>
          <cell r="C1098">
            <v>0.51165623152884221</v>
          </cell>
          <cell r="D1098">
            <v>0.26394677259150623</v>
          </cell>
          <cell r="E1098">
            <v>1.3999177703951423E-2</v>
          </cell>
          <cell r="F1098">
            <v>0.17036034814732054</v>
          </cell>
          <cell r="G1098">
            <v>8.2880703819413898E-3</v>
          </cell>
          <cell r="H1098">
            <v>3.1749399646438282E-2</v>
          </cell>
          <cell r="J1098" t="str">
            <v>2011UT</v>
          </cell>
          <cell r="K1098">
            <v>0.97771275199999996</v>
          </cell>
          <cell r="L1098">
            <v>8.2880699999999998E-3</v>
          </cell>
          <cell r="M1098">
            <v>1.3999177999999999E-2</v>
          </cell>
          <cell r="U1098" t="str">
            <v>2011UT</v>
          </cell>
          <cell r="V1098">
            <v>8.6456620000000001E-3</v>
          </cell>
          <cell r="W1098">
            <v>5.5424775000000003E-2</v>
          </cell>
          <cell r="X1098">
            <v>0.260824848</v>
          </cell>
          <cell r="Y1098">
            <v>0.16982515300000001</v>
          </cell>
          <cell r="Z1098">
            <v>0.50527956200000002</v>
          </cell>
          <cell r="AB1098" t="str">
            <v>2011UT</v>
          </cell>
          <cell r="AC1098">
            <v>0</v>
          </cell>
          <cell r="AD1098">
            <v>0</v>
          </cell>
          <cell r="AE1098">
            <v>0.6</v>
          </cell>
          <cell r="AF1098">
            <v>0.4</v>
          </cell>
        </row>
        <row r="1099">
          <cell r="B1099" t="str">
            <v>2011VT</v>
          </cell>
          <cell r="C1099">
            <v>9.9973781354903396E-2</v>
          </cell>
          <cell r="D1099">
            <v>0.17387691112967565</v>
          </cell>
          <cell r="E1099">
            <v>0.44423932842492886</v>
          </cell>
          <cell r="F1099">
            <v>0.19448861844630186</v>
          </cell>
          <cell r="G1099">
            <v>6.6349172232328182E-2</v>
          </cell>
          <cell r="H1099">
            <v>2.1072188411862088E-2</v>
          </cell>
          <cell r="J1099" t="str">
            <v>2011VT</v>
          </cell>
          <cell r="K1099">
            <v>0.4894115</v>
          </cell>
          <cell r="L1099">
            <v>6.6349171999999998E-2</v>
          </cell>
          <cell r="M1099">
            <v>0.44423932799999999</v>
          </cell>
          <cell r="U1099" t="str">
            <v>2011VT</v>
          </cell>
          <cell r="V1099">
            <v>0.86037974299999997</v>
          </cell>
          <cell r="W1099">
            <v>6.1432910000000004E-3</v>
          </cell>
          <cell r="X1099">
            <v>3.8535191000000003E-2</v>
          </cell>
          <cell r="Y1099">
            <v>2.9459874E-2</v>
          </cell>
          <cell r="Z1099">
            <v>6.5481899999999996E-2</v>
          </cell>
          <cell r="AB1099" t="str">
            <v>2011VT</v>
          </cell>
          <cell r="AC1099">
            <v>0</v>
          </cell>
          <cell r="AD1099">
            <v>0</v>
          </cell>
          <cell r="AE1099">
            <v>0.05</v>
          </cell>
          <cell r="AF1099">
            <v>0.95</v>
          </cell>
        </row>
        <row r="1100">
          <cell r="B1100" t="str">
            <v>2011VA</v>
          </cell>
          <cell r="C1100">
            <v>4.4953509549794296E-2</v>
          </cell>
          <cell r="D1100">
            <v>9.339670802378576E-2</v>
          </cell>
          <cell r="E1100">
            <v>0.14844092890155638</v>
          </cell>
          <cell r="F1100">
            <v>0.12331550684410268</v>
          </cell>
          <cell r="G1100">
            <v>0.5737351926100378</v>
          </cell>
          <cell r="H1100">
            <v>1.6158154070723133E-2</v>
          </cell>
          <cell r="J1100" t="str">
            <v>2011VA</v>
          </cell>
          <cell r="K1100">
            <v>0.27782387799999997</v>
          </cell>
          <cell r="L1100">
            <v>0.57373519299999998</v>
          </cell>
          <cell r="M1100">
            <v>0.148440929</v>
          </cell>
          <cell r="U1100" t="str">
            <v>2011VA</v>
          </cell>
          <cell r="V1100">
            <v>3.3934871999999998E-2</v>
          </cell>
          <cell r="W1100">
            <v>3.6244844999999998E-2</v>
          </cell>
          <cell r="X1100">
            <v>6.8933026999999994E-2</v>
          </cell>
          <cell r="Y1100">
            <v>0.550040046</v>
          </cell>
          <cell r="Z1100">
            <v>0.31084721100000001</v>
          </cell>
          <cell r="AB1100" t="str">
            <v>2011VA</v>
          </cell>
          <cell r="AC1100">
            <v>0</v>
          </cell>
          <cell r="AD1100">
            <v>0</v>
          </cell>
          <cell r="AE1100">
            <v>0.05</v>
          </cell>
          <cell r="AF1100">
            <v>0.95</v>
          </cell>
        </row>
        <row r="1101">
          <cell r="B1101" t="str">
            <v>2011WA</v>
          </cell>
          <cell r="C1101">
            <v>0.48742079910802349</v>
          </cell>
          <cell r="D1101">
            <v>0.21961274491816118</v>
          </cell>
          <cell r="E1101">
            <v>0</v>
          </cell>
          <cell r="F1101">
            <v>0.11254281869932067</v>
          </cell>
          <cell r="G1101">
            <v>0.16627589127589129</v>
          </cell>
          <cell r="H1101">
            <v>1.4147745998603438E-2</v>
          </cell>
          <cell r="J1101" t="str">
            <v>2011WA</v>
          </cell>
          <cell r="K1101">
            <v>0.83372410900000005</v>
          </cell>
          <cell r="L1101">
            <v>0.16627589100000001</v>
          </cell>
          <cell r="M1101">
            <v>0</v>
          </cell>
          <cell r="U1101" t="str">
            <v>2011WA</v>
          </cell>
          <cell r="V1101">
            <v>0.37353494700000001</v>
          </cell>
          <cell r="W1101">
            <v>3.1263627000000002E-2</v>
          </cell>
          <cell r="X1101">
            <v>0.168896926</v>
          </cell>
          <cell r="Y1101">
            <v>0.119853577</v>
          </cell>
          <cell r="Z1101">
            <v>0.30645092299999999</v>
          </cell>
          <cell r="AB1101" t="str">
            <v>2011WA</v>
          </cell>
          <cell r="AC1101">
            <v>0</v>
          </cell>
          <cell r="AD1101">
            <v>0</v>
          </cell>
          <cell r="AE1101">
            <v>0.12</v>
          </cell>
          <cell r="AF1101">
            <v>0.88</v>
          </cell>
        </row>
        <row r="1102">
          <cell r="B1102" t="str">
            <v>2011WV</v>
          </cell>
          <cell r="C1102">
            <v>6.8751812683186322E-2</v>
          </cell>
          <cell r="D1102">
            <v>0.15888641455628993</v>
          </cell>
          <cell r="E1102">
            <v>0.44831485363191043</v>
          </cell>
          <cell r="F1102">
            <v>0.22633984896592482</v>
          </cell>
          <cell r="G1102">
            <v>7.0025492327769459E-2</v>
          </cell>
          <cell r="H1102">
            <v>2.7681577834919095E-2</v>
          </cell>
          <cell r="J1102" t="str">
            <v>2011WV</v>
          </cell>
          <cell r="K1102">
            <v>0.48165965399999999</v>
          </cell>
          <cell r="L1102">
            <v>7.0025491999999995E-2</v>
          </cell>
          <cell r="M1102">
            <v>0.44831485399999998</v>
          </cell>
          <cell r="U1102" t="str">
            <v>2011WV</v>
          </cell>
          <cell r="V1102">
            <v>0.57920187499999998</v>
          </cell>
          <cell r="W1102">
            <v>2.1256934000000002E-2</v>
          </cell>
          <cell r="X1102">
            <v>0.113169981</v>
          </cell>
          <cell r="Y1102">
            <v>7.9649016000000003E-2</v>
          </cell>
          <cell r="Z1102">
            <v>0.206722194</v>
          </cell>
          <cell r="AB1102" t="str">
            <v>2011WV</v>
          </cell>
          <cell r="AC1102">
            <v>0</v>
          </cell>
          <cell r="AD1102">
            <v>0</v>
          </cell>
          <cell r="AE1102">
            <v>0.05</v>
          </cell>
          <cell r="AF1102">
            <v>0.95</v>
          </cell>
        </row>
        <row r="1103">
          <cell r="B1103" t="str">
            <v>2011WI</v>
          </cell>
          <cell r="C1103">
            <v>0.12203432597344931</v>
          </cell>
          <cell r="D1103">
            <v>0.23555629715568294</v>
          </cell>
          <cell r="E1103">
            <v>0.11540173598404266</v>
          </cell>
          <cell r="F1103">
            <v>0.42032708364290838</v>
          </cell>
          <cell r="G1103">
            <v>6.8322420806473022E-2</v>
          </cell>
          <cell r="H1103">
            <v>3.8358136437443673E-2</v>
          </cell>
          <cell r="J1103" t="str">
            <v>2011WI</v>
          </cell>
          <cell r="K1103">
            <v>0.816275843</v>
          </cell>
          <cell r="L1103">
            <v>6.8322420999999994E-2</v>
          </cell>
          <cell r="M1103">
            <v>0.115401736</v>
          </cell>
          <cell r="U1103" t="str">
            <v>2011WI</v>
          </cell>
          <cell r="V1103">
            <v>0.12883246500000001</v>
          </cell>
          <cell r="W1103">
            <v>4.2564396999999997E-2</v>
          </cell>
          <cell r="X1103">
            <v>0.23585646199999999</v>
          </cell>
          <cell r="Y1103">
            <v>0.16970626599999999</v>
          </cell>
          <cell r="Z1103">
            <v>0.42304040999999998</v>
          </cell>
          <cell r="AB1103" t="str">
            <v>2011WI</v>
          </cell>
          <cell r="AC1103">
            <v>0</v>
          </cell>
          <cell r="AD1103">
            <v>0</v>
          </cell>
          <cell r="AE1103">
            <v>0.02</v>
          </cell>
          <cell r="AF1103">
            <v>0.98</v>
          </cell>
        </row>
        <row r="1104">
          <cell r="B1104" t="str">
            <v>2011WY</v>
          </cell>
          <cell r="C1104">
            <v>0.29508724522063295</v>
          </cell>
          <cell r="D1104">
            <v>0.23251729773373622</v>
          </cell>
          <cell r="E1104">
            <v>0.12161775942187937</v>
          </cell>
          <cell r="F1104">
            <v>0.2207502472879718</v>
          </cell>
          <cell r="G1104">
            <v>7.2002554085590281E-2</v>
          </cell>
          <cell r="H1104">
            <v>5.8024896250189507E-2</v>
          </cell>
          <cell r="J1104" t="str">
            <v>2011WY</v>
          </cell>
          <cell r="K1104">
            <v>0.80637968699999996</v>
          </cell>
          <cell r="L1104">
            <v>7.2002553999999996E-2</v>
          </cell>
          <cell r="M1104">
            <v>0.12161775900000001</v>
          </cell>
          <cell r="U1104" t="str">
            <v>2011WY</v>
          </cell>
          <cell r="V1104">
            <v>3.2109568999999998E-2</v>
          </cell>
          <cell r="W1104">
            <v>5.3596850000000001E-2</v>
          </cell>
          <cell r="X1104">
            <v>0.25521061499999997</v>
          </cell>
          <cell r="Y1104">
            <v>0.16752597599999999</v>
          </cell>
          <cell r="Z1104">
            <v>0.49155699000000003</v>
          </cell>
          <cell r="AB1104" t="str">
            <v>2011WY</v>
          </cell>
          <cell r="AC1104">
            <v>0</v>
          </cell>
          <cell r="AD1104">
            <v>0</v>
          </cell>
          <cell r="AE1104">
            <v>0.6</v>
          </cell>
          <cell r="AF1104">
            <v>0.4</v>
          </cell>
        </row>
        <row r="1105">
          <cell r="B1105" t="str">
            <v>2012AL</v>
          </cell>
          <cell r="C1105">
            <v>0.17233560131521788</v>
          </cell>
          <cell r="D1105">
            <v>9.7606154746872412E-2</v>
          </cell>
          <cell r="E1105">
            <v>0.16919346457207346</v>
          </cell>
          <cell r="F1105">
            <v>0.1056405325382436</v>
          </cell>
          <cell r="G1105">
            <v>0.45062509818962659</v>
          </cell>
          <cell r="H1105">
            <v>4.5991486379660445E-3</v>
          </cell>
          <cell r="J1105" t="str">
            <v>2012AL</v>
          </cell>
          <cell r="K1105">
            <v>0.38018143700000007</v>
          </cell>
          <cell r="L1105">
            <v>0.450625098</v>
          </cell>
          <cell r="M1105">
            <v>0.16919346499999999</v>
          </cell>
          <cell r="U1105" t="str">
            <v>2012AL</v>
          </cell>
          <cell r="V1105">
            <v>5.3114938E-2</v>
          </cell>
          <cell r="W1105">
            <v>3.6058960000000001E-2</v>
          </cell>
          <cell r="X1105">
            <v>8.4414527000000003E-2</v>
          </cell>
          <cell r="Y1105">
            <v>0.50961295299999998</v>
          </cell>
          <cell r="Z1105">
            <v>0.316798623</v>
          </cell>
          <cell r="AB1105" t="str">
            <v>2012AL</v>
          </cell>
          <cell r="AC1105">
            <v>0</v>
          </cell>
          <cell r="AD1105">
            <v>0</v>
          </cell>
          <cell r="AE1105">
            <v>0.41899999999999998</v>
          </cell>
          <cell r="AF1105">
            <v>0.58099999999999996</v>
          </cell>
        </row>
        <row r="1106">
          <cell r="B1106" t="str">
            <v>2012AK</v>
          </cell>
          <cell r="C1106">
            <v>0.30334484066413492</v>
          </cell>
          <cell r="D1106">
            <v>0.23769937716735701</v>
          </cell>
          <cell r="E1106">
            <v>6.205843688929364E-2</v>
          </cell>
          <cell r="F1106">
            <v>0.28363994741136878</v>
          </cell>
          <cell r="G1106">
            <v>3.6741064625999714E-2</v>
          </cell>
          <cell r="H1106">
            <v>7.6516333241846021E-2</v>
          </cell>
          <cell r="J1106" t="str">
            <v>2012AK</v>
          </cell>
          <cell r="K1106">
            <v>0.90120049800000002</v>
          </cell>
          <cell r="L1106">
            <v>3.6741065000000003E-2</v>
          </cell>
          <cell r="M1106">
            <v>6.2058437000000001E-2</v>
          </cell>
          <cell r="U1106" t="str">
            <v>2012AK</v>
          </cell>
          <cell r="V1106">
            <v>0.52632575500000001</v>
          </cell>
          <cell r="W1106">
            <v>2.0841667000000001E-2</v>
          </cell>
          <cell r="X1106">
            <v>0.130734092</v>
          </cell>
          <cell r="Y1106">
            <v>9.9945266000000005E-2</v>
          </cell>
          <cell r="Z1106">
            <v>0.22215322100000001</v>
          </cell>
          <cell r="AB1106" t="str">
            <v>2012AK</v>
          </cell>
          <cell r="AC1106">
            <v>0</v>
          </cell>
          <cell r="AD1106">
            <v>0</v>
          </cell>
          <cell r="AE1106">
            <v>0.25</v>
          </cell>
          <cell r="AF1106">
            <v>0.75</v>
          </cell>
        </row>
        <row r="1107">
          <cell r="B1107" t="str">
            <v>2012AZ</v>
          </cell>
          <cell r="C1107">
            <v>0.611220636654217</v>
          </cell>
          <cell r="D1107">
            <v>0.19572797693407004</v>
          </cell>
          <cell r="E1107">
            <v>9.865488383487428E-2</v>
          </cell>
          <cell r="F1107">
            <v>9.3890669243012675E-2</v>
          </cell>
          <cell r="G1107">
            <v>0</v>
          </cell>
          <cell r="H1107">
            <v>5.0583333382575558E-4</v>
          </cell>
          <cell r="J1107" t="str">
            <v>2012AZ</v>
          </cell>
          <cell r="K1107">
            <v>0.901345116</v>
          </cell>
          <cell r="L1107">
            <v>0</v>
          </cell>
          <cell r="M1107">
            <v>9.8654883999999998E-2</v>
          </cell>
          <cell r="U1107" t="str">
            <v>2012AZ</v>
          </cell>
          <cell r="V1107">
            <v>0.136592664</v>
          </cell>
          <cell r="W1107">
            <v>3.2171241000000003E-2</v>
          </cell>
          <cell r="X1107">
            <v>5.4596316999999998E-2</v>
          </cell>
          <cell r="Y1107">
            <v>0.50386894699999996</v>
          </cell>
          <cell r="Z1107">
            <v>0.27277083200000002</v>
          </cell>
          <cell r="AB1107" t="str">
            <v>2012AZ</v>
          </cell>
          <cell r="AC1107">
            <v>0</v>
          </cell>
          <cell r="AD1107">
            <v>0</v>
          </cell>
          <cell r="AE1107">
            <v>0.6</v>
          </cell>
          <cell r="AF1107">
            <v>0.4</v>
          </cell>
        </row>
        <row r="1108">
          <cell r="B1108" t="str">
            <v>2012AR</v>
          </cell>
          <cell r="C1108">
            <v>9.6391342329605903E-2</v>
          </cell>
          <cell r="D1108">
            <v>6.6955456596874061E-2</v>
          </cell>
          <cell r="E1108">
            <v>0.14888335780531528</v>
          </cell>
          <cell r="F1108">
            <v>0.11118804006195876</v>
          </cell>
          <cell r="G1108">
            <v>0.57111057531117648</v>
          </cell>
          <cell r="H1108">
            <v>5.4712278950695761E-3</v>
          </cell>
          <cell r="J1108" t="str">
            <v>2012AR</v>
          </cell>
          <cell r="K1108">
            <v>0.28000606700000008</v>
          </cell>
          <cell r="L1108">
            <v>0.57111057499999995</v>
          </cell>
          <cell r="M1108">
            <v>0.14888335799999999</v>
          </cell>
          <cell r="U1108" t="str">
            <v>2012AR</v>
          </cell>
          <cell r="V1108">
            <v>3.9459004999999998E-2</v>
          </cell>
          <cell r="W1108">
            <v>3.7640482000000003E-2</v>
          </cell>
          <cell r="X1108">
            <v>0.11914443199999999</v>
          </cell>
          <cell r="Y1108">
            <v>0.45827781299999998</v>
          </cell>
          <cell r="Z1108">
            <v>0.34547826799999998</v>
          </cell>
          <cell r="AB1108" t="str">
            <v>2012AR</v>
          </cell>
          <cell r="AC1108">
            <v>0</v>
          </cell>
          <cell r="AD1108">
            <v>0</v>
          </cell>
          <cell r="AE1108">
            <v>0</v>
          </cell>
          <cell r="AF1108">
            <v>1</v>
          </cell>
        </row>
        <row r="1109">
          <cell r="B1109" t="str">
            <v>2012CA</v>
          </cell>
          <cell r="C1109">
            <v>0.58081862489107328</v>
          </cell>
          <cell r="D1109">
            <v>0.20720345916912225</v>
          </cell>
          <cell r="E1109">
            <v>0.10801924509893834</v>
          </cell>
          <cell r="F1109">
            <v>9.2431120719429966E-2</v>
          </cell>
          <cell r="G1109">
            <v>9.2523577326630076E-3</v>
          </cell>
          <cell r="H1109">
            <v>2.2751923887731596E-3</v>
          </cell>
          <cell r="J1109" t="str">
            <v>2012CA</v>
          </cell>
          <cell r="K1109">
            <v>0.88272839699999994</v>
          </cell>
          <cell r="L1109">
            <v>9.2523580000000005E-3</v>
          </cell>
          <cell r="M1109">
            <v>0.108019245</v>
          </cell>
          <cell r="U1109" t="str">
            <v>2012CA</v>
          </cell>
          <cell r="V1109">
            <v>0.133799526</v>
          </cell>
          <cell r="W1109">
            <v>3.2941353E-2</v>
          </cell>
          <cell r="X1109">
            <v>7.5800703999999997E-2</v>
          </cell>
          <cell r="Y1109">
            <v>0.46867659099999998</v>
          </cell>
          <cell r="Z1109">
            <v>0.28878182499999999</v>
          </cell>
          <cell r="AB1109" t="str">
            <v>2012CA</v>
          </cell>
          <cell r="AC1109">
            <v>0</v>
          </cell>
          <cell r="AD1109">
            <v>0</v>
          </cell>
          <cell r="AE1109">
            <v>0.12</v>
          </cell>
          <cell r="AF1109">
            <v>0.88</v>
          </cell>
        </row>
        <row r="1110">
          <cell r="B1110" t="str">
            <v>2012CO</v>
          </cell>
          <cell r="C1110">
            <v>0.61667904285785091</v>
          </cell>
          <cell r="D1110">
            <v>0.24212893570430052</v>
          </cell>
          <cell r="E1110">
            <v>1.1092391745361967E-2</v>
          </cell>
          <cell r="F1110">
            <v>0.11516410971780773</v>
          </cell>
          <cell r="G1110">
            <v>6.5671374014829543E-3</v>
          </cell>
          <cell r="H1110">
            <v>8.3683825731959392E-3</v>
          </cell>
          <cell r="J1110" t="str">
            <v>2012CO</v>
          </cell>
          <cell r="K1110">
            <v>0.98234047099999999</v>
          </cell>
          <cell r="L1110">
            <v>6.5671369999999998E-3</v>
          </cell>
          <cell r="M1110">
            <v>1.1092392E-2</v>
          </cell>
          <cell r="U1110" t="str">
            <v>2012CO</v>
          </cell>
          <cell r="V1110">
            <v>2.3378138E-2</v>
          </cell>
          <cell r="W1110">
            <v>5.3880426000000002E-2</v>
          </cell>
          <cell r="X1110">
            <v>0.25772948099999998</v>
          </cell>
          <cell r="Y1110">
            <v>0.169703665</v>
          </cell>
          <cell r="Z1110">
            <v>0.49530828999999998</v>
          </cell>
          <cell r="AB1110" t="str">
            <v>2012CO</v>
          </cell>
          <cell r="AC1110">
            <v>0</v>
          </cell>
          <cell r="AD1110">
            <v>0</v>
          </cell>
          <cell r="AE1110">
            <v>0.6</v>
          </cell>
          <cell r="AF1110">
            <v>0.4</v>
          </cell>
        </row>
        <row r="1111">
          <cell r="B1111" t="str">
            <v>2012CT</v>
          </cell>
          <cell r="C1111">
            <v>0.11572842393252261</v>
          </cell>
          <cell r="D1111">
            <v>0.20119880615243968</v>
          </cell>
          <cell r="E1111">
            <v>0.43233999756560143</v>
          </cell>
          <cell r="F1111">
            <v>0.17234541515575838</v>
          </cell>
          <cell r="G1111">
            <v>5.5615402487630847E-2</v>
          </cell>
          <cell r="H1111">
            <v>2.2771954706046996E-2</v>
          </cell>
          <cell r="J1111" t="str">
            <v>2012CT</v>
          </cell>
          <cell r="K1111">
            <v>0.51204460000000007</v>
          </cell>
          <cell r="L1111">
            <v>5.5615402000000001E-2</v>
          </cell>
          <cell r="M1111">
            <v>0.432339998</v>
          </cell>
          <cell r="U1111" t="str">
            <v>2012CT</v>
          </cell>
          <cell r="V1111">
            <v>0.57363861400000005</v>
          </cell>
          <cell r="W1111">
            <v>1.8759900999999999E-2</v>
          </cell>
          <cell r="X1111">
            <v>0.117675743</v>
          </cell>
          <cell r="Y1111">
            <v>8.9962252000000006E-2</v>
          </cell>
          <cell r="Z1111">
            <v>0.19996348999999999</v>
          </cell>
          <cell r="AB1111" t="str">
            <v>2012CT</v>
          </cell>
          <cell r="AC1111">
            <v>0</v>
          </cell>
          <cell r="AD1111">
            <v>0</v>
          </cell>
          <cell r="AE1111">
            <v>0.05</v>
          </cell>
          <cell r="AF1111">
            <v>0.95</v>
          </cell>
        </row>
        <row r="1112">
          <cell r="B1112" t="str">
            <v>2012DE</v>
          </cell>
          <cell r="C1112">
            <v>0.10201653895343663</v>
          </cell>
          <cell r="D1112">
            <v>0.1910091905838856</v>
          </cell>
          <cell r="E1112">
            <v>0.43707162937473454</v>
          </cell>
          <cell r="F1112">
            <v>0.18637975788177577</v>
          </cell>
          <cell r="G1112">
            <v>5.9883562349419175E-2</v>
          </cell>
          <cell r="H1112">
            <v>2.3639320856748244E-2</v>
          </cell>
          <cell r="J1112" t="str">
            <v>2012DE</v>
          </cell>
          <cell r="K1112">
            <v>0.50304480899999993</v>
          </cell>
          <cell r="L1112">
            <v>5.9883562000000001E-2</v>
          </cell>
          <cell r="M1112">
            <v>0.43707162900000002</v>
          </cell>
          <cell r="U1112" t="str">
            <v>2012DE</v>
          </cell>
          <cell r="V1112">
            <v>0.120253529</v>
          </cell>
          <cell r="W1112">
            <v>4.1631153999999997E-2</v>
          </cell>
          <cell r="X1112">
            <v>0.23964419100000001</v>
          </cell>
          <cell r="Y1112">
            <v>0.17588547500000001</v>
          </cell>
          <cell r="Z1112">
            <v>0.42258565100000001</v>
          </cell>
          <cell r="AB1112" t="str">
            <v>2012DE</v>
          </cell>
          <cell r="AC1112">
            <v>0</v>
          </cell>
          <cell r="AD1112">
            <v>0</v>
          </cell>
          <cell r="AE1112">
            <v>0.05</v>
          </cell>
          <cell r="AF1112">
            <v>0.95</v>
          </cell>
        </row>
        <row r="1113">
          <cell r="B1113" t="str">
            <v>2012FL</v>
          </cell>
          <cell r="C1113">
            <v>0.38654865924430459</v>
          </cell>
          <cell r="D1113">
            <v>0.14503983167997814</v>
          </cell>
          <cell r="E1113">
            <v>0.21616400084919535</v>
          </cell>
          <cell r="F1113">
            <v>7.8997496757044303E-2</v>
          </cell>
          <cell r="G1113">
            <v>0.17198217725399226</v>
          </cell>
          <cell r="H1113">
            <v>1.2678342154852779E-3</v>
          </cell>
          <cell r="J1113" t="str">
            <v>2012FL</v>
          </cell>
          <cell r="K1113">
            <v>0.61185382200000005</v>
          </cell>
          <cell r="L1113">
            <v>0.17198217700000001</v>
          </cell>
          <cell r="M1113">
            <v>0.21616400099999999</v>
          </cell>
          <cell r="U1113" t="str">
            <v>2012FL</v>
          </cell>
          <cell r="V1113">
            <v>0.71166924399999998</v>
          </cell>
          <cell r="W1113">
            <v>1.2686553E-2</v>
          </cell>
          <cell r="X1113">
            <v>7.9579288999999998E-2</v>
          </cell>
          <cell r="Y1113">
            <v>6.0837789000000003E-2</v>
          </cell>
          <cell r="Z1113">
            <v>0.135227124</v>
          </cell>
          <cell r="AB1113" t="str">
            <v>2012FL</v>
          </cell>
          <cell r="AC1113">
            <v>0</v>
          </cell>
          <cell r="AD1113">
            <v>0</v>
          </cell>
          <cell r="AE1113">
            <v>0.41899999999999998</v>
          </cell>
          <cell r="AF1113">
            <v>0.58099999999999996</v>
          </cell>
        </row>
        <row r="1114">
          <cell r="B1114" t="str">
            <v>2012GA</v>
          </cell>
          <cell r="C1114">
            <v>0.20823216155586291</v>
          </cell>
          <cell r="D1114">
            <v>0.11033206176717186</v>
          </cell>
          <cell r="E1114">
            <v>0.17733204084631207</v>
          </cell>
          <cell r="F1114">
            <v>9.7862793659120595E-2</v>
          </cell>
          <cell r="G1114">
            <v>0.40234468997942996</v>
          </cell>
          <cell r="H1114">
            <v>3.8962521921025758E-3</v>
          </cell>
          <cell r="J1114" t="str">
            <v>2012GA</v>
          </cell>
          <cell r="K1114">
            <v>0.42032326900000005</v>
          </cell>
          <cell r="L1114">
            <v>0.40234469</v>
          </cell>
          <cell r="M1114">
            <v>0.177332041</v>
          </cell>
          <cell r="U1114" t="str">
            <v>2012GA</v>
          </cell>
          <cell r="V1114">
            <v>7.8133266000000007E-2</v>
          </cell>
          <cell r="W1114">
            <v>3.5587817000000001E-2</v>
          </cell>
          <cell r="X1114">
            <v>9.7388838000000005E-2</v>
          </cell>
          <cell r="Y1114">
            <v>0.46952270200000001</v>
          </cell>
          <cell r="Z1114">
            <v>0.31936737799999998</v>
          </cell>
          <cell r="AB1114" t="str">
            <v>2012GA</v>
          </cell>
          <cell r="AC1114">
            <v>0</v>
          </cell>
          <cell r="AD1114">
            <v>0</v>
          </cell>
          <cell r="AE1114">
            <v>0.41899999999999998</v>
          </cell>
          <cell r="AF1114">
            <v>0.58099999999999996</v>
          </cell>
        </row>
        <row r="1115">
          <cell r="B1115" t="str">
            <v>2012HI</v>
          </cell>
          <cell r="C1115">
            <v>0.67137224197860923</v>
          </cell>
          <cell r="D1115">
            <v>0.21100034068527662</v>
          </cell>
          <cell r="E1115">
            <v>0</v>
          </cell>
          <cell r="F1115">
            <v>0.10820426646618357</v>
          </cell>
          <cell r="G1115">
            <v>7.5112148308577572E-3</v>
          </cell>
          <cell r="H1115">
            <v>1.9119360390725836E-3</v>
          </cell>
          <cell r="J1115" t="str">
            <v>2012HI</v>
          </cell>
          <cell r="K1115">
            <v>0.99248878500000004</v>
          </cell>
          <cell r="L1115">
            <v>7.5112149999999999E-3</v>
          </cell>
          <cell r="M1115">
            <v>0</v>
          </cell>
          <cell r="U1115" t="str">
            <v>2012HI</v>
          </cell>
          <cell r="V1115">
            <v>0.23216878499999999</v>
          </cell>
          <cell r="W1115">
            <v>3.2904865999999998E-2</v>
          </cell>
          <cell r="X1115">
            <v>0.18414778700000001</v>
          </cell>
          <cell r="Y1115">
            <v>0.21064765399999999</v>
          </cell>
          <cell r="Z1115">
            <v>0.34013090899999998</v>
          </cell>
          <cell r="AB1115" t="str">
            <v>2012HI</v>
          </cell>
          <cell r="AC1115">
            <v>0</v>
          </cell>
          <cell r="AD1115">
            <v>0</v>
          </cell>
          <cell r="AE1115">
            <v>0.25</v>
          </cell>
          <cell r="AF1115">
            <v>0.75</v>
          </cell>
        </row>
        <row r="1116">
          <cell r="B1116" t="str">
            <v>2012ID</v>
          </cell>
          <cell r="C1116">
            <v>0.62850843440764703</v>
          </cell>
          <cell r="D1116">
            <v>0.2329683972033782</v>
          </cell>
          <cell r="E1116">
            <v>6.4436683947772669E-3</v>
          </cell>
          <cell r="F1116">
            <v>0.11961222721284216</v>
          </cell>
          <cell r="G1116">
            <v>3.8149081541218642E-3</v>
          </cell>
          <cell r="H1116">
            <v>8.6523646272333287E-3</v>
          </cell>
          <cell r="J1116" t="str">
            <v>2012ID</v>
          </cell>
          <cell r="K1116">
            <v>0.98974142399999998</v>
          </cell>
          <cell r="L1116">
            <v>3.8149080000000001E-3</v>
          </cell>
          <cell r="M1116">
            <v>6.4436679999999996E-3</v>
          </cell>
          <cell r="U1116" t="str">
            <v>2012ID</v>
          </cell>
          <cell r="V1116">
            <v>0.460837895</v>
          </cell>
          <cell r="W1116">
            <v>2.6974237000000002E-2</v>
          </cell>
          <cell r="X1116">
            <v>0.14528671200000001</v>
          </cell>
          <cell r="Y1116">
            <v>0.102926191</v>
          </cell>
          <cell r="Z1116">
            <v>0.26397496599999998</v>
          </cell>
          <cell r="AB1116" t="str">
            <v>2012ID</v>
          </cell>
          <cell r="AC1116">
            <v>0</v>
          </cell>
          <cell r="AD1116">
            <v>0</v>
          </cell>
          <cell r="AE1116">
            <v>0.6</v>
          </cell>
          <cell r="AF1116">
            <v>0.4</v>
          </cell>
        </row>
        <row r="1117">
          <cell r="B1117" t="str">
            <v>2012IL</v>
          </cell>
          <cell r="C1117">
            <v>0.13175283144497188</v>
          </cell>
          <cell r="D1117">
            <v>0.26046159534668961</v>
          </cell>
          <cell r="E1117">
            <v>8.1383349234931596E-2</v>
          </cell>
          <cell r="F1117">
            <v>0.43207247933210829</v>
          </cell>
          <cell r="G1117">
            <v>4.8182181885357514E-2</v>
          </cell>
          <cell r="H1117">
            <v>4.6147562755941125E-2</v>
          </cell>
          <cell r="J1117" t="str">
            <v>2012IL</v>
          </cell>
          <cell r="K1117">
            <v>0.87043446899999999</v>
          </cell>
          <cell r="L1117">
            <v>4.8182181999999997E-2</v>
          </cell>
          <cell r="M1117">
            <v>8.1383348999999994E-2</v>
          </cell>
          <cell r="U1117" t="str">
            <v>2012IL</v>
          </cell>
          <cell r="V1117">
            <v>2.0186552999999999E-2</v>
          </cell>
          <cell r="W1117">
            <v>4.5739502000000001E-2</v>
          </cell>
          <cell r="X1117">
            <v>0.28028242399999997</v>
          </cell>
          <cell r="Y1117">
            <v>0.149587944</v>
          </cell>
          <cell r="Z1117">
            <v>0.50420357699999996</v>
          </cell>
          <cell r="AB1117" t="str">
            <v>2012IL</v>
          </cell>
          <cell r="AC1117">
            <v>0</v>
          </cell>
          <cell r="AD1117">
            <v>0</v>
          </cell>
          <cell r="AE1117">
            <v>0.02</v>
          </cell>
          <cell r="AF1117">
            <v>0.98</v>
          </cell>
        </row>
        <row r="1118">
          <cell r="B1118" t="str">
            <v>2012IN</v>
          </cell>
          <cell r="C1118">
            <v>0.16189917384296076</v>
          </cell>
          <cell r="D1118">
            <v>0.24163212738244233</v>
          </cell>
          <cell r="E1118">
            <v>0.13392208737361183</v>
          </cell>
          <cell r="F1118">
            <v>0.3491044693998876</v>
          </cell>
          <cell r="G1118">
            <v>7.9287205957511472E-2</v>
          </cell>
          <cell r="H1118">
            <v>3.4154936043586021E-2</v>
          </cell>
          <cell r="J1118" t="str">
            <v>2012IN</v>
          </cell>
          <cell r="K1118">
            <v>0.78679070699999998</v>
          </cell>
          <cell r="L1118">
            <v>7.9287205999999999E-2</v>
          </cell>
          <cell r="M1118">
            <v>0.133922087</v>
          </cell>
          <cell r="U1118" t="str">
            <v>2012IN</v>
          </cell>
          <cell r="V1118">
            <v>2.5489210000000002E-2</v>
          </cell>
          <cell r="W1118">
            <v>4.5536079E-2</v>
          </cell>
          <cell r="X1118">
            <v>0.27893099599999999</v>
          </cell>
          <cell r="Y1118">
            <v>0.14781887399999999</v>
          </cell>
          <cell r="Z1118">
            <v>0.50222484099999998</v>
          </cell>
          <cell r="AB1118" t="str">
            <v>2012IN</v>
          </cell>
          <cell r="AC1118">
            <v>0</v>
          </cell>
          <cell r="AD1118">
            <v>0</v>
          </cell>
          <cell r="AE1118">
            <v>0</v>
          </cell>
          <cell r="AF1118">
            <v>1</v>
          </cell>
        </row>
        <row r="1119">
          <cell r="B1119" t="str">
            <v>2012IA</v>
          </cell>
          <cell r="C1119">
            <v>0.13792614664225575</v>
          </cell>
          <cell r="D1119">
            <v>0.25047757969635848</v>
          </cell>
          <cell r="E1119">
            <v>0.10477197231415941</v>
          </cell>
          <cell r="F1119">
            <v>0.40507493125352922</v>
          </cell>
          <cell r="G1119">
            <v>6.2029177638731184E-2</v>
          </cell>
          <cell r="H1119">
            <v>3.9720192454965969E-2</v>
          </cell>
          <cell r="J1119" t="str">
            <v>2012IA</v>
          </cell>
          <cell r="K1119">
            <v>0.83319885000000005</v>
          </cell>
          <cell r="L1119">
            <v>6.2029177999999997E-2</v>
          </cell>
          <cell r="M1119">
            <v>0.104771972</v>
          </cell>
          <cell r="U1119" t="str">
            <v>2012IA</v>
          </cell>
          <cell r="V1119">
            <v>9.6502570000000006E-3</v>
          </cell>
          <cell r="W1119">
            <v>3.8739974000000003E-2</v>
          </cell>
          <cell r="X1119">
            <v>0.12067557499999999</v>
          </cell>
          <cell r="Y1119">
            <v>0.47629315999999999</v>
          </cell>
          <cell r="Z1119">
            <v>0.35464103499999999</v>
          </cell>
          <cell r="AB1119" t="str">
            <v>2012IA</v>
          </cell>
          <cell r="AC1119">
            <v>0</v>
          </cell>
          <cell r="AD1119">
            <v>0</v>
          </cell>
          <cell r="AE1119">
            <v>0</v>
          </cell>
          <cell r="AF1119">
            <v>1</v>
          </cell>
        </row>
        <row r="1120">
          <cell r="B1120" t="str">
            <v>2012KS</v>
          </cell>
          <cell r="C1120">
            <v>0.28758404285910905</v>
          </cell>
          <cell r="D1120">
            <v>0.32607606753917184</v>
          </cell>
          <cell r="E1120">
            <v>5.1050547933917619E-2</v>
          </cell>
          <cell r="F1120">
            <v>0.27762124338847843</v>
          </cell>
          <cell r="G1120">
            <v>3.0223956239483565E-2</v>
          </cell>
          <cell r="H1120">
            <v>2.7444142039839463E-2</v>
          </cell>
          <cell r="J1120" t="str">
            <v>2012KS</v>
          </cell>
          <cell r="K1120">
            <v>0.91872549599999997</v>
          </cell>
          <cell r="L1120">
            <v>3.0223956E-2</v>
          </cell>
          <cell r="M1120">
            <v>5.1050548000000001E-2</v>
          </cell>
          <cell r="U1120" t="str">
            <v>2012KS</v>
          </cell>
          <cell r="V1120">
            <v>2.3647662E-2</v>
          </cell>
          <cell r="W1120">
            <v>4.6272377000000003E-2</v>
          </cell>
          <cell r="X1120">
            <v>0.28189652199999998</v>
          </cell>
          <cell r="Y1120">
            <v>0.13395533500000001</v>
          </cell>
          <cell r="Z1120">
            <v>0.51422810299999999</v>
          </cell>
          <cell r="AB1120" t="str">
            <v>2012KS</v>
          </cell>
          <cell r="AC1120">
            <v>0</v>
          </cell>
          <cell r="AD1120">
            <v>0</v>
          </cell>
          <cell r="AE1120">
            <v>0.02</v>
          </cell>
          <cell r="AF1120">
            <v>0.98</v>
          </cell>
        </row>
        <row r="1121">
          <cell r="B1121" t="str">
            <v>2012KY</v>
          </cell>
          <cell r="C1121">
            <v>2.3305602928070858E-2</v>
          </cell>
          <cell r="D1121">
            <v>6.2885861766289422E-2</v>
          </cell>
          <cell r="E1121">
            <v>0.14165738300711325</v>
          </cell>
          <cell r="F1121">
            <v>0.14315421990856123</v>
          </cell>
          <cell r="G1121">
            <v>0.61397716539009373</v>
          </cell>
          <cell r="H1121">
            <v>1.5019766999871505E-2</v>
          </cell>
          <cell r="J1121" t="str">
            <v>2012KY</v>
          </cell>
          <cell r="K1121">
            <v>0.24436545200000004</v>
          </cell>
          <cell r="L1121">
            <v>0.61397716499999999</v>
          </cell>
          <cell r="M1121">
            <v>0.141657383</v>
          </cell>
          <cell r="U1121" t="str">
            <v>2012KY</v>
          </cell>
          <cell r="V1121">
            <v>4.9184704000000003E-2</v>
          </cell>
          <cell r="W1121">
            <v>3.7321891000000003E-2</v>
          </cell>
          <cell r="X1121">
            <v>0.11991215400000001</v>
          </cell>
          <cell r="Y1121">
            <v>0.45018075899999999</v>
          </cell>
          <cell r="Z1121">
            <v>0.34340049099999997</v>
          </cell>
          <cell r="AB1121" t="str">
            <v>2012KY</v>
          </cell>
          <cell r="AC1121">
            <v>0</v>
          </cell>
          <cell r="AD1121">
            <v>0</v>
          </cell>
          <cell r="AE1121">
            <v>0.05</v>
          </cell>
          <cell r="AF1121">
            <v>0.95</v>
          </cell>
        </row>
        <row r="1122">
          <cell r="B1122" t="str">
            <v>2012LA</v>
          </cell>
          <cell r="C1122">
            <v>8.7696493950327165E-2</v>
          </cell>
          <cell r="D1122">
            <v>6.4637521135916851E-2</v>
          </cell>
          <cell r="E1122">
            <v>0.14461730665558523</v>
          </cell>
          <cell r="F1122">
            <v>0.10160244529023774</v>
          </cell>
          <cell r="G1122">
            <v>0.59641803499629376</v>
          </cell>
          <cell r="H1122">
            <v>5.0281979716392446E-3</v>
          </cell>
          <cell r="J1122" t="str">
            <v>2012LA</v>
          </cell>
          <cell r="K1122">
            <v>0.25896465800000001</v>
          </cell>
          <cell r="L1122">
            <v>0.59641803500000001</v>
          </cell>
          <cell r="M1122">
            <v>0.144617307</v>
          </cell>
          <cell r="U1122" t="str">
            <v>2012LA</v>
          </cell>
          <cell r="V1122">
            <v>0.53551704700000002</v>
          </cell>
          <cell r="W1122">
            <v>2.0437250000000001E-2</v>
          </cell>
          <cell r="X1122">
            <v>0.12819729499999999</v>
          </cell>
          <cell r="Y1122">
            <v>9.8005903000000005E-2</v>
          </cell>
          <cell r="Z1122">
            <v>0.21784250499999999</v>
          </cell>
          <cell r="AB1122" t="str">
            <v>2012LA</v>
          </cell>
          <cell r="AC1122">
            <v>0</v>
          </cell>
          <cell r="AD1122">
            <v>0</v>
          </cell>
          <cell r="AE1122">
            <v>0.6</v>
          </cell>
          <cell r="AF1122">
            <v>0.4</v>
          </cell>
        </row>
        <row r="1123">
          <cell r="B1123" t="str">
            <v>2012ME</v>
          </cell>
          <cell r="C1123">
            <v>9.3713015315557757E-2</v>
          </cell>
          <cell r="D1123">
            <v>0.17210096338216258</v>
          </cell>
          <cell r="E1123">
            <v>0.44837154081607639</v>
          </cell>
          <cell r="F1123">
            <v>0.19633313267932656</v>
          </cell>
          <cell r="G1123">
            <v>7.0076626899074845E-2</v>
          </cell>
          <cell r="H1123">
            <v>1.9404720907801824E-2</v>
          </cell>
          <cell r="J1123" t="str">
            <v>2012ME</v>
          </cell>
          <cell r="K1123">
            <v>0.48155183200000007</v>
          </cell>
          <cell r="L1123">
            <v>7.0076627000000002E-2</v>
          </cell>
          <cell r="M1123">
            <v>0.44837154099999998</v>
          </cell>
          <cell r="U1123" t="str">
            <v>2012ME</v>
          </cell>
          <cell r="V1123">
            <v>0.72920202000000001</v>
          </cell>
          <cell r="W1123">
            <v>1.1915111000000001E-2</v>
          </cell>
          <cell r="X1123">
            <v>7.4740241999999998E-2</v>
          </cell>
          <cell r="Y1123">
            <v>5.7138373999999999E-2</v>
          </cell>
          <cell r="Z1123">
            <v>0.12700425300000001</v>
          </cell>
          <cell r="AB1123" t="str">
            <v>2012ME</v>
          </cell>
          <cell r="AC1123">
            <v>0</v>
          </cell>
          <cell r="AD1123">
            <v>0</v>
          </cell>
          <cell r="AE1123">
            <v>0.05</v>
          </cell>
          <cell r="AF1123">
            <v>0.95</v>
          </cell>
        </row>
        <row r="1124">
          <cell r="B1124" t="str">
            <v>2012MD</v>
          </cell>
          <cell r="C1124">
            <v>7.6488535055593554E-2</v>
          </cell>
          <cell r="D1124">
            <v>0.15472472257238745</v>
          </cell>
          <cell r="E1124">
            <v>0.44380834258126728</v>
          </cell>
          <cell r="F1124">
            <v>0.22861605738914034</v>
          </cell>
          <cell r="G1124">
            <v>6.5960402236453913E-2</v>
          </cell>
          <cell r="H1124">
            <v>3.0401940165157418E-2</v>
          </cell>
          <cell r="J1124" t="str">
            <v>2012MD</v>
          </cell>
          <cell r="K1124">
            <v>0.49023125499999998</v>
          </cell>
          <cell r="L1124">
            <v>6.5960402000000001E-2</v>
          </cell>
          <cell r="M1124">
            <v>0.44380834299999999</v>
          </cell>
          <cell r="U1124" t="str">
            <v>2012MD</v>
          </cell>
          <cell r="V1124">
            <v>0.21140679400000001</v>
          </cell>
          <cell r="W1124">
            <v>3.7602905999999998E-2</v>
          </cell>
          <cell r="X1124">
            <v>0.214504853</v>
          </cell>
          <cell r="Y1124">
            <v>0.15671048400000001</v>
          </cell>
          <cell r="Z1124">
            <v>0.37977496300000002</v>
          </cell>
          <cell r="AB1124" t="str">
            <v>2012MD</v>
          </cell>
          <cell r="AC1124">
            <v>0</v>
          </cell>
          <cell r="AD1124">
            <v>0</v>
          </cell>
          <cell r="AE1124">
            <v>0.05</v>
          </cell>
          <cell r="AF1124">
            <v>0.95</v>
          </cell>
        </row>
        <row r="1125">
          <cell r="B1125" t="str">
            <v>2012MA</v>
          </cell>
          <cell r="C1125">
            <v>6.1305440163427552E-2</v>
          </cell>
          <cell r="D1125">
            <v>0.14874705508142777</v>
          </cell>
          <cell r="E1125">
            <v>0.45216403673004657</v>
          </cell>
          <cell r="F1125">
            <v>0.23617268276189021</v>
          </cell>
          <cell r="G1125">
            <v>7.3497640935872632E-2</v>
          </cell>
          <cell r="H1125">
            <v>2.8113144327335336E-2</v>
          </cell>
          <cell r="J1125" t="str">
            <v>2012MA</v>
          </cell>
          <cell r="K1125">
            <v>0.47433832199999992</v>
          </cell>
          <cell r="L1125">
            <v>7.3497641000000002E-2</v>
          </cell>
          <cell r="M1125">
            <v>0.45216403700000002</v>
          </cell>
          <cell r="U1125" t="str">
            <v>2012MA</v>
          </cell>
          <cell r="V1125">
            <v>0.31419575799999999</v>
          </cell>
          <cell r="W1125">
            <v>3.0175387000000001E-2</v>
          </cell>
          <cell r="X1125">
            <v>0.18928197099999999</v>
          </cell>
          <cell r="Y1125">
            <v>0.14470469499999999</v>
          </cell>
          <cell r="Z1125">
            <v>0.32164218900000002</v>
          </cell>
          <cell r="AB1125" t="str">
            <v>2012MA</v>
          </cell>
          <cell r="AC1125">
            <v>0</v>
          </cell>
          <cell r="AD1125">
            <v>0</v>
          </cell>
          <cell r="AE1125">
            <v>0.05</v>
          </cell>
          <cell r="AF1125">
            <v>0.95</v>
          </cell>
        </row>
        <row r="1126">
          <cell r="B1126" t="str">
            <v>2012MI</v>
          </cell>
          <cell r="C1126">
            <v>0.21592740095911189</v>
          </cell>
          <cell r="D1126">
            <v>0.33044604004991018</v>
          </cell>
          <cell r="E1126">
            <v>5.8998863632555826E-2</v>
          </cell>
          <cell r="F1126">
            <v>0.32074430847532459</v>
          </cell>
          <cell r="G1126">
            <v>3.4929675483950956E-2</v>
          </cell>
          <cell r="H1126">
            <v>3.8953711399146676E-2</v>
          </cell>
          <cell r="J1126" t="str">
            <v>2012MI</v>
          </cell>
          <cell r="K1126">
            <v>0.90607146100000002</v>
          </cell>
          <cell r="L1126">
            <v>3.4929675E-2</v>
          </cell>
          <cell r="M1126">
            <v>5.8998863999999998E-2</v>
          </cell>
          <cell r="U1126" t="str">
            <v>2012MI</v>
          </cell>
          <cell r="V1126">
            <v>4.5127237000000001E-2</v>
          </cell>
          <cell r="W1126">
            <v>5.0500046999999999E-2</v>
          </cell>
          <cell r="X1126">
            <v>0.254352099</v>
          </cell>
          <cell r="Y1126">
            <v>0.17319266699999999</v>
          </cell>
          <cell r="Z1126">
            <v>0.47682794899999997</v>
          </cell>
          <cell r="AB1126" t="str">
            <v>2012MI</v>
          </cell>
          <cell r="AC1126">
            <v>0</v>
          </cell>
          <cell r="AD1126">
            <v>0</v>
          </cell>
          <cell r="AE1126">
            <v>0.02</v>
          </cell>
          <cell r="AF1126">
            <v>0.98</v>
          </cell>
        </row>
        <row r="1127">
          <cell r="B1127" t="str">
            <v>2012MN</v>
          </cell>
          <cell r="C1127">
            <v>0.11559741536790068</v>
          </cell>
          <cell r="D1127">
            <v>0.23915415867765383</v>
          </cell>
          <cell r="E1127">
            <v>0.10052931481156221</v>
          </cell>
          <cell r="F1127">
            <v>0.43822851849088174</v>
          </cell>
          <cell r="G1127">
            <v>5.9517355535203494E-2</v>
          </cell>
          <cell r="H1127">
            <v>4.697323711679801E-2</v>
          </cell>
          <cell r="J1127" t="str">
            <v>2012MN</v>
          </cell>
          <cell r="K1127">
            <v>0.83995332899999997</v>
          </cell>
          <cell r="L1127">
            <v>5.9517356E-2</v>
          </cell>
          <cell r="M1127">
            <v>0.10052931499999999</v>
          </cell>
          <cell r="U1127" t="str">
            <v>2012MN</v>
          </cell>
          <cell r="V1127">
            <v>1.5145339000000001E-2</v>
          </cell>
          <cell r="W1127">
            <v>5.1986831999999997E-2</v>
          </cell>
          <cell r="X1127">
            <v>0.262445557</v>
          </cell>
          <cell r="Y1127">
            <v>0.17896024199999999</v>
          </cell>
          <cell r="Z1127">
            <v>0.49146202900000002</v>
          </cell>
          <cell r="AB1127" t="str">
            <v>2012MN</v>
          </cell>
          <cell r="AC1127">
            <v>0</v>
          </cell>
          <cell r="AD1127">
            <v>0</v>
          </cell>
          <cell r="AE1127">
            <v>0</v>
          </cell>
          <cell r="AF1127">
            <v>1</v>
          </cell>
        </row>
        <row r="1128">
          <cell r="B1128" t="str">
            <v>2012MS</v>
          </cell>
          <cell r="C1128">
            <v>0.10416334210611014</v>
          </cell>
          <cell r="D1128">
            <v>7.2829933678422776E-2</v>
          </cell>
          <cell r="E1128">
            <v>0.14929269604113307</v>
          </cell>
          <cell r="F1128">
            <v>0.10019278631941281</v>
          </cell>
          <cell r="G1128">
            <v>0.56868226150598644</v>
          </cell>
          <cell r="H1128">
            <v>4.838980348934833E-3</v>
          </cell>
          <cell r="J1128" t="str">
            <v>2012MS</v>
          </cell>
          <cell r="K1128">
            <v>0.28202504199999989</v>
          </cell>
          <cell r="L1128">
            <v>0.56868226200000005</v>
          </cell>
          <cell r="M1128">
            <v>0.149292696</v>
          </cell>
          <cell r="U1128" t="str">
            <v>2012MS</v>
          </cell>
          <cell r="V1128">
            <v>2.1100625000000001E-2</v>
          </cell>
          <cell r="W1128">
            <v>3.6418512E-2</v>
          </cell>
          <cell r="X1128">
            <v>6.0129593000000002E-2</v>
          </cell>
          <cell r="Y1128">
            <v>0.574366987</v>
          </cell>
          <cell r="Z1128">
            <v>0.30798428300000003</v>
          </cell>
          <cell r="AB1128" t="str">
            <v>2012MS</v>
          </cell>
          <cell r="AC1128">
            <v>0</v>
          </cell>
          <cell r="AD1128">
            <v>0</v>
          </cell>
          <cell r="AE1128">
            <v>0.6</v>
          </cell>
          <cell r="AF1128">
            <v>0.4</v>
          </cell>
        </row>
        <row r="1129">
          <cell r="B1129" t="str">
            <v>2012MO</v>
          </cell>
          <cell r="C1129">
            <v>6.4925479522277466E-2</v>
          </cell>
          <cell r="D1129">
            <v>0.18170303563698134</v>
          </cell>
          <cell r="E1129">
            <v>0.14337282997597614</v>
          </cell>
          <cell r="F1129">
            <v>0.47880340852502545</v>
          </cell>
          <cell r="G1129">
            <v>8.4882421727070459E-2</v>
          </cell>
          <cell r="H1129">
            <v>4.6312824612669105E-2</v>
          </cell>
          <cell r="J1129" t="str">
            <v>2012MO</v>
          </cell>
          <cell r="K1129">
            <v>0.77174474799999992</v>
          </cell>
          <cell r="L1129">
            <v>8.4882421999999999E-2</v>
          </cell>
          <cell r="M1129">
            <v>0.14337283000000001</v>
          </cell>
          <cell r="U1129" t="str">
            <v>2012MO</v>
          </cell>
          <cell r="V1129">
            <v>2.998994E-2</v>
          </cell>
          <cell r="W1129">
            <v>4.5757142000000001E-2</v>
          </cell>
          <cell r="X1129">
            <v>0.27926039899999999</v>
          </cell>
          <cell r="Y1129">
            <v>0.13775391300000001</v>
          </cell>
          <cell r="Z1129">
            <v>0.50723860600000004</v>
          </cell>
          <cell r="AB1129" t="str">
            <v>2012MO</v>
          </cell>
          <cell r="AC1129">
            <v>0</v>
          </cell>
          <cell r="AD1129">
            <v>0</v>
          </cell>
          <cell r="AE1129">
            <v>0</v>
          </cell>
          <cell r="AF1129">
            <v>1</v>
          </cell>
        </row>
        <row r="1130">
          <cell r="B1130" t="str">
            <v>2012MT</v>
          </cell>
          <cell r="C1130">
            <v>0.35597781750083307</v>
          </cell>
          <cell r="D1130">
            <v>0.25924389885240834</v>
          </cell>
          <cell r="E1130">
            <v>4.3797789125912777E-2</v>
          </cell>
          <cell r="F1130">
            <v>0.25058080537727367</v>
          </cell>
          <cell r="G1130">
            <v>2.5930034358127463E-2</v>
          </cell>
          <cell r="H1130">
            <v>6.4469654785444572E-2</v>
          </cell>
          <cell r="J1130" t="str">
            <v>2012MT</v>
          </cell>
          <cell r="K1130">
            <v>0.93027217699999998</v>
          </cell>
          <cell r="L1130">
            <v>2.5930034000000001E-2</v>
          </cell>
          <cell r="M1130">
            <v>4.3797788999999997E-2</v>
          </cell>
          <cell r="U1130" t="str">
            <v>2012MT</v>
          </cell>
          <cell r="V1130">
            <v>6.0520032000000001E-2</v>
          </cell>
          <cell r="W1130">
            <v>5.1214043000000001E-2</v>
          </cell>
          <cell r="X1130">
            <v>0.24859647000000001</v>
          </cell>
          <cell r="Y1130">
            <v>0.16530719099999999</v>
          </cell>
          <cell r="Z1130">
            <v>0.47436226399999998</v>
          </cell>
          <cell r="AB1130" t="str">
            <v>2012MT</v>
          </cell>
          <cell r="AC1130">
            <v>0</v>
          </cell>
          <cell r="AD1130">
            <v>0</v>
          </cell>
          <cell r="AE1130">
            <v>0.6</v>
          </cell>
          <cell r="AF1130">
            <v>0.4</v>
          </cell>
        </row>
        <row r="1131">
          <cell r="B1131" t="str">
            <v>2012NE</v>
          </cell>
          <cell r="C1131">
            <v>0.21260954807532403</v>
          </cell>
          <cell r="D1131">
            <v>0.30324255962083846</v>
          </cell>
          <cell r="E1131">
            <v>6.1277054134417128E-2</v>
          </cell>
          <cell r="F1131">
            <v>0.34696077142199511</v>
          </cell>
          <cell r="G1131">
            <v>3.6278454935301678E-2</v>
          </cell>
          <cell r="H1131">
            <v>3.9631611812123581E-2</v>
          </cell>
          <cell r="J1131" t="str">
            <v>2012NE</v>
          </cell>
          <cell r="K1131">
            <v>0.90244449100000002</v>
          </cell>
          <cell r="L1131">
            <v>3.6278455000000001E-2</v>
          </cell>
          <cell r="M1131">
            <v>6.1277053999999997E-2</v>
          </cell>
          <cell r="U1131" t="str">
            <v>2012NE</v>
          </cell>
          <cell r="V1131">
            <v>3.0063880000000001E-2</v>
          </cell>
          <cell r="W1131">
            <v>4.5295173000000001E-2</v>
          </cell>
          <cell r="X1131">
            <v>0.27751980599999998</v>
          </cell>
          <cell r="Y1131">
            <v>0.147715386</v>
          </cell>
          <cell r="Z1131">
            <v>0.49940575500000001</v>
          </cell>
          <cell r="AB1131" t="str">
            <v>2012NE</v>
          </cell>
          <cell r="AC1131">
            <v>0</v>
          </cell>
          <cell r="AD1131">
            <v>0</v>
          </cell>
          <cell r="AE1131">
            <v>0.02</v>
          </cell>
          <cell r="AF1131">
            <v>0.98</v>
          </cell>
        </row>
        <row r="1132">
          <cell r="B1132" t="str">
            <v>2012NV</v>
          </cell>
          <cell r="C1132">
            <v>0.64210148526116029</v>
          </cell>
          <cell r="D1132">
            <v>0.238399883587257</v>
          </cell>
          <cell r="E1132">
            <v>4.1594375177217181E-3</v>
          </cell>
          <cell r="F1132">
            <v>0.10819864870890922</v>
          </cell>
          <cell r="G1132">
            <v>2.4625525602432058E-3</v>
          </cell>
          <cell r="H1132">
            <v>4.677992364708553E-3</v>
          </cell>
          <cell r="J1132" t="str">
            <v>2012NV</v>
          </cell>
          <cell r="K1132">
            <v>0.99337800899999995</v>
          </cell>
          <cell r="L1132">
            <v>2.4625530000000001E-3</v>
          </cell>
          <cell r="M1132">
            <v>4.1594379999999997E-3</v>
          </cell>
          <cell r="U1132" t="str">
            <v>2012NV</v>
          </cell>
          <cell r="V1132">
            <v>0.35004114600000003</v>
          </cell>
          <cell r="W1132">
            <v>2.4048478000000002E-2</v>
          </cell>
          <cell r="X1132">
            <v>3.5747737000000002E-2</v>
          </cell>
          <cell r="Y1132">
            <v>0.38867539400000001</v>
          </cell>
          <cell r="Z1132">
            <v>0.20148724500000001</v>
          </cell>
          <cell r="AB1132" t="str">
            <v>2012NV</v>
          </cell>
          <cell r="AC1132">
            <v>0</v>
          </cell>
          <cell r="AD1132">
            <v>0</v>
          </cell>
          <cell r="AE1132">
            <v>0</v>
          </cell>
          <cell r="AF1132">
            <v>1</v>
          </cell>
        </row>
        <row r="1133">
          <cell r="B1133" t="str">
            <v>2012NH</v>
          </cell>
          <cell r="C1133">
            <v>9.4573445198850817E-2</v>
          </cell>
          <cell r="D1133">
            <v>0.16340842518862655</v>
          </cell>
          <cell r="E1133">
            <v>0.44298025846087286</v>
          </cell>
          <cell r="F1133">
            <v>0.20852129702854144</v>
          </cell>
          <cell r="G1133">
            <v>6.52134304627775E-2</v>
          </cell>
          <cell r="H1133">
            <v>2.5303143660330828E-2</v>
          </cell>
          <cell r="J1133" t="str">
            <v>2012NH</v>
          </cell>
          <cell r="K1133">
            <v>0.49180631200000002</v>
          </cell>
          <cell r="L1133">
            <v>6.5213430000000003E-2</v>
          </cell>
          <cell r="M1133">
            <v>0.44298025800000002</v>
          </cell>
          <cell r="U1133" t="str">
            <v>2012NH</v>
          </cell>
          <cell r="V1133">
            <v>0.56759962799999997</v>
          </cell>
          <cell r="W1133">
            <v>1.9025615999999999E-2</v>
          </cell>
          <cell r="X1133">
            <v>0.119342503</v>
          </cell>
          <cell r="Y1133">
            <v>9.1236478999999995E-2</v>
          </cell>
          <cell r="Z1133">
            <v>0.20279577500000001</v>
          </cell>
          <cell r="AB1133" t="str">
            <v>2012NH</v>
          </cell>
          <cell r="AC1133">
            <v>0</v>
          </cell>
          <cell r="AD1133">
            <v>0</v>
          </cell>
          <cell r="AE1133">
            <v>0.05</v>
          </cell>
          <cell r="AF1133">
            <v>0.95</v>
          </cell>
        </row>
        <row r="1134">
          <cell r="B1134" t="str">
            <v>2012NJ</v>
          </cell>
          <cell r="C1134">
            <v>5.8003576611346738E-2</v>
          </cell>
          <cell r="D1134">
            <v>0.13897871355240557</v>
          </cell>
          <cell r="E1134">
            <v>0.45397029129837874</v>
          </cell>
          <cell r="F1134">
            <v>0.24471653627570109</v>
          </cell>
          <cell r="G1134">
            <v>7.5126969581826603E-2</v>
          </cell>
          <cell r="H1134">
            <v>2.9203912680341212E-2</v>
          </cell>
          <cell r="J1134" t="str">
            <v>2012NJ</v>
          </cell>
          <cell r="K1134">
            <v>0.47090273900000001</v>
          </cell>
          <cell r="L1134">
            <v>7.5126970000000001E-2</v>
          </cell>
          <cell r="M1134">
            <v>0.45397029100000003</v>
          </cell>
          <cell r="U1134" t="str">
            <v>2012NJ</v>
          </cell>
          <cell r="V1134">
            <v>0.30808167400000003</v>
          </cell>
          <cell r="W1134">
            <v>3.3011736E-2</v>
          </cell>
          <cell r="X1134">
            <v>0.18818818500000001</v>
          </cell>
          <cell r="Y1134">
            <v>0.137437002</v>
          </cell>
          <cell r="Z1134">
            <v>0.333281404</v>
          </cell>
          <cell r="AB1134" t="str">
            <v>2012NJ</v>
          </cell>
          <cell r="AC1134">
            <v>0</v>
          </cell>
          <cell r="AD1134">
            <v>0</v>
          </cell>
          <cell r="AE1134">
            <v>0.05</v>
          </cell>
          <cell r="AF1134">
            <v>0.95</v>
          </cell>
        </row>
        <row r="1135">
          <cell r="B1135" t="str">
            <v>2012NM</v>
          </cell>
          <cell r="C1135">
            <v>0.61184589317007076</v>
          </cell>
          <cell r="D1135">
            <v>0.19452029294367307</v>
          </cell>
          <cell r="E1135">
            <v>9.8952813124742175E-2</v>
          </cell>
          <cell r="F1135">
            <v>9.4174237847419268E-2</v>
          </cell>
          <cell r="G1135">
            <v>0</v>
          </cell>
          <cell r="H1135">
            <v>5.0676291409465751E-4</v>
          </cell>
          <cell r="J1135" t="str">
            <v>2012NM</v>
          </cell>
          <cell r="K1135">
            <v>0.90104718699999997</v>
          </cell>
          <cell r="L1135">
            <v>0</v>
          </cell>
          <cell r="M1135">
            <v>9.8952813000000001E-2</v>
          </cell>
          <cell r="U1135" t="str">
            <v>2012NM</v>
          </cell>
          <cell r="V1135">
            <v>0.91655606099999998</v>
          </cell>
          <cell r="W1135">
            <v>3.6715329999999998E-3</v>
          </cell>
          <cell r="X1135">
            <v>2.3030526999999999E-2</v>
          </cell>
          <cell r="Y1135">
            <v>1.7606671000000001E-2</v>
          </cell>
          <cell r="Z1135">
            <v>3.9135206999999998E-2</v>
          </cell>
          <cell r="AB1135" t="str">
            <v>2012NM</v>
          </cell>
          <cell r="AC1135">
            <v>0</v>
          </cell>
          <cell r="AD1135">
            <v>0</v>
          </cell>
          <cell r="AE1135">
            <v>0.6</v>
          </cell>
          <cell r="AF1135">
            <v>0.4</v>
          </cell>
        </row>
        <row r="1136">
          <cell r="B1136" t="str">
            <v>2012NY</v>
          </cell>
          <cell r="C1136">
            <v>9.8408703041683282E-2</v>
          </cell>
          <cell r="D1136">
            <v>0.15954377256245178</v>
          </cell>
          <cell r="E1136">
            <v>0.44849165243165579</v>
          </cell>
          <cell r="F1136">
            <v>0.20287733376538455</v>
          </cell>
          <cell r="G1136">
            <v>7.0184973363303343E-2</v>
          </cell>
          <cell r="H1136">
            <v>2.0493564835521279E-2</v>
          </cell>
          <cell r="J1136" t="str">
            <v>2012NY</v>
          </cell>
          <cell r="K1136">
            <v>0.481323375</v>
          </cell>
          <cell r="L1136">
            <v>7.0184972999999998E-2</v>
          </cell>
          <cell r="M1136">
            <v>0.44849165200000002</v>
          </cell>
          <cell r="U1136" t="str">
            <v>2012NY</v>
          </cell>
          <cell r="V1136">
            <v>0.20441514899999999</v>
          </cell>
          <cell r="W1136">
            <v>4.1815811000000001E-2</v>
          </cell>
          <cell r="X1136">
            <v>0.21220383400000001</v>
          </cell>
          <cell r="Y1136">
            <v>0.145168144</v>
          </cell>
          <cell r="Z1136">
            <v>0.396397061</v>
          </cell>
          <cell r="AB1136" t="str">
            <v>2012NY</v>
          </cell>
          <cell r="AC1136">
            <v>0</v>
          </cell>
          <cell r="AD1136">
            <v>0</v>
          </cell>
          <cell r="AE1136">
            <v>0.05</v>
          </cell>
          <cell r="AF1136">
            <v>0.95</v>
          </cell>
        </row>
        <row r="1137">
          <cell r="B1137" t="str">
            <v>2012NC</v>
          </cell>
          <cell r="C1137">
            <v>6.168821577504751E-2</v>
          </cell>
          <cell r="D1137">
            <v>0.11278426418396881</v>
          </cell>
          <cell r="E1137">
            <v>0.15395779991170949</v>
          </cell>
          <cell r="F1137">
            <v>0.11589101949636353</v>
          </cell>
          <cell r="G1137">
            <v>0.54100750469043157</v>
          </cell>
          <cell r="H1137">
            <v>1.4671195942479084E-2</v>
          </cell>
          <cell r="J1137" t="str">
            <v>2012NC</v>
          </cell>
          <cell r="K1137">
            <v>0.30503469499999991</v>
          </cell>
          <cell r="L1137">
            <v>0.54100750500000006</v>
          </cell>
          <cell r="M1137">
            <v>0.15395780000000001</v>
          </cell>
          <cell r="U1137" t="str">
            <v>2012NC</v>
          </cell>
          <cell r="V1137">
            <v>2.4742549999999999E-3</v>
          </cell>
          <cell r="W1137">
            <v>3.7123251000000003E-2</v>
          </cell>
          <cell r="X1137">
            <v>6.1645423999999997E-2</v>
          </cell>
          <cell r="Y1137">
            <v>0.58464508599999998</v>
          </cell>
          <cell r="Z1137">
            <v>0.31411198400000001</v>
          </cell>
          <cell r="AB1137" t="str">
            <v>2012NC</v>
          </cell>
          <cell r="AC1137">
            <v>0</v>
          </cell>
          <cell r="AD1137">
            <v>0</v>
          </cell>
          <cell r="AE1137">
            <v>0.41899999999999998</v>
          </cell>
          <cell r="AF1137">
            <v>0.58099999999999996</v>
          </cell>
        </row>
        <row r="1138">
          <cell r="B1138" t="str">
            <v>2012ND</v>
          </cell>
          <cell r="C1138">
            <v>0.1196932700797023</v>
          </cell>
          <cell r="D1138">
            <v>0.21866711268457967</v>
          </cell>
          <cell r="E1138">
            <v>0.10978970169096619</v>
          </cell>
          <cell r="F1138">
            <v>0.448028418369537</v>
          </cell>
          <cell r="G1138">
            <v>6.499987314042277E-2</v>
          </cell>
          <cell r="H1138">
            <v>3.8821624034792085E-2</v>
          </cell>
          <cell r="J1138" t="str">
            <v>2012ND</v>
          </cell>
          <cell r="K1138">
            <v>0.82521042499999997</v>
          </cell>
          <cell r="L1138">
            <v>6.4999873E-2</v>
          </cell>
          <cell r="M1138">
            <v>0.109789702</v>
          </cell>
          <cell r="U1138" t="str">
            <v>2012ND</v>
          </cell>
          <cell r="V1138">
            <v>8.8434773999999994E-2</v>
          </cell>
          <cell r="W1138">
            <v>4.7868137999999998E-2</v>
          </cell>
          <cell r="X1138">
            <v>0.243186129</v>
          </cell>
          <cell r="Y1138">
            <v>0.16647603599999999</v>
          </cell>
          <cell r="Z1138">
            <v>0.45403492299999998</v>
          </cell>
          <cell r="AB1138" t="str">
            <v>2012ND</v>
          </cell>
          <cell r="AC1138">
            <v>0</v>
          </cell>
          <cell r="AD1138">
            <v>0</v>
          </cell>
          <cell r="AE1138">
            <v>0.02</v>
          </cell>
          <cell r="AF1138">
            <v>0.98</v>
          </cell>
        </row>
        <row r="1139">
          <cell r="B1139" t="str">
            <v>2012OH</v>
          </cell>
          <cell r="C1139">
            <v>0.10753833947858983</v>
          </cell>
          <cell r="D1139">
            <v>0.22522557822049544</v>
          </cell>
          <cell r="E1139">
            <v>0.13589110116557596</v>
          </cell>
          <cell r="F1139">
            <v>0.4097570212201273</v>
          </cell>
          <cell r="G1139">
            <v>8.0452940491062386E-2</v>
          </cell>
          <cell r="H1139">
            <v>4.1135019424149183E-2</v>
          </cell>
          <cell r="J1139" t="str">
            <v>2012OH</v>
          </cell>
          <cell r="K1139">
            <v>0.78365595900000007</v>
          </cell>
          <cell r="L1139">
            <v>8.0452940000000001E-2</v>
          </cell>
          <cell r="M1139">
            <v>0.13589110099999999</v>
          </cell>
          <cell r="U1139" t="str">
            <v>2012OH</v>
          </cell>
          <cell r="V1139">
            <v>6.6338901000000006E-2</v>
          </cell>
          <cell r="W1139">
            <v>4.3119113000000001E-2</v>
          </cell>
          <cell r="X1139">
            <v>0.26533305600000001</v>
          </cell>
          <cell r="Y1139">
            <v>0.15267545299999999</v>
          </cell>
          <cell r="Z1139">
            <v>0.47253347699999998</v>
          </cell>
          <cell r="AB1139" t="str">
            <v>2012OH</v>
          </cell>
          <cell r="AC1139">
            <v>0</v>
          </cell>
          <cell r="AD1139">
            <v>0</v>
          </cell>
          <cell r="AE1139">
            <v>0</v>
          </cell>
          <cell r="AF1139">
            <v>1</v>
          </cell>
        </row>
        <row r="1140">
          <cell r="B1140" t="str">
            <v>2012OK</v>
          </cell>
          <cell r="C1140">
            <v>0.40296958934788546</v>
          </cell>
          <cell r="D1140">
            <v>0.22528492954061258</v>
          </cell>
          <cell r="E1140">
            <v>6.4896255940651446E-2</v>
          </cell>
          <cell r="F1140">
            <v>0.24738177570149189</v>
          </cell>
          <cell r="G1140">
            <v>0</v>
          </cell>
          <cell r="H1140">
            <v>5.9467449469358676E-2</v>
          </cell>
          <cell r="J1140" t="str">
            <v>2012OK</v>
          </cell>
          <cell r="K1140">
            <v>0.93510374399999996</v>
          </cell>
          <cell r="L1140">
            <v>0</v>
          </cell>
          <cell r="M1140">
            <v>6.4896255999999999E-2</v>
          </cell>
          <cell r="U1140" t="str">
            <v>2012OK</v>
          </cell>
          <cell r="V1140">
            <v>1.2831308E-2</v>
          </cell>
          <cell r="W1140">
            <v>3.6793041999999998E-2</v>
          </cell>
          <cell r="X1140">
            <v>6.2749109999999997E-2</v>
          </cell>
          <cell r="Y1140">
            <v>0.57552135800000004</v>
          </cell>
          <cell r="Z1140">
            <v>0.31210518199999998</v>
          </cell>
          <cell r="AB1140" t="str">
            <v>2012OK</v>
          </cell>
          <cell r="AC1140">
            <v>0</v>
          </cell>
          <cell r="AD1140">
            <v>0</v>
          </cell>
          <cell r="AE1140">
            <v>0.6</v>
          </cell>
          <cell r="AF1140">
            <v>0.4</v>
          </cell>
        </row>
        <row r="1141">
          <cell r="B1141" t="str">
            <v>2012OR</v>
          </cell>
          <cell r="C1141">
            <v>0.43856747008812064</v>
          </cell>
          <cell r="D1141">
            <v>0.20958259090942544</v>
          </cell>
          <cell r="E1141">
            <v>0</v>
          </cell>
          <cell r="F1141">
            <v>0.12862948158709187</v>
          </cell>
          <cell r="G1141">
            <v>0.2018533708975031</v>
          </cell>
          <cell r="H1141">
            <v>2.1367086517858933E-2</v>
          </cell>
          <cell r="J1141" t="str">
            <v>2012OR</v>
          </cell>
          <cell r="K1141">
            <v>0.798146629</v>
          </cell>
          <cell r="L1141">
            <v>0.201853371</v>
          </cell>
          <cell r="M1141">
            <v>0</v>
          </cell>
          <cell r="U1141" t="str">
            <v>2012OR</v>
          </cell>
          <cell r="V1141">
            <v>0.57640796000000005</v>
          </cell>
          <cell r="W1141">
            <v>1.863805E-2</v>
          </cell>
          <cell r="X1141">
            <v>0.116911403</v>
          </cell>
          <cell r="Y1141">
            <v>8.937792E-2</v>
          </cell>
          <cell r="Z1141">
            <v>0.19866466699999999</v>
          </cell>
          <cell r="AB1141" t="str">
            <v>2012OR</v>
          </cell>
          <cell r="AC1141">
            <v>0</v>
          </cell>
          <cell r="AD1141">
            <v>0</v>
          </cell>
          <cell r="AE1141">
            <v>0.25</v>
          </cell>
          <cell r="AF1141">
            <v>0.75</v>
          </cell>
        </row>
        <row r="1142">
          <cell r="B1142" t="str">
            <v>2012PA</v>
          </cell>
          <cell r="C1142">
            <v>4.9624045569858895E-2</v>
          </cell>
          <cell r="D1142">
            <v>0.11712497857538914</v>
          </cell>
          <cell r="E1142">
            <v>0.46874549019831585</v>
          </cell>
          <cell r="F1142">
            <v>0.25230966018477574</v>
          </cell>
          <cell r="G1142">
            <v>8.8454910858433447E-2</v>
          </cell>
          <cell r="H1142">
            <v>2.3740914613226898E-2</v>
          </cell>
          <cell r="J1142" t="str">
            <v>2012PA</v>
          </cell>
          <cell r="K1142">
            <v>0.44279959899999999</v>
          </cell>
          <cell r="L1142">
            <v>8.8454910999999997E-2</v>
          </cell>
          <cell r="M1142">
            <v>0.46874548999999999</v>
          </cell>
          <cell r="U1142" t="str">
            <v>2012PA</v>
          </cell>
          <cell r="V1142">
            <v>5.0102499000000002E-2</v>
          </cell>
          <cell r="W1142">
            <v>4.9409870000000002E-2</v>
          </cell>
          <cell r="X1142">
            <v>0.25392279899999998</v>
          </cell>
          <cell r="Y1142">
            <v>0.17504710600000001</v>
          </cell>
          <cell r="Z1142">
            <v>0.47151772600000003</v>
          </cell>
          <cell r="AB1142" t="str">
            <v>2012PA</v>
          </cell>
          <cell r="AC1142">
            <v>0</v>
          </cell>
          <cell r="AD1142">
            <v>0</v>
          </cell>
          <cell r="AE1142">
            <v>0</v>
          </cell>
          <cell r="AF1142">
            <v>1</v>
          </cell>
        </row>
        <row r="1143">
          <cell r="B1143" t="str">
            <v>2012RI</v>
          </cell>
          <cell r="C1143">
            <v>4.2447025005926793E-2</v>
          </cell>
          <cell r="D1143">
            <v>0.1190174947032642</v>
          </cell>
          <cell r="E1143">
            <v>0.46784468707451643</v>
          </cell>
          <cell r="F1143">
            <v>0.25730854976835782</v>
          </cell>
          <cell r="G1143">
            <v>8.7642343040085183E-2</v>
          </cell>
          <cell r="H1143">
            <v>2.5739900407849584E-2</v>
          </cell>
          <cell r="J1143" t="str">
            <v>2012RI</v>
          </cell>
          <cell r="K1143">
            <v>0.44451297000000001</v>
          </cell>
          <cell r="L1143">
            <v>8.7642342999999998E-2</v>
          </cell>
          <cell r="M1143">
            <v>0.46784468699999998</v>
          </cell>
          <cell r="U1143" t="str">
            <v>2012RI</v>
          </cell>
          <cell r="V1143">
            <v>0.56026879500000004</v>
          </cell>
          <cell r="W1143">
            <v>1.9348173E-2</v>
          </cell>
          <cell r="X1143">
            <v>0.121365813</v>
          </cell>
          <cell r="Y1143">
            <v>9.2783283999999994E-2</v>
          </cell>
          <cell r="Z1143">
            <v>0.20623393500000001</v>
          </cell>
          <cell r="AB1143" t="str">
            <v>2012RI</v>
          </cell>
          <cell r="AC1143">
            <v>0</v>
          </cell>
          <cell r="AD1143">
            <v>0</v>
          </cell>
          <cell r="AE1143">
            <v>0.05</v>
          </cell>
          <cell r="AF1143">
            <v>0.95</v>
          </cell>
        </row>
        <row r="1144">
          <cell r="B1144" t="str">
            <v>2012SC</v>
          </cell>
          <cell r="C1144">
            <v>0.13346180610825578</v>
          </cell>
          <cell r="D1144">
            <v>9.0019723091430845E-2</v>
          </cell>
          <cell r="E1144">
            <v>0.15451296947775242</v>
          </cell>
          <cell r="F1144">
            <v>8.0687406490411034E-2</v>
          </cell>
          <cell r="G1144">
            <v>0.53771407690020812</v>
          </cell>
          <cell r="H1144">
            <v>3.6040179319418398E-3</v>
          </cell>
          <cell r="J1144" t="str">
            <v>2012SC</v>
          </cell>
          <cell r="K1144">
            <v>0.30777295400000004</v>
          </cell>
          <cell r="L1144">
            <v>0.53771407699999996</v>
          </cell>
          <cell r="M1144">
            <v>0.154512969</v>
          </cell>
          <cell r="U1144" t="str">
            <v>2012SC</v>
          </cell>
          <cell r="V1144">
            <v>6.1629585000000001E-2</v>
          </cell>
          <cell r="W1144">
            <v>3.5823032999999997E-2</v>
          </cell>
          <cell r="X1144">
            <v>8.6443989999999998E-2</v>
          </cell>
          <cell r="Y1144">
            <v>0.50014727299999995</v>
          </cell>
          <cell r="Z1144">
            <v>0.31595611899999998</v>
          </cell>
          <cell r="AB1144" t="str">
            <v>2012SC</v>
          </cell>
          <cell r="AC1144">
            <v>0</v>
          </cell>
          <cell r="AD1144">
            <v>0</v>
          </cell>
          <cell r="AE1144">
            <v>0.6</v>
          </cell>
          <cell r="AF1144">
            <v>0.4</v>
          </cell>
        </row>
        <row r="1145">
          <cell r="B1145" t="str">
            <v>2012SD</v>
          </cell>
          <cell r="C1145">
            <v>0.17608951911561277</v>
          </cell>
          <cell r="D1145">
            <v>0.277831368160596</v>
          </cell>
          <cell r="E1145">
            <v>7.9800561964795444E-2</v>
          </cell>
          <cell r="F1145">
            <v>0.37802114842972712</v>
          </cell>
          <cell r="G1145">
            <v>4.724510882492864E-2</v>
          </cell>
          <cell r="H1145">
            <v>4.1012293504340026E-2</v>
          </cell>
          <cell r="J1145" t="str">
            <v>2012SD</v>
          </cell>
          <cell r="K1145">
            <v>0.87295432900000003</v>
          </cell>
          <cell r="L1145">
            <v>4.7245109E-2</v>
          </cell>
          <cell r="M1145">
            <v>7.9800562000000005E-2</v>
          </cell>
          <cell r="U1145" t="str">
            <v>2012SD</v>
          </cell>
          <cell r="V1145">
            <v>3.3046748000000001E-2</v>
          </cell>
          <cell r="W1145">
            <v>5.1157264000000001E-2</v>
          </cell>
          <cell r="X1145">
            <v>0.25755016600000002</v>
          </cell>
          <cell r="Y1145">
            <v>0.17532273200000001</v>
          </cell>
          <cell r="Z1145">
            <v>0.48292308900000003</v>
          </cell>
          <cell r="AB1145" t="str">
            <v>2012SD</v>
          </cell>
          <cell r="AC1145">
            <v>0</v>
          </cell>
          <cell r="AD1145">
            <v>0</v>
          </cell>
          <cell r="AE1145">
            <v>0.02</v>
          </cell>
          <cell r="AF1145">
            <v>0.98</v>
          </cell>
        </row>
        <row r="1146">
          <cell r="B1146" t="str">
            <v>2012TN</v>
          </cell>
          <cell r="C1146">
            <v>4.0519949592449485E-2</v>
          </cell>
          <cell r="D1146">
            <v>8.9664149461423162E-2</v>
          </cell>
          <cell r="E1146">
            <v>0.14551684926860037</v>
          </cell>
          <cell r="F1146">
            <v>0.1170185785979804</v>
          </cell>
          <cell r="G1146">
            <v>0.59108168584929244</v>
          </cell>
          <cell r="H1146">
            <v>1.6198787230254148E-2</v>
          </cell>
          <cell r="J1146" t="str">
            <v>2012TN</v>
          </cell>
          <cell r="K1146">
            <v>0.26340146500000006</v>
          </cell>
          <cell r="L1146">
            <v>0.591081686</v>
          </cell>
          <cell r="M1146">
            <v>0.145516849</v>
          </cell>
          <cell r="U1146" t="str">
            <v>2012TN</v>
          </cell>
          <cell r="V1146">
            <v>0.102875089</v>
          </cell>
          <cell r="W1146">
            <v>3.5402429999999999E-2</v>
          </cell>
          <cell r="X1146">
            <v>0.119077104</v>
          </cell>
          <cell r="Y1146">
            <v>0.41436515099999999</v>
          </cell>
          <cell r="Z1146">
            <v>0.32828022600000001</v>
          </cell>
          <cell r="AB1146" t="str">
            <v>2012TN</v>
          </cell>
          <cell r="AC1146">
            <v>0</v>
          </cell>
          <cell r="AD1146">
            <v>0</v>
          </cell>
          <cell r="AE1146">
            <v>0.05</v>
          </cell>
          <cell r="AF1146">
            <v>0.95</v>
          </cell>
        </row>
        <row r="1147">
          <cell r="B1147" t="str">
            <v>2012TX</v>
          </cell>
          <cell r="C1147">
            <v>0.53305655520056971</v>
          </cell>
          <cell r="D1147">
            <v>0.24233312613196878</v>
          </cell>
          <cell r="E1147">
            <v>7.9791980793249173E-2</v>
          </cell>
          <cell r="F1147">
            <v>0.1278405091499755</v>
          </cell>
          <cell r="G1147">
            <v>0</v>
          </cell>
          <cell r="H1147">
            <v>1.6977828724236681E-2</v>
          </cell>
          <cell r="J1147" t="str">
            <v>2012TX</v>
          </cell>
          <cell r="K1147">
            <v>0.92020801900000004</v>
          </cell>
          <cell r="L1147">
            <v>0</v>
          </cell>
          <cell r="M1147">
            <v>7.9791980999999998E-2</v>
          </cell>
          <cell r="U1147" t="str">
            <v>2012TX</v>
          </cell>
          <cell r="V1147">
            <v>6.9632535999999995E-2</v>
          </cell>
          <cell r="W1147">
            <v>3.4700662E-2</v>
          </cell>
          <cell r="X1147">
            <v>5.9917572000000002E-2</v>
          </cell>
          <cell r="Y1147">
            <v>0.54104196599999999</v>
          </cell>
          <cell r="Z1147">
            <v>0.29470726400000002</v>
          </cell>
          <cell r="AB1147" t="str">
            <v>2012TX</v>
          </cell>
          <cell r="AC1147">
            <v>0</v>
          </cell>
          <cell r="AD1147">
            <v>0</v>
          </cell>
          <cell r="AE1147">
            <v>0.12</v>
          </cell>
          <cell r="AF1147">
            <v>0.88</v>
          </cell>
        </row>
        <row r="1148">
          <cell r="B1148" t="str">
            <v>2012UT</v>
          </cell>
          <cell r="C1148">
            <v>0.51165623152884221</v>
          </cell>
          <cell r="D1148">
            <v>0.26394677259150623</v>
          </cell>
          <cell r="E1148">
            <v>1.3999177703951423E-2</v>
          </cell>
          <cell r="F1148">
            <v>0.17036034814732054</v>
          </cell>
          <cell r="G1148">
            <v>8.2880703819413898E-3</v>
          </cell>
          <cell r="H1148">
            <v>3.1749399646438282E-2</v>
          </cell>
          <cell r="J1148" t="str">
            <v>2012UT</v>
          </cell>
          <cell r="K1148">
            <v>0.97771275199999996</v>
          </cell>
          <cell r="L1148">
            <v>8.2880699999999998E-3</v>
          </cell>
          <cell r="M1148">
            <v>1.3999177999999999E-2</v>
          </cell>
          <cell r="U1148" t="str">
            <v>2012UT</v>
          </cell>
          <cell r="V1148">
            <v>8.6456620000000001E-3</v>
          </cell>
          <cell r="W1148">
            <v>5.5424775000000003E-2</v>
          </cell>
          <cell r="X1148">
            <v>0.260824848</v>
          </cell>
          <cell r="Y1148">
            <v>0.16982515300000001</v>
          </cell>
          <cell r="Z1148">
            <v>0.50527956200000002</v>
          </cell>
          <cell r="AB1148" t="str">
            <v>2012UT</v>
          </cell>
          <cell r="AC1148">
            <v>0</v>
          </cell>
          <cell r="AD1148">
            <v>0</v>
          </cell>
          <cell r="AE1148">
            <v>0.6</v>
          </cell>
          <cell r="AF1148">
            <v>0.4</v>
          </cell>
        </row>
        <row r="1149">
          <cell r="B1149" t="str">
            <v>2012VT</v>
          </cell>
          <cell r="C1149">
            <v>9.9973781354903396E-2</v>
          </cell>
          <cell r="D1149">
            <v>0.17387691112967565</v>
          </cell>
          <cell r="E1149">
            <v>0.44423932842492886</v>
          </cell>
          <cell r="F1149">
            <v>0.19448861844630186</v>
          </cell>
          <cell r="G1149">
            <v>6.6349172232328182E-2</v>
          </cell>
          <cell r="H1149">
            <v>2.1072188411862088E-2</v>
          </cell>
          <cell r="J1149" t="str">
            <v>2012VT</v>
          </cell>
          <cell r="K1149">
            <v>0.4894115</v>
          </cell>
          <cell r="L1149">
            <v>6.6349171999999998E-2</v>
          </cell>
          <cell r="M1149">
            <v>0.44423932799999999</v>
          </cell>
          <cell r="U1149" t="str">
            <v>2012VT</v>
          </cell>
          <cell r="V1149">
            <v>0.86037974299999997</v>
          </cell>
          <cell r="W1149">
            <v>6.1432910000000004E-3</v>
          </cell>
          <cell r="X1149">
            <v>3.8535191000000003E-2</v>
          </cell>
          <cell r="Y1149">
            <v>2.9459874E-2</v>
          </cell>
          <cell r="Z1149">
            <v>6.5481899999999996E-2</v>
          </cell>
          <cell r="AB1149" t="str">
            <v>2012VT</v>
          </cell>
          <cell r="AC1149">
            <v>0</v>
          </cell>
          <cell r="AD1149">
            <v>0</v>
          </cell>
          <cell r="AE1149">
            <v>0.05</v>
          </cell>
          <cell r="AF1149">
            <v>0.95</v>
          </cell>
        </row>
        <row r="1150">
          <cell r="B1150" t="str">
            <v>2012VA</v>
          </cell>
          <cell r="C1150">
            <v>4.4953509549794296E-2</v>
          </cell>
          <cell r="D1150">
            <v>9.339670802378576E-2</v>
          </cell>
          <cell r="E1150">
            <v>0.14844092890155638</v>
          </cell>
          <cell r="F1150">
            <v>0.12331550684410268</v>
          </cell>
          <cell r="G1150">
            <v>0.5737351926100378</v>
          </cell>
          <cell r="H1150">
            <v>1.6158154070723133E-2</v>
          </cell>
          <cell r="J1150" t="str">
            <v>2012VA</v>
          </cell>
          <cell r="K1150">
            <v>0.27782387799999997</v>
          </cell>
          <cell r="L1150">
            <v>0.57373519299999998</v>
          </cell>
          <cell r="M1150">
            <v>0.148440929</v>
          </cell>
          <cell r="U1150" t="str">
            <v>2012VA</v>
          </cell>
          <cell r="V1150">
            <v>3.3934871999999998E-2</v>
          </cell>
          <cell r="W1150">
            <v>3.6244844999999998E-2</v>
          </cell>
          <cell r="X1150">
            <v>6.8933026999999994E-2</v>
          </cell>
          <cell r="Y1150">
            <v>0.550040046</v>
          </cell>
          <cell r="Z1150">
            <v>0.31084721100000001</v>
          </cell>
          <cell r="AB1150" t="str">
            <v>2012VA</v>
          </cell>
          <cell r="AC1150">
            <v>0</v>
          </cell>
          <cell r="AD1150">
            <v>0</v>
          </cell>
          <cell r="AE1150">
            <v>0.05</v>
          </cell>
          <cell r="AF1150">
            <v>0.95</v>
          </cell>
        </row>
        <row r="1151">
          <cell r="B1151" t="str">
            <v>2012WA</v>
          </cell>
          <cell r="C1151">
            <v>0.48742079910802349</v>
          </cell>
          <cell r="D1151">
            <v>0.21961274491816118</v>
          </cell>
          <cell r="E1151">
            <v>0</v>
          </cell>
          <cell r="F1151">
            <v>0.11254281869932067</v>
          </cell>
          <cell r="G1151">
            <v>0.16627589127589129</v>
          </cell>
          <cell r="H1151">
            <v>1.4147745998603438E-2</v>
          </cell>
          <cell r="J1151" t="str">
            <v>2012WA</v>
          </cell>
          <cell r="K1151">
            <v>0.83372410900000005</v>
          </cell>
          <cell r="L1151">
            <v>0.16627589100000001</v>
          </cell>
          <cell r="M1151">
            <v>0</v>
          </cell>
          <cell r="U1151" t="str">
            <v>2012WA</v>
          </cell>
          <cell r="V1151">
            <v>0.37353494700000001</v>
          </cell>
          <cell r="W1151">
            <v>3.1263627000000002E-2</v>
          </cell>
          <cell r="X1151">
            <v>0.168896926</v>
          </cell>
          <cell r="Y1151">
            <v>0.119853577</v>
          </cell>
          <cell r="Z1151">
            <v>0.30645092299999999</v>
          </cell>
          <cell r="AB1151" t="str">
            <v>2012WA</v>
          </cell>
          <cell r="AC1151">
            <v>0</v>
          </cell>
          <cell r="AD1151">
            <v>0</v>
          </cell>
          <cell r="AE1151">
            <v>0.12</v>
          </cell>
          <cell r="AF1151">
            <v>0.88</v>
          </cell>
        </row>
        <row r="1152">
          <cell r="B1152" t="str">
            <v>2012WV</v>
          </cell>
          <cell r="C1152">
            <v>6.8751812683186322E-2</v>
          </cell>
          <cell r="D1152">
            <v>0.15888641455628993</v>
          </cell>
          <cell r="E1152">
            <v>0.44831485363191043</v>
          </cell>
          <cell r="F1152">
            <v>0.22633984896592482</v>
          </cell>
          <cell r="G1152">
            <v>7.0025492327769459E-2</v>
          </cell>
          <cell r="H1152">
            <v>2.7681577834919095E-2</v>
          </cell>
          <cell r="J1152" t="str">
            <v>2012WV</v>
          </cell>
          <cell r="K1152">
            <v>0.48165965399999999</v>
          </cell>
          <cell r="L1152">
            <v>7.0025491999999995E-2</v>
          </cell>
          <cell r="M1152">
            <v>0.44831485399999998</v>
          </cell>
          <cell r="U1152" t="str">
            <v>2012WV</v>
          </cell>
          <cell r="V1152">
            <v>0.57920187499999998</v>
          </cell>
          <cell r="W1152">
            <v>2.1256934000000002E-2</v>
          </cell>
          <cell r="X1152">
            <v>0.113169981</v>
          </cell>
          <cell r="Y1152">
            <v>7.9649016000000003E-2</v>
          </cell>
          <cell r="Z1152">
            <v>0.206722194</v>
          </cell>
          <cell r="AB1152" t="str">
            <v>2012WV</v>
          </cell>
          <cell r="AC1152">
            <v>0</v>
          </cell>
          <cell r="AD1152">
            <v>0</v>
          </cell>
          <cell r="AE1152">
            <v>0.05</v>
          </cell>
          <cell r="AF1152">
            <v>0.95</v>
          </cell>
        </row>
        <row r="1153">
          <cell r="B1153" t="str">
            <v>2012WI</v>
          </cell>
          <cell r="C1153">
            <v>0.12203432597344931</v>
          </cell>
          <cell r="D1153">
            <v>0.23555629715568294</v>
          </cell>
          <cell r="E1153">
            <v>0.11540173598404266</v>
          </cell>
          <cell r="F1153">
            <v>0.42032708364290838</v>
          </cell>
          <cell r="G1153">
            <v>6.8322420806473022E-2</v>
          </cell>
          <cell r="H1153">
            <v>3.8358136437443673E-2</v>
          </cell>
          <cell r="J1153" t="str">
            <v>2012WI</v>
          </cell>
          <cell r="K1153">
            <v>0.816275843</v>
          </cell>
          <cell r="L1153">
            <v>6.8322420999999994E-2</v>
          </cell>
          <cell r="M1153">
            <v>0.115401736</v>
          </cell>
          <cell r="U1153" t="str">
            <v>2012WI</v>
          </cell>
          <cell r="V1153">
            <v>0.12883246500000001</v>
          </cell>
          <cell r="W1153">
            <v>4.2564396999999997E-2</v>
          </cell>
          <cell r="X1153">
            <v>0.23585646199999999</v>
          </cell>
          <cell r="Y1153">
            <v>0.16970626599999999</v>
          </cell>
          <cell r="Z1153">
            <v>0.42304040999999998</v>
          </cell>
          <cell r="AB1153" t="str">
            <v>2012WI</v>
          </cell>
          <cell r="AC1153">
            <v>0</v>
          </cell>
          <cell r="AD1153">
            <v>0</v>
          </cell>
          <cell r="AE1153">
            <v>0.02</v>
          </cell>
          <cell r="AF1153">
            <v>0.98</v>
          </cell>
        </row>
        <row r="1154">
          <cell r="B1154" t="str">
            <v>2012WY</v>
          </cell>
          <cell r="C1154">
            <v>0.29508724522063295</v>
          </cell>
          <cell r="D1154">
            <v>0.23251729773373622</v>
          </cell>
          <cell r="E1154">
            <v>0.12161775942187937</v>
          </cell>
          <cell r="F1154">
            <v>0.2207502472879718</v>
          </cell>
          <cell r="G1154">
            <v>7.2002554085590281E-2</v>
          </cell>
          <cell r="H1154">
            <v>5.8024896250189507E-2</v>
          </cell>
          <cell r="J1154" t="str">
            <v>2012WY</v>
          </cell>
          <cell r="K1154">
            <v>0.80637968699999996</v>
          </cell>
          <cell r="L1154">
            <v>7.2002553999999996E-2</v>
          </cell>
          <cell r="M1154">
            <v>0.12161775900000001</v>
          </cell>
          <cell r="U1154" t="str">
            <v>2012WY</v>
          </cell>
          <cell r="V1154">
            <v>3.2109568999999998E-2</v>
          </cell>
          <cell r="W1154">
            <v>5.3596850000000001E-2</v>
          </cell>
          <cell r="X1154">
            <v>0.25521061499999997</v>
          </cell>
          <cell r="Y1154">
            <v>0.16752597599999999</v>
          </cell>
          <cell r="Z1154">
            <v>0.49155699000000003</v>
          </cell>
          <cell r="AB1154" t="str">
            <v>2012WY</v>
          </cell>
          <cell r="AC1154">
            <v>0</v>
          </cell>
          <cell r="AD1154">
            <v>0</v>
          </cell>
          <cell r="AE1154">
            <v>0.6</v>
          </cell>
          <cell r="AF1154">
            <v>0.4</v>
          </cell>
        </row>
        <row r="1155">
          <cell r="B1155" t="str">
            <v>2013AL</v>
          </cell>
          <cell r="C1155">
            <v>0.17233560131521788</v>
          </cell>
          <cell r="D1155">
            <v>9.7606154746872412E-2</v>
          </cell>
          <cell r="E1155">
            <v>0.16919346457207346</v>
          </cell>
          <cell r="F1155">
            <v>0.1056405325382436</v>
          </cell>
          <cell r="G1155">
            <v>0.45062509818962659</v>
          </cell>
          <cell r="H1155">
            <v>4.5991486379660445E-3</v>
          </cell>
          <cell r="J1155" t="str">
            <v>2013AL</v>
          </cell>
          <cell r="K1155">
            <v>0.38018143700000007</v>
          </cell>
          <cell r="L1155">
            <v>0.450625098</v>
          </cell>
          <cell r="M1155">
            <v>0.16919346499999999</v>
          </cell>
          <cell r="U1155" t="str">
            <v>2013AL</v>
          </cell>
          <cell r="V1155">
            <v>5.3114938E-2</v>
          </cell>
          <cell r="W1155">
            <v>3.6058960000000001E-2</v>
          </cell>
          <cell r="X1155">
            <v>8.4414527000000003E-2</v>
          </cell>
          <cell r="Y1155">
            <v>0.50961295299999998</v>
          </cell>
          <cell r="Z1155">
            <v>0.316798623</v>
          </cell>
          <cell r="AB1155" t="str">
            <v>2013AL</v>
          </cell>
          <cell r="AC1155">
            <v>0</v>
          </cell>
          <cell r="AD1155">
            <v>0</v>
          </cell>
          <cell r="AE1155">
            <v>0.41899999999999998</v>
          </cell>
          <cell r="AF1155">
            <v>0.58099999999999996</v>
          </cell>
        </row>
        <row r="1156">
          <cell r="B1156" t="str">
            <v>2013AK</v>
          </cell>
          <cell r="C1156">
            <v>0.30334484066413492</v>
          </cell>
          <cell r="D1156">
            <v>0.23769937716735701</v>
          </cell>
          <cell r="E1156">
            <v>6.205843688929364E-2</v>
          </cell>
          <cell r="F1156">
            <v>0.28363994741136878</v>
          </cell>
          <cell r="G1156">
            <v>3.6741064625999714E-2</v>
          </cell>
          <cell r="H1156">
            <v>7.6516333241846021E-2</v>
          </cell>
          <cell r="J1156" t="str">
            <v>2013AK</v>
          </cell>
          <cell r="K1156">
            <v>0.90120049800000002</v>
          </cell>
          <cell r="L1156">
            <v>3.6741065000000003E-2</v>
          </cell>
          <cell r="M1156">
            <v>6.2058437000000001E-2</v>
          </cell>
          <cell r="U1156" t="str">
            <v>2013AK</v>
          </cell>
          <cell r="V1156">
            <v>0.52632575500000001</v>
          </cell>
          <cell r="W1156">
            <v>2.0841667000000001E-2</v>
          </cell>
          <cell r="X1156">
            <v>0.130734092</v>
          </cell>
          <cell r="Y1156">
            <v>9.9945266000000005E-2</v>
          </cell>
          <cell r="Z1156">
            <v>0.22215322100000001</v>
          </cell>
          <cell r="AB1156" t="str">
            <v>2013AK</v>
          </cell>
          <cell r="AC1156">
            <v>0</v>
          </cell>
          <cell r="AD1156">
            <v>0</v>
          </cell>
          <cell r="AE1156">
            <v>0.25</v>
          </cell>
          <cell r="AF1156">
            <v>0.75</v>
          </cell>
        </row>
        <row r="1157">
          <cell r="B1157" t="str">
            <v>2013AZ</v>
          </cell>
          <cell r="C1157">
            <v>0.611220636654217</v>
          </cell>
          <cell r="D1157">
            <v>0.19572797693407004</v>
          </cell>
          <cell r="E1157">
            <v>9.865488383487428E-2</v>
          </cell>
          <cell r="F1157">
            <v>9.3890669243012675E-2</v>
          </cell>
          <cell r="G1157">
            <v>0</v>
          </cell>
          <cell r="H1157">
            <v>5.0583333382575558E-4</v>
          </cell>
          <cell r="J1157" t="str">
            <v>2013AZ</v>
          </cell>
          <cell r="K1157">
            <v>0.901345116</v>
          </cell>
          <cell r="L1157">
            <v>0</v>
          </cell>
          <cell r="M1157">
            <v>9.8654883999999998E-2</v>
          </cell>
          <cell r="U1157" t="str">
            <v>2013AZ</v>
          </cell>
          <cell r="V1157">
            <v>0.136592664</v>
          </cell>
          <cell r="W1157">
            <v>3.2171241000000003E-2</v>
          </cell>
          <cell r="X1157">
            <v>5.4596316999999998E-2</v>
          </cell>
          <cell r="Y1157">
            <v>0.50386894699999996</v>
          </cell>
          <cell r="Z1157">
            <v>0.27277083200000002</v>
          </cell>
          <cell r="AB1157" t="str">
            <v>2013AZ</v>
          </cell>
          <cell r="AC1157">
            <v>0</v>
          </cell>
          <cell r="AD1157">
            <v>0</v>
          </cell>
          <cell r="AE1157">
            <v>0.6</v>
          </cell>
          <cell r="AF1157">
            <v>0.4</v>
          </cell>
        </row>
        <row r="1158">
          <cell r="B1158" t="str">
            <v>2013AR</v>
          </cell>
          <cell r="C1158">
            <v>9.6391342329605903E-2</v>
          </cell>
          <cell r="D1158">
            <v>6.6955456596874061E-2</v>
          </cell>
          <cell r="E1158">
            <v>0.14888335780531528</v>
          </cell>
          <cell r="F1158">
            <v>0.11118804006195876</v>
          </cell>
          <cell r="G1158">
            <v>0.57111057531117648</v>
          </cell>
          <cell r="H1158">
            <v>5.4712278950695761E-3</v>
          </cell>
          <cell r="J1158" t="str">
            <v>2013AR</v>
          </cell>
          <cell r="K1158">
            <v>0.28000606700000008</v>
          </cell>
          <cell r="L1158">
            <v>0.57111057499999995</v>
          </cell>
          <cell r="M1158">
            <v>0.14888335799999999</v>
          </cell>
          <cell r="U1158" t="str">
            <v>2013AR</v>
          </cell>
          <cell r="V1158">
            <v>3.9459004999999998E-2</v>
          </cell>
          <cell r="W1158">
            <v>3.7640482000000003E-2</v>
          </cell>
          <cell r="X1158">
            <v>0.11914443199999999</v>
          </cell>
          <cell r="Y1158">
            <v>0.45827781299999998</v>
          </cell>
          <cell r="Z1158">
            <v>0.34547826799999998</v>
          </cell>
          <cell r="AB1158" t="str">
            <v>2013AR</v>
          </cell>
          <cell r="AC1158">
            <v>0</v>
          </cell>
          <cell r="AD1158">
            <v>0</v>
          </cell>
          <cell r="AE1158">
            <v>0</v>
          </cell>
          <cell r="AF1158">
            <v>1</v>
          </cell>
        </row>
        <row r="1159">
          <cell r="B1159" t="str">
            <v>2013CA</v>
          </cell>
          <cell r="C1159">
            <v>0.58081862489107328</v>
          </cell>
          <cell r="D1159">
            <v>0.20720345916912225</v>
          </cell>
          <cell r="E1159">
            <v>0.10801924509893834</v>
          </cell>
          <cell r="F1159">
            <v>9.2431120719429966E-2</v>
          </cell>
          <cell r="G1159">
            <v>9.2523577326630076E-3</v>
          </cell>
          <cell r="H1159">
            <v>2.2751923887731596E-3</v>
          </cell>
          <cell r="J1159" t="str">
            <v>2013CA</v>
          </cell>
          <cell r="K1159">
            <v>0.88272839699999994</v>
          </cell>
          <cell r="L1159">
            <v>9.2523580000000005E-3</v>
          </cell>
          <cell r="M1159">
            <v>0.108019245</v>
          </cell>
          <cell r="U1159" t="str">
            <v>2013CA</v>
          </cell>
          <cell r="V1159">
            <v>0.133799526</v>
          </cell>
          <cell r="W1159">
            <v>3.2941353E-2</v>
          </cell>
          <cell r="X1159">
            <v>7.5800703999999997E-2</v>
          </cell>
          <cell r="Y1159">
            <v>0.46867659099999998</v>
          </cell>
          <cell r="Z1159">
            <v>0.28878182499999999</v>
          </cell>
          <cell r="AB1159" t="str">
            <v>2013CA</v>
          </cell>
          <cell r="AC1159">
            <v>0</v>
          </cell>
          <cell r="AD1159">
            <v>0</v>
          </cell>
          <cell r="AE1159">
            <v>0.12</v>
          </cell>
          <cell r="AF1159">
            <v>0.88</v>
          </cell>
        </row>
        <row r="1160">
          <cell r="B1160" t="str">
            <v>2013CO</v>
          </cell>
          <cell r="C1160">
            <v>0.61667904285785091</v>
          </cell>
          <cell r="D1160">
            <v>0.24212893570430052</v>
          </cell>
          <cell r="E1160">
            <v>1.1092391745361967E-2</v>
          </cell>
          <cell r="F1160">
            <v>0.11516410971780773</v>
          </cell>
          <cell r="G1160">
            <v>6.5671374014829543E-3</v>
          </cell>
          <cell r="H1160">
            <v>8.3683825731959392E-3</v>
          </cell>
          <cell r="J1160" t="str">
            <v>2013CO</v>
          </cell>
          <cell r="K1160">
            <v>0.98234047099999999</v>
          </cell>
          <cell r="L1160">
            <v>6.5671369999999998E-3</v>
          </cell>
          <cell r="M1160">
            <v>1.1092392E-2</v>
          </cell>
          <cell r="U1160" t="str">
            <v>2013CO</v>
          </cell>
          <cell r="V1160">
            <v>2.3378138E-2</v>
          </cell>
          <cell r="W1160">
            <v>5.3880426000000002E-2</v>
          </cell>
          <cell r="X1160">
            <v>0.25772948099999998</v>
          </cell>
          <cell r="Y1160">
            <v>0.169703665</v>
          </cell>
          <cell r="Z1160">
            <v>0.49530828999999998</v>
          </cell>
          <cell r="AB1160" t="str">
            <v>2013CO</v>
          </cell>
          <cell r="AC1160">
            <v>0</v>
          </cell>
          <cell r="AD1160">
            <v>0</v>
          </cell>
          <cell r="AE1160">
            <v>0.6</v>
          </cell>
          <cell r="AF1160">
            <v>0.4</v>
          </cell>
        </row>
        <row r="1161">
          <cell r="B1161" t="str">
            <v>2013CT</v>
          </cell>
          <cell r="C1161">
            <v>0.11572842393252261</v>
          </cell>
          <cell r="D1161">
            <v>0.20119880615243968</v>
          </cell>
          <cell r="E1161">
            <v>0.43233999756560143</v>
          </cell>
          <cell r="F1161">
            <v>0.17234541515575838</v>
          </cell>
          <cell r="G1161">
            <v>5.5615402487630847E-2</v>
          </cell>
          <cell r="H1161">
            <v>2.2771954706046996E-2</v>
          </cell>
          <cell r="J1161" t="str">
            <v>2013CT</v>
          </cell>
          <cell r="K1161">
            <v>0.51204460000000007</v>
          </cell>
          <cell r="L1161">
            <v>5.5615402000000001E-2</v>
          </cell>
          <cell r="M1161">
            <v>0.432339998</v>
          </cell>
          <cell r="U1161" t="str">
            <v>2013CT</v>
          </cell>
          <cell r="V1161">
            <v>0.57363861400000005</v>
          </cell>
          <cell r="W1161">
            <v>1.8759900999999999E-2</v>
          </cell>
          <cell r="X1161">
            <v>0.117675743</v>
          </cell>
          <cell r="Y1161">
            <v>8.9962252000000006E-2</v>
          </cell>
          <cell r="Z1161">
            <v>0.19996348999999999</v>
          </cell>
          <cell r="AB1161" t="str">
            <v>2013CT</v>
          </cell>
          <cell r="AC1161">
            <v>0</v>
          </cell>
          <cell r="AD1161">
            <v>0</v>
          </cell>
          <cell r="AE1161">
            <v>0.05</v>
          </cell>
          <cell r="AF1161">
            <v>0.95</v>
          </cell>
        </row>
        <row r="1162">
          <cell r="B1162" t="str">
            <v>2013DE</v>
          </cell>
          <cell r="C1162">
            <v>0.10201653895343663</v>
          </cell>
          <cell r="D1162">
            <v>0.1910091905838856</v>
          </cell>
          <cell r="E1162">
            <v>0.43707162937473454</v>
          </cell>
          <cell r="F1162">
            <v>0.18637975788177577</v>
          </cell>
          <cell r="G1162">
            <v>5.9883562349419175E-2</v>
          </cell>
          <cell r="H1162">
            <v>2.3639320856748244E-2</v>
          </cell>
          <cell r="J1162" t="str">
            <v>2013DE</v>
          </cell>
          <cell r="K1162">
            <v>0.50304480899999993</v>
          </cell>
          <cell r="L1162">
            <v>5.9883562000000001E-2</v>
          </cell>
          <cell r="M1162">
            <v>0.43707162900000002</v>
          </cell>
          <cell r="U1162" t="str">
            <v>2013DE</v>
          </cell>
          <cell r="V1162">
            <v>0.120253529</v>
          </cell>
          <cell r="W1162">
            <v>4.1631153999999997E-2</v>
          </cell>
          <cell r="X1162">
            <v>0.23964419100000001</v>
          </cell>
          <cell r="Y1162">
            <v>0.17588547500000001</v>
          </cell>
          <cell r="Z1162">
            <v>0.42258565100000001</v>
          </cell>
          <cell r="AB1162" t="str">
            <v>2013DE</v>
          </cell>
          <cell r="AC1162">
            <v>0</v>
          </cell>
          <cell r="AD1162">
            <v>0</v>
          </cell>
          <cell r="AE1162">
            <v>0.05</v>
          </cell>
          <cell r="AF1162">
            <v>0.95</v>
          </cell>
        </row>
        <row r="1163">
          <cell r="B1163" t="str">
            <v>2013FL</v>
          </cell>
          <cell r="C1163">
            <v>0.38654865924430459</v>
          </cell>
          <cell r="D1163">
            <v>0.14503983167997814</v>
          </cell>
          <cell r="E1163">
            <v>0.21616400084919535</v>
          </cell>
          <cell r="F1163">
            <v>7.8997496757044303E-2</v>
          </cell>
          <cell r="G1163">
            <v>0.17198217725399226</v>
          </cell>
          <cell r="H1163">
            <v>1.2678342154852779E-3</v>
          </cell>
          <cell r="J1163" t="str">
            <v>2013FL</v>
          </cell>
          <cell r="K1163">
            <v>0.61185382200000005</v>
          </cell>
          <cell r="L1163">
            <v>0.17198217700000001</v>
          </cell>
          <cell r="M1163">
            <v>0.21616400099999999</v>
          </cell>
          <cell r="U1163" t="str">
            <v>2013FL</v>
          </cell>
          <cell r="V1163">
            <v>0.71166924399999998</v>
          </cell>
          <cell r="W1163">
            <v>1.2686553E-2</v>
          </cell>
          <cell r="X1163">
            <v>7.9579288999999998E-2</v>
          </cell>
          <cell r="Y1163">
            <v>6.0837789000000003E-2</v>
          </cell>
          <cell r="Z1163">
            <v>0.135227124</v>
          </cell>
          <cell r="AB1163" t="str">
            <v>2013FL</v>
          </cell>
          <cell r="AC1163">
            <v>0</v>
          </cell>
          <cell r="AD1163">
            <v>0</v>
          </cell>
          <cell r="AE1163">
            <v>0.41899999999999998</v>
          </cell>
          <cell r="AF1163">
            <v>0.58099999999999996</v>
          </cell>
        </row>
        <row r="1164">
          <cell r="B1164" t="str">
            <v>2013GA</v>
          </cell>
          <cell r="C1164">
            <v>0.20823216155586291</v>
          </cell>
          <cell r="D1164">
            <v>0.11033206176717186</v>
          </cell>
          <cell r="E1164">
            <v>0.17733204084631207</v>
          </cell>
          <cell r="F1164">
            <v>9.7862793659120595E-2</v>
          </cell>
          <cell r="G1164">
            <v>0.40234468997942996</v>
          </cell>
          <cell r="H1164">
            <v>3.8962521921025758E-3</v>
          </cell>
          <cell r="J1164" t="str">
            <v>2013GA</v>
          </cell>
          <cell r="K1164">
            <v>0.42032326900000005</v>
          </cell>
          <cell r="L1164">
            <v>0.40234469</v>
          </cell>
          <cell r="M1164">
            <v>0.177332041</v>
          </cell>
          <cell r="U1164" t="str">
            <v>2013GA</v>
          </cell>
          <cell r="V1164">
            <v>7.8133266000000007E-2</v>
          </cell>
          <cell r="W1164">
            <v>3.5587817000000001E-2</v>
          </cell>
          <cell r="X1164">
            <v>9.7388838000000005E-2</v>
          </cell>
          <cell r="Y1164">
            <v>0.46952270200000001</v>
          </cell>
          <cell r="Z1164">
            <v>0.31936737799999998</v>
          </cell>
          <cell r="AB1164" t="str">
            <v>2013GA</v>
          </cell>
          <cell r="AC1164">
            <v>0</v>
          </cell>
          <cell r="AD1164">
            <v>0</v>
          </cell>
          <cell r="AE1164">
            <v>0.41899999999999998</v>
          </cell>
          <cell r="AF1164">
            <v>0.58099999999999996</v>
          </cell>
        </row>
        <row r="1165">
          <cell r="B1165" t="str">
            <v>2013HI</v>
          </cell>
          <cell r="C1165">
            <v>0.67137224197860923</v>
          </cell>
          <cell r="D1165">
            <v>0.21100034068527662</v>
          </cell>
          <cell r="E1165">
            <v>0</v>
          </cell>
          <cell r="F1165">
            <v>0.10820426646618357</v>
          </cell>
          <cell r="G1165">
            <v>7.5112148308577572E-3</v>
          </cell>
          <cell r="H1165">
            <v>1.9119360390725836E-3</v>
          </cell>
          <cell r="J1165" t="str">
            <v>2013HI</v>
          </cell>
          <cell r="K1165">
            <v>0.99248878500000004</v>
          </cell>
          <cell r="L1165">
            <v>7.5112149999999999E-3</v>
          </cell>
          <cell r="M1165">
            <v>0</v>
          </cell>
          <cell r="U1165" t="str">
            <v>2013HI</v>
          </cell>
          <cell r="V1165">
            <v>0.23216878499999999</v>
          </cell>
          <cell r="W1165">
            <v>3.2904865999999998E-2</v>
          </cell>
          <cell r="X1165">
            <v>0.18414778700000001</v>
          </cell>
          <cell r="Y1165">
            <v>0.21064765399999999</v>
          </cell>
          <cell r="Z1165">
            <v>0.34013090899999998</v>
          </cell>
          <cell r="AB1165" t="str">
            <v>2013HI</v>
          </cell>
          <cell r="AC1165">
            <v>0</v>
          </cell>
          <cell r="AD1165">
            <v>0</v>
          </cell>
          <cell r="AE1165">
            <v>0.25</v>
          </cell>
          <cell r="AF1165">
            <v>0.75</v>
          </cell>
        </row>
        <row r="1166">
          <cell r="B1166" t="str">
            <v>2013ID</v>
          </cell>
          <cell r="C1166">
            <v>0.62850843440764703</v>
          </cell>
          <cell r="D1166">
            <v>0.2329683972033782</v>
          </cell>
          <cell r="E1166">
            <v>6.4436683947772669E-3</v>
          </cell>
          <cell r="F1166">
            <v>0.11961222721284216</v>
          </cell>
          <cell r="G1166">
            <v>3.8149081541218642E-3</v>
          </cell>
          <cell r="H1166">
            <v>8.6523646272333287E-3</v>
          </cell>
          <cell r="J1166" t="str">
            <v>2013ID</v>
          </cell>
          <cell r="K1166">
            <v>0.98974142399999998</v>
          </cell>
          <cell r="L1166">
            <v>3.8149080000000001E-3</v>
          </cell>
          <cell r="M1166">
            <v>6.4436679999999996E-3</v>
          </cell>
          <cell r="U1166" t="str">
            <v>2013ID</v>
          </cell>
          <cell r="V1166">
            <v>0.460837895</v>
          </cell>
          <cell r="W1166">
            <v>2.6974237000000002E-2</v>
          </cell>
          <cell r="X1166">
            <v>0.14528671200000001</v>
          </cell>
          <cell r="Y1166">
            <v>0.102926191</v>
          </cell>
          <cell r="Z1166">
            <v>0.26397496599999998</v>
          </cell>
          <cell r="AB1166" t="str">
            <v>2013ID</v>
          </cell>
          <cell r="AC1166">
            <v>0</v>
          </cell>
          <cell r="AD1166">
            <v>0</v>
          </cell>
          <cell r="AE1166">
            <v>0.6</v>
          </cell>
          <cell r="AF1166">
            <v>0.4</v>
          </cell>
        </row>
        <row r="1167">
          <cell r="B1167" t="str">
            <v>2013IL</v>
          </cell>
          <cell r="C1167">
            <v>0.13175283144497188</v>
          </cell>
          <cell r="D1167">
            <v>0.26046159534668961</v>
          </cell>
          <cell r="E1167">
            <v>8.1383349234931596E-2</v>
          </cell>
          <cell r="F1167">
            <v>0.43207247933210829</v>
          </cell>
          <cell r="G1167">
            <v>4.8182181885357514E-2</v>
          </cell>
          <cell r="H1167">
            <v>4.6147562755941125E-2</v>
          </cell>
          <cell r="J1167" t="str">
            <v>2013IL</v>
          </cell>
          <cell r="K1167">
            <v>0.87043446899999999</v>
          </cell>
          <cell r="L1167">
            <v>4.8182181999999997E-2</v>
          </cell>
          <cell r="M1167">
            <v>8.1383348999999994E-2</v>
          </cell>
          <cell r="U1167" t="str">
            <v>2013IL</v>
          </cell>
          <cell r="V1167">
            <v>2.0186552999999999E-2</v>
          </cell>
          <cell r="W1167">
            <v>4.5739502000000001E-2</v>
          </cell>
          <cell r="X1167">
            <v>0.28028242399999997</v>
          </cell>
          <cell r="Y1167">
            <v>0.149587944</v>
          </cell>
          <cell r="Z1167">
            <v>0.50420357699999996</v>
          </cell>
          <cell r="AB1167" t="str">
            <v>2013IL</v>
          </cell>
          <cell r="AC1167">
            <v>0</v>
          </cell>
          <cell r="AD1167">
            <v>0</v>
          </cell>
          <cell r="AE1167">
            <v>0.02</v>
          </cell>
          <cell r="AF1167">
            <v>0.98</v>
          </cell>
        </row>
        <row r="1168">
          <cell r="B1168" t="str">
            <v>2013IN</v>
          </cell>
          <cell r="C1168">
            <v>0.16189917384296076</v>
          </cell>
          <cell r="D1168">
            <v>0.24163212738244233</v>
          </cell>
          <cell r="E1168">
            <v>0.13392208737361183</v>
          </cell>
          <cell r="F1168">
            <v>0.3491044693998876</v>
          </cell>
          <cell r="G1168">
            <v>7.9287205957511472E-2</v>
          </cell>
          <cell r="H1168">
            <v>3.4154936043586021E-2</v>
          </cell>
          <cell r="J1168" t="str">
            <v>2013IN</v>
          </cell>
          <cell r="K1168">
            <v>0.78679070699999998</v>
          </cell>
          <cell r="L1168">
            <v>7.9287205999999999E-2</v>
          </cell>
          <cell r="M1168">
            <v>0.133922087</v>
          </cell>
          <cell r="U1168" t="str">
            <v>2013IN</v>
          </cell>
          <cell r="V1168">
            <v>2.5489210000000002E-2</v>
          </cell>
          <cell r="W1168">
            <v>4.5536079E-2</v>
          </cell>
          <cell r="X1168">
            <v>0.27893099599999999</v>
          </cell>
          <cell r="Y1168">
            <v>0.14781887399999999</v>
          </cell>
          <cell r="Z1168">
            <v>0.50222484099999998</v>
          </cell>
          <cell r="AB1168" t="str">
            <v>2013IN</v>
          </cell>
          <cell r="AC1168">
            <v>0</v>
          </cell>
          <cell r="AD1168">
            <v>0</v>
          </cell>
          <cell r="AE1168">
            <v>0</v>
          </cell>
          <cell r="AF1168">
            <v>1</v>
          </cell>
        </row>
        <row r="1169">
          <cell r="B1169" t="str">
            <v>2013IA</v>
          </cell>
          <cell r="C1169">
            <v>0.13792614664225575</v>
          </cell>
          <cell r="D1169">
            <v>0.25047757969635848</v>
          </cell>
          <cell r="E1169">
            <v>0.10477197231415941</v>
          </cell>
          <cell r="F1169">
            <v>0.40507493125352922</v>
          </cell>
          <cell r="G1169">
            <v>6.2029177638731184E-2</v>
          </cell>
          <cell r="H1169">
            <v>3.9720192454965969E-2</v>
          </cell>
          <cell r="J1169" t="str">
            <v>2013IA</v>
          </cell>
          <cell r="K1169">
            <v>0.83319885000000005</v>
          </cell>
          <cell r="L1169">
            <v>6.2029177999999997E-2</v>
          </cell>
          <cell r="M1169">
            <v>0.104771972</v>
          </cell>
          <cell r="U1169" t="str">
            <v>2013IA</v>
          </cell>
          <cell r="V1169">
            <v>9.6502570000000006E-3</v>
          </cell>
          <cell r="W1169">
            <v>3.8739974000000003E-2</v>
          </cell>
          <cell r="X1169">
            <v>0.12067557499999999</v>
          </cell>
          <cell r="Y1169">
            <v>0.47629315999999999</v>
          </cell>
          <cell r="Z1169">
            <v>0.35464103499999999</v>
          </cell>
          <cell r="AB1169" t="str">
            <v>2013IA</v>
          </cell>
          <cell r="AC1169">
            <v>0</v>
          </cell>
          <cell r="AD1169">
            <v>0</v>
          </cell>
          <cell r="AE1169">
            <v>0</v>
          </cell>
          <cell r="AF1169">
            <v>1</v>
          </cell>
        </row>
        <row r="1170">
          <cell r="B1170" t="str">
            <v>2013KS</v>
          </cell>
          <cell r="C1170">
            <v>0.28758404285910905</v>
          </cell>
          <cell r="D1170">
            <v>0.32607606753917184</v>
          </cell>
          <cell r="E1170">
            <v>5.1050547933917619E-2</v>
          </cell>
          <cell r="F1170">
            <v>0.27762124338847843</v>
          </cell>
          <cell r="G1170">
            <v>3.0223956239483565E-2</v>
          </cell>
          <cell r="H1170">
            <v>2.7444142039839463E-2</v>
          </cell>
          <cell r="J1170" t="str">
            <v>2013KS</v>
          </cell>
          <cell r="K1170">
            <v>0.91872549599999997</v>
          </cell>
          <cell r="L1170">
            <v>3.0223956E-2</v>
          </cell>
          <cell r="M1170">
            <v>5.1050548000000001E-2</v>
          </cell>
          <cell r="U1170" t="str">
            <v>2013KS</v>
          </cell>
          <cell r="V1170">
            <v>2.3647662E-2</v>
          </cell>
          <cell r="W1170">
            <v>4.6272377000000003E-2</v>
          </cell>
          <cell r="X1170">
            <v>0.28189652199999998</v>
          </cell>
          <cell r="Y1170">
            <v>0.13395533500000001</v>
          </cell>
          <cell r="Z1170">
            <v>0.51422810299999999</v>
          </cell>
          <cell r="AB1170" t="str">
            <v>2013KS</v>
          </cell>
          <cell r="AC1170">
            <v>0</v>
          </cell>
          <cell r="AD1170">
            <v>0</v>
          </cell>
          <cell r="AE1170">
            <v>0.02</v>
          </cell>
          <cell r="AF1170">
            <v>0.98</v>
          </cell>
        </row>
        <row r="1171">
          <cell r="B1171" t="str">
            <v>2013KY</v>
          </cell>
          <cell r="C1171">
            <v>2.3305602928070858E-2</v>
          </cell>
          <cell r="D1171">
            <v>6.2885861766289422E-2</v>
          </cell>
          <cell r="E1171">
            <v>0.14165738300711325</v>
          </cell>
          <cell r="F1171">
            <v>0.14315421990856123</v>
          </cell>
          <cell r="G1171">
            <v>0.61397716539009373</v>
          </cell>
          <cell r="H1171">
            <v>1.5019766999871505E-2</v>
          </cell>
          <cell r="J1171" t="str">
            <v>2013KY</v>
          </cell>
          <cell r="K1171">
            <v>0.24436545200000004</v>
          </cell>
          <cell r="L1171">
            <v>0.61397716499999999</v>
          </cell>
          <cell r="M1171">
            <v>0.141657383</v>
          </cell>
          <cell r="U1171" t="str">
            <v>2013KY</v>
          </cell>
          <cell r="V1171">
            <v>4.9184704000000003E-2</v>
          </cell>
          <cell r="W1171">
            <v>3.7321891000000003E-2</v>
          </cell>
          <cell r="X1171">
            <v>0.11991215400000001</v>
          </cell>
          <cell r="Y1171">
            <v>0.45018075899999999</v>
          </cell>
          <cell r="Z1171">
            <v>0.34340049099999997</v>
          </cell>
          <cell r="AB1171" t="str">
            <v>2013KY</v>
          </cell>
          <cell r="AC1171">
            <v>0</v>
          </cell>
          <cell r="AD1171">
            <v>0</v>
          </cell>
          <cell r="AE1171">
            <v>0.05</v>
          </cell>
          <cell r="AF1171">
            <v>0.95</v>
          </cell>
        </row>
        <row r="1172">
          <cell r="B1172" t="str">
            <v>2013LA</v>
          </cell>
          <cell r="C1172">
            <v>8.7696493950327165E-2</v>
          </cell>
          <cell r="D1172">
            <v>6.4637521135916851E-2</v>
          </cell>
          <cell r="E1172">
            <v>0.14461730665558523</v>
          </cell>
          <cell r="F1172">
            <v>0.10160244529023774</v>
          </cell>
          <cell r="G1172">
            <v>0.59641803499629376</v>
          </cell>
          <cell r="H1172">
            <v>5.0281979716392446E-3</v>
          </cell>
          <cell r="J1172" t="str">
            <v>2013LA</v>
          </cell>
          <cell r="K1172">
            <v>0.25896465800000001</v>
          </cell>
          <cell r="L1172">
            <v>0.59641803500000001</v>
          </cell>
          <cell r="M1172">
            <v>0.144617307</v>
          </cell>
          <cell r="U1172" t="str">
            <v>2013LA</v>
          </cell>
          <cell r="V1172">
            <v>0.53551704700000002</v>
          </cell>
          <cell r="W1172">
            <v>2.0437250000000001E-2</v>
          </cell>
          <cell r="X1172">
            <v>0.12819729499999999</v>
          </cell>
          <cell r="Y1172">
            <v>9.8005903000000005E-2</v>
          </cell>
          <cell r="Z1172">
            <v>0.21784250499999999</v>
          </cell>
          <cell r="AB1172" t="str">
            <v>2013LA</v>
          </cell>
          <cell r="AC1172">
            <v>0</v>
          </cell>
          <cell r="AD1172">
            <v>0</v>
          </cell>
          <cell r="AE1172">
            <v>0.6</v>
          </cell>
          <cell r="AF1172">
            <v>0.4</v>
          </cell>
        </row>
        <row r="1173">
          <cell r="B1173" t="str">
            <v>2013ME</v>
          </cell>
          <cell r="C1173">
            <v>9.3713015315557757E-2</v>
          </cell>
          <cell r="D1173">
            <v>0.17210096338216258</v>
          </cell>
          <cell r="E1173">
            <v>0.44837154081607639</v>
          </cell>
          <cell r="F1173">
            <v>0.19633313267932656</v>
          </cell>
          <cell r="G1173">
            <v>7.0076626899074845E-2</v>
          </cell>
          <cell r="H1173">
            <v>1.9404720907801824E-2</v>
          </cell>
          <cell r="J1173" t="str">
            <v>2013ME</v>
          </cell>
          <cell r="K1173">
            <v>0.48155183200000007</v>
          </cell>
          <cell r="L1173">
            <v>7.0076627000000002E-2</v>
          </cell>
          <cell r="M1173">
            <v>0.44837154099999998</v>
          </cell>
          <cell r="U1173" t="str">
            <v>2013ME</v>
          </cell>
          <cell r="V1173">
            <v>0.72920202000000001</v>
          </cell>
          <cell r="W1173">
            <v>1.1915111000000001E-2</v>
          </cell>
          <cell r="X1173">
            <v>7.4740241999999998E-2</v>
          </cell>
          <cell r="Y1173">
            <v>5.7138373999999999E-2</v>
          </cell>
          <cell r="Z1173">
            <v>0.12700425300000001</v>
          </cell>
          <cell r="AB1173" t="str">
            <v>2013ME</v>
          </cell>
          <cell r="AC1173">
            <v>0</v>
          </cell>
          <cell r="AD1173">
            <v>0</v>
          </cell>
          <cell r="AE1173">
            <v>0.05</v>
          </cell>
          <cell r="AF1173">
            <v>0.95</v>
          </cell>
        </row>
        <row r="1174">
          <cell r="B1174" t="str">
            <v>2013MD</v>
          </cell>
          <cell r="C1174">
            <v>7.6488535055593554E-2</v>
          </cell>
          <cell r="D1174">
            <v>0.15472472257238745</v>
          </cell>
          <cell r="E1174">
            <v>0.44380834258126728</v>
          </cell>
          <cell r="F1174">
            <v>0.22861605738914034</v>
          </cell>
          <cell r="G1174">
            <v>6.5960402236453913E-2</v>
          </cell>
          <cell r="H1174">
            <v>3.0401940165157418E-2</v>
          </cell>
          <cell r="J1174" t="str">
            <v>2013MD</v>
          </cell>
          <cell r="K1174">
            <v>0.49023125499999998</v>
          </cell>
          <cell r="L1174">
            <v>6.5960402000000001E-2</v>
          </cell>
          <cell r="M1174">
            <v>0.44380834299999999</v>
          </cell>
          <cell r="U1174" t="str">
            <v>2013MD</v>
          </cell>
          <cell r="V1174">
            <v>0.21140679400000001</v>
          </cell>
          <cell r="W1174">
            <v>3.7602905999999998E-2</v>
          </cell>
          <cell r="X1174">
            <v>0.214504853</v>
          </cell>
          <cell r="Y1174">
            <v>0.15671048400000001</v>
          </cell>
          <cell r="Z1174">
            <v>0.37977496300000002</v>
          </cell>
          <cell r="AB1174" t="str">
            <v>2013MD</v>
          </cell>
          <cell r="AC1174">
            <v>0</v>
          </cell>
          <cell r="AD1174">
            <v>0</v>
          </cell>
          <cell r="AE1174">
            <v>0.05</v>
          </cell>
          <cell r="AF1174">
            <v>0.95</v>
          </cell>
        </row>
        <row r="1175">
          <cell r="B1175" t="str">
            <v>2013MA</v>
          </cell>
          <cell r="C1175">
            <v>6.1305440163427552E-2</v>
          </cell>
          <cell r="D1175">
            <v>0.14874705508142777</v>
          </cell>
          <cell r="E1175">
            <v>0.45216403673004657</v>
          </cell>
          <cell r="F1175">
            <v>0.23617268276189021</v>
          </cell>
          <cell r="G1175">
            <v>7.3497640935872632E-2</v>
          </cell>
          <cell r="H1175">
            <v>2.8113144327335336E-2</v>
          </cell>
          <cell r="J1175" t="str">
            <v>2013MA</v>
          </cell>
          <cell r="K1175">
            <v>0.47433832199999992</v>
          </cell>
          <cell r="L1175">
            <v>7.3497641000000002E-2</v>
          </cell>
          <cell r="M1175">
            <v>0.45216403700000002</v>
          </cell>
          <cell r="U1175" t="str">
            <v>2013MA</v>
          </cell>
          <cell r="V1175">
            <v>0.31419575799999999</v>
          </cell>
          <cell r="W1175">
            <v>3.0175387000000001E-2</v>
          </cell>
          <cell r="X1175">
            <v>0.18928197099999999</v>
          </cell>
          <cell r="Y1175">
            <v>0.14470469499999999</v>
          </cell>
          <cell r="Z1175">
            <v>0.32164218900000002</v>
          </cell>
          <cell r="AB1175" t="str">
            <v>2013MA</v>
          </cell>
          <cell r="AC1175">
            <v>0</v>
          </cell>
          <cell r="AD1175">
            <v>0</v>
          </cell>
          <cell r="AE1175">
            <v>0.05</v>
          </cell>
          <cell r="AF1175">
            <v>0.95</v>
          </cell>
        </row>
        <row r="1176">
          <cell r="B1176" t="str">
            <v>2013MI</v>
          </cell>
          <cell r="C1176">
            <v>0.21592740095911189</v>
          </cell>
          <cell r="D1176">
            <v>0.33044604004991018</v>
          </cell>
          <cell r="E1176">
            <v>5.8998863632555826E-2</v>
          </cell>
          <cell r="F1176">
            <v>0.32074430847532459</v>
          </cell>
          <cell r="G1176">
            <v>3.4929675483950956E-2</v>
          </cell>
          <cell r="H1176">
            <v>3.8953711399146676E-2</v>
          </cell>
          <cell r="J1176" t="str">
            <v>2013MI</v>
          </cell>
          <cell r="K1176">
            <v>0.90607146100000002</v>
          </cell>
          <cell r="L1176">
            <v>3.4929675E-2</v>
          </cell>
          <cell r="M1176">
            <v>5.8998863999999998E-2</v>
          </cell>
          <cell r="U1176" t="str">
            <v>2013MI</v>
          </cell>
          <cell r="V1176">
            <v>4.5127237000000001E-2</v>
          </cell>
          <cell r="W1176">
            <v>5.0500046999999999E-2</v>
          </cell>
          <cell r="X1176">
            <v>0.254352099</v>
          </cell>
          <cell r="Y1176">
            <v>0.17319266699999999</v>
          </cell>
          <cell r="Z1176">
            <v>0.47682794899999997</v>
          </cell>
          <cell r="AB1176" t="str">
            <v>2013MI</v>
          </cell>
          <cell r="AC1176">
            <v>0</v>
          </cell>
          <cell r="AD1176">
            <v>0</v>
          </cell>
          <cell r="AE1176">
            <v>0.02</v>
          </cell>
          <cell r="AF1176">
            <v>0.98</v>
          </cell>
        </row>
        <row r="1177">
          <cell r="B1177" t="str">
            <v>2013MN</v>
          </cell>
          <cell r="C1177">
            <v>0.11559741536790068</v>
          </cell>
          <cell r="D1177">
            <v>0.23915415867765383</v>
          </cell>
          <cell r="E1177">
            <v>0.10052931481156221</v>
          </cell>
          <cell r="F1177">
            <v>0.43822851849088174</v>
          </cell>
          <cell r="G1177">
            <v>5.9517355535203494E-2</v>
          </cell>
          <cell r="H1177">
            <v>4.697323711679801E-2</v>
          </cell>
          <cell r="J1177" t="str">
            <v>2013MN</v>
          </cell>
          <cell r="K1177">
            <v>0.83995332899999997</v>
          </cell>
          <cell r="L1177">
            <v>5.9517356E-2</v>
          </cell>
          <cell r="M1177">
            <v>0.10052931499999999</v>
          </cell>
          <cell r="U1177" t="str">
            <v>2013MN</v>
          </cell>
          <cell r="V1177">
            <v>1.5145339000000001E-2</v>
          </cell>
          <cell r="W1177">
            <v>5.1986831999999997E-2</v>
          </cell>
          <cell r="X1177">
            <v>0.262445557</v>
          </cell>
          <cell r="Y1177">
            <v>0.17896024199999999</v>
          </cell>
          <cell r="Z1177">
            <v>0.49146202900000002</v>
          </cell>
          <cell r="AB1177" t="str">
            <v>2013MN</v>
          </cell>
          <cell r="AC1177">
            <v>0</v>
          </cell>
          <cell r="AD1177">
            <v>0</v>
          </cell>
          <cell r="AE1177">
            <v>0</v>
          </cell>
          <cell r="AF1177">
            <v>1</v>
          </cell>
        </row>
        <row r="1178">
          <cell r="B1178" t="str">
            <v>2013MS</v>
          </cell>
          <cell r="C1178">
            <v>0.10416334210611014</v>
          </cell>
          <cell r="D1178">
            <v>7.2829933678422776E-2</v>
          </cell>
          <cell r="E1178">
            <v>0.14929269604113307</v>
          </cell>
          <cell r="F1178">
            <v>0.10019278631941281</v>
          </cell>
          <cell r="G1178">
            <v>0.56868226150598644</v>
          </cell>
          <cell r="H1178">
            <v>4.838980348934833E-3</v>
          </cell>
          <cell r="J1178" t="str">
            <v>2013MS</v>
          </cell>
          <cell r="K1178">
            <v>0.28202504199999989</v>
          </cell>
          <cell r="L1178">
            <v>0.56868226200000005</v>
          </cell>
          <cell r="M1178">
            <v>0.149292696</v>
          </cell>
          <cell r="U1178" t="str">
            <v>2013MS</v>
          </cell>
          <cell r="V1178">
            <v>2.1100625000000001E-2</v>
          </cell>
          <cell r="W1178">
            <v>3.6418512E-2</v>
          </cell>
          <cell r="X1178">
            <v>6.0129593000000002E-2</v>
          </cell>
          <cell r="Y1178">
            <v>0.574366987</v>
          </cell>
          <cell r="Z1178">
            <v>0.30798428300000003</v>
          </cell>
          <cell r="AB1178" t="str">
            <v>2013MS</v>
          </cell>
          <cell r="AC1178">
            <v>0</v>
          </cell>
          <cell r="AD1178">
            <v>0</v>
          </cell>
          <cell r="AE1178">
            <v>0.6</v>
          </cell>
          <cell r="AF1178">
            <v>0.4</v>
          </cell>
        </row>
        <row r="1179">
          <cell r="B1179" t="str">
            <v>2013MO</v>
          </cell>
          <cell r="C1179">
            <v>6.4925479522277466E-2</v>
          </cell>
          <cell r="D1179">
            <v>0.18170303563698134</v>
          </cell>
          <cell r="E1179">
            <v>0.14337282997597614</v>
          </cell>
          <cell r="F1179">
            <v>0.47880340852502545</v>
          </cell>
          <cell r="G1179">
            <v>8.4882421727070459E-2</v>
          </cell>
          <cell r="H1179">
            <v>4.6312824612669105E-2</v>
          </cell>
          <cell r="J1179" t="str">
            <v>2013MO</v>
          </cell>
          <cell r="K1179">
            <v>0.77174474799999992</v>
          </cell>
          <cell r="L1179">
            <v>8.4882421999999999E-2</v>
          </cell>
          <cell r="M1179">
            <v>0.14337283000000001</v>
          </cell>
          <cell r="U1179" t="str">
            <v>2013MO</v>
          </cell>
          <cell r="V1179">
            <v>2.998994E-2</v>
          </cell>
          <cell r="W1179">
            <v>4.5757142000000001E-2</v>
          </cell>
          <cell r="X1179">
            <v>0.27926039899999999</v>
          </cell>
          <cell r="Y1179">
            <v>0.13775391300000001</v>
          </cell>
          <cell r="Z1179">
            <v>0.50723860600000004</v>
          </cell>
          <cell r="AB1179" t="str">
            <v>2013MO</v>
          </cell>
          <cell r="AC1179">
            <v>0</v>
          </cell>
          <cell r="AD1179">
            <v>0</v>
          </cell>
          <cell r="AE1179">
            <v>0</v>
          </cell>
          <cell r="AF1179">
            <v>1</v>
          </cell>
        </row>
        <row r="1180">
          <cell r="B1180" t="str">
            <v>2013MT</v>
          </cell>
          <cell r="C1180">
            <v>0.35597781750083307</v>
          </cell>
          <cell r="D1180">
            <v>0.25924389885240834</v>
          </cell>
          <cell r="E1180">
            <v>4.3797789125912777E-2</v>
          </cell>
          <cell r="F1180">
            <v>0.25058080537727367</v>
          </cell>
          <cell r="G1180">
            <v>2.5930034358127463E-2</v>
          </cell>
          <cell r="H1180">
            <v>6.4469654785444572E-2</v>
          </cell>
          <cell r="J1180" t="str">
            <v>2013MT</v>
          </cell>
          <cell r="K1180">
            <v>0.93027217699999998</v>
          </cell>
          <cell r="L1180">
            <v>2.5930034000000001E-2</v>
          </cell>
          <cell r="M1180">
            <v>4.3797788999999997E-2</v>
          </cell>
          <cell r="U1180" t="str">
            <v>2013MT</v>
          </cell>
          <cell r="V1180">
            <v>6.0520032000000001E-2</v>
          </cell>
          <cell r="W1180">
            <v>5.1214043000000001E-2</v>
          </cell>
          <cell r="X1180">
            <v>0.24859647000000001</v>
          </cell>
          <cell r="Y1180">
            <v>0.16530719099999999</v>
          </cell>
          <cell r="Z1180">
            <v>0.47436226399999998</v>
          </cell>
          <cell r="AB1180" t="str">
            <v>2013MT</v>
          </cell>
          <cell r="AC1180">
            <v>0</v>
          </cell>
          <cell r="AD1180">
            <v>0</v>
          </cell>
          <cell r="AE1180">
            <v>0.6</v>
          </cell>
          <cell r="AF1180">
            <v>0.4</v>
          </cell>
        </row>
        <row r="1181">
          <cell r="B1181" t="str">
            <v>2013NE</v>
          </cell>
          <cell r="C1181">
            <v>0.21260954807532403</v>
          </cell>
          <cell r="D1181">
            <v>0.30324255962083846</v>
          </cell>
          <cell r="E1181">
            <v>6.1277054134417128E-2</v>
          </cell>
          <cell r="F1181">
            <v>0.34696077142199511</v>
          </cell>
          <cell r="G1181">
            <v>3.6278454935301678E-2</v>
          </cell>
          <cell r="H1181">
            <v>3.9631611812123581E-2</v>
          </cell>
          <cell r="J1181" t="str">
            <v>2013NE</v>
          </cell>
          <cell r="K1181">
            <v>0.90244449100000002</v>
          </cell>
          <cell r="L1181">
            <v>3.6278455000000001E-2</v>
          </cell>
          <cell r="M1181">
            <v>6.1277053999999997E-2</v>
          </cell>
          <cell r="U1181" t="str">
            <v>2013NE</v>
          </cell>
          <cell r="V1181">
            <v>3.0063880000000001E-2</v>
          </cell>
          <cell r="W1181">
            <v>4.5295173000000001E-2</v>
          </cell>
          <cell r="X1181">
            <v>0.27751980599999998</v>
          </cell>
          <cell r="Y1181">
            <v>0.147715386</v>
          </cell>
          <cell r="Z1181">
            <v>0.49940575500000001</v>
          </cell>
          <cell r="AB1181" t="str">
            <v>2013NE</v>
          </cell>
          <cell r="AC1181">
            <v>0</v>
          </cell>
          <cell r="AD1181">
            <v>0</v>
          </cell>
          <cell r="AE1181">
            <v>0.02</v>
          </cell>
          <cell r="AF1181">
            <v>0.98</v>
          </cell>
        </row>
        <row r="1182">
          <cell r="B1182" t="str">
            <v>2013NV</v>
          </cell>
          <cell r="C1182">
            <v>0.64210148526116029</v>
          </cell>
          <cell r="D1182">
            <v>0.238399883587257</v>
          </cell>
          <cell r="E1182">
            <v>4.1594375177217181E-3</v>
          </cell>
          <cell r="F1182">
            <v>0.10819864870890922</v>
          </cell>
          <cell r="G1182">
            <v>2.4625525602432058E-3</v>
          </cell>
          <cell r="H1182">
            <v>4.677992364708553E-3</v>
          </cell>
          <cell r="J1182" t="str">
            <v>2013NV</v>
          </cell>
          <cell r="K1182">
            <v>0.99337800899999995</v>
          </cell>
          <cell r="L1182">
            <v>2.4625530000000001E-3</v>
          </cell>
          <cell r="M1182">
            <v>4.1594379999999997E-3</v>
          </cell>
          <cell r="U1182" t="str">
            <v>2013NV</v>
          </cell>
          <cell r="V1182">
            <v>0.35004114600000003</v>
          </cell>
          <cell r="W1182">
            <v>2.4048478000000002E-2</v>
          </cell>
          <cell r="X1182">
            <v>3.5747737000000002E-2</v>
          </cell>
          <cell r="Y1182">
            <v>0.38867539400000001</v>
          </cell>
          <cell r="Z1182">
            <v>0.20148724500000001</v>
          </cell>
          <cell r="AB1182" t="str">
            <v>2013NV</v>
          </cell>
          <cell r="AC1182">
            <v>0</v>
          </cell>
          <cell r="AD1182">
            <v>0</v>
          </cell>
          <cell r="AE1182">
            <v>0</v>
          </cell>
          <cell r="AF1182">
            <v>1</v>
          </cell>
        </row>
        <row r="1183">
          <cell r="B1183" t="str">
            <v>2013NH</v>
          </cell>
          <cell r="C1183">
            <v>9.4573445198850817E-2</v>
          </cell>
          <cell r="D1183">
            <v>0.16340842518862655</v>
          </cell>
          <cell r="E1183">
            <v>0.44298025846087286</v>
          </cell>
          <cell r="F1183">
            <v>0.20852129702854144</v>
          </cell>
          <cell r="G1183">
            <v>6.52134304627775E-2</v>
          </cell>
          <cell r="H1183">
            <v>2.5303143660330828E-2</v>
          </cell>
          <cell r="J1183" t="str">
            <v>2013NH</v>
          </cell>
          <cell r="K1183">
            <v>0.49180631200000002</v>
          </cell>
          <cell r="L1183">
            <v>6.5213430000000003E-2</v>
          </cell>
          <cell r="M1183">
            <v>0.44298025800000002</v>
          </cell>
          <cell r="U1183" t="str">
            <v>2013NH</v>
          </cell>
          <cell r="V1183">
            <v>0.56759962799999997</v>
          </cell>
          <cell r="W1183">
            <v>1.9025615999999999E-2</v>
          </cell>
          <cell r="X1183">
            <v>0.119342503</v>
          </cell>
          <cell r="Y1183">
            <v>9.1236478999999995E-2</v>
          </cell>
          <cell r="Z1183">
            <v>0.20279577500000001</v>
          </cell>
          <cell r="AB1183" t="str">
            <v>2013NH</v>
          </cell>
          <cell r="AC1183">
            <v>0</v>
          </cell>
          <cell r="AD1183">
            <v>0</v>
          </cell>
          <cell r="AE1183">
            <v>0.05</v>
          </cell>
          <cell r="AF1183">
            <v>0.95</v>
          </cell>
        </row>
        <row r="1184">
          <cell r="B1184" t="str">
            <v>2013NJ</v>
          </cell>
          <cell r="C1184">
            <v>5.8003576611346738E-2</v>
          </cell>
          <cell r="D1184">
            <v>0.13897871355240557</v>
          </cell>
          <cell r="E1184">
            <v>0.45397029129837874</v>
          </cell>
          <cell r="F1184">
            <v>0.24471653627570109</v>
          </cell>
          <cell r="G1184">
            <v>7.5126969581826603E-2</v>
          </cell>
          <cell r="H1184">
            <v>2.9203912680341212E-2</v>
          </cell>
          <cell r="J1184" t="str">
            <v>2013NJ</v>
          </cell>
          <cell r="K1184">
            <v>0.47090273900000001</v>
          </cell>
          <cell r="L1184">
            <v>7.5126970000000001E-2</v>
          </cell>
          <cell r="M1184">
            <v>0.45397029100000003</v>
          </cell>
          <cell r="U1184" t="str">
            <v>2013NJ</v>
          </cell>
          <cell r="V1184">
            <v>0.30808167400000003</v>
          </cell>
          <cell r="W1184">
            <v>3.3011736E-2</v>
          </cell>
          <cell r="X1184">
            <v>0.18818818500000001</v>
          </cell>
          <cell r="Y1184">
            <v>0.137437002</v>
          </cell>
          <cell r="Z1184">
            <v>0.333281404</v>
          </cell>
          <cell r="AB1184" t="str">
            <v>2013NJ</v>
          </cell>
          <cell r="AC1184">
            <v>0</v>
          </cell>
          <cell r="AD1184">
            <v>0</v>
          </cell>
          <cell r="AE1184">
            <v>0.05</v>
          </cell>
          <cell r="AF1184">
            <v>0.95</v>
          </cell>
        </row>
        <row r="1185">
          <cell r="B1185" t="str">
            <v>2013NM</v>
          </cell>
          <cell r="C1185">
            <v>0.61184589317007076</v>
          </cell>
          <cell r="D1185">
            <v>0.19452029294367307</v>
          </cell>
          <cell r="E1185">
            <v>9.8952813124742175E-2</v>
          </cell>
          <cell r="F1185">
            <v>9.4174237847419268E-2</v>
          </cell>
          <cell r="G1185">
            <v>0</v>
          </cell>
          <cell r="H1185">
            <v>5.0676291409465751E-4</v>
          </cell>
          <cell r="J1185" t="str">
            <v>2013NM</v>
          </cell>
          <cell r="K1185">
            <v>0.90104718699999997</v>
          </cell>
          <cell r="L1185">
            <v>0</v>
          </cell>
          <cell r="M1185">
            <v>9.8952813000000001E-2</v>
          </cell>
          <cell r="U1185" t="str">
            <v>2013NM</v>
          </cell>
          <cell r="V1185">
            <v>0.91655606099999998</v>
          </cell>
          <cell r="W1185">
            <v>3.6715329999999998E-3</v>
          </cell>
          <cell r="X1185">
            <v>2.3030526999999999E-2</v>
          </cell>
          <cell r="Y1185">
            <v>1.7606671000000001E-2</v>
          </cell>
          <cell r="Z1185">
            <v>3.9135206999999998E-2</v>
          </cell>
          <cell r="AB1185" t="str">
            <v>2013NM</v>
          </cell>
          <cell r="AC1185">
            <v>0</v>
          </cell>
          <cell r="AD1185">
            <v>0</v>
          </cell>
          <cell r="AE1185">
            <v>0.6</v>
          </cell>
          <cell r="AF1185">
            <v>0.4</v>
          </cell>
        </row>
        <row r="1186">
          <cell r="B1186" t="str">
            <v>2013NY</v>
          </cell>
          <cell r="C1186">
            <v>9.8408703041683282E-2</v>
          </cell>
          <cell r="D1186">
            <v>0.15954377256245178</v>
          </cell>
          <cell r="E1186">
            <v>0.44849165243165579</v>
          </cell>
          <cell r="F1186">
            <v>0.20287733376538455</v>
          </cell>
          <cell r="G1186">
            <v>7.0184973363303343E-2</v>
          </cell>
          <cell r="H1186">
            <v>2.0493564835521279E-2</v>
          </cell>
          <cell r="J1186" t="str">
            <v>2013NY</v>
          </cell>
          <cell r="K1186">
            <v>0.481323375</v>
          </cell>
          <cell r="L1186">
            <v>7.0184972999999998E-2</v>
          </cell>
          <cell r="M1186">
            <v>0.44849165200000002</v>
          </cell>
          <cell r="U1186" t="str">
            <v>2013NY</v>
          </cell>
          <cell r="V1186">
            <v>0.20441514899999999</v>
          </cell>
          <cell r="W1186">
            <v>4.1815811000000001E-2</v>
          </cell>
          <cell r="X1186">
            <v>0.21220383400000001</v>
          </cell>
          <cell r="Y1186">
            <v>0.145168144</v>
          </cell>
          <cell r="Z1186">
            <v>0.396397061</v>
          </cell>
          <cell r="AB1186" t="str">
            <v>2013NY</v>
          </cell>
          <cell r="AC1186">
            <v>0</v>
          </cell>
          <cell r="AD1186">
            <v>0</v>
          </cell>
          <cell r="AE1186">
            <v>0.05</v>
          </cell>
          <cell r="AF1186">
            <v>0.95</v>
          </cell>
        </row>
        <row r="1187">
          <cell r="B1187" t="str">
            <v>2013NC</v>
          </cell>
          <cell r="C1187">
            <v>6.168821577504751E-2</v>
          </cell>
          <cell r="D1187">
            <v>0.11278426418396881</v>
          </cell>
          <cell r="E1187">
            <v>0.15395779991170949</v>
          </cell>
          <cell r="F1187">
            <v>0.11589101949636353</v>
          </cell>
          <cell r="G1187">
            <v>0.54100750469043157</v>
          </cell>
          <cell r="H1187">
            <v>1.4671195942479084E-2</v>
          </cell>
          <cell r="J1187" t="str">
            <v>2013NC</v>
          </cell>
          <cell r="K1187">
            <v>0.30503469499999991</v>
          </cell>
          <cell r="L1187">
            <v>0.54100750500000006</v>
          </cell>
          <cell r="M1187">
            <v>0.15395780000000001</v>
          </cell>
          <cell r="U1187" t="str">
            <v>2013NC</v>
          </cell>
          <cell r="V1187">
            <v>2.4742549999999999E-3</v>
          </cell>
          <cell r="W1187">
            <v>3.7123251000000003E-2</v>
          </cell>
          <cell r="X1187">
            <v>6.1645423999999997E-2</v>
          </cell>
          <cell r="Y1187">
            <v>0.58464508599999998</v>
          </cell>
          <cell r="Z1187">
            <v>0.31411198400000001</v>
          </cell>
          <cell r="AB1187" t="str">
            <v>2013NC</v>
          </cell>
          <cell r="AC1187">
            <v>0</v>
          </cell>
          <cell r="AD1187">
            <v>0</v>
          </cell>
          <cell r="AE1187">
            <v>0.41899999999999998</v>
          </cell>
          <cell r="AF1187">
            <v>0.58099999999999996</v>
          </cell>
        </row>
        <row r="1188">
          <cell r="B1188" t="str">
            <v>2013ND</v>
          </cell>
          <cell r="C1188">
            <v>0.1196932700797023</v>
          </cell>
          <cell r="D1188">
            <v>0.21866711268457967</v>
          </cell>
          <cell r="E1188">
            <v>0.10978970169096619</v>
          </cell>
          <cell r="F1188">
            <v>0.448028418369537</v>
          </cell>
          <cell r="G1188">
            <v>6.499987314042277E-2</v>
          </cell>
          <cell r="H1188">
            <v>3.8821624034792085E-2</v>
          </cell>
          <cell r="J1188" t="str">
            <v>2013ND</v>
          </cell>
          <cell r="K1188">
            <v>0.82521042499999997</v>
          </cell>
          <cell r="L1188">
            <v>6.4999873E-2</v>
          </cell>
          <cell r="M1188">
            <v>0.109789702</v>
          </cell>
          <cell r="U1188" t="str">
            <v>2013ND</v>
          </cell>
          <cell r="V1188">
            <v>8.8434773999999994E-2</v>
          </cell>
          <cell r="W1188">
            <v>4.7868137999999998E-2</v>
          </cell>
          <cell r="X1188">
            <v>0.243186129</v>
          </cell>
          <cell r="Y1188">
            <v>0.16647603599999999</v>
          </cell>
          <cell r="Z1188">
            <v>0.45403492299999998</v>
          </cell>
          <cell r="AB1188" t="str">
            <v>2013ND</v>
          </cell>
          <cell r="AC1188">
            <v>0</v>
          </cell>
          <cell r="AD1188">
            <v>0</v>
          </cell>
          <cell r="AE1188">
            <v>0.02</v>
          </cell>
          <cell r="AF1188">
            <v>0.98</v>
          </cell>
        </row>
        <row r="1189">
          <cell r="B1189" t="str">
            <v>2013OH</v>
          </cell>
          <cell r="C1189">
            <v>0.10753833947858983</v>
          </cell>
          <cell r="D1189">
            <v>0.22522557822049544</v>
          </cell>
          <cell r="E1189">
            <v>0.13589110116557596</v>
          </cell>
          <cell r="F1189">
            <v>0.4097570212201273</v>
          </cell>
          <cell r="G1189">
            <v>8.0452940491062386E-2</v>
          </cell>
          <cell r="H1189">
            <v>4.1135019424149183E-2</v>
          </cell>
          <cell r="J1189" t="str">
            <v>2013OH</v>
          </cell>
          <cell r="K1189">
            <v>0.78365595900000007</v>
          </cell>
          <cell r="L1189">
            <v>8.0452940000000001E-2</v>
          </cell>
          <cell r="M1189">
            <v>0.13589110099999999</v>
          </cell>
          <cell r="U1189" t="str">
            <v>2013OH</v>
          </cell>
          <cell r="V1189">
            <v>6.6338901000000006E-2</v>
          </cell>
          <cell r="W1189">
            <v>4.3119113000000001E-2</v>
          </cell>
          <cell r="X1189">
            <v>0.26533305600000001</v>
          </cell>
          <cell r="Y1189">
            <v>0.15267545299999999</v>
          </cell>
          <cell r="Z1189">
            <v>0.47253347699999998</v>
          </cell>
          <cell r="AB1189" t="str">
            <v>2013OH</v>
          </cell>
          <cell r="AC1189">
            <v>0</v>
          </cell>
          <cell r="AD1189">
            <v>0</v>
          </cell>
          <cell r="AE1189">
            <v>0</v>
          </cell>
          <cell r="AF1189">
            <v>1</v>
          </cell>
        </row>
        <row r="1190">
          <cell r="B1190" t="str">
            <v>2013OK</v>
          </cell>
          <cell r="C1190">
            <v>0.40296958934788546</v>
          </cell>
          <cell r="D1190">
            <v>0.22528492954061258</v>
          </cell>
          <cell r="E1190">
            <v>6.4896255940651446E-2</v>
          </cell>
          <cell r="F1190">
            <v>0.24738177570149189</v>
          </cell>
          <cell r="G1190">
            <v>0</v>
          </cell>
          <cell r="H1190">
            <v>5.9467449469358676E-2</v>
          </cell>
          <cell r="J1190" t="str">
            <v>2013OK</v>
          </cell>
          <cell r="K1190">
            <v>0.93510374399999996</v>
          </cell>
          <cell r="L1190">
            <v>0</v>
          </cell>
          <cell r="M1190">
            <v>6.4896255999999999E-2</v>
          </cell>
          <cell r="U1190" t="str">
            <v>2013OK</v>
          </cell>
          <cell r="V1190">
            <v>1.2831308E-2</v>
          </cell>
          <cell r="W1190">
            <v>3.6793041999999998E-2</v>
          </cell>
          <cell r="X1190">
            <v>6.2749109999999997E-2</v>
          </cell>
          <cell r="Y1190">
            <v>0.57552135800000004</v>
          </cell>
          <cell r="Z1190">
            <v>0.31210518199999998</v>
          </cell>
          <cell r="AB1190" t="str">
            <v>2013OK</v>
          </cell>
          <cell r="AC1190">
            <v>0</v>
          </cell>
          <cell r="AD1190">
            <v>0</v>
          </cell>
          <cell r="AE1190">
            <v>0.6</v>
          </cell>
          <cell r="AF1190">
            <v>0.4</v>
          </cell>
        </row>
        <row r="1191">
          <cell r="B1191" t="str">
            <v>2013OR</v>
          </cell>
          <cell r="C1191">
            <v>0.43856747008812064</v>
          </cell>
          <cell r="D1191">
            <v>0.20958259090942544</v>
          </cell>
          <cell r="E1191">
            <v>0</v>
          </cell>
          <cell r="F1191">
            <v>0.12862948158709187</v>
          </cell>
          <cell r="G1191">
            <v>0.2018533708975031</v>
          </cell>
          <cell r="H1191">
            <v>2.1367086517858933E-2</v>
          </cell>
          <cell r="J1191" t="str">
            <v>2013OR</v>
          </cell>
          <cell r="K1191">
            <v>0.798146629</v>
          </cell>
          <cell r="L1191">
            <v>0.201853371</v>
          </cell>
          <cell r="M1191">
            <v>0</v>
          </cell>
          <cell r="U1191" t="str">
            <v>2013OR</v>
          </cell>
          <cell r="V1191">
            <v>0.57640796000000005</v>
          </cell>
          <cell r="W1191">
            <v>1.863805E-2</v>
          </cell>
          <cell r="X1191">
            <v>0.116911403</v>
          </cell>
          <cell r="Y1191">
            <v>8.937792E-2</v>
          </cell>
          <cell r="Z1191">
            <v>0.19866466699999999</v>
          </cell>
          <cell r="AB1191" t="str">
            <v>2013OR</v>
          </cell>
          <cell r="AC1191">
            <v>0</v>
          </cell>
          <cell r="AD1191">
            <v>0</v>
          </cell>
          <cell r="AE1191">
            <v>0.25</v>
          </cell>
          <cell r="AF1191">
            <v>0.75</v>
          </cell>
        </row>
        <row r="1192">
          <cell r="B1192" t="str">
            <v>2013PA</v>
          </cell>
          <cell r="C1192">
            <v>4.9624045569858895E-2</v>
          </cell>
          <cell r="D1192">
            <v>0.11712497857538914</v>
          </cell>
          <cell r="E1192">
            <v>0.46874549019831585</v>
          </cell>
          <cell r="F1192">
            <v>0.25230966018477574</v>
          </cell>
          <cell r="G1192">
            <v>8.8454910858433447E-2</v>
          </cell>
          <cell r="H1192">
            <v>2.3740914613226898E-2</v>
          </cell>
          <cell r="J1192" t="str">
            <v>2013PA</v>
          </cell>
          <cell r="K1192">
            <v>0.44279959899999999</v>
          </cell>
          <cell r="L1192">
            <v>8.8454910999999997E-2</v>
          </cell>
          <cell r="M1192">
            <v>0.46874548999999999</v>
          </cell>
          <cell r="U1192" t="str">
            <v>2013PA</v>
          </cell>
          <cell r="V1192">
            <v>5.0102499000000002E-2</v>
          </cell>
          <cell r="W1192">
            <v>4.9409870000000002E-2</v>
          </cell>
          <cell r="X1192">
            <v>0.25392279899999998</v>
          </cell>
          <cell r="Y1192">
            <v>0.17504710600000001</v>
          </cell>
          <cell r="Z1192">
            <v>0.47151772600000003</v>
          </cell>
          <cell r="AB1192" t="str">
            <v>2013PA</v>
          </cell>
          <cell r="AC1192">
            <v>0</v>
          </cell>
          <cell r="AD1192">
            <v>0</v>
          </cell>
          <cell r="AE1192">
            <v>0</v>
          </cell>
          <cell r="AF1192">
            <v>1</v>
          </cell>
        </row>
        <row r="1193">
          <cell r="B1193" t="str">
            <v>2013RI</v>
          </cell>
          <cell r="C1193">
            <v>4.2447025005926793E-2</v>
          </cell>
          <cell r="D1193">
            <v>0.1190174947032642</v>
          </cell>
          <cell r="E1193">
            <v>0.46784468707451643</v>
          </cell>
          <cell r="F1193">
            <v>0.25730854976835782</v>
          </cell>
          <cell r="G1193">
            <v>8.7642343040085183E-2</v>
          </cell>
          <cell r="H1193">
            <v>2.5739900407849584E-2</v>
          </cell>
          <cell r="J1193" t="str">
            <v>2013RI</v>
          </cell>
          <cell r="K1193">
            <v>0.44451297000000001</v>
          </cell>
          <cell r="L1193">
            <v>8.7642342999999998E-2</v>
          </cell>
          <cell r="M1193">
            <v>0.46784468699999998</v>
          </cell>
          <cell r="U1193" t="str">
            <v>2013RI</v>
          </cell>
          <cell r="V1193">
            <v>0.56026879500000004</v>
          </cell>
          <cell r="W1193">
            <v>1.9348173E-2</v>
          </cell>
          <cell r="X1193">
            <v>0.121365813</v>
          </cell>
          <cell r="Y1193">
            <v>9.2783283999999994E-2</v>
          </cell>
          <cell r="Z1193">
            <v>0.20623393500000001</v>
          </cell>
          <cell r="AB1193" t="str">
            <v>2013RI</v>
          </cell>
          <cell r="AC1193">
            <v>0</v>
          </cell>
          <cell r="AD1193">
            <v>0</v>
          </cell>
          <cell r="AE1193">
            <v>0.05</v>
          </cell>
          <cell r="AF1193">
            <v>0.95</v>
          </cell>
        </row>
        <row r="1194">
          <cell r="B1194" t="str">
            <v>2013SC</v>
          </cell>
          <cell r="C1194">
            <v>0.13346180610825578</v>
          </cell>
          <cell r="D1194">
            <v>9.0019723091430845E-2</v>
          </cell>
          <cell r="E1194">
            <v>0.15451296947775242</v>
          </cell>
          <cell r="F1194">
            <v>8.0687406490411034E-2</v>
          </cell>
          <cell r="G1194">
            <v>0.53771407690020812</v>
          </cell>
          <cell r="H1194">
            <v>3.6040179319418398E-3</v>
          </cell>
          <cell r="J1194" t="str">
            <v>2013SC</v>
          </cell>
          <cell r="K1194">
            <v>0.30777295400000004</v>
          </cell>
          <cell r="L1194">
            <v>0.53771407699999996</v>
          </cell>
          <cell r="M1194">
            <v>0.154512969</v>
          </cell>
          <cell r="U1194" t="str">
            <v>2013SC</v>
          </cell>
          <cell r="V1194">
            <v>6.1629585000000001E-2</v>
          </cell>
          <cell r="W1194">
            <v>3.5823032999999997E-2</v>
          </cell>
          <cell r="X1194">
            <v>8.6443989999999998E-2</v>
          </cell>
          <cell r="Y1194">
            <v>0.50014727299999995</v>
          </cell>
          <cell r="Z1194">
            <v>0.31595611899999998</v>
          </cell>
          <cell r="AB1194" t="str">
            <v>2013SC</v>
          </cell>
          <cell r="AC1194">
            <v>0</v>
          </cell>
          <cell r="AD1194">
            <v>0</v>
          </cell>
          <cell r="AE1194">
            <v>0.6</v>
          </cell>
          <cell r="AF1194">
            <v>0.4</v>
          </cell>
        </row>
        <row r="1195">
          <cell r="B1195" t="str">
            <v>2013SD</v>
          </cell>
          <cell r="C1195">
            <v>0.17608951911561277</v>
          </cell>
          <cell r="D1195">
            <v>0.277831368160596</v>
          </cell>
          <cell r="E1195">
            <v>7.9800561964795444E-2</v>
          </cell>
          <cell r="F1195">
            <v>0.37802114842972712</v>
          </cell>
          <cell r="G1195">
            <v>4.724510882492864E-2</v>
          </cell>
          <cell r="H1195">
            <v>4.1012293504340026E-2</v>
          </cell>
          <cell r="J1195" t="str">
            <v>2013SD</v>
          </cell>
          <cell r="K1195">
            <v>0.87295432900000003</v>
          </cell>
          <cell r="L1195">
            <v>4.7245109E-2</v>
          </cell>
          <cell r="M1195">
            <v>7.9800562000000005E-2</v>
          </cell>
          <cell r="U1195" t="str">
            <v>2013SD</v>
          </cell>
          <cell r="V1195">
            <v>3.3046748000000001E-2</v>
          </cell>
          <cell r="W1195">
            <v>5.1157264000000001E-2</v>
          </cell>
          <cell r="X1195">
            <v>0.25755016600000002</v>
          </cell>
          <cell r="Y1195">
            <v>0.17532273200000001</v>
          </cell>
          <cell r="Z1195">
            <v>0.48292308900000003</v>
          </cell>
          <cell r="AB1195" t="str">
            <v>2013SD</v>
          </cell>
          <cell r="AC1195">
            <v>0</v>
          </cell>
          <cell r="AD1195">
            <v>0</v>
          </cell>
          <cell r="AE1195">
            <v>0.02</v>
          </cell>
          <cell r="AF1195">
            <v>0.98</v>
          </cell>
        </row>
        <row r="1196">
          <cell r="B1196" t="str">
            <v>2013TN</v>
          </cell>
          <cell r="C1196">
            <v>4.0519949592449485E-2</v>
          </cell>
          <cell r="D1196">
            <v>8.9664149461423162E-2</v>
          </cell>
          <cell r="E1196">
            <v>0.14551684926860037</v>
          </cell>
          <cell r="F1196">
            <v>0.1170185785979804</v>
          </cell>
          <cell r="G1196">
            <v>0.59108168584929244</v>
          </cell>
          <cell r="H1196">
            <v>1.6198787230254148E-2</v>
          </cell>
          <cell r="J1196" t="str">
            <v>2013TN</v>
          </cell>
          <cell r="K1196">
            <v>0.26340146500000006</v>
          </cell>
          <cell r="L1196">
            <v>0.591081686</v>
          </cell>
          <cell r="M1196">
            <v>0.145516849</v>
          </cell>
          <cell r="U1196" t="str">
            <v>2013TN</v>
          </cell>
          <cell r="V1196">
            <v>0.102875089</v>
          </cell>
          <cell r="W1196">
            <v>3.5402429999999999E-2</v>
          </cell>
          <cell r="X1196">
            <v>0.119077104</v>
          </cell>
          <cell r="Y1196">
            <v>0.41436515099999999</v>
          </cell>
          <cell r="Z1196">
            <v>0.32828022600000001</v>
          </cell>
          <cell r="AB1196" t="str">
            <v>2013TN</v>
          </cell>
          <cell r="AC1196">
            <v>0</v>
          </cell>
          <cell r="AD1196">
            <v>0</v>
          </cell>
          <cell r="AE1196">
            <v>0.05</v>
          </cell>
          <cell r="AF1196">
            <v>0.95</v>
          </cell>
        </row>
        <row r="1197">
          <cell r="B1197" t="str">
            <v>2013TX</v>
          </cell>
          <cell r="C1197">
            <v>0.53305655520056971</v>
          </cell>
          <cell r="D1197">
            <v>0.24233312613196878</v>
          </cell>
          <cell r="E1197">
            <v>7.9791980793249173E-2</v>
          </cell>
          <cell r="F1197">
            <v>0.1278405091499755</v>
          </cell>
          <cell r="G1197">
            <v>0</v>
          </cell>
          <cell r="H1197">
            <v>1.6977828724236681E-2</v>
          </cell>
          <cell r="J1197" t="str">
            <v>2013TX</v>
          </cell>
          <cell r="K1197">
            <v>0.92020801900000004</v>
          </cell>
          <cell r="L1197">
            <v>0</v>
          </cell>
          <cell r="M1197">
            <v>7.9791980999999998E-2</v>
          </cell>
          <cell r="U1197" t="str">
            <v>2013TX</v>
          </cell>
          <cell r="V1197">
            <v>6.9632535999999995E-2</v>
          </cell>
          <cell r="W1197">
            <v>3.4700662E-2</v>
          </cell>
          <cell r="X1197">
            <v>5.9917572000000002E-2</v>
          </cell>
          <cell r="Y1197">
            <v>0.54104196599999999</v>
          </cell>
          <cell r="Z1197">
            <v>0.29470726400000002</v>
          </cell>
          <cell r="AB1197" t="str">
            <v>2013TX</v>
          </cell>
          <cell r="AC1197">
            <v>0</v>
          </cell>
          <cell r="AD1197">
            <v>0</v>
          </cell>
          <cell r="AE1197">
            <v>0.12</v>
          </cell>
          <cell r="AF1197">
            <v>0.88</v>
          </cell>
        </row>
        <row r="1198">
          <cell r="B1198" t="str">
            <v>2013UT</v>
          </cell>
          <cell r="C1198">
            <v>0.51165623152884221</v>
          </cell>
          <cell r="D1198">
            <v>0.26394677259150623</v>
          </cell>
          <cell r="E1198">
            <v>1.3999177703951423E-2</v>
          </cell>
          <cell r="F1198">
            <v>0.17036034814732054</v>
          </cell>
          <cell r="G1198">
            <v>8.2880703819413898E-3</v>
          </cell>
          <cell r="H1198">
            <v>3.1749399646438282E-2</v>
          </cell>
          <cell r="J1198" t="str">
            <v>2013UT</v>
          </cell>
          <cell r="K1198">
            <v>0.97771275199999996</v>
          </cell>
          <cell r="L1198">
            <v>8.2880699999999998E-3</v>
          </cell>
          <cell r="M1198">
            <v>1.3999177999999999E-2</v>
          </cell>
          <cell r="U1198" t="str">
            <v>2013UT</v>
          </cell>
          <cell r="V1198">
            <v>8.6456620000000001E-3</v>
          </cell>
          <cell r="W1198">
            <v>5.5424775000000003E-2</v>
          </cell>
          <cell r="X1198">
            <v>0.260824848</v>
          </cell>
          <cell r="Y1198">
            <v>0.16982515300000001</v>
          </cell>
          <cell r="Z1198">
            <v>0.50527956200000002</v>
          </cell>
          <cell r="AB1198" t="str">
            <v>2013UT</v>
          </cell>
          <cell r="AC1198">
            <v>0</v>
          </cell>
          <cell r="AD1198">
            <v>0</v>
          </cell>
          <cell r="AE1198">
            <v>0.6</v>
          </cell>
          <cell r="AF1198">
            <v>0.4</v>
          </cell>
        </row>
        <row r="1199">
          <cell r="B1199" t="str">
            <v>2013VT</v>
          </cell>
          <cell r="C1199">
            <v>9.9973781354903396E-2</v>
          </cell>
          <cell r="D1199">
            <v>0.17387691112967565</v>
          </cell>
          <cell r="E1199">
            <v>0.44423932842492886</v>
          </cell>
          <cell r="F1199">
            <v>0.19448861844630186</v>
          </cell>
          <cell r="G1199">
            <v>6.6349172232328182E-2</v>
          </cell>
          <cell r="H1199">
            <v>2.1072188411862088E-2</v>
          </cell>
          <cell r="J1199" t="str">
            <v>2013VT</v>
          </cell>
          <cell r="K1199">
            <v>0.4894115</v>
          </cell>
          <cell r="L1199">
            <v>6.6349171999999998E-2</v>
          </cell>
          <cell r="M1199">
            <v>0.44423932799999999</v>
          </cell>
          <cell r="U1199" t="str">
            <v>2013VT</v>
          </cell>
          <cell r="V1199">
            <v>0.86037974299999997</v>
          </cell>
          <cell r="W1199">
            <v>6.1432910000000004E-3</v>
          </cell>
          <cell r="X1199">
            <v>3.8535191000000003E-2</v>
          </cell>
          <cell r="Y1199">
            <v>2.9459874E-2</v>
          </cell>
          <cell r="Z1199">
            <v>6.5481899999999996E-2</v>
          </cell>
          <cell r="AB1199" t="str">
            <v>2013VT</v>
          </cell>
          <cell r="AC1199">
            <v>0</v>
          </cell>
          <cell r="AD1199">
            <v>0</v>
          </cell>
          <cell r="AE1199">
            <v>0.05</v>
          </cell>
          <cell r="AF1199">
            <v>0.95</v>
          </cell>
        </row>
        <row r="1200">
          <cell r="B1200" t="str">
            <v>2013VA</v>
          </cell>
          <cell r="C1200">
            <v>4.4953509549794296E-2</v>
          </cell>
          <cell r="D1200">
            <v>9.339670802378576E-2</v>
          </cell>
          <cell r="E1200">
            <v>0.14844092890155638</v>
          </cell>
          <cell r="F1200">
            <v>0.12331550684410268</v>
          </cell>
          <cell r="G1200">
            <v>0.5737351926100378</v>
          </cell>
          <cell r="H1200">
            <v>1.6158154070723133E-2</v>
          </cell>
          <cell r="J1200" t="str">
            <v>2013VA</v>
          </cell>
          <cell r="K1200">
            <v>0.27782387799999997</v>
          </cell>
          <cell r="L1200">
            <v>0.57373519299999998</v>
          </cell>
          <cell r="M1200">
            <v>0.148440929</v>
          </cell>
          <cell r="U1200" t="str">
            <v>2013VA</v>
          </cell>
          <cell r="V1200">
            <v>3.3934871999999998E-2</v>
          </cell>
          <cell r="W1200">
            <v>3.6244844999999998E-2</v>
          </cell>
          <cell r="X1200">
            <v>6.8933026999999994E-2</v>
          </cell>
          <cell r="Y1200">
            <v>0.550040046</v>
          </cell>
          <cell r="Z1200">
            <v>0.31084721100000001</v>
          </cell>
          <cell r="AB1200" t="str">
            <v>2013VA</v>
          </cell>
          <cell r="AC1200">
            <v>0</v>
          </cell>
          <cell r="AD1200">
            <v>0</v>
          </cell>
          <cell r="AE1200">
            <v>0.05</v>
          </cell>
          <cell r="AF1200">
            <v>0.95</v>
          </cell>
        </row>
        <row r="1201">
          <cell r="B1201" t="str">
            <v>2013WA</v>
          </cell>
          <cell r="C1201">
            <v>0.48742079910802349</v>
          </cell>
          <cell r="D1201">
            <v>0.21961274491816118</v>
          </cell>
          <cell r="E1201">
            <v>0</v>
          </cell>
          <cell r="F1201">
            <v>0.11254281869932067</v>
          </cell>
          <cell r="G1201">
            <v>0.16627589127589129</v>
          </cell>
          <cell r="H1201">
            <v>1.4147745998603438E-2</v>
          </cell>
          <cell r="J1201" t="str">
            <v>2013WA</v>
          </cell>
          <cell r="K1201">
            <v>0.83372410900000005</v>
          </cell>
          <cell r="L1201">
            <v>0.16627589100000001</v>
          </cell>
          <cell r="M1201">
            <v>0</v>
          </cell>
          <cell r="U1201" t="str">
            <v>2013WA</v>
          </cell>
          <cell r="V1201">
            <v>0.37353494700000001</v>
          </cell>
          <cell r="W1201">
            <v>3.1263627000000002E-2</v>
          </cell>
          <cell r="X1201">
            <v>0.168896926</v>
          </cell>
          <cell r="Y1201">
            <v>0.119853577</v>
          </cell>
          <cell r="Z1201">
            <v>0.30645092299999999</v>
          </cell>
          <cell r="AB1201" t="str">
            <v>2013WA</v>
          </cell>
          <cell r="AC1201">
            <v>0</v>
          </cell>
          <cell r="AD1201">
            <v>0</v>
          </cell>
          <cell r="AE1201">
            <v>0.12</v>
          </cell>
          <cell r="AF1201">
            <v>0.88</v>
          </cell>
        </row>
        <row r="1202">
          <cell r="B1202" t="str">
            <v>2013WV</v>
          </cell>
          <cell r="C1202">
            <v>6.8751812683186322E-2</v>
          </cell>
          <cell r="D1202">
            <v>0.15888641455628993</v>
          </cell>
          <cell r="E1202">
            <v>0.44831485363191043</v>
          </cell>
          <cell r="F1202">
            <v>0.22633984896592482</v>
          </cell>
          <cell r="G1202">
            <v>7.0025492327769459E-2</v>
          </cell>
          <cell r="H1202">
            <v>2.7681577834919095E-2</v>
          </cell>
          <cell r="J1202" t="str">
            <v>2013WV</v>
          </cell>
          <cell r="K1202">
            <v>0.48165965399999999</v>
          </cell>
          <cell r="L1202">
            <v>7.0025491999999995E-2</v>
          </cell>
          <cell r="M1202">
            <v>0.44831485399999998</v>
          </cell>
          <cell r="U1202" t="str">
            <v>2013WV</v>
          </cell>
          <cell r="V1202">
            <v>0.57920187499999998</v>
          </cell>
          <cell r="W1202">
            <v>2.1256934000000002E-2</v>
          </cell>
          <cell r="X1202">
            <v>0.113169981</v>
          </cell>
          <cell r="Y1202">
            <v>7.9649016000000003E-2</v>
          </cell>
          <cell r="Z1202">
            <v>0.206722194</v>
          </cell>
          <cell r="AB1202" t="str">
            <v>2013WV</v>
          </cell>
          <cell r="AC1202">
            <v>0</v>
          </cell>
          <cell r="AD1202">
            <v>0</v>
          </cell>
          <cell r="AE1202">
            <v>0.05</v>
          </cell>
          <cell r="AF1202">
            <v>0.95</v>
          </cell>
        </row>
        <row r="1203">
          <cell r="B1203" t="str">
            <v>2013WI</v>
          </cell>
          <cell r="C1203">
            <v>0.12203432597344931</v>
          </cell>
          <cell r="D1203">
            <v>0.23555629715568294</v>
          </cell>
          <cell r="E1203">
            <v>0.11540173598404266</v>
          </cell>
          <cell r="F1203">
            <v>0.42032708364290838</v>
          </cell>
          <cell r="G1203">
            <v>6.8322420806473022E-2</v>
          </cell>
          <cell r="H1203">
            <v>3.8358136437443673E-2</v>
          </cell>
          <cell r="J1203" t="str">
            <v>2013WI</v>
          </cell>
          <cell r="K1203">
            <v>0.816275843</v>
          </cell>
          <cell r="L1203">
            <v>6.8322420999999994E-2</v>
          </cell>
          <cell r="M1203">
            <v>0.115401736</v>
          </cell>
          <cell r="U1203" t="str">
            <v>2013WI</v>
          </cell>
          <cell r="V1203">
            <v>0.12883246500000001</v>
          </cell>
          <cell r="W1203">
            <v>4.2564396999999997E-2</v>
          </cell>
          <cell r="X1203">
            <v>0.23585646199999999</v>
          </cell>
          <cell r="Y1203">
            <v>0.16970626599999999</v>
          </cell>
          <cell r="Z1203">
            <v>0.42304040999999998</v>
          </cell>
          <cell r="AB1203" t="str">
            <v>2013WI</v>
          </cell>
          <cell r="AC1203">
            <v>0</v>
          </cell>
          <cell r="AD1203">
            <v>0</v>
          </cell>
          <cell r="AE1203">
            <v>0.02</v>
          </cell>
          <cell r="AF1203">
            <v>0.98</v>
          </cell>
        </row>
        <row r="1204">
          <cell r="B1204" t="str">
            <v>2013WY</v>
          </cell>
          <cell r="C1204">
            <v>0.29508724522063295</v>
          </cell>
          <cell r="D1204">
            <v>0.23251729773373622</v>
          </cell>
          <cell r="E1204">
            <v>0.12161775942187937</v>
          </cell>
          <cell r="F1204">
            <v>0.2207502472879718</v>
          </cell>
          <cell r="G1204">
            <v>7.2002554085590281E-2</v>
          </cell>
          <cell r="H1204">
            <v>5.8024896250189507E-2</v>
          </cell>
          <cell r="J1204" t="str">
            <v>2013WY</v>
          </cell>
          <cell r="K1204">
            <v>0.80637968699999996</v>
          </cell>
          <cell r="L1204">
            <v>7.2002553999999996E-2</v>
          </cell>
          <cell r="M1204">
            <v>0.12161775900000001</v>
          </cell>
          <cell r="U1204" t="str">
            <v>2013WY</v>
          </cell>
          <cell r="V1204">
            <v>3.2109568999999998E-2</v>
          </cell>
          <cell r="W1204">
            <v>5.3596850000000001E-2</v>
          </cell>
          <cell r="X1204">
            <v>0.25521061499999997</v>
          </cell>
          <cell r="Y1204">
            <v>0.16752597599999999</v>
          </cell>
          <cell r="Z1204">
            <v>0.49155699000000003</v>
          </cell>
          <cell r="AB1204" t="str">
            <v>2013WY</v>
          </cell>
          <cell r="AC1204">
            <v>0</v>
          </cell>
          <cell r="AD1204">
            <v>0</v>
          </cell>
          <cell r="AE1204">
            <v>0.6</v>
          </cell>
          <cell r="AF1204">
            <v>0.4</v>
          </cell>
        </row>
        <row r="1205">
          <cell r="B1205" t="str">
            <v>2014AL</v>
          </cell>
          <cell r="C1205">
            <v>0.17233560131521788</v>
          </cell>
          <cell r="D1205">
            <v>9.7606154746872412E-2</v>
          </cell>
          <cell r="E1205">
            <v>0.16919346457207346</v>
          </cell>
          <cell r="F1205">
            <v>0.1056405325382436</v>
          </cell>
          <cell r="G1205">
            <v>0.45062509818962659</v>
          </cell>
          <cell r="H1205">
            <v>4.5991486379660445E-3</v>
          </cell>
          <cell r="J1205" t="str">
            <v>2014AL</v>
          </cell>
          <cell r="K1205">
            <v>0.38018143700000007</v>
          </cell>
          <cell r="L1205">
            <v>0.450625098</v>
          </cell>
          <cell r="M1205">
            <v>0.16919346499999999</v>
          </cell>
          <cell r="U1205" t="str">
            <v>2014AL</v>
          </cell>
          <cell r="V1205">
            <v>5.3114938E-2</v>
          </cell>
          <cell r="W1205">
            <v>3.6058960000000001E-2</v>
          </cell>
          <cell r="X1205">
            <v>8.4414527000000003E-2</v>
          </cell>
          <cell r="Y1205">
            <v>0.50961295299999998</v>
          </cell>
          <cell r="Z1205">
            <v>0.316798623</v>
          </cell>
          <cell r="AB1205" t="str">
            <v>2014AL</v>
          </cell>
          <cell r="AC1205">
            <v>0</v>
          </cell>
          <cell r="AD1205">
            <v>0</v>
          </cell>
          <cell r="AE1205">
            <v>0.41899999999999998</v>
          </cell>
          <cell r="AF1205">
            <v>0.58099999999999996</v>
          </cell>
        </row>
        <row r="1206">
          <cell r="B1206" t="str">
            <v>2014AK</v>
          </cell>
          <cell r="C1206">
            <v>0.30334484066413492</v>
          </cell>
          <cell r="D1206">
            <v>0.23769937716735701</v>
          </cell>
          <cell r="E1206">
            <v>6.205843688929364E-2</v>
          </cell>
          <cell r="F1206">
            <v>0.28363994741136878</v>
          </cell>
          <cell r="G1206">
            <v>3.6741064625999714E-2</v>
          </cell>
          <cell r="H1206">
            <v>7.6516333241846021E-2</v>
          </cell>
          <cell r="J1206" t="str">
            <v>2014AK</v>
          </cell>
          <cell r="K1206">
            <v>0.90120049800000002</v>
          </cell>
          <cell r="L1206">
            <v>3.6741065000000003E-2</v>
          </cell>
          <cell r="M1206">
            <v>6.2058437000000001E-2</v>
          </cell>
          <cell r="U1206" t="str">
            <v>2014AK</v>
          </cell>
          <cell r="V1206">
            <v>0.52632575500000001</v>
          </cell>
          <cell r="W1206">
            <v>2.0841667000000001E-2</v>
          </cell>
          <cell r="X1206">
            <v>0.130734092</v>
          </cell>
          <cell r="Y1206">
            <v>9.9945266000000005E-2</v>
          </cell>
          <cell r="Z1206">
            <v>0.22215322100000001</v>
          </cell>
          <cell r="AB1206" t="str">
            <v>2014AK</v>
          </cell>
          <cell r="AC1206">
            <v>0</v>
          </cell>
          <cell r="AD1206">
            <v>0</v>
          </cell>
          <cell r="AE1206">
            <v>0.25</v>
          </cell>
          <cell r="AF1206">
            <v>0.75</v>
          </cell>
        </row>
        <row r="1207">
          <cell r="B1207" t="str">
            <v>2014AZ</v>
          </cell>
          <cell r="C1207">
            <v>0.611220636654217</v>
          </cell>
          <cell r="D1207">
            <v>0.19572797693407004</v>
          </cell>
          <cell r="E1207">
            <v>9.865488383487428E-2</v>
          </cell>
          <cell r="F1207">
            <v>9.3890669243012675E-2</v>
          </cell>
          <cell r="G1207">
            <v>0</v>
          </cell>
          <cell r="H1207">
            <v>5.0583333382575558E-4</v>
          </cell>
          <cell r="J1207" t="str">
            <v>2014AZ</v>
          </cell>
          <cell r="K1207">
            <v>0.901345116</v>
          </cell>
          <cell r="L1207">
            <v>0</v>
          </cell>
          <cell r="M1207">
            <v>9.8654883999999998E-2</v>
          </cell>
          <cell r="U1207" t="str">
            <v>2014AZ</v>
          </cell>
          <cell r="V1207">
            <v>0.136592664</v>
          </cell>
          <cell r="W1207">
            <v>3.2171241000000003E-2</v>
          </cell>
          <cell r="X1207">
            <v>5.4596316999999998E-2</v>
          </cell>
          <cell r="Y1207">
            <v>0.50386894699999996</v>
          </cell>
          <cell r="Z1207">
            <v>0.27277083200000002</v>
          </cell>
          <cell r="AB1207" t="str">
            <v>2014AZ</v>
          </cell>
          <cell r="AC1207">
            <v>0</v>
          </cell>
          <cell r="AD1207">
            <v>0</v>
          </cell>
          <cell r="AE1207">
            <v>0.6</v>
          </cell>
          <cell r="AF1207">
            <v>0.4</v>
          </cell>
        </row>
        <row r="1208">
          <cell r="B1208" t="str">
            <v>2014AR</v>
          </cell>
          <cell r="C1208">
            <v>9.6391342329605903E-2</v>
          </cell>
          <cell r="D1208">
            <v>6.6955456596874061E-2</v>
          </cell>
          <cell r="E1208">
            <v>0.14888335780531528</v>
          </cell>
          <cell r="F1208">
            <v>0.11118804006195876</v>
          </cell>
          <cell r="G1208">
            <v>0.57111057531117648</v>
          </cell>
          <cell r="H1208">
            <v>5.4712278950695761E-3</v>
          </cell>
          <cell r="J1208" t="str">
            <v>2014AR</v>
          </cell>
          <cell r="K1208">
            <v>0.28000606700000008</v>
          </cell>
          <cell r="L1208">
            <v>0.57111057499999995</v>
          </cell>
          <cell r="M1208">
            <v>0.14888335799999999</v>
          </cell>
          <cell r="U1208" t="str">
            <v>2014AR</v>
          </cell>
          <cell r="V1208">
            <v>3.9459004999999998E-2</v>
          </cell>
          <cell r="W1208">
            <v>3.7640482000000003E-2</v>
          </cell>
          <cell r="X1208">
            <v>0.11914443199999999</v>
          </cell>
          <cell r="Y1208">
            <v>0.45827781299999998</v>
          </cell>
          <cell r="Z1208">
            <v>0.34547826799999998</v>
          </cell>
          <cell r="AB1208" t="str">
            <v>2014AR</v>
          </cell>
          <cell r="AC1208">
            <v>0</v>
          </cell>
          <cell r="AD1208">
            <v>0</v>
          </cell>
          <cell r="AE1208">
            <v>0</v>
          </cell>
          <cell r="AF1208">
            <v>1</v>
          </cell>
        </row>
        <row r="1209">
          <cell r="B1209" t="str">
            <v>2014CA</v>
          </cell>
          <cell r="C1209">
            <v>0.58081862489107328</v>
          </cell>
          <cell r="D1209">
            <v>0.20720345916912225</v>
          </cell>
          <cell r="E1209">
            <v>0.10801924509893834</v>
          </cell>
          <cell r="F1209">
            <v>9.2431120719429966E-2</v>
          </cell>
          <cell r="G1209">
            <v>9.2523577326630076E-3</v>
          </cell>
          <cell r="H1209">
            <v>2.2751923887731596E-3</v>
          </cell>
          <cell r="J1209" t="str">
            <v>2014CA</v>
          </cell>
          <cell r="K1209">
            <v>0.88272839699999994</v>
          </cell>
          <cell r="L1209">
            <v>9.2523580000000005E-3</v>
          </cell>
          <cell r="M1209">
            <v>0.108019245</v>
          </cell>
          <cell r="U1209" t="str">
            <v>2014CA</v>
          </cell>
          <cell r="V1209">
            <v>0.133799526</v>
          </cell>
          <cell r="W1209">
            <v>3.2941353E-2</v>
          </cell>
          <cell r="X1209">
            <v>7.5800703999999997E-2</v>
          </cell>
          <cell r="Y1209">
            <v>0.46867659099999998</v>
          </cell>
          <cell r="Z1209">
            <v>0.28878182499999999</v>
          </cell>
          <cell r="AB1209" t="str">
            <v>2014CA</v>
          </cell>
          <cell r="AC1209">
            <v>0</v>
          </cell>
          <cell r="AD1209">
            <v>0</v>
          </cell>
          <cell r="AE1209">
            <v>0.12</v>
          </cell>
          <cell r="AF1209">
            <v>0.88</v>
          </cell>
        </row>
        <row r="1210">
          <cell r="B1210" t="str">
            <v>2014CO</v>
          </cell>
          <cell r="C1210">
            <v>0.61667904285785091</v>
          </cell>
          <cell r="D1210">
            <v>0.24212893570430052</v>
          </cell>
          <cell r="E1210">
            <v>1.1092391745361967E-2</v>
          </cell>
          <cell r="F1210">
            <v>0.11516410971780773</v>
          </cell>
          <cell r="G1210">
            <v>6.5671374014829543E-3</v>
          </cell>
          <cell r="H1210">
            <v>8.3683825731959392E-3</v>
          </cell>
          <cell r="J1210" t="str">
            <v>2014CO</v>
          </cell>
          <cell r="K1210">
            <v>0.98234047099999999</v>
          </cell>
          <cell r="L1210">
            <v>6.5671369999999998E-3</v>
          </cell>
          <cell r="M1210">
            <v>1.1092392E-2</v>
          </cell>
          <cell r="U1210" t="str">
            <v>2014CO</v>
          </cell>
          <cell r="V1210">
            <v>2.3378138E-2</v>
          </cell>
          <cell r="W1210">
            <v>5.3880426000000002E-2</v>
          </cell>
          <cell r="X1210">
            <v>0.25772948099999998</v>
          </cell>
          <cell r="Y1210">
            <v>0.169703665</v>
          </cell>
          <cell r="Z1210">
            <v>0.49530828999999998</v>
          </cell>
          <cell r="AB1210" t="str">
            <v>2014CO</v>
          </cell>
          <cell r="AC1210">
            <v>0</v>
          </cell>
          <cell r="AD1210">
            <v>0</v>
          </cell>
          <cell r="AE1210">
            <v>0.6</v>
          </cell>
          <cell r="AF1210">
            <v>0.4</v>
          </cell>
        </row>
        <row r="1211">
          <cell r="B1211" t="str">
            <v>2014CT</v>
          </cell>
          <cell r="C1211">
            <v>0.11572842393252261</v>
          </cell>
          <cell r="D1211">
            <v>0.20119880615243968</v>
          </cell>
          <cell r="E1211">
            <v>0.43233999756560143</v>
          </cell>
          <cell r="F1211">
            <v>0.17234541515575838</v>
          </cell>
          <cell r="G1211">
            <v>5.5615402487630847E-2</v>
          </cell>
          <cell r="H1211">
            <v>2.2771954706046996E-2</v>
          </cell>
          <cell r="J1211" t="str">
            <v>2014CT</v>
          </cell>
          <cell r="K1211">
            <v>0.51204460000000007</v>
          </cell>
          <cell r="L1211">
            <v>5.5615402000000001E-2</v>
          </cell>
          <cell r="M1211">
            <v>0.432339998</v>
          </cell>
          <cell r="U1211" t="str">
            <v>2014CT</v>
          </cell>
          <cell r="V1211">
            <v>0.57363861400000005</v>
          </cell>
          <cell r="W1211">
            <v>1.8759900999999999E-2</v>
          </cell>
          <cell r="X1211">
            <v>0.117675743</v>
          </cell>
          <cell r="Y1211">
            <v>8.9962252000000006E-2</v>
          </cell>
          <cell r="Z1211">
            <v>0.19996348999999999</v>
          </cell>
          <cell r="AB1211" t="str">
            <v>2014CT</v>
          </cell>
          <cell r="AC1211">
            <v>0</v>
          </cell>
          <cell r="AD1211">
            <v>0</v>
          </cell>
          <cell r="AE1211">
            <v>0.05</v>
          </cell>
          <cell r="AF1211">
            <v>0.95</v>
          </cell>
        </row>
        <row r="1212">
          <cell r="B1212" t="str">
            <v>2014DE</v>
          </cell>
          <cell r="C1212">
            <v>0.10201653895343663</v>
          </cell>
          <cell r="D1212">
            <v>0.1910091905838856</v>
          </cell>
          <cell r="E1212">
            <v>0.43707162937473454</v>
          </cell>
          <cell r="F1212">
            <v>0.18637975788177577</v>
          </cell>
          <cell r="G1212">
            <v>5.9883562349419175E-2</v>
          </cell>
          <cell r="H1212">
            <v>2.3639320856748244E-2</v>
          </cell>
          <cell r="J1212" t="str">
            <v>2014DE</v>
          </cell>
          <cell r="K1212">
            <v>0.50304480899999993</v>
          </cell>
          <cell r="L1212">
            <v>5.9883562000000001E-2</v>
          </cell>
          <cell r="M1212">
            <v>0.43707162900000002</v>
          </cell>
          <cell r="U1212" t="str">
            <v>2014DE</v>
          </cell>
          <cell r="V1212">
            <v>0.120253529</v>
          </cell>
          <cell r="W1212">
            <v>4.1631153999999997E-2</v>
          </cell>
          <cell r="X1212">
            <v>0.23964419100000001</v>
          </cell>
          <cell r="Y1212">
            <v>0.17588547500000001</v>
          </cell>
          <cell r="Z1212">
            <v>0.42258565100000001</v>
          </cell>
          <cell r="AB1212" t="str">
            <v>2014DE</v>
          </cell>
          <cell r="AC1212">
            <v>0</v>
          </cell>
          <cell r="AD1212">
            <v>0</v>
          </cell>
          <cell r="AE1212">
            <v>0.05</v>
          </cell>
          <cell r="AF1212">
            <v>0.95</v>
          </cell>
        </row>
        <row r="1213">
          <cell r="B1213" t="str">
            <v>2014FL</v>
          </cell>
          <cell r="C1213">
            <v>0.38654865924430459</v>
          </cell>
          <cell r="D1213">
            <v>0.14503983167997814</v>
          </cell>
          <cell r="E1213">
            <v>0.21616400084919535</v>
          </cell>
          <cell r="F1213">
            <v>7.8997496757044303E-2</v>
          </cell>
          <cell r="G1213">
            <v>0.17198217725399226</v>
          </cell>
          <cell r="H1213">
            <v>1.2678342154852779E-3</v>
          </cell>
          <cell r="J1213" t="str">
            <v>2014FL</v>
          </cell>
          <cell r="K1213">
            <v>0.61185382200000005</v>
          </cell>
          <cell r="L1213">
            <v>0.17198217700000001</v>
          </cell>
          <cell r="M1213">
            <v>0.21616400099999999</v>
          </cell>
          <cell r="U1213" t="str">
            <v>2014FL</v>
          </cell>
          <cell r="V1213">
            <v>0.71166924399999998</v>
          </cell>
          <cell r="W1213">
            <v>1.2686553E-2</v>
          </cell>
          <cell r="X1213">
            <v>7.9579288999999998E-2</v>
          </cell>
          <cell r="Y1213">
            <v>6.0837789000000003E-2</v>
          </cell>
          <cell r="Z1213">
            <v>0.135227124</v>
          </cell>
          <cell r="AB1213" t="str">
            <v>2014FL</v>
          </cell>
          <cell r="AC1213">
            <v>0</v>
          </cell>
          <cell r="AD1213">
            <v>0</v>
          </cell>
          <cell r="AE1213">
            <v>0.41899999999999998</v>
          </cell>
          <cell r="AF1213">
            <v>0.58099999999999996</v>
          </cell>
        </row>
        <row r="1214">
          <cell r="B1214" t="str">
            <v>2014GA</v>
          </cell>
          <cell r="C1214">
            <v>0.20823216155586291</v>
          </cell>
          <cell r="D1214">
            <v>0.11033206176717186</v>
          </cell>
          <cell r="E1214">
            <v>0.17733204084631207</v>
          </cell>
          <cell r="F1214">
            <v>9.7862793659120595E-2</v>
          </cell>
          <cell r="G1214">
            <v>0.40234468997942996</v>
          </cell>
          <cell r="H1214">
            <v>3.8962521921025758E-3</v>
          </cell>
          <cell r="J1214" t="str">
            <v>2014GA</v>
          </cell>
          <cell r="K1214">
            <v>0.42032326900000005</v>
          </cell>
          <cell r="L1214">
            <v>0.40234469</v>
          </cell>
          <cell r="M1214">
            <v>0.177332041</v>
          </cell>
          <cell r="U1214" t="str">
            <v>2014GA</v>
          </cell>
          <cell r="V1214">
            <v>7.8133266000000007E-2</v>
          </cell>
          <cell r="W1214">
            <v>3.5587817000000001E-2</v>
          </cell>
          <cell r="X1214">
            <v>9.7388838000000005E-2</v>
          </cell>
          <cell r="Y1214">
            <v>0.46952270200000001</v>
          </cell>
          <cell r="Z1214">
            <v>0.31936737799999998</v>
          </cell>
          <cell r="AB1214" t="str">
            <v>2014GA</v>
          </cell>
          <cell r="AC1214">
            <v>0</v>
          </cell>
          <cell r="AD1214">
            <v>0</v>
          </cell>
          <cell r="AE1214">
            <v>0.41899999999999998</v>
          </cell>
          <cell r="AF1214">
            <v>0.58099999999999996</v>
          </cell>
        </row>
        <row r="1215">
          <cell r="B1215" t="str">
            <v>2014HI</v>
          </cell>
          <cell r="C1215">
            <v>0.67137224197860923</v>
          </cell>
          <cell r="D1215">
            <v>0.21100034068527662</v>
          </cell>
          <cell r="E1215">
            <v>0</v>
          </cell>
          <cell r="F1215">
            <v>0.10820426646618357</v>
          </cell>
          <cell r="G1215">
            <v>7.5112148308577572E-3</v>
          </cell>
          <cell r="H1215">
            <v>1.9119360390725836E-3</v>
          </cell>
          <cell r="J1215" t="str">
            <v>2014HI</v>
          </cell>
          <cell r="K1215">
            <v>0.99248878500000004</v>
          </cell>
          <cell r="L1215">
            <v>7.5112149999999999E-3</v>
          </cell>
          <cell r="M1215">
            <v>0</v>
          </cell>
          <cell r="U1215" t="str">
            <v>2014HI</v>
          </cell>
          <cell r="V1215">
            <v>0.23216878499999999</v>
          </cell>
          <cell r="W1215">
            <v>3.2904865999999998E-2</v>
          </cell>
          <cell r="X1215">
            <v>0.18414778700000001</v>
          </cell>
          <cell r="Y1215">
            <v>0.21064765399999999</v>
          </cell>
          <cell r="Z1215">
            <v>0.34013090899999998</v>
          </cell>
          <cell r="AB1215" t="str">
            <v>2014HI</v>
          </cell>
          <cell r="AC1215">
            <v>0</v>
          </cell>
          <cell r="AD1215">
            <v>0</v>
          </cell>
          <cell r="AE1215">
            <v>0.25</v>
          </cell>
          <cell r="AF1215">
            <v>0.75</v>
          </cell>
        </row>
        <row r="1216">
          <cell r="B1216" t="str">
            <v>2014ID</v>
          </cell>
          <cell r="C1216">
            <v>0.62850843440764703</v>
          </cell>
          <cell r="D1216">
            <v>0.2329683972033782</v>
          </cell>
          <cell r="E1216">
            <v>6.4436683947772669E-3</v>
          </cell>
          <cell r="F1216">
            <v>0.11961222721284216</v>
          </cell>
          <cell r="G1216">
            <v>3.8149081541218642E-3</v>
          </cell>
          <cell r="H1216">
            <v>8.6523646272333287E-3</v>
          </cell>
          <cell r="J1216" t="str">
            <v>2014ID</v>
          </cell>
          <cell r="K1216">
            <v>0.98974142399999998</v>
          </cell>
          <cell r="L1216">
            <v>3.8149080000000001E-3</v>
          </cell>
          <cell r="M1216">
            <v>6.4436679999999996E-3</v>
          </cell>
          <cell r="U1216" t="str">
            <v>2014ID</v>
          </cell>
          <cell r="V1216">
            <v>0.460837895</v>
          </cell>
          <cell r="W1216">
            <v>2.6974237000000002E-2</v>
          </cell>
          <cell r="X1216">
            <v>0.14528671200000001</v>
          </cell>
          <cell r="Y1216">
            <v>0.102926191</v>
          </cell>
          <cell r="Z1216">
            <v>0.26397496599999998</v>
          </cell>
          <cell r="AB1216" t="str">
            <v>2014ID</v>
          </cell>
          <cell r="AC1216">
            <v>0</v>
          </cell>
          <cell r="AD1216">
            <v>0</v>
          </cell>
          <cell r="AE1216">
            <v>0.6</v>
          </cell>
          <cell r="AF1216">
            <v>0.4</v>
          </cell>
        </row>
        <row r="1217">
          <cell r="B1217" t="str">
            <v>2014IL</v>
          </cell>
          <cell r="C1217">
            <v>0.13175283144497188</v>
          </cell>
          <cell r="D1217">
            <v>0.26046159534668961</v>
          </cell>
          <cell r="E1217">
            <v>8.1383349234931596E-2</v>
          </cell>
          <cell r="F1217">
            <v>0.43207247933210829</v>
          </cell>
          <cell r="G1217">
            <v>4.8182181885357514E-2</v>
          </cell>
          <cell r="H1217">
            <v>4.6147562755941125E-2</v>
          </cell>
          <cell r="J1217" t="str">
            <v>2014IL</v>
          </cell>
          <cell r="K1217">
            <v>0.87043446899999999</v>
          </cell>
          <cell r="L1217">
            <v>4.8182181999999997E-2</v>
          </cell>
          <cell r="M1217">
            <v>8.1383348999999994E-2</v>
          </cell>
          <cell r="U1217" t="str">
            <v>2014IL</v>
          </cell>
          <cell r="V1217">
            <v>2.0186552999999999E-2</v>
          </cell>
          <cell r="W1217">
            <v>4.5739502000000001E-2</v>
          </cell>
          <cell r="X1217">
            <v>0.28028242399999997</v>
          </cell>
          <cell r="Y1217">
            <v>0.149587944</v>
          </cell>
          <cell r="Z1217">
            <v>0.50420357699999996</v>
          </cell>
          <cell r="AB1217" t="str">
            <v>2014IL</v>
          </cell>
          <cell r="AC1217">
            <v>0</v>
          </cell>
          <cell r="AD1217">
            <v>0</v>
          </cell>
          <cell r="AE1217">
            <v>0.02</v>
          </cell>
          <cell r="AF1217">
            <v>0.98</v>
          </cell>
        </row>
        <row r="1218">
          <cell r="B1218" t="str">
            <v>2014IN</v>
          </cell>
          <cell r="C1218">
            <v>0.16189917384296076</v>
          </cell>
          <cell r="D1218">
            <v>0.24163212738244233</v>
          </cell>
          <cell r="E1218">
            <v>0.13392208737361183</v>
          </cell>
          <cell r="F1218">
            <v>0.3491044693998876</v>
          </cell>
          <cell r="G1218">
            <v>7.9287205957511472E-2</v>
          </cell>
          <cell r="H1218">
            <v>3.4154936043586021E-2</v>
          </cell>
          <cell r="J1218" t="str">
            <v>2014IN</v>
          </cell>
          <cell r="K1218">
            <v>0.78679070699999998</v>
          </cell>
          <cell r="L1218">
            <v>7.9287205999999999E-2</v>
          </cell>
          <cell r="M1218">
            <v>0.133922087</v>
          </cell>
          <cell r="U1218" t="str">
            <v>2014IN</v>
          </cell>
          <cell r="V1218">
            <v>2.5489210000000002E-2</v>
          </cell>
          <cell r="W1218">
            <v>4.5536079E-2</v>
          </cell>
          <cell r="X1218">
            <v>0.27893099599999999</v>
          </cell>
          <cell r="Y1218">
            <v>0.14781887399999999</v>
          </cell>
          <cell r="Z1218">
            <v>0.50222484099999998</v>
          </cell>
          <cell r="AB1218" t="str">
            <v>2014IN</v>
          </cell>
          <cell r="AC1218">
            <v>0</v>
          </cell>
          <cell r="AD1218">
            <v>0</v>
          </cell>
          <cell r="AE1218">
            <v>0</v>
          </cell>
          <cell r="AF1218">
            <v>1</v>
          </cell>
        </row>
        <row r="1219">
          <cell r="B1219" t="str">
            <v>2014IA</v>
          </cell>
          <cell r="C1219">
            <v>0.13792614664225575</v>
          </cell>
          <cell r="D1219">
            <v>0.25047757969635848</v>
          </cell>
          <cell r="E1219">
            <v>0.10477197231415941</v>
          </cell>
          <cell r="F1219">
            <v>0.40507493125352922</v>
          </cell>
          <cell r="G1219">
            <v>6.2029177638731184E-2</v>
          </cell>
          <cell r="H1219">
            <v>3.9720192454965969E-2</v>
          </cell>
          <cell r="J1219" t="str">
            <v>2014IA</v>
          </cell>
          <cell r="K1219">
            <v>0.83319885000000005</v>
          </cell>
          <cell r="L1219">
            <v>6.2029177999999997E-2</v>
          </cell>
          <cell r="M1219">
            <v>0.104771972</v>
          </cell>
          <cell r="U1219" t="str">
            <v>2014IA</v>
          </cell>
          <cell r="V1219">
            <v>9.6502570000000006E-3</v>
          </cell>
          <cell r="W1219">
            <v>3.8739974000000003E-2</v>
          </cell>
          <cell r="X1219">
            <v>0.12067557499999999</v>
          </cell>
          <cell r="Y1219">
            <v>0.47629315999999999</v>
          </cell>
          <cell r="Z1219">
            <v>0.35464103499999999</v>
          </cell>
          <cell r="AB1219" t="str">
            <v>2014IA</v>
          </cell>
          <cell r="AC1219">
            <v>0</v>
          </cell>
          <cell r="AD1219">
            <v>0</v>
          </cell>
          <cell r="AE1219">
            <v>0</v>
          </cell>
          <cell r="AF1219">
            <v>1</v>
          </cell>
        </row>
        <row r="1220">
          <cell r="B1220" t="str">
            <v>2014KS</v>
          </cell>
          <cell r="C1220">
            <v>0.28758404285910905</v>
          </cell>
          <cell r="D1220">
            <v>0.32607606753917184</v>
          </cell>
          <cell r="E1220">
            <v>5.1050547933917619E-2</v>
          </cell>
          <cell r="F1220">
            <v>0.27762124338847843</v>
          </cell>
          <cell r="G1220">
            <v>3.0223956239483565E-2</v>
          </cell>
          <cell r="H1220">
            <v>2.7444142039839463E-2</v>
          </cell>
          <cell r="J1220" t="str">
            <v>2014KS</v>
          </cell>
          <cell r="K1220">
            <v>0.91872549599999997</v>
          </cell>
          <cell r="L1220">
            <v>3.0223956E-2</v>
          </cell>
          <cell r="M1220">
            <v>5.1050548000000001E-2</v>
          </cell>
          <cell r="U1220" t="str">
            <v>2014KS</v>
          </cell>
          <cell r="V1220">
            <v>2.3647662E-2</v>
          </cell>
          <cell r="W1220">
            <v>4.6272377000000003E-2</v>
          </cell>
          <cell r="X1220">
            <v>0.28189652199999998</v>
          </cell>
          <cell r="Y1220">
            <v>0.13395533500000001</v>
          </cell>
          <cell r="Z1220">
            <v>0.51422810299999999</v>
          </cell>
          <cell r="AB1220" t="str">
            <v>2014KS</v>
          </cell>
          <cell r="AC1220">
            <v>0</v>
          </cell>
          <cell r="AD1220">
            <v>0</v>
          </cell>
          <cell r="AE1220">
            <v>0.02</v>
          </cell>
          <cell r="AF1220">
            <v>0.98</v>
          </cell>
        </row>
        <row r="1221">
          <cell r="B1221" t="str">
            <v>2014KY</v>
          </cell>
          <cell r="C1221">
            <v>2.3305602928070858E-2</v>
          </cell>
          <cell r="D1221">
            <v>6.2885861766289422E-2</v>
          </cell>
          <cell r="E1221">
            <v>0.14165738300711325</v>
          </cell>
          <cell r="F1221">
            <v>0.14315421990856123</v>
          </cell>
          <cell r="G1221">
            <v>0.61397716539009373</v>
          </cell>
          <cell r="H1221">
            <v>1.5019766999871505E-2</v>
          </cell>
          <cell r="J1221" t="str">
            <v>2014KY</v>
          </cell>
          <cell r="K1221">
            <v>0.24436545200000004</v>
          </cell>
          <cell r="L1221">
            <v>0.61397716499999999</v>
          </cell>
          <cell r="M1221">
            <v>0.141657383</v>
          </cell>
          <cell r="U1221" t="str">
            <v>2014KY</v>
          </cell>
          <cell r="V1221">
            <v>4.9184704000000003E-2</v>
          </cell>
          <cell r="W1221">
            <v>3.7321891000000003E-2</v>
          </cell>
          <cell r="X1221">
            <v>0.11991215400000001</v>
          </cell>
          <cell r="Y1221">
            <v>0.45018075899999999</v>
          </cell>
          <cell r="Z1221">
            <v>0.34340049099999997</v>
          </cell>
          <cell r="AB1221" t="str">
            <v>2014KY</v>
          </cell>
          <cell r="AC1221">
            <v>0</v>
          </cell>
          <cell r="AD1221">
            <v>0</v>
          </cell>
          <cell r="AE1221">
            <v>0.05</v>
          </cell>
          <cell r="AF1221">
            <v>0.95</v>
          </cell>
        </row>
        <row r="1222">
          <cell r="B1222" t="str">
            <v>2014LA</v>
          </cell>
          <cell r="C1222">
            <v>8.7696493950327165E-2</v>
          </cell>
          <cell r="D1222">
            <v>6.4637521135916851E-2</v>
          </cell>
          <cell r="E1222">
            <v>0.14461730665558523</v>
          </cell>
          <cell r="F1222">
            <v>0.10160244529023774</v>
          </cell>
          <cell r="G1222">
            <v>0.59641803499629376</v>
          </cell>
          <cell r="H1222">
            <v>5.0281979716392446E-3</v>
          </cell>
          <cell r="J1222" t="str">
            <v>2014LA</v>
          </cell>
          <cell r="K1222">
            <v>0.25896465800000001</v>
          </cell>
          <cell r="L1222">
            <v>0.59641803500000001</v>
          </cell>
          <cell r="M1222">
            <v>0.144617307</v>
          </cell>
          <cell r="U1222" t="str">
            <v>2014LA</v>
          </cell>
          <cell r="V1222">
            <v>0.53551704700000002</v>
          </cell>
          <cell r="W1222">
            <v>2.0437250000000001E-2</v>
          </cell>
          <cell r="X1222">
            <v>0.12819729499999999</v>
          </cell>
          <cell r="Y1222">
            <v>9.8005903000000005E-2</v>
          </cell>
          <cell r="Z1222">
            <v>0.21784250499999999</v>
          </cell>
          <cell r="AB1222" t="str">
            <v>2014LA</v>
          </cell>
          <cell r="AC1222">
            <v>0</v>
          </cell>
          <cell r="AD1222">
            <v>0</v>
          </cell>
          <cell r="AE1222">
            <v>0.6</v>
          </cell>
          <cell r="AF1222">
            <v>0.4</v>
          </cell>
        </row>
        <row r="1223">
          <cell r="B1223" t="str">
            <v>2014ME</v>
          </cell>
          <cell r="C1223">
            <v>9.3713015315557757E-2</v>
          </cell>
          <cell r="D1223">
            <v>0.17210096338216258</v>
          </cell>
          <cell r="E1223">
            <v>0.44837154081607639</v>
          </cell>
          <cell r="F1223">
            <v>0.19633313267932656</v>
          </cell>
          <cell r="G1223">
            <v>7.0076626899074845E-2</v>
          </cell>
          <cell r="H1223">
            <v>1.9404720907801824E-2</v>
          </cell>
          <cell r="J1223" t="str">
            <v>2014ME</v>
          </cell>
          <cell r="K1223">
            <v>0.48155183200000007</v>
          </cell>
          <cell r="L1223">
            <v>7.0076627000000002E-2</v>
          </cell>
          <cell r="M1223">
            <v>0.44837154099999998</v>
          </cell>
          <cell r="U1223" t="str">
            <v>2014ME</v>
          </cell>
          <cell r="V1223">
            <v>0.72920202000000001</v>
          </cell>
          <cell r="W1223">
            <v>1.1915111000000001E-2</v>
          </cell>
          <cell r="X1223">
            <v>7.4740241999999998E-2</v>
          </cell>
          <cell r="Y1223">
            <v>5.7138373999999999E-2</v>
          </cell>
          <cell r="Z1223">
            <v>0.12700425300000001</v>
          </cell>
          <cell r="AB1223" t="str">
            <v>2014ME</v>
          </cell>
          <cell r="AC1223">
            <v>0</v>
          </cell>
          <cell r="AD1223">
            <v>0</v>
          </cell>
          <cell r="AE1223">
            <v>0.05</v>
          </cell>
          <cell r="AF1223">
            <v>0.95</v>
          </cell>
        </row>
        <row r="1224">
          <cell r="B1224" t="str">
            <v>2014MD</v>
          </cell>
          <cell r="C1224">
            <v>7.6488535055593554E-2</v>
          </cell>
          <cell r="D1224">
            <v>0.15472472257238745</v>
          </cell>
          <cell r="E1224">
            <v>0.44380834258126728</v>
          </cell>
          <cell r="F1224">
            <v>0.22861605738914034</v>
          </cell>
          <cell r="G1224">
            <v>6.5960402236453913E-2</v>
          </cell>
          <cell r="H1224">
            <v>3.0401940165157418E-2</v>
          </cell>
          <cell r="J1224" t="str">
            <v>2014MD</v>
          </cell>
          <cell r="K1224">
            <v>0.49023125499999998</v>
          </cell>
          <cell r="L1224">
            <v>6.5960402000000001E-2</v>
          </cell>
          <cell r="M1224">
            <v>0.44380834299999999</v>
          </cell>
          <cell r="U1224" t="str">
            <v>2014MD</v>
          </cell>
          <cell r="V1224">
            <v>0.21140679400000001</v>
          </cell>
          <cell r="W1224">
            <v>3.7602905999999998E-2</v>
          </cell>
          <cell r="X1224">
            <v>0.214504853</v>
          </cell>
          <cell r="Y1224">
            <v>0.15671048400000001</v>
          </cell>
          <cell r="Z1224">
            <v>0.37977496300000002</v>
          </cell>
          <cell r="AB1224" t="str">
            <v>2014MD</v>
          </cell>
          <cell r="AC1224">
            <v>0</v>
          </cell>
          <cell r="AD1224">
            <v>0</v>
          </cell>
          <cell r="AE1224">
            <v>0.05</v>
          </cell>
          <cell r="AF1224">
            <v>0.95</v>
          </cell>
        </row>
        <row r="1225">
          <cell r="B1225" t="str">
            <v>2014MA</v>
          </cell>
          <cell r="C1225">
            <v>6.1305440163427552E-2</v>
          </cell>
          <cell r="D1225">
            <v>0.14874705508142777</v>
          </cell>
          <cell r="E1225">
            <v>0.45216403673004657</v>
          </cell>
          <cell r="F1225">
            <v>0.23617268276189021</v>
          </cell>
          <cell r="G1225">
            <v>7.3497640935872632E-2</v>
          </cell>
          <cell r="H1225">
            <v>2.8113144327335336E-2</v>
          </cell>
          <cell r="J1225" t="str">
            <v>2014MA</v>
          </cell>
          <cell r="K1225">
            <v>0.47433832199999992</v>
          </cell>
          <cell r="L1225">
            <v>7.3497641000000002E-2</v>
          </cell>
          <cell r="M1225">
            <v>0.45216403700000002</v>
          </cell>
          <cell r="U1225" t="str">
            <v>2014MA</v>
          </cell>
          <cell r="V1225">
            <v>0.31419575799999999</v>
          </cell>
          <cell r="W1225">
            <v>3.0175387000000001E-2</v>
          </cell>
          <cell r="X1225">
            <v>0.18928197099999999</v>
          </cell>
          <cell r="Y1225">
            <v>0.14470469499999999</v>
          </cell>
          <cell r="Z1225">
            <v>0.32164218900000002</v>
          </cell>
          <cell r="AB1225" t="str">
            <v>2014MA</v>
          </cell>
          <cell r="AC1225">
            <v>0</v>
          </cell>
          <cell r="AD1225">
            <v>0</v>
          </cell>
          <cell r="AE1225">
            <v>0.05</v>
          </cell>
          <cell r="AF1225">
            <v>0.95</v>
          </cell>
        </row>
        <row r="1226">
          <cell r="B1226" t="str">
            <v>2014MI</v>
          </cell>
          <cell r="C1226">
            <v>0.21592740095911189</v>
          </cell>
          <cell r="D1226">
            <v>0.33044604004991018</v>
          </cell>
          <cell r="E1226">
            <v>5.8998863632555826E-2</v>
          </cell>
          <cell r="F1226">
            <v>0.32074430847532459</v>
          </cell>
          <cell r="G1226">
            <v>3.4929675483950956E-2</v>
          </cell>
          <cell r="H1226">
            <v>3.8953711399146676E-2</v>
          </cell>
          <cell r="J1226" t="str">
            <v>2014MI</v>
          </cell>
          <cell r="K1226">
            <v>0.90607146100000002</v>
          </cell>
          <cell r="L1226">
            <v>3.4929675E-2</v>
          </cell>
          <cell r="M1226">
            <v>5.8998863999999998E-2</v>
          </cell>
          <cell r="U1226" t="str">
            <v>2014MI</v>
          </cell>
          <cell r="V1226">
            <v>4.5127237000000001E-2</v>
          </cell>
          <cell r="W1226">
            <v>5.0500046999999999E-2</v>
          </cell>
          <cell r="X1226">
            <v>0.254352099</v>
          </cell>
          <cell r="Y1226">
            <v>0.17319266699999999</v>
          </cell>
          <cell r="Z1226">
            <v>0.47682794899999997</v>
          </cell>
          <cell r="AB1226" t="str">
            <v>2014MI</v>
          </cell>
          <cell r="AC1226">
            <v>0</v>
          </cell>
          <cell r="AD1226">
            <v>0</v>
          </cell>
          <cell r="AE1226">
            <v>0.02</v>
          </cell>
          <cell r="AF1226">
            <v>0.98</v>
          </cell>
        </row>
        <row r="1227">
          <cell r="B1227" t="str">
            <v>2014MN</v>
          </cell>
          <cell r="C1227">
            <v>0.11559741536790068</v>
          </cell>
          <cell r="D1227">
            <v>0.23915415867765383</v>
          </cell>
          <cell r="E1227">
            <v>0.10052931481156221</v>
          </cell>
          <cell r="F1227">
            <v>0.43822851849088174</v>
          </cell>
          <cell r="G1227">
            <v>5.9517355535203494E-2</v>
          </cell>
          <cell r="H1227">
            <v>4.697323711679801E-2</v>
          </cell>
          <cell r="J1227" t="str">
            <v>2014MN</v>
          </cell>
          <cell r="K1227">
            <v>0.83995332899999997</v>
          </cell>
          <cell r="L1227">
            <v>5.9517356E-2</v>
          </cell>
          <cell r="M1227">
            <v>0.10052931499999999</v>
          </cell>
          <cell r="U1227" t="str">
            <v>2014MN</v>
          </cell>
          <cell r="V1227">
            <v>1.5145339000000001E-2</v>
          </cell>
          <cell r="W1227">
            <v>5.1986831999999997E-2</v>
          </cell>
          <cell r="X1227">
            <v>0.262445557</v>
          </cell>
          <cell r="Y1227">
            <v>0.17896024199999999</v>
          </cell>
          <cell r="Z1227">
            <v>0.49146202900000002</v>
          </cell>
          <cell r="AB1227" t="str">
            <v>2014MN</v>
          </cell>
          <cell r="AC1227">
            <v>0</v>
          </cell>
          <cell r="AD1227">
            <v>0</v>
          </cell>
          <cell r="AE1227">
            <v>0</v>
          </cell>
          <cell r="AF1227">
            <v>1</v>
          </cell>
        </row>
        <row r="1228">
          <cell r="B1228" t="str">
            <v>2014MS</v>
          </cell>
          <cell r="C1228">
            <v>0.10416334210611014</v>
          </cell>
          <cell r="D1228">
            <v>7.2829933678422776E-2</v>
          </cell>
          <cell r="E1228">
            <v>0.14929269604113307</v>
          </cell>
          <cell r="F1228">
            <v>0.10019278631941281</v>
          </cell>
          <cell r="G1228">
            <v>0.56868226150598644</v>
          </cell>
          <cell r="H1228">
            <v>4.838980348934833E-3</v>
          </cell>
          <cell r="J1228" t="str">
            <v>2014MS</v>
          </cell>
          <cell r="K1228">
            <v>0.28202504199999989</v>
          </cell>
          <cell r="L1228">
            <v>0.56868226200000005</v>
          </cell>
          <cell r="M1228">
            <v>0.149292696</v>
          </cell>
          <cell r="U1228" t="str">
            <v>2014MS</v>
          </cell>
          <cell r="V1228">
            <v>2.1100625000000001E-2</v>
          </cell>
          <cell r="W1228">
            <v>3.6418512E-2</v>
          </cell>
          <cell r="X1228">
            <v>6.0129593000000002E-2</v>
          </cell>
          <cell r="Y1228">
            <v>0.574366987</v>
          </cell>
          <cell r="Z1228">
            <v>0.30798428300000003</v>
          </cell>
          <cell r="AB1228" t="str">
            <v>2014MS</v>
          </cell>
          <cell r="AC1228">
            <v>0</v>
          </cell>
          <cell r="AD1228">
            <v>0</v>
          </cell>
          <cell r="AE1228">
            <v>0.6</v>
          </cell>
          <cell r="AF1228">
            <v>0.4</v>
          </cell>
        </row>
        <row r="1229">
          <cell r="B1229" t="str">
            <v>2014MO</v>
          </cell>
          <cell r="C1229">
            <v>6.4925479522277466E-2</v>
          </cell>
          <cell r="D1229">
            <v>0.18170303563698134</v>
          </cell>
          <cell r="E1229">
            <v>0.14337282997597614</v>
          </cell>
          <cell r="F1229">
            <v>0.47880340852502545</v>
          </cell>
          <cell r="G1229">
            <v>8.4882421727070459E-2</v>
          </cell>
          <cell r="H1229">
            <v>4.6312824612669105E-2</v>
          </cell>
          <cell r="J1229" t="str">
            <v>2014MO</v>
          </cell>
          <cell r="K1229">
            <v>0.77174474799999992</v>
          </cell>
          <cell r="L1229">
            <v>8.4882421999999999E-2</v>
          </cell>
          <cell r="M1229">
            <v>0.14337283000000001</v>
          </cell>
          <cell r="U1229" t="str">
            <v>2014MO</v>
          </cell>
          <cell r="V1229">
            <v>2.998994E-2</v>
          </cell>
          <cell r="W1229">
            <v>4.5757142000000001E-2</v>
          </cell>
          <cell r="X1229">
            <v>0.27926039899999999</v>
          </cell>
          <cell r="Y1229">
            <v>0.13775391300000001</v>
          </cell>
          <cell r="Z1229">
            <v>0.50723860600000004</v>
          </cell>
          <cell r="AB1229" t="str">
            <v>2014MO</v>
          </cell>
          <cell r="AC1229">
            <v>0</v>
          </cell>
          <cell r="AD1229">
            <v>0</v>
          </cell>
          <cell r="AE1229">
            <v>0</v>
          </cell>
          <cell r="AF1229">
            <v>1</v>
          </cell>
        </row>
        <row r="1230">
          <cell r="B1230" t="str">
            <v>2014MT</v>
          </cell>
          <cell r="C1230">
            <v>0.35597781750083307</v>
          </cell>
          <cell r="D1230">
            <v>0.25924389885240834</v>
          </cell>
          <cell r="E1230">
            <v>4.3797789125912777E-2</v>
          </cell>
          <cell r="F1230">
            <v>0.25058080537727367</v>
          </cell>
          <cell r="G1230">
            <v>2.5930034358127463E-2</v>
          </cell>
          <cell r="H1230">
            <v>6.4469654785444572E-2</v>
          </cell>
          <cell r="J1230" t="str">
            <v>2014MT</v>
          </cell>
          <cell r="K1230">
            <v>0.93027217699999998</v>
          </cell>
          <cell r="L1230">
            <v>2.5930034000000001E-2</v>
          </cell>
          <cell r="M1230">
            <v>4.3797788999999997E-2</v>
          </cell>
          <cell r="U1230" t="str">
            <v>2014MT</v>
          </cell>
          <cell r="V1230">
            <v>6.0520032000000001E-2</v>
          </cell>
          <cell r="W1230">
            <v>5.1214043000000001E-2</v>
          </cell>
          <cell r="X1230">
            <v>0.24859647000000001</v>
          </cell>
          <cell r="Y1230">
            <v>0.16530719099999999</v>
          </cell>
          <cell r="Z1230">
            <v>0.47436226399999998</v>
          </cell>
          <cell r="AB1230" t="str">
            <v>2014MT</v>
          </cell>
          <cell r="AC1230">
            <v>0</v>
          </cell>
          <cell r="AD1230">
            <v>0</v>
          </cell>
          <cell r="AE1230">
            <v>0.6</v>
          </cell>
          <cell r="AF1230">
            <v>0.4</v>
          </cell>
        </row>
        <row r="1231">
          <cell r="B1231" t="str">
            <v>2014NE</v>
          </cell>
          <cell r="C1231">
            <v>0.21260954807532403</v>
          </cell>
          <cell r="D1231">
            <v>0.30324255962083846</v>
          </cell>
          <cell r="E1231">
            <v>6.1277054134417128E-2</v>
          </cell>
          <cell r="F1231">
            <v>0.34696077142199511</v>
          </cell>
          <cell r="G1231">
            <v>3.6278454935301678E-2</v>
          </cell>
          <cell r="H1231">
            <v>3.9631611812123581E-2</v>
          </cell>
          <cell r="J1231" t="str">
            <v>2014NE</v>
          </cell>
          <cell r="K1231">
            <v>0.90244449100000002</v>
          </cell>
          <cell r="L1231">
            <v>3.6278455000000001E-2</v>
          </cell>
          <cell r="M1231">
            <v>6.1277053999999997E-2</v>
          </cell>
          <cell r="U1231" t="str">
            <v>2014NE</v>
          </cell>
          <cell r="V1231">
            <v>3.0063880000000001E-2</v>
          </cell>
          <cell r="W1231">
            <v>4.5295173000000001E-2</v>
          </cell>
          <cell r="X1231">
            <v>0.27751980599999998</v>
          </cell>
          <cell r="Y1231">
            <v>0.147715386</v>
          </cell>
          <cell r="Z1231">
            <v>0.49940575500000001</v>
          </cell>
          <cell r="AB1231" t="str">
            <v>2014NE</v>
          </cell>
          <cell r="AC1231">
            <v>0</v>
          </cell>
          <cell r="AD1231">
            <v>0</v>
          </cell>
          <cell r="AE1231">
            <v>0.02</v>
          </cell>
          <cell r="AF1231">
            <v>0.98</v>
          </cell>
        </row>
        <row r="1232">
          <cell r="B1232" t="str">
            <v>2014NV</v>
          </cell>
          <cell r="C1232">
            <v>0.64210148526116029</v>
          </cell>
          <cell r="D1232">
            <v>0.238399883587257</v>
          </cell>
          <cell r="E1232">
            <v>4.1594375177217181E-3</v>
          </cell>
          <cell r="F1232">
            <v>0.10819864870890922</v>
          </cell>
          <cell r="G1232">
            <v>2.4625525602432058E-3</v>
          </cell>
          <cell r="H1232">
            <v>4.677992364708553E-3</v>
          </cell>
          <cell r="J1232" t="str">
            <v>2014NV</v>
          </cell>
          <cell r="K1232">
            <v>0.99337800899999995</v>
          </cell>
          <cell r="L1232">
            <v>2.4625530000000001E-3</v>
          </cell>
          <cell r="M1232">
            <v>4.1594379999999997E-3</v>
          </cell>
          <cell r="U1232" t="str">
            <v>2014NV</v>
          </cell>
          <cell r="V1232">
            <v>0.35004114600000003</v>
          </cell>
          <cell r="W1232">
            <v>2.4048478000000002E-2</v>
          </cell>
          <cell r="X1232">
            <v>3.5747737000000002E-2</v>
          </cell>
          <cell r="Y1232">
            <v>0.38867539400000001</v>
          </cell>
          <cell r="Z1232">
            <v>0.20148724500000001</v>
          </cell>
          <cell r="AB1232" t="str">
            <v>2014NV</v>
          </cell>
          <cell r="AC1232">
            <v>0</v>
          </cell>
          <cell r="AD1232">
            <v>0</v>
          </cell>
          <cell r="AE1232">
            <v>0</v>
          </cell>
          <cell r="AF1232">
            <v>1</v>
          </cell>
        </row>
        <row r="1233">
          <cell r="B1233" t="str">
            <v>2014NH</v>
          </cell>
          <cell r="C1233">
            <v>9.4573445198850817E-2</v>
          </cell>
          <cell r="D1233">
            <v>0.16340842518862655</v>
          </cell>
          <cell r="E1233">
            <v>0.44298025846087286</v>
          </cell>
          <cell r="F1233">
            <v>0.20852129702854144</v>
          </cell>
          <cell r="G1233">
            <v>6.52134304627775E-2</v>
          </cell>
          <cell r="H1233">
            <v>2.5303143660330828E-2</v>
          </cell>
          <cell r="J1233" t="str">
            <v>2014NH</v>
          </cell>
          <cell r="K1233">
            <v>0.49180631200000002</v>
          </cell>
          <cell r="L1233">
            <v>6.5213430000000003E-2</v>
          </cell>
          <cell r="M1233">
            <v>0.44298025800000002</v>
          </cell>
          <cell r="U1233" t="str">
            <v>2014NH</v>
          </cell>
          <cell r="V1233">
            <v>0.56759962799999997</v>
          </cell>
          <cell r="W1233">
            <v>1.9025615999999999E-2</v>
          </cell>
          <cell r="X1233">
            <v>0.119342503</v>
          </cell>
          <cell r="Y1233">
            <v>9.1236478999999995E-2</v>
          </cell>
          <cell r="Z1233">
            <v>0.20279577500000001</v>
          </cell>
          <cell r="AB1233" t="str">
            <v>2014NH</v>
          </cell>
          <cell r="AC1233">
            <v>0</v>
          </cell>
          <cell r="AD1233">
            <v>0</v>
          </cell>
          <cell r="AE1233">
            <v>0.05</v>
          </cell>
          <cell r="AF1233">
            <v>0.95</v>
          </cell>
        </row>
        <row r="1234">
          <cell r="B1234" t="str">
            <v>2014NJ</v>
          </cell>
          <cell r="C1234">
            <v>5.8003576611346738E-2</v>
          </cell>
          <cell r="D1234">
            <v>0.13897871355240557</v>
          </cell>
          <cell r="E1234">
            <v>0.45397029129837874</v>
          </cell>
          <cell r="F1234">
            <v>0.24471653627570109</v>
          </cell>
          <cell r="G1234">
            <v>7.5126969581826603E-2</v>
          </cell>
          <cell r="H1234">
            <v>2.9203912680341212E-2</v>
          </cell>
          <cell r="J1234" t="str">
            <v>2014NJ</v>
          </cell>
          <cell r="K1234">
            <v>0.47090273900000001</v>
          </cell>
          <cell r="L1234">
            <v>7.5126970000000001E-2</v>
          </cell>
          <cell r="M1234">
            <v>0.45397029100000003</v>
          </cell>
          <cell r="U1234" t="str">
            <v>2014NJ</v>
          </cell>
          <cell r="V1234">
            <v>0.30808167400000003</v>
          </cell>
          <cell r="W1234">
            <v>3.3011736E-2</v>
          </cell>
          <cell r="X1234">
            <v>0.18818818500000001</v>
          </cell>
          <cell r="Y1234">
            <v>0.137437002</v>
          </cell>
          <cell r="Z1234">
            <v>0.333281404</v>
          </cell>
          <cell r="AB1234" t="str">
            <v>2014NJ</v>
          </cell>
          <cell r="AC1234">
            <v>0</v>
          </cell>
          <cell r="AD1234">
            <v>0</v>
          </cell>
          <cell r="AE1234">
            <v>0.05</v>
          </cell>
          <cell r="AF1234">
            <v>0.95</v>
          </cell>
        </row>
        <row r="1235">
          <cell r="B1235" t="str">
            <v>2014NM</v>
          </cell>
          <cell r="C1235">
            <v>0.61184589317007076</v>
          </cell>
          <cell r="D1235">
            <v>0.19452029294367307</v>
          </cell>
          <cell r="E1235">
            <v>9.8952813124742175E-2</v>
          </cell>
          <cell r="F1235">
            <v>9.4174237847419268E-2</v>
          </cell>
          <cell r="G1235">
            <v>0</v>
          </cell>
          <cell r="H1235">
            <v>5.0676291409465751E-4</v>
          </cell>
          <cell r="J1235" t="str">
            <v>2014NM</v>
          </cell>
          <cell r="K1235">
            <v>0.90104718699999997</v>
          </cell>
          <cell r="L1235">
            <v>0</v>
          </cell>
          <cell r="M1235">
            <v>9.8952813000000001E-2</v>
          </cell>
          <cell r="U1235" t="str">
            <v>2014NM</v>
          </cell>
          <cell r="V1235">
            <v>0.91655606099999998</v>
          </cell>
          <cell r="W1235">
            <v>3.6715329999999998E-3</v>
          </cell>
          <cell r="X1235">
            <v>2.3030526999999999E-2</v>
          </cell>
          <cell r="Y1235">
            <v>1.7606671000000001E-2</v>
          </cell>
          <cell r="Z1235">
            <v>3.9135206999999998E-2</v>
          </cell>
          <cell r="AB1235" t="str">
            <v>2014NM</v>
          </cell>
          <cell r="AC1235">
            <v>0</v>
          </cell>
          <cell r="AD1235">
            <v>0</v>
          </cell>
          <cell r="AE1235">
            <v>0.6</v>
          </cell>
          <cell r="AF1235">
            <v>0.4</v>
          </cell>
        </row>
        <row r="1236">
          <cell r="B1236" t="str">
            <v>2014NY</v>
          </cell>
          <cell r="C1236">
            <v>9.8408703041683282E-2</v>
          </cell>
          <cell r="D1236">
            <v>0.15954377256245178</v>
          </cell>
          <cell r="E1236">
            <v>0.44849165243165579</v>
          </cell>
          <cell r="F1236">
            <v>0.20287733376538455</v>
          </cell>
          <cell r="G1236">
            <v>7.0184973363303343E-2</v>
          </cell>
          <cell r="H1236">
            <v>2.0493564835521279E-2</v>
          </cell>
          <cell r="J1236" t="str">
            <v>2014NY</v>
          </cell>
          <cell r="K1236">
            <v>0.481323375</v>
          </cell>
          <cell r="L1236">
            <v>7.0184972999999998E-2</v>
          </cell>
          <cell r="M1236">
            <v>0.44849165200000002</v>
          </cell>
          <cell r="U1236" t="str">
            <v>2014NY</v>
          </cell>
          <cell r="V1236">
            <v>0.20441514899999999</v>
          </cell>
          <cell r="W1236">
            <v>4.1815811000000001E-2</v>
          </cell>
          <cell r="X1236">
            <v>0.21220383400000001</v>
          </cell>
          <cell r="Y1236">
            <v>0.145168144</v>
          </cell>
          <cell r="Z1236">
            <v>0.396397061</v>
          </cell>
          <cell r="AB1236" t="str">
            <v>2014NY</v>
          </cell>
          <cell r="AC1236">
            <v>0</v>
          </cell>
          <cell r="AD1236">
            <v>0</v>
          </cell>
          <cell r="AE1236">
            <v>0.05</v>
          </cell>
          <cell r="AF1236">
            <v>0.95</v>
          </cell>
        </row>
        <row r="1237">
          <cell r="B1237" t="str">
            <v>2014NC</v>
          </cell>
          <cell r="C1237">
            <v>6.168821577504751E-2</v>
          </cell>
          <cell r="D1237">
            <v>0.11278426418396881</v>
          </cell>
          <cell r="E1237">
            <v>0.15395779991170949</v>
          </cell>
          <cell r="F1237">
            <v>0.11589101949636353</v>
          </cell>
          <cell r="G1237">
            <v>0.54100750469043157</v>
          </cell>
          <cell r="H1237">
            <v>1.4671195942479084E-2</v>
          </cell>
          <cell r="J1237" t="str">
            <v>2014NC</v>
          </cell>
          <cell r="K1237">
            <v>0.30503469499999991</v>
          </cell>
          <cell r="L1237">
            <v>0.54100750500000006</v>
          </cell>
          <cell r="M1237">
            <v>0.15395780000000001</v>
          </cell>
          <cell r="U1237" t="str">
            <v>2014NC</v>
          </cell>
          <cell r="V1237">
            <v>2.4742549999999999E-3</v>
          </cell>
          <cell r="W1237">
            <v>3.7123251000000003E-2</v>
          </cell>
          <cell r="X1237">
            <v>6.1645423999999997E-2</v>
          </cell>
          <cell r="Y1237">
            <v>0.58464508599999998</v>
          </cell>
          <cell r="Z1237">
            <v>0.31411198400000001</v>
          </cell>
          <cell r="AB1237" t="str">
            <v>2014NC</v>
          </cell>
          <cell r="AC1237">
            <v>0</v>
          </cell>
          <cell r="AD1237">
            <v>0</v>
          </cell>
          <cell r="AE1237">
            <v>0.41899999999999998</v>
          </cell>
          <cell r="AF1237">
            <v>0.58099999999999996</v>
          </cell>
        </row>
        <row r="1238">
          <cell r="B1238" t="str">
            <v>2014ND</v>
          </cell>
          <cell r="C1238">
            <v>0.1196932700797023</v>
          </cell>
          <cell r="D1238">
            <v>0.21866711268457967</v>
          </cell>
          <cell r="E1238">
            <v>0.10978970169096619</v>
          </cell>
          <cell r="F1238">
            <v>0.448028418369537</v>
          </cell>
          <cell r="G1238">
            <v>6.499987314042277E-2</v>
          </cell>
          <cell r="H1238">
            <v>3.8821624034792085E-2</v>
          </cell>
          <cell r="J1238" t="str">
            <v>2014ND</v>
          </cell>
          <cell r="K1238">
            <v>0.82521042499999997</v>
          </cell>
          <cell r="L1238">
            <v>6.4999873E-2</v>
          </cell>
          <cell r="M1238">
            <v>0.109789702</v>
          </cell>
          <cell r="U1238" t="str">
            <v>2014ND</v>
          </cell>
          <cell r="V1238">
            <v>8.8434773999999994E-2</v>
          </cell>
          <cell r="W1238">
            <v>4.7868137999999998E-2</v>
          </cell>
          <cell r="X1238">
            <v>0.243186129</v>
          </cell>
          <cell r="Y1238">
            <v>0.16647603599999999</v>
          </cell>
          <cell r="Z1238">
            <v>0.45403492299999998</v>
          </cell>
          <cell r="AB1238" t="str">
            <v>2014ND</v>
          </cell>
          <cell r="AC1238">
            <v>0</v>
          </cell>
          <cell r="AD1238">
            <v>0</v>
          </cell>
          <cell r="AE1238">
            <v>0.02</v>
          </cell>
          <cell r="AF1238">
            <v>0.98</v>
          </cell>
        </row>
        <row r="1239">
          <cell r="B1239" t="str">
            <v>2014OH</v>
          </cell>
          <cell r="C1239">
            <v>0.10753833947858983</v>
          </cell>
          <cell r="D1239">
            <v>0.22522557822049544</v>
          </cell>
          <cell r="E1239">
            <v>0.13589110116557596</v>
          </cell>
          <cell r="F1239">
            <v>0.4097570212201273</v>
          </cell>
          <cell r="G1239">
            <v>8.0452940491062386E-2</v>
          </cell>
          <cell r="H1239">
            <v>4.1135019424149183E-2</v>
          </cell>
          <cell r="J1239" t="str">
            <v>2014OH</v>
          </cell>
          <cell r="K1239">
            <v>0.78365595900000007</v>
          </cell>
          <cell r="L1239">
            <v>8.0452940000000001E-2</v>
          </cell>
          <cell r="M1239">
            <v>0.13589110099999999</v>
          </cell>
          <cell r="U1239" t="str">
            <v>2014OH</v>
          </cell>
          <cell r="V1239">
            <v>6.6338901000000006E-2</v>
          </cell>
          <cell r="W1239">
            <v>4.3119113000000001E-2</v>
          </cell>
          <cell r="X1239">
            <v>0.26533305600000001</v>
          </cell>
          <cell r="Y1239">
            <v>0.15267545299999999</v>
          </cell>
          <cell r="Z1239">
            <v>0.47253347699999998</v>
          </cell>
          <cell r="AB1239" t="str">
            <v>2014OH</v>
          </cell>
          <cell r="AC1239">
            <v>0</v>
          </cell>
          <cell r="AD1239">
            <v>0</v>
          </cell>
          <cell r="AE1239">
            <v>0</v>
          </cell>
          <cell r="AF1239">
            <v>1</v>
          </cell>
        </row>
        <row r="1240">
          <cell r="B1240" t="str">
            <v>2014OK</v>
          </cell>
          <cell r="C1240">
            <v>0.40296958934788546</v>
          </cell>
          <cell r="D1240">
            <v>0.22528492954061258</v>
          </cell>
          <cell r="E1240">
            <v>6.4896255940651446E-2</v>
          </cell>
          <cell r="F1240">
            <v>0.24738177570149189</v>
          </cell>
          <cell r="G1240">
            <v>0</v>
          </cell>
          <cell r="H1240">
            <v>5.9467449469358676E-2</v>
          </cell>
          <cell r="J1240" t="str">
            <v>2014OK</v>
          </cell>
          <cell r="K1240">
            <v>0.93510374399999996</v>
          </cell>
          <cell r="L1240">
            <v>0</v>
          </cell>
          <cell r="M1240">
            <v>6.4896255999999999E-2</v>
          </cell>
          <cell r="U1240" t="str">
            <v>2014OK</v>
          </cell>
          <cell r="V1240">
            <v>1.2831308E-2</v>
          </cell>
          <cell r="W1240">
            <v>3.6793041999999998E-2</v>
          </cell>
          <cell r="X1240">
            <v>6.2749109999999997E-2</v>
          </cell>
          <cell r="Y1240">
            <v>0.57552135800000004</v>
          </cell>
          <cell r="Z1240">
            <v>0.31210518199999998</v>
          </cell>
          <cell r="AB1240" t="str">
            <v>2014OK</v>
          </cell>
          <cell r="AC1240">
            <v>0</v>
          </cell>
          <cell r="AD1240">
            <v>0</v>
          </cell>
          <cell r="AE1240">
            <v>0.6</v>
          </cell>
          <cell r="AF1240">
            <v>0.4</v>
          </cell>
        </row>
        <row r="1241">
          <cell r="B1241" t="str">
            <v>2014OR</v>
          </cell>
          <cell r="C1241">
            <v>0.43856747008812064</v>
          </cell>
          <cell r="D1241">
            <v>0.20958259090942544</v>
          </cell>
          <cell r="E1241">
            <v>0</v>
          </cell>
          <cell r="F1241">
            <v>0.12862948158709187</v>
          </cell>
          <cell r="G1241">
            <v>0.2018533708975031</v>
          </cell>
          <cell r="H1241">
            <v>2.1367086517858933E-2</v>
          </cell>
          <cell r="J1241" t="str">
            <v>2014OR</v>
          </cell>
          <cell r="K1241">
            <v>0.798146629</v>
          </cell>
          <cell r="L1241">
            <v>0.201853371</v>
          </cell>
          <cell r="M1241">
            <v>0</v>
          </cell>
          <cell r="U1241" t="str">
            <v>2014OR</v>
          </cell>
          <cell r="V1241">
            <v>0.57640796000000005</v>
          </cell>
          <cell r="W1241">
            <v>1.863805E-2</v>
          </cell>
          <cell r="X1241">
            <v>0.116911403</v>
          </cell>
          <cell r="Y1241">
            <v>8.937792E-2</v>
          </cell>
          <cell r="Z1241">
            <v>0.19866466699999999</v>
          </cell>
          <cell r="AB1241" t="str">
            <v>2014OR</v>
          </cell>
          <cell r="AC1241">
            <v>0</v>
          </cell>
          <cell r="AD1241">
            <v>0</v>
          </cell>
          <cell r="AE1241">
            <v>0.25</v>
          </cell>
          <cell r="AF1241">
            <v>0.75</v>
          </cell>
        </row>
        <row r="1242">
          <cell r="B1242" t="str">
            <v>2014PA</v>
          </cell>
          <cell r="C1242">
            <v>4.9624045569858895E-2</v>
          </cell>
          <cell r="D1242">
            <v>0.11712497857538914</v>
          </cell>
          <cell r="E1242">
            <v>0.46874549019831585</v>
          </cell>
          <cell r="F1242">
            <v>0.25230966018477574</v>
          </cell>
          <cell r="G1242">
            <v>8.8454910858433447E-2</v>
          </cell>
          <cell r="H1242">
            <v>2.3740914613226898E-2</v>
          </cell>
          <cell r="J1242" t="str">
            <v>2014PA</v>
          </cell>
          <cell r="K1242">
            <v>0.44279959899999999</v>
          </cell>
          <cell r="L1242">
            <v>8.8454910999999997E-2</v>
          </cell>
          <cell r="M1242">
            <v>0.46874548999999999</v>
          </cell>
          <cell r="U1242" t="str">
            <v>2014PA</v>
          </cell>
          <cell r="V1242">
            <v>5.0102499000000002E-2</v>
          </cell>
          <cell r="W1242">
            <v>4.9409870000000002E-2</v>
          </cell>
          <cell r="X1242">
            <v>0.25392279899999998</v>
          </cell>
          <cell r="Y1242">
            <v>0.17504710600000001</v>
          </cell>
          <cell r="Z1242">
            <v>0.47151772600000003</v>
          </cell>
          <cell r="AB1242" t="str">
            <v>2014PA</v>
          </cell>
          <cell r="AC1242">
            <v>0</v>
          </cell>
          <cell r="AD1242">
            <v>0</v>
          </cell>
          <cell r="AE1242">
            <v>0</v>
          </cell>
          <cell r="AF1242">
            <v>1</v>
          </cell>
        </row>
        <row r="1243">
          <cell r="B1243" t="str">
            <v>2014RI</v>
          </cell>
          <cell r="C1243">
            <v>4.2447025005926793E-2</v>
          </cell>
          <cell r="D1243">
            <v>0.1190174947032642</v>
          </cell>
          <cell r="E1243">
            <v>0.46784468707451643</v>
          </cell>
          <cell r="F1243">
            <v>0.25730854976835782</v>
          </cell>
          <cell r="G1243">
            <v>8.7642343040085183E-2</v>
          </cell>
          <cell r="H1243">
            <v>2.5739900407849584E-2</v>
          </cell>
          <cell r="J1243" t="str">
            <v>2014RI</v>
          </cell>
          <cell r="K1243">
            <v>0.44451297000000001</v>
          </cell>
          <cell r="L1243">
            <v>8.7642342999999998E-2</v>
          </cell>
          <cell r="M1243">
            <v>0.46784468699999998</v>
          </cell>
          <cell r="U1243" t="str">
            <v>2014RI</v>
          </cell>
          <cell r="V1243">
            <v>0.56026879500000004</v>
          </cell>
          <cell r="W1243">
            <v>1.9348173E-2</v>
          </cell>
          <cell r="X1243">
            <v>0.121365813</v>
          </cell>
          <cell r="Y1243">
            <v>9.2783283999999994E-2</v>
          </cell>
          <cell r="Z1243">
            <v>0.20623393500000001</v>
          </cell>
          <cell r="AB1243" t="str">
            <v>2014RI</v>
          </cell>
          <cell r="AC1243">
            <v>0</v>
          </cell>
          <cell r="AD1243">
            <v>0</v>
          </cell>
          <cell r="AE1243">
            <v>0.05</v>
          </cell>
          <cell r="AF1243">
            <v>0.95</v>
          </cell>
        </row>
        <row r="1244">
          <cell r="B1244" t="str">
            <v>2014SC</v>
          </cell>
          <cell r="C1244">
            <v>0.13346180610825578</v>
          </cell>
          <cell r="D1244">
            <v>9.0019723091430845E-2</v>
          </cell>
          <cell r="E1244">
            <v>0.15451296947775242</v>
          </cell>
          <cell r="F1244">
            <v>8.0687406490411034E-2</v>
          </cell>
          <cell r="G1244">
            <v>0.53771407690020812</v>
          </cell>
          <cell r="H1244">
            <v>3.6040179319418398E-3</v>
          </cell>
          <cell r="J1244" t="str">
            <v>2014SC</v>
          </cell>
          <cell r="K1244">
            <v>0.30777295400000004</v>
          </cell>
          <cell r="L1244">
            <v>0.53771407699999996</v>
          </cell>
          <cell r="M1244">
            <v>0.154512969</v>
          </cell>
          <cell r="U1244" t="str">
            <v>2014SC</v>
          </cell>
          <cell r="V1244">
            <v>6.1629585000000001E-2</v>
          </cell>
          <cell r="W1244">
            <v>3.5823032999999997E-2</v>
          </cell>
          <cell r="X1244">
            <v>8.6443989999999998E-2</v>
          </cell>
          <cell r="Y1244">
            <v>0.50014727299999995</v>
          </cell>
          <cell r="Z1244">
            <v>0.31595611899999998</v>
          </cell>
          <cell r="AB1244" t="str">
            <v>2014SC</v>
          </cell>
          <cell r="AC1244">
            <v>0</v>
          </cell>
          <cell r="AD1244">
            <v>0</v>
          </cell>
          <cell r="AE1244">
            <v>0.6</v>
          </cell>
          <cell r="AF1244">
            <v>0.4</v>
          </cell>
        </row>
        <row r="1245">
          <cell r="B1245" t="str">
            <v>2014SD</v>
          </cell>
          <cell r="C1245">
            <v>0.17608951911561277</v>
          </cell>
          <cell r="D1245">
            <v>0.277831368160596</v>
          </cell>
          <cell r="E1245">
            <v>7.9800561964795444E-2</v>
          </cell>
          <cell r="F1245">
            <v>0.37802114842972712</v>
          </cell>
          <cell r="G1245">
            <v>4.724510882492864E-2</v>
          </cell>
          <cell r="H1245">
            <v>4.1012293504340026E-2</v>
          </cell>
          <cell r="J1245" t="str">
            <v>2014SD</v>
          </cell>
          <cell r="K1245">
            <v>0.87295432900000003</v>
          </cell>
          <cell r="L1245">
            <v>4.7245109E-2</v>
          </cell>
          <cell r="M1245">
            <v>7.9800562000000005E-2</v>
          </cell>
          <cell r="U1245" t="str">
            <v>2014SD</v>
          </cell>
          <cell r="V1245">
            <v>3.3046748000000001E-2</v>
          </cell>
          <cell r="W1245">
            <v>5.1157264000000001E-2</v>
          </cell>
          <cell r="X1245">
            <v>0.25755016600000002</v>
          </cell>
          <cell r="Y1245">
            <v>0.17532273200000001</v>
          </cell>
          <cell r="Z1245">
            <v>0.48292308900000003</v>
          </cell>
          <cell r="AB1245" t="str">
            <v>2014SD</v>
          </cell>
          <cell r="AC1245">
            <v>0</v>
          </cell>
          <cell r="AD1245">
            <v>0</v>
          </cell>
          <cell r="AE1245">
            <v>0.02</v>
          </cell>
          <cell r="AF1245">
            <v>0.98</v>
          </cell>
        </row>
        <row r="1246">
          <cell r="B1246" t="str">
            <v>2014TN</v>
          </cell>
          <cell r="C1246">
            <v>4.0519949592449485E-2</v>
          </cell>
          <cell r="D1246">
            <v>8.9664149461423162E-2</v>
          </cell>
          <cell r="E1246">
            <v>0.14551684926860037</v>
          </cell>
          <cell r="F1246">
            <v>0.1170185785979804</v>
          </cell>
          <cell r="G1246">
            <v>0.59108168584929244</v>
          </cell>
          <cell r="H1246">
            <v>1.6198787230254148E-2</v>
          </cell>
          <cell r="J1246" t="str">
            <v>2014TN</v>
          </cell>
          <cell r="K1246">
            <v>0.26340146500000006</v>
          </cell>
          <cell r="L1246">
            <v>0.591081686</v>
          </cell>
          <cell r="M1246">
            <v>0.145516849</v>
          </cell>
          <cell r="U1246" t="str">
            <v>2014TN</v>
          </cell>
          <cell r="V1246">
            <v>0.102875089</v>
          </cell>
          <cell r="W1246">
            <v>3.5402429999999999E-2</v>
          </cell>
          <cell r="X1246">
            <v>0.119077104</v>
          </cell>
          <cell r="Y1246">
            <v>0.41436515099999999</v>
          </cell>
          <cell r="Z1246">
            <v>0.32828022600000001</v>
          </cell>
          <cell r="AB1246" t="str">
            <v>2014TN</v>
          </cell>
          <cell r="AC1246">
            <v>0</v>
          </cell>
          <cell r="AD1246">
            <v>0</v>
          </cell>
          <cell r="AE1246">
            <v>0.05</v>
          </cell>
          <cell r="AF1246">
            <v>0.95</v>
          </cell>
        </row>
        <row r="1247">
          <cell r="B1247" t="str">
            <v>2014TX</v>
          </cell>
          <cell r="C1247">
            <v>0.53305655520056971</v>
          </cell>
          <cell r="D1247">
            <v>0.24233312613196878</v>
          </cell>
          <cell r="E1247">
            <v>7.9791980793249173E-2</v>
          </cell>
          <cell r="F1247">
            <v>0.1278405091499755</v>
          </cell>
          <cell r="G1247">
            <v>0</v>
          </cell>
          <cell r="H1247">
            <v>1.6977828724236681E-2</v>
          </cell>
          <cell r="J1247" t="str">
            <v>2014TX</v>
          </cell>
          <cell r="K1247">
            <v>0.92020801900000004</v>
          </cell>
          <cell r="L1247">
            <v>0</v>
          </cell>
          <cell r="M1247">
            <v>7.9791980999999998E-2</v>
          </cell>
          <cell r="U1247" t="str">
            <v>2014TX</v>
          </cell>
          <cell r="V1247">
            <v>6.9632535999999995E-2</v>
          </cell>
          <cell r="W1247">
            <v>3.4700662E-2</v>
          </cell>
          <cell r="X1247">
            <v>5.9917572000000002E-2</v>
          </cell>
          <cell r="Y1247">
            <v>0.54104196599999999</v>
          </cell>
          <cell r="Z1247">
            <v>0.29470726400000002</v>
          </cell>
          <cell r="AB1247" t="str">
            <v>2014TX</v>
          </cell>
          <cell r="AC1247">
            <v>0</v>
          </cell>
          <cell r="AD1247">
            <v>0</v>
          </cell>
          <cell r="AE1247">
            <v>0.12</v>
          </cell>
          <cell r="AF1247">
            <v>0.88</v>
          </cell>
        </row>
        <row r="1248">
          <cell r="B1248" t="str">
            <v>2014UT</v>
          </cell>
          <cell r="C1248">
            <v>0.51165623152884221</v>
          </cell>
          <cell r="D1248">
            <v>0.26394677259150623</v>
          </cell>
          <cell r="E1248">
            <v>1.3999177703951423E-2</v>
          </cell>
          <cell r="F1248">
            <v>0.17036034814732054</v>
          </cell>
          <cell r="G1248">
            <v>8.2880703819413898E-3</v>
          </cell>
          <cell r="H1248">
            <v>3.1749399646438282E-2</v>
          </cell>
          <cell r="J1248" t="str">
            <v>2014UT</v>
          </cell>
          <cell r="K1248">
            <v>0.97771275199999996</v>
          </cell>
          <cell r="L1248">
            <v>8.2880699999999998E-3</v>
          </cell>
          <cell r="M1248">
            <v>1.3999177999999999E-2</v>
          </cell>
          <cell r="U1248" t="str">
            <v>2014UT</v>
          </cell>
          <cell r="V1248">
            <v>8.6456620000000001E-3</v>
          </cell>
          <cell r="W1248">
            <v>5.5424775000000003E-2</v>
          </cell>
          <cell r="X1248">
            <v>0.260824848</v>
          </cell>
          <cell r="Y1248">
            <v>0.16982515300000001</v>
          </cell>
          <cell r="Z1248">
            <v>0.50527956200000002</v>
          </cell>
          <cell r="AB1248" t="str">
            <v>2014UT</v>
          </cell>
          <cell r="AC1248">
            <v>0</v>
          </cell>
          <cell r="AD1248">
            <v>0</v>
          </cell>
          <cell r="AE1248">
            <v>0.6</v>
          </cell>
          <cell r="AF1248">
            <v>0.4</v>
          </cell>
        </row>
        <row r="1249">
          <cell r="B1249" t="str">
            <v>2014VT</v>
          </cell>
          <cell r="C1249">
            <v>9.9973781354903396E-2</v>
          </cell>
          <cell r="D1249">
            <v>0.17387691112967565</v>
          </cell>
          <cell r="E1249">
            <v>0.44423932842492886</v>
          </cell>
          <cell r="F1249">
            <v>0.19448861844630186</v>
          </cell>
          <cell r="G1249">
            <v>6.6349172232328182E-2</v>
          </cell>
          <cell r="H1249">
            <v>2.1072188411862088E-2</v>
          </cell>
          <cell r="J1249" t="str">
            <v>2014VT</v>
          </cell>
          <cell r="K1249">
            <v>0.4894115</v>
          </cell>
          <cell r="L1249">
            <v>6.6349171999999998E-2</v>
          </cell>
          <cell r="M1249">
            <v>0.44423932799999999</v>
          </cell>
          <cell r="U1249" t="str">
            <v>2014VT</v>
          </cell>
          <cell r="V1249">
            <v>0.86037974299999997</v>
          </cell>
          <cell r="W1249">
            <v>6.1432910000000004E-3</v>
          </cell>
          <cell r="X1249">
            <v>3.8535191000000003E-2</v>
          </cell>
          <cell r="Y1249">
            <v>2.9459874E-2</v>
          </cell>
          <cell r="Z1249">
            <v>6.5481899999999996E-2</v>
          </cell>
          <cell r="AB1249" t="str">
            <v>2014VT</v>
          </cell>
          <cell r="AC1249">
            <v>0</v>
          </cell>
          <cell r="AD1249">
            <v>0</v>
          </cell>
          <cell r="AE1249">
            <v>0.05</v>
          </cell>
          <cell r="AF1249">
            <v>0.95</v>
          </cell>
        </row>
        <row r="1250">
          <cell r="B1250" t="str">
            <v>2014VA</v>
          </cell>
          <cell r="C1250">
            <v>4.4953509549794296E-2</v>
          </cell>
          <cell r="D1250">
            <v>9.339670802378576E-2</v>
          </cell>
          <cell r="E1250">
            <v>0.14844092890155638</v>
          </cell>
          <cell r="F1250">
            <v>0.12331550684410268</v>
          </cell>
          <cell r="G1250">
            <v>0.5737351926100378</v>
          </cell>
          <cell r="H1250">
            <v>1.6158154070723133E-2</v>
          </cell>
          <cell r="J1250" t="str">
            <v>2014VA</v>
          </cell>
          <cell r="K1250">
            <v>0.27782387799999997</v>
          </cell>
          <cell r="L1250">
            <v>0.57373519299999998</v>
          </cell>
          <cell r="M1250">
            <v>0.148440929</v>
          </cell>
          <cell r="U1250" t="str">
            <v>2014VA</v>
          </cell>
          <cell r="V1250">
            <v>3.3934871999999998E-2</v>
          </cell>
          <cell r="W1250">
            <v>3.6244844999999998E-2</v>
          </cell>
          <cell r="X1250">
            <v>6.8933026999999994E-2</v>
          </cell>
          <cell r="Y1250">
            <v>0.550040046</v>
          </cell>
          <cell r="Z1250">
            <v>0.31084721100000001</v>
          </cell>
          <cell r="AB1250" t="str">
            <v>2014VA</v>
          </cell>
          <cell r="AC1250">
            <v>0</v>
          </cell>
          <cell r="AD1250">
            <v>0</v>
          </cell>
          <cell r="AE1250">
            <v>0.05</v>
          </cell>
          <cell r="AF1250">
            <v>0.95</v>
          </cell>
        </row>
        <row r="1251">
          <cell r="B1251" t="str">
            <v>2014WA</v>
          </cell>
          <cell r="C1251">
            <v>0.48742079910802349</v>
          </cell>
          <cell r="D1251">
            <v>0.21961274491816118</v>
          </cell>
          <cell r="E1251">
            <v>0</v>
          </cell>
          <cell r="F1251">
            <v>0.11254281869932067</v>
          </cell>
          <cell r="G1251">
            <v>0.16627589127589129</v>
          </cell>
          <cell r="H1251">
            <v>1.4147745998603438E-2</v>
          </cell>
          <cell r="J1251" t="str">
            <v>2014WA</v>
          </cell>
          <cell r="K1251">
            <v>0.83372410900000005</v>
          </cell>
          <cell r="L1251">
            <v>0.16627589100000001</v>
          </cell>
          <cell r="M1251">
            <v>0</v>
          </cell>
          <cell r="U1251" t="str">
            <v>2014WA</v>
          </cell>
          <cell r="V1251">
            <v>0.37353494700000001</v>
          </cell>
          <cell r="W1251">
            <v>3.1263627000000002E-2</v>
          </cell>
          <cell r="X1251">
            <v>0.168896926</v>
          </cell>
          <cell r="Y1251">
            <v>0.119853577</v>
          </cell>
          <cell r="Z1251">
            <v>0.30645092299999999</v>
          </cell>
          <cell r="AB1251" t="str">
            <v>2014WA</v>
          </cell>
          <cell r="AC1251">
            <v>0</v>
          </cell>
          <cell r="AD1251">
            <v>0</v>
          </cell>
          <cell r="AE1251">
            <v>0.12</v>
          </cell>
          <cell r="AF1251">
            <v>0.88</v>
          </cell>
        </row>
        <row r="1252">
          <cell r="B1252" t="str">
            <v>2014WV</v>
          </cell>
          <cell r="C1252">
            <v>6.8751812683186322E-2</v>
          </cell>
          <cell r="D1252">
            <v>0.15888641455628993</v>
          </cell>
          <cell r="E1252">
            <v>0.44831485363191043</v>
          </cell>
          <cell r="F1252">
            <v>0.22633984896592482</v>
          </cell>
          <cell r="G1252">
            <v>7.0025492327769459E-2</v>
          </cell>
          <cell r="H1252">
            <v>2.7681577834919095E-2</v>
          </cell>
          <cell r="J1252" t="str">
            <v>2014WV</v>
          </cell>
          <cell r="K1252">
            <v>0.48165965399999999</v>
          </cell>
          <cell r="L1252">
            <v>7.0025491999999995E-2</v>
          </cell>
          <cell r="M1252">
            <v>0.44831485399999998</v>
          </cell>
          <cell r="U1252" t="str">
            <v>2014WV</v>
          </cell>
          <cell r="V1252">
            <v>0.57920187499999998</v>
          </cell>
          <cell r="W1252">
            <v>2.1256934000000002E-2</v>
          </cell>
          <cell r="X1252">
            <v>0.113169981</v>
          </cell>
          <cell r="Y1252">
            <v>7.9649016000000003E-2</v>
          </cell>
          <cell r="Z1252">
            <v>0.206722194</v>
          </cell>
          <cell r="AB1252" t="str">
            <v>2014WV</v>
          </cell>
          <cell r="AC1252">
            <v>0</v>
          </cell>
          <cell r="AD1252">
            <v>0</v>
          </cell>
          <cell r="AE1252">
            <v>0.05</v>
          </cell>
          <cell r="AF1252">
            <v>0.95</v>
          </cell>
        </row>
        <row r="1253">
          <cell r="B1253" t="str">
            <v>2014WI</v>
          </cell>
          <cell r="C1253">
            <v>0.12203432597344931</v>
          </cell>
          <cell r="D1253">
            <v>0.23555629715568294</v>
          </cell>
          <cell r="E1253">
            <v>0.11540173598404266</v>
          </cell>
          <cell r="F1253">
            <v>0.42032708364290838</v>
          </cell>
          <cell r="G1253">
            <v>6.8322420806473022E-2</v>
          </cell>
          <cell r="H1253">
            <v>3.8358136437443673E-2</v>
          </cell>
          <cell r="J1253" t="str">
            <v>2014WI</v>
          </cell>
          <cell r="K1253">
            <v>0.816275843</v>
          </cell>
          <cell r="L1253">
            <v>6.8322420999999994E-2</v>
          </cell>
          <cell r="M1253">
            <v>0.115401736</v>
          </cell>
          <cell r="U1253" t="str">
            <v>2014WI</v>
          </cell>
          <cell r="V1253">
            <v>0.12883246500000001</v>
          </cell>
          <cell r="W1253">
            <v>4.2564396999999997E-2</v>
          </cell>
          <cell r="X1253">
            <v>0.23585646199999999</v>
          </cell>
          <cell r="Y1253">
            <v>0.16970626599999999</v>
          </cell>
          <cell r="Z1253">
            <v>0.42304040999999998</v>
          </cell>
          <cell r="AB1253" t="str">
            <v>2014WI</v>
          </cell>
          <cell r="AC1253">
            <v>0</v>
          </cell>
          <cell r="AD1253">
            <v>0</v>
          </cell>
          <cell r="AE1253">
            <v>0.02</v>
          </cell>
          <cell r="AF1253">
            <v>0.98</v>
          </cell>
        </row>
        <row r="1254">
          <cell r="B1254" t="str">
            <v>2014WY</v>
          </cell>
          <cell r="C1254">
            <v>0.29508724522063295</v>
          </cell>
          <cell r="D1254">
            <v>0.23251729773373622</v>
          </cell>
          <cell r="E1254">
            <v>0.12161775942187937</v>
          </cell>
          <cell r="F1254">
            <v>0.2207502472879718</v>
          </cell>
          <cell r="G1254">
            <v>7.2002554085590281E-2</v>
          </cell>
          <cell r="H1254">
            <v>5.8024896250189507E-2</v>
          </cell>
          <cell r="J1254" t="str">
            <v>2014WY</v>
          </cell>
          <cell r="K1254">
            <v>0.80637968699999996</v>
          </cell>
          <cell r="L1254">
            <v>7.2002553999999996E-2</v>
          </cell>
          <cell r="M1254">
            <v>0.12161775900000001</v>
          </cell>
          <cell r="U1254" t="str">
            <v>2014WY</v>
          </cell>
          <cell r="V1254">
            <v>3.2109568999999998E-2</v>
          </cell>
          <cell r="W1254">
            <v>5.3596850000000001E-2</v>
          </cell>
          <cell r="X1254">
            <v>0.25521061499999997</v>
          </cell>
          <cell r="Y1254">
            <v>0.16752597599999999</v>
          </cell>
          <cell r="Z1254">
            <v>0.49155699000000003</v>
          </cell>
          <cell r="AB1254" t="str">
            <v>2014WY</v>
          </cell>
          <cell r="AC1254">
            <v>0</v>
          </cell>
          <cell r="AD1254">
            <v>0</v>
          </cell>
          <cell r="AE1254">
            <v>0.6</v>
          </cell>
          <cell r="AF1254">
            <v>0.4</v>
          </cell>
        </row>
        <row r="1255">
          <cell r="B1255" t="str">
            <v>2015AL</v>
          </cell>
          <cell r="C1255">
            <v>0.17233560131521788</v>
          </cell>
          <cell r="D1255">
            <v>9.7606154746872412E-2</v>
          </cell>
          <cell r="E1255">
            <v>0.16919346457207346</v>
          </cell>
          <cell r="F1255">
            <v>0.1056405325382436</v>
          </cell>
          <cell r="G1255">
            <v>0.45062509818962659</v>
          </cell>
          <cell r="H1255">
            <v>4.5991486379660445E-3</v>
          </cell>
          <cell r="J1255" t="str">
            <v>2015AL</v>
          </cell>
          <cell r="K1255">
            <v>0.38018143700000007</v>
          </cell>
          <cell r="L1255">
            <v>0.450625098</v>
          </cell>
          <cell r="M1255">
            <v>0.16919346499999999</v>
          </cell>
          <cell r="U1255" t="str">
            <v>2015AL</v>
          </cell>
          <cell r="V1255">
            <v>5.3114938E-2</v>
          </cell>
          <cell r="W1255">
            <v>3.6058960000000001E-2</v>
          </cell>
          <cell r="X1255">
            <v>8.4414527000000003E-2</v>
          </cell>
          <cell r="Y1255">
            <v>0.50961295299999998</v>
          </cell>
          <cell r="Z1255">
            <v>0.316798623</v>
          </cell>
          <cell r="AB1255" t="str">
            <v>2015AL</v>
          </cell>
          <cell r="AC1255">
            <v>0</v>
          </cell>
          <cell r="AD1255">
            <v>0</v>
          </cell>
          <cell r="AE1255">
            <v>0.41899999999999998</v>
          </cell>
          <cell r="AF1255">
            <v>0.58099999999999996</v>
          </cell>
        </row>
        <row r="1256">
          <cell r="B1256" t="str">
            <v>2015AK</v>
          </cell>
          <cell r="C1256">
            <v>0.30334484066413492</v>
          </cell>
          <cell r="D1256">
            <v>0.23769937716735701</v>
          </cell>
          <cell r="E1256">
            <v>6.205843688929364E-2</v>
          </cell>
          <cell r="F1256">
            <v>0.28363994741136878</v>
          </cell>
          <cell r="G1256">
            <v>3.6741064625999714E-2</v>
          </cell>
          <cell r="H1256">
            <v>7.6516333241846021E-2</v>
          </cell>
          <cell r="J1256" t="str">
            <v>2015AK</v>
          </cell>
          <cell r="K1256">
            <v>0.90120049800000002</v>
          </cell>
          <cell r="L1256">
            <v>3.6741065000000003E-2</v>
          </cell>
          <cell r="M1256">
            <v>6.2058437000000001E-2</v>
          </cell>
          <cell r="U1256" t="str">
            <v>2015AK</v>
          </cell>
          <cell r="V1256">
            <v>0.52632575500000001</v>
          </cell>
          <cell r="W1256">
            <v>2.0841667000000001E-2</v>
          </cell>
          <cell r="X1256">
            <v>0.130734092</v>
          </cell>
          <cell r="Y1256">
            <v>9.9945266000000005E-2</v>
          </cell>
          <cell r="Z1256">
            <v>0.22215322100000001</v>
          </cell>
          <cell r="AB1256" t="str">
            <v>2015AK</v>
          </cell>
          <cell r="AC1256">
            <v>0</v>
          </cell>
          <cell r="AD1256">
            <v>0</v>
          </cell>
          <cell r="AE1256">
            <v>0.25</v>
          </cell>
          <cell r="AF1256">
            <v>0.75</v>
          </cell>
        </row>
        <row r="1257">
          <cell r="B1257" t="str">
            <v>2015AZ</v>
          </cell>
          <cell r="C1257">
            <v>0.611220636654217</v>
          </cell>
          <cell r="D1257">
            <v>0.19572797693407004</v>
          </cell>
          <cell r="E1257">
            <v>9.865488383487428E-2</v>
          </cell>
          <cell r="F1257">
            <v>9.3890669243012675E-2</v>
          </cell>
          <cell r="G1257">
            <v>0</v>
          </cell>
          <cell r="H1257">
            <v>5.0583333382575558E-4</v>
          </cell>
          <cell r="J1257" t="str">
            <v>2015AZ</v>
          </cell>
          <cell r="K1257">
            <v>0.901345116</v>
          </cell>
          <cell r="L1257">
            <v>0</v>
          </cell>
          <cell r="M1257">
            <v>9.8654883999999998E-2</v>
          </cell>
          <cell r="U1257" t="str">
            <v>2015AZ</v>
          </cell>
          <cell r="V1257">
            <v>0.136592664</v>
          </cell>
          <cell r="W1257">
            <v>3.2171241000000003E-2</v>
          </cell>
          <cell r="X1257">
            <v>5.4596316999999998E-2</v>
          </cell>
          <cell r="Y1257">
            <v>0.50386894699999996</v>
          </cell>
          <cell r="Z1257">
            <v>0.27277083200000002</v>
          </cell>
          <cell r="AB1257" t="str">
            <v>2015AZ</v>
          </cell>
          <cell r="AC1257">
            <v>0</v>
          </cell>
          <cell r="AD1257">
            <v>0</v>
          </cell>
          <cell r="AE1257">
            <v>0.6</v>
          </cell>
          <cell r="AF1257">
            <v>0.4</v>
          </cell>
        </row>
        <row r="1258">
          <cell r="B1258" t="str">
            <v>2015AR</v>
          </cell>
          <cell r="C1258">
            <v>9.6391342329605903E-2</v>
          </cell>
          <cell r="D1258">
            <v>6.6955456596874061E-2</v>
          </cell>
          <cell r="E1258">
            <v>0.14888335780531528</v>
          </cell>
          <cell r="F1258">
            <v>0.11118804006195876</v>
          </cell>
          <cell r="G1258">
            <v>0.57111057531117648</v>
          </cell>
          <cell r="H1258">
            <v>5.4712278950695761E-3</v>
          </cell>
          <cell r="J1258" t="str">
            <v>2015AR</v>
          </cell>
          <cell r="K1258">
            <v>0.28000606700000008</v>
          </cell>
          <cell r="L1258">
            <v>0.57111057499999995</v>
          </cell>
          <cell r="M1258">
            <v>0.14888335799999999</v>
          </cell>
          <cell r="U1258" t="str">
            <v>2015AR</v>
          </cell>
          <cell r="V1258">
            <v>3.9459004999999998E-2</v>
          </cell>
          <cell r="W1258">
            <v>3.7640482000000003E-2</v>
          </cell>
          <cell r="X1258">
            <v>0.11914443199999999</v>
          </cell>
          <cell r="Y1258">
            <v>0.45827781299999998</v>
          </cell>
          <cell r="Z1258">
            <v>0.34547826799999998</v>
          </cell>
          <cell r="AB1258" t="str">
            <v>2015AR</v>
          </cell>
          <cell r="AC1258">
            <v>0</v>
          </cell>
          <cell r="AD1258">
            <v>0</v>
          </cell>
          <cell r="AE1258">
            <v>0</v>
          </cell>
          <cell r="AF1258">
            <v>1</v>
          </cell>
        </row>
        <row r="1259">
          <cell r="B1259" t="str">
            <v>2015CA</v>
          </cell>
          <cell r="C1259">
            <v>0.58081862489107328</v>
          </cell>
          <cell r="D1259">
            <v>0.20720345916912225</v>
          </cell>
          <cell r="E1259">
            <v>0.10801924509893834</v>
          </cell>
          <cell r="F1259">
            <v>9.2431120719429966E-2</v>
          </cell>
          <cell r="G1259">
            <v>9.2523577326630076E-3</v>
          </cell>
          <cell r="H1259">
            <v>2.2751923887731596E-3</v>
          </cell>
          <cell r="J1259" t="str">
            <v>2015CA</v>
          </cell>
          <cell r="K1259">
            <v>0.88272839699999994</v>
          </cell>
          <cell r="L1259">
            <v>9.2523580000000005E-3</v>
          </cell>
          <cell r="M1259">
            <v>0.108019245</v>
          </cell>
          <cell r="U1259" t="str">
            <v>2015CA</v>
          </cell>
          <cell r="V1259">
            <v>0.133799526</v>
          </cell>
          <cell r="W1259">
            <v>3.2941353E-2</v>
          </cell>
          <cell r="X1259">
            <v>7.5800703999999997E-2</v>
          </cell>
          <cell r="Y1259">
            <v>0.46867659099999998</v>
          </cell>
          <cell r="Z1259">
            <v>0.28878182499999999</v>
          </cell>
          <cell r="AB1259" t="str">
            <v>2015CA</v>
          </cell>
          <cell r="AC1259">
            <v>0</v>
          </cell>
          <cell r="AD1259">
            <v>0</v>
          </cell>
          <cell r="AE1259">
            <v>0.12</v>
          </cell>
          <cell r="AF1259">
            <v>0.88</v>
          </cell>
        </row>
        <row r="1260">
          <cell r="B1260" t="str">
            <v>2015CO</v>
          </cell>
          <cell r="C1260">
            <v>0.61667904285785091</v>
          </cell>
          <cell r="D1260">
            <v>0.24212893570430052</v>
          </cell>
          <cell r="E1260">
            <v>1.1092391745361967E-2</v>
          </cell>
          <cell r="F1260">
            <v>0.11516410971780773</v>
          </cell>
          <cell r="G1260">
            <v>6.5671374014829543E-3</v>
          </cell>
          <cell r="H1260">
            <v>8.3683825731959392E-3</v>
          </cell>
          <cell r="J1260" t="str">
            <v>2015CO</v>
          </cell>
          <cell r="K1260">
            <v>0.98234047099999999</v>
          </cell>
          <cell r="L1260">
            <v>6.5671369999999998E-3</v>
          </cell>
          <cell r="M1260">
            <v>1.1092392E-2</v>
          </cell>
          <cell r="U1260" t="str">
            <v>2015CO</v>
          </cell>
          <cell r="V1260">
            <v>2.3378138E-2</v>
          </cell>
          <cell r="W1260">
            <v>5.3880426000000002E-2</v>
          </cell>
          <cell r="X1260">
            <v>0.25772948099999998</v>
          </cell>
          <cell r="Y1260">
            <v>0.169703665</v>
          </cell>
          <cell r="Z1260">
            <v>0.49530828999999998</v>
          </cell>
          <cell r="AB1260" t="str">
            <v>2015CO</v>
          </cell>
          <cell r="AC1260">
            <v>0</v>
          </cell>
          <cell r="AD1260">
            <v>0</v>
          </cell>
          <cell r="AE1260">
            <v>0.6</v>
          </cell>
          <cell r="AF1260">
            <v>0.4</v>
          </cell>
        </row>
        <row r="1261">
          <cell r="B1261" t="str">
            <v>2015CT</v>
          </cell>
          <cell r="C1261">
            <v>0.11572842393252261</v>
          </cell>
          <cell r="D1261">
            <v>0.20119880615243968</v>
          </cell>
          <cell r="E1261">
            <v>0.43233999756560143</v>
          </cell>
          <cell r="F1261">
            <v>0.17234541515575838</v>
          </cell>
          <cell r="G1261">
            <v>5.5615402487630847E-2</v>
          </cell>
          <cell r="H1261">
            <v>2.2771954706046996E-2</v>
          </cell>
          <cell r="J1261" t="str">
            <v>2015CT</v>
          </cell>
          <cell r="K1261">
            <v>0.51204460000000007</v>
          </cell>
          <cell r="L1261">
            <v>5.5615402000000001E-2</v>
          </cell>
          <cell r="M1261">
            <v>0.432339998</v>
          </cell>
          <cell r="U1261" t="str">
            <v>2015CT</v>
          </cell>
          <cell r="V1261">
            <v>0.57363861400000005</v>
          </cell>
          <cell r="W1261">
            <v>1.8759900999999999E-2</v>
          </cell>
          <cell r="X1261">
            <v>0.117675743</v>
          </cell>
          <cell r="Y1261">
            <v>8.9962252000000006E-2</v>
          </cell>
          <cell r="Z1261">
            <v>0.19996348999999999</v>
          </cell>
          <cell r="AB1261" t="str">
            <v>2015CT</v>
          </cell>
          <cell r="AC1261">
            <v>0</v>
          </cell>
          <cell r="AD1261">
            <v>0</v>
          </cell>
          <cell r="AE1261">
            <v>0.05</v>
          </cell>
          <cell r="AF1261">
            <v>0.95</v>
          </cell>
        </row>
        <row r="1262">
          <cell r="B1262" t="str">
            <v>2015DE</v>
          </cell>
          <cell r="C1262">
            <v>0.10201653895343663</v>
          </cell>
          <cell r="D1262">
            <v>0.1910091905838856</v>
          </cell>
          <cell r="E1262">
            <v>0.43707162937473454</v>
          </cell>
          <cell r="F1262">
            <v>0.18637975788177577</v>
          </cell>
          <cell r="G1262">
            <v>5.9883562349419175E-2</v>
          </cell>
          <cell r="H1262">
            <v>2.3639320856748244E-2</v>
          </cell>
          <cell r="J1262" t="str">
            <v>2015DE</v>
          </cell>
          <cell r="K1262">
            <v>0.50304480899999993</v>
          </cell>
          <cell r="L1262">
            <v>5.9883562000000001E-2</v>
          </cell>
          <cell r="M1262">
            <v>0.43707162900000002</v>
          </cell>
          <cell r="U1262" t="str">
            <v>2015DE</v>
          </cell>
          <cell r="V1262">
            <v>0.120253529</v>
          </cell>
          <cell r="W1262">
            <v>4.1631153999999997E-2</v>
          </cell>
          <cell r="X1262">
            <v>0.23964419100000001</v>
          </cell>
          <cell r="Y1262">
            <v>0.17588547500000001</v>
          </cell>
          <cell r="Z1262">
            <v>0.42258565100000001</v>
          </cell>
          <cell r="AB1262" t="str">
            <v>2015DE</v>
          </cell>
          <cell r="AC1262">
            <v>0</v>
          </cell>
          <cell r="AD1262">
            <v>0</v>
          </cell>
          <cell r="AE1262">
            <v>0.05</v>
          </cell>
          <cell r="AF1262">
            <v>0.95</v>
          </cell>
        </row>
        <row r="1263">
          <cell r="B1263" t="str">
            <v>2015FL</v>
          </cell>
          <cell r="C1263">
            <v>0.38654865924430459</v>
          </cell>
          <cell r="D1263">
            <v>0.14503983167997814</v>
          </cell>
          <cell r="E1263">
            <v>0.21616400084919535</v>
          </cell>
          <cell r="F1263">
            <v>7.8997496757044303E-2</v>
          </cell>
          <cell r="G1263">
            <v>0.17198217725399226</v>
          </cell>
          <cell r="H1263">
            <v>1.2678342154852779E-3</v>
          </cell>
          <cell r="J1263" t="str">
            <v>2015FL</v>
          </cell>
          <cell r="K1263">
            <v>0.61185382200000005</v>
          </cell>
          <cell r="L1263">
            <v>0.17198217700000001</v>
          </cell>
          <cell r="M1263">
            <v>0.21616400099999999</v>
          </cell>
          <cell r="U1263" t="str">
            <v>2015FL</v>
          </cell>
          <cell r="V1263">
            <v>0.71166924399999998</v>
          </cell>
          <cell r="W1263">
            <v>1.2686553E-2</v>
          </cell>
          <cell r="X1263">
            <v>7.9579288999999998E-2</v>
          </cell>
          <cell r="Y1263">
            <v>6.0837789000000003E-2</v>
          </cell>
          <cell r="Z1263">
            <v>0.135227124</v>
          </cell>
          <cell r="AB1263" t="str">
            <v>2015FL</v>
          </cell>
          <cell r="AC1263">
            <v>0</v>
          </cell>
          <cell r="AD1263">
            <v>0</v>
          </cell>
          <cell r="AE1263">
            <v>0.41899999999999998</v>
          </cell>
          <cell r="AF1263">
            <v>0.58099999999999996</v>
          </cell>
        </row>
        <row r="1264">
          <cell r="B1264" t="str">
            <v>2015GA</v>
          </cell>
          <cell r="C1264">
            <v>0.20823216155586291</v>
          </cell>
          <cell r="D1264">
            <v>0.11033206176717186</v>
          </cell>
          <cell r="E1264">
            <v>0.17733204084631207</v>
          </cell>
          <cell r="F1264">
            <v>9.7862793659120595E-2</v>
          </cell>
          <cell r="G1264">
            <v>0.40234468997942996</v>
          </cell>
          <cell r="H1264">
            <v>3.8962521921025758E-3</v>
          </cell>
          <cell r="J1264" t="str">
            <v>2015GA</v>
          </cell>
          <cell r="K1264">
            <v>0.42032326900000005</v>
          </cell>
          <cell r="L1264">
            <v>0.40234469</v>
          </cell>
          <cell r="M1264">
            <v>0.177332041</v>
          </cell>
          <cell r="U1264" t="str">
            <v>2015GA</v>
          </cell>
          <cell r="V1264">
            <v>7.8133266000000007E-2</v>
          </cell>
          <cell r="W1264">
            <v>3.5587817000000001E-2</v>
          </cell>
          <cell r="X1264">
            <v>9.7388838000000005E-2</v>
          </cell>
          <cell r="Y1264">
            <v>0.46952270200000001</v>
          </cell>
          <cell r="Z1264">
            <v>0.31936737799999998</v>
          </cell>
          <cell r="AB1264" t="str">
            <v>2015GA</v>
          </cell>
          <cell r="AC1264">
            <v>0</v>
          </cell>
          <cell r="AD1264">
            <v>0</v>
          </cell>
          <cell r="AE1264">
            <v>0.41899999999999998</v>
          </cell>
          <cell r="AF1264">
            <v>0.58099999999999996</v>
          </cell>
        </row>
        <row r="1265">
          <cell r="B1265" t="str">
            <v>2015HI</v>
          </cell>
          <cell r="C1265">
            <v>0.67137224197860923</v>
          </cell>
          <cell r="D1265">
            <v>0.21100034068527662</v>
          </cell>
          <cell r="E1265">
            <v>0</v>
          </cell>
          <cell r="F1265">
            <v>0.10820426646618357</v>
          </cell>
          <cell r="G1265">
            <v>7.5112148308577572E-3</v>
          </cell>
          <cell r="H1265">
            <v>1.9119360390725836E-3</v>
          </cell>
          <cell r="J1265" t="str">
            <v>2015HI</v>
          </cell>
          <cell r="K1265">
            <v>0.99248878500000004</v>
          </cell>
          <cell r="L1265">
            <v>7.5112149999999999E-3</v>
          </cell>
          <cell r="M1265">
            <v>0</v>
          </cell>
          <cell r="U1265" t="str">
            <v>2015HI</v>
          </cell>
          <cell r="V1265">
            <v>0.23216878499999999</v>
          </cell>
          <cell r="W1265">
            <v>3.2904865999999998E-2</v>
          </cell>
          <cell r="X1265">
            <v>0.18414778700000001</v>
          </cell>
          <cell r="Y1265">
            <v>0.21064765399999999</v>
          </cell>
          <cell r="Z1265">
            <v>0.34013090899999998</v>
          </cell>
          <cell r="AB1265" t="str">
            <v>2015HI</v>
          </cell>
          <cell r="AC1265">
            <v>0</v>
          </cell>
          <cell r="AD1265">
            <v>0</v>
          </cell>
          <cell r="AE1265">
            <v>0.25</v>
          </cell>
          <cell r="AF1265">
            <v>0.75</v>
          </cell>
        </row>
        <row r="1266">
          <cell r="B1266" t="str">
            <v>2015ID</v>
          </cell>
          <cell r="C1266">
            <v>0.62850843440764703</v>
          </cell>
          <cell r="D1266">
            <v>0.2329683972033782</v>
          </cell>
          <cell r="E1266">
            <v>6.4436683947772669E-3</v>
          </cell>
          <cell r="F1266">
            <v>0.11961222721284216</v>
          </cell>
          <cell r="G1266">
            <v>3.8149081541218642E-3</v>
          </cell>
          <cell r="H1266">
            <v>8.6523646272333287E-3</v>
          </cell>
          <cell r="J1266" t="str">
            <v>2015ID</v>
          </cell>
          <cell r="K1266">
            <v>0.98974142399999998</v>
          </cell>
          <cell r="L1266">
            <v>3.8149080000000001E-3</v>
          </cell>
          <cell r="M1266">
            <v>6.4436679999999996E-3</v>
          </cell>
          <cell r="U1266" t="str">
            <v>2015ID</v>
          </cell>
          <cell r="V1266">
            <v>0.460837895</v>
          </cell>
          <cell r="W1266">
            <v>2.6974237000000002E-2</v>
          </cell>
          <cell r="X1266">
            <v>0.14528671200000001</v>
          </cell>
          <cell r="Y1266">
            <v>0.102926191</v>
          </cell>
          <cell r="Z1266">
            <v>0.26397496599999998</v>
          </cell>
          <cell r="AB1266" t="str">
            <v>2015ID</v>
          </cell>
          <cell r="AC1266">
            <v>0</v>
          </cell>
          <cell r="AD1266">
            <v>0</v>
          </cell>
          <cell r="AE1266">
            <v>0.6</v>
          </cell>
          <cell r="AF1266">
            <v>0.4</v>
          </cell>
        </row>
        <row r="1267">
          <cell r="B1267" t="str">
            <v>2015IL</v>
          </cell>
          <cell r="C1267">
            <v>0.13175283144497188</v>
          </cell>
          <cell r="D1267">
            <v>0.26046159534668961</v>
          </cell>
          <cell r="E1267">
            <v>8.1383349234931596E-2</v>
          </cell>
          <cell r="F1267">
            <v>0.43207247933210829</v>
          </cell>
          <cell r="G1267">
            <v>4.8182181885357514E-2</v>
          </cell>
          <cell r="H1267">
            <v>4.6147562755941125E-2</v>
          </cell>
          <cell r="J1267" t="str">
            <v>2015IL</v>
          </cell>
          <cell r="K1267">
            <v>0.87043446899999999</v>
          </cell>
          <cell r="L1267">
            <v>4.8182181999999997E-2</v>
          </cell>
          <cell r="M1267">
            <v>8.1383348999999994E-2</v>
          </cell>
          <cell r="U1267" t="str">
            <v>2015IL</v>
          </cell>
          <cell r="V1267">
            <v>2.0186552999999999E-2</v>
          </cell>
          <cell r="W1267">
            <v>4.5739502000000001E-2</v>
          </cell>
          <cell r="X1267">
            <v>0.28028242399999997</v>
          </cell>
          <cell r="Y1267">
            <v>0.149587944</v>
          </cell>
          <cell r="Z1267">
            <v>0.50420357699999996</v>
          </cell>
          <cell r="AB1267" t="str">
            <v>2015IL</v>
          </cell>
          <cell r="AC1267">
            <v>0</v>
          </cell>
          <cell r="AD1267">
            <v>0</v>
          </cell>
          <cell r="AE1267">
            <v>0.02</v>
          </cell>
          <cell r="AF1267">
            <v>0.98</v>
          </cell>
        </row>
        <row r="1268">
          <cell r="B1268" t="str">
            <v>2015IN</v>
          </cell>
          <cell r="C1268">
            <v>0.16189917384296076</v>
          </cell>
          <cell r="D1268">
            <v>0.24163212738244233</v>
          </cell>
          <cell r="E1268">
            <v>0.13392208737361183</v>
          </cell>
          <cell r="F1268">
            <v>0.3491044693998876</v>
          </cell>
          <cell r="G1268">
            <v>7.9287205957511472E-2</v>
          </cell>
          <cell r="H1268">
            <v>3.4154936043586021E-2</v>
          </cell>
          <cell r="J1268" t="str">
            <v>2015IN</v>
          </cell>
          <cell r="K1268">
            <v>0.78679070699999998</v>
          </cell>
          <cell r="L1268">
            <v>7.9287205999999999E-2</v>
          </cell>
          <cell r="M1268">
            <v>0.133922087</v>
          </cell>
          <cell r="U1268" t="str">
            <v>2015IN</v>
          </cell>
          <cell r="V1268">
            <v>2.5489210000000002E-2</v>
          </cell>
          <cell r="W1268">
            <v>4.5536079E-2</v>
          </cell>
          <cell r="X1268">
            <v>0.27893099599999999</v>
          </cell>
          <cell r="Y1268">
            <v>0.14781887399999999</v>
          </cell>
          <cell r="Z1268">
            <v>0.50222484099999998</v>
          </cell>
          <cell r="AB1268" t="str">
            <v>2015IN</v>
          </cell>
          <cell r="AC1268">
            <v>0</v>
          </cell>
          <cell r="AD1268">
            <v>0</v>
          </cell>
          <cell r="AE1268">
            <v>0</v>
          </cell>
          <cell r="AF1268">
            <v>1</v>
          </cell>
        </row>
        <row r="1269">
          <cell r="B1269" t="str">
            <v>2015IA</v>
          </cell>
          <cell r="C1269">
            <v>0.13792614664225575</v>
          </cell>
          <cell r="D1269">
            <v>0.25047757969635848</v>
          </cell>
          <cell r="E1269">
            <v>0.10477197231415941</v>
          </cell>
          <cell r="F1269">
            <v>0.40507493125352922</v>
          </cell>
          <cell r="G1269">
            <v>6.2029177638731184E-2</v>
          </cell>
          <cell r="H1269">
            <v>3.9720192454965969E-2</v>
          </cell>
          <cell r="J1269" t="str">
            <v>2015IA</v>
          </cell>
          <cell r="K1269">
            <v>0.83319885000000005</v>
          </cell>
          <cell r="L1269">
            <v>6.2029177999999997E-2</v>
          </cell>
          <cell r="M1269">
            <v>0.104771972</v>
          </cell>
          <cell r="U1269" t="str">
            <v>2015IA</v>
          </cell>
          <cell r="V1269">
            <v>9.6502570000000006E-3</v>
          </cell>
          <cell r="W1269">
            <v>3.8739974000000003E-2</v>
          </cell>
          <cell r="X1269">
            <v>0.12067557499999999</v>
          </cell>
          <cell r="Y1269">
            <v>0.47629315999999999</v>
          </cell>
          <cell r="Z1269">
            <v>0.35464103499999999</v>
          </cell>
          <cell r="AB1269" t="str">
            <v>2015IA</v>
          </cell>
          <cell r="AC1269">
            <v>0</v>
          </cell>
          <cell r="AD1269">
            <v>0</v>
          </cell>
          <cell r="AE1269">
            <v>0</v>
          </cell>
          <cell r="AF1269">
            <v>1</v>
          </cell>
        </row>
        <row r="1270">
          <cell r="B1270" t="str">
            <v>2015KS</v>
          </cell>
          <cell r="C1270">
            <v>0.28758404285910905</v>
          </cell>
          <cell r="D1270">
            <v>0.32607606753917184</v>
          </cell>
          <cell r="E1270">
            <v>5.1050547933917619E-2</v>
          </cell>
          <cell r="F1270">
            <v>0.27762124338847843</v>
          </cell>
          <cell r="G1270">
            <v>3.0223956239483565E-2</v>
          </cell>
          <cell r="H1270">
            <v>2.7444142039839463E-2</v>
          </cell>
          <cell r="J1270" t="str">
            <v>2015KS</v>
          </cell>
          <cell r="K1270">
            <v>0.91872549599999997</v>
          </cell>
          <cell r="L1270">
            <v>3.0223956E-2</v>
          </cell>
          <cell r="M1270">
            <v>5.1050548000000001E-2</v>
          </cell>
          <cell r="U1270" t="str">
            <v>2015KS</v>
          </cell>
          <cell r="V1270">
            <v>2.3647662E-2</v>
          </cell>
          <cell r="W1270">
            <v>4.6272377000000003E-2</v>
          </cell>
          <cell r="X1270">
            <v>0.28189652199999998</v>
          </cell>
          <cell r="Y1270">
            <v>0.13395533500000001</v>
          </cell>
          <cell r="Z1270">
            <v>0.51422810299999999</v>
          </cell>
          <cell r="AB1270" t="str">
            <v>2015KS</v>
          </cell>
          <cell r="AC1270">
            <v>0</v>
          </cell>
          <cell r="AD1270">
            <v>0</v>
          </cell>
          <cell r="AE1270">
            <v>0.02</v>
          </cell>
          <cell r="AF1270">
            <v>0.98</v>
          </cell>
        </row>
        <row r="1271">
          <cell r="B1271" t="str">
            <v>2015KY</v>
          </cell>
          <cell r="C1271">
            <v>2.3305602928070858E-2</v>
          </cell>
          <cell r="D1271">
            <v>6.2885861766289422E-2</v>
          </cell>
          <cell r="E1271">
            <v>0.14165738300711325</v>
          </cell>
          <cell r="F1271">
            <v>0.14315421990856123</v>
          </cell>
          <cell r="G1271">
            <v>0.61397716539009373</v>
          </cell>
          <cell r="H1271">
            <v>1.5019766999871505E-2</v>
          </cell>
          <cell r="J1271" t="str">
            <v>2015KY</v>
          </cell>
          <cell r="K1271">
            <v>0.24436545200000004</v>
          </cell>
          <cell r="L1271">
            <v>0.61397716499999999</v>
          </cell>
          <cell r="M1271">
            <v>0.141657383</v>
          </cell>
          <cell r="U1271" t="str">
            <v>2015KY</v>
          </cell>
          <cell r="V1271">
            <v>4.9184704000000003E-2</v>
          </cell>
          <cell r="W1271">
            <v>3.7321891000000003E-2</v>
          </cell>
          <cell r="X1271">
            <v>0.11991215400000001</v>
          </cell>
          <cell r="Y1271">
            <v>0.45018075899999999</v>
          </cell>
          <cell r="Z1271">
            <v>0.34340049099999997</v>
          </cell>
          <cell r="AB1271" t="str">
            <v>2015KY</v>
          </cell>
          <cell r="AC1271">
            <v>0</v>
          </cell>
          <cell r="AD1271">
            <v>0</v>
          </cell>
          <cell r="AE1271">
            <v>0.05</v>
          </cell>
          <cell r="AF1271">
            <v>0.95</v>
          </cell>
        </row>
        <row r="1272">
          <cell r="B1272" t="str">
            <v>2015LA</v>
          </cell>
          <cell r="C1272">
            <v>8.7696493950327165E-2</v>
          </cell>
          <cell r="D1272">
            <v>6.4637521135916851E-2</v>
          </cell>
          <cell r="E1272">
            <v>0.14461730665558523</v>
          </cell>
          <cell r="F1272">
            <v>0.10160244529023774</v>
          </cell>
          <cell r="G1272">
            <v>0.59641803499629376</v>
          </cell>
          <cell r="H1272">
            <v>5.0281979716392446E-3</v>
          </cell>
          <cell r="J1272" t="str">
            <v>2015LA</v>
          </cell>
          <cell r="K1272">
            <v>0.25896465800000001</v>
          </cell>
          <cell r="L1272">
            <v>0.59641803500000001</v>
          </cell>
          <cell r="M1272">
            <v>0.144617307</v>
          </cell>
          <cell r="U1272" t="str">
            <v>2015LA</v>
          </cell>
          <cell r="V1272">
            <v>0.53551704700000002</v>
          </cell>
          <cell r="W1272">
            <v>2.0437250000000001E-2</v>
          </cell>
          <cell r="X1272">
            <v>0.12819729499999999</v>
          </cell>
          <cell r="Y1272">
            <v>9.8005903000000005E-2</v>
          </cell>
          <cell r="Z1272">
            <v>0.21784250499999999</v>
          </cell>
          <cell r="AB1272" t="str">
            <v>2015LA</v>
          </cell>
          <cell r="AC1272">
            <v>0</v>
          </cell>
          <cell r="AD1272">
            <v>0</v>
          </cell>
          <cell r="AE1272">
            <v>0.6</v>
          </cell>
          <cell r="AF1272">
            <v>0.4</v>
          </cell>
        </row>
        <row r="1273">
          <cell r="B1273" t="str">
            <v>2015ME</v>
          </cell>
          <cell r="C1273">
            <v>9.3713015315557757E-2</v>
          </cell>
          <cell r="D1273">
            <v>0.17210096338216258</v>
          </cell>
          <cell r="E1273">
            <v>0.44837154081607639</v>
          </cell>
          <cell r="F1273">
            <v>0.19633313267932656</v>
          </cell>
          <cell r="G1273">
            <v>7.0076626899074845E-2</v>
          </cell>
          <cell r="H1273">
            <v>1.9404720907801824E-2</v>
          </cell>
          <cell r="J1273" t="str">
            <v>2015ME</v>
          </cell>
          <cell r="K1273">
            <v>0.48155183200000007</v>
          </cell>
          <cell r="L1273">
            <v>7.0076627000000002E-2</v>
          </cell>
          <cell r="M1273">
            <v>0.44837154099999998</v>
          </cell>
          <cell r="U1273" t="str">
            <v>2015ME</v>
          </cell>
          <cell r="V1273">
            <v>0.72920202000000001</v>
          </cell>
          <cell r="W1273">
            <v>1.1915111000000001E-2</v>
          </cell>
          <cell r="X1273">
            <v>7.4740241999999998E-2</v>
          </cell>
          <cell r="Y1273">
            <v>5.7138373999999999E-2</v>
          </cell>
          <cell r="Z1273">
            <v>0.12700425300000001</v>
          </cell>
          <cell r="AB1273" t="str">
            <v>2015ME</v>
          </cell>
          <cell r="AC1273">
            <v>0</v>
          </cell>
          <cell r="AD1273">
            <v>0</v>
          </cell>
          <cell r="AE1273">
            <v>0.05</v>
          </cell>
          <cell r="AF1273">
            <v>0.95</v>
          </cell>
        </row>
        <row r="1274">
          <cell r="B1274" t="str">
            <v>2015MD</v>
          </cell>
          <cell r="C1274">
            <v>7.6488535055593554E-2</v>
          </cell>
          <cell r="D1274">
            <v>0.15472472257238745</v>
          </cell>
          <cell r="E1274">
            <v>0.44380834258126728</v>
          </cell>
          <cell r="F1274">
            <v>0.22861605738914034</v>
          </cell>
          <cell r="G1274">
            <v>6.5960402236453913E-2</v>
          </cell>
          <cell r="H1274">
            <v>3.0401940165157418E-2</v>
          </cell>
          <cell r="J1274" t="str">
            <v>2015MD</v>
          </cell>
          <cell r="K1274">
            <v>0.49023125499999998</v>
          </cell>
          <cell r="L1274">
            <v>6.5960402000000001E-2</v>
          </cell>
          <cell r="M1274">
            <v>0.44380834299999999</v>
          </cell>
          <cell r="U1274" t="str">
            <v>2015MD</v>
          </cell>
          <cell r="V1274">
            <v>0.21140679400000001</v>
          </cell>
          <cell r="W1274">
            <v>3.7602905999999998E-2</v>
          </cell>
          <cell r="X1274">
            <v>0.214504853</v>
          </cell>
          <cell r="Y1274">
            <v>0.15671048400000001</v>
          </cell>
          <cell r="Z1274">
            <v>0.37977496300000002</v>
          </cell>
          <cell r="AB1274" t="str">
            <v>2015MD</v>
          </cell>
          <cell r="AC1274">
            <v>0</v>
          </cell>
          <cell r="AD1274">
            <v>0</v>
          </cell>
          <cell r="AE1274">
            <v>0.05</v>
          </cell>
          <cell r="AF1274">
            <v>0.95</v>
          </cell>
        </row>
        <row r="1275">
          <cell r="B1275" t="str">
            <v>2015MA</v>
          </cell>
          <cell r="C1275">
            <v>6.1305440163427552E-2</v>
          </cell>
          <cell r="D1275">
            <v>0.14874705508142777</v>
          </cell>
          <cell r="E1275">
            <v>0.45216403673004657</v>
          </cell>
          <cell r="F1275">
            <v>0.23617268276189021</v>
          </cell>
          <cell r="G1275">
            <v>7.3497640935872632E-2</v>
          </cell>
          <cell r="H1275">
            <v>2.8113144327335336E-2</v>
          </cell>
          <cell r="J1275" t="str">
            <v>2015MA</v>
          </cell>
          <cell r="K1275">
            <v>0.47433832199999992</v>
          </cell>
          <cell r="L1275">
            <v>7.3497641000000002E-2</v>
          </cell>
          <cell r="M1275">
            <v>0.45216403700000002</v>
          </cell>
          <cell r="U1275" t="str">
            <v>2015MA</v>
          </cell>
          <cell r="V1275">
            <v>0.31419575799999999</v>
          </cell>
          <cell r="W1275">
            <v>3.0175387000000001E-2</v>
          </cell>
          <cell r="X1275">
            <v>0.18928197099999999</v>
          </cell>
          <cell r="Y1275">
            <v>0.14470469499999999</v>
          </cell>
          <cell r="Z1275">
            <v>0.32164218900000002</v>
          </cell>
          <cell r="AB1275" t="str">
            <v>2015MA</v>
          </cell>
          <cell r="AC1275">
            <v>0</v>
          </cell>
          <cell r="AD1275">
            <v>0</v>
          </cell>
          <cell r="AE1275">
            <v>0.05</v>
          </cell>
          <cell r="AF1275">
            <v>0.95</v>
          </cell>
        </row>
        <row r="1276">
          <cell r="B1276" t="str">
            <v>2015MI</v>
          </cell>
          <cell r="C1276">
            <v>0.21592740095911189</v>
          </cell>
          <cell r="D1276">
            <v>0.33044604004991018</v>
          </cell>
          <cell r="E1276">
            <v>5.8998863632555826E-2</v>
          </cell>
          <cell r="F1276">
            <v>0.32074430847532459</v>
          </cell>
          <cell r="G1276">
            <v>3.4929675483950956E-2</v>
          </cell>
          <cell r="H1276">
            <v>3.8953711399146676E-2</v>
          </cell>
          <cell r="J1276" t="str">
            <v>2015MI</v>
          </cell>
          <cell r="K1276">
            <v>0.90607146100000002</v>
          </cell>
          <cell r="L1276">
            <v>3.4929675E-2</v>
          </cell>
          <cell r="M1276">
            <v>5.8998863999999998E-2</v>
          </cell>
          <cell r="U1276" t="str">
            <v>2015MI</v>
          </cell>
          <cell r="V1276">
            <v>4.5127237000000001E-2</v>
          </cell>
          <cell r="W1276">
            <v>5.0500046999999999E-2</v>
          </cell>
          <cell r="X1276">
            <v>0.254352099</v>
          </cell>
          <cell r="Y1276">
            <v>0.17319266699999999</v>
          </cell>
          <cell r="Z1276">
            <v>0.47682794899999997</v>
          </cell>
          <cell r="AB1276" t="str">
            <v>2015MI</v>
          </cell>
          <cell r="AC1276">
            <v>0</v>
          </cell>
          <cell r="AD1276">
            <v>0</v>
          </cell>
          <cell r="AE1276">
            <v>0.02</v>
          </cell>
          <cell r="AF1276">
            <v>0.98</v>
          </cell>
        </row>
        <row r="1277">
          <cell r="B1277" t="str">
            <v>2015MN</v>
          </cell>
          <cell r="C1277">
            <v>0.11559741536790068</v>
          </cell>
          <cell r="D1277">
            <v>0.23915415867765383</v>
          </cell>
          <cell r="E1277">
            <v>0.10052931481156221</v>
          </cell>
          <cell r="F1277">
            <v>0.43822851849088174</v>
          </cell>
          <cell r="G1277">
            <v>5.9517355535203494E-2</v>
          </cell>
          <cell r="H1277">
            <v>4.697323711679801E-2</v>
          </cell>
          <cell r="J1277" t="str">
            <v>2015MN</v>
          </cell>
          <cell r="K1277">
            <v>0.83995332899999997</v>
          </cell>
          <cell r="L1277">
            <v>5.9517356E-2</v>
          </cell>
          <cell r="M1277">
            <v>0.10052931499999999</v>
          </cell>
          <cell r="U1277" t="str">
            <v>2015MN</v>
          </cell>
          <cell r="V1277">
            <v>1.5145339000000001E-2</v>
          </cell>
          <cell r="W1277">
            <v>5.1986831999999997E-2</v>
          </cell>
          <cell r="X1277">
            <v>0.262445557</v>
          </cell>
          <cell r="Y1277">
            <v>0.17896024199999999</v>
          </cell>
          <cell r="Z1277">
            <v>0.49146202900000002</v>
          </cell>
          <cell r="AB1277" t="str">
            <v>2015MN</v>
          </cell>
          <cell r="AC1277">
            <v>0</v>
          </cell>
          <cell r="AD1277">
            <v>0</v>
          </cell>
          <cell r="AE1277">
            <v>0</v>
          </cell>
          <cell r="AF1277">
            <v>1</v>
          </cell>
        </row>
        <row r="1278">
          <cell r="B1278" t="str">
            <v>2015MS</v>
          </cell>
          <cell r="C1278">
            <v>0.10416334210611014</v>
          </cell>
          <cell r="D1278">
            <v>7.2829933678422776E-2</v>
          </cell>
          <cell r="E1278">
            <v>0.14929269604113307</v>
          </cell>
          <cell r="F1278">
            <v>0.10019278631941281</v>
          </cell>
          <cell r="G1278">
            <v>0.56868226150598644</v>
          </cell>
          <cell r="H1278">
            <v>4.838980348934833E-3</v>
          </cell>
          <cell r="J1278" t="str">
            <v>2015MS</v>
          </cell>
          <cell r="K1278">
            <v>0.28202504199999989</v>
          </cell>
          <cell r="L1278">
            <v>0.56868226200000005</v>
          </cell>
          <cell r="M1278">
            <v>0.149292696</v>
          </cell>
          <cell r="U1278" t="str">
            <v>2015MS</v>
          </cell>
          <cell r="V1278">
            <v>2.1100625000000001E-2</v>
          </cell>
          <cell r="W1278">
            <v>3.6418512E-2</v>
          </cell>
          <cell r="X1278">
            <v>6.0129593000000002E-2</v>
          </cell>
          <cell r="Y1278">
            <v>0.574366987</v>
          </cell>
          <cell r="Z1278">
            <v>0.30798428300000003</v>
          </cell>
          <cell r="AB1278" t="str">
            <v>2015MS</v>
          </cell>
          <cell r="AC1278">
            <v>0</v>
          </cell>
          <cell r="AD1278">
            <v>0</v>
          </cell>
          <cell r="AE1278">
            <v>0.6</v>
          </cell>
          <cell r="AF1278">
            <v>0.4</v>
          </cell>
        </row>
        <row r="1279">
          <cell r="B1279" t="str">
            <v>2015MO</v>
          </cell>
          <cell r="C1279">
            <v>6.4925479522277466E-2</v>
          </cell>
          <cell r="D1279">
            <v>0.18170303563698134</v>
          </cell>
          <cell r="E1279">
            <v>0.14337282997597614</v>
          </cell>
          <cell r="F1279">
            <v>0.47880340852502545</v>
          </cell>
          <cell r="G1279">
            <v>8.4882421727070459E-2</v>
          </cell>
          <cell r="H1279">
            <v>4.6312824612669105E-2</v>
          </cell>
          <cell r="J1279" t="str">
            <v>2015MO</v>
          </cell>
          <cell r="K1279">
            <v>0.77174474799999992</v>
          </cell>
          <cell r="L1279">
            <v>8.4882421999999999E-2</v>
          </cell>
          <cell r="M1279">
            <v>0.14337283000000001</v>
          </cell>
          <cell r="U1279" t="str">
            <v>2015MO</v>
          </cell>
          <cell r="V1279">
            <v>2.998994E-2</v>
          </cell>
          <cell r="W1279">
            <v>4.5757142000000001E-2</v>
          </cell>
          <cell r="X1279">
            <v>0.27926039899999999</v>
          </cell>
          <cell r="Y1279">
            <v>0.13775391300000001</v>
          </cell>
          <cell r="Z1279">
            <v>0.50723860600000004</v>
          </cell>
          <cell r="AB1279" t="str">
            <v>2015MO</v>
          </cell>
          <cell r="AC1279">
            <v>0</v>
          </cell>
          <cell r="AD1279">
            <v>0</v>
          </cell>
          <cell r="AE1279">
            <v>0</v>
          </cell>
          <cell r="AF1279">
            <v>1</v>
          </cell>
        </row>
        <row r="1280">
          <cell r="B1280" t="str">
            <v>2015MT</v>
          </cell>
          <cell r="C1280">
            <v>0.35597781750083307</v>
          </cell>
          <cell r="D1280">
            <v>0.25924389885240834</v>
          </cell>
          <cell r="E1280">
            <v>4.3797789125912777E-2</v>
          </cell>
          <cell r="F1280">
            <v>0.25058080537727367</v>
          </cell>
          <cell r="G1280">
            <v>2.5930034358127463E-2</v>
          </cell>
          <cell r="H1280">
            <v>6.4469654785444572E-2</v>
          </cell>
          <cell r="J1280" t="str">
            <v>2015MT</v>
          </cell>
          <cell r="K1280">
            <v>0.93027217699999998</v>
          </cell>
          <cell r="L1280">
            <v>2.5930034000000001E-2</v>
          </cell>
          <cell r="M1280">
            <v>4.3797788999999997E-2</v>
          </cell>
          <cell r="U1280" t="str">
            <v>2015MT</v>
          </cell>
          <cell r="V1280">
            <v>6.0520032000000001E-2</v>
          </cell>
          <cell r="W1280">
            <v>5.1214043000000001E-2</v>
          </cell>
          <cell r="X1280">
            <v>0.24859647000000001</v>
          </cell>
          <cell r="Y1280">
            <v>0.16530719099999999</v>
          </cell>
          <cell r="Z1280">
            <v>0.47436226399999998</v>
          </cell>
          <cell r="AB1280" t="str">
            <v>2015MT</v>
          </cell>
          <cell r="AC1280">
            <v>0</v>
          </cell>
          <cell r="AD1280">
            <v>0</v>
          </cell>
          <cell r="AE1280">
            <v>0.6</v>
          </cell>
          <cell r="AF1280">
            <v>0.4</v>
          </cell>
        </row>
        <row r="1281">
          <cell r="B1281" t="str">
            <v>2015NE</v>
          </cell>
          <cell r="C1281">
            <v>0.21260954807532403</v>
          </cell>
          <cell r="D1281">
            <v>0.30324255962083846</v>
          </cell>
          <cell r="E1281">
            <v>6.1277054134417128E-2</v>
          </cell>
          <cell r="F1281">
            <v>0.34696077142199511</v>
          </cell>
          <cell r="G1281">
            <v>3.6278454935301678E-2</v>
          </cell>
          <cell r="H1281">
            <v>3.9631611812123581E-2</v>
          </cell>
          <cell r="J1281" t="str">
            <v>2015NE</v>
          </cell>
          <cell r="K1281">
            <v>0.90244449100000002</v>
          </cell>
          <cell r="L1281">
            <v>3.6278455000000001E-2</v>
          </cell>
          <cell r="M1281">
            <v>6.1277053999999997E-2</v>
          </cell>
          <cell r="U1281" t="str">
            <v>2015NE</v>
          </cell>
          <cell r="V1281">
            <v>3.0063880000000001E-2</v>
          </cell>
          <cell r="W1281">
            <v>4.5295173000000001E-2</v>
          </cell>
          <cell r="X1281">
            <v>0.27751980599999998</v>
          </cell>
          <cell r="Y1281">
            <v>0.147715386</v>
          </cell>
          <cell r="Z1281">
            <v>0.49940575500000001</v>
          </cell>
          <cell r="AB1281" t="str">
            <v>2015NE</v>
          </cell>
          <cell r="AC1281">
            <v>0</v>
          </cell>
          <cell r="AD1281">
            <v>0</v>
          </cell>
          <cell r="AE1281">
            <v>0.02</v>
          </cell>
          <cell r="AF1281">
            <v>0.98</v>
          </cell>
        </row>
        <row r="1282">
          <cell r="B1282" t="str">
            <v>2015NV</v>
          </cell>
          <cell r="C1282">
            <v>0.64210148526116029</v>
          </cell>
          <cell r="D1282">
            <v>0.238399883587257</v>
          </cell>
          <cell r="E1282">
            <v>4.1594375177217181E-3</v>
          </cell>
          <cell r="F1282">
            <v>0.10819864870890922</v>
          </cell>
          <cell r="G1282">
            <v>2.4625525602432058E-3</v>
          </cell>
          <cell r="H1282">
            <v>4.677992364708553E-3</v>
          </cell>
          <cell r="J1282" t="str">
            <v>2015NV</v>
          </cell>
          <cell r="K1282">
            <v>0.99337800899999995</v>
          </cell>
          <cell r="L1282">
            <v>2.4625530000000001E-3</v>
          </cell>
          <cell r="M1282">
            <v>4.1594379999999997E-3</v>
          </cell>
          <cell r="U1282" t="str">
            <v>2015NV</v>
          </cell>
          <cell r="V1282">
            <v>0.35004114600000003</v>
          </cell>
          <cell r="W1282">
            <v>2.4048478000000002E-2</v>
          </cell>
          <cell r="X1282">
            <v>3.5747737000000002E-2</v>
          </cell>
          <cell r="Y1282">
            <v>0.38867539400000001</v>
          </cell>
          <cell r="Z1282">
            <v>0.20148724500000001</v>
          </cell>
          <cell r="AB1282" t="str">
            <v>2015NV</v>
          </cell>
          <cell r="AC1282">
            <v>0</v>
          </cell>
          <cell r="AD1282">
            <v>0</v>
          </cell>
          <cell r="AE1282">
            <v>0</v>
          </cell>
          <cell r="AF1282">
            <v>1</v>
          </cell>
        </row>
        <row r="1283">
          <cell r="B1283" t="str">
            <v>2015NH</v>
          </cell>
          <cell r="C1283">
            <v>9.4573445198850817E-2</v>
          </cell>
          <cell r="D1283">
            <v>0.16340842518862655</v>
          </cell>
          <cell r="E1283">
            <v>0.44298025846087286</v>
          </cell>
          <cell r="F1283">
            <v>0.20852129702854144</v>
          </cell>
          <cell r="G1283">
            <v>6.52134304627775E-2</v>
          </cell>
          <cell r="H1283">
            <v>2.5303143660330828E-2</v>
          </cell>
          <cell r="J1283" t="str">
            <v>2015NH</v>
          </cell>
          <cell r="K1283">
            <v>0.49180631200000002</v>
          </cell>
          <cell r="L1283">
            <v>6.5213430000000003E-2</v>
          </cell>
          <cell r="M1283">
            <v>0.44298025800000002</v>
          </cell>
          <cell r="U1283" t="str">
            <v>2015NH</v>
          </cell>
          <cell r="V1283">
            <v>0.56759962799999997</v>
          </cell>
          <cell r="W1283">
            <v>1.9025615999999999E-2</v>
          </cell>
          <cell r="X1283">
            <v>0.119342503</v>
          </cell>
          <cell r="Y1283">
            <v>9.1236478999999995E-2</v>
          </cell>
          <cell r="Z1283">
            <v>0.20279577500000001</v>
          </cell>
          <cell r="AB1283" t="str">
            <v>2015NH</v>
          </cell>
          <cell r="AC1283">
            <v>0</v>
          </cell>
          <cell r="AD1283">
            <v>0</v>
          </cell>
          <cell r="AE1283">
            <v>0.05</v>
          </cell>
          <cell r="AF1283">
            <v>0.95</v>
          </cell>
        </row>
        <row r="1284">
          <cell r="B1284" t="str">
            <v>2015NJ</v>
          </cell>
          <cell r="C1284">
            <v>5.8003576611346738E-2</v>
          </cell>
          <cell r="D1284">
            <v>0.13897871355240557</v>
          </cell>
          <cell r="E1284">
            <v>0.45397029129837874</v>
          </cell>
          <cell r="F1284">
            <v>0.24471653627570109</v>
          </cell>
          <cell r="G1284">
            <v>7.5126969581826603E-2</v>
          </cell>
          <cell r="H1284">
            <v>2.9203912680341212E-2</v>
          </cell>
          <cell r="J1284" t="str">
            <v>2015NJ</v>
          </cell>
          <cell r="K1284">
            <v>0.47090273900000001</v>
          </cell>
          <cell r="L1284">
            <v>7.5126970000000001E-2</v>
          </cell>
          <cell r="M1284">
            <v>0.45397029100000003</v>
          </cell>
          <cell r="U1284" t="str">
            <v>2015NJ</v>
          </cell>
          <cell r="V1284">
            <v>0.30808167400000003</v>
          </cell>
          <cell r="W1284">
            <v>3.3011736E-2</v>
          </cell>
          <cell r="X1284">
            <v>0.18818818500000001</v>
          </cell>
          <cell r="Y1284">
            <v>0.137437002</v>
          </cell>
          <cell r="Z1284">
            <v>0.333281404</v>
          </cell>
          <cell r="AB1284" t="str">
            <v>2015NJ</v>
          </cell>
          <cell r="AC1284">
            <v>0</v>
          </cell>
          <cell r="AD1284">
            <v>0</v>
          </cell>
          <cell r="AE1284">
            <v>0.05</v>
          </cell>
          <cell r="AF1284">
            <v>0.95</v>
          </cell>
        </row>
        <row r="1285">
          <cell r="B1285" t="str">
            <v>2015NM</v>
          </cell>
          <cell r="C1285">
            <v>0.61184589317007076</v>
          </cell>
          <cell r="D1285">
            <v>0.19452029294367307</v>
          </cell>
          <cell r="E1285">
            <v>9.8952813124742175E-2</v>
          </cell>
          <cell r="F1285">
            <v>9.4174237847419268E-2</v>
          </cell>
          <cell r="G1285">
            <v>0</v>
          </cell>
          <cell r="H1285">
            <v>5.0676291409465751E-4</v>
          </cell>
          <cell r="J1285" t="str">
            <v>2015NM</v>
          </cell>
          <cell r="K1285">
            <v>0.90104718699999997</v>
          </cell>
          <cell r="L1285">
            <v>0</v>
          </cell>
          <cell r="M1285">
            <v>9.8952813000000001E-2</v>
          </cell>
          <cell r="U1285" t="str">
            <v>2015NM</v>
          </cell>
          <cell r="V1285">
            <v>0.91655606099999998</v>
          </cell>
          <cell r="W1285">
            <v>3.6715329999999998E-3</v>
          </cell>
          <cell r="X1285">
            <v>2.3030526999999999E-2</v>
          </cell>
          <cell r="Y1285">
            <v>1.7606671000000001E-2</v>
          </cell>
          <cell r="Z1285">
            <v>3.9135206999999998E-2</v>
          </cell>
          <cell r="AB1285" t="str">
            <v>2015NM</v>
          </cell>
          <cell r="AC1285">
            <v>0</v>
          </cell>
          <cell r="AD1285">
            <v>0</v>
          </cell>
          <cell r="AE1285">
            <v>0.6</v>
          </cell>
          <cell r="AF1285">
            <v>0.4</v>
          </cell>
        </row>
        <row r="1286">
          <cell r="B1286" t="str">
            <v>2015NY</v>
          </cell>
          <cell r="C1286">
            <v>9.8408703041683282E-2</v>
          </cell>
          <cell r="D1286">
            <v>0.15954377256245178</v>
          </cell>
          <cell r="E1286">
            <v>0.44849165243165579</v>
          </cell>
          <cell r="F1286">
            <v>0.20287733376538455</v>
          </cell>
          <cell r="G1286">
            <v>7.0184973363303343E-2</v>
          </cell>
          <cell r="H1286">
            <v>2.0493564835521279E-2</v>
          </cell>
          <cell r="J1286" t="str">
            <v>2015NY</v>
          </cell>
          <cell r="K1286">
            <v>0.481323375</v>
          </cell>
          <cell r="L1286">
            <v>7.0184972999999998E-2</v>
          </cell>
          <cell r="M1286">
            <v>0.44849165200000002</v>
          </cell>
          <cell r="U1286" t="str">
            <v>2015NY</v>
          </cell>
          <cell r="V1286">
            <v>0.20441514899999999</v>
          </cell>
          <cell r="W1286">
            <v>4.1815811000000001E-2</v>
          </cell>
          <cell r="X1286">
            <v>0.21220383400000001</v>
          </cell>
          <cell r="Y1286">
            <v>0.145168144</v>
          </cell>
          <cell r="Z1286">
            <v>0.396397061</v>
          </cell>
          <cell r="AB1286" t="str">
            <v>2015NY</v>
          </cell>
          <cell r="AC1286">
            <v>0</v>
          </cell>
          <cell r="AD1286">
            <v>0</v>
          </cell>
          <cell r="AE1286">
            <v>0.05</v>
          </cell>
          <cell r="AF1286">
            <v>0.95</v>
          </cell>
        </row>
        <row r="1287">
          <cell r="B1287" t="str">
            <v>2015NC</v>
          </cell>
          <cell r="C1287">
            <v>6.168821577504751E-2</v>
          </cell>
          <cell r="D1287">
            <v>0.11278426418396881</v>
          </cell>
          <cell r="E1287">
            <v>0.15395779991170949</v>
          </cell>
          <cell r="F1287">
            <v>0.11589101949636353</v>
          </cell>
          <cell r="G1287">
            <v>0.54100750469043157</v>
          </cell>
          <cell r="H1287">
            <v>1.4671195942479084E-2</v>
          </cell>
          <cell r="J1287" t="str">
            <v>2015NC</v>
          </cell>
          <cell r="K1287">
            <v>0.30503469499999991</v>
          </cell>
          <cell r="L1287">
            <v>0.54100750500000006</v>
          </cell>
          <cell r="M1287">
            <v>0.15395780000000001</v>
          </cell>
          <cell r="U1287" t="str">
            <v>2015NC</v>
          </cell>
          <cell r="V1287">
            <v>2.4742549999999999E-3</v>
          </cell>
          <cell r="W1287">
            <v>3.7123251000000003E-2</v>
          </cell>
          <cell r="X1287">
            <v>6.1645423999999997E-2</v>
          </cell>
          <cell r="Y1287">
            <v>0.58464508599999998</v>
          </cell>
          <cell r="Z1287">
            <v>0.31411198400000001</v>
          </cell>
          <cell r="AB1287" t="str">
            <v>2015NC</v>
          </cell>
          <cell r="AC1287">
            <v>0</v>
          </cell>
          <cell r="AD1287">
            <v>0</v>
          </cell>
          <cell r="AE1287">
            <v>0.41899999999999998</v>
          </cell>
          <cell r="AF1287">
            <v>0.58099999999999996</v>
          </cell>
        </row>
        <row r="1288">
          <cell r="B1288" t="str">
            <v>2015ND</v>
          </cell>
          <cell r="C1288">
            <v>0.1196932700797023</v>
          </cell>
          <cell r="D1288">
            <v>0.21866711268457967</v>
          </cell>
          <cell r="E1288">
            <v>0.10978970169096619</v>
          </cell>
          <cell r="F1288">
            <v>0.448028418369537</v>
          </cell>
          <cell r="G1288">
            <v>6.499987314042277E-2</v>
          </cell>
          <cell r="H1288">
            <v>3.8821624034792085E-2</v>
          </cell>
          <cell r="J1288" t="str">
            <v>2015ND</v>
          </cell>
          <cell r="K1288">
            <v>0.82521042499999997</v>
          </cell>
          <cell r="L1288">
            <v>6.4999873E-2</v>
          </cell>
          <cell r="M1288">
            <v>0.109789702</v>
          </cell>
          <cell r="U1288" t="str">
            <v>2015ND</v>
          </cell>
          <cell r="V1288">
            <v>8.8434773999999994E-2</v>
          </cell>
          <cell r="W1288">
            <v>4.7868137999999998E-2</v>
          </cell>
          <cell r="X1288">
            <v>0.243186129</v>
          </cell>
          <cell r="Y1288">
            <v>0.16647603599999999</v>
          </cell>
          <cell r="Z1288">
            <v>0.45403492299999998</v>
          </cell>
          <cell r="AB1288" t="str">
            <v>2015ND</v>
          </cell>
          <cell r="AC1288">
            <v>0</v>
          </cell>
          <cell r="AD1288">
            <v>0</v>
          </cell>
          <cell r="AE1288">
            <v>0.02</v>
          </cell>
          <cell r="AF1288">
            <v>0.98</v>
          </cell>
        </row>
        <row r="1289">
          <cell r="B1289" t="str">
            <v>2015OH</v>
          </cell>
          <cell r="C1289">
            <v>0.10753833947858983</v>
          </cell>
          <cell r="D1289">
            <v>0.22522557822049544</v>
          </cell>
          <cell r="E1289">
            <v>0.13589110116557596</v>
          </cell>
          <cell r="F1289">
            <v>0.4097570212201273</v>
          </cell>
          <cell r="G1289">
            <v>8.0452940491062386E-2</v>
          </cell>
          <cell r="H1289">
            <v>4.1135019424149183E-2</v>
          </cell>
          <cell r="J1289" t="str">
            <v>2015OH</v>
          </cell>
          <cell r="K1289">
            <v>0.78365595900000007</v>
          </cell>
          <cell r="L1289">
            <v>8.0452940000000001E-2</v>
          </cell>
          <cell r="M1289">
            <v>0.13589110099999999</v>
          </cell>
          <cell r="U1289" t="str">
            <v>2015OH</v>
          </cell>
          <cell r="V1289">
            <v>6.6338901000000006E-2</v>
          </cell>
          <cell r="W1289">
            <v>4.3119113000000001E-2</v>
          </cell>
          <cell r="X1289">
            <v>0.26533305600000001</v>
          </cell>
          <cell r="Y1289">
            <v>0.15267545299999999</v>
          </cell>
          <cell r="Z1289">
            <v>0.47253347699999998</v>
          </cell>
          <cell r="AB1289" t="str">
            <v>2015OH</v>
          </cell>
          <cell r="AC1289">
            <v>0</v>
          </cell>
          <cell r="AD1289">
            <v>0</v>
          </cell>
          <cell r="AE1289">
            <v>0</v>
          </cell>
          <cell r="AF1289">
            <v>1</v>
          </cell>
        </row>
        <row r="1290">
          <cell r="B1290" t="str">
            <v>2015OK</v>
          </cell>
          <cell r="C1290">
            <v>0.40296958934788546</v>
          </cell>
          <cell r="D1290">
            <v>0.22528492954061258</v>
          </cell>
          <cell r="E1290">
            <v>6.4896255940651446E-2</v>
          </cell>
          <cell r="F1290">
            <v>0.24738177570149189</v>
          </cell>
          <cell r="G1290">
            <v>0</v>
          </cell>
          <cell r="H1290">
            <v>5.9467449469358676E-2</v>
          </cell>
          <cell r="J1290" t="str">
            <v>2015OK</v>
          </cell>
          <cell r="K1290">
            <v>0.93510374399999996</v>
          </cell>
          <cell r="L1290">
            <v>0</v>
          </cell>
          <cell r="M1290">
            <v>6.4896255999999999E-2</v>
          </cell>
          <cell r="U1290" t="str">
            <v>2015OK</v>
          </cell>
          <cell r="V1290">
            <v>1.2831308E-2</v>
          </cell>
          <cell r="W1290">
            <v>3.6793041999999998E-2</v>
          </cell>
          <cell r="X1290">
            <v>6.2749109999999997E-2</v>
          </cell>
          <cell r="Y1290">
            <v>0.57552135800000004</v>
          </cell>
          <cell r="Z1290">
            <v>0.31210518199999998</v>
          </cell>
          <cell r="AB1290" t="str">
            <v>2015OK</v>
          </cell>
          <cell r="AC1290">
            <v>0</v>
          </cell>
          <cell r="AD1290">
            <v>0</v>
          </cell>
          <cell r="AE1290">
            <v>0.6</v>
          </cell>
          <cell r="AF1290">
            <v>0.4</v>
          </cell>
        </row>
        <row r="1291">
          <cell r="B1291" t="str">
            <v>2015OR</v>
          </cell>
          <cell r="C1291">
            <v>0.43856747008812064</v>
          </cell>
          <cell r="D1291">
            <v>0.20958259090942544</v>
          </cell>
          <cell r="E1291">
            <v>0</v>
          </cell>
          <cell r="F1291">
            <v>0.12862948158709187</v>
          </cell>
          <cell r="G1291">
            <v>0.2018533708975031</v>
          </cell>
          <cell r="H1291">
            <v>2.1367086517858933E-2</v>
          </cell>
          <cell r="J1291" t="str">
            <v>2015OR</v>
          </cell>
          <cell r="K1291">
            <v>0.798146629</v>
          </cell>
          <cell r="L1291">
            <v>0.201853371</v>
          </cell>
          <cell r="M1291">
            <v>0</v>
          </cell>
          <cell r="U1291" t="str">
            <v>2015OR</v>
          </cell>
          <cell r="V1291">
            <v>0.57640796000000005</v>
          </cell>
          <cell r="W1291">
            <v>1.863805E-2</v>
          </cell>
          <cell r="X1291">
            <v>0.116911403</v>
          </cell>
          <cell r="Y1291">
            <v>8.937792E-2</v>
          </cell>
          <cell r="Z1291">
            <v>0.19866466699999999</v>
          </cell>
          <cell r="AB1291" t="str">
            <v>2015OR</v>
          </cell>
          <cell r="AC1291">
            <v>0</v>
          </cell>
          <cell r="AD1291">
            <v>0</v>
          </cell>
          <cell r="AE1291">
            <v>0.25</v>
          </cell>
          <cell r="AF1291">
            <v>0.75</v>
          </cell>
        </row>
        <row r="1292">
          <cell r="B1292" t="str">
            <v>2015PA</v>
          </cell>
          <cell r="C1292">
            <v>4.9624045569858895E-2</v>
          </cell>
          <cell r="D1292">
            <v>0.11712497857538914</v>
          </cell>
          <cell r="E1292">
            <v>0.46874549019831585</v>
          </cell>
          <cell r="F1292">
            <v>0.25230966018477574</v>
          </cell>
          <cell r="G1292">
            <v>8.8454910858433447E-2</v>
          </cell>
          <cell r="H1292">
            <v>2.3740914613226898E-2</v>
          </cell>
          <cell r="J1292" t="str">
            <v>2015PA</v>
          </cell>
          <cell r="K1292">
            <v>0.44279959899999999</v>
          </cell>
          <cell r="L1292">
            <v>8.8454910999999997E-2</v>
          </cell>
          <cell r="M1292">
            <v>0.46874548999999999</v>
          </cell>
          <cell r="U1292" t="str">
            <v>2015PA</v>
          </cell>
          <cell r="V1292">
            <v>5.0102499000000002E-2</v>
          </cell>
          <cell r="W1292">
            <v>4.9409870000000002E-2</v>
          </cell>
          <cell r="X1292">
            <v>0.25392279899999998</v>
          </cell>
          <cell r="Y1292">
            <v>0.17504710600000001</v>
          </cell>
          <cell r="Z1292">
            <v>0.47151772600000003</v>
          </cell>
          <cell r="AB1292" t="str">
            <v>2015PA</v>
          </cell>
          <cell r="AC1292">
            <v>0</v>
          </cell>
          <cell r="AD1292">
            <v>0</v>
          </cell>
          <cell r="AE1292">
            <v>0</v>
          </cell>
          <cell r="AF1292">
            <v>1</v>
          </cell>
        </row>
        <row r="1293">
          <cell r="B1293" t="str">
            <v>2015RI</v>
          </cell>
          <cell r="C1293">
            <v>4.2447025005926793E-2</v>
          </cell>
          <cell r="D1293">
            <v>0.1190174947032642</v>
          </cell>
          <cell r="E1293">
            <v>0.46784468707451643</v>
          </cell>
          <cell r="F1293">
            <v>0.25730854976835782</v>
          </cell>
          <cell r="G1293">
            <v>8.7642343040085183E-2</v>
          </cell>
          <cell r="H1293">
            <v>2.5739900407849584E-2</v>
          </cell>
          <cell r="J1293" t="str">
            <v>2015RI</v>
          </cell>
          <cell r="K1293">
            <v>0.44451297000000001</v>
          </cell>
          <cell r="L1293">
            <v>8.7642342999999998E-2</v>
          </cell>
          <cell r="M1293">
            <v>0.46784468699999998</v>
          </cell>
          <cell r="U1293" t="str">
            <v>2015RI</v>
          </cell>
          <cell r="V1293">
            <v>0.56026879500000004</v>
          </cell>
          <cell r="W1293">
            <v>1.9348173E-2</v>
          </cell>
          <cell r="X1293">
            <v>0.121365813</v>
          </cell>
          <cell r="Y1293">
            <v>9.2783283999999994E-2</v>
          </cell>
          <cell r="Z1293">
            <v>0.20623393500000001</v>
          </cell>
          <cell r="AB1293" t="str">
            <v>2015RI</v>
          </cell>
          <cell r="AC1293">
            <v>0</v>
          </cell>
          <cell r="AD1293">
            <v>0</v>
          </cell>
          <cell r="AE1293">
            <v>0.05</v>
          </cell>
          <cell r="AF1293">
            <v>0.95</v>
          </cell>
        </row>
        <row r="1294">
          <cell r="B1294" t="str">
            <v>2015SC</v>
          </cell>
          <cell r="C1294">
            <v>0.13346180610825578</v>
          </cell>
          <cell r="D1294">
            <v>9.0019723091430845E-2</v>
          </cell>
          <cell r="E1294">
            <v>0.15451296947775242</v>
          </cell>
          <cell r="F1294">
            <v>8.0687406490411034E-2</v>
          </cell>
          <cell r="G1294">
            <v>0.53771407690020812</v>
          </cell>
          <cell r="H1294">
            <v>3.6040179319418398E-3</v>
          </cell>
          <cell r="J1294" t="str">
            <v>2015SC</v>
          </cell>
          <cell r="K1294">
            <v>0.30777295400000004</v>
          </cell>
          <cell r="L1294">
            <v>0.53771407699999996</v>
          </cell>
          <cell r="M1294">
            <v>0.154512969</v>
          </cell>
          <cell r="U1294" t="str">
            <v>2015SC</v>
          </cell>
          <cell r="V1294">
            <v>6.1629585000000001E-2</v>
          </cell>
          <cell r="W1294">
            <v>3.5823032999999997E-2</v>
          </cell>
          <cell r="X1294">
            <v>8.6443989999999998E-2</v>
          </cell>
          <cell r="Y1294">
            <v>0.50014727299999995</v>
          </cell>
          <cell r="Z1294">
            <v>0.31595611899999998</v>
          </cell>
          <cell r="AB1294" t="str">
            <v>2015SC</v>
          </cell>
          <cell r="AC1294">
            <v>0</v>
          </cell>
          <cell r="AD1294">
            <v>0</v>
          </cell>
          <cell r="AE1294">
            <v>0.6</v>
          </cell>
          <cell r="AF1294">
            <v>0.4</v>
          </cell>
        </row>
        <row r="1295">
          <cell r="B1295" t="str">
            <v>2015SD</v>
          </cell>
          <cell r="C1295">
            <v>0.17608951911561277</v>
          </cell>
          <cell r="D1295">
            <v>0.277831368160596</v>
          </cell>
          <cell r="E1295">
            <v>7.9800561964795444E-2</v>
          </cell>
          <cell r="F1295">
            <v>0.37802114842972712</v>
          </cell>
          <cell r="G1295">
            <v>4.724510882492864E-2</v>
          </cell>
          <cell r="H1295">
            <v>4.1012293504340026E-2</v>
          </cell>
          <cell r="J1295" t="str">
            <v>2015SD</v>
          </cell>
          <cell r="K1295">
            <v>0.87295432900000003</v>
          </cell>
          <cell r="L1295">
            <v>4.7245109E-2</v>
          </cell>
          <cell r="M1295">
            <v>7.9800562000000005E-2</v>
          </cell>
          <cell r="U1295" t="str">
            <v>2015SD</v>
          </cell>
          <cell r="V1295">
            <v>3.3046748000000001E-2</v>
          </cell>
          <cell r="W1295">
            <v>5.1157264000000001E-2</v>
          </cell>
          <cell r="X1295">
            <v>0.25755016600000002</v>
          </cell>
          <cell r="Y1295">
            <v>0.17532273200000001</v>
          </cell>
          <cell r="Z1295">
            <v>0.48292308900000003</v>
          </cell>
          <cell r="AB1295" t="str">
            <v>2015SD</v>
          </cell>
          <cell r="AC1295">
            <v>0</v>
          </cell>
          <cell r="AD1295">
            <v>0</v>
          </cell>
          <cell r="AE1295">
            <v>0.02</v>
          </cell>
          <cell r="AF1295">
            <v>0.98</v>
          </cell>
        </row>
        <row r="1296">
          <cell r="B1296" t="str">
            <v>2015TN</v>
          </cell>
          <cell r="C1296">
            <v>4.0519949592449485E-2</v>
          </cell>
          <cell r="D1296">
            <v>8.9664149461423162E-2</v>
          </cell>
          <cell r="E1296">
            <v>0.14551684926860037</v>
          </cell>
          <cell r="F1296">
            <v>0.1170185785979804</v>
          </cell>
          <cell r="G1296">
            <v>0.59108168584929244</v>
          </cell>
          <cell r="H1296">
            <v>1.6198787230254148E-2</v>
          </cell>
          <cell r="J1296" t="str">
            <v>2015TN</v>
          </cell>
          <cell r="K1296">
            <v>0.26340146500000006</v>
          </cell>
          <cell r="L1296">
            <v>0.591081686</v>
          </cell>
          <cell r="M1296">
            <v>0.145516849</v>
          </cell>
          <cell r="U1296" t="str">
            <v>2015TN</v>
          </cell>
          <cell r="V1296">
            <v>0.102875089</v>
          </cell>
          <cell r="W1296">
            <v>3.5402429999999999E-2</v>
          </cell>
          <cell r="X1296">
            <v>0.119077104</v>
          </cell>
          <cell r="Y1296">
            <v>0.41436515099999999</v>
          </cell>
          <cell r="Z1296">
            <v>0.32828022600000001</v>
          </cell>
          <cell r="AB1296" t="str">
            <v>2015TN</v>
          </cell>
          <cell r="AC1296">
            <v>0</v>
          </cell>
          <cell r="AD1296">
            <v>0</v>
          </cell>
          <cell r="AE1296">
            <v>0.05</v>
          </cell>
          <cell r="AF1296">
            <v>0.95</v>
          </cell>
        </row>
        <row r="1297">
          <cell r="B1297" t="str">
            <v>2015TX</v>
          </cell>
          <cell r="C1297">
            <v>0.53305655520056971</v>
          </cell>
          <cell r="D1297">
            <v>0.24233312613196878</v>
          </cell>
          <cell r="E1297">
            <v>7.9791980793249173E-2</v>
          </cell>
          <cell r="F1297">
            <v>0.1278405091499755</v>
          </cell>
          <cell r="G1297">
            <v>0</v>
          </cell>
          <cell r="H1297">
            <v>1.6977828724236681E-2</v>
          </cell>
          <cell r="J1297" t="str">
            <v>2015TX</v>
          </cell>
          <cell r="K1297">
            <v>0.92020801900000004</v>
          </cell>
          <cell r="L1297">
            <v>0</v>
          </cell>
          <cell r="M1297">
            <v>7.9791980999999998E-2</v>
          </cell>
          <cell r="U1297" t="str">
            <v>2015TX</v>
          </cell>
          <cell r="V1297">
            <v>6.9632535999999995E-2</v>
          </cell>
          <cell r="W1297">
            <v>3.4700662E-2</v>
          </cell>
          <cell r="X1297">
            <v>5.9917572000000002E-2</v>
          </cell>
          <cell r="Y1297">
            <v>0.54104196599999999</v>
          </cell>
          <cell r="Z1297">
            <v>0.29470726400000002</v>
          </cell>
          <cell r="AB1297" t="str">
            <v>2015TX</v>
          </cell>
          <cell r="AC1297">
            <v>0</v>
          </cell>
          <cell r="AD1297">
            <v>0</v>
          </cell>
          <cell r="AE1297">
            <v>0.12</v>
          </cell>
          <cell r="AF1297">
            <v>0.88</v>
          </cell>
        </row>
        <row r="1298">
          <cell r="B1298" t="str">
            <v>2015UT</v>
          </cell>
          <cell r="C1298">
            <v>0.51165623152884221</v>
          </cell>
          <cell r="D1298">
            <v>0.26394677259150623</v>
          </cell>
          <cell r="E1298">
            <v>1.3999177703951423E-2</v>
          </cell>
          <cell r="F1298">
            <v>0.17036034814732054</v>
          </cell>
          <cell r="G1298">
            <v>8.2880703819413898E-3</v>
          </cell>
          <cell r="H1298">
            <v>3.1749399646438282E-2</v>
          </cell>
          <cell r="J1298" t="str">
            <v>2015UT</v>
          </cell>
          <cell r="K1298">
            <v>0.97771275199999996</v>
          </cell>
          <cell r="L1298">
            <v>8.2880699999999998E-3</v>
          </cell>
          <cell r="M1298">
            <v>1.3999177999999999E-2</v>
          </cell>
          <cell r="U1298" t="str">
            <v>2015UT</v>
          </cell>
          <cell r="V1298">
            <v>8.6456620000000001E-3</v>
          </cell>
          <cell r="W1298">
            <v>5.5424775000000003E-2</v>
          </cell>
          <cell r="X1298">
            <v>0.260824848</v>
          </cell>
          <cell r="Y1298">
            <v>0.16982515300000001</v>
          </cell>
          <cell r="Z1298">
            <v>0.50527956200000002</v>
          </cell>
          <cell r="AB1298" t="str">
            <v>2015UT</v>
          </cell>
          <cell r="AC1298">
            <v>0</v>
          </cell>
          <cell r="AD1298">
            <v>0</v>
          </cell>
          <cell r="AE1298">
            <v>0.6</v>
          </cell>
          <cell r="AF1298">
            <v>0.4</v>
          </cell>
        </row>
        <row r="1299">
          <cell r="B1299" t="str">
            <v>2015VT</v>
          </cell>
          <cell r="C1299">
            <v>9.9973781354903396E-2</v>
          </cell>
          <cell r="D1299">
            <v>0.17387691112967565</v>
          </cell>
          <cell r="E1299">
            <v>0.44423932842492886</v>
          </cell>
          <cell r="F1299">
            <v>0.19448861844630186</v>
          </cell>
          <cell r="G1299">
            <v>6.6349172232328182E-2</v>
          </cell>
          <cell r="H1299">
            <v>2.1072188411862088E-2</v>
          </cell>
          <cell r="J1299" t="str">
            <v>2015VT</v>
          </cell>
          <cell r="K1299">
            <v>0.4894115</v>
          </cell>
          <cell r="L1299">
            <v>6.6349171999999998E-2</v>
          </cell>
          <cell r="M1299">
            <v>0.44423932799999999</v>
          </cell>
          <cell r="U1299" t="str">
            <v>2015VT</v>
          </cell>
          <cell r="V1299">
            <v>0.86037974299999997</v>
          </cell>
          <cell r="W1299">
            <v>6.1432910000000004E-3</v>
          </cell>
          <cell r="X1299">
            <v>3.8535191000000003E-2</v>
          </cell>
          <cell r="Y1299">
            <v>2.9459874E-2</v>
          </cell>
          <cell r="Z1299">
            <v>6.5481899999999996E-2</v>
          </cell>
          <cell r="AB1299" t="str">
            <v>2015VT</v>
          </cell>
          <cell r="AC1299">
            <v>0</v>
          </cell>
          <cell r="AD1299">
            <v>0</v>
          </cell>
          <cell r="AE1299">
            <v>0.05</v>
          </cell>
          <cell r="AF1299">
            <v>0.95</v>
          </cell>
        </row>
        <row r="1300">
          <cell r="B1300" t="str">
            <v>2015VA</v>
          </cell>
          <cell r="C1300">
            <v>4.4953509549794296E-2</v>
          </cell>
          <cell r="D1300">
            <v>9.339670802378576E-2</v>
          </cell>
          <cell r="E1300">
            <v>0.14844092890155638</v>
          </cell>
          <cell r="F1300">
            <v>0.12331550684410268</v>
          </cell>
          <cell r="G1300">
            <v>0.5737351926100378</v>
          </cell>
          <cell r="H1300">
            <v>1.6158154070723133E-2</v>
          </cell>
          <cell r="J1300" t="str">
            <v>2015VA</v>
          </cell>
          <cell r="K1300">
            <v>0.27782387799999997</v>
          </cell>
          <cell r="L1300">
            <v>0.57373519299999998</v>
          </cell>
          <cell r="M1300">
            <v>0.148440929</v>
          </cell>
          <cell r="U1300" t="str">
            <v>2015VA</v>
          </cell>
          <cell r="V1300">
            <v>3.3934871999999998E-2</v>
          </cell>
          <cell r="W1300">
            <v>3.6244844999999998E-2</v>
          </cell>
          <cell r="X1300">
            <v>6.8933026999999994E-2</v>
          </cell>
          <cell r="Y1300">
            <v>0.550040046</v>
          </cell>
          <cell r="Z1300">
            <v>0.31084721100000001</v>
          </cell>
          <cell r="AB1300" t="str">
            <v>2015VA</v>
          </cell>
          <cell r="AC1300">
            <v>0</v>
          </cell>
          <cell r="AD1300">
            <v>0</v>
          </cell>
          <cell r="AE1300">
            <v>0.05</v>
          </cell>
          <cell r="AF1300">
            <v>0.95</v>
          </cell>
        </row>
        <row r="1301">
          <cell r="B1301" t="str">
            <v>2015WA</v>
          </cell>
          <cell r="C1301">
            <v>0.48742079910802349</v>
          </cell>
          <cell r="D1301">
            <v>0.21961274491816118</v>
          </cell>
          <cell r="E1301">
            <v>0</v>
          </cell>
          <cell r="F1301">
            <v>0.11254281869932067</v>
          </cell>
          <cell r="G1301">
            <v>0.16627589127589129</v>
          </cell>
          <cell r="H1301">
            <v>1.4147745998603438E-2</v>
          </cell>
          <cell r="J1301" t="str">
            <v>2015WA</v>
          </cell>
          <cell r="K1301">
            <v>0.83372410900000005</v>
          </cell>
          <cell r="L1301">
            <v>0.16627589100000001</v>
          </cell>
          <cell r="M1301">
            <v>0</v>
          </cell>
          <cell r="U1301" t="str">
            <v>2015WA</v>
          </cell>
          <cell r="V1301">
            <v>0.37353494700000001</v>
          </cell>
          <cell r="W1301">
            <v>3.1263627000000002E-2</v>
          </cell>
          <cell r="X1301">
            <v>0.168896926</v>
          </cell>
          <cell r="Y1301">
            <v>0.119853577</v>
          </cell>
          <cell r="Z1301">
            <v>0.30645092299999999</v>
          </cell>
          <cell r="AB1301" t="str">
            <v>2015WA</v>
          </cell>
          <cell r="AC1301">
            <v>0</v>
          </cell>
          <cell r="AD1301">
            <v>0</v>
          </cell>
          <cell r="AE1301">
            <v>0.12</v>
          </cell>
          <cell r="AF1301">
            <v>0.88</v>
          </cell>
        </row>
        <row r="1302">
          <cell r="B1302" t="str">
            <v>2015WV</v>
          </cell>
          <cell r="C1302">
            <v>6.8751812683186322E-2</v>
          </cell>
          <cell r="D1302">
            <v>0.15888641455628993</v>
          </cell>
          <cell r="E1302">
            <v>0.44831485363191043</v>
          </cell>
          <cell r="F1302">
            <v>0.22633984896592482</v>
          </cell>
          <cell r="G1302">
            <v>7.0025492327769459E-2</v>
          </cell>
          <cell r="H1302">
            <v>2.7681577834919095E-2</v>
          </cell>
          <cell r="J1302" t="str">
            <v>2015WV</v>
          </cell>
          <cell r="K1302">
            <v>0.48165965399999999</v>
          </cell>
          <cell r="L1302">
            <v>7.0025491999999995E-2</v>
          </cell>
          <cell r="M1302">
            <v>0.44831485399999998</v>
          </cell>
          <cell r="U1302" t="str">
            <v>2015WV</v>
          </cell>
          <cell r="V1302">
            <v>0.57920187499999998</v>
          </cell>
          <cell r="W1302">
            <v>2.1256934000000002E-2</v>
          </cell>
          <cell r="X1302">
            <v>0.113169981</v>
          </cell>
          <cell r="Y1302">
            <v>7.9649016000000003E-2</v>
          </cell>
          <cell r="Z1302">
            <v>0.206722194</v>
          </cell>
          <cell r="AB1302" t="str">
            <v>2015WV</v>
          </cell>
          <cell r="AC1302">
            <v>0</v>
          </cell>
          <cell r="AD1302">
            <v>0</v>
          </cell>
          <cell r="AE1302">
            <v>0.05</v>
          </cell>
          <cell r="AF1302">
            <v>0.95</v>
          </cell>
        </row>
        <row r="1303">
          <cell r="B1303" t="str">
            <v>2015WI</v>
          </cell>
          <cell r="C1303">
            <v>0.12203432597344931</v>
          </cell>
          <cell r="D1303">
            <v>0.23555629715568294</v>
          </cell>
          <cell r="E1303">
            <v>0.11540173598404266</v>
          </cell>
          <cell r="F1303">
            <v>0.42032708364290838</v>
          </cell>
          <cell r="G1303">
            <v>6.8322420806473022E-2</v>
          </cell>
          <cell r="H1303">
            <v>3.8358136437443673E-2</v>
          </cell>
          <cell r="J1303" t="str">
            <v>2015WI</v>
          </cell>
          <cell r="K1303">
            <v>0.816275843</v>
          </cell>
          <cell r="L1303">
            <v>6.8322420999999994E-2</v>
          </cell>
          <cell r="M1303">
            <v>0.115401736</v>
          </cell>
          <cell r="U1303" t="str">
            <v>2015WI</v>
          </cell>
          <cell r="V1303">
            <v>0.12883246500000001</v>
          </cell>
          <cell r="W1303">
            <v>4.2564396999999997E-2</v>
          </cell>
          <cell r="X1303">
            <v>0.23585646199999999</v>
          </cell>
          <cell r="Y1303">
            <v>0.16970626599999999</v>
          </cell>
          <cell r="Z1303">
            <v>0.42304040999999998</v>
          </cell>
          <cell r="AB1303" t="str">
            <v>2015WI</v>
          </cell>
          <cell r="AC1303">
            <v>0</v>
          </cell>
          <cell r="AD1303">
            <v>0</v>
          </cell>
          <cell r="AE1303">
            <v>0.02</v>
          </cell>
          <cell r="AF1303">
            <v>0.98</v>
          </cell>
        </row>
        <row r="1304">
          <cell r="B1304" t="str">
            <v>2015WY</v>
          </cell>
          <cell r="C1304">
            <v>0.29508724522063295</v>
          </cell>
          <cell r="D1304">
            <v>0.23251729773373622</v>
          </cell>
          <cell r="E1304">
            <v>0.12161775942187937</v>
          </cell>
          <cell r="F1304">
            <v>0.2207502472879718</v>
          </cell>
          <cell r="G1304">
            <v>7.2002554085590281E-2</v>
          </cell>
          <cell r="H1304">
            <v>5.8024896250189507E-2</v>
          </cell>
          <cell r="J1304" t="str">
            <v>2015WY</v>
          </cell>
          <cell r="K1304">
            <v>0.80637968699999996</v>
          </cell>
          <cell r="L1304">
            <v>7.2002553999999996E-2</v>
          </cell>
          <cell r="M1304">
            <v>0.12161775900000001</v>
          </cell>
          <cell r="U1304" t="str">
            <v>2015WY</v>
          </cell>
          <cell r="V1304">
            <v>3.2109568999999998E-2</v>
          </cell>
          <cell r="W1304">
            <v>5.3596850000000001E-2</v>
          </cell>
          <cell r="X1304">
            <v>0.25521061499999997</v>
          </cell>
          <cell r="Y1304">
            <v>0.16752597599999999</v>
          </cell>
          <cell r="Z1304">
            <v>0.49155699000000003</v>
          </cell>
          <cell r="AB1304" t="str">
            <v>2015WY</v>
          </cell>
          <cell r="AC1304">
            <v>0</v>
          </cell>
          <cell r="AD1304">
            <v>0</v>
          </cell>
          <cell r="AE1304">
            <v>0.6</v>
          </cell>
          <cell r="AF1304">
            <v>0.4</v>
          </cell>
        </row>
        <row r="1305">
          <cell r="B1305" t="str">
            <v>2016AL</v>
          </cell>
          <cell r="C1305">
            <v>0.17233560131521788</v>
          </cell>
          <cell r="D1305">
            <v>9.7606154746872412E-2</v>
          </cell>
          <cell r="E1305">
            <v>0.16919346457207346</v>
          </cell>
          <cell r="F1305">
            <v>0.1056405325382436</v>
          </cell>
          <cell r="G1305">
            <v>0.45062509818962659</v>
          </cell>
          <cell r="H1305">
            <v>4.5991486379660445E-3</v>
          </cell>
          <cell r="J1305" t="str">
            <v>2016AL</v>
          </cell>
          <cell r="K1305">
            <v>0.38018143700000007</v>
          </cell>
          <cell r="L1305">
            <v>0.450625098</v>
          </cell>
          <cell r="M1305">
            <v>0.16919346499999999</v>
          </cell>
          <cell r="U1305" t="str">
            <v>2016AL</v>
          </cell>
          <cell r="V1305">
            <v>5.3114938E-2</v>
          </cell>
          <cell r="W1305">
            <v>3.6058960000000001E-2</v>
          </cell>
          <cell r="X1305">
            <v>8.4414527000000003E-2</v>
          </cell>
          <cell r="Y1305">
            <v>0.50961295299999998</v>
          </cell>
          <cell r="Z1305">
            <v>0.316798623</v>
          </cell>
          <cell r="AB1305" t="str">
            <v>2016AL</v>
          </cell>
          <cell r="AC1305">
            <v>0</v>
          </cell>
          <cell r="AD1305">
            <v>0</v>
          </cell>
          <cell r="AE1305">
            <v>0.41899999999999998</v>
          </cell>
          <cell r="AF1305">
            <v>0.58099999999999996</v>
          </cell>
        </row>
        <row r="1306">
          <cell r="B1306" t="str">
            <v>2016AK</v>
          </cell>
          <cell r="C1306">
            <v>0.30334484066413492</v>
          </cell>
          <cell r="D1306">
            <v>0.23769937716735701</v>
          </cell>
          <cell r="E1306">
            <v>6.205843688929364E-2</v>
          </cell>
          <cell r="F1306">
            <v>0.28363994741136878</v>
          </cell>
          <cell r="G1306">
            <v>3.6741064625999714E-2</v>
          </cell>
          <cell r="H1306">
            <v>7.6516333241846021E-2</v>
          </cell>
          <cell r="J1306" t="str">
            <v>2016AK</v>
          </cell>
          <cell r="K1306">
            <v>0.90120049800000002</v>
          </cell>
          <cell r="L1306">
            <v>3.6741065000000003E-2</v>
          </cell>
          <cell r="M1306">
            <v>6.2058437000000001E-2</v>
          </cell>
          <cell r="U1306" t="str">
            <v>2016AK</v>
          </cell>
          <cell r="V1306">
            <v>0.52632575500000001</v>
          </cell>
          <cell r="W1306">
            <v>2.0841667000000001E-2</v>
          </cell>
          <cell r="X1306">
            <v>0.130734092</v>
          </cell>
          <cell r="Y1306">
            <v>9.9945266000000005E-2</v>
          </cell>
          <cell r="Z1306">
            <v>0.22215322100000001</v>
          </cell>
          <cell r="AB1306" t="str">
            <v>2016AK</v>
          </cell>
          <cell r="AC1306">
            <v>0</v>
          </cell>
          <cell r="AD1306">
            <v>0</v>
          </cell>
          <cell r="AE1306">
            <v>0.25</v>
          </cell>
          <cell r="AF1306">
            <v>0.75</v>
          </cell>
        </row>
        <row r="1307">
          <cell r="B1307" t="str">
            <v>2016AZ</v>
          </cell>
          <cell r="C1307">
            <v>0.611220636654217</v>
          </cell>
          <cell r="D1307">
            <v>0.19572797693407004</v>
          </cell>
          <cell r="E1307">
            <v>9.865488383487428E-2</v>
          </cell>
          <cell r="F1307">
            <v>9.3890669243012675E-2</v>
          </cell>
          <cell r="G1307">
            <v>0</v>
          </cell>
          <cell r="H1307">
            <v>5.0583333382575558E-4</v>
          </cell>
          <cell r="J1307" t="str">
            <v>2016AZ</v>
          </cell>
          <cell r="K1307">
            <v>0.901345116</v>
          </cell>
          <cell r="L1307">
            <v>0</v>
          </cell>
          <cell r="M1307">
            <v>9.8654883999999998E-2</v>
          </cell>
          <cell r="U1307" t="str">
            <v>2016AZ</v>
          </cell>
          <cell r="V1307">
            <v>0.136592664</v>
          </cell>
          <cell r="W1307">
            <v>3.2171241000000003E-2</v>
          </cell>
          <cell r="X1307">
            <v>5.4596316999999998E-2</v>
          </cell>
          <cell r="Y1307">
            <v>0.50386894699999996</v>
          </cell>
          <cell r="Z1307">
            <v>0.27277083200000002</v>
          </cell>
          <cell r="AB1307" t="str">
            <v>2016AZ</v>
          </cell>
          <cell r="AC1307">
            <v>0</v>
          </cell>
          <cell r="AD1307">
            <v>0</v>
          </cell>
          <cell r="AE1307">
            <v>0.6</v>
          </cell>
          <cell r="AF1307">
            <v>0.4</v>
          </cell>
        </row>
        <row r="1308">
          <cell r="B1308" t="str">
            <v>2016AR</v>
          </cell>
          <cell r="C1308">
            <v>9.6391342329605903E-2</v>
          </cell>
          <cell r="D1308">
            <v>6.6955456596874061E-2</v>
          </cell>
          <cell r="E1308">
            <v>0.14888335780531528</v>
          </cell>
          <cell r="F1308">
            <v>0.11118804006195876</v>
          </cell>
          <cell r="G1308">
            <v>0.57111057531117648</v>
          </cell>
          <cell r="H1308">
            <v>5.4712278950695761E-3</v>
          </cell>
          <cell r="J1308" t="str">
            <v>2016AR</v>
          </cell>
          <cell r="K1308">
            <v>0.28000606700000008</v>
          </cell>
          <cell r="L1308">
            <v>0.57111057499999995</v>
          </cell>
          <cell r="M1308">
            <v>0.14888335799999999</v>
          </cell>
          <cell r="U1308" t="str">
            <v>2016AR</v>
          </cell>
          <cell r="V1308">
            <v>3.9459004999999998E-2</v>
          </cell>
          <cell r="W1308">
            <v>3.7640482000000003E-2</v>
          </cell>
          <cell r="X1308">
            <v>0.11914443199999999</v>
          </cell>
          <cell r="Y1308">
            <v>0.45827781299999998</v>
          </cell>
          <cell r="Z1308">
            <v>0.34547826799999998</v>
          </cell>
          <cell r="AB1308" t="str">
            <v>2016AR</v>
          </cell>
          <cell r="AC1308">
            <v>0</v>
          </cell>
          <cell r="AD1308">
            <v>0</v>
          </cell>
          <cell r="AE1308">
            <v>0</v>
          </cell>
          <cell r="AF1308">
            <v>1</v>
          </cell>
        </row>
        <row r="1309">
          <cell r="B1309" t="str">
            <v>2016CA</v>
          </cell>
          <cell r="C1309">
            <v>0.58081862489107328</v>
          </cell>
          <cell r="D1309">
            <v>0.20720345916912225</v>
          </cell>
          <cell r="E1309">
            <v>0.10801924509893834</v>
          </cell>
          <cell r="F1309">
            <v>9.2431120719429966E-2</v>
          </cell>
          <cell r="G1309">
            <v>9.2523577326630076E-3</v>
          </cell>
          <cell r="H1309">
            <v>2.2751923887731596E-3</v>
          </cell>
          <cell r="J1309" t="str">
            <v>2016CA</v>
          </cell>
          <cell r="K1309">
            <v>0.88272839699999994</v>
          </cell>
          <cell r="L1309">
            <v>9.2523580000000005E-3</v>
          </cell>
          <cell r="M1309">
            <v>0.108019245</v>
          </cell>
          <cell r="U1309" t="str">
            <v>2016CA</v>
          </cell>
          <cell r="V1309">
            <v>0.133799526</v>
          </cell>
          <cell r="W1309">
            <v>3.2941353E-2</v>
          </cell>
          <cell r="X1309">
            <v>7.5800703999999997E-2</v>
          </cell>
          <cell r="Y1309">
            <v>0.46867659099999998</v>
          </cell>
          <cell r="Z1309">
            <v>0.28878182499999999</v>
          </cell>
          <cell r="AB1309" t="str">
            <v>2016CA</v>
          </cell>
          <cell r="AC1309">
            <v>0</v>
          </cell>
          <cell r="AD1309">
            <v>0</v>
          </cell>
          <cell r="AE1309">
            <v>0.12</v>
          </cell>
          <cell r="AF1309">
            <v>0.88</v>
          </cell>
        </row>
        <row r="1310">
          <cell r="B1310" t="str">
            <v>2016CO</v>
          </cell>
          <cell r="C1310">
            <v>0.61667904285785091</v>
          </cell>
          <cell r="D1310">
            <v>0.24212893570430052</v>
          </cell>
          <cell r="E1310">
            <v>1.1092391745361967E-2</v>
          </cell>
          <cell r="F1310">
            <v>0.11516410971780773</v>
          </cell>
          <cell r="G1310">
            <v>6.5671374014829543E-3</v>
          </cell>
          <cell r="H1310">
            <v>8.3683825731959392E-3</v>
          </cell>
          <cell r="J1310" t="str">
            <v>2016CO</v>
          </cell>
          <cell r="K1310">
            <v>0.98234047099999999</v>
          </cell>
          <cell r="L1310">
            <v>6.5671369999999998E-3</v>
          </cell>
          <cell r="M1310">
            <v>1.1092392E-2</v>
          </cell>
          <cell r="U1310" t="str">
            <v>2016CO</v>
          </cell>
          <cell r="V1310">
            <v>2.3378138E-2</v>
          </cell>
          <cell r="W1310">
            <v>5.3880426000000002E-2</v>
          </cell>
          <cell r="X1310">
            <v>0.25772948099999998</v>
          </cell>
          <cell r="Y1310">
            <v>0.169703665</v>
          </cell>
          <cell r="Z1310">
            <v>0.49530828999999998</v>
          </cell>
          <cell r="AB1310" t="str">
            <v>2016CO</v>
          </cell>
          <cell r="AC1310">
            <v>0</v>
          </cell>
          <cell r="AD1310">
            <v>0</v>
          </cell>
          <cell r="AE1310">
            <v>0.6</v>
          </cell>
          <cell r="AF1310">
            <v>0.4</v>
          </cell>
        </row>
        <row r="1311">
          <cell r="B1311" t="str">
            <v>2016CT</v>
          </cell>
          <cell r="C1311">
            <v>0.11572842393252261</v>
          </cell>
          <cell r="D1311">
            <v>0.20119880615243968</v>
          </cell>
          <cell r="E1311">
            <v>0.43233999756560143</v>
          </cell>
          <cell r="F1311">
            <v>0.17234541515575838</v>
          </cell>
          <cell r="G1311">
            <v>5.5615402487630847E-2</v>
          </cell>
          <cell r="H1311">
            <v>2.2771954706046996E-2</v>
          </cell>
          <cell r="J1311" t="str">
            <v>2016CT</v>
          </cell>
          <cell r="K1311">
            <v>0.51204460000000007</v>
          </cell>
          <cell r="L1311">
            <v>5.5615402000000001E-2</v>
          </cell>
          <cell r="M1311">
            <v>0.432339998</v>
          </cell>
          <cell r="U1311" t="str">
            <v>2016CT</v>
          </cell>
          <cell r="V1311">
            <v>0.57363861400000005</v>
          </cell>
          <cell r="W1311">
            <v>1.8759900999999999E-2</v>
          </cell>
          <cell r="X1311">
            <v>0.117675743</v>
          </cell>
          <cell r="Y1311">
            <v>8.9962252000000006E-2</v>
          </cell>
          <cell r="Z1311">
            <v>0.19996348999999999</v>
          </cell>
          <cell r="AB1311" t="str">
            <v>2016CT</v>
          </cell>
          <cell r="AC1311">
            <v>0</v>
          </cell>
          <cell r="AD1311">
            <v>0</v>
          </cell>
          <cell r="AE1311">
            <v>0.05</v>
          </cell>
          <cell r="AF1311">
            <v>0.95</v>
          </cell>
        </row>
        <row r="1312">
          <cell r="B1312" t="str">
            <v>2016DE</v>
          </cell>
          <cell r="C1312">
            <v>0.10201653895343663</v>
          </cell>
          <cell r="D1312">
            <v>0.1910091905838856</v>
          </cell>
          <cell r="E1312">
            <v>0.43707162937473454</v>
          </cell>
          <cell r="F1312">
            <v>0.18637975788177577</v>
          </cell>
          <cell r="G1312">
            <v>5.9883562349419175E-2</v>
          </cell>
          <cell r="H1312">
            <v>2.3639320856748244E-2</v>
          </cell>
          <cell r="J1312" t="str">
            <v>2016DE</v>
          </cell>
          <cell r="K1312">
            <v>0.50304480899999993</v>
          </cell>
          <cell r="L1312">
            <v>5.9883562000000001E-2</v>
          </cell>
          <cell r="M1312">
            <v>0.43707162900000002</v>
          </cell>
          <cell r="U1312" t="str">
            <v>2016DE</v>
          </cell>
          <cell r="V1312">
            <v>0.120253529</v>
          </cell>
          <cell r="W1312">
            <v>4.1631153999999997E-2</v>
          </cell>
          <cell r="X1312">
            <v>0.23964419100000001</v>
          </cell>
          <cell r="Y1312">
            <v>0.17588547500000001</v>
          </cell>
          <cell r="Z1312">
            <v>0.42258565100000001</v>
          </cell>
          <cell r="AB1312" t="str">
            <v>2016DE</v>
          </cell>
          <cell r="AC1312">
            <v>0</v>
          </cell>
          <cell r="AD1312">
            <v>0</v>
          </cell>
          <cell r="AE1312">
            <v>0.05</v>
          </cell>
          <cell r="AF1312">
            <v>0.95</v>
          </cell>
        </row>
        <row r="1313">
          <cell r="B1313" t="str">
            <v>2016FL</v>
          </cell>
          <cell r="C1313">
            <v>0.38654865924430459</v>
          </cell>
          <cell r="D1313">
            <v>0.14503983167997814</v>
          </cell>
          <cell r="E1313">
            <v>0.21616400084919535</v>
          </cell>
          <cell r="F1313">
            <v>7.8997496757044303E-2</v>
          </cell>
          <cell r="G1313">
            <v>0.17198217725399226</v>
          </cell>
          <cell r="H1313">
            <v>1.2678342154852779E-3</v>
          </cell>
          <cell r="J1313" t="str">
            <v>2016FL</v>
          </cell>
          <cell r="K1313">
            <v>0.61185382200000005</v>
          </cell>
          <cell r="L1313">
            <v>0.17198217700000001</v>
          </cell>
          <cell r="M1313">
            <v>0.21616400099999999</v>
          </cell>
          <cell r="U1313" t="str">
            <v>2016FL</v>
          </cell>
          <cell r="V1313">
            <v>0.71166924399999998</v>
          </cell>
          <cell r="W1313">
            <v>1.2686553E-2</v>
          </cell>
          <cell r="X1313">
            <v>7.9579288999999998E-2</v>
          </cell>
          <cell r="Y1313">
            <v>6.0837789000000003E-2</v>
          </cell>
          <cell r="Z1313">
            <v>0.135227124</v>
          </cell>
          <cell r="AB1313" t="str">
            <v>2016FL</v>
          </cell>
          <cell r="AC1313">
            <v>0</v>
          </cell>
          <cell r="AD1313">
            <v>0</v>
          </cell>
          <cell r="AE1313">
            <v>0.41899999999999998</v>
          </cell>
          <cell r="AF1313">
            <v>0.58099999999999996</v>
          </cell>
        </row>
        <row r="1314">
          <cell r="B1314" t="str">
            <v>2016GA</v>
          </cell>
          <cell r="C1314">
            <v>0.20823216155586291</v>
          </cell>
          <cell r="D1314">
            <v>0.11033206176717186</v>
          </cell>
          <cell r="E1314">
            <v>0.17733204084631207</v>
          </cell>
          <cell r="F1314">
            <v>9.7862793659120595E-2</v>
          </cell>
          <cell r="G1314">
            <v>0.40234468997942996</v>
          </cell>
          <cell r="H1314">
            <v>3.8962521921025758E-3</v>
          </cell>
          <cell r="J1314" t="str">
            <v>2016GA</v>
          </cell>
          <cell r="K1314">
            <v>0.42032326900000005</v>
          </cell>
          <cell r="L1314">
            <v>0.40234469</v>
          </cell>
          <cell r="M1314">
            <v>0.177332041</v>
          </cell>
          <cell r="U1314" t="str">
            <v>2016GA</v>
          </cell>
          <cell r="V1314">
            <v>7.8133266000000007E-2</v>
          </cell>
          <cell r="W1314">
            <v>3.5587817000000001E-2</v>
          </cell>
          <cell r="X1314">
            <v>9.7388838000000005E-2</v>
          </cell>
          <cell r="Y1314">
            <v>0.46952270200000001</v>
          </cell>
          <cell r="Z1314">
            <v>0.31936737799999998</v>
          </cell>
          <cell r="AB1314" t="str">
            <v>2016GA</v>
          </cell>
          <cell r="AC1314">
            <v>0</v>
          </cell>
          <cell r="AD1314">
            <v>0</v>
          </cell>
          <cell r="AE1314">
            <v>0.41899999999999998</v>
          </cell>
          <cell r="AF1314">
            <v>0.58099999999999996</v>
          </cell>
        </row>
        <row r="1315">
          <cell r="B1315" t="str">
            <v>2016HI</v>
          </cell>
          <cell r="C1315">
            <v>0.67137224197860923</v>
          </cell>
          <cell r="D1315">
            <v>0.21100034068527662</v>
          </cell>
          <cell r="E1315">
            <v>0</v>
          </cell>
          <cell r="F1315">
            <v>0.10820426646618357</v>
          </cell>
          <cell r="G1315">
            <v>7.5112148308577572E-3</v>
          </cell>
          <cell r="H1315">
            <v>1.9119360390725836E-3</v>
          </cell>
          <cell r="J1315" t="str">
            <v>2016HI</v>
          </cell>
          <cell r="K1315">
            <v>0.99248878500000004</v>
          </cell>
          <cell r="L1315">
            <v>7.5112149999999999E-3</v>
          </cell>
          <cell r="M1315">
            <v>0</v>
          </cell>
          <cell r="U1315" t="str">
            <v>2016HI</v>
          </cell>
          <cell r="V1315">
            <v>0.23216878499999999</v>
          </cell>
          <cell r="W1315">
            <v>3.2904865999999998E-2</v>
          </cell>
          <cell r="X1315">
            <v>0.18414778700000001</v>
          </cell>
          <cell r="Y1315">
            <v>0.21064765399999999</v>
          </cell>
          <cell r="Z1315">
            <v>0.34013090899999998</v>
          </cell>
          <cell r="AB1315" t="str">
            <v>2016HI</v>
          </cell>
          <cell r="AC1315">
            <v>0</v>
          </cell>
          <cell r="AD1315">
            <v>0</v>
          </cell>
          <cell r="AE1315">
            <v>0.25</v>
          </cell>
          <cell r="AF1315">
            <v>0.75</v>
          </cell>
        </row>
        <row r="1316">
          <cell r="B1316" t="str">
            <v>2016ID</v>
          </cell>
          <cell r="C1316">
            <v>0.62850843440764703</v>
          </cell>
          <cell r="D1316">
            <v>0.2329683972033782</v>
          </cell>
          <cell r="E1316">
            <v>6.4436683947772669E-3</v>
          </cell>
          <cell r="F1316">
            <v>0.11961222721284216</v>
          </cell>
          <cell r="G1316">
            <v>3.8149081541218642E-3</v>
          </cell>
          <cell r="H1316">
            <v>8.6523646272333287E-3</v>
          </cell>
          <cell r="J1316" t="str">
            <v>2016ID</v>
          </cell>
          <cell r="K1316">
            <v>0.98974142399999998</v>
          </cell>
          <cell r="L1316">
            <v>3.8149080000000001E-3</v>
          </cell>
          <cell r="M1316">
            <v>6.4436679999999996E-3</v>
          </cell>
          <cell r="U1316" t="str">
            <v>2016ID</v>
          </cell>
          <cell r="V1316">
            <v>0.460837895</v>
          </cell>
          <cell r="W1316">
            <v>2.6974237000000002E-2</v>
          </cell>
          <cell r="X1316">
            <v>0.14528671200000001</v>
          </cell>
          <cell r="Y1316">
            <v>0.102926191</v>
          </cell>
          <cell r="Z1316">
            <v>0.26397496599999998</v>
          </cell>
          <cell r="AB1316" t="str">
            <v>2016ID</v>
          </cell>
          <cell r="AC1316">
            <v>0</v>
          </cell>
          <cell r="AD1316">
            <v>0</v>
          </cell>
          <cell r="AE1316">
            <v>0.6</v>
          </cell>
          <cell r="AF1316">
            <v>0.4</v>
          </cell>
        </row>
        <row r="1317">
          <cell r="B1317" t="str">
            <v>2016IL</v>
          </cell>
          <cell r="C1317">
            <v>0.13175283144497188</v>
          </cell>
          <cell r="D1317">
            <v>0.26046159534668961</v>
          </cell>
          <cell r="E1317">
            <v>8.1383349234931596E-2</v>
          </cell>
          <cell r="F1317">
            <v>0.43207247933210829</v>
          </cell>
          <cell r="G1317">
            <v>4.8182181885357514E-2</v>
          </cell>
          <cell r="H1317">
            <v>4.6147562755941125E-2</v>
          </cell>
          <cell r="J1317" t="str">
            <v>2016IL</v>
          </cell>
          <cell r="K1317">
            <v>0.87043446899999999</v>
          </cell>
          <cell r="L1317">
            <v>4.8182181999999997E-2</v>
          </cell>
          <cell r="M1317">
            <v>8.1383348999999994E-2</v>
          </cell>
          <cell r="U1317" t="str">
            <v>2016IL</v>
          </cell>
          <cell r="V1317">
            <v>2.0186552999999999E-2</v>
          </cell>
          <cell r="W1317">
            <v>4.5739502000000001E-2</v>
          </cell>
          <cell r="X1317">
            <v>0.28028242399999997</v>
          </cell>
          <cell r="Y1317">
            <v>0.149587944</v>
          </cell>
          <cell r="Z1317">
            <v>0.50420357699999996</v>
          </cell>
          <cell r="AB1317" t="str">
            <v>2016IL</v>
          </cell>
          <cell r="AC1317">
            <v>0</v>
          </cell>
          <cell r="AD1317">
            <v>0</v>
          </cell>
          <cell r="AE1317">
            <v>0.02</v>
          </cell>
          <cell r="AF1317">
            <v>0.98</v>
          </cell>
        </row>
        <row r="1318">
          <cell r="B1318" t="str">
            <v>2016IN</v>
          </cell>
          <cell r="C1318">
            <v>0.16189917384296076</v>
          </cell>
          <cell r="D1318">
            <v>0.24163212738244233</v>
          </cell>
          <cell r="E1318">
            <v>0.13392208737361183</v>
          </cell>
          <cell r="F1318">
            <v>0.3491044693998876</v>
          </cell>
          <cell r="G1318">
            <v>7.9287205957511472E-2</v>
          </cell>
          <cell r="H1318">
            <v>3.4154936043586021E-2</v>
          </cell>
          <cell r="J1318" t="str">
            <v>2016IN</v>
          </cell>
          <cell r="K1318">
            <v>0.78679070699999998</v>
          </cell>
          <cell r="L1318">
            <v>7.9287205999999999E-2</v>
          </cell>
          <cell r="M1318">
            <v>0.133922087</v>
          </cell>
          <cell r="U1318" t="str">
            <v>2016IN</v>
          </cell>
          <cell r="V1318">
            <v>2.5489210000000002E-2</v>
          </cell>
          <cell r="W1318">
            <v>4.5536079E-2</v>
          </cell>
          <cell r="X1318">
            <v>0.27893099599999999</v>
          </cell>
          <cell r="Y1318">
            <v>0.14781887399999999</v>
          </cell>
          <cell r="Z1318">
            <v>0.50222484099999998</v>
          </cell>
          <cell r="AB1318" t="str">
            <v>2016IN</v>
          </cell>
          <cell r="AC1318">
            <v>0</v>
          </cell>
          <cell r="AD1318">
            <v>0</v>
          </cell>
          <cell r="AE1318">
            <v>0</v>
          </cell>
          <cell r="AF1318">
            <v>1</v>
          </cell>
        </row>
        <row r="1319">
          <cell r="B1319" t="str">
            <v>2016IA</v>
          </cell>
          <cell r="C1319">
            <v>0.13792614664225575</v>
          </cell>
          <cell r="D1319">
            <v>0.25047757969635848</v>
          </cell>
          <cell r="E1319">
            <v>0.10477197231415941</v>
          </cell>
          <cell r="F1319">
            <v>0.40507493125352922</v>
          </cell>
          <cell r="G1319">
            <v>6.2029177638731184E-2</v>
          </cell>
          <cell r="H1319">
            <v>3.9720192454965969E-2</v>
          </cell>
          <cell r="J1319" t="str">
            <v>2016IA</v>
          </cell>
          <cell r="K1319">
            <v>0.83319885000000005</v>
          </cell>
          <cell r="L1319">
            <v>6.2029177999999997E-2</v>
          </cell>
          <cell r="M1319">
            <v>0.104771972</v>
          </cell>
          <cell r="U1319" t="str">
            <v>2016IA</v>
          </cell>
          <cell r="V1319">
            <v>9.6502570000000006E-3</v>
          </cell>
          <cell r="W1319">
            <v>3.8739974000000003E-2</v>
          </cell>
          <cell r="X1319">
            <v>0.12067557499999999</v>
          </cell>
          <cell r="Y1319">
            <v>0.47629315999999999</v>
          </cell>
          <cell r="Z1319">
            <v>0.35464103499999999</v>
          </cell>
          <cell r="AB1319" t="str">
            <v>2016IA</v>
          </cell>
          <cell r="AC1319">
            <v>0</v>
          </cell>
          <cell r="AD1319">
            <v>0</v>
          </cell>
          <cell r="AE1319">
            <v>0</v>
          </cell>
          <cell r="AF1319">
            <v>1</v>
          </cell>
        </row>
        <row r="1320">
          <cell r="B1320" t="str">
            <v>2016KS</v>
          </cell>
          <cell r="C1320">
            <v>0.28758404285910905</v>
          </cell>
          <cell r="D1320">
            <v>0.32607606753917184</v>
          </cell>
          <cell r="E1320">
            <v>5.1050547933917619E-2</v>
          </cell>
          <cell r="F1320">
            <v>0.27762124338847843</v>
          </cell>
          <cell r="G1320">
            <v>3.0223956239483565E-2</v>
          </cell>
          <cell r="H1320">
            <v>2.7444142039839463E-2</v>
          </cell>
          <cell r="J1320" t="str">
            <v>2016KS</v>
          </cell>
          <cell r="K1320">
            <v>0.91872549599999997</v>
          </cell>
          <cell r="L1320">
            <v>3.0223956E-2</v>
          </cell>
          <cell r="M1320">
            <v>5.1050548000000001E-2</v>
          </cell>
          <cell r="U1320" t="str">
            <v>2016KS</v>
          </cell>
          <cell r="V1320">
            <v>2.3647662E-2</v>
          </cell>
          <cell r="W1320">
            <v>4.6272377000000003E-2</v>
          </cell>
          <cell r="X1320">
            <v>0.28189652199999998</v>
          </cell>
          <cell r="Y1320">
            <v>0.13395533500000001</v>
          </cell>
          <cell r="Z1320">
            <v>0.51422810299999999</v>
          </cell>
          <cell r="AB1320" t="str">
            <v>2016KS</v>
          </cell>
          <cell r="AC1320">
            <v>0</v>
          </cell>
          <cell r="AD1320">
            <v>0</v>
          </cell>
          <cell r="AE1320">
            <v>0.02</v>
          </cell>
          <cell r="AF1320">
            <v>0.98</v>
          </cell>
        </row>
        <row r="1321">
          <cell r="B1321" t="str">
            <v>2016KY</v>
          </cell>
          <cell r="C1321">
            <v>2.3305602928070858E-2</v>
          </cell>
          <cell r="D1321">
            <v>6.2885861766289422E-2</v>
          </cell>
          <cell r="E1321">
            <v>0.14165738300711325</v>
          </cell>
          <cell r="F1321">
            <v>0.14315421990856123</v>
          </cell>
          <cell r="G1321">
            <v>0.61397716539009373</v>
          </cell>
          <cell r="H1321">
            <v>1.5019766999871505E-2</v>
          </cell>
          <cell r="J1321" t="str">
            <v>2016KY</v>
          </cell>
          <cell r="K1321">
            <v>0.24436545200000004</v>
          </cell>
          <cell r="L1321">
            <v>0.61397716499999999</v>
          </cell>
          <cell r="M1321">
            <v>0.141657383</v>
          </cell>
          <cell r="U1321" t="str">
            <v>2016KY</v>
          </cell>
          <cell r="V1321">
            <v>4.9184704000000003E-2</v>
          </cell>
          <cell r="W1321">
            <v>3.7321891000000003E-2</v>
          </cell>
          <cell r="X1321">
            <v>0.11991215400000001</v>
          </cell>
          <cell r="Y1321">
            <v>0.45018075899999999</v>
          </cell>
          <cell r="Z1321">
            <v>0.34340049099999997</v>
          </cell>
          <cell r="AB1321" t="str">
            <v>2016KY</v>
          </cell>
          <cell r="AC1321">
            <v>0</v>
          </cell>
          <cell r="AD1321">
            <v>0</v>
          </cell>
          <cell r="AE1321">
            <v>0.05</v>
          </cell>
          <cell r="AF1321">
            <v>0.95</v>
          </cell>
        </row>
        <row r="1322">
          <cell r="B1322" t="str">
            <v>2016LA</v>
          </cell>
          <cell r="C1322">
            <v>8.7696493950327165E-2</v>
          </cell>
          <cell r="D1322">
            <v>6.4637521135916851E-2</v>
          </cell>
          <cell r="E1322">
            <v>0.14461730665558523</v>
          </cell>
          <cell r="F1322">
            <v>0.10160244529023774</v>
          </cell>
          <cell r="G1322">
            <v>0.59641803499629376</v>
          </cell>
          <cell r="H1322">
            <v>5.0281979716392446E-3</v>
          </cell>
          <cell r="J1322" t="str">
            <v>2016LA</v>
          </cell>
          <cell r="K1322">
            <v>0.25896465800000001</v>
          </cell>
          <cell r="L1322">
            <v>0.59641803500000001</v>
          </cell>
          <cell r="M1322">
            <v>0.144617307</v>
          </cell>
          <cell r="U1322" t="str">
            <v>2016LA</v>
          </cell>
          <cell r="V1322">
            <v>0.53551704700000002</v>
          </cell>
          <cell r="W1322">
            <v>2.0437250000000001E-2</v>
          </cell>
          <cell r="X1322">
            <v>0.12819729499999999</v>
          </cell>
          <cell r="Y1322">
            <v>9.8005903000000005E-2</v>
          </cell>
          <cell r="Z1322">
            <v>0.21784250499999999</v>
          </cell>
          <cell r="AB1322" t="str">
            <v>2016LA</v>
          </cell>
          <cell r="AC1322">
            <v>0</v>
          </cell>
          <cell r="AD1322">
            <v>0</v>
          </cell>
          <cell r="AE1322">
            <v>0.6</v>
          </cell>
          <cell r="AF1322">
            <v>0.4</v>
          </cell>
        </row>
        <row r="1323">
          <cell r="B1323" t="str">
            <v>2016ME</v>
          </cell>
          <cell r="C1323">
            <v>9.3713015315557757E-2</v>
          </cell>
          <cell r="D1323">
            <v>0.17210096338216258</v>
          </cell>
          <cell r="E1323">
            <v>0.44837154081607639</v>
          </cell>
          <cell r="F1323">
            <v>0.19633313267932656</v>
          </cell>
          <cell r="G1323">
            <v>7.0076626899074845E-2</v>
          </cell>
          <cell r="H1323">
            <v>1.9404720907801824E-2</v>
          </cell>
          <cell r="J1323" t="str">
            <v>2016ME</v>
          </cell>
          <cell r="K1323">
            <v>0.48155183200000007</v>
          </cell>
          <cell r="L1323">
            <v>7.0076627000000002E-2</v>
          </cell>
          <cell r="M1323">
            <v>0.44837154099999998</v>
          </cell>
          <cell r="U1323" t="str">
            <v>2016ME</v>
          </cell>
          <cell r="V1323">
            <v>0.72920202000000001</v>
          </cell>
          <cell r="W1323">
            <v>1.1915111000000001E-2</v>
          </cell>
          <cell r="X1323">
            <v>7.4740241999999998E-2</v>
          </cell>
          <cell r="Y1323">
            <v>5.7138373999999999E-2</v>
          </cell>
          <cell r="Z1323">
            <v>0.12700425300000001</v>
          </cell>
          <cell r="AB1323" t="str">
            <v>2016ME</v>
          </cell>
          <cell r="AC1323">
            <v>0</v>
          </cell>
          <cell r="AD1323">
            <v>0</v>
          </cell>
          <cell r="AE1323">
            <v>0.05</v>
          </cell>
          <cell r="AF1323">
            <v>0.95</v>
          </cell>
        </row>
        <row r="1324">
          <cell r="B1324" t="str">
            <v>2016MD</v>
          </cell>
          <cell r="C1324">
            <v>7.6488535055593554E-2</v>
          </cell>
          <cell r="D1324">
            <v>0.15472472257238745</v>
          </cell>
          <cell r="E1324">
            <v>0.44380834258126728</v>
          </cell>
          <cell r="F1324">
            <v>0.22861605738914034</v>
          </cell>
          <cell r="G1324">
            <v>6.5960402236453913E-2</v>
          </cell>
          <cell r="H1324">
            <v>3.0401940165157418E-2</v>
          </cell>
          <cell r="J1324" t="str">
            <v>2016MD</v>
          </cell>
          <cell r="K1324">
            <v>0.49023125499999998</v>
          </cell>
          <cell r="L1324">
            <v>6.5960402000000001E-2</v>
          </cell>
          <cell r="M1324">
            <v>0.44380834299999999</v>
          </cell>
          <cell r="U1324" t="str">
            <v>2016MD</v>
          </cell>
          <cell r="V1324">
            <v>0.21140679400000001</v>
          </cell>
          <cell r="W1324">
            <v>3.7602905999999998E-2</v>
          </cell>
          <cell r="X1324">
            <v>0.214504853</v>
          </cell>
          <cell r="Y1324">
            <v>0.15671048400000001</v>
          </cell>
          <cell r="Z1324">
            <v>0.37977496300000002</v>
          </cell>
          <cell r="AB1324" t="str">
            <v>2016MD</v>
          </cell>
          <cell r="AC1324">
            <v>0</v>
          </cell>
          <cell r="AD1324">
            <v>0</v>
          </cell>
          <cell r="AE1324">
            <v>0.05</v>
          </cell>
          <cell r="AF1324">
            <v>0.95</v>
          </cell>
        </row>
        <row r="1325">
          <cell r="B1325" t="str">
            <v>2016MA</v>
          </cell>
          <cell r="C1325">
            <v>6.1305440163427552E-2</v>
          </cell>
          <cell r="D1325">
            <v>0.14874705508142777</v>
          </cell>
          <cell r="E1325">
            <v>0.45216403673004657</v>
          </cell>
          <cell r="F1325">
            <v>0.23617268276189021</v>
          </cell>
          <cell r="G1325">
            <v>7.3497640935872632E-2</v>
          </cell>
          <cell r="H1325">
            <v>2.8113144327335336E-2</v>
          </cell>
          <cell r="J1325" t="str">
            <v>2016MA</v>
          </cell>
          <cell r="K1325">
            <v>0.47433832199999992</v>
          </cell>
          <cell r="L1325">
            <v>7.3497641000000002E-2</v>
          </cell>
          <cell r="M1325">
            <v>0.45216403700000002</v>
          </cell>
          <cell r="U1325" t="str">
            <v>2016MA</v>
          </cell>
          <cell r="V1325">
            <v>0.31419575799999999</v>
          </cell>
          <cell r="W1325">
            <v>3.0175387000000001E-2</v>
          </cell>
          <cell r="X1325">
            <v>0.18928197099999999</v>
          </cell>
          <cell r="Y1325">
            <v>0.14470469499999999</v>
          </cell>
          <cell r="Z1325">
            <v>0.32164218900000002</v>
          </cell>
          <cell r="AB1325" t="str">
            <v>2016MA</v>
          </cell>
          <cell r="AC1325">
            <v>0</v>
          </cell>
          <cell r="AD1325">
            <v>0</v>
          </cell>
          <cell r="AE1325">
            <v>0.05</v>
          </cell>
          <cell r="AF1325">
            <v>0.95</v>
          </cell>
        </row>
        <row r="1326">
          <cell r="B1326" t="str">
            <v>2016MI</v>
          </cell>
          <cell r="C1326">
            <v>0.21592740095911189</v>
          </cell>
          <cell r="D1326">
            <v>0.33044604004991018</v>
          </cell>
          <cell r="E1326">
            <v>5.8998863632555826E-2</v>
          </cell>
          <cell r="F1326">
            <v>0.32074430847532459</v>
          </cell>
          <cell r="G1326">
            <v>3.4929675483950956E-2</v>
          </cell>
          <cell r="H1326">
            <v>3.8953711399146676E-2</v>
          </cell>
          <cell r="J1326" t="str">
            <v>2016MI</v>
          </cell>
          <cell r="K1326">
            <v>0.90607146100000002</v>
          </cell>
          <cell r="L1326">
            <v>3.4929675E-2</v>
          </cell>
          <cell r="M1326">
            <v>5.8998863999999998E-2</v>
          </cell>
          <cell r="U1326" t="str">
            <v>2016MI</v>
          </cell>
          <cell r="V1326">
            <v>4.5127237000000001E-2</v>
          </cell>
          <cell r="W1326">
            <v>5.0500046999999999E-2</v>
          </cell>
          <cell r="X1326">
            <v>0.254352099</v>
          </cell>
          <cell r="Y1326">
            <v>0.17319266699999999</v>
          </cell>
          <cell r="Z1326">
            <v>0.47682794899999997</v>
          </cell>
          <cell r="AB1326" t="str">
            <v>2016MI</v>
          </cell>
          <cell r="AC1326">
            <v>0</v>
          </cell>
          <cell r="AD1326">
            <v>0</v>
          </cell>
          <cell r="AE1326">
            <v>0.02</v>
          </cell>
          <cell r="AF1326">
            <v>0.98</v>
          </cell>
        </row>
        <row r="1327">
          <cell r="B1327" t="str">
            <v>2016MN</v>
          </cell>
          <cell r="C1327">
            <v>0.11559741536790068</v>
          </cell>
          <cell r="D1327">
            <v>0.23915415867765383</v>
          </cell>
          <cell r="E1327">
            <v>0.10052931481156221</v>
          </cell>
          <cell r="F1327">
            <v>0.43822851849088174</v>
          </cell>
          <cell r="G1327">
            <v>5.9517355535203494E-2</v>
          </cell>
          <cell r="H1327">
            <v>4.697323711679801E-2</v>
          </cell>
          <cell r="J1327" t="str">
            <v>2016MN</v>
          </cell>
          <cell r="K1327">
            <v>0.83995332899999997</v>
          </cell>
          <cell r="L1327">
            <v>5.9517356E-2</v>
          </cell>
          <cell r="M1327">
            <v>0.10052931499999999</v>
          </cell>
          <cell r="U1327" t="str">
            <v>2016MN</v>
          </cell>
          <cell r="V1327">
            <v>1.5145339000000001E-2</v>
          </cell>
          <cell r="W1327">
            <v>5.1986831999999997E-2</v>
          </cell>
          <cell r="X1327">
            <v>0.262445557</v>
          </cell>
          <cell r="Y1327">
            <v>0.17896024199999999</v>
          </cell>
          <cell r="Z1327">
            <v>0.49146202900000002</v>
          </cell>
          <cell r="AB1327" t="str">
            <v>2016MN</v>
          </cell>
          <cell r="AC1327">
            <v>0</v>
          </cell>
          <cell r="AD1327">
            <v>0</v>
          </cell>
          <cell r="AE1327">
            <v>0</v>
          </cell>
          <cell r="AF1327">
            <v>1</v>
          </cell>
        </row>
        <row r="1328">
          <cell r="B1328" t="str">
            <v>2016MS</v>
          </cell>
          <cell r="C1328">
            <v>0.10416334210611014</v>
          </cell>
          <cell r="D1328">
            <v>7.2829933678422776E-2</v>
          </cell>
          <cell r="E1328">
            <v>0.14929269604113307</v>
          </cell>
          <cell r="F1328">
            <v>0.10019278631941281</v>
          </cell>
          <cell r="G1328">
            <v>0.56868226150598644</v>
          </cell>
          <cell r="H1328">
            <v>4.838980348934833E-3</v>
          </cell>
          <cell r="J1328" t="str">
            <v>2016MS</v>
          </cell>
          <cell r="K1328">
            <v>0.28202504199999989</v>
          </cell>
          <cell r="L1328">
            <v>0.56868226200000005</v>
          </cell>
          <cell r="M1328">
            <v>0.149292696</v>
          </cell>
          <cell r="U1328" t="str">
            <v>2016MS</v>
          </cell>
          <cell r="V1328">
            <v>2.1100625000000001E-2</v>
          </cell>
          <cell r="W1328">
            <v>3.6418512E-2</v>
          </cell>
          <cell r="X1328">
            <v>6.0129593000000002E-2</v>
          </cell>
          <cell r="Y1328">
            <v>0.574366987</v>
          </cell>
          <cell r="Z1328">
            <v>0.30798428300000003</v>
          </cell>
          <cell r="AB1328" t="str">
            <v>2016MS</v>
          </cell>
          <cell r="AC1328">
            <v>0</v>
          </cell>
          <cell r="AD1328">
            <v>0</v>
          </cell>
          <cell r="AE1328">
            <v>0.6</v>
          </cell>
          <cell r="AF1328">
            <v>0.4</v>
          </cell>
        </row>
        <row r="1329">
          <cell r="B1329" t="str">
            <v>2016MO</v>
          </cell>
          <cell r="C1329">
            <v>6.4925479522277466E-2</v>
          </cell>
          <cell r="D1329">
            <v>0.18170303563698134</v>
          </cell>
          <cell r="E1329">
            <v>0.14337282997597614</v>
          </cell>
          <cell r="F1329">
            <v>0.47880340852502545</v>
          </cell>
          <cell r="G1329">
            <v>8.4882421727070459E-2</v>
          </cell>
          <cell r="H1329">
            <v>4.6312824612669105E-2</v>
          </cell>
          <cell r="J1329" t="str">
            <v>2016MO</v>
          </cell>
          <cell r="K1329">
            <v>0.77174474799999992</v>
          </cell>
          <cell r="L1329">
            <v>8.4882421999999999E-2</v>
          </cell>
          <cell r="M1329">
            <v>0.14337283000000001</v>
          </cell>
          <cell r="U1329" t="str">
            <v>2016MO</v>
          </cell>
          <cell r="V1329">
            <v>2.998994E-2</v>
          </cell>
          <cell r="W1329">
            <v>4.5757142000000001E-2</v>
          </cell>
          <cell r="X1329">
            <v>0.27926039899999999</v>
          </cell>
          <cell r="Y1329">
            <v>0.13775391300000001</v>
          </cell>
          <cell r="Z1329">
            <v>0.50723860600000004</v>
          </cell>
          <cell r="AB1329" t="str">
            <v>2016MO</v>
          </cell>
          <cell r="AC1329">
            <v>0</v>
          </cell>
          <cell r="AD1329">
            <v>0</v>
          </cell>
          <cell r="AE1329">
            <v>0</v>
          </cell>
          <cell r="AF1329">
            <v>1</v>
          </cell>
        </row>
        <row r="1330">
          <cell r="B1330" t="str">
            <v>2016MT</v>
          </cell>
          <cell r="C1330">
            <v>0.35597781750083307</v>
          </cell>
          <cell r="D1330">
            <v>0.25924389885240834</v>
          </cell>
          <cell r="E1330">
            <v>4.3797789125912777E-2</v>
          </cell>
          <cell r="F1330">
            <v>0.25058080537727367</v>
          </cell>
          <cell r="G1330">
            <v>2.5930034358127463E-2</v>
          </cell>
          <cell r="H1330">
            <v>6.4469654785444572E-2</v>
          </cell>
          <cell r="J1330" t="str">
            <v>2016MT</v>
          </cell>
          <cell r="K1330">
            <v>0.93027217699999998</v>
          </cell>
          <cell r="L1330">
            <v>2.5930034000000001E-2</v>
          </cell>
          <cell r="M1330">
            <v>4.3797788999999997E-2</v>
          </cell>
          <cell r="U1330" t="str">
            <v>2016MT</v>
          </cell>
          <cell r="V1330">
            <v>6.0520032000000001E-2</v>
          </cell>
          <cell r="W1330">
            <v>5.1214043000000001E-2</v>
          </cell>
          <cell r="X1330">
            <v>0.24859647000000001</v>
          </cell>
          <cell r="Y1330">
            <v>0.16530719099999999</v>
          </cell>
          <cell r="Z1330">
            <v>0.47436226399999998</v>
          </cell>
          <cell r="AB1330" t="str">
            <v>2016MT</v>
          </cell>
          <cell r="AC1330">
            <v>0</v>
          </cell>
          <cell r="AD1330">
            <v>0</v>
          </cell>
          <cell r="AE1330">
            <v>0.6</v>
          </cell>
          <cell r="AF1330">
            <v>0.4</v>
          </cell>
        </row>
        <row r="1331">
          <cell r="B1331" t="str">
            <v>2016NE</v>
          </cell>
          <cell r="C1331">
            <v>0.21260954807532403</v>
          </cell>
          <cell r="D1331">
            <v>0.30324255962083846</v>
          </cell>
          <cell r="E1331">
            <v>6.1277054134417128E-2</v>
          </cell>
          <cell r="F1331">
            <v>0.34696077142199511</v>
          </cell>
          <cell r="G1331">
            <v>3.6278454935301678E-2</v>
          </cell>
          <cell r="H1331">
            <v>3.9631611812123581E-2</v>
          </cell>
          <cell r="J1331" t="str">
            <v>2016NE</v>
          </cell>
          <cell r="K1331">
            <v>0.90244449100000002</v>
          </cell>
          <cell r="L1331">
            <v>3.6278455000000001E-2</v>
          </cell>
          <cell r="M1331">
            <v>6.1277053999999997E-2</v>
          </cell>
          <cell r="U1331" t="str">
            <v>2016NE</v>
          </cell>
          <cell r="V1331">
            <v>3.0063880000000001E-2</v>
          </cell>
          <cell r="W1331">
            <v>4.5295173000000001E-2</v>
          </cell>
          <cell r="X1331">
            <v>0.27751980599999998</v>
          </cell>
          <cell r="Y1331">
            <v>0.147715386</v>
          </cell>
          <cell r="Z1331">
            <v>0.49940575500000001</v>
          </cell>
          <cell r="AB1331" t="str">
            <v>2016NE</v>
          </cell>
          <cell r="AC1331">
            <v>0</v>
          </cell>
          <cell r="AD1331">
            <v>0</v>
          </cell>
          <cell r="AE1331">
            <v>0.02</v>
          </cell>
          <cell r="AF1331">
            <v>0.98</v>
          </cell>
        </row>
        <row r="1332">
          <cell r="B1332" t="str">
            <v>2016NV</v>
          </cell>
          <cell r="C1332">
            <v>0.64210148526116029</v>
          </cell>
          <cell r="D1332">
            <v>0.238399883587257</v>
          </cell>
          <cell r="E1332">
            <v>4.1594375177217181E-3</v>
          </cell>
          <cell r="F1332">
            <v>0.10819864870890922</v>
          </cell>
          <cell r="G1332">
            <v>2.4625525602432058E-3</v>
          </cell>
          <cell r="H1332">
            <v>4.677992364708553E-3</v>
          </cell>
          <cell r="J1332" t="str">
            <v>2016NV</v>
          </cell>
          <cell r="K1332">
            <v>0.99337800899999995</v>
          </cell>
          <cell r="L1332">
            <v>2.4625530000000001E-3</v>
          </cell>
          <cell r="M1332">
            <v>4.1594379999999997E-3</v>
          </cell>
          <cell r="U1332" t="str">
            <v>2016NV</v>
          </cell>
          <cell r="V1332">
            <v>0.35004114600000003</v>
          </cell>
          <cell r="W1332">
            <v>2.4048478000000002E-2</v>
          </cell>
          <cell r="X1332">
            <v>3.5747737000000002E-2</v>
          </cell>
          <cell r="Y1332">
            <v>0.38867539400000001</v>
          </cell>
          <cell r="Z1332">
            <v>0.20148724500000001</v>
          </cell>
          <cell r="AB1332" t="str">
            <v>2016NV</v>
          </cell>
          <cell r="AC1332">
            <v>0</v>
          </cell>
          <cell r="AD1332">
            <v>0</v>
          </cell>
          <cell r="AE1332">
            <v>0</v>
          </cell>
          <cell r="AF1332">
            <v>1</v>
          </cell>
        </row>
        <row r="1333">
          <cell r="B1333" t="str">
            <v>2016NH</v>
          </cell>
          <cell r="C1333">
            <v>9.4573445198850817E-2</v>
          </cell>
          <cell r="D1333">
            <v>0.16340842518862655</v>
          </cell>
          <cell r="E1333">
            <v>0.44298025846087286</v>
          </cell>
          <cell r="F1333">
            <v>0.20852129702854144</v>
          </cell>
          <cell r="G1333">
            <v>6.52134304627775E-2</v>
          </cell>
          <cell r="H1333">
            <v>2.5303143660330828E-2</v>
          </cell>
          <cell r="J1333" t="str">
            <v>2016NH</v>
          </cell>
          <cell r="K1333">
            <v>0.49180631200000002</v>
          </cell>
          <cell r="L1333">
            <v>6.5213430000000003E-2</v>
          </cell>
          <cell r="M1333">
            <v>0.44298025800000002</v>
          </cell>
          <cell r="U1333" t="str">
            <v>2016NH</v>
          </cell>
          <cell r="V1333">
            <v>0.56759962799999997</v>
          </cell>
          <cell r="W1333">
            <v>1.9025615999999999E-2</v>
          </cell>
          <cell r="X1333">
            <v>0.119342503</v>
          </cell>
          <cell r="Y1333">
            <v>9.1236478999999995E-2</v>
          </cell>
          <cell r="Z1333">
            <v>0.20279577500000001</v>
          </cell>
          <cell r="AB1333" t="str">
            <v>2016NH</v>
          </cell>
          <cell r="AC1333">
            <v>0</v>
          </cell>
          <cell r="AD1333">
            <v>0</v>
          </cell>
          <cell r="AE1333">
            <v>0.05</v>
          </cell>
          <cell r="AF1333">
            <v>0.95</v>
          </cell>
        </row>
        <row r="1334">
          <cell r="B1334" t="str">
            <v>2016NJ</v>
          </cell>
          <cell r="C1334">
            <v>5.8003576611346738E-2</v>
          </cell>
          <cell r="D1334">
            <v>0.13897871355240557</v>
          </cell>
          <cell r="E1334">
            <v>0.45397029129837874</v>
          </cell>
          <cell r="F1334">
            <v>0.24471653627570109</v>
          </cell>
          <cell r="G1334">
            <v>7.5126969581826603E-2</v>
          </cell>
          <cell r="H1334">
            <v>2.9203912680341212E-2</v>
          </cell>
          <cell r="J1334" t="str">
            <v>2016NJ</v>
          </cell>
          <cell r="K1334">
            <v>0.47090273900000001</v>
          </cell>
          <cell r="L1334">
            <v>7.5126970000000001E-2</v>
          </cell>
          <cell r="M1334">
            <v>0.45397029100000003</v>
          </cell>
          <cell r="U1334" t="str">
            <v>2016NJ</v>
          </cell>
          <cell r="V1334">
            <v>0.30808167400000003</v>
          </cell>
          <cell r="W1334">
            <v>3.3011736E-2</v>
          </cell>
          <cell r="X1334">
            <v>0.18818818500000001</v>
          </cell>
          <cell r="Y1334">
            <v>0.137437002</v>
          </cell>
          <cell r="Z1334">
            <v>0.333281404</v>
          </cell>
          <cell r="AB1334" t="str">
            <v>2016NJ</v>
          </cell>
          <cell r="AC1334">
            <v>0</v>
          </cell>
          <cell r="AD1334">
            <v>0</v>
          </cell>
          <cell r="AE1334">
            <v>0.05</v>
          </cell>
          <cell r="AF1334">
            <v>0.95</v>
          </cell>
        </row>
        <row r="1335">
          <cell r="B1335" t="str">
            <v>2016NM</v>
          </cell>
          <cell r="C1335">
            <v>0.61184589317007076</v>
          </cell>
          <cell r="D1335">
            <v>0.19452029294367307</v>
          </cell>
          <cell r="E1335">
            <v>9.8952813124742175E-2</v>
          </cell>
          <cell r="F1335">
            <v>9.4174237847419268E-2</v>
          </cell>
          <cell r="G1335">
            <v>0</v>
          </cell>
          <cell r="H1335">
            <v>5.0676291409465751E-4</v>
          </cell>
          <cell r="J1335" t="str">
            <v>2016NM</v>
          </cell>
          <cell r="K1335">
            <v>0.90104718699999997</v>
          </cell>
          <cell r="L1335">
            <v>0</v>
          </cell>
          <cell r="M1335">
            <v>9.8952813000000001E-2</v>
          </cell>
          <cell r="U1335" t="str">
            <v>2016NM</v>
          </cell>
          <cell r="V1335">
            <v>0.91655606099999998</v>
          </cell>
          <cell r="W1335">
            <v>3.6715329999999998E-3</v>
          </cell>
          <cell r="X1335">
            <v>2.3030526999999999E-2</v>
          </cell>
          <cell r="Y1335">
            <v>1.7606671000000001E-2</v>
          </cell>
          <cell r="Z1335">
            <v>3.9135206999999998E-2</v>
          </cell>
          <cell r="AB1335" t="str">
            <v>2016NM</v>
          </cell>
          <cell r="AC1335">
            <v>0</v>
          </cell>
          <cell r="AD1335">
            <v>0</v>
          </cell>
          <cell r="AE1335">
            <v>0.6</v>
          </cell>
          <cell r="AF1335">
            <v>0.4</v>
          </cell>
        </row>
        <row r="1336">
          <cell r="B1336" t="str">
            <v>2016NY</v>
          </cell>
          <cell r="C1336">
            <v>9.8408703041683282E-2</v>
          </cell>
          <cell r="D1336">
            <v>0.15954377256245178</v>
          </cell>
          <cell r="E1336">
            <v>0.44849165243165579</v>
          </cell>
          <cell r="F1336">
            <v>0.20287733376538455</v>
          </cell>
          <cell r="G1336">
            <v>7.0184973363303343E-2</v>
          </cell>
          <cell r="H1336">
            <v>2.0493564835521279E-2</v>
          </cell>
          <cell r="J1336" t="str">
            <v>2016NY</v>
          </cell>
          <cell r="K1336">
            <v>0.481323375</v>
          </cell>
          <cell r="L1336">
            <v>7.0184972999999998E-2</v>
          </cell>
          <cell r="M1336">
            <v>0.44849165200000002</v>
          </cell>
          <cell r="U1336" t="str">
            <v>2016NY</v>
          </cell>
          <cell r="V1336">
            <v>0.20441514899999999</v>
          </cell>
          <cell r="W1336">
            <v>4.1815811000000001E-2</v>
          </cell>
          <cell r="X1336">
            <v>0.21220383400000001</v>
          </cell>
          <cell r="Y1336">
            <v>0.145168144</v>
          </cell>
          <cell r="Z1336">
            <v>0.396397061</v>
          </cell>
          <cell r="AB1336" t="str">
            <v>2016NY</v>
          </cell>
          <cell r="AC1336">
            <v>0</v>
          </cell>
          <cell r="AD1336">
            <v>0</v>
          </cell>
          <cell r="AE1336">
            <v>0.05</v>
          </cell>
          <cell r="AF1336">
            <v>0.95</v>
          </cell>
        </row>
        <row r="1337">
          <cell r="B1337" t="str">
            <v>2016NC</v>
          </cell>
          <cell r="C1337">
            <v>6.168821577504751E-2</v>
          </cell>
          <cell r="D1337">
            <v>0.11278426418396881</v>
          </cell>
          <cell r="E1337">
            <v>0.15395779991170949</v>
          </cell>
          <cell r="F1337">
            <v>0.11589101949636353</v>
          </cell>
          <cell r="G1337">
            <v>0.54100750469043157</v>
          </cell>
          <cell r="H1337">
            <v>1.4671195942479084E-2</v>
          </cell>
          <cell r="J1337" t="str">
            <v>2016NC</v>
          </cell>
          <cell r="K1337">
            <v>0.30503469499999991</v>
          </cell>
          <cell r="L1337">
            <v>0.54100750500000006</v>
          </cell>
          <cell r="M1337">
            <v>0.15395780000000001</v>
          </cell>
          <cell r="U1337" t="str">
            <v>2016NC</v>
          </cell>
          <cell r="V1337">
            <v>2.4742549999999999E-3</v>
          </cell>
          <cell r="W1337">
            <v>3.7123251000000003E-2</v>
          </cell>
          <cell r="X1337">
            <v>6.1645423999999997E-2</v>
          </cell>
          <cell r="Y1337">
            <v>0.58464508599999998</v>
          </cell>
          <cell r="Z1337">
            <v>0.31411198400000001</v>
          </cell>
          <cell r="AB1337" t="str">
            <v>2016NC</v>
          </cell>
          <cell r="AC1337">
            <v>0</v>
          </cell>
          <cell r="AD1337">
            <v>0</v>
          </cell>
          <cell r="AE1337">
            <v>0.41899999999999998</v>
          </cell>
          <cell r="AF1337">
            <v>0.58099999999999996</v>
          </cell>
        </row>
        <row r="1338">
          <cell r="B1338" t="str">
            <v>2016ND</v>
          </cell>
          <cell r="C1338">
            <v>0.1196932700797023</v>
          </cell>
          <cell r="D1338">
            <v>0.21866711268457967</v>
          </cell>
          <cell r="E1338">
            <v>0.10978970169096619</v>
          </cell>
          <cell r="F1338">
            <v>0.448028418369537</v>
          </cell>
          <cell r="G1338">
            <v>6.499987314042277E-2</v>
          </cell>
          <cell r="H1338">
            <v>3.8821624034792085E-2</v>
          </cell>
          <cell r="J1338" t="str">
            <v>2016ND</v>
          </cell>
          <cell r="K1338">
            <v>0.82521042499999997</v>
          </cell>
          <cell r="L1338">
            <v>6.4999873E-2</v>
          </cell>
          <cell r="M1338">
            <v>0.109789702</v>
          </cell>
          <cell r="U1338" t="str">
            <v>2016ND</v>
          </cell>
          <cell r="V1338">
            <v>8.8434773999999994E-2</v>
          </cell>
          <cell r="W1338">
            <v>4.7868137999999998E-2</v>
          </cell>
          <cell r="X1338">
            <v>0.243186129</v>
          </cell>
          <cell r="Y1338">
            <v>0.16647603599999999</v>
          </cell>
          <cell r="Z1338">
            <v>0.45403492299999998</v>
          </cell>
          <cell r="AB1338" t="str">
            <v>2016ND</v>
          </cell>
          <cell r="AC1338">
            <v>0</v>
          </cell>
          <cell r="AD1338">
            <v>0</v>
          </cell>
          <cell r="AE1338">
            <v>0.02</v>
          </cell>
          <cell r="AF1338">
            <v>0.98</v>
          </cell>
        </row>
        <row r="1339">
          <cell r="B1339" t="str">
            <v>2016OH</v>
          </cell>
          <cell r="C1339">
            <v>0.10753833947858983</v>
          </cell>
          <cell r="D1339">
            <v>0.22522557822049544</v>
          </cell>
          <cell r="E1339">
            <v>0.13589110116557596</v>
          </cell>
          <cell r="F1339">
            <v>0.4097570212201273</v>
          </cell>
          <cell r="G1339">
            <v>8.0452940491062386E-2</v>
          </cell>
          <cell r="H1339">
            <v>4.1135019424149183E-2</v>
          </cell>
          <cell r="J1339" t="str">
            <v>2016OH</v>
          </cell>
          <cell r="K1339">
            <v>0.78365595900000007</v>
          </cell>
          <cell r="L1339">
            <v>8.0452940000000001E-2</v>
          </cell>
          <cell r="M1339">
            <v>0.13589110099999999</v>
          </cell>
          <cell r="U1339" t="str">
            <v>2016OH</v>
          </cell>
          <cell r="V1339">
            <v>6.6338901000000006E-2</v>
          </cell>
          <cell r="W1339">
            <v>4.3119113000000001E-2</v>
          </cell>
          <cell r="X1339">
            <v>0.26533305600000001</v>
          </cell>
          <cell r="Y1339">
            <v>0.15267545299999999</v>
          </cell>
          <cell r="Z1339">
            <v>0.47253347699999998</v>
          </cell>
          <cell r="AB1339" t="str">
            <v>2016OH</v>
          </cell>
          <cell r="AC1339">
            <v>0</v>
          </cell>
          <cell r="AD1339">
            <v>0</v>
          </cell>
          <cell r="AE1339">
            <v>0</v>
          </cell>
          <cell r="AF1339">
            <v>1</v>
          </cell>
        </row>
        <row r="1340">
          <cell r="B1340" t="str">
            <v>2016OK</v>
          </cell>
          <cell r="C1340">
            <v>0.40296958934788546</v>
          </cell>
          <cell r="D1340">
            <v>0.22528492954061258</v>
          </cell>
          <cell r="E1340">
            <v>6.4896255940651446E-2</v>
          </cell>
          <cell r="F1340">
            <v>0.24738177570149189</v>
          </cell>
          <cell r="G1340">
            <v>0</v>
          </cell>
          <cell r="H1340">
            <v>5.9467449469358676E-2</v>
          </cell>
          <cell r="J1340" t="str">
            <v>2016OK</v>
          </cell>
          <cell r="K1340">
            <v>0.93510374399999996</v>
          </cell>
          <cell r="L1340">
            <v>0</v>
          </cell>
          <cell r="M1340">
            <v>6.4896255999999999E-2</v>
          </cell>
          <cell r="U1340" t="str">
            <v>2016OK</v>
          </cell>
          <cell r="V1340">
            <v>1.2831308E-2</v>
          </cell>
          <cell r="W1340">
            <v>3.6793041999999998E-2</v>
          </cell>
          <cell r="X1340">
            <v>6.2749109999999997E-2</v>
          </cell>
          <cell r="Y1340">
            <v>0.57552135800000004</v>
          </cell>
          <cell r="Z1340">
            <v>0.31210518199999998</v>
          </cell>
          <cell r="AB1340" t="str">
            <v>2016OK</v>
          </cell>
          <cell r="AC1340">
            <v>0</v>
          </cell>
          <cell r="AD1340">
            <v>0</v>
          </cell>
          <cell r="AE1340">
            <v>0.6</v>
          </cell>
          <cell r="AF1340">
            <v>0.4</v>
          </cell>
        </row>
        <row r="1341">
          <cell r="B1341" t="str">
            <v>2016OR</v>
          </cell>
          <cell r="C1341">
            <v>0.43856747008812064</v>
          </cell>
          <cell r="D1341">
            <v>0.20958259090942544</v>
          </cell>
          <cell r="E1341">
            <v>0</v>
          </cell>
          <cell r="F1341">
            <v>0.12862948158709187</v>
          </cell>
          <cell r="G1341">
            <v>0.2018533708975031</v>
          </cell>
          <cell r="H1341">
            <v>2.1367086517858933E-2</v>
          </cell>
          <cell r="J1341" t="str">
            <v>2016OR</v>
          </cell>
          <cell r="K1341">
            <v>0.798146629</v>
          </cell>
          <cell r="L1341">
            <v>0.201853371</v>
          </cell>
          <cell r="M1341">
            <v>0</v>
          </cell>
          <cell r="U1341" t="str">
            <v>2016OR</v>
          </cell>
          <cell r="V1341">
            <v>0.57640796000000005</v>
          </cell>
          <cell r="W1341">
            <v>1.863805E-2</v>
          </cell>
          <cell r="X1341">
            <v>0.116911403</v>
          </cell>
          <cell r="Y1341">
            <v>8.937792E-2</v>
          </cell>
          <cell r="Z1341">
            <v>0.19866466699999999</v>
          </cell>
          <cell r="AB1341" t="str">
            <v>2016OR</v>
          </cell>
          <cell r="AC1341">
            <v>0</v>
          </cell>
          <cell r="AD1341">
            <v>0</v>
          </cell>
          <cell r="AE1341">
            <v>0.25</v>
          </cell>
          <cell r="AF1341">
            <v>0.75</v>
          </cell>
        </row>
        <row r="1342">
          <cell r="B1342" t="str">
            <v>2016PA</v>
          </cell>
          <cell r="C1342">
            <v>4.9624045569858895E-2</v>
          </cell>
          <cell r="D1342">
            <v>0.11712497857538914</v>
          </cell>
          <cell r="E1342">
            <v>0.46874549019831585</v>
          </cell>
          <cell r="F1342">
            <v>0.25230966018477574</v>
          </cell>
          <cell r="G1342">
            <v>8.8454910858433447E-2</v>
          </cell>
          <cell r="H1342">
            <v>2.3740914613226898E-2</v>
          </cell>
          <cell r="J1342" t="str">
            <v>2016PA</v>
          </cell>
          <cell r="K1342">
            <v>0.44279959899999999</v>
          </cell>
          <cell r="L1342">
            <v>8.8454910999999997E-2</v>
          </cell>
          <cell r="M1342">
            <v>0.46874548999999999</v>
          </cell>
          <cell r="U1342" t="str">
            <v>2016PA</v>
          </cell>
          <cell r="V1342">
            <v>5.0102499000000002E-2</v>
          </cell>
          <cell r="W1342">
            <v>4.9409870000000002E-2</v>
          </cell>
          <cell r="X1342">
            <v>0.25392279899999998</v>
          </cell>
          <cell r="Y1342">
            <v>0.17504710600000001</v>
          </cell>
          <cell r="Z1342">
            <v>0.47151772600000003</v>
          </cell>
          <cell r="AB1342" t="str">
            <v>2016PA</v>
          </cell>
          <cell r="AC1342">
            <v>0</v>
          </cell>
          <cell r="AD1342">
            <v>0</v>
          </cell>
          <cell r="AE1342">
            <v>0</v>
          </cell>
          <cell r="AF1342">
            <v>1</v>
          </cell>
        </row>
        <row r="1343">
          <cell r="B1343" t="str">
            <v>2016RI</v>
          </cell>
          <cell r="C1343">
            <v>4.2447025005926793E-2</v>
          </cell>
          <cell r="D1343">
            <v>0.1190174947032642</v>
          </cell>
          <cell r="E1343">
            <v>0.46784468707451643</v>
          </cell>
          <cell r="F1343">
            <v>0.25730854976835782</v>
          </cell>
          <cell r="G1343">
            <v>8.7642343040085183E-2</v>
          </cell>
          <cell r="H1343">
            <v>2.5739900407849584E-2</v>
          </cell>
          <cell r="J1343" t="str">
            <v>2016RI</v>
          </cell>
          <cell r="K1343">
            <v>0.44451297000000001</v>
          </cell>
          <cell r="L1343">
            <v>8.7642342999999998E-2</v>
          </cell>
          <cell r="M1343">
            <v>0.46784468699999998</v>
          </cell>
          <cell r="U1343" t="str">
            <v>2016RI</v>
          </cell>
          <cell r="V1343">
            <v>0.56026879500000004</v>
          </cell>
          <cell r="W1343">
            <v>1.9348173E-2</v>
          </cell>
          <cell r="X1343">
            <v>0.121365813</v>
          </cell>
          <cell r="Y1343">
            <v>9.2783283999999994E-2</v>
          </cell>
          <cell r="Z1343">
            <v>0.20623393500000001</v>
          </cell>
          <cell r="AB1343" t="str">
            <v>2016RI</v>
          </cell>
          <cell r="AC1343">
            <v>0</v>
          </cell>
          <cell r="AD1343">
            <v>0</v>
          </cell>
          <cell r="AE1343">
            <v>0.05</v>
          </cell>
          <cell r="AF1343">
            <v>0.95</v>
          </cell>
        </row>
        <row r="1344">
          <cell r="B1344" t="str">
            <v>2016SC</v>
          </cell>
          <cell r="C1344">
            <v>0.13346180610825578</v>
          </cell>
          <cell r="D1344">
            <v>9.0019723091430845E-2</v>
          </cell>
          <cell r="E1344">
            <v>0.15451296947775242</v>
          </cell>
          <cell r="F1344">
            <v>8.0687406490411034E-2</v>
          </cell>
          <cell r="G1344">
            <v>0.53771407690020812</v>
          </cell>
          <cell r="H1344">
            <v>3.6040179319418398E-3</v>
          </cell>
          <cell r="J1344" t="str">
            <v>2016SC</v>
          </cell>
          <cell r="K1344">
            <v>0.30777295400000004</v>
          </cell>
          <cell r="L1344">
            <v>0.53771407699999996</v>
          </cell>
          <cell r="M1344">
            <v>0.154512969</v>
          </cell>
          <cell r="U1344" t="str">
            <v>2016SC</v>
          </cell>
          <cell r="V1344">
            <v>6.1629585000000001E-2</v>
          </cell>
          <cell r="W1344">
            <v>3.5823032999999997E-2</v>
          </cell>
          <cell r="X1344">
            <v>8.6443989999999998E-2</v>
          </cell>
          <cell r="Y1344">
            <v>0.50014727299999995</v>
          </cell>
          <cell r="Z1344">
            <v>0.31595611899999998</v>
          </cell>
          <cell r="AB1344" t="str">
            <v>2016SC</v>
          </cell>
          <cell r="AC1344">
            <v>0</v>
          </cell>
          <cell r="AD1344">
            <v>0</v>
          </cell>
          <cell r="AE1344">
            <v>0.6</v>
          </cell>
          <cell r="AF1344">
            <v>0.4</v>
          </cell>
        </row>
        <row r="1345">
          <cell r="B1345" t="str">
            <v>2016SD</v>
          </cell>
          <cell r="C1345">
            <v>0.17608951911561277</v>
          </cell>
          <cell r="D1345">
            <v>0.277831368160596</v>
          </cell>
          <cell r="E1345">
            <v>7.9800561964795444E-2</v>
          </cell>
          <cell r="F1345">
            <v>0.37802114842972712</v>
          </cell>
          <cell r="G1345">
            <v>4.724510882492864E-2</v>
          </cell>
          <cell r="H1345">
            <v>4.1012293504340026E-2</v>
          </cell>
          <cell r="J1345" t="str">
            <v>2016SD</v>
          </cell>
          <cell r="K1345">
            <v>0.87295432900000003</v>
          </cell>
          <cell r="L1345">
            <v>4.7245109E-2</v>
          </cell>
          <cell r="M1345">
            <v>7.9800562000000005E-2</v>
          </cell>
          <cell r="U1345" t="str">
            <v>2016SD</v>
          </cell>
          <cell r="V1345">
            <v>3.3046748000000001E-2</v>
          </cell>
          <cell r="W1345">
            <v>5.1157264000000001E-2</v>
          </cell>
          <cell r="X1345">
            <v>0.25755016600000002</v>
          </cell>
          <cell r="Y1345">
            <v>0.17532273200000001</v>
          </cell>
          <cell r="Z1345">
            <v>0.48292308900000003</v>
          </cell>
          <cell r="AB1345" t="str">
            <v>2016SD</v>
          </cell>
          <cell r="AC1345">
            <v>0</v>
          </cell>
          <cell r="AD1345">
            <v>0</v>
          </cell>
          <cell r="AE1345">
            <v>0.02</v>
          </cell>
          <cell r="AF1345">
            <v>0.98</v>
          </cell>
        </row>
        <row r="1346">
          <cell r="B1346" t="str">
            <v>2016TN</v>
          </cell>
          <cell r="C1346">
            <v>4.0519949592449485E-2</v>
          </cell>
          <cell r="D1346">
            <v>8.9664149461423162E-2</v>
          </cell>
          <cell r="E1346">
            <v>0.14551684926860037</v>
          </cell>
          <cell r="F1346">
            <v>0.1170185785979804</v>
          </cell>
          <cell r="G1346">
            <v>0.59108168584929244</v>
          </cell>
          <cell r="H1346">
            <v>1.6198787230254148E-2</v>
          </cell>
          <cell r="J1346" t="str">
            <v>2016TN</v>
          </cell>
          <cell r="K1346">
            <v>0.26340146500000006</v>
          </cell>
          <cell r="L1346">
            <v>0.591081686</v>
          </cell>
          <cell r="M1346">
            <v>0.145516849</v>
          </cell>
          <cell r="U1346" t="str">
            <v>2016TN</v>
          </cell>
          <cell r="V1346">
            <v>0.102875089</v>
          </cell>
          <cell r="W1346">
            <v>3.5402429999999999E-2</v>
          </cell>
          <cell r="X1346">
            <v>0.119077104</v>
          </cell>
          <cell r="Y1346">
            <v>0.41436515099999999</v>
          </cell>
          <cell r="Z1346">
            <v>0.32828022600000001</v>
          </cell>
          <cell r="AB1346" t="str">
            <v>2016TN</v>
          </cell>
          <cell r="AC1346">
            <v>0</v>
          </cell>
          <cell r="AD1346">
            <v>0</v>
          </cell>
          <cell r="AE1346">
            <v>0.05</v>
          </cell>
          <cell r="AF1346">
            <v>0.95</v>
          </cell>
        </row>
        <row r="1347">
          <cell r="B1347" t="str">
            <v>2016TX</v>
          </cell>
          <cell r="C1347">
            <v>0.53305655520056971</v>
          </cell>
          <cell r="D1347">
            <v>0.24233312613196878</v>
          </cell>
          <cell r="E1347">
            <v>7.9791980793249173E-2</v>
          </cell>
          <cell r="F1347">
            <v>0.1278405091499755</v>
          </cell>
          <cell r="G1347">
            <v>0</v>
          </cell>
          <cell r="H1347">
            <v>1.6977828724236681E-2</v>
          </cell>
          <cell r="J1347" t="str">
            <v>2016TX</v>
          </cell>
          <cell r="K1347">
            <v>0.92020801900000004</v>
          </cell>
          <cell r="L1347">
            <v>0</v>
          </cell>
          <cell r="M1347">
            <v>7.9791980999999998E-2</v>
          </cell>
          <cell r="U1347" t="str">
            <v>2016TX</v>
          </cell>
          <cell r="V1347">
            <v>6.9632535999999995E-2</v>
          </cell>
          <cell r="W1347">
            <v>3.4700662E-2</v>
          </cell>
          <cell r="X1347">
            <v>5.9917572000000002E-2</v>
          </cell>
          <cell r="Y1347">
            <v>0.54104196599999999</v>
          </cell>
          <cell r="Z1347">
            <v>0.29470726400000002</v>
          </cell>
          <cell r="AB1347" t="str">
            <v>2016TX</v>
          </cell>
          <cell r="AC1347">
            <v>0</v>
          </cell>
          <cell r="AD1347">
            <v>0</v>
          </cell>
          <cell r="AE1347">
            <v>0.12</v>
          </cell>
          <cell r="AF1347">
            <v>0.88</v>
          </cell>
        </row>
        <row r="1348">
          <cell r="B1348" t="str">
            <v>2016UT</v>
          </cell>
          <cell r="C1348">
            <v>0.51165623152884221</v>
          </cell>
          <cell r="D1348">
            <v>0.26394677259150623</v>
          </cell>
          <cell r="E1348">
            <v>1.3999177703951423E-2</v>
          </cell>
          <cell r="F1348">
            <v>0.17036034814732054</v>
          </cell>
          <cell r="G1348">
            <v>8.2880703819413898E-3</v>
          </cell>
          <cell r="H1348">
            <v>3.1749399646438282E-2</v>
          </cell>
          <cell r="J1348" t="str">
            <v>2016UT</v>
          </cell>
          <cell r="K1348">
            <v>0.97771275199999996</v>
          </cell>
          <cell r="L1348">
            <v>8.2880699999999998E-3</v>
          </cell>
          <cell r="M1348">
            <v>1.3999177999999999E-2</v>
          </cell>
          <cell r="U1348" t="str">
            <v>2016UT</v>
          </cell>
          <cell r="V1348">
            <v>8.6456620000000001E-3</v>
          </cell>
          <cell r="W1348">
            <v>5.5424775000000003E-2</v>
          </cell>
          <cell r="X1348">
            <v>0.260824848</v>
          </cell>
          <cell r="Y1348">
            <v>0.16982515300000001</v>
          </cell>
          <cell r="Z1348">
            <v>0.50527956200000002</v>
          </cell>
          <cell r="AB1348" t="str">
            <v>2016UT</v>
          </cell>
          <cell r="AC1348">
            <v>0</v>
          </cell>
          <cell r="AD1348">
            <v>0</v>
          </cell>
          <cell r="AE1348">
            <v>0.6</v>
          </cell>
          <cell r="AF1348">
            <v>0.4</v>
          </cell>
        </row>
        <row r="1349">
          <cell r="B1349" t="str">
            <v>2016VT</v>
          </cell>
          <cell r="C1349">
            <v>9.9973781354903396E-2</v>
          </cell>
          <cell r="D1349">
            <v>0.17387691112967565</v>
          </cell>
          <cell r="E1349">
            <v>0.44423932842492886</v>
          </cell>
          <cell r="F1349">
            <v>0.19448861844630186</v>
          </cell>
          <cell r="G1349">
            <v>6.6349172232328182E-2</v>
          </cell>
          <cell r="H1349">
            <v>2.1072188411862088E-2</v>
          </cell>
          <cell r="J1349" t="str">
            <v>2016VT</v>
          </cell>
          <cell r="K1349">
            <v>0.4894115</v>
          </cell>
          <cell r="L1349">
            <v>6.6349171999999998E-2</v>
          </cell>
          <cell r="M1349">
            <v>0.44423932799999999</v>
          </cell>
          <cell r="U1349" t="str">
            <v>2016VT</v>
          </cell>
          <cell r="V1349">
            <v>0.86037974299999997</v>
          </cell>
          <cell r="W1349">
            <v>6.1432910000000004E-3</v>
          </cell>
          <cell r="X1349">
            <v>3.8535191000000003E-2</v>
          </cell>
          <cell r="Y1349">
            <v>2.9459874E-2</v>
          </cell>
          <cell r="Z1349">
            <v>6.5481899999999996E-2</v>
          </cell>
          <cell r="AB1349" t="str">
            <v>2016VT</v>
          </cell>
          <cell r="AC1349">
            <v>0</v>
          </cell>
          <cell r="AD1349">
            <v>0</v>
          </cell>
          <cell r="AE1349">
            <v>0.05</v>
          </cell>
          <cell r="AF1349">
            <v>0.95</v>
          </cell>
        </row>
        <row r="1350">
          <cell r="B1350" t="str">
            <v>2016VA</v>
          </cell>
          <cell r="C1350">
            <v>4.4953509549794296E-2</v>
          </cell>
          <cell r="D1350">
            <v>9.339670802378576E-2</v>
          </cell>
          <cell r="E1350">
            <v>0.14844092890155638</v>
          </cell>
          <cell r="F1350">
            <v>0.12331550684410268</v>
          </cell>
          <cell r="G1350">
            <v>0.5737351926100378</v>
          </cell>
          <cell r="H1350">
            <v>1.6158154070723133E-2</v>
          </cell>
          <cell r="J1350" t="str">
            <v>2016VA</v>
          </cell>
          <cell r="K1350">
            <v>0.27782387799999997</v>
          </cell>
          <cell r="L1350">
            <v>0.57373519299999998</v>
          </cell>
          <cell r="M1350">
            <v>0.148440929</v>
          </cell>
          <cell r="U1350" t="str">
            <v>2016VA</v>
          </cell>
          <cell r="V1350">
            <v>3.3934871999999998E-2</v>
          </cell>
          <cell r="W1350">
            <v>3.6244844999999998E-2</v>
          </cell>
          <cell r="X1350">
            <v>6.8933026999999994E-2</v>
          </cell>
          <cell r="Y1350">
            <v>0.550040046</v>
          </cell>
          <cell r="Z1350">
            <v>0.31084721100000001</v>
          </cell>
          <cell r="AB1350" t="str">
            <v>2016VA</v>
          </cell>
          <cell r="AC1350">
            <v>0</v>
          </cell>
          <cell r="AD1350">
            <v>0</v>
          </cell>
          <cell r="AE1350">
            <v>0.05</v>
          </cell>
          <cell r="AF1350">
            <v>0.95</v>
          </cell>
        </row>
        <row r="1351">
          <cell r="B1351" t="str">
            <v>2016WA</v>
          </cell>
          <cell r="C1351">
            <v>0.48742079910802349</v>
          </cell>
          <cell r="D1351">
            <v>0.21961274491816118</v>
          </cell>
          <cell r="E1351">
            <v>0</v>
          </cell>
          <cell r="F1351">
            <v>0.11254281869932067</v>
          </cell>
          <cell r="G1351">
            <v>0.16627589127589129</v>
          </cell>
          <cell r="H1351">
            <v>1.4147745998603438E-2</v>
          </cell>
          <cell r="J1351" t="str">
            <v>2016WA</v>
          </cell>
          <cell r="K1351">
            <v>0.83372410900000005</v>
          </cell>
          <cell r="L1351">
            <v>0.16627589100000001</v>
          </cell>
          <cell r="M1351">
            <v>0</v>
          </cell>
          <cell r="U1351" t="str">
            <v>2016WA</v>
          </cell>
          <cell r="V1351">
            <v>0.37353494700000001</v>
          </cell>
          <cell r="W1351">
            <v>3.1263627000000002E-2</v>
          </cell>
          <cell r="X1351">
            <v>0.168896926</v>
          </cell>
          <cell r="Y1351">
            <v>0.119853577</v>
          </cell>
          <cell r="Z1351">
            <v>0.30645092299999999</v>
          </cell>
          <cell r="AB1351" t="str">
            <v>2016WA</v>
          </cell>
          <cell r="AC1351">
            <v>0</v>
          </cell>
          <cell r="AD1351">
            <v>0</v>
          </cell>
          <cell r="AE1351">
            <v>0.12</v>
          </cell>
          <cell r="AF1351">
            <v>0.88</v>
          </cell>
        </row>
        <row r="1352">
          <cell r="B1352" t="str">
            <v>2016WV</v>
          </cell>
          <cell r="C1352">
            <v>6.8751812683186322E-2</v>
          </cell>
          <cell r="D1352">
            <v>0.15888641455628993</v>
          </cell>
          <cell r="E1352">
            <v>0.44831485363191043</v>
          </cell>
          <cell r="F1352">
            <v>0.22633984896592482</v>
          </cell>
          <cell r="G1352">
            <v>7.0025492327769459E-2</v>
          </cell>
          <cell r="H1352">
            <v>2.7681577834919095E-2</v>
          </cell>
          <cell r="J1352" t="str">
            <v>2016WV</v>
          </cell>
          <cell r="K1352">
            <v>0.48165965399999999</v>
          </cell>
          <cell r="L1352">
            <v>7.0025491999999995E-2</v>
          </cell>
          <cell r="M1352">
            <v>0.44831485399999998</v>
          </cell>
          <cell r="U1352" t="str">
            <v>2016WV</v>
          </cell>
          <cell r="V1352">
            <v>0.57920187499999998</v>
          </cell>
          <cell r="W1352">
            <v>2.1256934000000002E-2</v>
          </cell>
          <cell r="X1352">
            <v>0.113169981</v>
          </cell>
          <cell r="Y1352">
            <v>7.9649016000000003E-2</v>
          </cell>
          <cell r="Z1352">
            <v>0.206722194</v>
          </cell>
          <cell r="AB1352" t="str">
            <v>2016WV</v>
          </cell>
          <cell r="AC1352">
            <v>0</v>
          </cell>
          <cell r="AD1352">
            <v>0</v>
          </cell>
          <cell r="AE1352">
            <v>0.05</v>
          </cell>
          <cell r="AF1352">
            <v>0.95</v>
          </cell>
        </row>
        <row r="1353">
          <cell r="B1353" t="str">
            <v>2016WI</v>
          </cell>
          <cell r="C1353">
            <v>0.12203432597344931</v>
          </cell>
          <cell r="D1353">
            <v>0.23555629715568294</v>
          </cell>
          <cell r="E1353">
            <v>0.11540173598404266</v>
          </cell>
          <cell r="F1353">
            <v>0.42032708364290838</v>
          </cell>
          <cell r="G1353">
            <v>6.8322420806473022E-2</v>
          </cell>
          <cell r="H1353">
            <v>3.8358136437443673E-2</v>
          </cell>
          <cell r="J1353" t="str">
            <v>2016WI</v>
          </cell>
          <cell r="K1353">
            <v>0.816275843</v>
          </cell>
          <cell r="L1353">
            <v>6.8322420999999994E-2</v>
          </cell>
          <cell r="M1353">
            <v>0.115401736</v>
          </cell>
          <cell r="U1353" t="str">
            <v>2016WI</v>
          </cell>
          <cell r="V1353">
            <v>0.12883246500000001</v>
          </cell>
          <cell r="W1353">
            <v>4.2564396999999997E-2</v>
          </cell>
          <cell r="X1353">
            <v>0.23585646199999999</v>
          </cell>
          <cell r="Y1353">
            <v>0.16970626599999999</v>
          </cell>
          <cell r="Z1353">
            <v>0.42304040999999998</v>
          </cell>
          <cell r="AB1353" t="str">
            <v>2016WI</v>
          </cell>
          <cell r="AC1353">
            <v>0</v>
          </cell>
          <cell r="AD1353">
            <v>0</v>
          </cell>
          <cell r="AE1353">
            <v>0.02</v>
          </cell>
          <cell r="AF1353">
            <v>0.98</v>
          </cell>
        </row>
        <row r="1354">
          <cell r="B1354" t="str">
            <v>2016WY</v>
          </cell>
          <cell r="C1354">
            <v>0.29508724522063295</v>
          </cell>
          <cell r="D1354">
            <v>0.23251729773373622</v>
          </cell>
          <cell r="E1354">
            <v>0.12161775942187937</v>
          </cell>
          <cell r="F1354">
            <v>0.2207502472879718</v>
          </cell>
          <cell r="G1354">
            <v>7.2002554085590281E-2</v>
          </cell>
          <cell r="H1354">
            <v>5.8024896250189507E-2</v>
          </cell>
          <cell r="J1354" t="str">
            <v>2016WY</v>
          </cell>
          <cell r="K1354">
            <v>0.80637968699999996</v>
          </cell>
          <cell r="L1354">
            <v>7.2002553999999996E-2</v>
          </cell>
          <cell r="M1354">
            <v>0.12161775900000001</v>
          </cell>
          <cell r="U1354" t="str">
            <v>2016WY</v>
          </cell>
          <cell r="V1354">
            <v>3.2109568999999998E-2</v>
          </cell>
          <cell r="W1354">
            <v>5.3596850000000001E-2</v>
          </cell>
          <cell r="X1354">
            <v>0.25521061499999997</v>
          </cell>
          <cell r="Y1354">
            <v>0.16752597599999999</v>
          </cell>
          <cell r="Z1354">
            <v>0.49155699000000003</v>
          </cell>
          <cell r="AB1354" t="str">
            <v>2016WY</v>
          </cell>
          <cell r="AC1354">
            <v>0</v>
          </cell>
          <cell r="AD1354">
            <v>0</v>
          </cell>
          <cell r="AE1354">
            <v>0.6</v>
          </cell>
          <cell r="AF1354">
            <v>0.4</v>
          </cell>
        </row>
        <row r="1355">
          <cell r="B1355" t="str">
            <v>2017AL</v>
          </cell>
          <cell r="C1355">
            <v>0.17233560131521788</v>
          </cell>
          <cell r="D1355">
            <v>9.7606154746872412E-2</v>
          </cell>
          <cell r="E1355">
            <v>0.16919346457207346</v>
          </cell>
          <cell r="F1355">
            <v>0.1056405325382436</v>
          </cell>
          <cell r="G1355">
            <v>0.45062509818962659</v>
          </cell>
          <cell r="H1355">
            <v>4.5991486379660445E-3</v>
          </cell>
          <cell r="J1355" t="str">
            <v>2017AL</v>
          </cell>
          <cell r="K1355">
            <v>0.38018143700000007</v>
          </cell>
          <cell r="L1355">
            <v>0.450625098</v>
          </cell>
          <cell r="M1355">
            <v>0.16919346499999999</v>
          </cell>
          <cell r="U1355" t="str">
            <v>2017AL</v>
          </cell>
          <cell r="V1355">
            <v>5.3114938E-2</v>
          </cell>
          <cell r="W1355">
            <v>3.6058960000000001E-2</v>
          </cell>
          <cell r="X1355">
            <v>8.4414527000000003E-2</v>
          </cell>
          <cell r="Y1355">
            <v>0.50961295299999998</v>
          </cell>
          <cell r="Z1355">
            <v>0.316798623</v>
          </cell>
          <cell r="AB1355" t="str">
            <v>2017AL</v>
          </cell>
          <cell r="AC1355">
            <v>0</v>
          </cell>
          <cell r="AD1355">
            <v>0</v>
          </cell>
          <cell r="AE1355">
            <v>0.41899999999999998</v>
          </cell>
          <cell r="AF1355">
            <v>0.58099999999999996</v>
          </cell>
        </row>
        <row r="1356">
          <cell r="B1356" t="str">
            <v>2017AK</v>
          </cell>
          <cell r="C1356">
            <v>0.30334484066413492</v>
          </cell>
          <cell r="D1356">
            <v>0.23769937716735701</v>
          </cell>
          <cell r="E1356">
            <v>6.205843688929364E-2</v>
          </cell>
          <cell r="F1356">
            <v>0.28363994741136878</v>
          </cell>
          <cell r="G1356">
            <v>3.6741064625999714E-2</v>
          </cell>
          <cell r="H1356">
            <v>7.6516333241846021E-2</v>
          </cell>
          <cell r="J1356" t="str">
            <v>2017AK</v>
          </cell>
          <cell r="K1356">
            <v>0.90120049800000002</v>
          </cell>
          <cell r="L1356">
            <v>3.6741065000000003E-2</v>
          </cell>
          <cell r="M1356">
            <v>6.2058437000000001E-2</v>
          </cell>
          <cell r="U1356" t="str">
            <v>2017AK</v>
          </cell>
          <cell r="V1356">
            <v>0.52632575500000001</v>
          </cell>
          <cell r="W1356">
            <v>2.0841667000000001E-2</v>
          </cell>
          <cell r="X1356">
            <v>0.130734092</v>
          </cell>
          <cell r="Y1356">
            <v>9.9945266000000005E-2</v>
          </cell>
          <cell r="Z1356">
            <v>0.22215322100000001</v>
          </cell>
          <cell r="AB1356" t="str">
            <v>2017AK</v>
          </cell>
          <cell r="AC1356">
            <v>0</v>
          </cell>
          <cell r="AD1356">
            <v>0</v>
          </cell>
          <cell r="AE1356">
            <v>0.25</v>
          </cell>
          <cell r="AF1356">
            <v>0.75</v>
          </cell>
        </row>
        <row r="1357">
          <cell r="B1357" t="str">
            <v>2017AZ</v>
          </cell>
          <cell r="C1357">
            <v>0.611220636654217</v>
          </cell>
          <cell r="D1357">
            <v>0.19572797693407004</v>
          </cell>
          <cell r="E1357">
            <v>9.865488383487428E-2</v>
          </cell>
          <cell r="F1357">
            <v>9.3890669243012675E-2</v>
          </cell>
          <cell r="G1357">
            <v>0</v>
          </cell>
          <cell r="H1357">
            <v>5.0583333382575558E-4</v>
          </cell>
          <cell r="J1357" t="str">
            <v>2017AZ</v>
          </cell>
          <cell r="K1357">
            <v>0.901345116</v>
          </cell>
          <cell r="L1357">
            <v>0</v>
          </cell>
          <cell r="M1357">
            <v>9.8654883999999998E-2</v>
          </cell>
          <cell r="U1357" t="str">
            <v>2017AZ</v>
          </cell>
          <cell r="V1357">
            <v>0.136592664</v>
          </cell>
          <cell r="W1357">
            <v>3.2171241000000003E-2</v>
          </cell>
          <cell r="X1357">
            <v>5.4596316999999998E-2</v>
          </cell>
          <cell r="Y1357">
            <v>0.50386894699999996</v>
          </cell>
          <cell r="Z1357">
            <v>0.27277083200000002</v>
          </cell>
          <cell r="AB1357" t="str">
            <v>2017AZ</v>
          </cell>
          <cell r="AC1357">
            <v>0</v>
          </cell>
          <cell r="AD1357">
            <v>0</v>
          </cell>
          <cell r="AE1357">
            <v>0.6</v>
          </cell>
          <cell r="AF1357">
            <v>0.4</v>
          </cell>
        </row>
        <row r="1358">
          <cell r="B1358" t="str">
            <v>2017AR</v>
          </cell>
          <cell r="C1358">
            <v>9.6391342329605903E-2</v>
          </cell>
          <cell r="D1358">
            <v>6.6955456596874061E-2</v>
          </cell>
          <cell r="E1358">
            <v>0.14888335780531528</v>
          </cell>
          <cell r="F1358">
            <v>0.11118804006195876</v>
          </cell>
          <cell r="G1358">
            <v>0.57111057531117648</v>
          </cell>
          <cell r="H1358">
            <v>5.4712278950695761E-3</v>
          </cell>
          <cell r="J1358" t="str">
            <v>2017AR</v>
          </cell>
          <cell r="K1358">
            <v>0.28000606700000008</v>
          </cell>
          <cell r="L1358">
            <v>0.57111057499999995</v>
          </cell>
          <cell r="M1358">
            <v>0.14888335799999999</v>
          </cell>
          <cell r="U1358" t="str">
            <v>2017AR</v>
          </cell>
          <cell r="V1358">
            <v>3.9459004999999998E-2</v>
          </cell>
          <cell r="W1358">
            <v>3.7640482000000003E-2</v>
          </cell>
          <cell r="X1358">
            <v>0.11914443199999999</v>
          </cell>
          <cell r="Y1358">
            <v>0.45827781299999998</v>
          </cell>
          <cell r="Z1358">
            <v>0.34547826799999998</v>
          </cell>
          <cell r="AB1358" t="str">
            <v>2017AR</v>
          </cell>
          <cell r="AC1358">
            <v>0</v>
          </cell>
          <cell r="AD1358">
            <v>0</v>
          </cell>
          <cell r="AE1358">
            <v>0</v>
          </cell>
          <cell r="AF1358">
            <v>1</v>
          </cell>
        </row>
        <row r="1359">
          <cell r="B1359" t="str">
            <v>2017CA</v>
          </cell>
          <cell r="C1359">
            <v>0.58081862489107328</v>
          </cell>
          <cell r="D1359">
            <v>0.20720345916912225</v>
          </cell>
          <cell r="E1359">
            <v>0.10801924509893834</v>
          </cell>
          <cell r="F1359">
            <v>9.2431120719429966E-2</v>
          </cell>
          <cell r="G1359">
            <v>9.2523577326630076E-3</v>
          </cell>
          <cell r="H1359">
            <v>2.2751923887731596E-3</v>
          </cell>
          <cell r="J1359" t="str">
            <v>2017CA</v>
          </cell>
          <cell r="K1359">
            <v>0.88272839699999994</v>
          </cell>
          <cell r="L1359">
            <v>9.2523580000000005E-3</v>
          </cell>
          <cell r="M1359">
            <v>0.108019245</v>
          </cell>
          <cell r="U1359" t="str">
            <v>2017CA</v>
          </cell>
          <cell r="V1359">
            <v>0.133799526</v>
          </cell>
          <cell r="W1359">
            <v>3.2941353E-2</v>
          </cell>
          <cell r="X1359">
            <v>7.5800703999999997E-2</v>
          </cell>
          <cell r="Y1359">
            <v>0.46867659099999998</v>
          </cell>
          <cell r="Z1359">
            <v>0.28878182499999999</v>
          </cell>
          <cell r="AB1359" t="str">
            <v>2017CA</v>
          </cell>
          <cell r="AC1359">
            <v>0</v>
          </cell>
          <cell r="AD1359">
            <v>0</v>
          </cell>
          <cell r="AE1359">
            <v>0.12</v>
          </cell>
          <cell r="AF1359">
            <v>0.88</v>
          </cell>
        </row>
        <row r="1360">
          <cell r="B1360" t="str">
            <v>2017CO</v>
          </cell>
          <cell r="C1360">
            <v>0.61667904285785091</v>
          </cell>
          <cell r="D1360">
            <v>0.24212893570430052</v>
          </cell>
          <cell r="E1360">
            <v>1.1092391745361967E-2</v>
          </cell>
          <cell r="F1360">
            <v>0.11516410971780773</v>
          </cell>
          <cell r="G1360">
            <v>6.5671374014829543E-3</v>
          </cell>
          <cell r="H1360">
            <v>8.3683825731959392E-3</v>
          </cell>
          <cell r="J1360" t="str">
            <v>2017CO</v>
          </cell>
          <cell r="K1360">
            <v>0.98234047099999999</v>
          </cell>
          <cell r="L1360">
            <v>6.5671369999999998E-3</v>
          </cell>
          <cell r="M1360">
            <v>1.1092392E-2</v>
          </cell>
          <cell r="U1360" t="str">
            <v>2017CO</v>
          </cell>
          <cell r="V1360">
            <v>2.3378138E-2</v>
          </cell>
          <cell r="W1360">
            <v>5.3880426000000002E-2</v>
          </cell>
          <cell r="X1360">
            <v>0.25772948099999998</v>
          </cell>
          <cell r="Y1360">
            <v>0.169703665</v>
          </cell>
          <cell r="Z1360">
            <v>0.49530828999999998</v>
          </cell>
          <cell r="AB1360" t="str">
            <v>2017CO</v>
          </cell>
          <cell r="AC1360">
            <v>0</v>
          </cell>
          <cell r="AD1360">
            <v>0</v>
          </cell>
          <cell r="AE1360">
            <v>0.6</v>
          </cell>
          <cell r="AF1360">
            <v>0.4</v>
          </cell>
        </row>
        <row r="1361">
          <cell r="B1361" t="str">
            <v>2017CT</v>
          </cell>
          <cell r="C1361">
            <v>0.11572842393252261</v>
          </cell>
          <cell r="D1361">
            <v>0.20119880615243968</v>
          </cell>
          <cell r="E1361">
            <v>0.43233999756560143</v>
          </cell>
          <cell r="F1361">
            <v>0.17234541515575838</v>
          </cell>
          <cell r="G1361">
            <v>5.5615402487630847E-2</v>
          </cell>
          <cell r="H1361">
            <v>2.2771954706046996E-2</v>
          </cell>
          <cell r="J1361" t="str">
            <v>2017CT</v>
          </cell>
          <cell r="K1361">
            <v>0.51204460000000007</v>
          </cell>
          <cell r="L1361">
            <v>5.5615402000000001E-2</v>
          </cell>
          <cell r="M1361">
            <v>0.432339998</v>
          </cell>
          <cell r="U1361" t="str">
            <v>2017CT</v>
          </cell>
          <cell r="V1361">
            <v>0.57363861400000005</v>
          </cell>
          <cell r="W1361">
            <v>1.8759900999999999E-2</v>
          </cell>
          <cell r="X1361">
            <v>0.117675743</v>
          </cell>
          <cell r="Y1361">
            <v>8.9962252000000006E-2</v>
          </cell>
          <cell r="Z1361">
            <v>0.19996348999999999</v>
          </cell>
          <cell r="AB1361" t="str">
            <v>2017CT</v>
          </cell>
          <cell r="AC1361">
            <v>0</v>
          </cell>
          <cell r="AD1361">
            <v>0</v>
          </cell>
          <cell r="AE1361">
            <v>0.05</v>
          </cell>
          <cell r="AF1361">
            <v>0.95</v>
          </cell>
        </row>
        <row r="1362">
          <cell r="B1362" t="str">
            <v>2017DE</v>
          </cell>
          <cell r="C1362">
            <v>0.10201653895343663</v>
          </cell>
          <cell r="D1362">
            <v>0.1910091905838856</v>
          </cell>
          <cell r="E1362">
            <v>0.43707162937473454</v>
          </cell>
          <cell r="F1362">
            <v>0.18637975788177577</v>
          </cell>
          <cell r="G1362">
            <v>5.9883562349419175E-2</v>
          </cell>
          <cell r="H1362">
            <v>2.3639320856748244E-2</v>
          </cell>
          <cell r="J1362" t="str">
            <v>2017DE</v>
          </cell>
          <cell r="K1362">
            <v>0.50304480899999993</v>
          </cell>
          <cell r="L1362">
            <v>5.9883562000000001E-2</v>
          </cell>
          <cell r="M1362">
            <v>0.43707162900000002</v>
          </cell>
          <cell r="U1362" t="str">
            <v>2017DE</v>
          </cell>
          <cell r="V1362">
            <v>0.120253529</v>
          </cell>
          <cell r="W1362">
            <v>4.1631153999999997E-2</v>
          </cell>
          <cell r="X1362">
            <v>0.23964419100000001</v>
          </cell>
          <cell r="Y1362">
            <v>0.17588547500000001</v>
          </cell>
          <cell r="Z1362">
            <v>0.42258565100000001</v>
          </cell>
          <cell r="AB1362" t="str">
            <v>2017DE</v>
          </cell>
          <cell r="AC1362">
            <v>0</v>
          </cell>
          <cell r="AD1362">
            <v>0</v>
          </cell>
          <cell r="AE1362">
            <v>0.05</v>
          </cell>
          <cell r="AF1362">
            <v>0.95</v>
          </cell>
        </row>
        <row r="1363">
          <cell r="B1363" t="str">
            <v>2017FL</v>
          </cell>
          <cell r="C1363">
            <v>0.38654865924430459</v>
          </cell>
          <cell r="D1363">
            <v>0.14503983167997814</v>
          </cell>
          <cell r="E1363">
            <v>0.21616400084919535</v>
          </cell>
          <cell r="F1363">
            <v>7.8997496757044303E-2</v>
          </cell>
          <cell r="G1363">
            <v>0.17198217725399226</v>
          </cell>
          <cell r="H1363">
            <v>1.2678342154852779E-3</v>
          </cell>
          <cell r="J1363" t="str">
            <v>2017FL</v>
          </cell>
          <cell r="K1363">
            <v>0.61185382200000005</v>
          </cell>
          <cell r="L1363">
            <v>0.17198217700000001</v>
          </cell>
          <cell r="M1363">
            <v>0.21616400099999999</v>
          </cell>
          <cell r="U1363" t="str">
            <v>2017FL</v>
          </cell>
          <cell r="V1363">
            <v>0.71166924399999998</v>
          </cell>
          <cell r="W1363">
            <v>1.2686553E-2</v>
          </cell>
          <cell r="X1363">
            <v>7.9579288999999998E-2</v>
          </cell>
          <cell r="Y1363">
            <v>6.0837789000000003E-2</v>
          </cell>
          <cell r="Z1363">
            <v>0.135227124</v>
          </cell>
          <cell r="AB1363" t="str">
            <v>2017FL</v>
          </cell>
          <cell r="AC1363">
            <v>0</v>
          </cell>
          <cell r="AD1363">
            <v>0</v>
          </cell>
          <cell r="AE1363">
            <v>0.41899999999999998</v>
          </cell>
          <cell r="AF1363">
            <v>0.58099999999999996</v>
          </cell>
        </row>
        <row r="1364">
          <cell r="B1364" t="str">
            <v>2017GA</v>
          </cell>
          <cell r="C1364">
            <v>0.20823216155586291</v>
          </cell>
          <cell r="D1364">
            <v>0.11033206176717186</v>
          </cell>
          <cell r="E1364">
            <v>0.17733204084631207</v>
          </cell>
          <cell r="F1364">
            <v>9.7862793659120595E-2</v>
          </cell>
          <cell r="G1364">
            <v>0.40234468997942996</v>
          </cell>
          <cell r="H1364">
            <v>3.8962521921025758E-3</v>
          </cell>
          <cell r="J1364" t="str">
            <v>2017GA</v>
          </cell>
          <cell r="K1364">
            <v>0.42032326900000005</v>
          </cell>
          <cell r="L1364">
            <v>0.40234469</v>
          </cell>
          <cell r="M1364">
            <v>0.177332041</v>
          </cell>
          <cell r="U1364" t="str">
            <v>2017GA</v>
          </cell>
          <cell r="V1364">
            <v>7.8133266000000007E-2</v>
          </cell>
          <cell r="W1364">
            <v>3.5587817000000001E-2</v>
          </cell>
          <cell r="X1364">
            <v>9.7388838000000005E-2</v>
          </cell>
          <cell r="Y1364">
            <v>0.46952270200000001</v>
          </cell>
          <cell r="Z1364">
            <v>0.31936737799999998</v>
          </cell>
          <cell r="AB1364" t="str">
            <v>2017GA</v>
          </cell>
          <cell r="AC1364">
            <v>0</v>
          </cell>
          <cell r="AD1364">
            <v>0</v>
          </cell>
          <cell r="AE1364">
            <v>0.41899999999999998</v>
          </cell>
          <cell r="AF1364">
            <v>0.58099999999999996</v>
          </cell>
        </row>
        <row r="1365">
          <cell r="B1365" t="str">
            <v>2017HI</v>
          </cell>
          <cell r="C1365">
            <v>0.67137224197860923</v>
          </cell>
          <cell r="D1365">
            <v>0.21100034068527662</v>
          </cell>
          <cell r="E1365">
            <v>0</v>
          </cell>
          <cell r="F1365">
            <v>0.10820426646618357</v>
          </cell>
          <cell r="G1365">
            <v>7.5112148308577572E-3</v>
          </cell>
          <cell r="H1365">
            <v>1.9119360390725836E-3</v>
          </cell>
          <cell r="J1365" t="str">
            <v>2017HI</v>
          </cell>
          <cell r="K1365">
            <v>0.99248878500000004</v>
          </cell>
          <cell r="L1365">
            <v>7.5112149999999999E-3</v>
          </cell>
          <cell r="M1365">
            <v>0</v>
          </cell>
          <cell r="U1365" t="str">
            <v>2017HI</v>
          </cell>
          <cell r="V1365">
            <v>0.23216878499999999</v>
          </cell>
          <cell r="W1365">
            <v>3.2904865999999998E-2</v>
          </cell>
          <cell r="X1365">
            <v>0.18414778700000001</v>
          </cell>
          <cell r="Y1365">
            <v>0.21064765399999999</v>
          </cell>
          <cell r="Z1365">
            <v>0.34013090899999998</v>
          </cell>
          <cell r="AB1365" t="str">
            <v>2017HI</v>
          </cell>
          <cell r="AC1365">
            <v>0</v>
          </cell>
          <cell r="AD1365">
            <v>0</v>
          </cell>
          <cell r="AE1365">
            <v>0.25</v>
          </cell>
          <cell r="AF1365">
            <v>0.75</v>
          </cell>
        </row>
        <row r="1366">
          <cell r="B1366" t="str">
            <v>2017ID</v>
          </cell>
          <cell r="C1366">
            <v>0.62850843440764703</v>
          </cell>
          <cell r="D1366">
            <v>0.2329683972033782</v>
          </cell>
          <cell r="E1366">
            <v>6.4436683947772669E-3</v>
          </cell>
          <cell r="F1366">
            <v>0.11961222721284216</v>
          </cell>
          <cell r="G1366">
            <v>3.8149081541218642E-3</v>
          </cell>
          <cell r="H1366">
            <v>8.6523646272333287E-3</v>
          </cell>
          <cell r="J1366" t="str">
            <v>2017ID</v>
          </cell>
          <cell r="K1366">
            <v>0.98974142399999998</v>
          </cell>
          <cell r="L1366">
            <v>3.8149080000000001E-3</v>
          </cell>
          <cell r="M1366">
            <v>6.4436679999999996E-3</v>
          </cell>
          <cell r="U1366" t="str">
            <v>2017ID</v>
          </cell>
          <cell r="V1366">
            <v>0.460837895</v>
          </cell>
          <cell r="W1366">
            <v>2.6974237000000002E-2</v>
          </cell>
          <cell r="X1366">
            <v>0.14528671200000001</v>
          </cell>
          <cell r="Y1366">
            <v>0.102926191</v>
          </cell>
          <cell r="Z1366">
            <v>0.26397496599999998</v>
          </cell>
          <cell r="AB1366" t="str">
            <v>2017ID</v>
          </cell>
          <cell r="AC1366">
            <v>0</v>
          </cell>
          <cell r="AD1366">
            <v>0</v>
          </cell>
          <cell r="AE1366">
            <v>0.6</v>
          </cell>
          <cell r="AF1366">
            <v>0.4</v>
          </cell>
        </row>
        <row r="1367">
          <cell r="B1367" t="str">
            <v>2017IL</v>
          </cell>
          <cell r="C1367">
            <v>0.13175283144497188</v>
          </cell>
          <cell r="D1367">
            <v>0.26046159534668961</v>
          </cell>
          <cell r="E1367">
            <v>8.1383349234931596E-2</v>
          </cell>
          <cell r="F1367">
            <v>0.43207247933210829</v>
          </cell>
          <cell r="G1367">
            <v>4.8182181885357514E-2</v>
          </cell>
          <cell r="H1367">
            <v>4.6147562755941125E-2</v>
          </cell>
          <cell r="J1367" t="str">
            <v>2017IL</v>
          </cell>
          <cell r="K1367">
            <v>0.87043446899999999</v>
          </cell>
          <cell r="L1367">
            <v>4.8182181999999997E-2</v>
          </cell>
          <cell r="M1367">
            <v>8.1383348999999994E-2</v>
          </cell>
          <cell r="U1367" t="str">
            <v>2017IL</v>
          </cell>
          <cell r="V1367">
            <v>2.0186552999999999E-2</v>
          </cell>
          <cell r="W1367">
            <v>4.5739502000000001E-2</v>
          </cell>
          <cell r="X1367">
            <v>0.28028242399999997</v>
          </cell>
          <cell r="Y1367">
            <v>0.149587944</v>
          </cell>
          <cell r="Z1367">
            <v>0.50420357699999996</v>
          </cell>
          <cell r="AB1367" t="str">
            <v>2017IL</v>
          </cell>
          <cell r="AC1367">
            <v>0</v>
          </cell>
          <cell r="AD1367">
            <v>0</v>
          </cell>
          <cell r="AE1367">
            <v>0.02</v>
          </cell>
          <cell r="AF1367">
            <v>0.98</v>
          </cell>
        </row>
        <row r="1368">
          <cell r="B1368" t="str">
            <v>2017IN</v>
          </cell>
          <cell r="C1368">
            <v>0.16189917384296076</v>
          </cell>
          <cell r="D1368">
            <v>0.24163212738244233</v>
          </cell>
          <cell r="E1368">
            <v>0.13392208737361183</v>
          </cell>
          <cell r="F1368">
            <v>0.3491044693998876</v>
          </cell>
          <cell r="G1368">
            <v>7.9287205957511472E-2</v>
          </cell>
          <cell r="H1368">
            <v>3.4154936043586021E-2</v>
          </cell>
          <cell r="J1368" t="str">
            <v>2017IN</v>
          </cell>
          <cell r="K1368">
            <v>0.78679070699999998</v>
          </cell>
          <cell r="L1368">
            <v>7.9287205999999999E-2</v>
          </cell>
          <cell r="M1368">
            <v>0.133922087</v>
          </cell>
          <cell r="U1368" t="str">
            <v>2017IN</v>
          </cell>
          <cell r="V1368">
            <v>2.5489210000000002E-2</v>
          </cell>
          <cell r="W1368">
            <v>4.5536079E-2</v>
          </cell>
          <cell r="X1368">
            <v>0.27893099599999999</v>
          </cell>
          <cell r="Y1368">
            <v>0.14781887399999999</v>
          </cell>
          <cell r="Z1368">
            <v>0.50222484099999998</v>
          </cell>
          <cell r="AB1368" t="str">
            <v>2017IN</v>
          </cell>
          <cell r="AC1368">
            <v>0</v>
          </cell>
          <cell r="AD1368">
            <v>0</v>
          </cell>
          <cell r="AE1368">
            <v>0</v>
          </cell>
          <cell r="AF1368">
            <v>1</v>
          </cell>
        </row>
        <row r="1369">
          <cell r="B1369" t="str">
            <v>2017IA</v>
          </cell>
          <cell r="C1369">
            <v>0.13792614664225575</v>
          </cell>
          <cell r="D1369">
            <v>0.25047757969635848</v>
          </cell>
          <cell r="E1369">
            <v>0.10477197231415941</v>
          </cell>
          <cell r="F1369">
            <v>0.40507493125352922</v>
          </cell>
          <cell r="G1369">
            <v>6.2029177638731184E-2</v>
          </cell>
          <cell r="H1369">
            <v>3.9720192454965969E-2</v>
          </cell>
          <cell r="J1369" t="str">
            <v>2017IA</v>
          </cell>
          <cell r="K1369">
            <v>0.83319885000000005</v>
          </cell>
          <cell r="L1369">
            <v>6.2029177999999997E-2</v>
          </cell>
          <cell r="M1369">
            <v>0.104771972</v>
          </cell>
          <cell r="U1369" t="str">
            <v>2017IA</v>
          </cell>
          <cell r="V1369">
            <v>9.6502570000000006E-3</v>
          </cell>
          <cell r="W1369">
            <v>3.8739974000000003E-2</v>
          </cell>
          <cell r="X1369">
            <v>0.12067557499999999</v>
          </cell>
          <cell r="Y1369">
            <v>0.47629315999999999</v>
          </cell>
          <cell r="Z1369">
            <v>0.35464103499999999</v>
          </cell>
          <cell r="AB1369" t="str">
            <v>2017IA</v>
          </cell>
          <cell r="AC1369">
            <v>0</v>
          </cell>
          <cell r="AD1369">
            <v>0</v>
          </cell>
          <cell r="AE1369">
            <v>0</v>
          </cell>
          <cell r="AF1369">
            <v>1</v>
          </cell>
        </row>
        <row r="1370">
          <cell r="B1370" t="str">
            <v>2017KS</v>
          </cell>
          <cell r="C1370">
            <v>0.28758404285910905</v>
          </cell>
          <cell r="D1370">
            <v>0.32607606753917184</v>
          </cell>
          <cell r="E1370">
            <v>5.1050547933917619E-2</v>
          </cell>
          <cell r="F1370">
            <v>0.27762124338847843</v>
          </cell>
          <cell r="G1370">
            <v>3.0223956239483565E-2</v>
          </cell>
          <cell r="H1370">
            <v>2.7444142039839463E-2</v>
          </cell>
          <cell r="J1370" t="str">
            <v>2017KS</v>
          </cell>
          <cell r="K1370">
            <v>0.91872549599999997</v>
          </cell>
          <cell r="L1370">
            <v>3.0223956E-2</v>
          </cell>
          <cell r="M1370">
            <v>5.1050548000000001E-2</v>
          </cell>
          <cell r="U1370" t="str">
            <v>2017KS</v>
          </cell>
          <cell r="V1370">
            <v>2.3647662E-2</v>
          </cell>
          <cell r="W1370">
            <v>4.6272377000000003E-2</v>
          </cell>
          <cell r="X1370">
            <v>0.28189652199999998</v>
          </cell>
          <cell r="Y1370">
            <v>0.13395533500000001</v>
          </cell>
          <cell r="Z1370">
            <v>0.51422810299999999</v>
          </cell>
          <cell r="AB1370" t="str">
            <v>2017KS</v>
          </cell>
          <cell r="AC1370">
            <v>0</v>
          </cell>
          <cell r="AD1370">
            <v>0</v>
          </cell>
          <cell r="AE1370">
            <v>0.02</v>
          </cell>
          <cell r="AF1370">
            <v>0.98</v>
          </cell>
        </row>
        <row r="1371">
          <cell r="B1371" t="str">
            <v>2017KY</v>
          </cell>
          <cell r="C1371">
            <v>2.3305602928070858E-2</v>
          </cell>
          <cell r="D1371">
            <v>6.2885861766289422E-2</v>
          </cell>
          <cell r="E1371">
            <v>0.14165738300711325</v>
          </cell>
          <cell r="F1371">
            <v>0.14315421990856123</v>
          </cell>
          <cell r="G1371">
            <v>0.61397716539009373</v>
          </cell>
          <cell r="H1371">
            <v>1.5019766999871505E-2</v>
          </cell>
          <cell r="J1371" t="str">
            <v>2017KY</v>
          </cell>
          <cell r="K1371">
            <v>0.24436545200000004</v>
          </cell>
          <cell r="L1371">
            <v>0.61397716499999999</v>
          </cell>
          <cell r="M1371">
            <v>0.141657383</v>
          </cell>
          <cell r="U1371" t="str">
            <v>2017KY</v>
          </cell>
          <cell r="V1371">
            <v>4.9184704000000003E-2</v>
          </cell>
          <cell r="W1371">
            <v>3.7321891000000003E-2</v>
          </cell>
          <cell r="X1371">
            <v>0.11991215400000001</v>
          </cell>
          <cell r="Y1371">
            <v>0.45018075899999999</v>
          </cell>
          <cell r="Z1371">
            <v>0.34340049099999997</v>
          </cell>
          <cell r="AB1371" t="str">
            <v>2017KY</v>
          </cell>
          <cell r="AC1371">
            <v>0</v>
          </cell>
          <cell r="AD1371">
            <v>0</v>
          </cell>
          <cell r="AE1371">
            <v>0.05</v>
          </cell>
          <cell r="AF1371">
            <v>0.95</v>
          </cell>
        </row>
        <row r="1372">
          <cell r="B1372" t="str">
            <v>2017LA</v>
          </cell>
          <cell r="C1372">
            <v>8.7696493950327165E-2</v>
          </cell>
          <cell r="D1372">
            <v>6.4637521135916851E-2</v>
          </cell>
          <cell r="E1372">
            <v>0.14461730665558523</v>
          </cell>
          <cell r="F1372">
            <v>0.10160244529023774</v>
          </cell>
          <cell r="G1372">
            <v>0.59641803499629376</v>
          </cell>
          <cell r="H1372">
            <v>5.0281979716392446E-3</v>
          </cell>
          <cell r="J1372" t="str">
            <v>2017LA</v>
          </cell>
          <cell r="K1372">
            <v>0.25896465800000001</v>
          </cell>
          <cell r="L1372">
            <v>0.59641803500000001</v>
          </cell>
          <cell r="M1372">
            <v>0.144617307</v>
          </cell>
          <cell r="U1372" t="str">
            <v>2017LA</v>
          </cell>
          <cell r="V1372">
            <v>0.53551704700000002</v>
          </cell>
          <cell r="W1372">
            <v>2.0437250000000001E-2</v>
          </cell>
          <cell r="X1372">
            <v>0.12819729499999999</v>
          </cell>
          <cell r="Y1372">
            <v>9.8005903000000005E-2</v>
          </cell>
          <cell r="Z1372">
            <v>0.21784250499999999</v>
          </cell>
          <cell r="AB1372" t="str">
            <v>2017LA</v>
          </cell>
          <cell r="AC1372">
            <v>0</v>
          </cell>
          <cell r="AD1372">
            <v>0</v>
          </cell>
          <cell r="AE1372">
            <v>0.6</v>
          </cell>
          <cell r="AF1372">
            <v>0.4</v>
          </cell>
        </row>
        <row r="1373">
          <cell r="B1373" t="str">
            <v>2017ME</v>
          </cell>
          <cell r="C1373">
            <v>9.3713015315557757E-2</v>
          </cell>
          <cell r="D1373">
            <v>0.17210096338216258</v>
          </cell>
          <cell r="E1373">
            <v>0.44837154081607639</v>
          </cell>
          <cell r="F1373">
            <v>0.19633313267932656</v>
          </cell>
          <cell r="G1373">
            <v>7.0076626899074845E-2</v>
          </cell>
          <cell r="H1373">
            <v>1.9404720907801824E-2</v>
          </cell>
          <cell r="J1373" t="str">
            <v>2017ME</v>
          </cell>
          <cell r="K1373">
            <v>0.48155183200000007</v>
          </cell>
          <cell r="L1373">
            <v>7.0076627000000002E-2</v>
          </cell>
          <cell r="M1373">
            <v>0.44837154099999998</v>
          </cell>
          <cell r="U1373" t="str">
            <v>2017ME</v>
          </cell>
          <cell r="V1373">
            <v>0.72920202000000001</v>
          </cell>
          <cell r="W1373">
            <v>1.1915111000000001E-2</v>
          </cell>
          <cell r="X1373">
            <v>7.4740241999999998E-2</v>
          </cell>
          <cell r="Y1373">
            <v>5.7138373999999999E-2</v>
          </cell>
          <cell r="Z1373">
            <v>0.12700425300000001</v>
          </cell>
          <cell r="AB1373" t="str">
            <v>2017ME</v>
          </cell>
          <cell r="AC1373">
            <v>0</v>
          </cell>
          <cell r="AD1373">
            <v>0</v>
          </cell>
          <cell r="AE1373">
            <v>0.05</v>
          </cell>
          <cell r="AF1373">
            <v>0.95</v>
          </cell>
        </row>
        <row r="1374">
          <cell r="B1374" t="str">
            <v>2017MD</v>
          </cell>
          <cell r="C1374">
            <v>7.6488535055593554E-2</v>
          </cell>
          <cell r="D1374">
            <v>0.15472472257238745</v>
          </cell>
          <cell r="E1374">
            <v>0.44380834258126728</v>
          </cell>
          <cell r="F1374">
            <v>0.22861605738914034</v>
          </cell>
          <cell r="G1374">
            <v>6.5960402236453913E-2</v>
          </cell>
          <cell r="H1374">
            <v>3.0401940165157418E-2</v>
          </cell>
          <cell r="J1374" t="str">
            <v>2017MD</v>
          </cell>
          <cell r="K1374">
            <v>0.49023125499999998</v>
          </cell>
          <cell r="L1374">
            <v>6.5960402000000001E-2</v>
          </cell>
          <cell r="M1374">
            <v>0.44380834299999999</v>
          </cell>
          <cell r="U1374" t="str">
            <v>2017MD</v>
          </cell>
          <cell r="V1374">
            <v>0.21140679400000001</v>
          </cell>
          <cell r="W1374">
            <v>3.7602905999999998E-2</v>
          </cell>
          <cell r="X1374">
            <v>0.214504853</v>
          </cell>
          <cell r="Y1374">
            <v>0.15671048400000001</v>
          </cell>
          <cell r="Z1374">
            <v>0.37977496300000002</v>
          </cell>
          <cell r="AB1374" t="str">
            <v>2017MD</v>
          </cell>
          <cell r="AC1374">
            <v>0</v>
          </cell>
          <cell r="AD1374">
            <v>0</v>
          </cell>
          <cell r="AE1374">
            <v>0.05</v>
          </cell>
          <cell r="AF1374">
            <v>0.95</v>
          </cell>
        </row>
        <row r="1375">
          <cell r="B1375" t="str">
            <v>2017MA</v>
          </cell>
          <cell r="C1375">
            <v>6.1305440163427552E-2</v>
          </cell>
          <cell r="D1375">
            <v>0.14874705508142777</v>
          </cell>
          <cell r="E1375">
            <v>0.45216403673004657</v>
          </cell>
          <cell r="F1375">
            <v>0.23617268276189021</v>
          </cell>
          <cell r="G1375">
            <v>7.3497640935872632E-2</v>
          </cell>
          <cell r="H1375">
            <v>2.8113144327335336E-2</v>
          </cell>
          <cell r="J1375" t="str">
            <v>2017MA</v>
          </cell>
          <cell r="K1375">
            <v>0.47433832199999992</v>
          </cell>
          <cell r="L1375">
            <v>7.3497641000000002E-2</v>
          </cell>
          <cell r="M1375">
            <v>0.45216403700000002</v>
          </cell>
          <cell r="U1375" t="str">
            <v>2017MA</v>
          </cell>
          <cell r="V1375">
            <v>0.31419575799999999</v>
          </cell>
          <cell r="W1375">
            <v>3.0175387000000001E-2</v>
          </cell>
          <cell r="X1375">
            <v>0.18928197099999999</v>
          </cell>
          <cell r="Y1375">
            <v>0.14470469499999999</v>
          </cell>
          <cell r="Z1375">
            <v>0.32164218900000002</v>
          </cell>
          <cell r="AB1375" t="str">
            <v>2017MA</v>
          </cell>
          <cell r="AC1375">
            <v>0</v>
          </cell>
          <cell r="AD1375">
            <v>0</v>
          </cell>
          <cell r="AE1375">
            <v>0.05</v>
          </cell>
          <cell r="AF1375">
            <v>0.95</v>
          </cell>
        </row>
        <row r="1376">
          <cell r="B1376" t="str">
            <v>2017MI</v>
          </cell>
          <cell r="C1376">
            <v>0.21592740095911189</v>
          </cell>
          <cell r="D1376">
            <v>0.33044604004991018</v>
          </cell>
          <cell r="E1376">
            <v>5.8998863632555826E-2</v>
          </cell>
          <cell r="F1376">
            <v>0.32074430847532459</v>
          </cell>
          <cell r="G1376">
            <v>3.4929675483950956E-2</v>
          </cell>
          <cell r="H1376">
            <v>3.8953711399146676E-2</v>
          </cell>
          <cell r="J1376" t="str">
            <v>2017MI</v>
          </cell>
          <cell r="K1376">
            <v>0.90607146100000002</v>
          </cell>
          <cell r="L1376">
            <v>3.4929675E-2</v>
          </cell>
          <cell r="M1376">
            <v>5.8998863999999998E-2</v>
          </cell>
          <cell r="U1376" t="str">
            <v>2017MI</v>
          </cell>
          <cell r="V1376">
            <v>4.5127237000000001E-2</v>
          </cell>
          <cell r="W1376">
            <v>5.0500046999999999E-2</v>
          </cell>
          <cell r="X1376">
            <v>0.254352099</v>
          </cell>
          <cell r="Y1376">
            <v>0.17319266699999999</v>
          </cell>
          <cell r="Z1376">
            <v>0.47682794899999997</v>
          </cell>
          <cell r="AB1376" t="str">
            <v>2017MI</v>
          </cell>
          <cell r="AC1376">
            <v>0</v>
          </cell>
          <cell r="AD1376">
            <v>0</v>
          </cell>
          <cell r="AE1376">
            <v>0.02</v>
          </cell>
          <cell r="AF1376">
            <v>0.98</v>
          </cell>
        </row>
        <row r="1377">
          <cell r="B1377" t="str">
            <v>2017MN</v>
          </cell>
          <cell r="C1377">
            <v>0.11559741536790068</v>
          </cell>
          <cell r="D1377">
            <v>0.23915415867765383</v>
          </cell>
          <cell r="E1377">
            <v>0.10052931481156221</v>
          </cell>
          <cell r="F1377">
            <v>0.43822851849088174</v>
          </cell>
          <cell r="G1377">
            <v>5.9517355535203494E-2</v>
          </cell>
          <cell r="H1377">
            <v>4.697323711679801E-2</v>
          </cell>
          <cell r="J1377" t="str">
            <v>2017MN</v>
          </cell>
          <cell r="K1377">
            <v>0.83995332899999997</v>
          </cell>
          <cell r="L1377">
            <v>5.9517356E-2</v>
          </cell>
          <cell r="M1377">
            <v>0.10052931499999999</v>
          </cell>
          <cell r="U1377" t="str">
            <v>2017MN</v>
          </cell>
          <cell r="V1377">
            <v>1.5145339000000001E-2</v>
          </cell>
          <cell r="W1377">
            <v>5.1986831999999997E-2</v>
          </cell>
          <cell r="X1377">
            <v>0.262445557</v>
          </cell>
          <cell r="Y1377">
            <v>0.17896024199999999</v>
          </cell>
          <cell r="Z1377">
            <v>0.49146202900000002</v>
          </cell>
          <cell r="AB1377" t="str">
            <v>2017MN</v>
          </cell>
          <cell r="AC1377">
            <v>0</v>
          </cell>
          <cell r="AD1377">
            <v>0</v>
          </cell>
          <cell r="AE1377">
            <v>0</v>
          </cell>
          <cell r="AF1377">
            <v>1</v>
          </cell>
        </row>
        <row r="1378">
          <cell r="B1378" t="str">
            <v>2017MS</v>
          </cell>
          <cell r="C1378">
            <v>0.10416334210611014</v>
          </cell>
          <cell r="D1378">
            <v>7.2829933678422776E-2</v>
          </cell>
          <cell r="E1378">
            <v>0.14929269604113307</v>
          </cell>
          <cell r="F1378">
            <v>0.10019278631941281</v>
          </cell>
          <cell r="G1378">
            <v>0.56868226150598644</v>
          </cell>
          <cell r="H1378">
            <v>4.838980348934833E-3</v>
          </cell>
          <cell r="J1378" t="str">
            <v>2017MS</v>
          </cell>
          <cell r="K1378">
            <v>0.28202504199999989</v>
          </cell>
          <cell r="L1378">
            <v>0.56868226200000005</v>
          </cell>
          <cell r="M1378">
            <v>0.149292696</v>
          </cell>
          <cell r="U1378" t="str">
            <v>2017MS</v>
          </cell>
          <cell r="V1378">
            <v>2.1100625000000001E-2</v>
          </cell>
          <cell r="W1378">
            <v>3.6418512E-2</v>
          </cell>
          <cell r="X1378">
            <v>6.0129593000000002E-2</v>
          </cell>
          <cell r="Y1378">
            <v>0.574366987</v>
          </cell>
          <cell r="Z1378">
            <v>0.30798428300000003</v>
          </cell>
          <cell r="AB1378" t="str">
            <v>2017MS</v>
          </cell>
          <cell r="AC1378">
            <v>0</v>
          </cell>
          <cell r="AD1378">
            <v>0</v>
          </cell>
          <cell r="AE1378">
            <v>0.6</v>
          </cell>
          <cell r="AF1378">
            <v>0.4</v>
          </cell>
        </row>
        <row r="1379">
          <cell r="B1379" t="str">
            <v>2017MO</v>
          </cell>
          <cell r="C1379">
            <v>6.4925479522277466E-2</v>
          </cell>
          <cell r="D1379">
            <v>0.18170303563698134</v>
          </cell>
          <cell r="E1379">
            <v>0.14337282997597614</v>
          </cell>
          <cell r="F1379">
            <v>0.47880340852502545</v>
          </cell>
          <cell r="G1379">
            <v>8.4882421727070459E-2</v>
          </cell>
          <cell r="H1379">
            <v>4.6312824612669105E-2</v>
          </cell>
          <cell r="J1379" t="str">
            <v>2017MO</v>
          </cell>
          <cell r="K1379">
            <v>0.77174474799999992</v>
          </cell>
          <cell r="L1379">
            <v>8.4882421999999999E-2</v>
          </cell>
          <cell r="M1379">
            <v>0.14337283000000001</v>
          </cell>
          <cell r="U1379" t="str">
            <v>2017MO</v>
          </cell>
          <cell r="V1379">
            <v>2.998994E-2</v>
          </cell>
          <cell r="W1379">
            <v>4.5757142000000001E-2</v>
          </cell>
          <cell r="X1379">
            <v>0.27926039899999999</v>
          </cell>
          <cell r="Y1379">
            <v>0.13775391300000001</v>
          </cell>
          <cell r="Z1379">
            <v>0.50723860600000004</v>
          </cell>
          <cell r="AB1379" t="str">
            <v>2017MO</v>
          </cell>
          <cell r="AC1379">
            <v>0</v>
          </cell>
          <cell r="AD1379">
            <v>0</v>
          </cell>
          <cell r="AE1379">
            <v>0</v>
          </cell>
          <cell r="AF1379">
            <v>1</v>
          </cell>
        </row>
        <row r="1380">
          <cell r="B1380" t="str">
            <v>2017MT</v>
          </cell>
          <cell r="C1380">
            <v>0.35597781750083307</v>
          </cell>
          <cell r="D1380">
            <v>0.25924389885240834</v>
          </cell>
          <cell r="E1380">
            <v>4.3797789125912777E-2</v>
          </cell>
          <cell r="F1380">
            <v>0.25058080537727367</v>
          </cell>
          <cell r="G1380">
            <v>2.5930034358127463E-2</v>
          </cell>
          <cell r="H1380">
            <v>6.4469654785444572E-2</v>
          </cell>
          <cell r="J1380" t="str">
            <v>2017MT</v>
          </cell>
          <cell r="K1380">
            <v>0.93027217699999998</v>
          </cell>
          <cell r="L1380">
            <v>2.5930034000000001E-2</v>
          </cell>
          <cell r="M1380">
            <v>4.3797788999999997E-2</v>
          </cell>
          <cell r="U1380" t="str">
            <v>2017MT</v>
          </cell>
          <cell r="V1380">
            <v>6.0520032000000001E-2</v>
          </cell>
          <cell r="W1380">
            <v>5.1214043000000001E-2</v>
          </cell>
          <cell r="X1380">
            <v>0.24859647000000001</v>
          </cell>
          <cell r="Y1380">
            <v>0.16530719099999999</v>
          </cell>
          <cell r="Z1380">
            <v>0.47436226399999998</v>
          </cell>
          <cell r="AB1380" t="str">
            <v>2017MT</v>
          </cell>
          <cell r="AC1380">
            <v>0</v>
          </cell>
          <cell r="AD1380">
            <v>0</v>
          </cell>
          <cell r="AE1380">
            <v>0.6</v>
          </cell>
          <cell r="AF1380">
            <v>0.4</v>
          </cell>
        </row>
        <row r="1381">
          <cell r="B1381" t="str">
            <v>2017NE</v>
          </cell>
          <cell r="C1381">
            <v>0.21260954807532403</v>
          </cell>
          <cell r="D1381">
            <v>0.30324255962083846</v>
          </cell>
          <cell r="E1381">
            <v>6.1277054134417128E-2</v>
          </cell>
          <cell r="F1381">
            <v>0.34696077142199511</v>
          </cell>
          <cell r="G1381">
            <v>3.6278454935301678E-2</v>
          </cell>
          <cell r="H1381">
            <v>3.9631611812123581E-2</v>
          </cell>
          <cell r="J1381" t="str">
            <v>2017NE</v>
          </cell>
          <cell r="K1381">
            <v>0.90244449100000002</v>
          </cell>
          <cell r="L1381">
            <v>3.6278455000000001E-2</v>
          </cell>
          <cell r="M1381">
            <v>6.1277053999999997E-2</v>
          </cell>
          <cell r="U1381" t="str">
            <v>2017NE</v>
          </cell>
          <cell r="V1381">
            <v>3.0063880000000001E-2</v>
          </cell>
          <cell r="W1381">
            <v>4.5295173000000001E-2</v>
          </cell>
          <cell r="X1381">
            <v>0.27751980599999998</v>
          </cell>
          <cell r="Y1381">
            <v>0.147715386</v>
          </cell>
          <cell r="Z1381">
            <v>0.49940575500000001</v>
          </cell>
          <cell r="AB1381" t="str">
            <v>2017NE</v>
          </cell>
          <cell r="AC1381">
            <v>0</v>
          </cell>
          <cell r="AD1381">
            <v>0</v>
          </cell>
          <cell r="AE1381">
            <v>0.02</v>
          </cell>
          <cell r="AF1381">
            <v>0.98</v>
          </cell>
        </row>
        <row r="1382">
          <cell r="B1382" t="str">
            <v>2017NV</v>
          </cell>
          <cell r="C1382">
            <v>0.64210148526116029</v>
          </cell>
          <cell r="D1382">
            <v>0.238399883587257</v>
          </cell>
          <cell r="E1382">
            <v>4.1594375177217181E-3</v>
          </cell>
          <cell r="F1382">
            <v>0.10819864870890922</v>
          </cell>
          <cell r="G1382">
            <v>2.4625525602432058E-3</v>
          </cell>
          <cell r="H1382">
            <v>4.677992364708553E-3</v>
          </cell>
          <cell r="J1382" t="str">
            <v>2017NV</v>
          </cell>
          <cell r="K1382">
            <v>0.99337800899999995</v>
          </cell>
          <cell r="L1382">
            <v>2.4625530000000001E-3</v>
          </cell>
          <cell r="M1382">
            <v>4.1594379999999997E-3</v>
          </cell>
          <cell r="U1382" t="str">
            <v>2017NV</v>
          </cell>
          <cell r="V1382">
            <v>0.35004114600000003</v>
          </cell>
          <cell r="W1382">
            <v>2.4048478000000002E-2</v>
          </cell>
          <cell r="X1382">
            <v>3.5747737000000002E-2</v>
          </cell>
          <cell r="Y1382">
            <v>0.38867539400000001</v>
          </cell>
          <cell r="Z1382">
            <v>0.20148724500000001</v>
          </cell>
          <cell r="AB1382" t="str">
            <v>2017NV</v>
          </cell>
          <cell r="AC1382">
            <v>0</v>
          </cell>
          <cell r="AD1382">
            <v>0</v>
          </cell>
          <cell r="AE1382">
            <v>0</v>
          </cell>
          <cell r="AF1382">
            <v>1</v>
          </cell>
        </row>
        <row r="1383">
          <cell r="B1383" t="str">
            <v>2017NH</v>
          </cell>
          <cell r="C1383">
            <v>9.4573445198850817E-2</v>
          </cell>
          <cell r="D1383">
            <v>0.16340842518862655</v>
          </cell>
          <cell r="E1383">
            <v>0.44298025846087286</v>
          </cell>
          <cell r="F1383">
            <v>0.20852129702854144</v>
          </cell>
          <cell r="G1383">
            <v>6.52134304627775E-2</v>
          </cell>
          <cell r="H1383">
            <v>2.5303143660330828E-2</v>
          </cell>
          <cell r="J1383" t="str">
            <v>2017NH</v>
          </cell>
          <cell r="K1383">
            <v>0.49180631200000002</v>
          </cell>
          <cell r="L1383">
            <v>6.5213430000000003E-2</v>
          </cell>
          <cell r="M1383">
            <v>0.44298025800000002</v>
          </cell>
          <cell r="U1383" t="str">
            <v>2017NH</v>
          </cell>
          <cell r="V1383">
            <v>0.56759962799999997</v>
          </cell>
          <cell r="W1383">
            <v>1.9025615999999999E-2</v>
          </cell>
          <cell r="X1383">
            <v>0.119342503</v>
          </cell>
          <cell r="Y1383">
            <v>9.1236478999999995E-2</v>
          </cell>
          <cell r="Z1383">
            <v>0.20279577500000001</v>
          </cell>
          <cell r="AB1383" t="str">
            <v>2017NH</v>
          </cell>
          <cell r="AC1383">
            <v>0</v>
          </cell>
          <cell r="AD1383">
            <v>0</v>
          </cell>
          <cell r="AE1383">
            <v>0.05</v>
          </cell>
          <cell r="AF1383">
            <v>0.95</v>
          </cell>
        </row>
        <row r="1384">
          <cell r="B1384" t="str">
            <v>2017NJ</v>
          </cell>
          <cell r="C1384">
            <v>5.8003576611346738E-2</v>
          </cell>
          <cell r="D1384">
            <v>0.13897871355240557</v>
          </cell>
          <cell r="E1384">
            <v>0.45397029129837874</v>
          </cell>
          <cell r="F1384">
            <v>0.24471653627570109</v>
          </cell>
          <cell r="G1384">
            <v>7.5126969581826603E-2</v>
          </cell>
          <cell r="H1384">
            <v>2.9203912680341212E-2</v>
          </cell>
          <cell r="J1384" t="str">
            <v>2017NJ</v>
          </cell>
          <cell r="K1384">
            <v>0.47090273900000001</v>
          </cell>
          <cell r="L1384">
            <v>7.5126970000000001E-2</v>
          </cell>
          <cell r="M1384">
            <v>0.45397029100000003</v>
          </cell>
          <cell r="U1384" t="str">
            <v>2017NJ</v>
          </cell>
          <cell r="V1384">
            <v>0.30808167400000003</v>
          </cell>
          <cell r="W1384">
            <v>3.3011736E-2</v>
          </cell>
          <cell r="X1384">
            <v>0.18818818500000001</v>
          </cell>
          <cell r="Y1384">
            <v>0.137437002</v>
          </cell>
          <cell r="Z1384">
            <v>0.333281404</v>
          </cell>
          <cell r="AB1384" t="str">
            <v>2017NJ</v>
          </cell>
          <cell r="AC1384">
            <v>0</v>
          </cell>
          <cell r="AD1384">
            <v>0</v>
          </cell>
          <cell r="AE1384">
            <v>0.05</v>
          </cell>
          <cell r="AF1384">
            <v>0.95</v>
          </cell>
        </row>
        <row r="1385">
          <cell r="B1385" t="str">
            <v>2017NM</v>
          </cell>
          <cell r="C1385">
            <v>0.61184589317007076</v>
          </cell>
          <cell r="D1385">
            <v>0.19452029294367307</v>
          </cell>
          <cell r="E1385">
            <v>9.8952813124742175E-2</v>
          </cell>
          <cell r="F1385">
            <v>9.4174237847419268E-2</v>
          </cell>
          <cell r="G1385">
            <v>0</v>
          </cell>
          <cell r="H1385">
            <v>5.0676291409465751E-4</v>
          </cell>
          <cell r="J1385" t="str">
            <v>2017NM</v>
          </cell>
          <cell r="K1385">
            <v>0.90104718699999997</v>
          </cell>
          <cell r="L1385">
            <v>0</v>
          </cell>
          <cell r="M1385">
            <v>9.8952813000000001E-2</v>
          </cell>
          <cell r="U1385" t="str">
            <v>2017NM</v>
          </cell>
          <cell r="V1385">
            <v>0.91655606099999998</v>
          </cell>
          <cell r="W1385">
            <v>3.6715329999999998E-3</v>
          </cell>
          <cell r="X1385">
            <v>2.3030526999999999E-2</v>
          </cell>
          <cell r="Y1385">
            <v>1.7606671000000001E-2</v>
          </cell>
          <cell r="Z1385">
            <v>3.9135206999999998E-2</v>
          </cell>
          <cell r="AB1385" t="str">
            <v>2017NM</v>
          </cell>
          <cell r="AC1385">
            <v>0</v>
          </cell>
          <cell r="AD1385">
            <v>0</v>
          </cell>
          <cell r="AE1385">
            <v>0.6</v>
          </cell>
          <cell r="AF1385">
            <v>0.4</v>
          </cell>
        </row>
        <row r="1386">
          <cell r="B1386" t="str">
            <v>2017NY</v>
          </cell>
          <cell r="C1386">
            <v>9.8408703041683282E-2</v>
          </cell>
          <cell r="D1386">
            <v>0.15954377256245178</v>
          </cell>
          <cell r="E1386">
            <v>0.44849165243165579</v>
          </cell>
          <cell r="F1386">
            <v>0.20287733376538455</v>
          </cell>
          <cell r="G1386">
            <v>7.0184973363303343E-2</v>
          </cell>
          <cell r="H1386">
            <v>2.0493564835521279E-2</v>
          </cell>
          <cell r="J1386" t="str">
            <v>2017NY</v>
          </cell>
          <cell r="K1386">
            <v>0.481323375</v>
          </cell>
          <cell r="L1386">
            <v>7.0184972999999998E-2</v>
          </cell>
          <cell r="M1386">
            <v>0.44849165200000002</v>
          </cell>
          <cell r="U1386" t="str">
            <v>2017NY</v>
          </cell>
          <cell r="V1386">
            <v>0.20441514899999999</v>
          </cell>
          <cell r="W1386">
            <v>4.1815811000000001E-2</v>
          </cell>
          <cell r="X1386">
            <v>0.21220383400000001</v>
          </cell>
          <cell r="Y1386">
            <v>0.145168144</v>
          </cell>
          <cell r="Z1386">
            <v>0.396397061</v>
          </cell>
          <cell r="AB1386" t="str">
            <v>2017NY</v>
          </cell>
          <cell r="AC1386">
            <v>0</v>
          </cell>
          <cell r="AD1386">
            <v>0</v>
          </cell>
          <cell r="AE1386">
            <v>0.05</v>
          </cell>
          <cell r="AF1386">
            <v>0.95</v>
          </cell>
        </row>
        <row r="1387">
          <cell r="B1387" t="str">
            <v>2017NC</v>
          </cell>
          <cell r="C1387">
            <v>6.168821577504751E-2</v>
          </cell>
          <cell r="D1387">
            <v>0.11278426418396881</v>
          </cell>
          <cell r="E1387">
            <v>0.15395779991170949</v>
          </cell>
          <cell r="F1387">
            <v>0.11589101949636353</v>
          </cell>
          <cell r="G1387">
            <v>0.54100750469043157</v>
          </cell>
          <cell r="H1387">
            <v>1.4671195942479084E-2</v>
          </cell>
          <cell r="J1387" t="str">
            <v>2017NC</v>
          </cell>
          <cell r="K1387">
            <v>0.30503469499999991</v>
          </cell>
          <cell r="L1387">
            <v>0.54100750500000006</v>
          </cell>
          <cell r="M1387">
            <v>0.15395780000000001</v>
          </cell>
          <cell r="U1387" t="str">
            <v>2017NC</v>
          </cell>
          <cell r="V1387">
            <v>2.4742549999999999E-3</v>
          </cell>
          <cell r="W1387">
            <v>3.7123251000000003E-2</v>
          </cell>
          <cell r="X1387">
            <v>6.1645423999999997E-2</v>
          </cell>
          <cell r="Y1387">
            <v>0.58464508599999998</v>
          </cell>
          <cell r="Z1387">
            <v>0.31411198400000001</v>
          </cell>
          <cell r="AB1387" t="str">
            <v>2017NC</v>
          </cell>
          <cell r="AC1387">
            <v>0</v>
          </cell>
          <cell r="AD1387">
            <v>0</v>
          </cell>
          <cell r="AE1387">
            <v>0.41899999999999998</v>
          </cell>
          <cell r="AF1387">
            <v>0.58099999999999996</v>
          </cell>
        </row>
        <row r="1388">
          <cell r="B1388" t="str">
            <v>2017ND</v>
          </cell>
          <cell r="C1388">
            <v>0.1196932700797023</v>
          </cell>
          <cell r="D1388">
            <v>0.21866711268457967</v>
          </cell>
          <cell r="E1388">
            <v>0.10978970169096619</v>
          </cell>
          <cell r="F1388">
            <v>0.448028418369537</v>
          </cell>
          <cell r="G1388">
            <v>6.499987314042277E-2</v>
          </cell>
          <cell r="H1388">
            <v>3.8821624034792085E-2</v>
          </cell>
          <cell r="J1388" t="str">
            <v>2017ND</v>
          </cell>
          <cell r="K1388">
            <v>0.82521042499999997</v>
          </cell>
          <cell r="L1388">
            <v>6.4999873E-2</v>
          </cell>
          <cell r="M1388">
            <v>0.109789702</v>
          </cell>
          <cell r="U1388" t="str">
            <v>2017ND</v>
          </cell>
          <cell r="V1388">
            <v>8.8434773999999994E-2</v>
          </cell>
          <cell r="W1388">
            <v>4.7868137999999998E-2</v>
          </cell>
          <cell r="X1388">
            <v>0.243186129</v>
          </cell>
          <cell r="Y1388">
            <v>0.16647603599999999</v>
          </cell>
          <cell r="Z1388">
            <v>0.45403492299999998</v>
          </cell>
          <cell r="AB1388" t="str">
            <v>2017ND</v>
          </cell>
          <cell r="AC1388">
            <v>0</v>
          </cell>
          <cell r="AD1388">
            <v>0</v>
          </cell>
          <cell r="AE1388">
            <v>0.02</v>
          </cell>
          <cell r="AF1388">
            <v>0.98</v>
          </cell>
        </row>
        <row r="1389">
          <cell r="B1389" t="str">
            <v>2017OH</v>
          </cell>
          <cell r="C1389">
            <v>0.10753833947858983</v>
          </cell>
          <cell r="D1389">
            <v>0.22522557822049544</v>
          </cell>
          <cell r="E1389">
            <v>0.13589110116557596</v>
          </cell>
          <cell r="F1389">
            <v>0.4097570212201273</v>
          </cell>
          <cell r="G1389">
            <v>8.0452940491062386E-2</v>
          </cell>
          <cell r="H1389">
            <v>4.1135019424149183E-2</v>
          </cell>
          <cell r="J1389" t="str">
            <v>2017OH</v>
          </cell>
          <cell r="K1389">
            <v>0.78365595900000007</v>
          </cell>
          <cell r="L1389">
            <v>8.0452940000000001E-2</v>
          </cell>
          <cell r="M1389">
            <v>0.13589110099999999</v>
          </cell>
          <cell r="U1389" t="str">
            <v>2017OH</v>
          </cell>
          <cell r="V1389">
            <v>6.6338901000000006E-2</v>
          </cell>
          <cell r="W1389">
            <v>4.3119113000000001E-2</v>
          </cell>
          <cell r="X1389">
            <v>0.26533305600000001</v>
          </cell>
          <cell r="Y1389">
            <v>0.15267545299999999</v>
          </cell>
          <cell r="Z1389">
            <v>0.47253347699999998</v>
          </cell>
          <cell r="AB1389" t="str">
            <v>2017OH</v>
          </cell>
          <cell r="AC1389">
            <v>0</v>
          </cell>
          <cell r="AD1389">
            <v>0</v>
          </cell>
          <cell r="AE1389">
            <v>0</v>
          </cell>
          <cell r="AF1389">
            <v>1</v>
          </cell>
        </row>
        <row r="1390">
          <cell r="B1390" t="str">
            <v>2017OK</v>
          </cell>
          <cell r="C1390">
            <v>0.40296958934788546</v>
          </cell>
          <cell r="D1390">
            <v>0.22528492954061258</v>
          </cell>
          <cell r="E1390">
            <v>6.4896255940651446E-2</v>
          </cell>
          <cell r="F1390">
            <v>0.24738177570149189</v>
          </cell>
          <cell r="G1390">
            <v>0</v>
          </cell>
          <cell r="H1390">
            <v>5.9467449469358676E-2</v>
          </cell>
          <cell r="J1390" t="str">
            <v>2017OK</v>
          </cell>
          <cell r="K1390">
            <v>0.93510374399999996</v>
          </cell>
          <cell r="L1390">
            <v>0</v>
          </cell>
          <cell r="M1390">
            <v>6.4896255999999999E-2</v>
          </cell>
          <cell r="U1390" t="str">
            <v>2017OK</v>
          </cell>
          <cell r="V1390">
            <v>1.2831308E-2</v>
          </cell>
          <cell r="W1390">
            <v>3.6793041999999998E-2</v>
          </cell>
          <cell r="X1390">
            <v>6.2749109999999997E-2</v>
          </cell>
          <cell r="Y1390">
            <v>0.57552135800000004</v>
          </cell>
          <cell r="Z1390">
            <v>0.31210518199999998</v>
          </cell>
          <cell r="AB1390" t="str">
            <v>2017OK</v>
          </cell>
          <cell r="AC1390">
            <v>0</v>
          </cell>
          <cell r="AD1390">
            <v>0</v>
          </cell>
          <cell r="AE1390">
            <v>0.6</v>
          </cell>
          <cell r="AF1390">
            <v>0.4</v>
          </cell>
        </row>
        <row r="1391">
          <cell r="B1391" t="str">
            <v>2017OR</v>
          </cell>
          <cell r="C1391">
            <v>0.43856747008812064</v>
          </cell>
          <cell r="D1391">
            <v>0.20958259090942544</v>
          </cell>
          <cell r="E1391">
            <v>0</v>
          </cell>
          <cell r="F1391">
            <v>0.12862948158709187</v>
          </cell>
          <cell r="G1391">
            <v>0.2018533708975031</v>
          </cell>
          <cell r="H1391">
            <v>2.1367086517858933E-2</v>
          </cell>
          <cell r="J1391" t="str">
            <v>2017OR</v>
          </cell>
          <cell r="K1391">
            <v>0.798146629</v>
          </cell>
          <cell r="L1391">
            <v>0.201853371</v>
          </cell>
          <cell r="M1391">
            <v>0</v>
          </cell>
          <cell r="U1391" t="str">
            <v>2017OR</v>
          </cell>
          <cell r="V1391">
            <v>0.57640796000000005</v>
          </cell>
          <cell r="W1391">
            <v>1.863805E-2</v>
          </cell>
          <cell r="X1391">
            <v>0.116911403</v>
          </cell>
          <cell r="Y1391">
            <v>8.937792E-2</v>
          </cell>
          <cell r="Z1391">
            <v>0.19866466699999999</v>
          </cell>
          <cell r="AB1391" t="str">
            <v>2017OR</v>
          </cell>
          <cell r="AC1391">
            <v>0</v>
          </cell>
          <cell r="AD1391">
            <v>0</v>
          </cell>
          <cell r="AE1391">
            <v>0.25</v>
          </cell>
          <cell r="AF1391">
            <v>0.75</v>
          </cell>
        </row>
        <row r="1392">
          <cell r="B1392" t="str">
            <v>2017PA</v>
          </cell>
          <cell r="C1392">
            <v>4.9624045569858895E-2</v>
          </cell>
          <cell r="D1392">
            <v>0.11712497857538914</v>
          </cell>
          <cell r="E1392">
            <v>0.46874549019831585</v>
          </cell>
          <cell r="F1392">
            <v>0.25230966018477574</v>
          </cell>
          <cell r="G1392">
            <v>8.8454910858433447E-2</v>
          </cell>
          <cell r="H1392">
            <v>2.3740914613226898E-2</v>
          </cell>
          <cell r="J1392" t="str">
            <v>2017PA</v>
          </cell>
          <cell r="K1392">
            <v>0.44279959899999999</v>
          </cell>
          <cell r="L1392">
            <v>8.8454910999999997E-2</v>
          </cell>
          <cell r="M1392">
            <v>0.46874548999999999</v>
          </cell>
          <cell r="U1392" t="str">
            <v>2017PA</v>
          </cell>
          <cell r="V1392">
            <v>5.0102499000000002E-2</v>
          </cell>
          <cell r="W1392">
            <v>4.9409870000000002E-2</v>
          </cell>
          <cell r="X1392">
            <v>0.25392279899999998</v>
          </cell>
          <cell r="Y1392">
            <v>0.17504710600000001</v>
          </cell>
          <cell r="Z1392">
            <v>0.47151772600000003</v>
          </cell>
          <cell r="AB1392" t="str">
            <v>2017PA</v>
          </cell>
          <cell r="AC1392">
            <v>0</v>
          </cell>
          <cell r="AD1392">
            <v>0</v>
          </cell>
          <cell r="AE1392">
            <v>0</v>
          </cell>
          <cell r="AF1392">
            <v>1</v>
          </cell>
        </row>
        <row r="1393">
          <cell r="B1393" t="str">
            <v>2017RI</v>
          </cell>
          <cell r="C1393">
            <v>4.2447025005926793E-2</v>
          </cell>
          <cell r="D1393">
            <v>0.1190174947032642</v>
          </cell>
          <cell r="E1393">
            <v>0.46784468707451643</v>
          </cell>
          <cell r="F1393">
            <v>0.25730854976835782</v>
          </cell>
          <cell r="G1393">
            <v>8.7642343040085183E-2</v>
          </cell>
          <cell r="H1393">
            <v>2.5739900407849584E-2</v>
          </cell>
          <cell r="J1393" t="str">
            <v>2017RI</v>
          </cell>
          <cell r="K1393">
            <v>0.44451297000000001</v>
          </cell>
          <cell r="L1393">
            <v>8.7642342999999998E-2</v>
          </cell>
          <cell r="M1393">
            <v>0.46784468699999998</v>
          </cell>
          <cell r="U1393" t="str">
            <v>2017RI</v>
          </cell>
          <cell r="V1393">
            <v>0.56026879500000004</v>
          </cell>
          <cell r="W1393">
            <v>1.9348173E-2</v>
          </cell>
          <cell r="X1393">
            <v>0.121365813</v>
          </cell>
          <cell r="Y1393">
            <v>9.2783283999999994E-2</v>
          </cell>
          <cell r="Z1393">
            <v>0.20623393500000001</v>
          </cell>
          <cell r="AB1393" t="str">
            <v>2017RI</v>
          </cell>
          <cell r="AC1393">
            <v>0</v>
          </cell>
          <cell r="AD1393">
            <v>0</v>
          </cell>
          <cell r="AE1393">
            <v>0.05</v>
          </cell>
          <cell r="AF1393">
            <v>0.95</v>
          </cell>
        </row>
        <row r="1394">
          <cell r="B1394" t="str">
            <v>2017SC</v>
          </cell>
          <cell r="C1394">
            <v>0.13346180610825578</v>
          </cell>
          <cell r="D1394">
            <v>9.0019723091430845E-2</v>
          </cell>
          <cell r="E1394">
            <v>0.15451296947775242</v>
          </cell>
          <cell r="F1394">
            <v>8.0687406490411034E-2</v>
          </cell>
          <cell r="G1394">
            <v>0.53771407690020812</v>
          </cell>
          <cell r="H1394">
            <v>3.6040179319418398E-3</v>
          </cell>
          <cell r="J1394" t="str">
            <v>2017SC</v>
          </cell>
          <cell r="K1394">
            <v>0.30777295400000004</v>
          </cell>
          <cell r="L1394">
            <v>0.53771407699999996</v>
          </cell>
          <cell r="M1394">
            <v>0.154512969</v>
          </cell>
          <cell r="U1394" t="str">
            <v>2017SC</v>
          </cell>
          <cell r="V1394">
            <v>6.1629585000000001E-2</v>
          </cell>
          <cell r="W1394">
            <v>3.5823032999999997E-2</v>
          </cell>
          <cell r="X1394">
            <v>8.6443989999999998E-2</v>
          </cell>
          <cell r="Y1394">
            <v>0.50014727299999995</v>
          </cell>
          <cell r="Z1394">
            <v>0.31595611899999998</v>
          </cell>
          <cell r="AB1394" t="str">
            <v>2017SC</v>
          </cell>
          <cell r="AC1394">
            <v>0</v>
          </cell>
          <cell r="AD1394">
            <v>0</v>
          </cell>
          <cell r="AE1394">
            <v>0.6</v>
          </cell>
          <cell r="AF1394">
            <v>0.4</v>
          </cell>
        </row>
        <row r="1395">
          <cell r="B1395" t="str">
            <v>2017SD</v>
          </cell>
          <cell r="C1395">
            <v>0.17608951911561277</v>
          </cell>
          <cell r="D1395">
            <v>0.277831368160596</v>
          </cell>
          <cell r="E1395">
            <v>7.9800561964795444E-2</v>
          </cell>
          <cell r="F1395">
            <v>0.37802114842972712</v>
          </cell>
          <cell r="G1395">
            <v>4.724510882492864E-2</v>
          </cell>
          <cell r="H1395">
            <v>4.1012293504340026E-2</v>
          </cell>
          <cell r="J1395" t="str">
            <v>2017SD</v>
          </cell>
          <cell r="K1395">
            <v>0.87295432900000003</v>
          </cell>
          <cell r="L1395">
            <v>4.7245109E-2</v>
          </cell>
          <cell r="M1395">
            <v>7.9800562000000005E-2</v>
          </cell>
          <cell r="U1395" t="str">
            <v>2017SD</v>
          </cell>
          <cell r="V1395">
            <v>3.3046748000000001E-2</v>
          </cell>
          <cell r="W1395">
            <v>5.1157264000000001E-2</v>
          </cell>
          <cell r="X1395">
            <v>0.25755016600000002</v>
          </cell>
          <cell r="Y1395">
            <v>0.17532273200000001</v>
          </cell>
          <cell r="Z1395">
            <v>0.48292308900000003</v>
          </cell>
          <cell r="AB1395" t="str">
            <v>2017SD</v>
          </cell>
          <cell r="AC1395">
            <v>0</v>
          </cell>
          <cell r="AD1395">
            <v>0</v>
          </cell>
          <cell r="AE1395">
            <v>0.02</v>
          </cell>
          <cell r="AF1395">
            <v>0.98</v>
          </cell>
        </row>
        <row r="1396">
          <cell r="B1396" t="str">
            <v>2017TN</v>
          </cell>
          <cell r="C1396">
            <v>4.0519949592449485E-2</v>
          </cell>
          <cell r="D1396">
            <v>8.9664149461423162E-2</v>
          </cell>
          <cell r="E1396">
            <v>0.14551684926860037</v>
          </cell>
          <cell r="F1396">
            <v>0.1170185785979804</v>
          </cell>
          <cell r="G1396">
            <v>0.59108168584929244</v>
          </cell>
          <cell r="H1396">
            <v>1.6198787230254148E-2</v>
          </cell>
          <cell r="J1396" t="str">
            <v>2017TN</v>
          </cell>
          <cell r="K1396">
            <v>0.26340146500000006</v>
          </cell>
          <cell r="L1396">
            <v>0.591081686</v>
          </cell>
          <cell r="M1396">
            <v>0.145516849</v>
          </cell>
          <cell r="U1396" t="str">
            <v>2017TN</v>
          </cell>
          <cell r="V1396">
            <v>0.102875089</v>
          </cell>
          <cell r="W1396">
            <v>3.5402429999999999E-2</v>
          </cell>
          <cell r="X1396">
            <v>0.119077104</v>
          </cell>
          <cell r="Y1396">
            <v>0.41436515099999999</v>
          </cell>
          <cell r="Z1396">
            <v>0.32828022600000001</v>
          </cell>
          <cell r="AB1396" t="str">
            <v>2017TN</v>
          </cell>
          <cell r="AC1396">
            <v>0</v>
          </cell>
          <cell r="AD1396">
            <v>0</v>
          </cell>
          <cell r="AE1396">
            <v>0.05</v>
          </cell>
          <cell r="AF1396">
            <v>0.95</v>
          </cell>
        </row>
        <row r="1397">
          <cell r="B1397" t="str">
            <v>2017TX</v>
          </cell>
          <cell r="C1397">
            <v>0.53305655520056971</v>
          </cell>
          <cell r="D1397">
            <v>0.24233312613196878</v>
          </cell>
          <cell r="E1397">
            <v>7.9791980793249173E-2</v>
          </cell>
          <cell r="F1397">
            <v>0.1278405091499755</v>
          </cell>
          <cell r="G1397">
            <v>0</v>
          </cell>
          <cell r="H1397">
            <v>1.6977828724236681E-2</v>
          </cell>
          <cell r="J1397" t="str">
            <v>2017TX</v>
          </cell>
          <cell r="K1397">
            <v>0.92020801900000004</v>
          </cell>
          <cell r="L1397">
            <v>0</v>
          </cell>
          <cell r="M1397">
            <v>7.9791980999999998E-2</v>
          </cell>
          <cell r="U1397" t="str">
            <v>2017TX</v>
          </cell>
          <cell r="V1397">
            <v>6.9632535999999995E-2</v>
          </cell>
          <cell r="W1397">
            <v>3.4700662E-2</v>
          </cell>
          <cell r="X1397">
            <v>5.9917572000000002E-2</v>
          </cell>
          <cell r="Y1397">
            <v>0.54104196599999999</v>
          </cell>
          <cell r="Z1397">
            <v>0.29470726400000002</v>
          </cell>
          <cell r="AB1397" t="str">
            <v>2017TX</v>
          </cell>
          <cell r="AC1397">
            <v>0</v>
          </cell>
          <cell r="AD1397">
            <v>0</v>
          </cell>
          <cell r="AE1397">
            <v>0.12</v>
          </cell>
          <cell r="AF1397">
            <v>0.88</v>
          </cell>
        </row>
        <row r="1398">
          <cell r="B1398" t="str">
            <v>2017UT</v>
          </cell>
          <cell r="C1398">
            <v>0.51165623152884221</v>
          </cell>
          <cell r="D1398">
            <v>0.26394677259150623</v>
          </cell>
          <cell r="E1398">
            <v>1.3999177703951423E-2</v>
          </cell>
          <cell r="F1398">
            <v>0.17036034814732054</v>
          </cell>
          <cell r="G1398">
            <v>8.2880703819413898E-3</v>
          </cell>
          <cell r="H1398">
            <v>3.1749399646438282E-2</v>
          </cell>
          <cell r="J1398" t="str">
            <v>2017UT</v>
          </cell>
          <cell r="K1398">
            <v>0.97771275199999996</v>
          </cell>
          <cell r="L1398">
            <v>8.2880699999999998E-3</v>
          </cell>
          <cell r="M1398">
            <v>1.3999177999999999E-2</v>
          </cell>
          <cell r="U1398" t="str">
            <v>2017UT</v>
          </cell>
          <cell r="V1398">
            <v>8.6456620000000001E-3</v>
          </cell>
          <cell r="W1398">
            <v>5.5424775000000003E-2</v>
          </cell>
          <cell r="X1398">
            <v>0.260824848</v>
          </cell>
          <cell r="Y1398">
            <v>0.16982515300000001</v>
          </cell>
          <cell r="Z1398">
            <v>0.50527956200000002</v>
          </cell>
          <cell r="AB1398" t="str">
            <v>2017UT</v>
          </cell>
          <cell r="AC1398">
            <v>0</v>
          </cell>
          <cell r="AD1398">
            <v>0</v>
          </cell>
          <cell r="AE1398">
            <v>0.6</v>
          </cell>
          <cell r="AF1398">
            <v>0.4</v>
          </cell>
        </row>
        <row r="1399">
          <cell r="B1399" t="str">
            <v>2017VT</v>
          </cell>
          <cell r="C1399">
            <v>9.9973781354903396E-2</v>
          </cell>
          <cell r="D1399">
            <v>0.17387691112967565</v>
          </cell>
          <cell r="E1399">
            <v>0.44423932842492886</v>
          </cell>
          <cell r="F1399">
            <v>0.19448861844630186</v>
          </cell>
          <cell r="G1399">
            <v>6.6349172232328182E-2</v>
          </cell>
          <cell r="H1399">
            <v>2.1072188411862088E-2</v>
          </cell>
          <cell r="J1399" t="str">
            <v>2017VT</v>
          </cell>
          <cell r="K1399">
            <v>0.4894115</v>
          </cell>
          <cell r="L1399">
            <v>6.6349171999999998E-2</v>
          </cell>
          <cell r="M1399">
            <v>0.44423932799999999</v>
          </cell>
          <cell r="U1399" t="str">
            <v>2017VT</v>
          </cell>
          <cell r="V1399">
            <v>0.86037974299999997</v>
          </cell>
          <cell r="W1399">
            <v>6.1432910000000004E-3</v>
          </cell>
          <cell r="X1399">
            <v>3.8535191000000003E-2</v>
          </cell>
          <cell r="Y1399">
            <v>2.9459874E-2</v>
          </cell>
          <cell r="Z1399">
            <v>6.5481899999999996E-2</v>
          </cell>
          <cell r="AB1399" t="str">
            <v>2017VT</v>
          </cell>
          <cell r="AC1399">
            <v>0</v>
          </cell>
          <cell r="AD1399">
            <v>0</v>
          </cell>
          <cell r="AE1399">
            <v>0.05</v>
          </cell>
          <cell r="AF1399">
            <v>0.95</v>
          </cell>
        </row>
        <row r="1400">
          <cell r="B1400" t="str">
            <v>2017VA</v>
          </cell>
          <cell r="C1400">
            <v>4.4953509549794296E-2</v>
          </cell>
          <cell r="D1400">
            <v>9.339670802378576E-2</v>
          </cell>
          <cell r="E1400">
            <v>0.14844092890155638</v>
          </cell>
          <cell r="F1400">
            <v>0.12331550684410268</v>
          </cell>
          <cell r="G1400">
            <v>0.5737351926100378</v>
          </cell>
          <cell r="H1400">
            <v>1.6158154070723133E-2</v>
          </cell>
          <cell r="J1400" t="str">
            <v>2017VA</v>
          </cell>
          <cell r="K1400">
            <v>0.27782387799999997</v>
          </cell>
          <cell r="L1400">
            <v>0.57373519299999998</v>
          </cell>
          <cell r="M1400">
            <v>0.148440929</v>
          </cell>
          <cell r="U1400" t="str">
            <v>2017VA</v>
          </cell>
          <cell r="V1400">
            <v>3.3934871999999998E-2</v>
          </cell>
          <cell r="W1400">
            <v>3.6244844999999998E-2</v>
          </cell>
          <cell r="X1400">
            <v>6.8933026999999994E-2</v>
          </cell>
          <cell r="Y1400">
            <v>0.550040046</v>
          </cell>
          <cell r="Z1400">
            <v>0.31084721100000001</v>
          </cell>
          <cell r="AB1400" t="str">
            <v>2017VA</v>
          </cell>
          <cell r="AC1400">
            <v>0</v>
          </cell>
          <cell r="AD1400">
            <v>0</v>
          </cell>
          <cell r="AE1400">
            <v>0.05</v>
          </cell>
          <cell r="AF1400">
            <v>0.95</v>
          </cell>
        </row>
        <row r="1401">
          <cell r="B1401" t="str">
            <v>2017WA</v>
          </cell>
          <cell r="C1401">
            <v>0.48742079910802349</v>
          </cell>
          <cell r="D1401">
            <v>0.21961274491816118</v>
          </cell>
          <cell r="E1401">
            <v>0</v>
          </cell>
          <cell r="F1401">
            <v>0.11254281869932067</v>
          </cell>
          <cell r="G1401">
            <v>0.16627589127589129</v>
          </cell>
          <cell r="H1401">
            <v>1.4147745998603438E-2</v>
          </cell>
          <cell r="J1401" t="str">
            <v>2017WA</v>
          </cell>
          <cell r="K1401">
            <v>0.83372410900000005</v>
          </cell>
          <cell r="L1401">
            <v>0.16627589100000001</v>
          </cell>
          <cell r="M1401">
            <v>0</v>
          </cell>
          <cell r="U1401" t="str">
            <v>2017WA</v>
          </cell>
          <cell r="V1401">
            <v>0.37353494700000001</v>
          </cell>
          <cell r="W1401">
            <v>3.1263627000000002E-2</v>
          </cell>
          <cell r="X1401">
            <v>0.168896926</v>
          </cell>
          <cell r="Y1401">
            <v>0.119853577</v>
          </cell>
          <cell r="Z1401">
            <v>0.30645092299999999</v>
          </cell>
          <cell r="AB1401" t="str">
            <v>2017WA</v>
          </cell>
          <cell r="AC1401">
            <v>0</v>
          </cell>
          <cell r="AD1401">
            <v>0</v>
          </cell>
          <cell r="AE1401">
            <v>0.12</v>
          </cell>
          <cell r="AF1401">
            <v>0.88</v>
          </cell>
        </row>
        <row r="1402">
          <cell r="B1402" t="str">
            <v>2017WV</v>
          </cell>
          <cell r="C1402">
            <v>6.8751812683186322E-2</v>
          </cell>
          <cell r="D1402">
            <v>0.15888641455628993</v>
          </cell>
          <cell r="E1402">
            <v>0.44831485363191043</v>
          </cell>
          <cell r="F1402">
            <v>0.22633984896592482</v>
          </cell>
          <cell r="G1402">
            <v>7.0025492327769459E-2</v>
          </cell>
          <cell r="H1402">
            <v>2.7681577834919095E-2</v>
          </cell>
          <cell r="J1402" t="str">
            <v>2017WV</v>
          </cell>
          <cell r="K1402">
            <v>0.48165965399999999</v>
          </cell>
          <cell r="L1402">
            <v>7.0025491999999995E-2</v>
          </cell>
          <cell r="M1402">
            <v>0.44831485399999998</v>
          </cell>
          <cell r="U1402" t="str">
            <v>2017WV</v>
          </cell>
          <cell r="V1402">
            <v>0.57920187499999998</v>
          </cell>
          <cell r="W1402">
            <v>2.1256934000000002E-2</v>
          </cell>
          <cell r="X1402">
            <v>0.113169981</v>
          </cell>
          <cell r="Y1402">
            <v>7.9649016000000003E-2</v>
          </cell>
          <cell r="Z1402">
            <v>0.206722194</v>
          </cell>
          <cell r="AB1402" t="str">
            <v>2017WV</v>
          </cell>
          <cell r="AC1402">
            <v>0</v>
          </cell>
          <cell r="AD1402">
            <v>0</v>
          </cell>
          <cell r="AE1402">
            <v>0.05</v>
          </cell>
          <cell r="AF1402">
            <v>0.95</v>
          </cell>
        </row>
        <row r="1403">
          <cell r="B1403" t="str">
            <v>2017WI</v>
          </cell>
          <cell r="C1403">
            <v>0.12203432597344931</v>
          </cell>
          <cell r="D1403">
            <v>0.23555629715568294</v>
          </cell>
          <cell r="E1403">
            <v>0.11540173598404266</v>
          </cell>
          <cell r="F1403">
            <v>0.42032708364290838</v>
          </cell>
          <cell r="G1403">
            <v>6.8322420806473022E-2</v>
          </cell>
          <cell r="H1403">
            <v>3.8358136437443673E-2</v>
          </cell>
          <cell r="J1403" t="str">
            <v>2017WI</v>
          </cell>
          <cell r="K1403">
            <v>0.816275843</v>
          </cell>
          <cell r="L1403">
            <v>6.8322420999999994E-2</v>
          </cell>
          <cell r="M1403">
            <v>0.115401736</v>
          </cell>
          <cell r="U1403" t="str">
            <v>2017WI</v>
          </cell>
          <cell r="V1403">
            <v>0.12883246500000001</v>
          </cell>
          <cell r="W1403">
            <v>4.2564396999999997E-2</v>
          </cell>
          <cell r="X1403">
            <v>0.23585646199999999</v>
          </cell>
          <cell r="Y1403">
            <v>0.16970626599999999</v>
          </cell>
          <cell r="Z1403">
            <v>0.42304040999999998</v>
          </cell>
          <cell r="AB1403" t="str">
            <v>2017WI</v>
          </cell>
          <cell r="AC1403">
            <v>0</v>
          </cell>
          <cell r="AD1403">
            <v>0</v>
          </cell>
          <cell r="AE1403">
            <v>0.02</v>
          </cell>
          <cell r="AF1403">
            <v>0.98</v>
          </cell>
        </row>
        <row r="1404">
          <cell r="B1404" t="str">
            <v>2017WY</v>
          </cell>
          <cell r="C1404">
            <v>0.29508724522063295</v>
          </cell>
          <cell r="D1404">
            <v>0.23251729773373622</v>
          </cell>
          <cell r="E1404">
            <v>0.12161775942187937</v>
          </cell>
          <cell r="F1404">
            <v>0.2207502472879718</v>
          </cell>
          <cell r="G1404">
            <v>7.2002554085590281E-2</v>
          </cell>
          <cell r="H1404">
            <v>5.8024896250189507E-2</v>
          </cell>
          <cell r="J1404" t="str">
            <v>2017WY</v>
          </cell>
          <cell r="K1404">
            <v>0.80637968699999996</v>
          </cell>
          <cell r="L1404">
            <v>7.2002553999999996E-2</v>
          </cell>
          <cell r="M1404">
            <v>0.12161775900000001</v>
          </cell>
          <cell r="U1404" t="str">
            <v>2017WY</v>
          </cell>
          <cell r="V1404">
            <v>3.2109568999999998E-2</v>
          </cell>
          <cell r="W1404">
            <v>5.3596850000000001E-2</v>
          </cell>
          <cell r="X1404">
            <v>0.25521061499999997</v>
          </cell>
          <cell r="Y1404">
            <v>0.16752597599999999</v>
          </cell>
          <cell r="Z1404">
            <v>0.49155699000000003</v>
          </cell>
          <cell r="AB1404" t="str">
            <v>2017WY</v>
          </cell>
          <cell r="AC1404">
            <v>0</v>
          </cell>
          <cell r="AD1404">
            <v>0</v>
          </cell>
          <cell r="AE1404">
            <v>0.6</v>
          </cell>
          <cell r="AF1404">
            <v>0.4</v>
          </cell>
        </row>
        <row r="1405">
          <cell r="B1405" t="str">
            <v>2018AL</v>
          </cell>
          <cell r="C1405">
            <v>0.17233560131521788</v>
          </cell>
          <cell r="D1405">
            <v>9.7606154746872412E-2</v>
          </cell>
          <cell r="E1405">
            <v>0.16919346457207346</v>
          </cell>
          <cell r="F1405">
            <v>0.1056405325382436</v>
          </cell>
          <cell r="G1405">
            <v>0.45062509818962659</v>
          </cell>
          <cell r="H1405">
            <v>4.5991486379660445E-3</v>
          </cell>
          <cell r="J1405" t="str">
            <v>2018AL</v>
          </cell>
          <cell r="K1405">
            <v>0.38018143700000007</v>
          </cell>
          <cell r="L1405">
            <v>0.450625098</v>
          </cell>
          <cell r="M1405">
            <v>0.16919346499999999</v>
          </cell>
          <cell r="U1405" t="str">
            <v>2018AL</v>
          </cell>
          <cell r="V1405">
            <v>5.3114938E-2</v>
          </cell>
          <cell r="W1405">
            <v>3.6058960000000001E-2</v>
          </cell>
          <cell r="X1405">
            <v>8.4414527000000003E-2</v>
          </cell>
          <cell r="Y1405">
            <v>0.50961295299999998</v>
          </cell>
          <cell r="Z1405">
            <v>0.316798623</v>
          </cell>
          <cell r="AB1405" t="str">
            <v>2018AL</v>
          </cell>
          <cell r="AC1405">
            <v>0</v>
          </cell>
          <cell r="AD1405">
            <v>0</v>
          </cell>
          <cell r="AE1405">
            <v>0.41899999999999998</v>
          </cell>
          <cell r="AF1405">
            <v>0.58099999999999996</v>
          </cell>
        </row>
        <row r="1406">
          <cell r="B1406" t="str">
            <v>2018AK</v>
          </cell>
          <cell r="C1406">
            <v>0.30334484066413492</v>
          </cell>
          <cell r="D1406">
            <v>0.23769937716735701</v>
          </cell>
          <cell r="E1406">
            <v>6.205843688929364E-2</v>
          </cell>
          <cell r="F1406">
            <v>0.28363994741136878</v>
          </cell>
          <cell r="G1406">
            <v>3.6741064625999714E-2</v>
          </cell>
          <cell r="H1406">
            <v>7.6516333241846021E-2</v>
          </cell>
          <cell r="J1406" t="str">
            <v>2018AK</v>
          </cell>
          <cell r="K1406">
            <v>0.90120049800000002</v>
          </cell>
          <cell r="L1406">
            <v>3.6741065000000003E-2</v>
          </cell>
          <cell r="M1406">
            <v>6.2058437000000001E-2</v>
          </cell>
          <cell r="U1406" t="str">
            <v>2018AK</v>
          </cell>
          <cell r="V1406">
            <v>0.52632575500000001</v>
          </cell>
          <cell r="W1406">
            <v>2.0841667000000001E-2</v>
          </cell>
          <cell r="X1406">
            <v>0.130734092</v>
          </cell>
          <cell r="Y1406">
            <v>9.9945266000000005E-2</v>
          </cell>
          <cell r="Z1406">
            <v>0.22215322100000001</v>
          </cell>
          <cell r="AB1406" t="str">
            <v>2018AK</v>
          </cell>
          <cell r="AC1406">
            <v>0</v>
          </cell>
          <cell r="AD1406">
            <v>0</v>
          </cell>
          <cell r="AE1406">
            <v>0.25</v>
          </cell>
          <cell r="AF1406">
            <v>0.75</v>
          </cell>
        </row>
        <row r="1407">
          <cell r="B1407" t="str">
            <v>2018AZ</v>
          </cell>
          <cell r="C1407">
            <v>0.611220636654217</v>
          </cell>
          <cell r="D1407">
            <v>0.19572797693407004</v>
          </cell>
          <cell r="E1407">
            <v>9.865488383487428E-2</v>
          </cell>
          <cell r="F1407">
            <v>9.3890669243012675E-2</v>
          </cell>
          <cell r="G1407">
            <v>0</v>
          </cell>
          <cell r="H1407">
            <v>5.0583333382575558E-4</v>
          </cell>
          <cell r="J1407" t="str">
            <v>2018AZ</v>
          </cell>
          <cell r="K1407">
            <v>0.901345116</v>
          </cell>
          <cell r="L1407">
            <v>0</v>
          </cell>
          <cell r="M1407">
            <v>9.8654883999999998E-2</v>
          </cell>
          <cell r="U1407" t="str">
            <v>2018AZ</v>
          </cell>
          <cell r="V1407">
            <v>0.136592664</v>
          </cell>
          <cell r="W1407">
            <v>3.2171241000000003E-2</v>
          </cell>
          <cell r="X1407">
            <v>5.4596316999999998E-2</v>
          </cell>
          <cell r="Y1407">
            <v>0.50386894699999996</v>
          </cell>
          <cell r="Z1407">
            <v>0.27277083200000002</v>
          </cell>
          <cell r="AB1407" t="str">
            <v>2018AZ</v>
          </cell>
          <cell r="AC1407">
            <v>0</v>
          </cell>
          <cell r="AD1407">
            <v>0</v>
          </cell>
          <cell r="AE1407">
            <v>0.6</v>
          </cell>
          <cell r="AF1407">
            <v>0.4</v>
          </cell>
        </row>
        <row r="1408">
          <cell r="B1408" t="str">
            <v>2018AR</v>
          </cell>
          <cell r="C1408">
            <v>9.6391342329605903E-2</v>
          </cell>
          <cell r="D1408">
            <v>6.6955456596874061E-2</v>
          </cell>
          <cell r="E1408">
            <v>0.14888335780531528</v>
          </cell>
          <cell r="F1408">
            <v>0.11118804006195876</v>
          </cell>
          <cell r="G1408">
            <v>0.57111057531117648</v>
          </cell>
          <cell r="H1408">
            <v>5.4712278950695761E-3</v>
          </cell>
          <cell r="J1408" t="str">
            <v>2018AR</v>
          </cell>
          <cell r="K1408">
            <v>0.28000606700000008</v>
          </cell>
          <cell r="L1408">
            <v>0.57111057499999995</v>
          </cell>
          <cell r="M1408">
            <v>0.14888335799999999</v>
          </cell>
          <cell r="U1408" t="str">
            <v>2018AR</v>
          </cell>
          <cell r="V1408">
            <v>3.9459004999999998E-2</v>
          </cell>
          <cell r="W1408">
            <v>3.7640482000000003E-2</v>
          </cell>
          <cell r="X1408">
            <v>0.11914443199999999</v>
          </cell>
          <cell r="Y1408">
            <v>0.45827781299999998</v>
          </cell>
          <cell r="Z1408">
            <v>0.34547826799999998</v>
          </cell>
          <cell r="AB1408" t="str">
            <v>2018AR</v>
          </cell>
          <cell r="AC1408">
            <v>0</v>
          </cell>
          <cell r="AD1408">
            <v>0</v>
          </cell>
          <cell r="AE1408">
            <v>0</v>
          </cell>
          <cell r="AF1408">
            <v>1</v>
          </cell>
        </row>
        <row r="1409">
          <cell r="B1409" t="str">
            <v>2018CA</v>
          </cell>
          <cell r="C1409">
            <v>0.58081862489107328</v>
          </cell>
          <cell r="D1409">
            <v>0.20720345916912225</v>
          </cell>
          <cell r="E1409">
            <v>0.10801924509893834</v>
          </cell>
          <cell r="F1409">
            <v>9.2431120719429966E-2</v>
          </cell>
          <cell r="G1409">
            <v>9.2523577326630076E-3</v>
          </cell>
          <cell r="H1409">
            <v>2.2751923887731596E-3</v>
          </cell>
          <cell r="J1409" t="str">
            <v>2018CA</v>
          </cell>
          <cell r="K1409">
            <v>0.88272839699999994</v>
          </cell>
          <cell r="L1409">
            <v>9.2523580000000005E-3</v>
          </cell>
          <cell r="M1409">
            <v>0.108019245</v>
          </cell>
          <cell r="U1409" t="str">
            <v>2018CA</v>
          </cell>
          <cell r="V1409">
            <v>0.133799526</v>
          </cell>
          <cell r="W1409">
            <v>3.2941353E-2</v>
          </cell>
          <cell r="X1409">
            <v>7.5800703999999997E-2</v>
          </cell>
          <cell r="Y1409">
            <v>0.46867659099999998</v>
          </cell>
          <cell r="Z1409">
            <v>0.28878182499999999</v>
          </cell>
          <cell r="AB1409" t="str">
            <v>2018CA</v>
          </cell>
          <cell r="AC1409">
            <v>0</v>
          </cell>
          <cell r="AD1409">
            <v>0</v>
          </cell>
          <cell r="AE1409">
            <v>0.12</v>
          </cell>
          <cell r="AF1409">
            <v>0.88</v>
          </cell>
        </row>
        <row r="1410">
          <cell r="B1410" t="str">
            <v>2018CO</v>
          </cell>
          <cell r="C1410">
            <v>0.61667904285785091</v>
          </cell>
          <cell r="D1410">
            <v>0.24212893570430052</v>
          </cell>
          <cell r="E1410">
            <v>1.1092391745361967E-2</v>
          </cell>
          <cell r="F1410">
            <v>0.11516410971780773</v>
          </cell>
          <cell r="G1410">
            <v>6.5671374014829543E-3</v>
          </cell>
          <cell r="H1410">
            <v>8.3683825731959392E-3</v>
          </cell>
          <cell r="J1410" t="str">
            <v>2018CO</v>
          </cell>
          <cell r="K1410">
            <v>0.98234047099999999</v>
          </cell>
          <cell r="L1410">
            <v>6.5671369999999998E-3</v>
          </cell>
          <cell r="M1410">
            <v>1.1092392E-2</v>
          </cell>
          <cell r="U1410" t="str">
            <v>2018CO</v>
          </cell>
          <cell r="V1410">
            <v>2.3378138E-2</v>
          </cell>
          <cell r="W1410">
            <v>5.3880426000000002E-2</v>
          </cell>
          <cell r="X1410">
            <v>0.25772948099999998</v>
          </cell>
          <cell r="Y1410">
            <v>0.169703665</v>
          </cell>
          <cell r="Z1410">
            <v>0.49530828999999998</v>
          </cell>
          <cell r="AB1410" t="str">
            <v>2018CO</v>
          </cell>
          <cell r="AC1410">
            <v>0</v>
          </cell>
          <cell r="AD1410">
            <v>0</v>
          </cell>
          <cell r="AE1410">
            <v>0.6</v>
          </cell>
          <cell r="AF1410">
            <v>0.4</v>
          </cell>
        </row>
        <row r="1411">
          <cell r="B1411" t="str">
            <v>2018CT</v>
          </cell>
          <cell r="C1411">
            <v>0.11572842393252261</v>
          </cell>
          <cell r="D1411">
            <v>0.20119880615243968</v>
          </cell>
          <cell r="E1411">
            <v>0.43233999756560143</v>
          </cell>
          <cell r="F1411">
            <v>0.17234541515575838</v>
          </cell>
          <cell r="G1411">
            <v>5.5615402487630847E-2</v>
          </cell>
          <cell r="H1411">
            <v>2.2771954706046996E-2</v>
          </cell>
          <cell r="J1411" t="str">
            <v>2018CT</v>
          </cell>
          <cell r="K1411">
            <v>0.51204460000000007</v>
          </cell>
          <cell r="L1411">
            <v>5.5615402000000001E-2</v>
          </cell>
          <cell r="M1411">
            <v>0.432339998</v>
          </cell>
          <cell r="U1411" t="str">
            <v>2018CT</v>
          </cell>
          <cell r="V1411">
            <v>0.57363861400000005</v>
          </cell>
          <cell r="W1411">
            <v>1.8759900999999999E-2</v>
          </cell>
          <cell r="X1411">
            <v>0.117675743</v>
          </cell>
          <cell r="Y1411">
            <v>8.9962252000000006E-2</v>
          </cell>
          <cell r="Z1411">
            <v>0.19996348999999999</v>
          </cell>
          <cell r="AB1411" t="str">
            <v>2018CT</v>
          </cell>
          <cell r="AC1411">
            <v>0</v>
          </cell>
          <cell r="AD1411">
            <v>0</v>
          </cell>
          <cell r="AE1411">
            <v>0.05</v>
          </cell>
          <cell r="AF1411">
            <v>0.95</v>
          </cell>
        </row>
        <row r="1412">
          <cell r="B1412" t="str">
            <v>2018DE</v>
          </cell>
          <cell r="C1412">
            <v>0.10201653895343663</v>
          </cell>
          <cell r="D1412">
            <v>0.1910091905838856</v>
          </cell>
          <cell r="E1412">
            <v>0.43707162937473454</v>
          </cell>
          <cell r="F1412">
            <v>0.18637975788177577</v>
          </cell>
          <cell r="G1412">
            <v>5.9883562349419175E-2</v>
          </cell>
          <cell r="H1412">
            <v>2.3639320856748244E-2</v>
          </cell>
          <cell r="J1412" t="str">
            <v>2018DE</v>
          </cell>
          <cell r="K1412">
            <v>0.50304480899999993</v>
          </cell>
          <cell r="L1412">
            <v>5.9883562000000001E-2</v>
          </cell>
          <cell r="M1412">
            <v>0.43707162900000002</v>
          </cell>
          <cell r="U1412" t="str">
            <v>2018DE</v>
          </cell>
          <cell r="V1412">
            <v>0.120253529</v>
          </cell>
          <cell r="W1412">
            <v>4.1631153999999997E-2</v>
          </cell>
          <cell r="X1412">
            <v>0.23964419100000001</v>
          </cell>
          <cell r="Y1412">
            <v>0.17588547500000001</v>
          </cell>
          <cell r="Z1412">
            <v>0.42258565100000001</v>
          </cell>
          <cell r="AB1412" t="str">
            <v>2018DE</v>
          </cell>
          <cell r="AC1412">
            <v>0</v>
          </cell>
          <cell r="AD1412">
            <v>0</v>
          </cell>
          <cell r="AE1412">
            <v>0.05</v>
          </cell>
          <cell r="AF1412">
            <v>0.95</v>
          </cell>
        </row>
        <row r="1413">
          <cell r="B1413" t="str">
            <v>2018FL</v>
          </cell>
          <cell r="C1413">
            <v>0.38654865924430459</v>
          </cell>
          <cell r="D1413">
            <v>0.14503983167997814</v>
          </cell>
          <cell r="E1413">
            <v>0.21616400084919535</v>
          </cell>
          <cell r="F1413">
            <v>7.8997496757044303E-2</v>
          </cell>
          <cell r="G1413">
            <v>0.17198217725399226</v>
          </cell>
          <cell r="H1413">
            <v>1.2678342154852779E-3</v>
          </cell>
          <cell r="J1413" t="str">
            <v>2018FL</v>
          </cell>
          <cell r="K1413">
            <v>0.61185382200000005</v>
          </cell>
          <cell r="L1413">
            <v>0.17198217700000001</v>
          </cell>
          <cell r="M1413">
            <v>0.21616400099999999</v>
          </cell>
          <cell r="U1413" t="str">
            <v>2018FL</v>
          </cell>
          <cell r="V1413">
            <v>0.71166924399999998</v>
          </cell>
          <cell r="W1413">
            <v>1.2686553E-2</v>
          </cell>
          <cell r="X1413">
            <v>7.9579288999999998E-2</v>
          </cell>
          <cell r="Y1413">
            <v>6.0837789000000003E-2</v>
          </cell>
          <cell r="Z1413">
            <v>0.135227124</v>
          </cell>
          <cell r="AB1413" t="str">
            <v>2018FL</v>
          </cell>
          <cell r="AC1413">
            <v>0</v>
          </cell>
          <cell r="AD1413">
            <v>0</v>
          </cell>
          <cell r="AE1413">
            <v>0.41899999999999998</v>
          </cell>
          <cell r="AF1413">
            <v>0.58099999999999996</v>
          </cell>
        </row>
        <row r="1414">
          <cell r="B1414" t="str">
            <v>2018GA</v>
          </cell>
          <cell r="C1414">
            <v>0.20823216155586291</v>
          </cell>
          <cell r="D1414">
            <v>0.11033206176717186</v>
          </cell>
          <cell r="E1414">
            <v>0.17733204084631207</v>
          </cell>
          <cell r="F1414">
            <v>9.7862793659120595E-2</v>
          </cell>
          <cell r="G1414">
            <v>0.40234468997942996</v>
          </cell>
          <cell r="H1414">
            <v>3.8962521921025758E-3</v>
          </cell>
          <cell r="J1414" t="str">
            <v>2018GA</v>
          </cell>
          <cell r="K1414">
            <v>0.42032326900000005</v>
          </cell>
          <cell r="L1414">
            <v>0.40234469</v>
          </cell>
          <cell r="M1414">
            <v>0.177332041</v>
          </cell>
          <cell r="U1414" t="str">
            <v>2018GA</v>
          </cell>
          <cell r="V1414">
            <v>7.8133266000000007E-2</v>
          </cell>
          <cell r="W1414">
            <v>3.5587817000000001E-2</v>
          </cell>
          <cell r="X1414">
            <v>9.7388838000000005E-2</v>
          </cell>
          <cell r="Y1414">
            <v>0.46952270200000001</v>
          </cell>
          <cell r="Z1414">
            <v>0.31936737799999998</v>
          </cell>
          <cell r="AB1414" t="str">
            <v>2018GA</v>
          </cell>
          <cell r="AC1414">
            <v>0</v>
          </cell>
          <cell r="AD1414">
            <v>0</v>
          </cell>
          <cell r="AE1414">
            <v>0.41899999999999998</v>
          </cell>
          <cell r="AF1414">
            <v>0.58099999999999996</v>
          </cell>
        </row>
        <row r="1415">
          <cell r="B1415" t="str">
            <v>2018HI</v>
          </cell>
          <cell r="C1415">
            <v>0.67137224197860923</v>
          </cell>
          <cell r="D1415">
            <v>0.21100034068527662</v>
          </cell>
          <cell r="E1415">
            <v>0</v>
          </cell>
          <cell r="F1415">
            <v>0.10820426646618357</v>
          </cell>
          <cell r="G1415">
            <v>7.5112148308577572E-3</v>
          </cell>
          <cell r="H1415">
            <v>1.9119360390725836E-3</v>
          </cell>
          <cell r="J1415" t="str">
            <v>2018HI</v>
          </cell>
          <cell r="K1415">
            <v>0.99248878500000004</v>
          </cell>
          <cell r="L1415">
            <v>7.5112149999999999E-3</v>
          </cell>
          <cell r="M1415">
            <v>0</v>
          </cell>
          <cell r="U1415" t="str">
            <v>2018HI</v>
          </cell>
          <cell r="V1415">
            <v>0.23216878499999999</v>
          </cell>
          <cell r="W1415">
            <v>3.2904865999999998E-2</v>
          </cell>
          <cell r="X1415">
            <v>0.18414778700000001</v>
          </cell>
          <cell r="Y1415">
            <v>0.21064765399999999</v>
          </cell>
          <cell r="Z1415">
            <v>0.34013090899999998</v>
          </cell>
          <cell r="AB1415" t="str">
            <v>2018HI</v>
          </cell>
          <cell r="AC1415">
            <v>0</v>
          </cell>
          <cell r="AD1415">
            <v>0</v>
          </cell>
          <cell r="AE1415">
            <v>0.25</v>
          </cell>
          <cell r="AF1415">
            <v>0.75</v>
          </cell>
        </row>
        <row r="1416">
          <cell r="B1416" t="str">
            <v>2018ID</v>
          </cell>
          <cell r="C1416">
            <v>0.62850843440764703</v>
          </cell>
          <cell r="D1416">
            <v>0.2329683972033782</v>
          </cell>
          <cell r="E1416">
            <v>6.4436683947772669E-3</v>
          </cell>
          <cell r="F1416">
            <v>0.11961222721284216</v>
          </cell>
          <cell r="G1416">
            <v>3.8149081541218642E-3</v>
          </cell>
          <cell r="H1416">
            <v>8.6523646272333287E-3</v>
          </cell>
          <cell r="J1416" t="str">
            <v>2018ID</v>
          </cell>
          <cell r="K1416">
            <v>0.98974142399999998</v>
          </cell>
          <cell r="L1416">
            <v>3.8149080000000001E-3</v>
          </cell>
          <cell r="M1416">
            <v>6.4436679999999996E-3</v>
          </cell>
          <cell r="U1416" t="str">
            <v>2018ID</v>
          </cell>
          <cell r="V1416">
            <v>0.460837895</v>
          </cell>
          <cell r="W1416">
            <v>2.6974237000000002E-2</v>
          </cell>
          <cell r="X1416">
            <v>0.14528671200000001</v>
          </cell>
          <cell r="Y1416">
            <v>0.102926191</v>
          </cell>
          <cell r="Z1416">
            <v>0.26397496599999998</v>
          </cell>
          <cell r="AB1416" t="str">
            <v>2018ID</v>
          </cell>
          <cell r="AC1416">
            <v>0</v>
          </cell>
          <cell r="AD1416">
            <v>0</v>
          </cell>
          <cell r="AE1416">
            <v>0.6</v>
          </cell>
          <cell r="AF1416">
            <v>0.4</v>
          </cell>
        </row>
        <row r="1417">
          <cell r="B1417" t="str">
            <v>2018IL</v>
          </cell>
          <cell r="C1417">
            <v>0.13175283144497188</v>
          </cell>
          <cell r="D1417">
            <v>0.26046159534668961</v>
          </cell>
          <cell r="E1417">
            <v>8.1383349234931596E-2</v>
          </cell>
          <cell r="F1417">
            <v>0.43207247933210829</v>
          </cell>
          <cell r="G1417">
            <v>4.8182181885357514E-2</v>
          </cell>
          <cell r="H1417">
            <v>4.6147562755941125E-2</v>
          </cell>
          <cell r="J1417" t="str">
            <v>2018IL</v>
          </cell>
          <cell r="K1417">
            <v>0.87043446899999999</v>
          </cell>
          <cell r="L1417">
            <v>4.8182181999999997E-2</v>
          </cell>
          <cell r="M1417">
            <v>8.1383348999999994E-2</v>
          </cell>
          <cell r="U1417" t="str">
            <v>2018IL</v>
          </cell>
          <cell r="V1417">
            <v>2.0186552999999999E-2</v>
          </cell>
          <cell r="W1417">
            <v>4.5739502000000001E-2</v>
          </cell>
          <cell r="X1417">
            <v>0.28028242399999997</v>
          </cell>
          <cell r="Y1417">
            <v>0.149587944</v>
          </cell>
          <cell r="Z1417">
            <v>0.50420357699999996</v>
          </cell>
          <cell r="AB1417" t="str">
            <v>2018IL</v>
          </cell>
          <cell r="AC1417">
            <v>0</v>
          </cell>
          <cell r="AD1417">
            <v>0</v>
          </cell>
          <cell r="AE1417">
            <v>0.02</v>
          </cell>
          <cell r="AF1417">
            <v>0.98</v>
          </cell>
        </row>
        <row r="1418">
          <cell r="B1418" t="str">
            <v>2018IN</v>
          </cell>
          <cell r="C1418">
            <v>0.16189917384296076</v>
          </cell>
          <cell r="D1418">
            <v>0.24163212738244233</v>
          </cell>
          <cell r="E1418">
            <v>0.13392208737361183</v>
          </cell>
          <cell r="F1418">
            <v>0.3491044693998876</v>
          </cell>
          <cell r="G1418">
            <v>7.9287205957511472E-2</v>
          </cell>
          <cell r="H1418">
            <v>3.4154936043586021E-2</v>
          </cell>
          <cell r="J1418" t="str">
            <v>2018IN</v>
          </cell>
          <cell r="K1418">
            <v>0.78679070699999998</v>
          </cell>
          <cell r="L1418">
            <v>7.9287205999999999E-2</v>
          </cell>
          <cell r="M1418">
            <v>0.133922087</v>
          </cell>
          <cell r="U1418" t="str">
            <v>2018IN</v>
          </cell>
          <cell r="V1418">
            <v>2.5489210000000002E-2</v>
          </cell>
          <cell r="W1418">
            <v>4.5536079E-2</v>
          </cell>
          <cell r="X1418">
            <v>0.27893099599999999</v>
          </cell>
          <cell r="Y1418">
            <v>0.14781887399999999</v>
          </cell>
          <cell r="Z1418">
            <v>0.50222484099999998</v>
          </cell>
          <cell r="AB1418" t="str">
            <v>2018IN</v>
          </cell>
          <cell r="AC1418">
            <v>0</v>
          </cell>
          <cell r="AD1418">
            <v>0</v>
          </cell>
          <cell r="AE1418">
            <v>0</v>
          </cell>
          <cell r="AF1418">
            <v>1</v>
          </cell>
        </row>
        <row r="1419">
          <cell r="B1419" t="str">
            <v>2018IA</v>
          </cell>
          <cell r="C1419">
            <v>0.13792614664225575</v>
          </cell>
          <cell r="D1419">
            <v>0.25047757969635848</v>
          </cell>
          <cell r="E1419">
            <v>0.10477197231415941</v>
          </cell>
          <cell r="F1419">
            <v>0.40507493125352922</v>
          </cell>
          <cell r="G1419">
            <v>6.2029177638731184E-2</v>
          </cell>
          <cell r="H1419">
            <v>3.9720192454965969E-2</v>
          </cell>
          <cell r="J1419" t="str">
            <v>2018IA</v>
          </cell>
          <cell r="K1419">
            <v>0.83319885000000005</v>
          </cell>
          <cell r="L1419">
            <v>6.2029177999999997E-2</v>
          </cell>
          <cell r="M1419">
            <v>0.104771972</v>
          </cell>
          <cell r="U1419" t="str">
            <v>2018IA</v>
          </cell>
          <cell r="V1419">
            <v>9.6502570000000006E-3</v>
          </cell>
          <cell r="W1419">
            <v>3.8739974000000003E-2</v>
          </cell>
          <cell r="X1419">
            <v>0.12067557499999999</v>
          </cell>
          <cell r="Y1419">
            <v>0.47629315999999999</v>
          </cell>
          <cell r="Z1419">
            <v>0.35464103499999999</v>
          </cell>
          <cell r="AB1419" t="str">
            <v>2018IA</v>
          </cell>
          <cell r="AC1419">
            <v>0</v>
          </cell>
          <cell r="AD1419">
            <v>0</v>
          </cell>
          <cell r="AE1419">
            <v>0</v>
          </cell>
          <cell r="AF1419">
            <v>1</v>
          </cell>
        </row>
        <row r="1420">
          <cell r="B1420" t="str">
            <v>2018KS</v>
          </cell>
          <cell r="C1420">
            <v>0.28758404285910905</v>
          </cell>
          <cell r="D1420">
            <v>0.32607606753917184</v>
          </cell>
          <cell r="E1420">
            <v>5.1050547933917619E-2</v>
          </cell>
          <cell r="F1420">
            <v>0.27762124338847843</v>
          </cell>
          <cell r="G1420">
            <v>3.0223956239483565E-2</v>
          </cell>
          <cell r="H1420">
            <v>2.7444142039839463E-2</v>
          </cell>
          <cell r="J1420" t="str">
            <v>2018KS</v>
          </cell>
          <cell r="K1420">
            <v>0.91872549599999997</v>
          </cell>
          <cell r="L1420">
            <v>3.0223956E-2</v>
          </cell>
          <cell r="M1420">
            <v>5.1050548000000001E-2</v>
          </cell>
          <cell r="U1420" t="str">
            <v>2018KS</v>
          </cell>
          <cell r="V1420">
            <v>2.3647662E-2</v>
          </cell>
          <cell r="W1420">
            <v>4.6272377000000003E-2</v>
          </cell>
          <cell r="X1420">
            <v>0.28189652199999998</v>
          </cell>
          <cell r="Y1420">
            <v>0.13395533500000001</v>
          </cell>
          <cell r="Z1420">
            <v>0.51422810299999999</v>
          </cell>
          <cell r="AB1420" t="str">
            <v>2018KS</v>
          </cell>
          <cell r="AC1420">
            <v>0</v>
          </cell>
          <cell r="AD1420">
            <v>0</v>
          </cell>
          <cell r="AE1420">
            <v>0.02</v>
          </cell>
          <cell r="AF1420">
            <v>0.98</v>
          </cell>
        </row>
        <row r="1421">
          <cell r="B1421" t="str">
            <v>2018KY</v>
          </cell>
          <cell r="C1421">
            <v>2.3305602928070858E-2</v>
          </cell>
          <cell r="D1421">
            <v>6.2885861766289422E-2</v>
          </cell>
          <cell r="E1421">
            <v>0.14165738300711325</v>
          </cell>
          <cell r="F1421">
            <v>0.14315421990856123</v>
          </cell>
          <cell r="G1421">
            <v>0.61397716539009373</v>
          </cell>
          <cell r="H1421">
            <v>1.5019766999871505E-2</v>
          </cell>
          <cell r="J1421" t="str">
            <v>2018KY</v>
          </cell>
          <cell r="K1421">
            <v>0.24436545200000004</v>
          </cell>
          <cell r="L1421">
            <v>0.61397716499999999</v>
          </cell>
          <cell r="M1421">
            <v>0.141657383</v>
          </cell>
          <cell r="U1421" t="str">
            <v>2018KY</v>
          </cell>
          <cell r="V1421">
            <v>4.9184704000000003E-2</v>
          </cell>
          <cell r="W1421">
            <v>3.7321891000000003E-2</v>
          </cell>
          <cell r="X1421">
            <v>0.11991215400000001</v>
          </cell>
          <cell r="Y1421">
            <v>0.45018075899999999</v>
          </cell>
          <cell r="Z1421">
            <v>0.34340049099999997</v>
          </cell>
          <cell r="AB1421" t="str">
            <v>2018KY</v>
          </cell>
          <cell r="AC1421">
            <v>0</v>
          </cell>
          <cell r="AD1421">
            <v>0</v>
          </cell>
          <cell r="AE1421">
            <v>0.05</v>
          </cell>
          <cell r="AF1421">
            <v>0.95</v>
          </cell>
        </row>
        <row r="1422">
          <cell r="B1422" t="str">
            <v>2018LA</v>
          </cell>
          <cell r="C1422">
            <v>8.7696493950327165E-2</v>
          </cell>
          <cell r="D1422">
            <v>6.4637521135916851E-2</v>
          </cell>
          <cell r="E1422">
            <v>0.14461730665558523</v>
          </cell>
          <cell r="F1422">
            <v>0.10160244529023774</v>
          </cell>
          <cell r="G1422">
            <v>0.59641803499629376</v>
          </cell>
          <cell r="H1422">
            <v>5.0281979716392446E-3</v>
          </cell>
          <cell r="J1422" t="str">
            <v>2018LA</v>
          </cell>
          <cell r="K1422">
            <v>0.25896465800000001</v>
          </cell>
          <cell r="L1422">
            <v>0.59641803500000001</v>
          </cell>
          <cell r="M1422">
            <v>0.144617307</v>
          </cell>
          <cell r="U1422" t="str">
            <v>2018LA</v>
          </cell>
          <cell r="V1422">
            <v>0.53551704700000002</v>
          </cell>
          <cell r="W1422">
            <v>2.0437250000000001E-2</v>
          </cell>
          <cell r="X1422">
            <v>0.12819729499999999</v>
          </cell>
          <cell r="Y1422">
            <v>9.8005903000000005E-2</v>
          </cell>
          <cell r="Z1422">
            <v>0.21784250499999999</v>
          </cell>
          <cell r="AB1422" t="str">
            <v>2018LA</v>
          </cell>
          <cell r="AC1422">
            <v>0</v>
          </cell>
          <cell r="AD1422">
            <v>0</v>
          </cell>
          <cell r="AE1422">
            <v>0.6</v>
          </cell>
          <cell r="AF1422">
            <v>0.4</v>
          </cell>
        </row>
        <row r="1423">
          <cell r="B1423" t="str">
            <v>2018ME</v>
          </cell>
          <cell r="C1423">
            <v>9.3713015315557757E-2</v>
          </cell>
          <cell r="D1423">
            <v>0.17210096338216258</v>
          </cell>
          <cell r="E1423">
            <v>0.44837154081607639</v>
          </cell>
          <cell r="F1423">
            <v>0.19633313267932656</v>
          </cell>
          <cell r="G1423">
            <v>7.0076626899074845E-2</v>
          </cell>
          <cell r="H1423">
            <v>1.9404720907801824E-2</v>
          </cell>
          <cell r="J1423" t="str">
            <v>2018ME</v>
          </cell>
          <cell r="K1423">
            <v>0.48155183200000007</v>
          </cell>
          <cell r="L1423">
            <v>7.0076627000000002E-2</v>
          </cell>
          <cell r="M1423">
            <v>0.44837154099999998</v>
          </cell>
          <cell r="U1423" t="str">
            <v>2018ME</v>
          </cell>
          <cell r="V1423">
            <v>0.72920202000000001</v>
          </cell>
          <cell r="W1423">
            <v>1.1915111000000001E-2</v>
          </cell>
          <cell r="X1423">
            <v>7.4740241999999998E-2</v>
          </cell>
          <cell r="Y1423">
            <v>5.7138373999999999E-2</v>
          </cell>
          <cell r="Z1423">
            <v>0.12700425300000001</v>
          </cell>
          <cell r="AB1423" t="str">
            <v>2018ME</v>
          </cell>
          <cell r="AC1423">
            <v>0</v>
          </cell>
          <cell r="AD1423">
            <v>0</v>
          </cell>
          <cell r="AE1423">
            <v>0.05</v>
          </cell>
          <cell r="AF1423">
            <v>0.95</v>
          </cell>
        </row>
        <row r="1424">
          <cell r="B1424" t="str">
            <v>2018MD</v>
          </cell>
          <cell r="C1424">
            <v>7.6488535055593554E-2</v>
          </cell>
          <cell r="D1424">
            <v>0.15472472257238745</v>
          </cell>
          <cell r="E1424">
            <v>0.44380834258126728</v>
          </cell>
          <cell r="F1424">
            <v>0.22861605738914034</v>
          </cell>
          <cell r="G1424">
            <v>6.5960402236453913E-2</v>
          </cell>
          <cell r="H1424">
            <v>3.0401940165157418E-2</v>
          </cell>
          <cell r="J1424" t="str">
            <v>2018MD</v>
          </cell>
          <cell r="K1424">
            <v>0.49023125499999998</v>
          </cell>
          <cell r="L1424">
            <v>6.5960402000000001E-2</v>
          </cell>
          <cell r="M1424">
            <v>0.44380834299999999</v>
          </cell>
          <cell r="U1424" t="str">
            <v>2018MD</v>
          </cell>
          <cell r="V1424">
            <v>0.21140679400000001</v>
          </cell>
          <cell r="W1424">
            <v>3.7602905999999998E-2</v>
          </cell>
          <cell r="X1424">
            <v>0.214504853</v>
          </cell>
          <cell r="Y1424">
            <v>0.15671048400000001</v>
          </cell>
          <cell r="Z1424">
            <v>0.37977496300000002</v>
          </cell>
          <cell r="AB1424" t="str">
            <v>2018MD</v>
          </cell>
          <cell r="AC1424">
            <v>0</v>
          </cell>
          <cell r="AD1424">
            <v>0</v>
          </cell>
          <cell r="AE1424">
            <v>0.05</v>
          </cell>
          <cell r="AF1424">
            <v>0.95</v>
          </cell>
        </row>
        <row r="1425">
          <cell r="B1425" t="str">
            <v>2018MA</v>
          </cell>
          <cell r="C1425">
            <v>6.1305440163427552E-2</v>
          </cell>
          <cell r="D1425">
            <v>0.14874705508142777</v>
          </cell>
          <cell r="E1425">
            <v>0.45216403673004657</v>
          </cell>
          <cell r="F1425">
            <v>0.23617268276189021</v>
          </cell>
          <cell r="G1425">
            <v>7.3497640935872632E-2</v>
          </cell>
          <cell r="H1425">
            <v>2.8113144327335336E-2</v>
          </cell>
          <cell r="J1425" t="str">
            <v>2018MA</v>
          </cell>
          <cell r="K1425">
            <v>0.47433832199999992</v>
          </cell>
          <cell r="L1425">
            <v>7.3497641000000002E-2</v>
          </cell>
          <cell r="M1425">
            <v>0.45216403700000002</v>
          </cell>
          <cell r="U1425" t="str">
            <v>2018MA</v>
          </cell>
          <cell r="V1425">
            <v>0.31419575799999999</v>
          </cell>
          <cell r="W1425">
            <v>3.0175387000000001E-2</v>
          </cell>
          <cell r="X1425">
            <v>0.18928197099999999</v>
          </cell>
          <cell r="Y1425">
            <v>0.14470469499999999</v>
          </cell>
          <cell r="Z1425">
            <v>0.32164218900000002</v>
          </cell>
          <cell r="AB1425" t="str">
            <v>2018MA</v>
          </cell>
          <cell r="AC1425">
            <v>0</v>
          </cell>
          <cell r="AD1425">
            <v>0</v>
          </cell>
          <cell r="AE1425">
            <v>0.05</v>
          </cell>
          <cell r="AF1425">
            <v>0.95</v>
          </cell>
        </row>
        <row r="1426">
          <cell r="B1426" t="str">
            <v>2018MI</v>
          </cell>
          <cell r="C1426">
            <v>0.21592740095911189</v>
          </cell>
          <cell r="D1426">
            <v>0.33044604004991018</v>
          </cell>
          <cell r="E1426">
            <v>5.8998863632555826E-2</v>
          </cell>
          <cell r="F1426">
            <v>0.32074430847532459</v>
          </cell>
          <cell r="G1426">
            <v>3.4929675483950956E-2</v>
          </cell>
          <cell r="H1426">
            <v>3.8953711399146676E-2</v>
          </cell>
          <cell r="J1426" t="str">
            <v>2018MI</v>
          </cell>
          <cell r="K1426">
            <v>0.90607146100000002</v>
          </cell>
          <cell r="L1426">
            <v>3.4929675E-2</v>
          </cell>
          <cell r="M1426">
            <v>5.8998863999999998E-2</v>
          </cell>
          <cell r="U1426" t="str">
            <v>2018MI</v>
          </cell>
          <cell r="V1426">
            <v>4.5127237000000001E-2</v>
          </cell>
          <cell r="W1426">
            <v>5.0500046999999999E-2</v>
          </cell>
          <cell r="X1426">
            <v>0.254352099</v>
          </cell>
          <cell r="Y1426">
            <v>0.17319266699999999</v>
          </cell>
          <cell r="Z1426">
            <v>0.47682794899999997</v>
          </cell>
          <cell r="AB1426" t="str">
            <v>2018MI</v>
          </cell>
          <cell r="AC1426">
            <v>0</v>
          </cell>
          <cell r="AD1426">
            <v>0</v>
          </cell>
          <cell r="AE1426">
            <v>0.02</v>
          </cell>
          <cell r="AF1426">
            <v>0.98</v>
          </cell>
        </row>
        <row r="1427">
          <cell r="B1427" t="str">
            <v>2018MN</v>
          </cell>
          <cell r="C1427">
            <v>0.11559741536790068</v>
          </cell>
          <cell r="D1427">
            <v>0.23915415867765383</v>
          </cell>
          <cell r="E1427">
            <v>0.10052931481156221</v>
          </cell>
          <cell r="F1427">
            <v>0.43822851849088174</v>
          </cell>
          <cell r="G1427">
            <v>5.9517355535203494E-2</v>
          </cell>
          <cell r="H1427">
            <v>4.697323711679801E-2</v>
          </cell>
          <cell r="J1427" t="str">
            <v>2018MN</v>
          </cell>
          <cell r="K1427">
            <v>0.83995332899999997</v>
          </cell>
          <cell r="L1427">
            <v>5.9517356E-2</v>
          </cell>
          <cell r="M1427">
            <v>0.10052931499999999</v>
          </cell>
          <cell r="U1427" t="str">
            <v>2018MN</v>
          </cell>
          <cell r="V1427">
            <v>1.5145339000000001E-2</v>
          </cell>
          <cell r="W1427">
            <v>5.1986831999999997E-2</v>
          </cell>
          <cell r="X1427">
            <v>0.262445557</v>
          </cell>
          <cell r="Y1427">
            <v>0.17896024199999999</v>
          </cell>
          <cell r="Z1427">
            <v>0.49146202900000002</v>
          </cell>
          <cell r="AB1427" t="str">
            <v>2018MN</v>
          </cell>
          <cell r="AC1427">
            <v>0</v>
          </cell>
          <cell r="AD1427">
            <v>0</v>
          </cell>
          <cell r="AE1427">
            <v>0</v>
          </cell>
          <cell r="AF1427">
            <v>1</v>
          </cell>
        </row>
        <row r="1428">
          <cell r="B1428" t="str">
            <v>2018MS</v>
          </cell>
          <cell r="C1428">
            <v>0.10416334210611014</v>
          </cell>
          <cell r="D1428">
            <v>7.2829933678422776E-2</v>
          </cell>
          <cell r="E1428">
            <v>0.14929269604113307</v>
          </cell>
          <cell r="F1428">
            <v>0.10019278631941281</v>
          </cell>
          <cell r="G1428">
            <v>0.56868226150598644</v>
          </cell>
          <cell r="H1428">
            <v>4.838980348934833E-3</v>
          </cell>
          <cell r="J1428" t="str">
            <v>2018MS</v>
          </cell>
          <cell r="K1428">
            <v>0.28202504199999989</v>
          </cell>
          <cell r="L1428">
            <v>0.56868226200000005</v>
          </cell>
          <cell r="M1428">
            <v>0.149292696</v>
          </cell>
          <cell r="U1428" t="str">
            <v>2018MS</v>
          </cell>
          <cell r="V1428">
            <v>2.1100625000000001E-2</v>
          </cell>
          <cell r="W1428">
            <v>3.6418512E-2</v>
          </cell>
          <cell r="X1428">
            <v>6.0129593000000002E-2</v>
          </cell>
          <cell r="Y1428">
            <v>0.574366987</v>
          </cell>
          <cell r="Z1428">
            <v>0.30798428300000003</v>
          </cell>
          <cell r="AB1428" t="str">
            <v>2018MS</v>
          </cell>
          <cell r="AC1428">
            <v>0</v>
          </cell>
          <cell r="AD1428">
            <v>0</v>
          </cell>
          <cell r="AE1428">
            <v>0.6</v>
          </cell>
          <cell r="AF1428">
            <v>0.4</v>
          </cell>
        </row>
        <row r="1429">
          <cell r="B1429" t="str">
            <v>2018MO</v>
          </cell>
          <cell r="C1429">
            <v>6.4925479522277466E-2</v>
          </cell>
          <cell r="D1429">
            <v>0.18170303563698134</v>
          </cell>
          <cell r="E1429">
            <v>0.14337282997597614</v>
          </cell>
          <cell r="F1429">
            <v>0.47880340852502545</v>
          </cell>
          <cell r="G1429">
            <v>8.4882421727070459E-2</v>
          </cell>
          <cell r="H1429">
            <v>4.6312824612669105E-2</v>
          </cell>
          <cell r="J1429" t="str">
            <v>2018MO</v>
          </cell>
          <cell r="K1429">
            <v>0.77174474799999992</v>
          </cell>
          <cell r="L1429">
            <v>8.4882421999999999E-2</v>
          </cell>
          <cell r="M1429">
            <v>0.14337283000000001</v>
          </cell>
          <cell r="U1429" t="str">
            <v>2018MO</v>
          </cell>
          <cell r="V1429">
            <v>2.998994E-2</v>
          </cell>
          <cell r="W1429">
            <v>4.5757142000000001E-2</v>
          </cell>
          <cell r="X1429">
            <v>0.27926039899999999</v>
          </cell>
          <cell r="Y1429">
            <v>0.13775391300000001</v>
          </cell>
          <cell r="Z1429">
            <v>0.50723860600000004</v>
          </cell>
          <cell r="AB1429" t="str">
            <v>2018MO</v>
          </cell>
          <cell r="AC1429">
            <v>0</v>
          </cell>
          <cell r="AD1429">
            <v>0</v>
          </cell>
          <cell r="AE1429">
            <v>0</v>
          </cell>
          <cell r="AF1429">
            <v>1</v>
          </cell>
        </row>
        <row r="1430">
          <cell r="B1430" t="str">
            <v>2018MT</v>
          </cell>
          <cell r="C1430">
            <v>0.35597781750083307</v>
          </cell>
          <cell r="D1430">
            <v>0.25924389885240834</v>
          </cell>
          <cell r="E1430">
            <v>4.3797789125912777E-2</v>
          </cell>
          <cell r="F1430">
            <v>0.25058080537727367</v>
          </cell>
          <cell r="G1430">
            <v>2.5930034358127463E-2</v>
          </cell>
          <cell r="H1430">
            <v>6.4469654785444572E-2</v>
          </cell>
          <cell r="J1430" t="str">
            <v>2018MT</v>
          </cell>
          <cell r="K1430">
            <v>0.93027217699999998</v>
          </cell>
          <cell r="L1430">
            <v>2.5930034000000001E-2</v>
          </cell>
          <cell r="M1430">
            <v>4.3797788999999997E-2</v>
          </cell>
          <cell r="U1430" t="str">
            <v>2018MT</v>
          </cell>
          <cell r="V1430">
            <v>6.0520032000000001E-2</v>
          </cell>
          <cell r="W1430">
            <v>5.1214043000000001E-2</v>
          </cell>
          <cell r="X1430">
            <v>0.24859647000000001</v>
          </cell>
          <cell r="Y1430">
            <v>0.16530719099999999</v>
          </cell>
          <cell r="Z1430">
            <v>0.47436226399999998</v>
          </cell>
          <cell r="AB1430" t="str">
            <v>2018MT</v>
          </cell>
          <cell r="AC1430">
            <v>0</v>
          </cell>
          <cell r="AD1430">
            <v>0</v>
          </cell>
          <cell r="AE1430">
            <v>0.6</v>
          </cell>
          <cell r="AF1430">
            <v>0.4</v>
          </cell>
        </row>
        <row r="1431">
          <cell r="B1431" t="str">
            <v>2018NE</v>
          </cell>
          <cell r="C1431">
            <v>0.21260954807532403</v>
          </cell>
          <cell r="D1431">
            <v>0.30324255962083846</v>
          </cell>
          <cell r="E1431">
            <v>6.1277054134417128E-2</v>
          </cell>
          <cell r="F1431">
            <v>0.34696077142199511</v>
          </cell>
          <cell r="G1431">
            <v>3.6278454935301678E-2</v>
          </cell>
          <cell r="H1431">
            <v>3.9631611812123581E-2</v>
          </cell>
          <cell r="J1431" t="str">
            <v>2018NE</v>
          </cell>
          <cell r="K1431">
            <v>0.90244449100000002</v>
          </cell>
          <cell r="L1431">
            <v>3.6278455000000001E-2</v>
          </cell>
          <cell r="M1431">
            <v>6.1277053999999997E-2</v>
          </cell>
          <cell r="U1431" t="str">
            <v>2018NE</v>
          </cell>
          <cell r="V1431">
            <v>3.0063880000000001E-2</v>
          </cell>
          <cell r="W1431">
            <v>4.5295173000000001E-2</v>
          </cell>
          <cell r="X1431">
            <v>0.27751980599999998</v>
          </cell>
          <cell r="Y1431">
            <v>0.147715386</v>
          </cell>
          <cell r="Z1431">
            <v>0.49940575500000001</v>
          </cell>
          <cell r="AB1431" t="str">
            <v>2018NE</v>
          </cell>
          <cell r="AC1431">
            <v>0</v>
          </cell>
          <cell r="AD1431">
            <v>0</v>
          </cell>
          <cell r="AE1431">
            <v>0.02</v>
          </cell>
          <cell r="AF1431">
            <v>0.98</v>
          </cell>
        </row>
        <row r="1432">
          <cell r="B1432" t="str">
            <v>2018NV</v>
          </cell>
          <cell r="C1432">
            <v>0.64210148526116029</v>
          </cell>
          <cell r="D1432">
            <v>0.238399883587257</v>
          </cell>
          <cell r="E1432">
            <v>4.1594375177217181E-3</v>
          </cell>
          <cell r="F1432">
            <v>0.10819864870890922</v>
          </cell>
          <cell r="G1432">
            <v>2.4625525602432058E-3</v>
          </cell>
          <cell r="H1432">
            <v>4.677992364708553E-3</v>
          </cell>
          <cell r="J1432" t="str">
            <v>2018NV</v>
          </cell>
          <cell r="K1432">
            <v>0.99337800899999995</v>
          </cell>
          <cell r="L1432">
            <v>2.4625530000000001E-3</v>
          </cell>
          <cell r="M1432">
            <v>4.1594379999999997E-3</v>
          </cell>
          <cell r="U1432" t="str">
            <v>2018NV</v>
          </cell>
          <cell r="V1432">
            <v>0.35004114600000003</v>
          </cell>
          <cell r="W1432">
            <v>2.4048478000000002E-2</v>
          </cell>
          <cell r="X1432">
            <v>3.5747737000000002E-2</v>
          </cell>
          <cell r="Y1432">
            <v>0.38867539400000001</v>
          </cell>
          <cell r="Z1432">
            <v>0.20148724500000001</v>
          </cell>
          <cell r="AB1432" t="str">
            <v>2018NV</v>
          </cell>
          <cell r="AC1432">
            <v>0</v>
          </cell>
          <cell r="AD1432">
            <v>0</v>
          </cell>
          <cell r="AE1432">
            <v>0</v>
          </cell>
          <cell r="AF1432">
            <v>1</v>
          </cell>
        </row>
        <row r="1433">
          <cell r="B1433" t="str">
            <v>2018NH</v>
          </cell>
          <cell r="C1433">
            <v>9.4573445198850817E-2</v>
          </cell>
          <cell r="D1433">
            <v>0.16340842518862655</v>
          </cell>
          <cell r="E1433">
            <v>0.44298025846087286</v>
          </cell>
          <cell r="F1433">
            <v>0.20852129702854144</v>
          </cell>
          <cell r="G1433">
            <v>6.52134304627775E-2</v>
          </cell>
          <cell r="H1433">
            <v>2.5303143660330828E-2</v>
          </cell>
          <cell r="J1433" t="str">
            <v>2018NH</v>
          </cell>
          <cell r="K1433">
            <v>0.49180631200000002</v>
          </cell>
          <cell r="L1433">
            <v>6.5213430000000003E-2</v>
          </cell>
          <cell r="M1433">
            <v>0.44298025800000002</v>
          </cell>
          <cell r="U1433" t="str">
            <v>2018NH</v>
          </cell>
          <cell r="V1433">
            <v>0.56759962799999997</v>
          </cell>
          <cell r="W1433">
            <v>1.9025615999999999E-2</v>
          </cell>
          <cell r="X1433">
            <v>0.119342503</v>
          </cell>
          <cell r="Y1433">
            <v>9.1236478999999995E-2</v>
          </cell>
          <cell r="Z1433">
            <v>0.20279577500000001</v>
          </cell>
          <cell r="AB1433" t="str">
            <v>2018NH</v>
          </cell>
          <cell r="AC1433">
            <v>0</v>
          </cell>
          <cell r="AD1433">
            <v>0</v>
          </cell>
          <cell r="AE1433">
            <v>0.05</v>
          </cell>
          <cell r="AF1433">
            <v>0.95</v>
          </cell>
        </row>
        <row r="1434">
          <cell r="B1434" t="str">
            <v>2018NJ</v>
          </cell>
          <cell r="C1434">
            <v>5.8003576611346738E-2</v>
          </cell>
          <cell r="D1434">
            <v>0.13897871355240557</v>
          </cell>
          <cell r="E1434">
            <v>0.45397029129837874</v>
          </cell>
          <cell r="F1434">
            <v>0.24471653627570109</v>
          </cell>
          <cell r="G1434">
            <v>7.5126969581826603E-2</v>
          </cell>
          <cell r="H1434">
            <v>2.9203912680341212E-2</v>
          </cell>
          <cell r="J1434" t="str">
            <v>2018NJ</v>
          </cell>
          <cell r="K1434">
            <v>0.47090273900000001</v>
          </cell>
          <cell r="L1434">
            <v>7.5126970000000001E-2</v>
          </cell>
          <cell r="M1434">
            <v>0.45397029100000003</v>
          </cell>
          <cell r="U1434" t="str">
            <v>2018NJ</v>
          </cell>
          <cell r="V1434">
            <v>0.30808167400000003</v>
          </cell>
          <cell r="W1434">
            <v>3.3011736E-2</v>
          </cell>
          <cell r="X1434">
            <v>0.18818818500000001</v>
          </cell>
          <cell r="Y1434">
            <v>0.137437002</v>
          </cell>
          <cell r="Z1434">
            <v>0.333281404</v>
          </cell>
          <cell r="AB1434" t="str">
            <v>2018NJ</v>
          </cell>
          <cell r="AC1434">
            <v>0</v>
          </cell>
          <cell r="AD1434">
            <v>0</v>
          </cell>
          <cell r="AE1434">
            <v>0.05</v>
          </cell>
          <cell r="AF1434">
            <v>0.95</v>
          </cell>
        </row>
        <row r="1435">
          <cell r="B1435" t="str">
            <v>2018NM</v>
          </cell>
          <cell r="C1435">
            <v>0.61184589317007076</v>
          </cell>
          <cell r="D1435">
            <v>0.19452029294367307</v>
          </cell>
          <cell r="E1435">
            <v>9.8952813124742175E-2</v>
          </cell>
          <cell r="F1435">
            <v>9.4174237847419268E-2</v>
          </cell>
          <cell r="G1435">
            <v>0</v>
          </cell>
          <cell r="H1435">
            <v>5.0676291409465751E-4</v>
          </cell>
          <cell r="J1435" t="str">
            <v>2018NM</v>
          </cell>
          <cell r="K1435">
            <v>0.90104718699999997</v>
          </cell>
          <cell r="L1435">
            <v>0</v>
          </cell>
          <cell r="M1435">
            <v>9.8952813000000001E-2</v>
          </cell>
          <cell r="U1435" t="str">
            <v>2018NM</v>
          </cell>
          <cell r="V1435">
            <v>0.91655606099999998</v>
          </cell>
          <cell r="W1435">
            <v>3.6715329999999998E-3</v>
          </cell>
          <cell r="X1435">
            <v>2.3030526999999999E-2</v>
          </cell>
          <cell r="Y1435">
            <v>1.7606671000000001E-2</v>
          </cell>
          <cell r="Z1435">
            <v>3.9135206999999998E-2</v>
          </cell>
          <cell r="AB1435" t="str">
            <v>2018NM</v>
          </cell>
          <cell r="AC1435">
            <v>0</v>
          </cell>
          <cell r="AD1435">
            <v>0</v>
          </cell>
          <cell r="AE1435">
            <v>0.6</v>
          </cell>
          <cell r="AF1435">
            <v>0.4</v>
          </cell>
        </row>
        <row r="1436">
          <cell r="B1436" t="str">
            <v>2018NY</v>
          </cell>
          <cell r="C1436">
            <v>9.8408703041683282E-2</v>
          </cell>
          <cell r="D1436">
            <v>0.15954377256245178</v>
          </cell>
          <cell r="E1436">
            <v>0.44849165243165579</v>
          </cell>
          <cell r="F1436">
            <v>0.20287733376538455</v>
          </cell>
          <cell r="G1436">
            <v>7.0184973363303343E-2</v>
          </cell>
          <cell r="H1436">
            <v>2.0493564835521279E-2</v>
          </cell>
          <cell r="J1436" t="str">
            <v>2018NY</v>
          </cell>
          <cell r="K1436">
            <v>0.481323375</v>
          </cell>
          <cell r="L1436">
            <v>7.0184972999999998E-2</v>
          </cell>
          <cell r="M1436">
            <v>0.44849165200000002</v>
          </cell>
          <cell r="U1436" t="str">
            <v>2018NY</v>
          </cell>
          <cell r="V1436">
            <v>0.20441514899999999</v>
          </cell>
          <cell r="W1436">
            <v>4.1815811000000001E-2</v>
          </cell>
          <cell r="X1436">
            <v>0.21220383400000001</v>
          </cell>
          <cell r="Y1436">
            <v>0.145168144</v>
          </cell>
          <cell r="Z1436">
            <v>0.396397061</v>
          </cell>
          <cell r="AB1436" t="str">
            <v>2018NY</v>
          </cell>
          <cell r="AC1436">
            <v>0</v>
          </cell>
          <cell r="AD1436">
            <v>0</v>
          </cell>
          <cell r="AE1436">
            <v>0.05</v>
          </cell>
          <cell r="AF1436">
            <v>0.95</v>
          </cell>
        </row>
        <row r="1437">
          <cell r="B1437" t="str">
            <v>2018NC</v>
          </cell>
          <cell r="C1437">
            <v>6.168821577504751E-2</v>
          </cell>
          <cell r="D1437">
            <v>0.11278426418396881</v>
          </cell>
          <cell r="E1437">
            <v>0.15395779991170949</v>
          </cell>
          <cell r="F1437">
            <v>0.11589101949636353</v>
          </cell>
          <cell r="G1437">
            <v>0.54100750469043157</v>
          </cell>
          <cell r="H1437">
            <v>1.4671195942479084E-2</v>
          </cell>
          <cell r="J1437" t="str">
            <v>2018NC</v>
          </cell>
          <cell r="K1437">
            <v>0.30503469499999991</v>
          </cell>
          <cell r="L1437">
            <v>0.54100750500000006</v>
          </cell>
          <cell r="M1437">
            <v>0.15395780000000001</v>
          </cell>
          <cell r="U1437" t="str">
            <v>2018NC</v>
          </cell>
          <cell r="V1437">
            <v>2.4742549999999999E-3</v>
          </cell>
          <cell r="W1437">
            <v>3.7123251000000003E-2</v>
          </cell>
          <cell r="X1437">
            <v>6.1645423999999997E-2</v>
          </cell>
          <cell r="Y1437">
            <v>0.58464508599999998</v>
          </cell>
          <cell r="Z1437">
            <v>0.31411198400000001</v>
          </cell>
          <cell r="AB1437" t="str">
            <v>2018NC</v>
          </cell>
          <cell r="AC1437">
            <v>0</v>
          </cell>
          <cell r="AD1437">
            <v>0</v>
          </cell>
          <cell r="AE1437">
            <v>0.41899999999999998</v>
          </cell>
          <cell r="AF1437">
            <v>0.58099999999999996</v>
          </cell>
        </row>
        <row r="1438">
          <cell r="B1438" t="str">
            <v>2018ND</v>
          </cell>
          <cell r="C1438">
            <v>0.1196932700797023</v>
          </cell>
          <cell r="D1438">
            <v>0.21866711268457967</v>
          </cell>
          <cell r="E1438">
            <v>0.10978970169096619</v>
          </cell>
          <cell r="F1438">
            <v>0.448028418369537</v>
          </cell>
          <cell r="G1438">
            <v>6.499987314042277E-2</v>
          </cell>
          <cell r="H1438">
            <v>3.8821624034792085E-2</v>
          </cell>
          <cell r="J1438" t="str">
            <v>2018ND</v>
          </cell>
          <cell r="K1438">
            <v>0.82521042499999997</v>
          </cell>
          <cell r="L1438">
            <v>6.4999873E-2</v>
          </cell>
          <cell r="M1438">
            <v>0.109789702</v>
          </cell>
          <cell r="U1438" t="str">
            <v>2018ND</v>
          </cell>
          <cell r="V1438">
            <v>8.8434773999999994E-2</v>
          </cell>
          <cell r="W1438">
            <v>4.7868137999999998E-2</v>
          </cell>
          <cell r="X1438">
            <v>0.243186129</v>
          </cell>
          <cell r="Y1438">
            <v>0.16647603599999999</v>
          </cell>
          <cell r="Z1438">
            <v>0.45403492299999998</v>
          </cell>
          <cell r="AB1438" t="str">
            <v>2018ND</v>
          </cell>
          <cell r="AC1438">
            <v>0</v>
          </cell>
          <cell r="AD1438">
            <v>0</v>
          </cell>
          <cell r="AE1438">
            <v>0.02</v>
          </cell>
          <cell r="AF1438">
            <v>0.98</v>
          </cell>
        </row>
        <row r="1439">
          <cell r="B1439" t="str">
            <v>2018OH</v>
          </cell>
          <cell r="C1439">
            <v>0.10753833947858983</v>
          </cell>
          <cell r="D1439">
            <v>0.22522557822049544</v>
          </cell>
          <cell r="E1439">
            <v>0.13589110116557596</v>
          </cell>
          <cell r="F1439">
            <v>0.4097570212201273</v>
          </cell>
          <cell r="G1439">
            <v>8.0452940491062386E-2</v>
          </cell>
          <cell r="H1439">
            <v>4.1135019424149183E-2</v>
          </cell>
          <cell r="J1439" t="str">
            <v>2018OH</v>
          </cell>
          <cell r="K1439">
            <v>0.78365595900000007</v>
          </cell>
          <cell r="L1439">
            <v>8.0452940000000001E-2</v>
          </cell>
          <cell r="M1439">
            <v>0.13589110099999999</v>
          </cell>
          <cell r="U1439" t="str">
            <v>2018OH</v>
          </cell>
          <cell r="V1439">
            <v>6.6338901000000006E-2</v>
          </cell>
          <cell r="W1439">
            <v>4.3119113000000001E-2</v>
          </cell>
          <cell r="X1439">
            <v>0.26533305600000001</v>
          </cell>
          <cell r="Y1439">
            <v>0.15267545299999999</v>
          </cell>
          <cell r="Z1439">
            <v>0.47253347699999998</v>
          </cell>
          <cell r="AB1439" t="str">
            <v>2018OH</v>
          </cell>
          <cell r="AC1439">
            <v>0</v>
          </cell>
          <cell r="AD1439">
            <v>0</v>
          </cell>
          <cell r="AE1439">
            <v>0</v>
          </cell>
          <cell r="AF1439">
            <v>1</v>
          </cell>
        </row>
        <row r="1440">
          <cell r="B1440" t="str">
            <v>2018OK</v>
          </cell>
          <cell r="C1440">
            <v>0.40296958934788546</v>
          </cell>
          <cell r="D1440">
            <v>0.22528492954061258</v>
          </cell>
          <cell r="E1440">
            <v>6.4896255940651446E-2</v>
          </cell>
          <cell r="F1440">
            <v>0.24738177570149189</v>
          </cell>
          <cell r="G1440">
            <v>0</v>
          </cell>
          <cell r="H1440">
            <v>5.9467449469358676E-2</v>
          </cell>
          <cell r="J1440" t="str">
            <v>2018OK</v>
          </cell>
          <cell r="K1440">
            <v>0.93510374399999996</v>
          </cell>
          <cell r="L1440">
            <v>0</v>
          </cell>
          <cell r="M1440">
            <v>6.4896255999999999E-2</v>
          </cell>
          <cell r="U1440" t="str">
            <v>2018OK</v>
          </cell>
          <cell r="V1440">
            <v>1.2831308E-2</v>
          </cell>
          <cell r="W1440">
            <v>3.6793041999999998E-2</v>
          </cell>
          <cell r="X1440">
            <v>6.2749109999999997E-2</v>
          </cell>
          <cell r="Y1440">
            <v>0.57552135800000004</v>
          </cell>
          <cell r="Z1440">
            <v>0.31210518199999998</v>
          </cell>
          <cell r="AB1440" t="str">
            <v>2018OK</v>
          </cell>
          <cell r="AC1440">
            <v>0</v>
          </cell>
          <cell r="AD1440">
            <v>0</v>
          </cell>
          <cell r="AE1440">
            <v>0.6</v>
          </cell>
          <cell r="AF1440">
            <v>0.4</v>
          </cell>
        </row>
        <row r="1441">
          <cell r="B1441" t="str">
            <v>2018OR</v>
          </cell>
          <cell r="C1441">
            <v>0.43856747008812064</v>
          </cell>
          <cell r="D1441">
            <v>0.20958259090942544</v>
          </cell>
          <cell r="E1441">
            <v>0</v>
          </cell>
          <cell r="F1441">
            <v>0.12862948158709187</v>
          </cell>
          <cell r="G1441">
            <v>0.2018533708975031</v>
          </cell>
          <cell r="H1441">
            <v>2.1367086517858933E-2</v>
          </cell>
          <cell r="J1441" t="str">
            <v>2018OR</v>
          </cell>
          <cell r="K1441">
            <v>0.798146629</v>
          </cell>
          <cell r="L1441">
            <v>0.201853371</v>
          </cell>
          <cell r="M1441">
            <v>0</v>
          </cell>
          <cell r="U1441" t="str">
            <v>2018OR</v>
          </cell>
          <cell r="V1441">
            <v>0.57640796000000005</v>
          </cell>
          <cell r="W1441">
            <v>1.863805E-2</v>
          </cell>
          <cell r="X1441">
            <v>0.116911403</v>
          </cell>
          <cell r="Y1441">
            <v>8.937792E-2</v>
          </cell>
          <cell r="Z1441">
            <v>0.19866466699999999</v>
          </cell>
          <cell r="AB1441" t="str">
            <v>2018OR</v>
          </cell>
          <cell r="AC1441">
            <v>0</v>
          </cell>
          <cell r="AD1441">
            <v>0</v>
          </cell>
          <cell r="AE1441">
            <v>0.25</v>
          </cell>
          <cell r="AF1441">
            <v>0.75</v>
          </cell>
        </row>
        <row r="1442">
          <cell r="B1442" t="str">
            <v>2018PA</v>
          </cell>
          <cell r="C1442">
            <v>4.9624045569858895E-2</v>
          </cell>
          <cell r="D1442">
            <v>0.11712497857538914</v>
          </cell>
          <cell r="E1442">
            <v>0.46874549019831585</v>
          </cell>
          <cell r="F1442">
            <v>0.25230966018477574</v>
          </cell>
          <cell r="G1442">
            <v>8.8454910858433447E-2</v>
          </cell>
          <cell r="H1442">
            <v>2.3740914613226898E-2</v>
          </cell>
          <cell r="J1442" t="str">
            <v>2018PA</v>
          </cell>
          <cell r="K1442">
            <v>0.44279959899999999</v>
          </cell>
          <cell r="L1442">
            <v>8.8454910999999997E-2</v>
          </cell>
          <cell r="M1442">
            <v>0.46874548999999999</v>
          </cell>
          <cell r="U1442" t="str">
            <v>2018PA</v>
          </cell>
          <cell r="V1442">
            <v>5.0102499000000002E-2</v>
          </cell>
          <cell r="W1442">
            <v>4.9409870000000002E-2</v>
          </cell>
          <cell r="X1442">
            <v>0.25392279899999998</v>
          </cell>
          <cell r="Y1442">
            <v>0.17504710600000001</v>
          </cell>
          <cell r="Z1442">
            <v>0.47151772600000003</v>
          </cell>
          <cell r="AB1442" t="str">
            <v>2018PA</v>
          </cell>
          <cell r="AC1442">
            <v>0</v>
          </cell>
          <cell r="AD1442">
            <v>0</v>
          </cell>
          <cell r="AE1442">
            <v>0</v>
          </cell>
          <cell r="AF1442">
            <v>1</v>
          </cell>
        </row>
        <row r="1443">
          <cell r="B1443" t="str">
            <v>2018RI</v>
          </cell>
          <cell r="C1443">
            <v>4.2447025005926793E-2</v>
          </cell>
          <cell r="D1443">
            <v>0.1190174947032642</v>
          </cell>
          <cell r="E1443">
            <v>0.46784468707451643</v>
          </cell>
          <cell r="F1443">
            <v>0.25730854976835782</v>
          </cell>
          <cell r="G1443">
            <v>8.7642343040085183E-2</v>
          </cell>
          <cell r="H1443">
            <v>2.5739900407849584E-2</v>
          </cell>
          <cell r="J1443" t="str">
            <v>2018RI</v>
          </cell>
          <cell r="K1443">
            <v>0.44451297000000001</v>
          </cell>
          <cell r="L1443">
            <v>8.7642342999999998E-2</v>
          </cell>
          <cell r="M1443">
            <v>0.46784468699999998</v>
          </cell>
          <cell r="U1443" t="str">
            <v>2018RI</v>
          </cell>
          <cell r="V1443">
            <v>0.56026879500000004</v>
          </cell>
          <cell r="W1443">
            <v>1.9348173E-2</v>
          </cell>
          <cell r="X1443">
            <v>0.121365813</v>
          </cell>
          <cell r="Y1443">
            <v>9.2783283999999994E-2</v>
          </cell>
          <cell r="Z1443">
            <v>0.20623393500000001</v>
          </cell>
          <cell r="AB1443" t="str">
            <v>2018RI</v>
          </cell>
          <cell r="AC1443">
            <v>0</v>
          </cell>
          <cell r="AD1443">
            <v>0</v>
          </cell>
          <cell r="AE1443">
            <v>0.05</v>
          </cell>
          <cell r="AF1443">
            <v>0.95</v>
          </cell>
        </row>
        <row r="1444">
          <cell r="B1444" t="str">
            <v>2018SC</v>
          </cell>
          <cell r="C1444">
            <v>0.13346180610825578</v>
          </cell>
          <cell r="D1444">
            <v>9.0019723091430845E-2</v>
          </cell>
          <cell r="E1444">
            <v>0.15451296947775242</v>
          </cell>
          <cell r="F1444">
            <v>8.0687406490411034E-2</v>
          </cell>
          <cell r="G1444">
            <v>0.53771407690020812</v>
          </cell>
          <cell r="H1444">
            <v>3.6040179319418398E-3</v>
          </cell>
          <cell r="J1444" t="str">
            <v>2018SC</v>
          </cell>
          <cell r="K1444">
            <v>0.30777295400000004</v>
          </cell>
          <cell r="L1444">
            <v>0.53771407699999996</v>
          </cell>
          <cell r="M1444">
            <v>0.154512969</v>
          </cell>
          <cell r="U1444" t="str">
            <v>2018SC</v>
          </cell>
          <cell r="V1444">
            <v>6.1629585000000001E-2</v>
          </cell>
          <cell r="W1444">
            <v>3.5823032999999997E-2</v>
          </cell>
          <cell r="X1444">
            <v>8.6443989999999998E-2</v>
          </cell>
          <cell r="Y1444">
            <v>0.50014727299999995</v>
          </cell>
          <cell r="Z1444">
            <v>0.31595611899999998</v>
          </cell>
          <cell r="AB1444" t="str">
            <v>2018SC</v>
          </cell>
          <cell r="AC1444">
            <v>0</v>
          </cell>
          <cell r="AD1444">
            <v>0</v>
          </cell>
          <cell r="AE1444">
            <v>0.6</v>
          </cell>
          <cell r="AF1444">
            <v>0.4</v>
          </cell>
        </row>
        <row r="1445">
          <cell r="B1445" t="str">
            <v>2018SD</v>
          </cell>
          <cell r="C1445">
            <v>0.17608951911561277</v>
          </cell>
          <cell r="D1445">
            <v>0.277831368160596</v>
          </cell>
          <cell r="E1445">
            <v>7.9800561964795444E-2</v>
          </cell>
          <cell r="F1445">
            <v>0.37802114842972712</v>
          </cell>
          <cell r="G1445">
            <v>4.724510882492864E-2</v>
          </cell>
          <cell r="H1445">
            <v>4.1012293504340026E-2</v>
          </cell>
          <cell r="J1445" t="str">
            <v>2018SD</v>
          </cell>
          <cell r="K1445">
            <v>0.87295432900000003</v>
          </cell>
          <cell r="L1445">
            <v>4.7245109E-2</v>
          </cell>
          <cell r="M1445">
            <v>7.9800562000000005E-2</v>
          </cell>
          <cell r="U1445" t="str">
            <v>2018SD</v>
          </cell>
          <cell r="V1445">
            <v>3.3046748000000001E-2</v>
          </cell>
          <cell r="W1445">
            <v>5.1157264000000001E-2</v>
          </cell>
          <cell r="X1445">
            <v>0.25755016600000002</v>
          </cell>
          <cell r="Y1445">
            <v>0.17532273200000001</v>
          </cell>
          <cell r="Z1445">
            <v>0.48292308900000003</v>
          </cell>
          <cell r="AB1445" t="str">
            <v>2018SD</v>
          </cell>
          <cell r="AC1445">
            <v>0</v>
          </cell>
          <cell r="AD1445">
            <v>0</v>
          </cell>
          <cell r="AE1445">
            <v>0.02</v>
          </cell>
          <cell r="AF1445">
            <v>0.98</v>
          </cell>
        </row>
        <row r="1446">
          <cell r="B1446" t="str">
            <v>2018TN</v>
          </cell>
          <cell r="C1446">
            <v>4.0519949592449485E-2</v>
          </cell>
          <cell r="D1446">
            <v>8.9664149461423162E-2</v>
          </cell>
          <cell r="E1446">
            <v>0.14551684926860037</v>
          </cell>
          <cell r="F1446">
            <v>0.1170185785979804</v>
          </cell>
          <cell r="G1446">
            <v>0.59108168584929244</v>
          </cell>
          <cell r="H1446">
            <v>1.6198787230254148E-2</v>
          </cell>
          <cell r="J1446" t="str">
            <v>2018TN</v>
          </cell>
          <cell r="K1446">
            <v>0.26340146500000006</v>
          </cell>
          <cell r="L1446">
            <v>0.591081686</v>
          </cell>
          <cell r="M1446">
            <v>0.145516849</v>
          </cell>
          <cell r="U1446" t="str">
            <v>2018TN</v>
          </cell>
          <cell r="V1446">
            <v>0.102875089</v>
          </cell>
          <cell r="W1446">
            <v>3.5402429999999999E-2</v>
          </cell>
          <cell r="X1446">
            <v>0.119077104</v>
          </cell>
          <cell r="Y1446">
            <v>0.41436515099999999</v>
          </cell>
          <cell r="Z1446">
            <v>0.32828022600000001</v>
          </cell>
          <cell r="AB1446" t="str">
            <v>2018TN</v>
          </cell>
          <cell r="AC1446">
            <v>0</v>
          </cell>
          <cell r="AD1446">
            <v>0</v>
          </cell>
          <cell r="AE1446">
            <v>0.05</v>
          </cell>
          <cell r="AF1446">
            <v>0.95</v>
          </cell>
        </row>
        <row r="1447">
          <cell r="B1447" t="str">
            <v>2018TX</v>
          </cell>
          <cell r="C1447">
            <v>0.53305655520056971</v>
          </cell>
          <cell r="D1447">
            <v>0.24233312613196878</v>
          </cell>
          <cell r="E1447">
            <v>7.9791980793249173E-2</v>
          </cell>
          <cell r="F1447">
            <v>0.1278405091499755</v>
          </cell>
          <cell r="G1447">
            <v>0</v>
          </cell>
          <cell r="H1447">
            <v>1.6977828724236681E-2</v>
          </cell>
          <cell r="J1447" t="str">
            <v>2018TX</v>
          </cell>
          <cell r="K1447">
            <v>0.92020801900000004</v>
          </cell>
          <cell r="L1447">
            <v>0</v>
          </cell>
          <cell r="M1447">
            <v>7.9791980999999998E-2</v>
          </cell>
          <cell r="U1447" t="str">
            <v>2018TX</v>
          </cell>
          <cell r="V1447">
            <v>6.9632535999999995E-2</v>
          </cell>
          <cell r="W1447">
            <v>3.4700662E-2</v>
          </cell>
          <cell r="X1447">
            <v>5.9917572000000002E-2</v>
          </cell>
          <cell r="Y1447">
            <v>0.54104196599999999</v>
          </cell>
          <cell r="Z1447">
            <v>0.29470726400000002</v>
          </cell>
          <cell r="AB1447" t="str">
            <v>2018TX</v>
          </cell>
          <cell r="AC1447">
            <v>0</v>
          </cell>
          <cell r="AD1447">
            <v>0</v>
          </cell>
          <cell r="AE1447">
            <v>0.12</v>
          </cell>
          <cell r="AF1447">
            <v>0.88</v>
          </cell>
        </row>
        <row r="1448">
          <cell r="B1448" t="str">
            <v>2018UT</v>
          </cell>
          <cell r="C1448">
            <v>0.51165623152884221</v>
          </cell>
          <cell r="D1448">
            <v>0.26394677259150623</v>
          </cell>
          <cell r="E1448">
            <v>1.3999177703951423E-2</v>
          </cell>
          <cell r="F1448">
            <v>0.17036034814732054</v>
          </cell>
          <cell r="G1448">
            <v>8.2880703819413898E-3</v>
          </cell>
          <cell r="H1448">
            <v>3.1749399646438282E-2</v>
          </cell>
          <cell r="J1448" t="str">
            <v>2018UT</v>
          </cell>
          <cell r="K1448">
            <v>0.97771275199999996</v>
          </cell>
          <cell r="L1448">
            <v>8.2880699999999998E-3</v>
          </cell>
          <cell r="M1448">
            <v>1.3999177999999999E-2</v>
          </cell>
          <cell r="U1448" t="str">
            <v>2018UT</v>
          </cell>
          <cell r="V1448">
            <v>8.6456620000000001E-3</v>
          </cell>
          <cell r="W1448">
            <v>5.5424775000000003E-2</v>
          </cell>
          <cell r="X1448">
            <v>0.260824848</v>
          </cell>
          <cell r="Y1448">
            <v>0.16982515300000001</v>
          </cell>
          <cell r="Z1448">
            <v>0.50527956200000002</v>
          </cell>
          <cell r="AB1448" t="str">
            <v>2018UT</v>
          </cell>
          <cell r="AC1448">
            <v>0</v>
          </cell>
          <cell r="AD1448">
            <v>0</v>
          </cell>
          <cell r="AE1448">
            <v>0.6</v>
          </cell>
          <cell r="AF1448">
            <v>0.4</v>
          </cell>
        </row>
        <row r="1449">
          <cell r="B1449" t="str">
            <v>2018VT</v>
          </cell>
          <cell r="C1449">
            <v>9.9973781354903396E-2</v>
          </cell>
          <cell r="D1449">
            <v>0.17387691112967565</v>
          </cell>
          <cell r="E1449">
            <v>0.44423932842492886</v>
          </cell>
          <cell r="F1449">
            <v>0.19448861844630186</v>
          </cell>
          <cell r="G1449">
            <v>6.6349172232328182E-2</v>
          </cell>
          <cell r="H1449">
            <v>2.1072188411862088E-2</v>
          </cell>
          <cell r="J1449" t="str">
            <v>2018VT</v>
          </cell>
          <cell r="K1449">
            <v>0.4894115</v>
          </cell>
          <cell r="L1449">
            <v>6.6349171999999998E-2</v>
          </cell>
          <cell r="M1449">
            <v>0.44423932799999999</v>
          </cell>
          <cell r="U1449" t="str">
            <v>2018VT</v>
          </cell>
          <cell r="V1449">
            <v>0.86037974299999997</v>
          </cell>
          <cell r="W1449">
            <v>6.1432910000000004E-3</v>
          </cell>
          <cell r="X1449">
            <v>3.8535191000000003E-2</v>
          </cell>
          <cell r="Y1449">
            <v>2.9459874E-2</v>
          </cell>
          <cell r="Z1449">
            <v>6.5481899999999996E-2</v>
          </cell>
          <cell r="AB1449" t="str">
            <v>2018VT</v>
          </cell>
          <cell r="AC1449">
            <v>0</v>
          </cell>
          <cell r="AD1449">
            <v>0</v>
          </cell>
          <cell r="AE1449">
            <v>0.05</v>
          </cell>
          <cell r="AF1449">
            <v>0.95</v>
          </cell>
        </row>
        <row r="1450">
          <cell r="B1450" t="str">
            <v>2018VA</v>
          </cell>
          <cell r="C1450">
            <v>4.4953509549794296E-2</v>
          </cell>
          <cell r="D1450">
            <v>9.339670802378576E-2</v>
          </cell>
          <cell r="E1450">
            <v>0.14844092890155638</v>
          </cell>
          <cell r="F1450">
            <v>0.12331550684410268</v>
          </cell>
          <cell r="G1450">
            <v>0.5737351926100378</v>
          </cell>
          <cell r="H1450">
            <v>1.6158154070723133E-2</v>
          </cell>
          <cell r="J1450" t="str">
            <v>2018VA</v>
          </cell>
          <cell r="K1450">
            <v>0.27782387799999997</v>
          </cell>
          <cell r="L1450">
            <v>0.57373519299999998</v>
          </cell>
          <cell r="M1450">
            <v>0.148440929</v>
          </cell>
          <cell r="U1450" t="str">
            <v>2018VA</v>
          </cell>
          <cell r="V1450">
            <v>3.3934871999999998E-2</v>
          </cell>
          <cell r="W1450">
            <v>3.6244844999999998E-2</v>
          </cell>
          <cell r="X1450">
            <v>6.8933026999999994E-2</v>
          </cell>
          <cell r="Y1450">
            <v>0.550040046</v>
          </cell>
          <cell r="Z1450">
            <v>0.31084721100000001</v>
          </cell>
          <cell r="AB1450" t="str">
            <v>2018VA</v>
          </cell>
          <cell r="AC1450">
            <v>0</v>
          </cell>
          <cell r="AD1450">
            <v>0</v>
          </cell>
          <cell r="AE1450">
            <v>0.05</v>
          </cell>
          <cell r="AF1450">
            <v>0.95</v>
          </cell>
        </row>
        <row r="1451">
          <cell r="B1451" t="str">
            <v>2018WA</v>
          </cell>
          <cell r="C1451">
            <v>0.48742079910802349</v>
          </cell>
          <cell r="D1451">
            <v>0.21961274491816118</v>
          </cell>
          <cell r="E1451">
            <v>0</v>
          </cell>
          <cell r="F1451">
            <v>0.11254281869932067</v>
          </cell>
          <cell r="G1451">
            <v>0.16627589127589129</v>
          </cell>
          <cell r="H1451">
            <v>1.4147745998603438E-2</v>
          </cell>
          <cell r="J1451" t="str">
            <v>2018WA</v>
          </cell>
          <cell r="K1451">
            <v>0.83372410900000005</v>
          </cell>
          <cell r="L1451">
            <v>0.16627589100000001</v>
          </cell>
          <cell r="M1451">
            <v>0</v>
          </cell>
          <cell r="U1451" t="str">
            <v>2018WA</v>
          </cell>
          <cell r="V1451">
            <v>0.37353494700000001</v>
          </cell>
          <cell r="W1451">
            <v>3.1263627000000002E-2</v>
          </cell>
          <cell r="X1451">
            <v>0.168896926</v>
          </cell>
          <cell r="Y1451">
            <v>0.119853577</v>
          </cell>
          <cell r="Z1451">
            <v>0.30645092299999999</v>
          </cell>
          <cell r="AB1451" t="str">
            <v>2018WA</v>
          </cell>
          <cell r="AC1451">
            <v>0</v>
          </cell>
          <cell r="AD1451">
            <v>0</v>
          </cell>
          <cell r="AE1451">
            <v>0.12</v>
          </cell>
          <cell r="AF1451">
            <v>0.88</v>
          </cell>
        </row>
        <row r="1452">
          <cell r="B1452" t="str">
            <v>2018WV</v>
          </cell>
          <cell r="C1452">
            <v>6.8751812683186322E-2</v>
          </cell>
          <cell r="D1452">
            <v>0.15888641455628993</v>
          </cell>
          <cell r="E1452">
            <v>0.44831485363191043</v>
          </cell>
          <cell r="F1452">
            <v>0.22633984896592482</v>
          </cell>
          <cell r="G1452">
            <v>7.0025492327769459E-2</v>
          </cell>
          <cell r="H1452">
            <v>2.7681577834919095E-2</v>
          </cell>
          <cell r="J1452" t="str">
            <v>2018WV</v>
          </cell>
          <cell r="K1452">
            <v>0.48165965399999999</v>
          </cell>
          <cell r="L1452">
            <v>7.0025491999999995E-2</v>
          </cell>
          <cell r="M1452">
            <v>0.44831485399999998</v>
          </cell>
          <cell r="U1452" t="str">
            <v>2018WV</v>
          </cell>
          <cell r="V1452">
            <v>0.57920187499999998</v>
          </cell>
          <cell r="W1452">
            <v>2.1256934000000002E-2</v>
          </cell>
          <cell r="X1452">
            <v>0.113169981</v>
          </cell>
          <cell r="Y1452">
            <v>7.9649016000000003E-2</v>
          </cell>
          <cell r="Z1452">
            <v>0.206722194</v>
          </cell>
          <cell r="AB1452" t="str">
            <v>2018WV</v>
          </cell>
          <cell r="AC1452">
            <v>0</v>
          </cell>
          <cell r="AD1452">
            <v>0</v>
          </cell>
          <cell r="AE1452">
            <v>0.05</v>
          </cell>
          <cell r="AF1452">
            <v>0.95</v>
          </cell>
        </row>
        <row r="1453">
          <cell r="B1453" t="str">
            <v>2018WI</v>
          </cell>
          <cell r="C1453">
            <v>0.12203432597344931</v>
          </cell>
          <cell r="D1453">
            <v>0.23555629715568294</v>
          </cell>
          <cell r="E1453">
            <v>0.11540173598404266</v>
          </cell>
          <cell r="F1453">
            <v>0.42032708364290838</v>
          </cell>
          <cell r="G1453">
            <v>6.8322420806473022E-2</v>
          </cell>
          <cell r="H1453">
            <v>3.8358136437443673E-2</v>
          </cell>
          <cell r="J1453" t="str">
            <v>2018WI</v>
          </cell>
          <cell r="K1453">
            <v>0.816275843</v>
          </cell>
          <cell r="L1453">
            <v>6.8322420999999994E-2</v>
          </cell>
          <cell r="M1453">
            <v>0.115401736</v>
          </cell>
          <cell r="U1453" t="str">
            <v>2018WI</v>
          </cell>
          <cell r="V1453">
            <v>0.12883246500000001</v>
          </cell>
          <cell r="W1453">
            <v>4.2564396999999997E-2</v>
          </cell>
          <cell r="X1453">
            <v>0.23585646199999999</v>
          </cell>
          <cell r="Y1453">
            <v>0.16970626599999999</v>
          </cell>
          <cell r="Z1453">
            <v>0.42304040999999998</v>
          </cell>
          <cell r="AB1453" t="str">
            <v>2018WI</v>
          </cell>
          <cell r="AC1453">
            <v>0</v>
          </cell>
          <cell r="AD1453">
            <v>0</v>
          </cell>
          <cell r="AE1453">
            <v>0.02</v>
          </cell>
          <cell r="AF1453">
            <v>0.98</v>
          </cell>
        </row>
        <row r="1454">
          <cell r="B1454" t="str">
            <v>2018WY</v>
          </cell>
          <cell r="C1454">
            <v>0.29508724522063295</v>
          </cell>
          <cell r="D1454">
            <v>0.23251729773373622</v>
          </cell>
          <cell r="E1454">
            <v>0.12161775942187937</v>
          </cell>
          <cell r="F1454">
            <v>0.2207502472879718</v>
          </cell>
          <cell r="G1454">
            <v>7.2002554085590281E-2</v>
          </cell>
          <cell r="H1454">
            <v>5.8024896250189507E-2</v>
          </cell>
          <cell r="J1454" t="str">
            <v>2018WY</v>
          </cell>
          <cell r="K1454">
            <v>0.80637968699999996</v>
          </cell>
          <cell r="L1454">
            <v>7.2002553999999996E-2</v>
          </cell>
          <cell r="M1454">
            <v>0.12161775900000001</v>
          </cell>
          <cell r="U1454" t="str">
            <v>2018WY</v>
          </cell>
          <cell r="V1454">
            <v>3.2109568999999998E-2</v>
          </cell>
          <cell r="W1454">
            <v>5.3596850000000001E-2</v>
          </cell>
          <cell r="X1454">
            <v>0.25521061499999997</v>
          </cell>
          <cell r="Y1454">
            <v>0.16752597599999999</v>
          </cell>
          <cell r="Z1454">
            <v>0.49155699000000003</v>
          </cell>
          <cell r="AB1454" t="str">
            <v>2018WY</v>
          </cell>
          <cell r="AC1454">
            <v>0</v>
          </cell>
          <cell r="AD1454">
            <v>0</v>
          </cell>
          <cell r="AE1454">
            <v>0.6</v>
          </cell>
          <cell r="AF1454">
            <v>0.4</v>
          </cell>
        </row>
        <row r="1455">
          <cell r="B1455" t="str">
            <v>2019AL</v>
          </cell>
          <cell r="C1455">
            <v>0.17233560131521788</v>
          </cell>
          <cell r="D1455">
            <v>9.7606154746872412E-2</v>
          </cell>
          <cell r="E1455">
            <v>0.16919346457207346</v>
          </cell>
          <cell r="F1455">
            <v>0.1056405325382436</v>
          </cell>
          <cell r="G1455">
            <v>0.45062509818962659</v>
          </cell>
          <cell r="H1455">
            <v>4.5991486379660445E-3</v>
          </cell>
          <cell r="J1455" t="str">
            <v>2019AL</v>
          </cell>
          <cell r="K1455">
            <v>0.38018143700000007</v>
          </cell>
          <cell r="L1455">
            <v>0.450625098</v>
          </cell>
          <cell r="M1455">
            <v>0.16919346499999999</v>
          </cell>
          <cell r="U1455" t="str">
            <v>2019AL</v>
          </cell>
          <cell r="V1455">
            <v>5.3114938E-2</v>
          </cell>
          <cell r="W1455">
            <v>3.6058960000000001E-2</v>
          </cell>
          <cell r="X1455">
            <v>8.4414527000000003E-2</v>
          </cell>
          <cell r="Y1455">
            <v>0.50961295299999998</v>
          </cell>
          <cell r="Z1455">
            <v>0.316798623</v>
          </cell>
          <cell r="AB1455" t="str">
            <v>2019AL</v>
          </cell>
          <cell r="AC1455">
            <v>0</v>
          </cell>
          <cell r="AD1455">
            <v>0</v>
          </cell>
          <cell r="AE1455">
            <v>0.41899999999999998</v>
          </cell>
          <cell r="AF1455">
            <v>0.58099999999999996</v>
          </cell>
        </row>
        <row r="1456">
          <cell r="B1456" t="str">
            <v>2019AK</v>
          </cell>
          <cell r="C1456">
            <v>0.30334484066413492</v>
          </cell>
          <cell r="D1456">
            <v>0.23769937716735701</v>
          </cell>
          <cell r="E1456">
            <v>6.205843688929364E-2</v>
          </cell>
          <cell r="F1456">
            <v>0.28363994741136878</v>
          </cell>
          <cell r="G1456">
            <v>3.6741064625999714E-2</v>
          </cell>
          <cell r="H1456">
            <v>7.6516333241846021E-2</v>
          </cell>
          <cell r="J1456" t="str">
            <v>2019AK</v>
          </cell>
          <cell r="K1456">
            <v>0.90120049800000002</v>
          </cell>
          <cell r="L1456">
            <v>3.6741065000000003E-2</v>
          </cell>
          <cell r="M1456">
            <v>6.2058437000000001E-2</v>
          </cell>
          <cell r="U1456" t="str">
            <v>2019AK</v>
          </cell>
          <cell r="V1456">
            <v>0.52632575500000001</v>
          </cell>
          <cell r="W1456">
            <v>2.0841667000000001E-2</v>
          </cell>
          <cell r="X1456">
            <v>0.130734092</v>
          </cell>
          <cell r="Y1456">
            <v>9.9945266000000005E-2</v>
          </cell>
          <cell r="Z1456">
            <v>0.22215322100000001</v>
          </cell>
          <cell r="AB1456" t="str">
            <v>2019AK</v>
          </cell>
          <cell r="AC1456">
            <v>0</v>
          </cell>
          <cell r="AD1456">
            <v>0</v>
          </cell>
          <cell r="AE1456">
            <v>0.25</v>
          </cell>
          <cell r="AF1456">
            <v>0.75</v>
          </cell>
        </row>
        <row r="1457">
          <cell r="B1457" t="str">
            <v>2019AZ</v>
          </cell>
          <cell r="C1457">
            <v>0.611220636654217</v>
          </cell>
          <cell r="D1457">
            <v>0.19572797693407004</v>
          </cell>
          <cell r="E1457">
            <v>9.865488383487428E-2</v>
          </cell>
          <cell r="F1457">
            <v>9.3890669243012675E-2</v>
          </cell>
          <cell r="G1457">
            <v>0</v>
          </cell>
          <cell r="H1457">
            <v>5.0583333382575558E-4</v>
          </cell>
          <cell r="J1457" t="str">
            <v>2019AZ</v>
          </cell>
          <cell r="K1457">
            <v>0.901345116</v>
          </cell>
          <cell r="L1457">
            <v>0</v>
          </cell>
          <cell r="M1457">
            <v>9.8654883999999998E-2</v>
          </cell>
          <cell r="U1457" t="str">
            <v>2019AZ</v>
          </cell>
          <cell r="V1457">
            <v>0.136592664</v>
          </cell>
          <cell r="W1457">
            <v>3.2171241000000003E-2</v>
          </cell>
          <cell r="X1457">
            <v>5.4596316999999998E-2</v>
          </cell>
          <cell r="Y1457">
            <v>0.50386894699999996</v>
          </cell>
          <cell r="Z1457">
            <v>0.27277083200000002</v>
          </cell>
          <cell r="AB1457" t="str">
            <v>2019AZ</v>
          </cell>
          <cell r="AC1457">
            <v>0</v>
          </cell>
          <cell r="AD1457">
            <v>0</v>
          </cell>
          <cell r="AE1457">
            <v>0.6</v>
          </cell>
          <cell r="AF1457">
            <v>0.4</v>
          </cell>
        </row>
        <row r="1458">
          <cell r="B1458" t="str">
            <v>2019AR</v>
          </cell>
          <cell r="C1458">
            <v>9.6391342329605903E-2</v>
          </cell>
          <cell r="D1458">
            <v>6.6955456596874061E-2</v>
          </cell>
          <cell r="E1458">
            <v>0.14888335780531528</v>
          </cell>
          <cell r="F1458">
            <v>0.11118804006195876</v>
          </cell>
          <cell r="G1458">
            <v>0.57111057531117648</v>
          </cell>
          <cell r="H1458">
            <v>5.4712278950695761E-3</v>
          </cell>
          <cell r="J1458" t="str">
            <v>2019AR</v>
          </cell>
          <cell r="K1458">
            <v>0.28000606700000008</v>
          </cell>
          <cell r="L1458">
            <v>0.57111057499999995</v>
          </cell>
          <cell r="M1458">
            <v>0.14888335799999999</v>
          </cell>
          <cell r="U1458" t="str">
            <v>2019AR</v>
          </cell>
          <cell r="V1458">
            <v>3.9459004999999998E-2</v>
          </cell>
          <cell r="W1458">
            <v>3.7640482000000003E-2</v>
          </cell>
          <cell r="X1458">
            <v>0.11914443199999999</v>
          </cell>
          <cell r="Y1458">
            <v>0.45827781299999998</v>
          </cell>
          <cell r="Z1458">
            <v>0.34547826799999998</v>
          </cell>
          <cell r="AB1458" t="str">
            <v>2019AR</v>
          </cell>
          <cell r="AC1458">
            <v>0</v>
          </cell>
          <cell r="AD1458">
            <v>0</v>
          </cell>
          <cell r="AE1458">
            <v>0</v>
          </cell>
          <cell r="AF1458">
            <v>1</v>
          </cell>
        </row>
        <row r="1459">
          <cell r="B1459" t="str">
            <v>2019CA</v>
          </cell>
          <cell r="C1459">
            <v>0.58081862489107328</v>
          </cell>
          <cell r="D1459">
            <v>0.20720345916912225</v>
          </cell>
          <cell r="E1459">
            <v>0.10801924509893834</v>
          </cell>
          <cell r="F1459">
            <v>9.2431120719429966E-2</v>
          </cell>
          <cell r="G1459">
            <v>9.2523577326630076E-3</v>
          </cell>
          <cell r="H1459">
            <v>2.2751923887731596E-3</v>
          </cell>
          <cell r="J1459" t="str">
            <v>2019CA</v>
          </cell>
          <cell r="K1459">
            <v>0.88272839699999994</v>
          </cell>
          <cell r="L1459">
            <v>9.2523580000000005E-3</v>
          </cell>
          <cell r="M1459">
            <v>0.108019245</v>
          </cell>
          <cell r="U1459" t="str">
            <v>2019CA</v>
          </cell>
          <cell r="V1459">
            <v>0.133799526</v>
          </cell>
          <cell r="W1459">
            <v>3.2941353E-2</v>
          </cell>
          <cell r="X1459">
            <v>7.5800703999999997E-2</v>
          </cell>
          <cell r="Y1459">
            <v>0.46867659099999998</v>
          </cell>
          <cell r="Z1459">
            <v>0.28878182499999999</v>
          </cell>
          <cell r="AB1459" t="str">
            <v>2019CA</v>
          </cell>
          <cell r="AC1459">
            <v>0</v>
          </cell>
          <cell r="AD1459">
            <v>0</v>
          </cell>
          <cell r="AE1459">
            <v>0.12</v>
          </cell>
          <cell r="AF1459">
            <v>0.88</v>
          </cell>
        </row>
        <row r="1460">
          <cell r="B1460" t="str">
            <v>2019CO</v>
          </cell>
          <cell r="C1460">
            <v>0.61667904285785091</v>
          </cell>
          <cell r="D1460">
            <v>0.24212893570430052</v>
          </cell>
          <cell r="E1460">
            <v>1.1092391745361967E-2</v>
          </cell>
          <cell r="F1460">
            <v>0.11516410971780773</v>
          </cell>
          <cell r="G1460">
            <v>6.5671374014829543E-3</v>
          </cell>
          <cell r="H1460">
            <v>8.3683825731959392E-3</v>
          </cell>
          <cell r="J1460" t="str">
            <v>2019CO</v>
          </cell>
          <cell r="K1460">
            <v>0.98234047099999999</v>
          </cell>
          <cell r="L1460">
            <v>6.5671369999999998E-3</v>
          </cell>
          <cell r="M1460">
            <v>1.1092392E-2</v>
          </cell>
          <cell r="U1460" t="str">
            <v>2019CO</v>
          </cell>
          <cell r="V1460">
            <v>2.3378138E-2</v>
          </cell>
          <cell r="W1460">
            <v>5.3880426000000002E-2</v>
          </cell>
          <cell r="X1460">
            <v>0.25772948099999998</v>
          </cell>
          <cell r="Y1460">
            <v>0.169703665</v>
          </cell>
          <cell r="Z1460">
            <v>0.49530828999999998</v>
          </cell>
          <cell r="AB1460" t="str">
            <v>2019CO</v>
          </cell>
          <cell r="AC1460">
            <v>0</v>
          </cell>
          <cell r="AD1460">
            <v>0</v>
          </cell>
          <cell r="AE1460">
            <v>0.6</v>
          </cell>
          <cell r="AF1460">
            <v>0.4</v>
          </cell>
        </row>
        <row r="1461">
          <cell r="B1461" t="str">
            <v>2019CT</v>
          </cell>
          <cell r="C1461">
            <v>0.11572842393252261</v>
          </cell>
          <cell r="D1461">
            <v>0.20119880615243968</v>
          </cell>
          <cell r="E1461">
            <v>0.43233999756560143</v>
          </cell>
          <cell r="F1461">
            <v>0.17234541515575838</v>
          </cell>
          <cell r="G1461">
            <v>5.5615402487630847E-2</v>
          </cell>
          <cell r="H1461">
            <v>2.2771954706046996E-2</v>
          </cell>
          <cell r="J1461" t="str">
            <v>2019CT</v>
          </cell>
          <cell r="K1461">
            <v>0.51204460000000007</v>
          </cell>
          <cell r="L1461">
            <v>5.5615402000000001E-2</v>
          </cell>
          <cell r="M1461">
            <v>0.432339998</v>
          </cell>
          <cell r="U1461" t="str">
            <v>2019CT</v>
          </cell>
          <cell r="V1461">
            <v>0.57363861400000005</v>
          </cell>
          <cell r="W1461">
            <v>1.8759900999999999E-2</v>
          </cell>
          <cell r="X1461">
            <v>0.117675743</v>
          </cell>
          <cell r="Y1461">
            <v>8.9962252000000006E-2</v>
          </cell>
          <cell r="Z1461">
            <v>0.19996348999999999</v>
          </cell>
          <cell r="AB1461" t="str">
            <v>2019CT</v>
          </cell>
          <cell r="AC1461">
            <v>0</v>
          </cell>
          <cell r="AD1461">
            <v>0</v>
          </cell>
          <cell r="AE1461">
            <v>0.05</v>
          </cell>
          <cell r="AF1461">
            <v>0.95</v>
          </cell>
        </row>
        <row r="1462">
          <cell r="B1462" t="str">
            <v>2019DE</v>
          </cell>
          <cell r="C1462">
            <v>0.10201653895343663</v>
          </cell>
          <cell r="D1462">
            <v>0.1910091905838856</v>
          </cell>
          <cell r="E1462">
            <v>0.43707162937473454</v>
          </cell>
          <cell r="F1462">
            <v>0.18637975788177577</v>
          </cell>
          <cell r="G1462">
            <v>5.9883562349419175E-2</v>
          </cell>
          <cell r="H1462">
            <v>2.3639320856748244E-2</v>
          </cell>
          <cell r="J1462" t="str">
            <v>2019DE</v>
          </cell>
          <cell r="K1462">
            <v>0.50304480899999993</v>
          </cell>
          <cell r="L1462">
            <v>5.9883562000000001E-2</v>
          </cell>
          <cell r="M1462">
            <v>0.43707162900000002</v>
          </cell>
          <cell r="U1462" t="str">
            <v>2019DE</v>
          </cell>
          <cell r="V1462">
            <v>0.120253529</v>
          </cell>
          <cell r="W1462">
            <v>4.1631153999999997E-2</v>
          </cell>
          <cell r="X1462">
            <v>0.23964419100000001</v>
          </cell>
          <cell r="Y1462">
            <v>0.17588547500000001</v>
          </cell>
          <cell r="Z1462">
            <v>0.42258565100000001</v>
          </cell>
          <cell r="AB1462" t="str">
            <v>2019DE</v>
          </cell>
          <cell r="AC1462">
            <v>0</v>
          </cell>
          <cell r="AD1462">
            <v>0</v>
          </cell>
          <cell r="AE1462">
            <v>0.05</v>
          </cell>
          <cell r="AF1462">
            <v>0.95</v>
          </cell>
        </row>
        <row r="1463">
          <cell r="B1463" t="str">
            <v>2019FL</v>
          </cell>
          <cell r="C1463">
            <v>0.38654865924430459</v>
          </cell>
          <cell r="D1463">
            <v>0.14503983167997814</v>
          </cell>
          <cell r="E1463">
            <v>0.21616400084919535</v>
          </cell>
          <cell r="F1463">
            <v>7.8997496757044303E-2</v>
          </cell>
          <cell r="G1463">
            <v>0.17198217725399226</v>
          </cell>
          <cell r="H1463">
            <v>1.2678342154852779E-3</v>
          </cell>
          <cell r="J1463" t="str">
            <v>2019FL</v>
          </cell>
          <cell r="K1463">
            <v>0.61185382200000005</v>
          </cell>
          <cell r="L1463">
            <v>0.17198217700000001</v>
          </cell>
          <cell r="M1463">
            <v>0.21616400099999999</v>
          </cell>
          <cell r="U1463" t="str">
            <v>2019FL</v>
          </cell>
          <cell r="V1463">
            <v>0.71166924399999998</v>
          </cell>
          <cell r="W1463">
            <v>1.2686553E-2</v>
          </cell>
          <cell r="X1463">
            <v>7.9579288999999998E-2</v>
          </cell>
          <cell r="Y1463">
            <v>6.0837789000000003E-2</v>
          </cell>
          <cell r="Z1463">
            <v>0.135227124</v>
          </cell>
          <cell r="AB1463" t="str">
            <v>2019FL</v>
          </cell>
          <cell r="AC1463">
            <v>0</v>
          </cell>
          <cell r="AD1463">
            <v>0</v>
          </cell>
          <cell r="AE1463">
            <v>0.41899999999999998</v>
          </cell>
          <cell r="AF1463">
            <v>0.58099999999999996</v>
          </cell>
        </row>
        <row r="1464">
          <cell r="B1464" t="str">
            <v>2019GA</v>
          </cell>
          <cell r="C1464">
            <v>0.20823216155586291</v>
          </cell>
          <cell r="D1464">
            <v>0.11033206176717186</v>
          </cell>
          <cell r="E1464">
            <v>0.17733204084631207</v>
          </cell>
          <cell r="F1464">
            <v>9.7862793659120595E-2</v>
          </cell>
          <cell r="G1464">
            <v>0.40234468997942996</v>
          </cell>
          <cell r="H1464">
            <v>3.8962521921025758E-3</v>
          </cell>
          <cell r="J1464" t="str">
            <v>2019GA</v>
          </cell>
          <cell r="K1464">
            <v>0.42032326900000005</v>
          </cell>
          <cell r="L1464">
            <v>0.40234469</v>
          </cell>
          <cell r="M1464">
            <v>0.177332041</v>
          </cell>
          <cell r="U1464" t="str">
            <v>2019GA</v>
          </cell>
          <cell r="V1464">
            <v>7.8133266000000007E-2</v>
          </cell>
          <cell r="W1464">
            <v>3.5587817000000001E-2</v>
          </cell>
          <cell r="X1464">
            <v>9.7388838000000005E-2</v>
          </cell>
          <cell r="Y1464">
            <v>0.46952270200000001</v>
          </cell>
          <cell r="Z1464">
            <v>0.31936737799999998</v>
          </cell>
          <cell r="AB1464" t="str">
            <v>2019GA</v>
          </cell>
          <cell r="AC1464">
            <v>0</v>
          </cell>
          <cell r="AD1464">
            <v>0</v>
          </cell>
          <cell r="AE1464">
            <v>0.41899999999999998</v>
          </cell>
          <cell r="AF1464">
            <v>0.58099999999999996</v>
          </cell>
        </row>
        <row r="1465">
          <cell r="B1465" t="str">
            <v>2019HI</v>
          </cell>
          <cell r="C1465">
            <v>0.67137224197860923</v>
          </cell>
          <cell r="D1465">
            <v>0.21100034068527662</v>
          </cell>
          <cell r="E1465">
            <v>0</v>
          </cell>
          <cell r="F1465">
            <v>0.10820426646618357</v>
          </cell>
          <cell r="G1465">
            <v>7.5112148308577572E-3</v>
          </cell>
          <cell r="H1465">
            <v>1.9119360390725836E-3</v>
          </cell>
          <cell r="J1465" t="str">
            <v>2019HI</v>
          </cell>
          <cell r="K1465">
            <v>0.99248878500000004</v>
          </cell>
          <cell r="L1465">
            <v>7.5112149999999999E-3</v>
          </cell>
          <cell r="M1465">
            <v>0</v>
          </cell>
          <cell r="U1465" t="str">
            <v>2019HI</v>
          </cell>
          <cell r="V1465">
            <v>0.23216878499999999</v>
          </cell>
          <cell r="W1465">
            <v>3.2904865999999998E-2</v>
          </cell>
          <cell r="X1465">
            <v>0.18414778700000001</v>
          </cell>
          <cell r="Y1465">
            <v>0.21064765399999999</v>
          </cell>
          <cell r="Z1465">
            <v>0.34013090899999998</v>
          </cell>
          <cell r="AB1465" t="str">
            <v>2019HI</v>
          </cell>
          <cell r="AC1465">
            <v>0</v>
          </cell>
          <cell r="AD1465">
            <v>0</v>
          </cell>
          <cell r="AE1465">
            <v>0.25</v>
          </cell>
          <cell r="AF1465">
            <v>0.75</v>
          </cell>
        </row>
        <row r="1466">
          <cell r="B1466" t="str">
            <v>2019ID</v>
          </cell>
          <cell r="C1466">
            <v>0.62850843440764703</v>
          </cell>
          <cell r="D1466">
            <v>0.2329683972033782</v>
          </cell>
          <cell r="E1466">
            <v>6.4436683947772669E-3</v>
          </cell>
          <cell r="F1466">
            <v>0.11961222721284216</v>
          </cell>
          <cell r="G1466">
            <v>3.8149081541218642E-3</v>
          </cell>
          <cell r="H1466">
            <v>8.6523646272333287E-3</v>
          </cell>
          <cell r="J1466" t="str">
            <v>2019ID</v>
          </cell>
          <cell r="K1466">
            <v>0.98974142399999998</v>
          </cell>
          <cell r="L1466">
            <v>3.8149080000000001E-3</v>
          </cell>
          <cell r="M1466">
            <v>6.4436679999999996E-3</v>
          </cell>
          <cell r="U1466" t="str">
            <v>2019ID</v>
          </cell>
          <cell r="V1466">
            <v>0.460837895</v>
          </cell>
          <cell r="W1466">
            <v>2.6974237000000002E-2</v>
          </cell>
          <cell r="X1466">
            <v>0.14528671200000001</v>
          </cell>
          <cell r="Y1466">
            <v>0.102926191</v>
          </cell>
          <cell r="Z1466">
            <v>0.26397496599999998</v>
          </cell>
          <cell r="AB1466" t="str">
            <v>2019ID</v>
          </cell>
          <cell r="AC1466">
            <v>0</v>
          </cell>
          <cell r="AD1466">
            <v>0</v>
          </cell>
          <cell r="AE1466">
            <v>0.6</v>
          </cell>
          <cell r="AF1466">
            <v>0.4</v>
          </cell>
        </row>
        <row r="1467">
          <cell r="B1467" t="str">
            <v>2019IL</v>
          </cell>
          <cell r="C1467">
            <v>0.13175283144497188</v>
          </cell>
          <cell r="D1467">
            <v>0.26046159534668961</v>
          </cell>
          <cell r="E1467">
            <v>8.1383349234931596E-2</v>
          </cell>
          <cell r="F1467">
            <v>0.43207247933210829</v>
          </cell>
          <cell r="G1467">
            <v>4.8182181885357514E-2</v>
          </cell>
          <cell r="H1467">
            <v>4.6147562755941125E-2</v>
          </cell>
          <cell r="J1467" t="str">
            <v>2019IL</v>
          </cell>
          <cell r="K1467">
            <v>0.87043446899999999</v>
          </cell>
          <cell r="L1467">
            <v>4.8182181999999997E-2</v>
          </cell>
          <cell r="M1467">
            <v>8.1383348999999994E-2</v>
          </cell>
          <cell r="U1467" t="str">
            <v>2019IL</v>
          </cell>
          <cell r="V1467">
            <v>2.0186552999999999E-2</v>
          </cell>
          <cell r="W1467">
            <v>4.5739502000000001E-2</v>
          </cell>
          <cell r="X1467">
            <v>0.28028242399999997</v>
          </cell>
          <cell r="Y1467">
            <v>0.149587944</v>
          </cell>
          <cell r="Z1467">
            <v>0.50420357699999996</v>
          </cell>
          <cell r="AB1467" t="str">
            <v>2019IL</v>
          </cell>
          <cell r="AC1467">
            <v>0</v>
          </cell>
          <cell r="AD1467">
            <v>0</v>
          </cell>
          <cell r="AE1467">
            <v>0.02</v>
          </cell>
          <cell r="AF1467">
            <v>0.98</v>
          </cell>
        </row>
        <row r="1468">
          <cell r="B1468" t="str">
            <v>2019IN</v>
          </cell>
          <cell r="C1468">
            <v>0.16189917384296076</v>
          </cell>
          <cell r="D1468">
            <v>0.24163212738244233</v>
          </cell>
          <cell r="E1468">
            <v>0.13392208737361183</v>
          </cell>
          <cell r="F1468">
            <v>0.3491044693998876</v>
          </cell>
          <cell r="G1468">
            <v>7.9287205957511472E-2</v>
          </cell>
          <cell r="H1468">
            <v>3.4154936043586021E-2</v>
          </cell>
          <cell r="J1468" t="str">
            <v>2019IN</v>
          </cell>
          <cell r="K1468">
            <v>0.78679070699999998</v>
          </cell>
          <cell r="L1468">
            <v>7.9287205999999999E-2</v>
          </cell>
          <cell r="M1468">
            <v>0.133922087</v>
          </cell>
          <cell r="U1468" t="str">
            <v>2019IN</v>
          </cell>
          <cell r="V1468">
            <v>2.5489210000000002E-2</v>
          </cell>
          <cell r="W1468">
            <v>4.5536079E-2</v>
          </cell>
          <cell r="X1468">
            <v>0.27893099599999999</v>
          </cell>
          <cell r="Y1468">
            <v>0.14781887399999999</v>
          </cell>
          <cell r="Z1468">
            <v>0.50222484099999998</v>
          </cell>
          <cell r="AB1468" t="str">
            <v>2019IN</v>
          </cell>
          <cell r="AC1468">
            <v>0</v>
          </cell>
          <cell r="AD1468">
            <v>0</v>
          </cell>
          <cell r="AE1468">
            <v>0</v>
          </cell>
          <cell r="AF1468">
            <v>1</v>
          </cell>
        </row>
        <row r="1469">
          <cell r="B1469" t="str">
            <v>2019IA</v>
          </cell>
          <cell r="C1469">
            <v>0.13792614664225575</v>
          </cell>
          <cell r="D1469">
            <v>0.25047757969635848</v>
          </cell>
          <cell r="E1469">
            <v>0.10477197231415941</v>
          </cell>
          <cell r="F1469">
            <v>0.40507493125352922</v>
          </cell>
          <cell r="G1469">
            <v>6.2029177638731184E-2</v>
          </cell>
          <cell r="H1469">
            <v>3.9720192454965969E-2</v>
          </cell>
          <cell r="J1469" t="str">
            <v>2019IA</v>
          </cell>
          <cell r="K1469">
            <v>0.83319885000000005</v>
          </cell>
          <cell r="L1469">
            <v>6.2029177999999997E-2</v>
          </cell>
          <cell r="M1469">
            <v>0.104771972</v>
          </cell>
          <cell r="U1469" t="str">
            <v>2019IA</v>
          </cell>
          <cell r="V1469">
            <v>9.6502570000000006E-3</v>
          </cell>
          <cell r="W1469">
            <v>3.8739974000000003E-2</v>
          </cell>
          <cell r="X1469">
            <v>0.12067557499999999</v>
          </cell>
          <cell r="Y1469">
            <v>0.47629315999999999</v>
          </cell>
          <cell r="Z1469">
            <v>0.35464103499999999</v>
          </cell>
          <cell r="AB1469" t="str">
            <v>2019IA</v>
          </cell>
          <cell r="AC1469">
            <v>0</v>
          </cell>
          <cell r="AD1469">
            <v>0</v>
          </cell>
          <cell r="AE1469">
            <v>0</v>
          </cell>
          <cell r="AF1469">
            <v>1</v>
          </cell>
        </row>
        <row r="1470">
          <cell r="B1470" t="str">
            <v>2019KS</v>
          </cell>
          <cell r="C1470">
            <v>0.28758404285910905</v>
          </cell>
          <cell r="D1470">
            <v>0.32607606753917184</v>
          </cell>
          <cell r="E1470">
            <v>5.1050547933917619E-2</v>
          </cell>
          <cell r="F1470">
            <v>0.27762124338847843</v>
          </cell>
          <cell r="G1470">
            <v>3.0223956239483565E-2</v>
          </cell>
          <cell r="H1470">
            <v>2.7444142039839463E-2</v>
          </cell>
          <cell r="J1470" t="str">
            <v>2019KS</v>
          </cell>
          <cell r="K1470">
            <v>0.91872549599999997</v>
          </cell>
          <cell r="L1470">
            <v>3.0223956E-2</v>
          </cell>
          <cell r="M1470">
            <v>5.1050548000000001E-2</v>
          </cell>
          <cell r="U1470" t="str">
            <v>2019KS</v>
          </cell>
          <cell r="V1470">
            <v>2.3647662E-2</v>
          </cell>
          <cell r="W1470">
            <v>4.6272377000000003E-2</v>
          </cell>
          <cell r="X1470">
            <v>0.28189652199999998</v>
          </cell>
          <cell r="Y1470">
            <v>0.13395533500000001</v>
          </cell>
          <cell r="Z1470">
            <v>0.51422810299999999</v>
          </cell>
          <cell r="AB1470" t="str">
            <v>2019KS</v>
          </cell>
          <cell r="AC1470">
            <v>0</v>
          </cell>
          <cell r="AD1470">
            <v>0</v>
          </cell>
          <cell r="AE1470">
            <v>0.02</v>
          </cell>
          <cell r="AF1470">
            <v>0.98</v>
          </cell>
        </row>
        <row r="1471">
          <cell r="B1471" t="str">
            <v>2019KY</v>
          </cell>
          <cell r="C1471">
            <v>2.3305602928070858E-2</v>
          </cell>
          <cell r="D1471">
            <v>6.2885861766289422E-2</v>
          </cell>
          <cell r="E1471">
            <v>0.14165738300711325</v>
          </cell>
          <cell r="F1471">
            <v>0.14315421990856123</v>
          </cell>
          <cell r="G1471">
            <v>0.61397716539009373</v>
          </cell>
          <cell r="H1471">
            <v>1.5019766999871505E-2</v>
          </cell>
          <cell r="J1471" t="str">
            <v>2019KY</v>
          </cell>
          <cell r="K1471">
            <v>0.24436545200000004</v>
          </cell>
          <cell r="L1471">
            <v>0.61397716499999999</v>
          </cell>
          <cell r="M1471">
            <v>0.141657383</v>
          </cell>
          <cell r="U1471" t="str">
            <v>2019KY</v>
          </cell>
          <cell r="V1471">
            <v>4.9184704000000003E-2</v>
          </cell>
          <cell r="W1471">
            <v>3.7321891000000003E-2</v>
          </cell>
          <cell r="X1471">
            <v>0.11991215400000001</v>
          </cell>
          <cell r="Y1471">
            <v>0.45018075899999999</v>
          </cell>
          <cell r="Z1471">
            <v>0.34340049099999997</v>
          </cell>
          <cell r="AB1471" t="str">
            <v>2019KY</v>
          </cell>
          <cell r="AC1471">
            <v>0</v>
          </cell>
          <cell r="AD1471">
            <v>0</v>
          </cell>
          <cell r="AE1471">
            <v>0.05</v>
          </cell>
          <cell r="AF1471">
            <v>0.95</v>
          </cell>
        </row>
        <row r="1472">
          <cell r="B1472" t="str">
            <v>2019LA</v>
          </cell>
          <cell r="C1472">
            <v>8.7696493950327165E-2</v>
          </cell>
          <cell r="D1472">
            <v>6.4637521135916851E-2</v>
          </cell>
          <cell r="E1472">
            <v>0.14461730665558523</v>
          </cell>
          <cell r="F1472">
            <v>0.10160244529023774</v>
          </cell>
          <cell r="G1472">
            <v>0.59641803499629376</v>
          </cell>
          <cell r="H1472">
            <v>5.0281979716392446E-3</v>
          </cell>
          <cell r="J1472" t="str">
            <v>2019LA</v>
          </cell>
          <cell r="K1472">
            <v>0.25896465800000001</v>
          </cell>
          <cell r="L1472">
            <v>0.59641803500000001</v>
          </cell>
          <cell r="M1472">
            <v>0.144617307</v>
          </cell>
          <cell r="U1472" t="str">
            <v>2019LA</v>
          </cell>
          <cell r="V1472">
            <v>0.53551704700000002</v>
          </cell>
          <cell r="W1472">
            <v>2.0437250000000001E-2</v>
          </cell>
          <cell r="X1472">
            <v>0.12819729499999999</v>
          </cell>
          <cell r="Y1472">
            <v>9.8005903000000005E-2</v>
          </cell>
          <cell r="Z1472">
            <v>0.21784250499999999</v>
          </cell>
          <cell r="AB1472" t="str">
            <v>2019LA</v>
          </cell>
          <cell r="AC1472">
            <v>0</v>
          </cell>
          <cell r="AD1472">
            <v>0</v>
          </cell>
          <cell r="AE1472">
            <v>0.6</v>
          </cell>
          <cell r="AF1472">
            <v>0.4</v>
          </cell>
        </row>
        <row r="1473">
          <cell r="B1473" t="str">
            <v>2019ME</v>
          </cell>
          <cell r="C1473">
            <v>9.3713015315557757E-2</v>
          </cell>
          <cell r="D1473">
            <v>0.17210096338216258</v>
          </cell>
          <cell r="E1473">
            <v>0.44837154081607639</v>
          </cell>
          <cell r="F1473">
            <v>0.19633313267932656</v>
          </cell>
          <cell r="G1473">
            <v>7.0076626899074845E-2</v>
          </cell>
          <cell r="H1473">
            <v>1.9404720907801824E-2</v>
          </cell>
          <cell r="J1473" t="str">
            <v>2019ME</v>
          </cell>
          <cell r="K1473">
            <v>0.48155183200000007</v>
          </cell>
          <cell r="L1473">
            <v>7.0076627000000002E-2</v>
          </cell>
          <cell r="M1473">
            <v>0.44837154099999998</v>
          </cell>
          <cell r="U1473" t="str">
            <v>2019ME</v>
          </cell>
          <cell r="V1473">
            <v>0.72920202000000001</v>
          </cell>
          <cell r="W1473">
            <v>1.1915111000000001E-2</v>
          </cell>
          <cell r="X1473">
            <v>7.4740241999999998E-2</v>
          </cell>
          <cell r="Y1473">
            <v>5.7138373999999999E-2</v>
          </cell>
          <cell r="Z1473">
            <v>0.12700425300000001</v>
          </cell>
          <cell r="AB1473" t="str">
            <v>2019ME</v>
          </cell>
          <cell r="AC1473">
            <v>0</v>
          </cell>
          <cell r="AD1473">
            <v>0</v>
          </cell>
          <cell r="AE1473">
            <v>0.05</v>
          </cell>
          <cell r="AF1473">
            <v>0.95</v>
          </cell>
        </row>
        <row r="1474">
          <cell r="B1474" t="str">
            <v>2019MD</v>
          </cell>
          <cell r="C1474">
            <v>7.6488535055593554E-2</v>
          </cell>
          <cell r="D1474">
            <v>0.15472472257238745</v>
          </cell>
          <cell r="E1474">
            <v>0.44380834258126728</v>
          </cell>
          <cell r="F1474">
            <v>0.22861605738914034</v>
          </cell>
          <cell r="G1474">
            <v>6.5960402236453913E-2</v>
          </cell>
          <cell r="H1474">
            <v>3.0401940165157418E-2</v>
          </cell>
          <cell r="J1474" t="str">
            <v>2019MD</v>
          </cell>
          <cell r="K1474">
            <v>0.49023125499999998</v>
          </cell>
          <cell r="L1474">
            <v>6.5960402000000001E-2</v>
          </cell>
          <cell r="M1474">
            <v>0.44380834299999999</v>
          </cell>
          <cell r="U1474" t="str">
            <v>2019MD</v>
          </cell>
          <cell r="V1474">
            <v>0.21140679400000001</v>
          </cell>
          <cell r="W1474">
            <v>3.7602905999999998E-2</v>
          </cell>
          <cell r="X1474">
            <v>0.214504853</v>
          </cell>
          <cell r="Y1474">
            <v>0.15671048400000001</v>
          </cell>
          <cell r="Z1474">
            <v>0.37977496300000002</v>
          </cell>
          <cell r="AB1474" t="str">
            <v>2019MD</v>
          </cell>
          <cell r="AC1474">
            <v>0</v>
          </cell>
          <cell r="AD1474">
            <v>0</v>
          </cell>
          <cell r="AE1474">
            <v>0.05</v>
          </cell>
          <cell r="AF1474">
            <v>0.95</v>
          </cell>
        </row>
        <row r="1475">
          <cell r="B1475" t="str">
            <v>2019MA</v>
          </cell>
          <cell r="C1475">
            <v>6.1305440163427552E-2</v>
          </cell>
          <cell r="D1475">
            <v>0.14874705508142777</v>
          </cell>
          <cell r="E1475">
            <v>0.45216403673004657</v>
          </cell>
          <cell r="F1475">
            <v>0.23617268276189021</v>
          </cell>
          <cell r="G1475">
            <v>7.3497640935872632E-2</v>
          </cell>
          <cell r="H1475">
            <v>2.8113144327335336E-2</v>
          </cell>
          <cell r="J1475" t="str">
            <v>2019MA</v>
          </cell>
          <cell r="K1475">
            <v>0.47433832199999992</v>
          </cell>
          <cell r="L1475">
            <v>7.3497641000000002E-2</v>
          </cell>
          <cell r="M1475">
            <v>0.45216403700000002</v>
          </cell>
          <cell r="U1475" t="str">
            <v>2019MA</v>
          </cell>
          <cell r="V1475">
            <v>0.31419575799999999</v>
          </cell>
          <cell r="W1475">
            <v>3.0175387000000001E-2</v>
          </cell>
          <cell r="X1475">
            <v>0.18928197099999999</v>
          </cell>
          <cell r="Y1475">
            <v>0.14470469499999999</v>
          </cell>
          <cell r="Z1475">
            <v>0.32164218900000002</v>
          </cell>
          <cell r="AB1475" t="str">
            <v>2019MA</v>
          </cell>
          <cell r="AC1475">
            <v>0</v>
          </cell>
          <cell r="AD1475">
            <v>0</v>
          </cell>
          <cell r="AE1475">
            <v>0.05</v>
          </cell>
          <cell r="AF1475">
            <v>0.95</v>
          </cell>
        </row>
        <row r="1476">
          <cell r="B1476" t="str">
            <v>2019MI</v>
          </cell>
          <cell r="C1476">
            <v>0.21592740095911189</v>
          </cell>
          <cell r="D1476">
            <v>0.33044604004991018</v>
          </cell>
          <cell r="E1476">
            <v>5.8998863632555826E-2</v>
          </cell>
          <cell r="F1476">
            <v>0.32074430847532459</v>
          </cell>
          <cell r="G1476">
            <v>3.4929675483950956E-2</v>
          </cell>
          <cell r="H1476">
            <v>3.8953711399146676E-2</v>
          </cell>
          <cell r="J1476" t="str">
            <v>2019MI</v>
          </cell>
          <cell r="K1476">
            <v>0.90607146100000002</v>
          </cell>
          <cell r="L1476">
            <v>3.4929675E-2</v>
          </cell>
          <cell r="M1476">
            <v>5.8998863999999998E-2</v>
          </cell>
          <cell r="U1476" t="str">
            <v>2019MI</v>
          </cell>
          <cell r="V1476">
            <v>4.5127237000000001E-2</v>
          </cell>
          <cell r="W1476">
            <v>5.0500046999999999E-2</v>
          </cell>
          <cell r="X1476">
            <v>0.254352099</v>
          </cell>
          <cell r="Y1476">
            <v>0.17319266699999999</v>
          </cell>
          <cell r="Z1476">
            <v>0.47682794899999997</v>
          </cell>
          <cell r="AB1476" t="str">
            <v>2019MI</v>
          </cell>
          <cell r="AC1476">
            <v>0</v>
          </cell>
          <cell r="AD1476">
            <v>0</v>
          </cell>
          <cell r="AE1476">
            <v>0.02</v>
          </cell>
          <cell r="AF1476">
            <v>0.98</v>
          </cell>
        </row>
        <row r="1477">
          <cell r="B1477" t="str">
            <v>2019MN</v>
          </cell>
          <cell r="C1477">
            <v>0.11559741536790068</v>
          </cell>
          <cell r="D1477">
            <v>0.23915415867765383</v>
          </cell>
          <cell r="E1477">
            <v>0.10052931481156221</v>
          </cell>
          <cell r="F1477">
            <v>0.43822851849088174</v>
          </cell>
          <cell r="G1477">
            <v>5.9517355535203494E-2</v>
          </cell>
          <cell r="H1477">
            <v>4.697323711679801E-2</v>
          </cell>
          <cell r="J1477" t="str">
            <v>2019MN</v>
          </cell>
          <cell r="K1477">
            <v>0.83995332899999997</v>
          </cell>
          <cell r="L1477">
            <v>5.9517356E-2</v>
          </cell>
          <cell r="M1477">
            <v>0.10052931499999999</v>
          </cell>
          <cell r="U1477" t="str">
            <v>2019MN</v>
          </cell>
          <cell r="V1477">
            <v>1.5145339000000001E-2</v>
          </cell>
          <cell r="W1477">
            <v>5.1986831999999997E-2</v>
          </cell>
          <cell r="X1477">
            <v>0.262445557</v>
          </cell>
          <cell r="Y1477">
            <v>0.17896024199999999</v>
          </cell>
          <cell r="Z1477">
            <v>0.49146202900000002</v>
          </cell>
          <cell r="AB1477" t="str">
            <v>2019MN</v>
          </cell>
          <cell r="AC1477">
            <v>0</v>
          </cell>
          <cell r="AD1477">
            <v>0</v>
          </cell>
          <cell r="AE1477">
            <v>0</v>
          </cell>
          <cell r="AF1477">
            <v>1</v>
          </cell>
        </row>
        <row r="1478">
          <cell r="B1478" t="str">
            <v>2019MS</v>
          </cell>
          <cell r="C1478">
            <v>0.10416334210611014</v>
          </cell>
          <cell r="D1478">
            <v>7.2829933678422776E-2</v>
          </cell>
          <cell r="E1478">
            <v>0.14929269604113307</v>
          </cell>
          <cell r="F1478">
            <v>0.10019278631941281</v>
          </cell>
          <cell r="G1478">
            <v>0.56868226150598644</v>
          </cell>
          <cell r="H1478">
            <v>4.838980348934833E-3</v>
          </cell>
          <cell r="J1478" t="str">
            <v>2019MS</v>
          </cell>
          <cell r="K1478">
            <v>0.28202504199999989</v>
          </cell>
          <cell r="L1478">
            <v>0.56868226200000005</v>
          </cell>
          <cell r="M1478">
            <v>0.149292696</v>
          </cell>
          <cell r="U1478" t="str">
            <v>2019MS</v>
          </cell>
          <cell r="V1478">
            <v>2.1100625000000001E-2</v>
          </cell>
          <cell r="W1478">
            <v>3.6418512E-2</v>
          </cell>
          <cell r="X1478">
            <v>6.0129593000000002E-2</v>
          </cell>
          <cell r="Y1478">
            <v>0.574366987</v>
          </cell>
          <cell r="Z1478">
            <v>0.30798428300000003</v>
          </cell>
          <cell r="AB1478" t="str">
            <v>2019MS</v>
          </cell>
          <cell r="AC1478">
            <v>0</v>
          </cell>
          <cell r="AD1478">
            <v>0</v>
          </cell>
          <cell r="AE1478">
            <v>0.6</v>
          </cell>
          <cell r="AF1478">
            <v>0.4</v>
          </cell>
        </row>
        <row r="1479">
          <cell r="B1479" t="str">
            <v>2019MO</v>
          </cell>
          <cell r="C1479">
            <v>6.4925479522277466E-2</v>
          </cell>
          <cell r="D1479">
            <v>0.18170303563698134</v>
          </cell>
          <cell r="E1479">
            <v>0.14337282997597614</v>
          </cell>
          <cell r="F1479">
            <v>0.47880340852502545</v>
          </cell>
          <cell r="G1479">
            <v>8.4882421727070459E-2</v>
          </cell>
          <cell r="H1479">
            <v>4.6312824612669105E-2</v>
          </cell>
          <cell r="J1479" t="str">
            <v>2019MO</v>
          </cell>
          <cell r="K1479">
            <v>0.77174474799999992</v>
          </cell>
          <cell r="L1479">
            <v>8.4882421999999999E-2</v>
          </cell>
          <cell r="M1479">
            <v>0.14337283000000001</v>
          </cell>
          <cell r="U1479" t="str">
            <v>2019MO</v>
          </cell>
          <cell r="V1479">
            <v>2.998994E-2</v>
          </cell>
          <cell r="W1479">
            <v>4.5757142000000001E-2</v>
          </cell>
          <cell r="X1479">
            <v>0.27926039899999999</v>
          </cell>
          <cell r="Y1479">
            <v>0.13775391300000001</v>
          </cell>
          <cell r="Z1479">
            <v>0.50723860600000004</v>
          </cell>
          <cell r="AB1479" t="str">
            <v>2019MO</v>
          </cell>
          <cell r="AC1479">
            <v>0</v>
          </cell>
          <cell r="AD1479">
            <v>0</v>
          </cell>
          <cell r="AE1479">
            <v>0</v>
          </cell>
          <cell r="AF1479">
            <v>1</v>
          </cell>
        </row>
        <row r="1480">
          <cell r="B1480" t="str">
            <v>2019MT</v>
          </cell>
          <cell r="C1480">
            <v>0.35597781750083307</v>
          </cell>
          <cell r="D1480">
            <v>0.25924389885240834</v>
          </cell>
          <cell r="E1480">
            <v>4.3797789125912777E-2</v>
          </cell>
          <cell r="F1480">
            <v>0.25058080537727367</v>
          </cell>
          <cell r="G1480">
            <v>2.5930034358127463E-2</v>
          </cell>
          <cell r="H1480">
            <v>6.4469654785444572E-2</v>
          </cell>
          <cell r="J1480" t="str">
            <v>2019MT</v>
          </cell>
          <cell r="K1480">
            <v>0.93027217699999998</v>
          </cell>
          <cell r="L1480">
            <v>2.5930034000000001E-2</v>
          </cell>
          <cell r="M1480">
            <v>4.3797788999999997E-2</v>
          </cell>
          <cell r="U1480" t="str">
            <v>2019MT</v>
          </cell>
          <cell r="V1480">
            <v>6.0520032000000001E-2</v>
          </cell>
          <cell r="W1480">
            <v>5.1214043000000001E-2</v>
          </cell>
          <cell r="X1480">
            <v>0.24859647000000001</v>
          </cell>
          <cell r="Y1480">
            <v>0.16530719099999999</v>
          </cell>
          <cell r="Z1480">
            <v>0.47436226399999998</v>
          </cell>
          <cell r="AB1480" t="str">
            <v>2019MT</v>
          </cell>
          <cell r="AC1480">
            <v>0</v>
          </cell>
          <cell r="AD1480">
            <v>0</v>
          </cell>
          <cell r="AE1480">
            <v>0.6</v>
          </cell>
          <cell r="AF1480">
            <v>0.4</v>
          </cell>
        </row>
        <row r="1481">
          <cell r="B1481" t="str">
            <v>2019NE</v>
          </cell>
          <cell r="C1481">
            <v>0.21260954807532403</v>
          </cell>
          <cell r="D1481">
            <v>0.30324255962083846</v>
          </cell>
          <cell r="E1481">
            <v>6.1277054134417128E-2</v>
          </cell>
          <cell r="F1481">
            <v>0.34696077142199511</v>
          </cell>
          <cell r="G1481">
            <v>3.6278454935301678E-2</v>
          </cell>
          <cell r="H1481">
            <v>3.9631611812123581E-2</v>
          </cell>
          <cell r="J1481" t="str">
            <v>2019NE</v>
          </cell>
          <cell r="K1481">
            <v>0.90244449100000002</v>
          </cell>
          <cell r="L1481">
            <v>3.6278455000000001E-2</v>
          </cell>
          <cell r="M1481">
            <v>6.1277053999999997E-2</v>
          </cell>
          <cell r="U1481" t="str">
            <v>2019NE</v>
          </cell>
          <cell r="V1481">
            <v>3.0063880000000001E-2</v>
          </cell>
          <cell r="W1481">
            <v>4.5295173000000001E-2</v>
          </cell>
          <cell r="X1481">
            <v>0.27751980599999998</v>
          </cell>
          <cell r="Y1481">
            <v>0.147715386</v>
          </cell>
          <cell r="Z1481">
            <v>0.49940575500000001</v>
          </cell>
          <cell r="AB1481" t="str">
            <v>2019NE</v>
          </cell>
          <cell r="AC1481">
            <v>0</v>
          </cell>
          <cell r="AD1481">
            <v>0</v>
          </cell>
          <cell r="AE1481">
            <v>0.02</v>
          </cell>
          <cell r="AF1481">
            <v>0.98</v>
          </cell>
        </row>
        <row r="1482">
          <cell r="B1482" t="str">
            <v>2019NV</v>
          </cell>
          <cell r="C1482">
            <v>0.64210148526116029</v>
          </cell>
          <cell r="D1482">
            <v>0.238399883587257</v>
          </cell>
          <cell r="E1482">
            <v>4.1594375177217181E-3</v>
          </cell>
          <cell r="F1482">
            <v>0.10819864870890922</v>
          </cell>
          <cell r="G1482">
            <v>2.4625525602432058E-3</v>
          </cell>
          <cell r="H1482">
            <v>4.677992364708553E-3</v>
          </cell>
          <cell r="J1482" t="str">
            <v>2019NV</v>
          </cell>
          <cell r="K1482">
            <v>0.99337800899999995</v>
          </cell>
          <cell r="L1482">
            <v>2.4625530000000001E-3</v>
          </cell>
          <cell r="M1482">
            <v>4.1594379999999997E-3</v>
          </cell>
          <cell r="U1482" t="str">
            <v>2019NV</v>
          </cell>
          <cell r="V1482">
            <v>0.35004114600000003</v>
          </cell>
          <cell r="W1482">
            <v>2.4048478000000002E-2</v>
          </cell>
          <cell r="X1482">
            <v>3.5747737000000002E-2</v>
          </cell>
          <cell r="Y1482">
            <v>0.38867539400000001</v>
          </cell>
          <cell r="Z1482">
            <v>0.20148724500000001</v>
          </cell>
          <cell r="AB1482" t="str">
            <v>2019NV</v>
          </cell>
          <cell r="AC1482">
            <v>0</v>
          </cell>
          <cell r="AD1482">
            <v>0</v>
          </cell>
          <cell r="AE1482">
            <v>0</v>
          </cell>
          <cell r="AF1482">
            <v>1</v>
          </cell>
        </row>
        <row r="1483">
          <cell r="B1483" t="str">
            <v>2019NH</v>
          </cell>
          <cell r="C1483">
            <v>9.4573445198850817E-2</v>
          </cell>
          <cell r="D1483">
            <v>0.16340842518862655</v>
          </cell>
          <cell r="E1483">
            <v>0.44298025846087286</v>
          </cell>
          <cell r="F1483">
            <v>0.20852129702854144</v>
          </cell>
          <cell r="G1483">
            <v>6.52134304627775E-2</v>
          </cell>
          <cell r="H1483">
            <v>2.5303143660330828E-2</v>
          </cell>
          <cell r="J1483" t="str">
            <v>2019NH</v>
          </cell>
          <cell r="K1483">
            <v>0.49180631200000002</v>
          </cell>
          <cell r="L1483">
            <v>6.5213430000000003E-2</v>
          </cell>
          <cell r="M1483">
            <v>0.44298025800000002</v>
          </cell>
          <cell r="U1483" t="str">
            <v>2019NH</v>
          </cell>
          <cell r="V1483">
            <v>0.56759962799999997</v>
          </cell>
          <cell r="W1483">
            <v>1.9025615999999999E-2</v>
          </cell>
          <cell r="X1483">
            <v>0.119342503</v>
          </cell>
          <cell r="Y1483">
            <v>9.1236478999999995E-2</v>
          </cell>
          <cell r="Z1483">
            <v>0.20279577500000001</v>
          </cell>
          <cell r="AB1483" t="str">
            <v>2019NH</v>
          </cell>
          <cell r="AC1483">
            <v>0</v>
          </cell>
          <cell r="AD1483">
            <v>0</v>
          </cell>
          <cell r="AE1483">
            <v>0.05</v>
          </cell>
          <cell r="AF1483">
            <v>0.95</v>
          </cell>
        </row>
        <row r="1484">
          <cell r="B1484" t="str">
            <v>2019NJ</v>
          </cell>
          <cell r="C1484">
            <v>5.8003576611346738E-2</v>
          </cell>
          <cell r="D1484">
            <v>0.13897871355240557</v>
          </cell>
          <cell r="E1484">
            <v>0.45397029129837874</v>
          </cell>
          <cell r="F1484">
            <v>0.24471653627570109</v>
          </cell>
          <cell r="G1484">
            <v>7.5126969581826603E-2</v>
          </cell>
          <cell r="H1484">
            <v>2.9203912680341212E-2</v>
          </cell>
          <cell r="J1484" t="str">
            <v>2019NJ</v>
          </cell>
          <cell r="K1484">
            <v>0.47090273900000001</v>
          </cell>
          <cell r="L1484">
            <v>7.5126970000000001E-2</v>
          </cell>
          <cell r="M1484">
            <v>0.45397029100000003</v>
          </cell>
          <cell r="U1484" t="str">
            <v>2019NJ</v>
          </cell>
          <cell r="V1484">
            <v>0.30808167400000003</v>
          </cell>
          <cell r="W1484">
            <v>3.3011736E-2</v>
          </cell>
          <cell r="X1484">
            <v>0.18818818500000001</v>
          </cell>
          <cell r="Y1484">
            <v>0.137437002</v>
          </cell>
          <cell r="Z1484">
            <v>0.333281404</v>
          </cell>
          <cell r="AB1484" t="str">
            <v>2019NJ</v>
          </cell>
          <cell r="AC1484">
            <v>0</v>
          </cell>
          <cell r="AD1484">
            <v>0</v>
          </cell>
          <cell r="AE1484">
            <v>0.05</v>
          </cell>
          <cell r="AF1484">
            <v>0.95</v>
          </cell>
        </row>
        <row r="1485">
          <cell r="B1485" t="str">
            <v>2019NM</v>
          </cell>
          <cell r="C1485">
            <v>0.61184589317007076</v>
          </cell>
          <cell r="D1485">
            <v>0.19452029294367307</v>
          </cell>
          <cell r="E1485">
            <v>9.8952813124742175E-2</v>
          </cell>
          <cell r="F1485">
            <v>9.4174237847419268E-2</v>
          </cell>
          <cell r="G1485">
            <v>0</v>
          </cell>
          <cell r="H1485">
            <v>5.0676291409465751E-4</v>
          </cell>
          <cell r="J1485" t="str">
            <v>2019NM</v>
          </cell>
          <cell r="K1485">
            <v>0.90104718699999997</v>
          </cell>
          <cell r="L1485">
            <v>0</v>
          </cell>
          <cell r="M1485">
            <v>9.8952813000000001E-2</v>
          </cell>
          <cell r="U1485" t="str">
            <v>2019NM</v>
          </cell>
          <cell r="V1485">
            <v>0.91655606099999998</v>
          </cell>
          <cell r="W1485">
            <v>3.6715329999999998E-3</v>
          </cell>
          <cell r="X1485">
            <v>2.3030526999999999E-2</v>
          </cell>
          <cell r="Y1485">
            <v>1.7606671000000001E-2</v>
          </cell>
          <cell r="Z1485">
            <v>3.9135206999999998E-2</v>
          </cell>
          <cell r="AB1485" t="str">
            <v>2019NM</v>
          </cell>
          <cell r="AC1485">
            <v>0</v>
          </cell>
          <cell r="AD1485">
            <v>0</v>
          </cell>
          <cell r="AE1485">
            <v>0.6</v>
          </cell>
          <cell r="AF1485">
            <v>0.4</v>
          </cell>
        </row>
        <row r="1486">
          <cell r="B1486" t="str">
            <v>2019NY</v>
          </cell>
          <cell r="C1486">
            <v>9.8408703041683282E-2</v>
          </cell>
          <cell r="D1486">
            <v>0.15954377256245178</v>
          </cell>
          <cell r="E1486">
            <v>0.44849165243165579</v>
          </cell>
          <cell r="F1486">
            <v>0.20287733376538455</v>
          </cell>
          <cell r="G1486">
            <v>7.0184973363303343E-2</v>
          </cell>
          <cell r="H1486">
            <v>2.0493564835521279E-2</v>
          </cell>
          <cell r="J1486" t="str">
            <v>2019NY</v>
          </cell>
          <cell r="K1486">
            <v>0.481323375</v>
          </cell>
          <cell r="L1486">
            <v>7.0184972999999998E-2</v>
          </cell>
          <cell r="M1486">
            <v>0.44849165200000002</v>
          </cell>
          <cell r="U1486" t="str">
            <v>2019NY</v>
          </cell>
          <cell r="V1486">
            <v>0.20441514899999999</v>
          </cell>
          <cell r="W1486">
            <v>4.1815811000000001E-2</v>
          </cell>
          <cell r="X1486">
            <v>0.21220383400000001</v>
          </cell>
          <cell r="Y1486">
            <v>0.145168144</v>
          </cell>
          <cell r="Z1486">
            <v>0.396397061</v>
          </cell>
          <cell r="AB1486" t="str">
            <v>2019NY</v>
          </cell>
          <cell r="AC1486">
            <v>0</v>
          </cell>
          <cell r="AD1486">
            <v>0</v>
          </cell>
          <cell r="AE1486">
            <v>0.05</v>
          </cell>
          <cell r="AF1486">
            <v>0.95</v>
          </cell>
        </row>
        <row r="1487">
          <cell r="B1487" t="str">
            <v>2019NC</v>
          </cell>
          <cell r="C1487">
            <v>6.168821577504751E-2</v>
          </cell>
          <cell r="D1487">
            <v>0.11278426418396881</v>
          </cell>
          <cell r="E1487">
            <v>0.15395779991170949</v>
          </cell>
          <cell r="F1487">
            <v>0.11589101949636353</v>
          </cell>
          <cell r="G1487">
            <v>0.54100750469043157</v>
          </cell>
          <cell r="H1487">
            <v>1.4671195942479084E-2</v>
          </cell>
          <cell r="J1487" t="str">
            <v>2019NC</v>
          </cell>
          <cell r="K1487">
            <v>0.30503469499999991</v>
          </cell>
          <cell r="L1487">
            <v>0.54100750500000006</v>
          </cell>
          <cell r="M1487">
            <v>0.15395780000000001</v>
          </cell>
          <cell r="U1487" t="str">
            <v>2019NC</v>
          </cell>
          <cell r="V1487">
            <v>2.4742549999999999E-3</v>
          </cell>
          <cell r="W1487">
            <v>3.7123251000000003E-2</v>
          </cell>
          <cell r="X1487">
            <v>6.1645423999999997E-2</v>
          </cell>
          <cell r="Y1487">
            <v>0.58464508599999998</v>
          </cell>
          <cell r="Z1487">
            <v>0.31411198400000001</v>
          </cell>
          <cell r="AB1487" t="str">
            <v>2019NC</v>
          </cell>
          <cell r="AC1487">
            <v>0</v>
          </cell>
          <cell r="AD1487">
            <v>0</v>
          </cell>
          <cell r="AE1487">
            <v>0.41899999999999998</v>
          </cell>
          <cell r="AF1487">
            <v>0.58099999999999996</v>
          </cell>
        </row>
        <row r="1488">
          <cell r="B1488" t="str">
            <v>2019ND</v>
          </cell>
          <cell r="C1488">
            <v>0.1196932700797023</v>
          </cell>
          <cell r="D1488">
            <v>0.21866711268457967</v>
          </cell>
          <cell r="E1488">
            <v>0.10978970169096619</v>
          </cell>
          <cell r="F1488">
            <v>0.448028418369537</v>
          </cell>
          <cell r="G1488">
            <v>6.499987314042277E-2</v>
          </cell>
          <cell r="H1488">
            <v>3.8821624034792085E-2</v>
          </cell>
          <cell r="J1488" t="str">
            <v>2019ND</v>
          </cell>
          <cell r="K1488">
            <v>0.82521042499999997</v>
          </cell>
          <cell r="L1488">
            <v>6.4999873E-2</v>
          </cell>
          <cell r="M1488">
            <v>0.109789702</v>
          </cell>
          <cell r="U1488" t="str">
            <v>2019ND</v>
          </cell>
          <cell r="V1488">
            <v>8.8434773999999994E-2</v>
          </cell>
          <cell r="W1488">
            <v>4.7868137999999998E-2</v>
          </cell>
          <cell r="X1488">
            <v>0.243186129</v>
          </cell>
          <cell r="Y1488">
            <v>0.16647603599999999</v>
          </cell>
          <cell r="Z1488">
            <v>0.45403492299999998</v>
          </cell>
          <cell r="AB1488" t="str">
            <v>2019ND</v>
          </cell>
          <cell r="AC1488">
            <v>0</v>
          </cell>
          <cell r="AD1488">
            <v>0</v>
          </cell>
          <cell r="AE1488">
            <v>0.02</v>
          </cell>
          <cell r="AF1488">
            <v>0.98</v>
          </cell>
        </row>
        <row r="1489">
          <cell r="B1489" t="str">
            <v>2019OH</v>
          </cell>
          <cell r="C1489">
            <v>0.10753833947858983</v>
          </cell>
          <cell r="D1489">
            <v>0.22522557822049544</v>
          </cell>
          <cell r="E1489">
            <v>0.13589110116557596</v>
          </cell>
          <cell r="F1489">
            <v>0.4097570212201273</v>
          </cell>
          <cell r="G1489">
            <v>8.0452940491062386E-2</v>
          </cell>
          <cell r="H1489">
            <v>4.1135019424149183E-2</v>
          </cell>
          <cell r="J1489" t="str">
            <v>2019OH</v>
          </cell>
          <cell r="K1489">
            <v>0.78365595900000007</v>
          </cell>
          <cell r="L1489">
            <v>8.0452940000000001E-2</v>
          </cell>
          <cell r="M1489">
            <v>0.13589110099999999</v>
          </cell>
          <cell r="U1489" t="str">
            <v>2019OH</v>
          </cell>
          <cell r="V1489">
            <v>6.6338901000000006E-2</v>
          </cell>
          <cell r="W1489">
            <v>4.3119113000000001E-2</v>
          </cell>
          <cell r="X1489">
            <v>0.26533305600000001</v>
          </cell>
          <cell r="Y1489">
            <v>0.15267545299999999</v>
          </cell>
          <cell r="Z1489">
            <v>0.47253347699999998</v>
          </cell>
          <cell r="AB1489" t="str">
            <v>2019OH</v>
          </cell>
          <cell r="AC1489">
            <v>0</v>
          </cell>
          <cell r="AD1489">
            <v>0</v>
          </cell>
          <cell r="AE1489">
            <v>0</v>
          </cell>
          <cell r="AF1489">
            <v>1</v>
          </cell>
        </row>
        <row r="1490">
          <cell r="B1490" t="str">
            <v>2019OK</v>
          </cell>
          <cell r="C1490">
            <v>0.40296958934788546</v>
          </cell>
          <cell r="D1490">
            <v>0.22528492954061258</v>
          </cell>
          <cell r="E1490">
            <v>6.4896255940651446E-2</v>
          </cell>
          <cell r="F1490">
            <v>0.24738177570149189</v>
          </cell>
          <cell r="G1490">
            <v>0</v>
          </cell>
          <cell r="H1490">
            <v>5.9467449469358676E-2</v>
          </cell>
          <cell r="J1490" t="str">
            <v>2019OK</v>
          </cell>
          <cell r="K1490">
            <v>0.93510374399999996</v>
          </cell>
          <cell r="L1490">
            <v>0</v>
          </cell>
          <cell r="M1490">
            <v>6.4896255999999999E-2</v>
          </cell>
          <cell r="U1490" t="str">
            <v>2019OK</v>
          </cell>
          <cell r="V1490">
            <v>1.2831308E-2</v>
          </cell>
          <cell r="W1490">
            <v>3.6793041999999998E-2</v>
          </cell>
          <cell r="X1490">
            <v>6.2749109999999997E-2</v>
          </cell>
          <cell r="Y1490">
            <v>0.57552135800000004</v>
          </cell>
          <cell r="Z1490">
            <v>0.31210518199999998</v>
          </cell>
          <cell r="AB1490" t="str">
            <v>2019OK</v>
          </cell>
          <cell r="AC1490">
            <v>0</v>
          </cell>
          <cell r="AD1490">
            <v>0</v>
          </cell>
          <cell r="AE1490">
            <v>0.6</v>
          </cell>
          <cell r="AF1490">
            <v>0.4</v>
          </cell>
        </row>
        <row r="1491">
          <cell r="B1491" t="str">
            <v>2019OR</v>
          </cell>
          <cell r="C1491">
            <v>0.43856747008812064</v>
          </cell>
          <cell r="D1491">
            <v>0.20958259090942544</v>
          </cell>
          <cell r="E1491">
            <v>0</v>
          </cell>
          <cell r="F1491">
            <v>0.12862948158709187</v>
          </cell>
          <cell r="G1491">
            <v>0.2018533708975031</v>
          </cell>
          <cell r="H1491">
            <v>2.1367086517858933E-2</v>
          </cell>
          <cell r="J1491" t="str">
            <v>2019OR</v>
          </cell>
          <cell r="K1491">
            <v>0.798146629</v>
          </cell>
          <cell r="L1491">
            <v>0.201853371</v>
          </cell>
          <cell r="M1491">
            <v>0</v>
          </cell>
          <cell r="U1491" t="str">
            <v>2019OR</v>
          </cell>
          <cell r="V1491">
            <v>0.57640796000000005</v>
          </cell>
          <cell r="W1491">
            <v>1.863805E-2</v>
          </cell>
          <cell r="X1491">
            <v>0.116911403</v>
          </cell>
          <cell r="Y1491">
            <v>8.937792E-2</v>
          </cell>
          <cell r="Z1491">
            <v>0.19866466699999999</v>
          </cell>
          <cell r="AB1491" t="str">
            <v>2019OR</v>
          </cell>
          <cell r="AC1491">
            <v>0</v>
          </cell>
          <cell r="AD1491">
            <v>0</v>
          </cell>
          <cell r="AE1491">
            <v>0.25</v>
          </cell>
          <cell r="AF1491">
            <v>0.75</v>
          </cell>
        </row>
        <row r="1492">
          <cell r="B1492" t="str">
            <v>2019PA</v>
          </cell>
          <cell r="C1492">
            <v>4.9624045569858895E-2</v>
          </cell>
          <cell r="D1492">
            <v>0.11712497857538914</v>
          </cell>
          <cell r="E1492">
            <v>0.46874549019831585</v>
          </cell>
          <cell r="F1492">
            <v>0.25230966018477574</v>
          </cell>
          <cell r="G1492">
            <v>8.8454910858433447E-2</v>
          </cell>
          <cell r="H1492">
            <v>2.3740914613226898E-2</v>
          </cell>
          <cell r="J1492" t="str">
            <v>2019PA</v>
          </cell>
          <cell r="K1492">
            <v>0.44279959899999999</v>
          </cell>
          <cell r="L1492">
            <v>8.8454910999999997E-2</v>
          </cell>
          <cell r="M1492">
            <v>0.46874548999999999</v>
          </cell>
          <cell r="U1492" t="str">
            <v>2019PA</v>
          </cell>
          <cell r="V1492">
            <v>5.0102499000000002E-2</v>
          </cell>
          <cell r="W1492">
            <v>4.9409870000000002E-2</v>
          </cell>
          <cell r="X1492">
            <v>0.25392279899999998</v>
          </cell>
          <cell r="Y1492">
            <v>0.17504710600000001</v>
          </cell>
          <cell r="Z1492">
            <v>0.47151772600000003</v>
          </cell>
          <cell r="AB1492" t="str">
            <v>2019PA</v>
          </cell>
          <cell r="AC1492">
            <v>0</v>
          </cell>
          <cell r="AD1492">
            <v>0</v>
          </cell>
          <cell r="AE1492">
            <v>0</v>
          </cell>
          <cell r="AF1492">
            <v>1</v>
          </cell>
        </row>
        <row r="1493">
          <cell r="B1493" t="str">
            <v>2019RI</v>
          </cell>
          <cell r="C1493">
            <v>4.2447025005926793E-2</v>
          </cell>
          <cell r="D1493">
            <v>0.1190174947032642</v>
          </cell>
          <cell r="E1493">
            <v>0.46784468707451643</v>
          </cell>
          <cell r="F1493">
            <v>0.25730854976835782</v>
          </cell>
          <cell r="G1493">
            <v>8.7642343040085183E-2</v>
          </cell>
          <cell r="H1493">
            <v>2.5739900407849584E-2</v>
          </cell>
          <cell r="J1493" t="str">
            <v>2019RI</v>
          </cell>
          <cell r="K1493">
            <v>0.44451297000000001</v>
          </cell>
          <cell r="L1493">
            <v>8.7642342999999998E-2</v>
          </cell>
          <cell r="M1493">
            <v>0.46784468699999998</v>
          </cell>
          <cell r="U1493" t="str">
            <v>2019RI</v>
          </cell>
          <cell r="V1493">
            <v>0.56026879500000004</v>
          </cell>
          <cell r="W1493">
            <v>1.9348173E-2</v>
          </cell>
          <cell r="X1493">
            <v>0.121365813</v>
          </cell>
          <cell r="Y1493">
            <v>9.2783283999999994E-2</v>
          </cell>
          <cell r="Z1493">
            <v>0.20623393500000001</v>
          </cell>
          <cell r="AB1493" t="str">
            <v>2019RI</v>
          </cell>
          <cell r="AC1493">
            <v>0</v>
          </cell>
          <cell r="AD1493">
            <v>0</v>
          </cell>
          <cell r="AE1493">
            <v>0.05</v>
          </cell>
          <cell r="AF1493">
            <v>0.95</v>
          </cell>
        </row>
        <row r="1494">
          <cell r="B1494" t="str">
            <v>2019SC</v>
          </cell>
          <cell r="C1494">
            <v>0.13346180610825578</v>
          </cell>
          <cell r="D1494">
            <v>9.0019723091430845E-2</v>
          </cell>
          <cell r="E1494">
            <v>0.15451296947775242</v>
          </cell>
          <cell r="F1494">
            <v>8.0687406490411034E-2</v>
          </cell>
          <cell r="G1494">
            <v>0.53771407690020812</v>
          </cell>
          <cell r="H1494">
            <v>3.6040179319418398E-3</v>
          </cell>
          <cell r="J1494" t="str">
            <v>2019SC</v>
          </cell>
          <cell r="K1494">
            <v>0.30777295400000004</v>
          </cell>
          <cell r="L1494">
            <v>0.53771407699999996</v>
          </cell>
          <cell r="M1494">
            <v>0.154512969</v>
          </cell>
          <cell r="U1494" t="str">
            <v>2019SC</v>
          </cell>
          <cell r="V1494">
            <v>6.1629585000000001E-2</v>
          </cell>
          <cell r="W1494">
            <v>3.5823032999999997E-2</v>
          </cell>
          <cell r="X1494">
            <v>8.6443989999999998E-2</v>
          </cell>
          <cell r="Y1494">
            <v>0.50014727299999995</v>
          </cell>
          <cell r="Z1494">
            <v>0.31595611899999998</v>
          </cell>
          <cell r="AB1494" t="str">
            <v>2019SC</v>
          </cell>
          <cell r="AC1494">
            <v>0</v>
          </cell>
          <cell r="AD1494">
            <v>0</v>
          </cell>
          <cell r="AE1494">
            <v>0.6</v>
          </cell>
          <cell r="AF1494">
            <v>0.4</v>
          </cell>
        </row>
        <row r="1495">
          <cell r="B1495" t="str">
            <v>2019SD</v>
          </cell>
          <cell r="C1495">
            <v>0.17608951911561277</v>
          </cell>
          <cell r="D1495">
            <v>0.277831368160596</v>
          </cell>
          <cell r="E1495">
            <v>7.9800561964795444E-2</v>
          </cell>
          <cell r="F1495">
            <v>0.37802114842972712</v>
          </cell>
          <cell r="G1495">
            <v>4.724510882492864E-2</v>
          </cell>
          <cell r="H1495">
            <v>4.1012293504340026E-2</v>
          </cell>
          <cell r="J1495" t="str">
            <v>2019SD</v>
          </cell>
          <cell r="K1495">
            <v>0.87295432900000003</v>
          </cell>
          <cell r="L1495">
            <v>4.7245109E-2</v>
          </cell>
          <cell r="M1495">
            <v>7.9800562000000005E-2</v>
          </cell>
          <cell r="U1495" t="str">
            <v>2019SD</v>
          </cell>
          <cell r="V1495">
            <v>3.3046748000000001E-2</v>
          </cell>
          <cell r="W1495">
            <v>5.1157264000000001E-2</v>
          </cell>
          <cell r="X1495">
            <v>0.25755016600000002</v>
          </cell>
          <cell r="Y1495">
            <v>0.17532273200000001</v>
          </cell>
          <cell r="Z1495">
            <v>0.48292308900000003</v>
          </cell>
          <cell r="AB1495" t="str">
            <v>2019SD</v>
          </cell>
          <cell r="AC1495">
            <v>0</v>
          </cell>
          <cell r="AD1495">
            <v>0</v>
          </cell>
          <cell r="AE1495">
            <v>0.02</v>
          </cell>
          <cell r="AF1495">
            <v>0.98</v>
          </cell>
        </row>
        <row r="1496">
          <cell r="B1496" t="str">
            <v>2019TN</v>
          </cell>
          <cell r="C1496">
            <v>4.0519949592449485E-2</v>
          </cell>
          <cell r="D1496">
            <v>8.9664149461423162E-2</v>
          </cell>
          <cell r="E1496">
            <v>0.14551684926860037</v>
          </cell>
          <cell r="F1496">
            <v>0.1170185785979804</v>
          </cell>
          <cell r="G1496">
            <v>0.59108168584929244</v>
          </cell>
          <cell r="H1496">
            <v>1.6198787230254148E-2</v>
          </cell>
          <cell r="J1496" t="str">
            <v>2019TN</v>
          </cell>
          <cell r="K1496">
            <v>0.26340146500000006</v>
          </cell>
          <cell r="L1496">
            <v>0.591081686</v>
          </cell>
          <cell r="M1496">
            <v>0.145516849</v>
          </cell>
          <cell r="U1496" t="str">
            <v>2019TN</v>
          </cell>
          <cell r="V1496">
            <v>0.102875089</v>
          </cell>
          <cell r="W1496">
            <v>3.5402429999999999E-2</v>
          </cell>
          <cell r="X1496">
            <v>0.119077104</v>
          </cell>
          <cell r="Y1496">
            <v>0.41436515099999999</v>
          </cell>
          <cell r="Z1496">
            <v>0.32828022600000001</v>
          </cell>
          <cell r="AB1496" t="str">
            <v>2019TN</v>
          </cell>
          <cell r="AC1496">
            <v>0</v>
          </cell>
          <cell r="AD1496">
            <v>0</v>
          </cell>
          <cell r="AE1496">
            <v>0.05</v>
          </cell>
          <cell r="AF1496">
            <v>0.95</v>
          </cell>
        </row>
        <row r="1497">
          <cell r="B1497" t="str">
            <v>2019TX</v>
          </cell>
          <cell r="C1497">
            <v>0.53305655520056971</v>
          </cell>
          <cell r="D1497">
            <v>0.24233312613196878</v>
          </cell>
          <cell r="E1497">
            <v>7.9791980793249173E-2</v>
          </cell>
          <cell r="F1497">
            <v>0.1278405091499755</v>
          </cell>
          <cell r="G1497">
            <v>0</v>
          </cell>
          <cell r="H1497">
            <v>1.6977828724236681E-2</v>
          </cell>
          <cell r="J1497" t="str">
            <v>2019TX</v>
          </cell>
          <cell r="K1497">
            <v>0.92020801900000004</v>
          </cell>
          <cell r="L1497">
            <v>0</v>
          </cell>
          <cell r="M1497">
            <v>7.9791980999999998E-2</v>
          </cell>
          <cell r="U1497" t="str">
            <v>2019TX</v>
          </cell>
          <cell r="V1497">
            <v>6.9632535999999995E-2</v>
          </cell>
          <cell r="W1497">
            <v>3.4700662E-2</v>
          </cell>
          <cell r="X1497">
            <v>5.9917572000000002E-2</v>
          </cell>
          <cell r="Y1497">
            <v>0.54104196599999999</v>
          </cell>
          <cell r="Z1497">
            <v>0.29470726400000002</v>
          </cell>
          <cell r="AB1497" t="str">
            <v>2019TX</v>
          </cell>
          <cell r="AC1497">
            <v>0</v>
          </cell>
          <cell r="AD1497">
            <v>0</v>
          </cell>
          <cell r="AE1497">
            <v>0.12</v>
          </cell>
          <cell r="AF1497">
            <v>0.88</v>
          </cell>
        </row>
        <row r="1498">
          <cell r="B1498" t="str">
            <v>2019UT</v>
          </cell>
          <cell r="C1498">
            <v>0.51165623152884221</v>
          </cell>
          <cell r="D1498">
            <v>0.26394677259150623</v>
          </cell>
          <cell r="E1498">
            <v>1.3999177703951423E-2</v>
          </cell>
          <cell r="F1498">
            <v>0.17036034814732054</v>
          </cell>
          <cell r="G1498">
            <v>8.2880703819413898E-3</v>
          </cell>
          <cell r="H1498">
            <v>3.1749399646438282E-2</v>
          </cell>
          <cell r="J1498" t="str">
            <v>2019UT</v>
          </cell>
          <cell r="K1498">
            <v>0.97771275199999996</v>
          </cell>
          <cell r="L1498">
            <v>8.2880699999999998E-3</v>
          </cell>
          <cell r="M1498">
            <v>1.3999177999999999E-2</v>
          </cell>
          <cell r="U1498" t="str">
            <v>2019UT</v>
          </cell>
          <cell r="V1498">
            <v>8.6456620000000001E-3</v>
          </cell>
          <cell r="W1498">
            <v>5.5424775000000003E-2</v>
          </cell>
          <cell r="X1498">
            <v>0.260824848</v>
          </cell>
          <cell r="Y1498">
            <v>0.16982515300000001</v>
          </cell>
          <cell r="Z1498">
            <v>0.50527956200000002</v>
          </cell>
          <cell r="AB1498" t="str">
            <v>2019UT</v>
          </cell>
          <cell r="AC1498">
            <v>0</v>
          </cell>
          <cell r="AD1498">
            <v>0</v>
          </cell>
          <cell r="AE1498">
            <v>0.6</v>
          </cell>
          <cell r="AF1498">
            <v>0.4</v>
          </cell>
        </row>
        <row r="1499">
          <cell r="B1499" t="str">
            <v>2019VT</v>
          </cell>
          <cell r="C1499">
            <v>9.9973781354903396E-2</v>
          </cell>
          <cell r="D1499">
            <v>0.17387691112967565</v>
          </cell>
          <cell r="E1499">
            <v>0.44423932842492886</v>
          </cell>
          <cell r="F1499">
            <v>0.19448861844630186</v>
          </cell>
          <cell r="G1499">
            <v>6.6349172232328182E-2</v>
          </cell>
          <cell r="H1499">
            <v>2.1072188411862088E-2</v>
          </cell>
          <cell r="J1499" t="str">
            <v>2019VT</v>
          </cell>
          <cell r="K1499">
            <v>0.4894115</v>
          </cell>
          <cell r="L1499">
            <v>6.6349171999999998E-2</v>
          </cell>
          <cell r="M1499">
            <v>0.44423932799999999</v>
          </cell>
          <cell r="U1499" t="str">
            <v>2019VT</v>
          </cell>
          <cell r="V1499">
            <v>0.86037974299999997</v>
          </cell>
          <cell r="W1499">
            <v>6.1432910000000004E-3</v>
          </cell>
          <cell r="X1499">
            <v>3.8535191000000003E-2</v>
          </cell>
          <cell r="Y1499">
            <v>2.9459874E-2</v>
          </cell>
          <cell r="Z1499">
            <v>6.5481899999999996E-2</v>
          </cell>
          <cell r="AB1499" t="str">
            <v>2019VT</v>
          </cell>
          <cell r="AC1499">
            <v>0</v>
          </cell>
          <cell r="AD1499">
            <v>0</v>
          </cell>
          <cell r="AE1499">
            <v>0.05</v>
          </cell>
          <cell r="AF1499">
            <v>0.95</v>
          </cell>
        </row>
        <row r="1500">
          <cell r="B1500" t="str">
            <v>2019VA</v>
          </cell>
          <cell r="C1500">
            <v>4.4953509549794296E-2</v>
          </cell>
          <cell r="D1500">
            <v>9.339670802378576E-2</v>
          </cell>
          <cell r="E1500">
            <v>0.14844092890155638</v>
          </cell>
          <cell r="F1500">
            <v>0.12331550684410268</v>
          </cell>
          <cell r="G1500">
            <v>0.5737351926100378</v>
          </cell>
          <cell r="H1500">
            <v>1.6158154070723133E-2</v>
          </cell>
          <cell r="J1500" t="str">
            <v>2019VA</v>
          </cell>
          <cell r="K1500">
            <v>0.27782387799999997</v>
          </cell>
          <cell r="L1500">
            <v>0.57373519299999998</v>
          </cell>
          <cell r="M1500">
            <v>0.148440929</v>
          </cell>
          <cell r="U1500" t="str">
            <v>2019VA</v>
          </cell>
          <cell r="V1500">
            <v>3.3934871999999998E-2</v>
          </cell>
          <cell r="W1500">
            <v>3.6244844999999998E-2</v>
          </cell>
          <cell r="X1500">
            <v>6.8933026999999994E-2</v>
          </cell>
          <cell r="Y1500">
            <v>0.550040046</v>
          </cell>
          <cell r="Z1500">
            <v>0.31084721100000001</v>
          </cell>
          <cell r="AB1500" t="str">
            <v>2019VA</v>
          </cell>
          <cell r="AC1500">
            <v>0</v>
          </cell>
          <cell r="AD1500">
            <v>0</v>
          </cell>
          <cell r="AE1500">
            <v>0.05</v>
          </cell>
          <cell r="AF1500">
            <v>0.95</v>
          </cell>
        </row>
        <row r="1501">
          <cell r="B1501" t="str">
            <v>2019WA</v>
          </cell>
          <cell r="C1501">
            <v>0.48742079910802349</v>
          </cell>
          <cell r="D1501">
            <v>0.21961274491816118</v>
          </cell>
          <cell r="E1501">
            <v>0</v>
          </cell>
          <cell r="F1501">
            <v>0.11254281869932067</v>
          </cell>
          <cell r="G1501">
            <v>0.16627589127589129</v>
          </cell>
          <cell r="H1501">
            <v>1.4147745998603438E-2</v>
          </cell>
          <cell r="J1501" t="str">
            <v>2019WA</v>
          </cell>
          <cell r="K1501">
            <v>0.83372410900000005</v>
          </cell>
          <cell r="L1501">
            <v>0.16627589100000001</v>
          </cell>
          <cell r="M1501">
            <v>0</v>
          </cell>
          <cell r="U1501" t="str">
            <v>2019WA</v>
          </cell>
          <cell r="V1501">
            <v>0.37353494700000001</v>
          </cell>
          <cell r="W1501">
            <v>3.1263627000000002E-2</v>
          </cell>
          <cell r="X1501">
            <v>0.168896926</v>
          </cell>
          <cell r="Y1501">
            <v>0.119853577</v>
          </cell>
          <cell r="Z1501">
            <v>0.30645092299999999</v>
          </cell>
          <cell r="AB1501" t="str">
            <v>2019WA</v>
          </cell>
          <cell r="AC1501">
            <v>0</v>
          </cell>
          <cell r="AD1501">
            <v>0</v>
          </cell>
          <cell r="AE1501">
            <v>0.12</v>
          </cell>
          <cell r="AF1501">
            <v>0.88</v>
          </cell>
        </row>
        <row r="1502">
          <cell r="B1502" t="str">
            <v>2019WV</v>
          </cell>
          <cell r="C1502">
            <v>6.8751812683186322E-2</v>
          </cell>
          <cell r="D1502">
            <v>0.15888641455628993</v>
          </cell>
          <cell r="E1502">
            <v>0.44831485363191043</v>
          </cell>
          <cell r="F1502">
            <v>0.22633984896592482</v>
          </cell>
          <cell r="G1502">
            <v>7.0025492327769459E-2</v>
          </cell>
          <cell r="H1502">
            <v>2.7681577834919095E-2</v>
          </cell>
          <cell r="J1502" t="str">
            <v>2019WV</v>
          </cell>
          <cell r="K1502">
            <v>0.48165965399999999</v>
          </cell>
          <cell r="L1502">
            <v>7.0025491999999995E-2</v>
          </cell>
          <cell r="M1502">
            <v>0.44831485399999998</v>
          </cell>
          <cell r="U1502" t="str">
            <v>2019WV</v>
          </cell>
          <cell r="V1502">
            <v>0.57920187499999998</v>
          </cell>
          <cell r="W1502">
            <v>2.1256934000000002E-2</v>
          </cell>
          <cell r="X1502">
            <v>0.113169981</v>
          </cell>
          <cell r="Y1502">
            <v>7.9649016000000003E-2</v>
          </cell>
          <cell r="Z1502">
            <v>0.206722194</v>
          </cell>
          <cell r="AB1502" t="str">
            <v>2019WV</v>
          </cell>
          <cell r="AC1502">
            <v>0</v>
          </cell>
          <cell r="AD1502">
            <v>0</v>
          </cell>
          <cell r="AE1502">
            <v>0.05</v>
          </cell>
          <cell r="AF1502">
            <v>0.95</v>
          </cell>
        </row>
        <row r="1503">
          <cell r="B1503" t="str">
            <v>2019WI</v>
          </cell>
          <cell r="C1503">
            <v>0.12203432597344931</v>
          </cell>
          <cell r="D1503">
            <v>0.23555629715568294</v>
          </cell>
          <cell r="E1503">
            <v>0.11540173598404266</v>
          </cell>
          <cell r="F1503">
            <v>0.42032708364290838</v>
          </cell>
          <cell r="G1503">
            <v>6.8322420806473022E-2</v>
          </cell>
          <cell r="H1503">
            <v>3.8358136437443673E-2</v>
          </cell>
          <cell r="J1503" t="str">
            <v>2019WI</v>
          </cell>
          <cell r="K1503">
            <v>0.816275843</v>
          </cell>
          <cell r="L1503">
            <v>6.8322420999999994E-2</v>
          </cell>
          <cell r="M1503">
            <v>0.115401736</v>
          </cell>
          <cell r="U1503" t="str">
            <v>2019WI</v>
          </cell>
          <cell r="V1503">
            <v>0.12883246500000001</v>
          </cell>
          <cell r="W1503">
            <v>4.2564396999999997E-2</v>
          </cell>
          <cell r="X1503">
            <v>0.23585646199999999</v>
          </cell>
          <cell r="Y1503">
            <v>0.16970626599999999</v>
          </cell>
          <cell r="Z1503">
            <v>0.42304040999999998</v>
          </cell>
          <cell r="AB1503" t="str">
            <v>2019WI</v>
          </cell>
          <cell r="AC1503">
            <v>0</v>
          </cell>
          <cell r="AD1503">
            <v>0</v>
          </cell>
          <cell r="AE1503">
            <v>0.02</v>
          </cell>
          <cell r="AF1503">
            <v>0.98</v>
          </cell>
        </row>
        <row r="1504">
          <cell r="B1504" t="str">
            <v>2019WY</v>
          </cell>
          <cell r="C1504">
            <v>0.29508724522063295</v>
          </cell>
          <cell r="D1504">
            <v>0.23251729773373622</v>
          </cell>
          <cell r="E1504">
            <v>0.12161775942187937</v>
          </cell>
          <cell r="F1504">
            <v>0.2207502472879718</v>
          </cell>
          <cell r="G1504">
            <v>7.2002554085590281E-2</v>
          </cell>
          <cell r="H1504">
            <v>5.8024896250189507E-2</v>
          </cell>
          <cell r="J1504" t="str">
            <v>2019WY</v>
          </cell>
          <cell r="K1504">
            <v>0.80637968699999996</v>
          </cell>
          <cell r="L1504">
            <v>7.2002553999999996E-2</v>
          </cell>
          <cell r="M1504">
            <v>0.12161775900000001</v>
          </cell>
          <cell r="U1504" t="str">
            <v>2019WY</v>
          </cell>
          <cell r="V1504">
            <v>3.2109568999999998E-2</v>
          </cell>
          <cell r="W1504">
            <v>5.3596850000000001E-2</v>
          </cell>
          <cell r="X1504">
            <v>0.25521061499999997</v>
          </cell>
          <cell r="Y1504">
            <v>0.16752597599999999</v>
          </cell>
          <cell r="Z1504">
            <v>0.49155699000000003</v>
          </cell>
          <cell r="AB1504" t="str">
            <v>2019WY</v>
          </cell>
          <cell r="AC1504">
            <v>0</v>
          </cell>
          <cell r="AD1504">
            <v>0</v>
          </cell>
          <cell r="AE1504">
            <v>0.6</v>
          </cell>
          <cell r="AF1504">
            <v>0.4</v>
          </cell>
        </row>
        <row r="1505">
          <cell r="B1505" t="str">
            <v>2020AL</v>
          </cell>
          <cell r="C1505">
            <v>0.17233560131521788</v>
          </cell>
          <cell r="D1505">
            <v>9.7606154746872412E-2</v>
          </cell>
          <cell r="E1505">
            <v>0.16919346457207346</v>
          </cell>
          <cell r="F1505">
            <v>0.1056405325382436</v>
          </cell>
          <cell r="G1505">
            <v>0.45062509818962659</v>
          </cell>
          <cell r="H1505">
            <v>4.5991486379660445E-3</v>
          </cell>
          <cell r="J1505" t="str">
            <v>2020AL</v>
          </cell>
          <cell r="K1505">
            <v>0.38018143700000007</v>
          </cell>
          <cell r="L1505">
            <v>0.450625098</v>
          </cell>
          <cell r="M1505">
            <v>0.16919346499999999</v>
          </cell>
          <cell r="U1505" t="str">
            <v>2020AL</v>
          </cell>
          <cell r="V1505">
            <v>5.3114938E-2</v>
          </cell>
          <cell r="W1505">
            <v>3.6058960000000001E-2</v>
          </cell>
          <cell r="X1505">
            <v>8.4414527000000003E-2</v>
          </cell>
          <cell r="Y1505">
            <v>0.50961295299999998</v>
          </cell>
          <cell r="Z1505">
            <v>0.316798623</v>
          </cell>
          <cell r="AB1505" t="str">
            <v>2020AL</v>
          </cell>
          <cell r="AC1505">
            <v>0</v>
          </cell>
          <cell r="AD1505">
            <v>0</v>
          </cell>
          <cell r="AE1505">
            <v>0.41899999999999998</v>
          </cell>
          <cell r="AF1505">
            <v>0.58099999999999996</v>
          </cell>
        </row>
        <row r="1506">
          <cell r="B1506" t="str">
            <v>2020AK</v>
          </cell>
          <cell r="C1506">
            <v>0.30334484066413492</v>
          </cell>
          <cell r="D1506">
            <v>0.23769937716735701</v>
          </cell>
          <cell r="E1506">
            <v>6.205843688929364E-2</v>
          </cell>
          <cell r="F1506">
            <v>0.28363994741136878</v>
          </cell>
          <cell r="G1506">
            <v>3.6741064625999714E-2</v>
          </cell>
          <cell r="H1506">
            <v>7.6516333241846021E-2</v>
          </cell>
          <cell r="J1506" t="str">
            <v>2020AK</v>
          </cell>
          <cell r="K1506">
            <v>0.90120049800000002</v>
          </cell>
          <cell r="L1506">
            <v>3.6741065000000003E-2</v>
          </cell>
          <cell r="M1506">
            <v>6.2058437000000001E-2</v>
          </cell>
          <cell r="U1506" t="str">
            <v>2020AK</v>
          </cell>
          <cell r="V1506">
            <v>0.52632575500000001</v>
          </cell>
          <cell r="W1506">
            <v>2.0841667000000001E-2</v>
          </cell>
          <cell r="X1506">
            <v>0.130734092</v>
          </cell>
          <cell r="Y1506">
            <v>9.9945266000000005E-2</v>
          </cell>
          <cell r="Z1506">
            <v>0.22215322100000001</v>
          </cell>
          <cell r="AB1506" t="str">
            <v>2020AK</v>
          </cell>
          <cell r="AC1506">
            <v>0</v>
          </cell>
          <cell r="AD1506">
            <v>0</v>
          </cell>
          <cell r="AE1506">
            <v>0.25</v>
          </cell>
          <cell r="AF1506">
            <v>0.75</v>
          </cell>
        </row>
        <row r="1507">
          <cell r="B1507" t="str">
            <v>2020AZ</v>
          </cell>
          <cell r="C1507">
            <v>0.611220636654217</v>
          </cell>
          <cell r="D1507">
            <v>0.19572797693407004</v>
          </cell>
          <cell r="E1507">
            <v>9.865488383487428E-2</v>
          </cell>
          <cell r="F1507">
            <v>9.3890669243012675E-2</v>
          </cell>
          <cell r="G1507">
            <v>0</v>
          </cell>
          <cell r="H1507">
            <v>5.0583333382575558E-4</v>
          </cell>
          <cell r="J1507" t="str">
            <v>2020AZ</v>
          </cell>
          <cell r="K1507">
            <v>0.901345116</v>
          </cell>
          <cell r="L1507">
            <v>0</v>
          </cell>
          <cell r="M1507">
            <v>9.8654883999999998E-2</v>
          </cell>
          <cell r="U1507" t="str">
            <v>2020AZ</v>
          </cell>
          <cell r="V1507">
            <v>0.136592664</v>
          </cell>
          <cell r="W1507">
            <v>3.2171241000000003E-2</v>
          </cell>
          <cell r="X1507">
            <v>5.4596316999999998E-2</v>
          </cell>
          <cell r="Y1507">
            <v>0.50386894699999996</v>
          </cell>
          <cell r="Z1507">
            <v>0.27277083200000002</v>
          </cell>
          <cell r="AB1507" t="str">
            <v>2020AZ</v>
          </cell>
          <cell r="AC1507">
            <v>0</v>
          </cell>
          <cell r="AD1507">
            <v>0</v>
          </cell>
          <cell r="AE1507">
            <v>0.6</v>
          </cell>
          <cell r="AF1507">
            <v>0.4</v>
          </cell>
        </row>
        <row r="1508">
          <cell r="B1508" t="str">
            <v>2020AR</v>
          </cell>
          <cell r="C1508">
            <v>9.6391342329605903E-2</v>
          </cell>
          <cell r="D1508">
            <v>6.6955456596874061E-2</v>
          </cell>
          <cell r="E1508">
            <v>0.14888335780531528</v>
          </cell>
          <cell r="F1508">
            <v>0.11118804006195876</v>
          </cell>
          <cell r="G1508">
            <v>0.57111057531117648</v>
          </cell>
          <cell r="H1508">
            <v>5.4712278950695761E-3</v>
          </cell>
          <cell r="J1508" t="str">
            <v>2020AR</v>
          </cell>
          <cell r="K1508">
            <v>0.28000606700000008</v>
          </cell>
          <cell r="L1508">
            <v>0.57111057499999995</v>
          </cell>
          <cell r="M1508">
            <v>0.14888335799999999</v>
          </cell>
          <cell r="U1508" t="str">
            <v>2020AR</v>
          </cell>
          <cell r="V1508">
            <v>3.9459004999999998E-2</v>
          </cell>
          <cell r="W1508">
            <v>3.7640482000000003E-2</v>
          </cell>
          <cell r="X1508">
            <v>0.11914443199999999</v>
          </cell>
          <cell r="Y1508">
            <v>0.45827781299999998</v>
          </cell>
          <cell r="Z1508">
            <v>0.34547826799999998</v>
          </cell>
          <cell r="AB1508" t="str">
            <v>2020AR</v>
          </cell>
          <cell r="AC1508">
            <v>0</v>
          </cell>
          <cell r="AD1508">
            <v>0</v>
          </cell>
          <cell r="AE1508">
            <v>0</v>
          </cell>
          <cell r="AF1508">
            <v>1</v>
          </cell>
        </row>
        <row r="1509">
          <cell r="B1509" t="str">
            <v>2020CA</v>
          </cell>
          <cell r="C1509">
            <v>0.58081862489107328</v>
          </cell>
          <cell r="D1509">
            <v>0.20720345916912225</v>
          </cell>
          <cell r="E1509">
            <v>0.10801924509893834</v>
          </cell>
          <cell r="F1509">
            <v>9.2431120719429966E-2</v>
          </cell>
          <cell r="G1509">
            <v>9.2523577326630076E-3</v>
          </cell>
          <cell r="H1509">
            <v>2.2751923887731596E-3</v>
          </cell>
          <cell r="J1509" t="str">
            <v>2020CA</v>
          </cell>
          <cell r="K1509">
            <v>0.88272839699999994</v>
          </cell>
          <cell r="L1509">
            <v>9.2523580000000005E-3</v>
          </cell>
          <cell r="M1509">
            <v>0.108019245</v>
          </cell>
          <cell r="U1509" t="str">
            <v>2020CA</v>
          </cell>
          <cell r="V1509">
            <v>0.133799526</v>
          </cell>
          <cell r="W1509">
            <v>3.2941353E-2</v>
          </cell>
          <cell r="X1509">
            <v>7.5800703999999997E-2</v>
          </cell>
          <cell r="Y1509">
            <v>0.46867659099999998</v>
          </cell>
          <cell r="Z1509">
            <v>0.28878182499999999</v>
          </cell>
          <cell r="AB1509" t="str">
            <v>2020CA</v>
          </cell>
          <cell r="AC1509">
            <v>0</v>
          </cell>
          <cell r="AD1509">
            <v>0</v>
          </cell>
          <cell r="AE1509">
            <v>0.12</v>
          </cell>
          <cell r="AF1509">
            <v>0.88</v>
          </cell>
        </row>
        <row r="1510">
          <cell r="B1510" t="str">
            <v>2020CO</v>
          </cell>
          <cell r="C1510">
            <v>0.61667904285785091</v>
          </cell>
          <cell r="D1510">
            <v>0.24212893570430052</v>
          </cell>
          <cell r="E1510">
            <v>1.1092391745361967E-2</v>
          </cell>
          <cell r="F1510">
            <v>0.11516410971780773</v>
          </cell>
          <cell r="G1510">
            <v>6.5671374014829543E-3</v>
          </cell>
          <cell r="H1510">
            <v>8.3683825731959392E-3</v>
          </cell>
          <cell r="J1510" t="str">
            <v>2020CO</v>
          </cell>
          <cell r="K1510">
            <v>0.98234047099999999</v>
          </cell>
          <cell r="L1510">
            <v>6.5671369999999998E-3</v>
          </cell>
          <cell r="M1510">
            <v>1.1092392E-2</v>
          </cell>
          <cell r="U1510" t="str">
            <v>2020CO</v>
          </cell>
          <cell r="V1510">
            <v>2.3378138E-2</v>
          </cell>
          <cell r="W1510">
            <v>5.3880426000000002E-2</v>
          </cell>
          <cell r="X1510">
            <v>0.25772948099999998</v>
          </cell>
          <cell r="Y1510">
            <v>0.169703665</v>
          </cell>
          <cell r="Z1510">
            <v>0.49530828999999998</v>
          </cell>
          <cell r="AB1510" t="str">
            <v>2020CO</v>
          </cell>
          <cell r="AC1510">
            <v>0</v>
          </cell>
          <cell r="AD1510">
            <v>0</v>
          </cell>
          <cell r="AE1510">
            <v>0.6</v>
          </cell>
          <cell r="AF1510">
            <v>0.4</v>
          </cell>
        </row>
        <row r="1511">
          <cell r="B1511" t="str">
            <v>2020CT</v>
          </cell>
          <cell r="C1511">
            <v>0.11572842393252261</v>
          </cell>
          <cell r="D1511">
            <v>0.20119880615243968</v>
          </cell>
          <cell r="E1511">
            <v>0.43233999756560143</v>
          </cell>
          <cell r="F1511">
            <v>0.17234541515575838</v>
          </cell>
          <cell r="G1511">
            <v>5.5615402487630847E-2</v>
          </cell>
          <cell r="H1511">
            <v>2.2771954706046996E-2</v>
          </cell>
          <cell r="J1511" t="str">
            <v>2020CT</v>
          </cell>
          <cell r="K1511">
            <v>0.51204460000000007</v>
          </cell>
          <cell r="L1511">
            <v>5.5615402000000001E-2</v>
          </cell>
          <cell r="M1511">
            <v>0.432339998</v>
          </cell>
          <cell r="U1511" t="str">
            <v>2020CT</v>
          </cell>
          <cell r="V1511">
            <v>0.57363861400000005</v>
          </cell>
          <cell r="W1511">
            <v>1.8759900999999999E-2</v>
          </cell>
          <cell r="X1511">
            <v>0.117675743</v>
          </cell>
          <cell r="Y1511">
            <v>8.9962252000000006E-2</v>
          </cell>
          <cell r="Z1511">
            <v>0.19996348999999999</v>
          </cell>
          <cell r="AB1511" t="str">
            <v>2020CT</v>
          </cell>
          <cell r="AC1511">
            <v>0</v>
          </cell>
          <cell r="AD1511">
            <v>0</v>
          </cell>
          <cell r="AE1511">
            <v>0.05</v>
          </cell>
          <cell r="AF1511">
            <v>0.95</v>
          </cell>
        </row>
        <row r="1512">
          <cell r="B1512" t="str">
            <v>2020DE</v>
          </cell>
          <cell r="C1512">
            <v>0.10201653895343663</v>
          </cell>
          <cell r="D1512">
            <v>0.1910091905838856</v>
          </cell>
          <cell r="E1512">
            <v>0.43707162937473454</v>
          </cell>
          <cell r="F1512">
            <v>0.18637975788177577</v>
          </cell>
          <cell r="G1512">
            <v>5.9883562349419175E-2</v>
          </cell>
          <cell r="H1512">
            <v>2.3639320856748244E-2</v>
          </cell>
          <cell r="J1512" t="str">
            <v>2020DE</v>
          </cell>
          <cell r="K1512">
            <v>0.50304480899999993</v>
          </cell>
          <cell r="L1512">
            <v>5.9883562000000001E-2</v>
          </cell>
          <cell r="M1512">
            <v>0.43707162900000002</v>
          </cell>
          <cell r="U1512" t="str">
            <v>2020DE</v>
          </cell>
          <cell r="V1512">
            <v>0.120253529</v>
          </cell>
          <cell r="W1512">
            <v>4.1631153999999997E-2</v>
          </cell>
          <cell r="X1512">
            <v>0.23964419100000001</v>
          </cell>
          <cell r="Y1512">
            <v>0.17588547500000001</v>
          </cell>
          <cell r="Z1512">
            <v>0.42258565100000001</v>
          </cell>
          <cell r="AB1512" t="str">
            <v>2020DE</v>
          </cell>
          <cell r="AC1512">
            <v>0</v>
          </cell>
          <cell r="AD1512">
            <v>0</v>
          </cell>
          <cell r="AE1512">
            <v>0.05</v>
          </cell>
          <cell r="AF1512">
            <v>0.95</v>
          </cell>
        </row>
        <row r="1513">
          <cell r="B1513" t="str">
            <v>2020FL</v>
          </cell>
          <cell r="C1513">
            <v>0.38654865924430459</v>
          </cell>
          <cell r="D1513">
            <v>0.14503983167997814</v>
          </cell>
          <cell r="E1513">
            <v>0.21616400084919535</v>
          </cell>
          <cell r="F1513">
            <v>7.8997496757044303E-2</v>
          </cell>
          <cell r="G1513">
            <v>0.17198217725399226</v>
          </cell>
          <cell r="H1513">
            <v>1.2678342154852779E-3</v>
          </cell>
          <cell r="J1513" t="str">
            <v>2020FL</v>
          </cell>
          <cell r="K1513">
            <v>0.61185382200000005</v>
          </cell>
          <cell r="L1513">
            <v>0.17198217700000001</v>
          </cell>
          <cell r="M1513">
            <v>0.21616400099999999</v>
          </cell>
          <cell r="U1513" t="str">
            <v>2020FL</v>
          </cell>
          <cell r="V1513">
            <v>0.71166924399999998</v>
          </cell>
          <cell r="W1513">
            <v>1.2686553E-2</v>
          </cell>
          <cell r="X1513">
            <v>7.9579288999999998E-2</v>
          </cell>
          <cell r="Y1513">
            <v>6.0837789000000003E-2</v>
          </cell>
          <cell r="Z1513">
            <v>0.135227124</v>
          </cell>
          <cell r="AB1513" t="str">
            <v>2020FL</v>
          </cell>
          <cell r="AC1513">
            <v>0</v>
          </cell>
          <cell r="AD1513">
            <v>0</v>
          </cell>
          <cell r="AE1513">
            <v>0.41899999999999998</v>
          </cell>
          <cell r="AF1513">
            <v>0.58099999999999996</v>
          </cell>
        </row>
        <row r="1514">
          <cell r="B1514" t="str">
            <v>2020GA</v>
          </cell>
          <cell r="C1514">
            <v>0.20823216155586291</v>
          </cell>
          <cell r="D1514">
            <v>0.11033206176717186</v>
          </cell>
          <cell r="E1514">
            <v>0.17733204084631207</v>
          </cell>
          <cell r="F1514">
            <v>9.7862793659120595E-2</v>
          </cell>
          <cell r="G1514">
            <v>0.40234468997942996</v>
          </cell>
          <cell r="H1514">
            <v>3.8962521921025758E-3</v>
          </cell>
          <cell r="J1514" t="str">
            <v>2020GA</v>
          </cell>
          <cell r="K1514">
            <v>0.42032326900000005</v>
          </cell>
          <cell r="L1514">
            <v>0.40234469</v>
          </cell>
          <cell r="M1514">
            <v>0.177332041</v>
          </cell>
          <cell r="U1514" t="str">
            <v>2020GA</v>
          </cell>
          <cell r="V1514">
            <v>7.8133266000000007E-2</v>
          </cell>
          <cell r="W1514">
            <v>3.5587817000000001E-2</v>
          </cell>
          <cell r="X1514">
            <v>9.7388838000000005E-2</v>
          </cell>
          <cell r="Y1514">
            <v>0.46952270200000001</v>
          </cell>
          <cell r="Z1514">
            <v>0.31936737799999998</v>
          </cell>
          <cell r="AB1514" t="str">
            <v>2020GA</v>
          </cell>
          <cell r="AC1514">
            <v>0</v>
          </cell>
          <cell r="AD1514">
            <v>0</v>
          </cell>
          <cell r="AE1514">
            <v>0.41899999999999998</v>
          </cell>
          <cell r="AF1514">
            <v>0.58099999999999996</v>
          </cell>
        </row>
        <row r="1515">
          <cell r="B1515" t="str">
            <v>2020HI</v>
          </cell>
          <cell r="C1515">
            <v>0.67137224197860923</v>
          </cell>
          <cell r="D1515">
            <v>0.21100034068527662</v>
          </cell>
          <cell r="E1515">
            <v>0</v>
          </cell>
          <cell r="F1515">
            <v>0.10820426646618357</v>
          </cell>
          <cell r="G1515">
            <v>7.5112148308577572E-3</v>
          </cell>
          <cell r="H1515">
            <v>1.9119360390725836E-3</v>
          </cell>
          <cell r="J1515" t="str">
            <v>2020HI</v>
          </cell>
          <cell r="K1515">
            <v>0.99248878500000004</v>
          </cell>
          <cell r="L1515">
            <v>7.5112149999999999E-3</v>
          </cell>
          <cell r="M1515">
            <v>0</v>
          </cell>
          <cell r="U1515" t="str">
            <v>2020HI</v>
          </cell>
          <cell r="V1515">
            <v>0.23216878499999999</v>
          </cell>
          <cell r="W1515">
            <v>3.2904865999999998E-2</v>
          </cell>
          <cell r="X1515">
            <v>0.18414778700000001</v>
          </cell>
          <cell r="Y1515">
            <v>0.21064765399999999</v>
          </cell>
          <cell r="Z1515">
            <v>0.34013090899999998</v>
          </cell>
          <cell r="AB1515" t="str">
            <v>2020HI</v>
          </cell>
          <cell r="AC1515">
            <v>0</v>
          </cell>
          <cell r="AD1515">
            <v>0</v>
          </cell>
          <cell r="AE1515">
            <v>0.25</v>
          </cell>
          <cell r="AF1515">
            <v>0.75</v>
          </cell>
        </row>
        <row r="1516">
          <cell r="B1516" t="str">
            <v>2020ID</v>
          </cell>
          <cell r="C1516">
            <v>0.62850843440764703</v>
          </cell>
          <cell r="D1516">
            <v>0.2329683972033782</v>
          </cell>
          <cell r="E1516">
            <v>6.4436683947772669E-3</v>
          </cell>
          <cell r="F1516">
            <v>0.11961222721284216</v>
          </cell>
          <cell r="G1516">
            <v>3.8149081541218642E-3</v>
          </cell>
          <cell r="H1516">
            <v>8.6523646272333287E-3</v>
          </cell>
          <cell r="J1516" t="str">
            <v>2020ID</v>
          </cell>
          <cell r="K1516">
            <v>0.98974142399999998</v>
          </cell>
          <cell r="L1516">
            <v>3.8149080000000001E-3</v>
          </cell>
          <cell r="M1516">
            <v>6.4436679999999996E-3</v>
          </cell>
          <cell r="U1516" t="str">
            <v>2020ID</v>
          </cell>
          <cell r="V1516">
            <v>0.460837895</v>
          </cell>
          <cell r="W1516">
            <v>2.6974237000000002E-2</v>
          </cell>
          <cell r="X1516">
            <v>0.14528671200000001</v>
          </cell>
          <cell r="Y1516">
            <v>0.102926191</v>
          </cell>
          <cell r="Z1516">
            <v>0.26397496599999998</v>
          </cell>
          <cell r="AB1516" t="str">
            <v>2020ID</v>
          </cell>
          <cell r="AC1516">
            <v>0</v>
          </cell>
          <cell r="AD1516">
            <v>0</v>
          </cell>
          <cell r="AE1516">
            <v>0.6</v>
          </cell>
          <cell r="AF1516">
            <v>0.4</v>
          </cell>
        </row>
        <row r="1517">
          <cell r="B1517" t="str">
            <v>2020IL</v>
          </cell>
          <cell r="C1517">
            <v>0.13175283144497188</v>
          </cell>
          <cell r="D1517">
            <v>0.26046159534668961</v>
          </cell>
          <cell r="E1517">
            <v>8.1383349234931596E-2</v>
          </cell>
          <cell r="F1517">
            <v>0.43207247933210829</v>
          </cell>
          <cell r="G1517">
            <v>4.8182181885357514E-2</v>
          </cell>
          <cell r="H1517">
            <v>4.6147562755941125E-2</v>
          </cell>
          <cell r="J1517" t="str">
            <v>2020IL</v>
          </cell>
          <cell r="K1517">
            <v>0.87043446899999999</v>
          </cell>
          <cell r="L1517">
            <v>4.8182181999999997E-2</v>
          </cell>
          <cell r="M1517">
            <v>8.1383348999999994E-2</v>
          </cell>
          <cell r="U1517" t="str">
            <v>2020IL</v>
          </cell>
          <cell r="V1517">
            <v>2.0186552999999999E-2</v>
          </cell>
          <cell r="W1517">
            <v>4.5739502000000001E-2</v>
          </cell>
          <cell r="X1517">
            <v>0.28028242399999997</v>
          </cell>
          <cell r="Y1517">
            <v>0.149587944</v>
          </cell>
          <cell r="Z1517">
            <v>0.50420357699999996</v>
          </cell>
          <cell r="AB1517" t="str">
            <v>2020IL</v>
          </cell>
          <cell r="AC1517">
            <v>0</v>
          </cell>
          <cell r="AD1517">
            <v>0</v>
          </cell>
          <cell r="AE1517">
            <v>0.02</v>
          </cell>
          <cell r="AF1517">
            <v>0.98</v>
          </cell>
        </row>
        <row r="1518">
          <cell r="B1518" t="str">
            <v>2020IN</v>
          </cell>
          <cell r="C1518">
            <v>0.16189917384296076</v>
          </cell>
          <cell r="D1518">
            <v>0.24163212738244233</v>
          </cell>
          <cell r="E1518">
            <v>0.13392208737361183</v>
          </cell>
          <cell r="F1518">
            <v>0.3491044693998876</v>
          </cell>
          <cell r="G1518">
            <v>7.9287205957511472E-2</v>
          </cell>
          <cell r="H1518">
            <v>3.4154936043586021E-2</v>
          </cell>
          <cell r="J1518" t="str">
            <v>2020IN</v>
          </cell>
          <cell r="K1518">
            <v>0.78679070699999998</v>
          </cell>
          <cell r="L1518">
            <v>7.9287205999999999E-2</v>
          </cell>
          <cell r="M1518">
            <v>0.133922087</v>
          </cell>
          <cell r="U1518" t="str">
            <v>2020IN</v>
          </cell>
          <cell r="V1518">
            <v>2.5489210000000002E-2</v>
          </cell>
          <cell r="W1518">
            <v>4.5536079E-2</v>
          </cell>
          <cell r="X1518">
            <v>0.27893099599999999</v>
          </cell>
          <cell r="Y1518">
            <v>0.14781887399999999</v>
          </cell>
          <cell r="Z1518">
            <v>0.50222484099999998</v>
          </cell>
          <cell r="AB1518" t="str">
            <v>2020IN</v>
          </cell>
          <cell r="AC1518">
            <v>0</v>
          </cell>
          <cell r="AD1518">
            <v>0</v>
          </cell>
          <cell r="AE1518">
            <v>0</v>
          </cell>
          <cell r="AF1518">
            <v>1</v>
          </cell>
        </row>
        <row r="1519">
          <cell r="B1519" t="str">
            <v>2020IA</v>
          </cell>
          <cell r="C1519">
            <v>0.13792614664225575</v>
          </cell>
          <cell r="D1519">
            <v>0.25047757969635848</v>
          </cell>
          <cell r="E1519">
            <v>0.10477197231415941</v>
          </cell>
          <cell r="F1519">
            <v>0.40507493125352922</v>
          </cell>
          <cell r="G1519">
            <v>6.2029177638731184E-2</v>
          </cell>
          <cell r="H1519">
            <v>3.9720192454965969E-2</v>
          </cell>
          <cell r="J1519" t="str">
            <v>2020IA</v>
          </cell>
          <cell r="K1519">
            <v>0.83319885000000005</v>
          </cell>
          <cell r="L1519">
            <v>6.2029177999999997E-2</v>
          </cell>
          <cell r="M1519">
            <v>0.104771972</v>
          </cell>
          <cell r="U1519" t="str">
            <v>2020IA</v>
          </cell>
          <cell r="V1519">
            <v>9.6502570000000006E-3</v>
          </cell>
          <cell r="W1519">
            <v>3.8739974000000003E-2</v>
          </cell>
          <cell r="X1519">
            <v>0.12067557499999999</v>
          </cell>
          <cell r="Y1519">
            <v>0.47629315999999999</v>
          </cell>
          <cell r="Z1519">
            <v>0.35464103499999999</v>
          </cell>
          <cell r="AB1519" t="str">
            <v>2020IA</v>
          </cell>
          <cell r="AC1519">
            <v>0</v>
          </cell>
          <cell r="AD1519">
            <v>0</v>
          </cell>
          <cell r="AE1519">
            <v>0</v>
          </cell>
          <cell r="AF1519">
            <v>1</v>
          </cell>
        </row>
        <row r="1520">
          <cell r="B1520" t="str">
            <v>2020KS</v>
          </cell>
          <cell r="C1520">
            <v>0.28758404285910905</v>
          </cell>
          <cell r="D1520">
            <v>0.32607606753917184</v>
          </cell>
          <cell r="E1520">
            <v>5.1050547933917619E-2</v>
          </cell>
          <cell r="F1520">
            <v>0.27762124338847843</v>
          </cell>
          <cell r="G1520">
            <v>3.0223956239483565E-2</v>
          </cell>
          <cell r="H1520">
            <v>2.7444142039839463E-2</v>
          </cell>
          <cell r="J1520" t="str">
            <v>2020KS</v>
          </cell>
          <cell r="K1520">
            <v>0.91872549599999997</v>
          </cell>
          <cell r="L1520">
            <v>3.0223956E-2</v>
          </cell>
          <cell r="M1520">
            <v>5.1050548000000001E-2</v>
          </cell>
          <cell r="U1520" t="str">
            <v>2020KS</v>
          </cell>
          <cell r="V1520">
            <v>2.3647662E-2</v>
          </cell>
          <cell r="W1520">
            <v>4.6272377000000003E-2</v>
          </cell>
          <cell r="X1520">
            <v>0.28189652199999998</v>
          </cell>
          <cell r="Y1520">
            <v>0.13395533500000001</v>
          </cell>
          <cell r="Z1520">
            <v>0.51422810299999999</v>
          </cell>
          <cell r="AB1520" t="str">
            <v>2020KS</v>
          </cell>
          <cell r="AC1520">
            <v>0</v>
          </cell>
          <cell r="AD1520">
            <v>0</v>
          </cell>
          <cell r="AE1520">
            <v>0.02</v>
          </cell>
          <cell r="AF1520">
            <v>0.98</v>
          </cell>
        </row>
        <row r="1521">
          <cell r="B1521" t="str">
            <v>2020KY</v>
          </cell>
          <cell r="C1521">
            <v>2.3305602928070858E-2</v>
          </cell>
          <cell r="D1521">
            <v>6.2885861766289422E-2</v>
          </cell>
          <cell r="E1521">
            <v>0.14165738300711325</v>
          </cell>
          <cell r="F1521">
            <v>0.14315421990856123</v>
          </cell>
          <cell r="G1521">
            <v>0.61397716539009373</v>
          </cell>
          <cell r="H1521">
            <v>1.5019766999871505E-2</v>
          </cell>
          <cell r="J1521" t="str">
            <v>2020KY</v>
          </cell>
          <cell r="K1521">
            <v>0.24436545200000004</v>
          </cell>
          <cell r="L1521">
            <v>0.61397716499999999</v>
          </cell>
          <cell r="M1521">
            <v>0.141657383</v>
          </cell>
          <cell r="U1521" t="str">
            <v>2020KY</v>
          </cell>
          <cell r="V1521">
            <v>4.9184704000000003E-2</v>
          </cell>
          <cell r="W1521">
            <v>3.7321891000000003E-2</v>
          </cell>
          <cell r="X1521">
            <v>0.11991215400000001</v>
          </cell>
          <cell r="Y1521">
            <v>0.45018075899999999</v>
          </cell>
          <cell r="Z1521">
            <v>0.34340049099999997</v>
          </cell>
          <cell r="AB1521" t="str">
            <v>2020KY</v>
          </cell>
          <cell r="AC1521">
            <v>0</v>
          </cell>
          <cell r="AD1521">
            <v>0</v>
          </cell>
          <cell r="AE1521">
            <v>0.05</v>
          </cell>
          <cell r="AF1521">
            <v>0.95</v>
          </cell>
        </row>
        <row r="1522">
          <cell r="B1522" t="str">
            <v>2020LA</v>
          </cell>
          <cell r="C1522">
            <v>8.7696493950327165E-2</v>
          </cell>
          <cell r="D1522">
            <v>6.4637521135916851E-2</v>
          </cell>
          <cell r="E1522">
            <v>0.14461730665558523</v>
          </cell>
          <cell r="F1522">
            <v>0.10160244529023774</v>
          </cell>
          <cell r="G1522">
            <v>0.59641803499629376</v>
          </cell>
          <cell r="H1522">
            <v>5.0281979716392446E-3</v>
          </cell>
          <cell r="J1522" t="str">
            <v>2020LA</v>
          </cell>
          <cell r="K1522">
            <v>0.25896465800000001</v>
          </cell>
          <cell r="L1522">
            <v>0.59641803500000001</v>
          </cell>
          <cell r="M1522">
            <v>0.144617307</v>
          </cell>
          <cell r="U1522" t="str">
            <v>2020LA</v>
          </cell>
          <cell r="V1522">
            <v>0.53551704700000002</v>
          </cell>
          <cell r="W1522">
            <v>2.0437250000000001E-2</v>
          </cell>
          <cell r="X1522">
            <v>0.12819729499999999</v>
          </cell>
          <cell r="Y1522">
            <v>9.8005903000000005E-2</v>
          </cell>
          <cell r="Z1522">
            <v>0.21784250499999999</v>
          </cell>
          <cell r="AB1522" t="str">
            <v>2020LA</v>
          </cell>
          <cell r="AC1522">
            <v>0</v>
          </cell>
          <cell r="AD1522">
            <v>0</v>
          </cell>
          <cell r="AE1522">
            <v>0.6</v>
          </cell>
          <cell r="AF1522">
            <v>0.4</v>
          </cell>
        </row>
        <row r="1523">
          <cell r="B1523" t="str">
            <v>2020ME</v>
          </cell>
          <cell r="C1523">
            <v>9.3713015315557757E-2</v>
          </cell>
          <cell r="D1523">
            <v>0.17210096338216258</v>
          </cell>
          <cell r="E1523">
            <v>0.44837154081607639</v>
          </cell>
          <cell r="F1523">
            <v>0.19633313267932656</v>
          </cell>
          <cell r="G1523">
            <v>7.0076626899074845E-2</v>
          </cell>
          <cell r="H1523">
            <v>1.9404720907801824E-2</v>
          </cell>
          <cell r="J1523" t="str">
            <v>2020ME</v>
          </cell>
          <cell r="K1523">
            <v>0.48155183200000007</v>
          </cell>
          <cell r="L1523">
            <v>7.0076627000000002E-2</v>
          </cell>
          <cell r="M1523">
            <v>0.44837154099999998</v>
          </cell>
          <cell r="U1523" t="str">
            <v>2020ME</v>
          </cell>
          <cell r="V1523">
            <v>0.72920202000000001</v>
          </cell>
          <cell r="W1523">
            <v>1.1915111000000001E-2</v>
          </cell>
          <cell r="X1523">
            <v>7.4740241999999998E-2</v>
          </cell>
          <cell r="Y1523">
            <v>5.7138373999999999E-2</v>
          </cell>
          <cell r="Z1523">
            <v>0.12700425300000001</v>
          </cell>
          <cell r="AB1523" t="str">
            <v>2020ME</v>
          </cell>
          <cell r="AC1523">
            <v>0</v>
          </cell>
          <cell r="AD1523">
            <v>0</v>
          </cell>
          <cell r="AE1523">
            <v>0.05</v>
          </cell>
          <cell r="AF1523">
            <v>0.95</v>
          </cell>
        </row>
        <row r="1524">
          <cell r="B1524" t="str">
            <v>2020MD</v>
          </cell>
          <cell r="C1524">
            <v>7.6488535055593554E-2</v>
          </cell>
          <cell r="D1524">
            <v>0.15472472257238745</v>
          </cell>
          <cell r="E1524">
            <v>0.44380834258126728</v>
          </cell>
          <cell r="F1524">
            <v>0.22861605738914034</v>
          </cell>
          <cell r="G1524">
            <v>6.5960402236453913E-2</v>
          </cell>
          <cell r="H1524">
            <v>3.0401940165157418E-2</v>
          </cell>
          <cell r="J1524" t="str">
            <v>2020MD</v>
          </cell>
          <cell r="K1524">
            <v>0.49023125499999998</v>
          </cell>
          <cell r="L1524">
            <v>6.5960402000000001E-2</v>
          </cell>
          <cell r="M1524">
            <v>0.44380834299999999</v>
          </cell>
          <cell r="U1524" t="str">
            <v>2020MD</v>
          </cell>
          <cell r="V1524">
            <v>0.21140679400000001</v>
          </cell>
          <cell r="W1524">
            <v>3.7602905999999998E-2</v>
          </cell>
          <cell r="X1524">
            <v>0.214504853</v>
          </cell>
          <cell r="Y1524">
            <v>0.15671048400000001</v>
          </cell>
          <cell r="Z1524">
            <v>0.37977496300000002</v>
          </cell>
          <cell r="AB1524" t="str">
            <v>2020MD</v>
          </cell>
          <cell r="AC1524">
            <v>0</v>
          </cell>
          <cell r="AD1524">
            <v>0</v>
          </cell>
          <cell r="AE1524">
            <v>0.05</v>
          </cell>
          <cell r="AF1524">
            <v>0.95</v>
          </cell>
        </row>
        <row r="1525">
          <cell r="B1525" t="str">
            <v>2020MA</v>
          </cell>
          <cell r="C1525">
            <v>6.1305440163427552E-2</v>
          </cell>
          <cell r="D1525">
            <v>0.14874705508142777</v>
          </cell>
          <cell r="E1525">
            <v>0.45216403673004657</v>
          </cell>
          <cell r="F1525">
            <v>0.23617268276189021</v>
          </cell>
          <cell r="G1525">
            <v>7.3497640935872632E-2</v>
          </cell>
          <cell r="H1525">
            <v>2.8113144327335336E-2</v>
          </cell>
          <cell r="J1525" t="str">
            <v>2020MA</v>
          </cell>
          <cell r="K1525">
            <v>0.47433832199999992</v>
          </cell>
          <cell r="L1525">
            <v>7.3497641000000002E-2</v>
          </cell>
          <cell r="M1525">
            <v>0.45216403700000002</v>
          </cell>
          <cell r="U1525" t="str">
            <v>2020MA</v>
          </cell>
          <cell r="V1525">
            <v>0.31419575799999999</v>
          </cell>
          <cell r="W1525">
            <v>3.0175387000000001E-2</v>
          </cell>
          <cell r="X1525">
            <v>0.18928197099999999</v>
          </cell>
          <cell r="Y1525">
            <v>0.14470469499999999</v>
          </cell>
          <cell r="Z1525">
            <v>0.32164218900000002</v>
          </cell>
          <cell r="AB1525" t="str">
            <v>2020MA</v>
          </cell>
          <cell r="AC1525">
            <v>0</v>
          </cell>
          <cell r="AD1525">
            <v>0</v>
          </cell>
          <cell r="AE1525">
            <v>0.05</v>
          </cell>
          <cell r="AF1525">
            <v>0.95</v>
          </cell>
        </row>
        <row r="1526">
          <cell r="B1526" t="str">
            <v>2020MI</v>
          </cell>
          <cell r="C1526">
            <v>0.21592740095911189</v>
          </cell>
          <cell r="D1526">
            <v>0.33044604004991018</v>
          </cell>
          <cell r="E1526">
            <v>5.8998863632555826E-2</v>
          </cell>
          <cell r="F1526">
            <v>0.32074430847532459</v>
          </cell>
          <cell r="G1526">
            <v>3.4929675483950956E-2</v>
          </cell>
          <cell r="H1526">
            <v>3.8953711399146676E-2</v>
          </cell>
          <cell r="J1526" t="str">
            <v>2020MI</v>
          </cell>
          <cell r="K1526">
            <v>0.90607146100000002</v>
          </cell>
          <cell r="L1526">
            <v>3.4929675E-2</v>
          </cell>
          <cell r="M1526">
            <v>5.8998863999999998E-2</v>
          </cell>
          <cell r="U1526" t="str">
            <v>2020MI</v>
          </cell>
          <cell r="V1526">
            <v>4.5127237000000001E-2</v>
          </cell>
          <cell r="W1526">
            <v>5.0500046999999999E-2</v>
          </cell>
          <cell r="X1526">
            <v>0.254352099</v>
          </cell>
          <cell r="Y1526">
            <v>0.17319266699999999</v>
          </cell>
          <cell r="Z1526">
            <v>0.47682794899999997</v>
          </cell>
          <cell r="AB1526" t="str">
            <v>2020MI</v>
          </cell>
          <cell r="AC1526">
            <v>0</v>
          </cell>
          <cell r="AD1526">
            <v>0</v>
          </cell>
          <cell r="AE1526">
            <v>0.02</v>
          </cell>
          <cell r="AF1526">
            <v>0.98</v>
          </cell>
        </row>
        <row r="1527">
          <cell r="B1527" t="str">
            <v>2020MN</v>
          </cell>
          <cell r="C1527">
            <v>0.11559741536790068</v>
          </cell>
          <cell r="D1527">
            <v>0.23915415867765383</v>
          </cell>
          <cell r="E1527">
            <v>0.10052931481156221</v>
          </cell>
          <cell r="F1527">
            <v>0.43822851849088174</v>
          </cell>
          <cell r="G1527">
            <v>5.9517355535203494E-2</v>
          </cell>
          <cell r="H1527">
            <v>4.697323711679801E-2</v>
          </cell>
          <cell r="J1527" t="str">
            <v>2020MN</v>
          </cell>
          <cell r="K1527">
            <v>0.83995332899999997</v>
          </cell>
          <cell r="L1527">
            <v>5.9517356E-2</v>
          </cell>
          <cell r="M1527">
            <v>0.10052931499999999</v>
          </cell>
          <cell r="U1527" t="str">
            <v>2020MN</v>
          </cell>
          <cell r="V1527">
            <v>1.5145339000000001E-2</v>
          </cell>
          <cell r="W1527">
            <v>5.1986831999999997E-2</v>
          </cell>
          <cell r="X1527">
            <v>0.262445557</v>
          </cell>
          <cell r="Y1527">
            <v>0.17896024199999999</v>
          </cell>
          <cell r="Z1527">
            <v>0.49146202900000002</v>
          </cell>
          <cell r="AB1527" t="str">
            <v>2020MN</v>
          </cell>
          <cell r="AC1527">
            <v>0</v>
          </cell>
          <cell r="AD1527">
            <v>0</v>
          </cell>
          <cell r="AE1527">
            <v>0</v>
          </cell>
          <cell r="AF1527">
            <v>1</v>
          </cell>
        </row>
        <row r="1528">
          <cell r="B1528" t="str">
            <v>2020MS</v>
          </cell>
          <cell r="C1528">
            <v>0.10416334210611014</v>
          </cell>
          <cell r="D1528">
            <v>7.2829933678422776E-2</v>
          </cell>
          <cell r="E1528">
            <v>0.14929269604113307</v>
          </cell>
          <cell r="F1528">
            <v>0.10019278631941281</v>
          </cell>
          <cell r="G1528">
            <v>0.56868226150598644</v>
          </cell>
          <cell r="H1528">
            <v>4.838980348934833E-3</v>
          </cell>
          <cell r="J1528" t="str">
            <v>2020MS</v>
          </cell>
          <cell r="K1528">
            <v>0.28202504199999989</v>
          </cell>
          <cell r="L1528">
            <v>0.56868226200000005</v>
          </cell>
          <cell r="M1528">
            <v>0.149292696</v>
          </cell>
          <cell r="U1528" t="str">
            <v>2020MS</v>
          </cell>
          <cell r="V1528">
            <v>2.1100625000000001E-2</v>
          </cell>
          <cell r="W1528">
            <v>3.6418512E-2</v>
          </cell>
          <cell r="X1528">
            <v>6.0129593000000002E-2</v>
          </cell>
          <cell r="Y1528">
            <v>0.574366987</v>
          </cell>
          <cell r="Z1528">
            <v>0.30798428300000003</v>
          </cell>
          <cell r="AB1528" t="str">
            <v>2020MS</v>
          </cell>
          <cell r="AC1528">
            <v>0</v>
          </cell>
          <cell r="AD1528">
            <v>0</v>
          </cell>
          <cell r="AE1528">
            <v>0.6</v>
          </cell>
          <cell r="AF1528">
            <v>0.4</v>
          </cell>
        </row>
        <row r="1529">
          <cell r="B1529" t="str">
            <v>2020MO</v>
          </cell>
          <cell r="C1529">
            <v>6.4925479522277466E-2</v>
          </cell>
          <cell r="D1529">
            <v>0.18170303563698134</v>
          </cell>
          <cell r="E1529">
            <v>0.14337282997597614</v>
          </cell>
          <cell r="F1529">
            <v>0.47880340852502545</v>
          </cell>
          <cell r="G1529">
            <v>8.4882421727070459E-2</v>
          </cell>
          <cell r="H1529">
            <v>4.6312824612669105E-2</v>
          </cell>
          <cell r="J1529" t="str">
            <v>2020MO</v>
          </cell>
          <cell r="K1529">
            <v>0.77174474799999992</v>
          </cell>
          <cell r="L1529">
            <v>8.4882421999999999E-2</v>
          </cell>
          <cell r="M1529">
            <v>0.14337283000000001</v>
          </cell>
          <cell r="U1529" t="str">
            <v>2020MO</v>
          </cell>
          <cell r="V1529">
            <v>2.998994E-2</v>
          </cell>
          <cell r="W1529">
            <v>4.5757142000000001E-2</v>
          </cell>
          <cell r="X1529">
            <v>0.27926039899999999</v>
          </cell>
          <cell r="Y1529">
            <v>0.13775391300000001</v>
          </cell>
          <cell r="Z1529">
            <v>0.50723860600000004</v>
          </cell>
          <cell r="AB1529" t="str">
            <v>2020MO</v>
          </cell>
          <cell r="AC1529">
            <v>0</v>
          </cell>
          <cell r="AD1529">
            <v>0</v>
          </cell>
          <cell r="AE1529">
            <v>0</v>
          </cell>
          <cell r="AF1529">
            <v>1</v>
          </cell>
        </row>
        <row r="1530">
          <cell r="B1530" t="str">
            <v>2020MT</v>
          </cell>
          <cell r="C1530">
            <v>0.35597781750083307</v>
          </cell>
          <cell r="D1530">
            <v>0.25924389885240834</v>
          </cell>
          <cell r="E1530">
            <v>4.3797789125912777E-2</v>
          </cell>
          <cell r="F1530">
            <v>0.25058080537727367</v>
          </cell>
          <cell r="G1530">
            <v>2.5930034358127463E-2</v>
          </cell>
          <cell r="H1530">
            <v>6.4469654785444572E-2</v>
          </cell>
          <cell r="J1530" t="str">
            <v>2020MT</v>
          </cell>
          <cell r="K1530">
            <v>0.93027217699999998</v>
          </cell>
          <cell r="L1530">
            <v>2.5930034000000001E-2</v>
          </cell>
          <cell r="M1530">
            <v>4.3797788999999997E-2</v>
          </cell>
          <cell r="U1530" t="str">
            <v>2020MT</v>
          </cell>
          <cell r="V1530">
            <v>6.0520032000000001E-2</v>
          </cell>
          <cell r="W1530">
            <v>5.1214043000000001E-2</v>
          </cell>
          <cell r="X1530">
            <v>0.24859647000000001</v>
          </cell>
          <cell r="Y1530">
            <v>0.16530719099999999</v>
          </cell>
          <cell r="Z1530">
            <v>0.47436226399999998</v>
          </cell>
          <cell r="AB1530" t="str">
            <v>2020MT</v>
          </cell>
          <cell r="AC1530">
            <v>0</v>
          </cell>
          <cell r="AD1530">
            <v>0</v>
          </cell>
          <cell r="AE1530">
            <v>0.6</v>
          </cell>
          <cell r="AF1530">
            <v>0.4</v>
          </cell>
        </row>
        <row r="1531">
          <cell r="B1531" t="str">
            <v>2020NE</v>
          </cell>
          <cell r="C1531">
            <v>0.21260954807532403</v>
          </cell>
          <cell r="D1531">
            <v>0.30324255962083846</v>
          </cell>
          <cell r="E1531">
            <v>6.1277054134417128E-2</v>
          </cell>
          <cell r="F1531">
            <v>0.34696077142199511</v>
          </cell>
          <cell r="G1531">
            <v>3.6278454935301678E-2</v>
          </cell>
          <cell r="H1531">
            <v>3.9631611812123581E-2</v>
          </cell>
          <cell r="J1531" t="str">
            <v>2020NE</v>
          </cell>
          <cell r="K1531">
            <v>0.90244449100000002</v>
          </cell>
          <cell r="L1531">
            <v>3.6278455000000001E-2</v>
          </cell>
          <cell r="M1531">
            <v>6.1277053999999997E-2</v>
          </cell>
          <cell r="U1531" t="str">
            <v>2020NE</v>
          </cell>
          <cell r="V1531">
            <v>3.0063880000000001E-2</v>
          </cell>
          <cell r="W1531">
            <v>4.5295173000000001E-2</v>
          </cell>
          <cell r="X1531">
            <v>0.27751980599999998</v>
          </cell>
          <cell r="Y1531">
            <v>0.147715386</v>
          </cell>
          <cell r="Z1531">
            <v>0.49940575500000001</v>
          </cell>
          <cell r="AB1531" t="str">
            <v>2020NE</v>
          </cell>
          <cell r="AC1531">
            <v>0</v>
          </cell>
          <cell r="AD1531">
            <v>0</v>
          </cell>
          <cell r="AE1531">
            <v>0.02</v>
          </cell>
          <cell r="AF1531">
            <v>0.98</v>
          </cell>
        </row>
        <row r="1532">
          <cell r="B1532" t="str">
            <v>2020NV</v>
          </cell>
          <cell r="C1532">
            <v>0.64210148526116029</v>
          </cell>
          <cell r="D1532">
            <v>0.238399883587257</v>
          </cell>
          <cell r="E1532">
            <v>4.1594375177217181E-3</v>
          </cell>
          <cell r="F1532">
            <v>0.10819864870890922</v>
          </cell>
          <cell r="G1532">
            <v>2.4625525602432058E-3</v>
          </cell>
          <cell r="H1532">
            <v>4.677992364708553E-3</v>
          </cell>
          <cell r="J1532" t="str">
            <v>2020NV</v>
          </cell>
          <cell r="K1532">
            <v>0.99337800899999995</v>
          </cell>
          <cell r="L1532">
            <v>2.4625530000000001E-3</v>
          </cell>
          <cell r="M1532">
            <v>4.1594379999999997E-3</v>
          </cell>
          <cell r="U1532" t="str">
            <v>2020NV</v>
          </cell>
          <cell r="V1532">
            <v>0.35004114600000003</v>
          </cell>
          <cell r="W1532">
            <v>2.4048478000000002E-2</v>
          </cell>
          <cell r="X1532">
            <v>3.5747737000000002E-2</v>
          </cell>
          <cell r="Y1532">
            <v>0.38867539400000001</v>
          </cell>
          <cell r="Z1532">
            <v>0.20148724500000001</v>
          </cell>
          <cell r="AB1532" t="str">
            <v>2020NV</v>
          </cell>
          <cell r="AC1532">
            <v>0</v>
          </cell>
          <cell r="AD1532">
            <v>0</v>
          </cell>
          <cell r="AE1532">
            <v>0</v>
          </cell>
          <cell r="AF1532">
            <v>1</v>
          </cell>
        </row>
        <row r="1533">
          <cell r="B1533" t="str">
            <v>2020NH</v>
          </cell>
          <cell r="C1533">
            <v>9.4573445198850817E-2</v>
          </cell>
          <cell r="D1533">
            <v>0.16340842518862655</v>
          </cell>
          <cell r="E1533">
            <v>0.44298025846087286</v>
          </cell>
          <cell r="F1533">
            <v>0.20852129702854144</v>
          </cell>
          <cell r="G1533">
            <v>6.52134304627775E-2</v>
          </cell>
          <cell r="H1533">
            <v>2.5303143660330828E-2</v>
          </cell>
          <cell r="J1533" t="str">
            <v>2020NH</v>
          </cell>
          <cell r="K1533">
            <v>0.49180631200000002</v>
          </cell>
          <cell r="L1533">
            <v>6.5213430000000003E-2</v>
          </cell>
          <cell r="M1533">
            <v>0.44298025800000002</v>
          </cell>
          <cell r="U1533" t="str">
            <v>2020NH</v>
          </cell>
          <cell r="V1533">
            <v>0.56759962799999997</v>
          </cell>
          <cell r="W1533">
            <v>1.9025615999999999E-2</v>
          </cell>
          <cell r="X1533">
            <v>0.119342503</v>
          </cell>
          <cell r="Y1533">
            <v>9.1236478999999995E-2</v>
          </cell>
          <cell r="Z1533">
            <v>0.20279577500000001</v>
          </cell>
          <cell r="AB1533" t="str">
            <v>2020NH</v>
          </cell>
          <cell r="AC1533">
            <v>0</v>
          </cell>
          <cell r="AD1533">
            <v>0</v>
          </cell>
          <cell r="AE1533">
            <v>0.05</v>
          </cell>
          <cell r="AF1533">
            <v>0.95</v>
          </cell>
        </row>
        <row r="1534">
          <cell r="B1534" t="str">
            <v>2020NJ</v>
          </cell>
          <cell r="C1534">
            <v>5.8003576611346738E-2</v>
          </cell>
          <cell r="D1534">
            <v>0.13897871355240557</v>
          </cell>
          <cell r="E1534">
            <v>0.45397029129837874</v>
          </cell>
          <cell r="F1534">
            <v>0.24471653627570109</v>
          </cell>
          <cell r="G1534">
            <v>7.5126969581826603E-2</v>
          </cell>
          <cell r="H1534">
            <v>2.9203912680341212E-2</v>
          </cell>
          <cell r="J1534" t="str">
            <v>2020NJ</v>
          </cell>
          <cell r="K1534">
            <v>0.47090273900000001</v>
          </cell>
          <cell r="L1534">
            <v>7.5126970000000001E-2</v>
          </cell>
          <cell r="M1534">
            <v>0.45397029100000003</v>
          </cell>
          <cell r="U1534" t="str">
            <v>2020NJ</v>
          </cell>
          <cell r="V1534">
            <v>0.30808167400000003</v>
          </cell>
          <cell r="W1534">
            <v>3.3011736E-2</v>
          </cell>
          <cell r="X1534">
            <v>0.18818818500000001</v>
          </cell>
          <cell r="Y1534">
            <v>0.137437002</v>
          </cell>
          <cell r="Z1534">
            <v>0.333281404</v>
          </cell>
          <cell r="AB1534" t="str">
            <v>2020NJ</v>
          </cell>
          <cell r="AC1534">
            <v>0</v>
          </cell>
          <cell r="AD1534">
            <v>0</v>
          </cell>
          <cell r="AE1534">
            <v>0.05</v>
          </cell>
          <cell r="AF1534">
            <v>0.95</v>
          </cell>
        </row>
        <row r="1535">
          <cell r="B1535" t="str">
            <v>2020NM</v>
          </cell>
          <cell r="C1535">
            <v>0.61184589317007076</v>
          </cell>
          <cell r="D1535">
            <v>0.19452029294367307</v>
          </cell>
          <cell r="E1535">
            <v>9.8952813124742175E-2</v>
          </cell>
          <cell r="F1535">
            <v>9.4174237847419268E-2</v>
          </cell>
          <cell r="G1535">
            <v>0</v>
          </cell>
          <cell r="H1535">
            <v>5.0676291409465751E-4</v>
          </cell>
          <cell r="J1535" t="str">
            <v>2020NM</v>
          </cell>
          <cell r="K1535">
            <v>0.90104718699999997</v>
          </cell>
          <cell r="L1535">
            <v>0</v>
          </cell>
          <cell r="M1535">
            <v>9.8952813000000001E-2</v>
          </cell>
          <cell r="U1535" t="str">
            <v>2020NM</v>
          </cell>
          <cell r="V1535">
            <v>0.91655606099999998</v>
          </cell>
          <cell r="W1535">
            <v>3.6715329999999998E-3</v>
          </cell>
          <cell r="X1535">
            <v>2.3030526999999999E-2</v>
          </cell>
          <cell r="Y1535">
            <v>1.7606671000000001E-2</v>
          </cell>
          <cell r="Z1535">
            <v>3.9135206999999998E-2</v>
          </cell>
          <cell r="AB1535" t="str">
            <v>2020NM</v>
          </cell>
          <cell r="AC1535">
            <v>0</v>
          </cell>
          <cell r="AD1535">
            <v>0</v>
          </cell>
          <cell r="AE1535">
            <v>0.6</v>
          </cell>
          <cell r="AF1535">
            <v>0.4</v>
          </cell>
        </row>
        <row r="1536">
          <cell r="B1536" t="str">
            <v>2020NY</v>
          </cell>
          <cell r="C1536">
            <v>9.8408703041683282E-2</v>
          </cell>
          <cell r="D1536">
            <v>0.15954377256245178</v>
          </cell>
          <cell r="E1536">
            <v>0.44849165243165579</v>
          </cell>
          <cell r="F1536">
            <v>0.20287733376538455</v>
          </cell>
          <cell r="G1536">
            <v>7.0184973363303343E-2</v>
          </cell>
          <cell r="H1536">
            <v>2.0493564835521279E-2</v>
          </cell>
          <cell r="J1536" t="str">
            <v>2020NY</v>
          </cell>
          <cell r="K1536">
            <v>0.481323375</v>
          </cell>
          <cell r="L1536">
            <v>7.0184972999999998E-2</v>
          </cell>
          <cell r="M1536">
            <v>0.44849165200000002</v>
          </cell>
          <cell r="U1536" t="str">
            <v>2020NY</v>
          </cell>
          <cell r="V1536">
            <v>0.20441514899999999</v>
          </cell>
          <cell r="W1536">
            <v>4.1815811000000001E-2</v>
          </cell>
          <cell r="X1536">
            <v>0.21220383400000001</v>
          </cell>
          <cell r="Y1536">
            <v>0.145168144</v>
          </cell>
          <cell r="Z1536">
            <v>0.396397061</v>
          </cell>
          <cell r="AB1536" t="str">
            <v>2020NY</v>
          </cell>
          <cell r="AC1536">
            <v>0</v>
          </cell>
          <cell r="AD1536">
            <v>0</v>
          </cell>
          <cell r="AE1536">
            <v>0.05</v>
          </cell>
          <cell r="AF1536">
            <v>0.95</v>
          </cell>
        </row>
        <row r="1537">
          <cell r="B1537" t="str">
            <v>2020NC</v>
          </cell>
          <cell r="C1537">
            <v>6.168821577504751E-2</v>
          </cell>
          <cell r="D1537">
            <v>0.11278426418396881</v>
          </cell>
          <cell r="E1537">
            <v>0.15395779991170949</v>
          </cell>
          <cell r="F1537">
            <v>0.11589101949636353</v>
          </cell>
          <cell r="G1537">
            <v>0.54100750469043157</v>
          </cell>
          <cell r="H1537">
            <v>1.4671195942479084E-2</v>
          </cell>
          <cell r="J1537" t="str">
            <v>2020NC</v>
          </cell>
          <cell r="K1537">
            <v>0.30503469499999991</v>
          </cell>
          <cell r="L1537">
            <v>0.54100750500000006</v>
          </cell>
          <cell r="M1537">
            <v>0.15395780000000001</v>
          </cell>
          <cell r="U1537" t="str">
            <v>2020NC</v>
          </cell>
          <cell r="V1537">
            <v>2.4742549999999999E-3</v>
          </cell>
          <cell r="W1537">
            <v>3.7123251000000003E-2</v>
          </cell>
          <cell r="X1537">
            <v>6.1645423999999997E-2</v>
          </cell>
          <cell r="Y1537">
            <v>0.58464508599999998</v>
          </cell>
          <cell r="Z1537">
            <v>0.31411198400000001</v>
          </cell>
          <cell r="AB1537" t="str">
            <v>2020NC</v>
          </cell>
          <cell r="AC1537">
            <v>0</v>
          </cell>
          <cell r="AD1537">
            <v>0</v>
          </cell>
          <cell r="AE1537">
            <v>0.41899999999999998</v>
          </cell>
          <cell r="AF1537">
            <v>0.58099999999999996</v>
          </cell>
        </row>
        <row r="1538">
          <cell r="B1538" t="str">
            <v>2020ND</v>
          </cell>
          <cell r="C1538">
            <v>0.1196932700797023</v>
          </cell>
          <cell r="D1538">
            <v>0.21866711268457967</v>
          </cell>
          <cell r="E1538">
            <v>0.10978970169096619</v>
          </cell>
          <cell r="F1538">
            <v>0.448028418369537</v>
          </cell>
          <cell r="G1538">
            <v>6.499987314042277E-2</v>
          </cell>
          <cell r="H1538">
            <v>3.8821624034792085E-2</v>
          </cell>
          <cell r="J1538" t="str">
            <v>2020ND</v>
          </cell>
          <cell r="K1538">
            <v>0.82521042499999997</v>
          </cell>
          <cell r="L1538">
            <v>6.4999873E-2</v>
          </cell>
          <cell r="M1538">
            <v>0.109789702</v>
          </cell>
          <cell r="U1538" t="str">
            <v>2020ND</v>
          </cell>
          <cell r="V1538">
            <v>8.8434773999999994E-2</v>
          </cell>
          <cell r="W1538">
            <v>4.7868137999999998E-2</v>
          </cell>
          <cell r="X1538">
            <v>0.243186129</v>
          </cell>
          <cell r="Y1538">
            <v>0.16647603599999999</v>
          </cell>
          <cell r="Z1538">
            <v>0.45403492299999998</v>
          </cell>
          <cell r="AB1538" t="str">
            <v>2020ND</v>
          </cell>
          <cell r="AC1538">
            <v>0</v>
          </cell>
          <cell r="AD1538">
            <v>0</v>
          </cell>
          <cell r="AE1538">
            <v>0.02</v>
          </cell>
          <cell r="AF1538">
            <v>0.98</v>
          </cell>
        </row>
        <row r="1539">
          <cell r="B1539" t="str">
            <v>2020OH</v>
          </cell>
          <cell r="C1539">
            <v>0.10753833947858983</v>
          </cell>
          <cell r="D1539">
            <v>0.22522557822049544</v>
          </cell>
          <cell r="E1539">
            <v>0.13589110116557596</v>
          </cell>
          <cell r="F1539">
            <v>0.4097570212201273</v>
          </cell>
          <cell r="G1539">
            <v>8.0452940491062386E-2</v>
          </cell>
          <cell r="H1539">
            <v>4.1135019424149183E-2</v>
          </cell>
          <cell r="J1539" t="str">
            <v>2020OH</v>
          </cell>
          <cell r="K1539">
            <v>0.78365595900000007</v>
          </cell>
          <cell r="L1539">
            <v>8.0452940000000001E-2</v>
          </cell>
          <cell r="M1539">
            <v>0.13589110099999999</v>
          </cell>
          <cell r="U1539" t="str">
            <v>2020OH</v>
          </cell>
          <cell r="V1539">
            <v>6.6338901000000006E-2</v>
          </cell>
          <cell r="W1539">
            <v>4.3119113000000001E-2</v>
          </cell>
          <cell r="X1539">
            <v>0.26533305600000001</v>
          </cell>
          <cell r="Y1539">
            <v>0.15267545299999999</v>
          </cell>
          <cell r="Z1539">
            <v>0.47253347699999998</v>
          </cell>
          <cell r="AB1539" t="str">
            <v>2020OH</v>
          </cell>
          <cell r="AC1539">
            <v>0</v>
          </cell>
          <cell r="AD1539">
            <v>0</v>
          </cell>
          <cell r="AE1539">
            <v>0</v>
          </cell>
          <cell r="AF1539">
            <v>1</v>
          </cell>
        </row>
        <row r="1540">
          <cell r="B1540" t="str">
            <v>2020OK</v>
          </cell>
          <cell r="C1540">
            <v>0.40296958934788546</v>
          </cell>
          <cell r="D1540">
            <v>0.22528492954061258</v>
          </cell>
          <cell r="E1540">
            <v>6.4896255940651446E-2</v>
          </cell>
          <cell r="F1540">
            <v>0.24738177570149189</v>
          </cell>
          <cell r="G1540">
            <v>0</v>
          </cell>
          <cell r="H1540">
            <v>5.9467449469358676E-2</v>
          </cell>
          <cell r="J1540" t="str">
            <v>2020OK</v>
          </cell>
          <cell r="K1540">
            <v>0.93510374399999996</v>
          </cell>
          <cell r="L1540">
            <v>0</v>
          </cell>
          <cell r="M1540">
            <v>6.4896255999999999E-2</v>
          </cell>
          <cell r="U1540" t="str">
            <v>2020OK</v>
          </cell>
          <cell r="V1540">
            <v>1.2831308E-2</v>
          </cell>
          <cell r="W1540">
            <v>3.6793041999999998E-2</v>
          </cell>
          <cell r="X1540">
            <v>6.2749109999999997E-2</v>
          </cell>
          <cell r="Y1540">
            <v>0.57552135800000004</v>
          </cell>
          <cell r="Z1540">
            <v>0.31210518199999998</v>
          </cell>
          <cell r="AB1540" t="str">
            <v>2020OK</v>
          </cell>
          <cell r="AC1540">
            <v>0</v>
          </cell>
          <cell r="AD1540">
            <v>0</v>
          </cell>
          <cell r="AE1540">
            <v>0.6</v>
          </cell>
          <cell r="AF1540">
            <v>0.4</v>
          </cell>
        </row>
        <row r="1541">
          <cell r="B1541" t="str">
            <v>2020OR</v>
          </cell>
          <cell r="C1541">
            <v>0.43856747008812064</v>
          </cell>
          <cell r="D1541">
            <v>0.20958259090942544</v>
          </cell>
          <cell r="E1541">
            <v>0</v>
          </cell>
          <cell r="F1541">
            <v>0.12862948158709187</v>
          </cell>
          <cell r="G1541">
            <v>0.2018533708975031</v>
          </cell>
          <cell r="H1541">
            <v>2.1367086517858933E-2</v>
          </cell>
          <cell r="J1541" t="str">
            <v>2020OR</v>
          </cell>
          <cell r="K1541">
            <v>0.798146629</v>
          </cell>
          <cell r="L1541">
            <v>0.201853371</v>
          </cell>
          <cell r="M1541">
            <v>0</v>
          </cell>
          <cell r="U1541" t="str">
            <v>2020OR</v>
          </cell>
          <cell r="V1541">
            <v>0.57640796000000005</v>
          </cell>
          <cell r="W1541">
            <v>1.863805E-2</v>
          </cell>
          <cell r="X1541">
            <v>0.116911403</v>
          </cell>
          <cell r="Y1541">
            <v>8.937792E-2</v>
          </cell>
          <cell r="Z1541">
            <v>0.19866466699999999</v>
          </cell>
          <cell r="AB1541" t="str">
            <v>2020OR</v>
          </cell>
          <cell r="AC1541">
            <v>0</v>
          </cell>
          <cell r="AD1541">
            <v>0</v>
          </cell>
          <cell r="AE1541">
            <v>0.25</v>
          </cell>
          <cell r="AF1541">
            <v>0.75</v>
          </cell>
        </row>
        <row r="1542">
          <cell r="B1542" t="str">
            <v>2020PA</v>
          </cell>
          <cell r="C1542">
            <v>4.9624045569858895E-2</v>
          </cell>
          <cell r="D1542">
            <v>0.11712497857538914</v>
          </cell>
          <cell r="E1542">
            <v>0.46874549019831585</v>
          </cell>
          <cell r="F1542">
            <v>0.25230966018477574</v>
          </cell>
          <cell r="G1542">
            <v>8.8454910858433447E-2</v>
          </cell>
          <cell r="H1542">
            <v>2.3740914613226898E-2</v>
          </cell>
          <cell r="J1542" t="str">
            <v>2020PA</v>
          </cell>
          <cell r="K1542">
            <v>0.44279959899999999</v>
          </cell>
          <cell r="L1542">
            <v>8.8454910999999997E-2</v>
          </cell>
          <cell r="M1542">
            <v>0.46874548999999999</v>
          </cell>
          <cell r="U1542" t="str">
            <v>2020PA</v>
          </cell>
          <cell r="V1542">
            <v>5.0102499000000002E-2</v>
          </cell>
          <cell r="W1542">
            <v>4.9409870000000002E-2</v>
          </cell>
          <cell r="X1542">
            <v>0.25392279899999998</v>
          </cell>
          <cell r="Y1542">
            <v>0.17504710600000001</v>
          </cell>
          <cell r="Z1542">
            <v>0.47151772600000003</v>
          </cell>
          <cell r="AB1542" t="str">
            <v>2020PA</v>
          </cell>
          <cell r="AC1542">
            <v>0</v>
          </cell>
          <cell r="AD1542">
            <v>0</v>
          </cell>
          <cell r="AE1542">
            <v>0</v>
          </cell>
          <cell r="AF1542">
            <v>1</v>
          </cell>
        </row>
        <row r="1543">
          <cell r="B1543" t="str">
            <v>2020RI</v>
          </cell>
          <cell r="C1543">
            <v>4.2447025005926793E-2</v>
          </cell>
          <cell r="D1543">
            <v>0.1190174947032642</v>
          </cell>
          <cell r="E1543">
            <v>0.46784468707451643</v>
          </cell>
          <cell r="F1543">
            <v>0.25730854976835782</v>
          </cell>
          <cell r="G1543">
            <v>8.7642343040085183E-2</v>
          </cell>
          <cell r="H1543">
            <v>2.5739900407849584E-2</v>
          </cell>
          <cell r="J1543" t="str">
            <v>2020RI</v>
          </cell>
          <cell r="K1543">
            <v>0.44451297000000001</v>
          </cell>
          <cell r="L1543">
            <v>8.7642342999999998E-2</v>
          </cell>
          <cell r="M1543">
            <v>0.46784468699999998</v>
          </cell>
          <cell r="U1543" t="str">
            <v>2020RI</v>
          </cell>
          <cell r="V1543">
            <v>0.56026879500000004</v>
          </cell>
          <cell r="W1543">
            <v>1.9348173E-2</v>
          </cell>
          <cell r="X1543">
            <v>0.121365813</v>
          </cell>
          <cell r="Y1543">
            <v>9.2783283999999994E-2</v>
          </cell>
          <cell r="Z1543">
            <v>0.20623393500000001</v>
          </cell>
          <cell r="AB1543" t="str">
            <v>2020RI</v>
          </cell>
          <cell r="AC1543">
            <v>0</v>
          </cell>
          <cell r="AD1543">
            <v>0</v>
          </cell>
          <cell r="AE1543">
            <v>0.05</v>
          </cell>
          <cell r="AF1543">
            <v>0.95</v>
          </cell>
        </row>
        <row r="1544">
          <cell r="B1544" t="str">
            <v>2020SC</v>
          </cell>
          <cell r="C1544">
            <v>0.13346180610825578</v>
          </cell>
          <cell r="D1544">
            <v>9.0019723091430845E-2</v>
          </cell>
          <cell r="E1544">
            <v>0.15451296947775242</v>
          </cell>
          <cell r="F1544">
            <v>8.0687406490411034E-2</v>
          </cell>
          <cell r="G1544">
            <v>0.53771407690020812</v>
          </cell>
          <cell r="H1544">
            <v>3.6040179319418398E-3</v>
          </cell>
          <cell r="J1544" t="str">
            <v>2020SC</v>
          </cell>
          <cell r="K1544">
            <v>0.30777295400000004</v>
          </cell>
          <cell r="L1544">
            <v>0.53771407699999996</v>
          </cell>
          <cell r="M1544">
            <v>0.154512969</v>
          </cell>
          <cell r="U1544" t="str">
            <v>2020SC</v>
          </cell>
          <cell r="V1544">
            <v>6.1629585000000001E-2</v>
          </cell>
          <cell r="W1544">
            <v>3.5823032999999997E-2</v>
          </cell>
          <cell r="X1544">
            <v>8.6443989999999998E-2</v>
          </cell>
          <cell r="Y1544">
            <v>0.50014727299999995</v>
          </cell>
          <cell r="Z1544">
            <v>0.31595611899999998</v>
          </cell>
          <cell r="AB1544" t="str">
            <v>2020SC</v>
          </cell>
          <cell r="AC1544">
            <v>0</v>
          </cell>
          <cell r="AD1544">
            <v>0</v>
          </cell>
          <cell r="AE1544">
            <v>0.6</v>
          </cell>
          <cell r="AF1544">
            <v>0.4</v>
          </cell>
        </row>
        <row r="1545">
          <cell r="B1545" t="str">
            <v>2020SD</v>
          </cell>
          <cell r="C1545">
            <v>0.17608951911561277</v>
          </cell>
          <cell r="D1545">
            <v>0.277831368160596</v>
          </cell>
          <cell r="E1545">
            <v>7.9800561964795444E-2</v>
          </cell>
          <cell r="F1545">
            <v>0.37802114842972712</v>
          </cell>
          <cell r="G1545">
            <v>4.724510882492864E-2</v>
          </cell>
          <cell r="H1545">
            <v>4.1012293504340026E-2</v>
          </cell>
          <cell r="J1545" t="str">
            <v>2020SD</v>
          </cell>
          <cell r="K1545">
            <v>0.87295432900000003</v>
          </cell>
          <cell r="L1545">
            <v>4.7245109E-2</v>
          </cell>
          <cell r="M1545">
            <v>7.9800562000000005E-2</v>
          </cell>
          <cell r="U1545" t="str">
            <v>2020SD</v>
          </cell>
          <cell r="V1545">
            <v>3.3046748000000001E-2</v>
          </cell>
          <cell r="W1545">
            <v>5.1157264000000001E-2</v>
          </cell>
          <cell r="X1545">
            <v>0.25755016600000002</v>
          </cell>
          <cell r="Y1545">
            <v>0.17532273200000001</v>
          </cell>
          <cell r="Z1545">
            <v>0.48292308900000003</v>
          </cell>
          <cell r="AB1545" t="str">
            <v>2020SD</v>
          </cell>
          <cell r="AC1545">
            <v>0</v>
          </cell>
          <cell r="AD1545">
            <v>0</v>
          </cell>
          <cell r="AE1545">
            <v>0.02</v>
          </cell>
          <cell r="AF1545">
            <v>0.98</v>
          </cell>
        </row>
        <row r="1546">
          <cell r="B1546" t="str">
            <v>2020TN</v>
          </cell>
          <cell r="C1546">
            <v>4.0519949592449485E-2</v>
          </cell>
          <cell r="D1546">
            <v>8.9664149461423162E-2</v>
          </cell>
          <cell r="E1546">
            <v>0.14551684926860037</v>
          </cell>
          <cell r="F1546">
            <v>0.1170185785979804</v>
          </cell>
          <cell r="G1546">
            <v>0.59108168584929244</v>
          </cell>
          <cell r="H1546">
            <v>1.6198787230254148E-2</v>
          </cell>
          <cell r="J1546" t="str">
            <v>2020TN</v>
          </cell>
          <cell r="K1546">
            <v>0.26340146500000006</v>
          </cell>
          <cell r="L1546">
            <v>0.591081686</v>
          </cell>
          <cell r="M1546">
            <v>0.145516849</v>
          </cell>
          <cell r="U1546" t="str">
            <v>2020TN</v>
          </cell>
          <cell r="V1546">
            <v>0.102875089</v>
          </cell>
          <cell r="W1546">
            <v>3.5402429999999999E-2</v>
          </cell>
          <cell r="X1546">
            <v>0.119077104</v>
          </cell>
          <cell r="Y1546">
            <v>0.41436515099999999</v>
          </cell>
          <cell r="Z1546">
            <v>0.32828022600000001</v>
          </cell>
          <cell r="AB1546" t="str">
            <v>2020TN</v>
          </cell>
          <cell r="AC1546">
            <v>0</v>
          </cell>
          <cell r="AD1546">
            <v>0</v>
          </cell>
          <cell r="AE1546">
            <v>0.05</v>
          </cell>
          <cell r="AF1546">
            <v>0.95</v>
          </cell>
        </row>
        <row r="1547">
          <cell r="B1547" t="str">
            <v>2020TX</v>
          </cell>
          <cell r="C1547">
            <v>0.53305655520056971</v>
          </cell>
          <cell r="D1547">
            <v>0.24233312613196878</v>
          </cell>
          <cell r="E1547">
            <v>7.9791980793249173E-2</v>
          </cell>
          <cell r="F1547">
            <v>0.1278405091499755</v>
          </cell>
          <cell r="G1547">
            <v>0</v>
          </cell>
          <cell r="H1547">
            <v>1.6977828724236681E-2</v>
          </cell>
          <cell r="J1547" t="str">
            <v>2020TX</v>
          </cell>
          <cell r="K1547">
            <v>0.92020801900000004</v>
          </cell>
          <cell r="L1547">
            <v>0</v>
          </cell>
          <cell r="M1547">
            <v>7.9791980999999998E-2</v>
          </cell>
          <cell r="U1547" t="str">
            <v>2020TX</v>
          </cell>
          <cell r="V1547">
            <v>6.9632535999999995E-2</v>
          </cell>
          <cell r="W1547">
            <v>3.4700662E-2</v>
          </cell>
          <cell r="X1547">
            <v>5.9917572000000002E-2</v>
          </cell>
          <cell r="Y1547">
            <v>0.54104196599999999</v>
          </cell>
          <cell r="Z1547">
            <v>0.29470726400000002</v>
          </cell>
          <cell r="AB1547" t="str">
            <v>2020TX</v>
          </cell>
          <cell r="AC1547">
            <v>0</v>
          </cell>
          <cell r="AD1547">
            <v>0</v>
          </cell>
          <cell r="AE1547">
            <v>0.12</v>
          </cell>
          <cell r="AF1547">
            <v>0.88</v>
          </cell>
        </row>
        <row r="1548">
          <cell r="B1548" t="str">
            <v>2020UT</v>
          </cell>
          <cell r="C1548">
            <v>0.51165623152884221</v>
          </cell>
          <cell r="D1548">
            <v>0.26394677259150623</v>
          </cell>
          <cell r="E1548">
            <v>1.3999177703951423E-2</v>
          </cell>
          <cell r="F1548">
            <v>0.17036034814732054</v>
          </cell>
          <cell r="G1548">
            <v>8.2880703819413898E-3</v>
          </cell>
          <cell r="H1548">
            <v>3.1749399646438282E-2</v>
          </cell>
          <cell r="J1548" t="str">
            <v>2020UT</v>
          </cell>
          <cell r="K1548">
            <v>0.97771275199999996</v>
          </cell>
          <cell r="L1548">
            <v>8.2880699999999998E-3</v>
          </cell>
          <cell r="M1548">
            <v>1.3999177999999999E-2</v>
          </cell>
          <cell r="U1548" t="str">
            <v>2020UT</v>
          </cell>
          <cell r="V1548">
            <v>8.6456620000000001E-3</v>
          </cell>
          <cell r="W1548">
            <v>5.5424775000000003E-2</v>
          </cell>
          <cell r="X1548">
            <v>0.260824848</v>
          </cell>
          <cell r="Y1548">
            <v>0.16982515300000001</v>
          </cell>
          <cell r="Z1548">
            <v>0.50527956200000002</v>
          </cell>
          <cell r="AB1548" t="str">
            <v>2020UT</v>
          </cell>
          <cell r="AC1548">
            <v>0</v>
          </cell>
          <cell r="AD1548">
            <v>0</v>
          </cell>
          <cell r="AE1548">
            <v>0.6</v>
          </cell>
          <cell r="AF1548">
            <v>0.4</v>
          </cell>
        </row>
        <row r="1549">
          <cell r="B1549" t="str">
            <v>2020VT</v>
          </cell>
          <cell r="C1549">
            <v>9.9973781354903396E-2</v>
          </cell>
          <cell r="D1549">
            <v>0.17387691112967565</v>
          </cell>
          <cell r="E1549">
            <v>0.44423932842492886</v>
          </cell>
          <cell r="F1549">
            <v>0.19448861844630186</v>
          </cell>
          <cell r="G1549">
            <v>6.6349172232328182E-2</v>
          </cell>
          <cell r="H1549">
            <v>2.1072188411862088E-2</v>
          </cell>
          <cell r="J1549" t="str">
            <v>2020VT</v>
          </cell>
          <cell r="K1549">
            <v>0.4894115</v>
          </cell>
          <cell r="L1549">
            <v>6.6349171999999998E-2</v>
          </cell>
          <cell r="M1549">
            <v>0.44423932799999999</v>
          </cell>
          <cell r="U1549" t="str">
            <v>2020VT</v>
          </cell>
          <cell r="V1549">
            <v>0.86037974299999997</v>
          </cell>
          <cell r="W1549">
            <v>6.1432910000000004E-3</v>
          </cell>
          <cell r="X1549">
            <v>3.8535191000000003E-2</v>
          </cell>
          <cell r="Y1549">
            <v>2.9459874E-2</v>
          </cell>
          <cell r="Z1549">
            <v>6.5481899999999996E-2</v>
          </cell>
          <cell r="AB1549" t="str">
            <v>2020VT</v>
          </cell>
          <cell r="AC1549">
            <v>0</v>
          </cell>
          <cell r="AD1549">
            <v>0</v>
          </cell>
          <cell r="AE1549">
            <v>0.05</v>
          </cell>
          <cell r="AF1549">
            <v>0.95</v>
          </cell>
        </row>
        <row r="1550">
          <cell r="B1550" t="str">
            <v>2020VA</v>
          </cell>
          <cell r="C1550">
            <v>4.4953509549794296E-2</v>
          </cell>
          <cell r="D1550">
            <v>9.339670802378576E-2</v>
          </cell>
          <cell r="E1550">
            <v>0.14844092890155638</v>
          </cell>
          <cell r="F1550">
            <v>0.12331550684410268</v>
          </cell>
          <cell r="G1550">
            <v>0.5737351926100378</v>
          </cell>
          <cell r="H1550">
            <v>1.6158154070723133E-2</v>
          </cell>
          <cell r="J1550" t="str">
            <v>2020VA</v>
          </cell>
          <cell r="K1550">
            <v>0.27782387799999997</v>
          </cell>
          <cell r="L1550">
            <v>0.57373519299999998</v>
          </cell>
          <cell r="M1550">
            <v>0.148440929</v>
          </cell>
          <cell r="U1550" t="str">
            <v>2020VA</v>
          </cell>
          <cell r="V1550">
            <v>3.3934871999999998E-2</v>
          </cell>
          <cell r="W1550">
            <v>3.6244844999999998E-2</v>
          </cell>
          <cell r="X1550">
            <v>6.8933026999999994E-2</v>
          </cell>
          <cell r="Y1550">
            <v>0.550040046</v>
          </cell>
          <cell r="Z1550">
            <v>0.31084721100000001</v>
          </cell>
          <cell r="AB1550" t="str">
            <v>2020VA</v>
          </cell>
          <cell r="AC1550">
            <v>0</v>
          </cell>
          <cell r="AD1550">
            <v>0</v>
          </cell>
          <cell r="AE1550">
            <v>0.05</v>
          </cell>
          <cell r="AF1550">
            <v>0.95</v>
          </cell>
        </row>
        <row r="1551">
          <cell r="B1551" t="str">
            <v>2020WA</v>
          </cell>
          <cell r="C1551">
            <v>0.48742079910802349</v>
          </cell>
          <cell r="D1551">
            <v>0.21961274491816118</v>
          </cell>
          <cell r="E1551">
            <v>0</v>
          </cell>
          <cell r="F1551">
            <v>0.11254281869932067</v>
          </cell>
          <cell r="G1551">
            <v>0.16627589127589129</v>
          </cell>
          <cell r="H1551">
            <v>1.4147745998603438E-2</v>
          </cell>
          <cell r="J1551" t="str">
            <v>2020WA</v>
          </cell>
          <cell r="K1551">
            <v>0.83372410900000005</v>
          </cell>
          <cell r="L1551">
            <v>0.16627589100000001</v>
          </cell>
          <cell r="M1551">
            <v>0</v>
          </cell>
          <cell r="U1551" t="str">
            <v>2020WA</v>
          </cell>
          <cell r="V1551">
            <v>0.37353494700000001</v>
          </cell>
          <cell r="W1551">
            <v>3.1263627000000002E-2</v>
          </cell>
          <cell r="X1551">
            <v>0.168896926</v>
          </cell>
          <cell r="Y1551">
            <v>0.119853577</v>
          </cell>
          <cell r="Z1551">
            <v>0.30645092299999999</v>
          </cell>
          <cell r="AB1551" t="str">
            <v>2020WA</v>
          </cell>
          <cell r="AC1551">
            <v>0</v>
          </cell>
          <cell r="AD1551">
            <v>0</v>
          </cell>
          <cell r="AE1551">
            <v>0.12</v>
          </cell>
          <cell r="AF1551">
            <v>0.88</v>
          </cell>
        </row>
        <row r="1552">
          <cell r="B1552" t="str">
            <v>2020WV</v>
          </cell>
          <cell r="C1552">
            <v>6.8751812683186322E-2</v>
          </cell>
          <cell r="D1552">
            <v>0.15888641455628993</v>
          </cell>
          <cell r="E1552">
            <v>0.44831485363191043</v>
          </cell>
          <cell r="F1552">
            <v>0.22633984896592482</v>
          </cell>
          <cell r="G1552">
            <v>7.0025492327769459E-2</v>
          </cell>
          <cell r="H1552">
            <v>2.7681577834919095E-2</v>
          </cell>
          <cell r="J1552" t="str">
            <v>2020WV</v>
          </cell>
          <cell r="K1552">
            <v>0.48165965399999999</v>
          </cell>
          <cell r="L1552">
            <v>7.0025491999999995E-2</v>
          </cell>
          <cell r="M1552">
            <v>0.44831485399999998</v>
          </cell>
          <cell r="U1552" t="str">
            <v>2020WV</v>
          </cell>
          <cell r="V1552">
            <v>0.57920187499999998</v>
          </cell>
          <cell r="W1552">
            <v>2.1256934000000002E-2</v>
          </cell>
          <cell r="X1552">
            <v>0.113169981</v>
          </cell>
          <cell r="Y1552">
            <v>7.9649016000000003E-2</v>
          </cell>
          <cell r="Z1552">
            <v>0.206722194</v>
          </cell>
          <cell r="AB1552" t="str">
            <v>2020WV</v>
          </cell>
          <cell r="AC1552">
            <v>0</v>
          </cell>
          <cell r="AD1552">
            <v>0</v>
          </cell>
          <cell r="AE1552">
            <v>0.05</v>
          </cell>
          <cell r="AF1552">
            <v>0.95</v>
          </cell>
        </row>
        <row r="1553">
          <cell r="B1553" t="str">
            <v>2020WI</v>
          </cell>
          <cell r="C1553">
            <v>0.12203432597344931</v>
          </cell>
          <cell r="D1553">
            <v>0.23555629715568294</v>
          </cell>
          <cell r="E1553">
            <v>0.11540173598404266</v>
          </cell>
          <cell r="F1553">
            <v>0.42032708364290838</v>
          </cell>
          <cell r="G1553">
            <v>6.8322420806473022E-2</v>
          </cell>
          <cell r="H1553">
            <v>3.8358136437443673E-2</v>
          </cell>
          <cell r="J1553" t="str">
            <v>2020WI</v>
          </cell>
          <cell r="K1553">
            <v>0.816275843</v>
          </cell>
          <cell r="L1553">
            <v>6.8322420999999994E-2</v>
          </cell>
          <cell r="M1553">
            <v>0.115401736</v>
          </cell>
          <cell r="U1553" t="str">
            <v>2020WI</v>
          </cell>
          <cell r="V1553">
            <v>0.12883246500000001</v>
          </cell>
          <cell r="W1553">
            <v>4.2564396999999997E-2</v>
          </cell>
          <cell r="X1553">
            <v>0.23585646199999999</v>
          </cell>
          <cell r="Y1553">
            <v>0.16970626599999999</v>
          </cell>
          <cell r="Z1553">
            <v>0.42304040999999998</v>
          </cell>
          <cell r="AB1553" t="str">
            <v>2020WI</v>
          </cell>
          <cell r="AC1553">
            <v>0</v>
          </cell>
          <cell r="AD1553">
            <v>0</v>
          </cell>
          <cell r="AE1553">
            <v>0.02</v>
          </cell>
          <cell r="AF1553">
            <v>0.98</v>
          </cell>
        </row>
        <row r="1554">
          <cell r="B1554" t="str">
            <v>2020WY</v>
          </cell>
          <cell r="C1554">
            <v>0.29508724522063295</v>
          </cell>
          <cell r="D1554">
            <v>0.23251729773373622</v>
          </cell>
          <cell r="E1554">
            <v>0.12161775942187937</v>
          </cell>
          <cell r="F1554">
            <v>0.2207502472879718</v>
          </cell>
          <cell r="G1554">
            <v>7.2002554085590281E-2</v>
          </cell>
          <cell r="H1554">
            <v>5.8024896250189507E-2</v>
          </cell>
          <cell r="J1554" t="str">
            <v>2020WY</v>
          </cell>
          <cell r="K1554">
            <v>0.80637968699999996</v>
          </cell>
          <cell r="L1554">
            <v>7.2002553999999996E-2</v>
          </cell>
          <cell r="M1554">
            <v>0.12161775900000001</v>
          </cell>
          <cell r="U1554" t="str">
            <v>2020WY</v>
          </cell>
          <cell r="V1554">
            <v>3.2109568999999998E-2</v>
          </cell>
          <cell r="W1554">
            <v>5.3596850000000001E-2</v>
          </cell>
          <cell r="X1554">
            <v>0.25521061499999997</v>
          </cell>
          <cell r="Y1554">
            <v>0.16752597599999999</v>
          </cell>
          <cell r="Z1554">
            <v>0.49155699000000003</v>
          </cell>
          <cell r="AB1554" t="str">
            <v>2020WY</v>
          </cell>
          <cell r="AC1554">
            <v>0</v>
          </cell>
          <cell r="AD1554">
            <v>0</v>
          </cell>
          <cell r="AE1554">
            <v>0.6</v>
          </cell>
          <cell r="AF1554">
            <v>0.4</v>
          </cell>
        </row>
      </sheetData>
      <sheetData sheetId="23"/>
      <sheetData sheetId="24"/>
      <sheetData sheetId="25"/>
      <sheetData sheetId="26"/>
      <sheetData sheetId="27"/>
      <sheetData sheetId="28">
        <row r="4">
          <cell r="C4">
            <v>1</v>
          </cell>
          <cell r="D4">
            <v>2</v>
          </cell>
          <cell r="E4">
            <v>3</v>
          </cell>
          <cell r="F4">
            <v>4</v>
          </cell>
          <cell r="G4">
            <v>5</v>
          </cell>
          <cell r="H4">
            <v>6</v>
          </cell>
          <cell r="I4">
            <v>7</v>
          </cell>
          <cell r="J4">
            <v>8</v>
          </cell>
          <cell r="K4">
            <v>9</v>
          </cell>
          <cell r="L4">
            <v>10</v>
          </cell>
          <cell r="M4">
            <v>11</v>
          </cell>
          <cell r="N4">
            <v>12</v>
          </cell>
          <cell r="O4">
            <v>13</v>
          </cell>
          <cell r="P4">
            <v>14</v>
          </cell>
          <cell r="Q4">
            <v>15</v>
          </cell>
          <cell r="R4">
            <v>16</v>
          </cell>
          <cell r="S4">
            <v>17</v>
          </cell>
          <cell r="T4">
            <v>18</v>
          </cell>
          <cell r="U4">
            <v>19</v>
          </cell>
          <cell r="V4">
            <v>20</v>
          </cell>
          <cell r="W4">
            <v>21</v>
          </cell>
        </row>
        <row r="5">
          <cell r="C5" t="str">
            <v>1990AL</v>
          </cell>
          <cell r="D5">
            <v>0</v>
          </cell>
          <cell r="E5">
            <v>13920</v>
          </cell>
          <cell r="F5">
            <v>6650</v>
          </cell>
          <cell r="G5">
            <v>0</v>
          </cell>
          <cell r="H5">
            <v>990</v>
          </cell>
          <cell r="I5">
            <v>1250</v>
          </cell>
          <cell r="J5">
            <v>0</v>
          </cell>
          <cell r="K5">
            <v>0</v>
          </cell>
          <cell r="L5">
            <v>0</v>
          </cell>
          <cell r="M5">
            <v>7480</v>
          </cell>
          <cell r="N5">
            <v>386560</v>
          </cell>
          <cell r="O5">
            <v>0</v>
          </cell>
          <cell r="P5">
            <v>0</v>
          </cell>
          <cell r="Q5">
            <v>0</v>
          </cell>
          <cell r="R5">
            <v>0</v>
          </cell>
          <cell r="S5">
            <v>0</v>
          </cell>
          <cell r="T5">
            <v>0</v>
          </cell>
          <cell r="U5">
            <v>0</v>
          </cell>
          <cell r="V5">
            <v>0</v>
          </cell>
        </row>
        <row r="6">
          <cell r="C6" t="str">
            <v>1990AK</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row>
        <row r="7">
          <cell r="C7" t="str">
            <v>1990AZ</v>
          </cell>
          <cell r="D7">
            <v>1304</v>
          </cell>
          <cell r="E7">
            <v>1120</v>
          </cell>
          <cell r="F7">
            <v>9266</v>
          </cell>
          <cell r="G7">
            <v>1575</v>
          </cell>
          <cell r="H7">
            <v>0</v>
          </cell>
          <cell r="I7">
            <v>0</v>
          </cell>
          <cell r="J7">
            <v>0</v>
          </cell>
          <cell r="K7">
            <v>0</v>
          </cell>
          <cell r="L7">
            <v>0</v>
          </cell>
          <cell r="M7">
            <v>0</v>
          </cell>
          <cell r="N7">
            <v>0</v>
          </cell>
          <cell r="O7">
            <v>0</v>
          </cell>
          <cell r="P7">
            <v>0</v>
          </cell>
          <cell r="Q7">
            <v>0</v>
          </cell>
          <cell r="R7">
            <v>0</v>
          </cell>
          <cell r="S7">
            <v>0</v>
          </cell>
          <cell r="T7">
            <v>0</v>
          </cell>
          <cell r="U7">
            <v>0</v>
          </cell>
          <cell r="V7">
            <v>0</v>
          </cell>
        </row>
        <row r="8">
          <cell r="C8" t="str">
            <v>1990AR</v>
          </cell>
          <cell r="D8">
            <v>75</v>
          </cell>
          <cell r="E8">
            <v>6935</v>
          </cell>
          <cell r="F8">
            <v>49000</v>
          </cell>
          <cell r="G8">
            <v>0</v>
          </cell>
          <cell r="H8">
            <v>18150</v>
          </cell>
          <cell r="I8">
            <v>2700</v>
          </cell>
          <cell r="J8">
            <v>0</v>
          </cell>
          <cell r="K8">
            <v>0</v>
          </cell>
          <cell r="L8">
            <v>60000</v>
          </cell>
          <cell r="M8">
            <v>90450</v>
          </cell>
          <cell r="N8">
            <v>0</v>
          </cell>
          <cell r="O8">
            <v>0</v>
          </cell>
          <cell r="P8">
            <v>0</v>
          </cell>
          <cell r="Q8">
            <v>0</v>
          </cell>
          <cell r="R8">
            <v>0</v>
          </cell>
          <cell r="S8">
            <v>0</v>
          </cell>
          <cell r="T8">
            <v>0</v>
          </cell>
          <cell r="U8">
            <v>1200</v>
          </cell>
          <cell r="V8">
            <v>0</v>
          </cell>
          <cell r="W8">
            <v>0.13</v>
          </cell>
        </row>
        <row r="9">
          <cell r="C9" t="str">
            <v>1990CA</v>
          </cell>
          <cell r="D9">
            <v>6996</v>
          </cell>
          <cell r="E9">
            <v>25600</v>
          </cell>
          <cell r="F9">
            <v>48165</v>
          </cell>
          <cell r="G9">
            <v>13340</v>
          </cell>
          <cell r="H9">
            <v>0</v>
          </cell>
          <cell r="I9">
            <v>3375</v>
          </cell>
          <cell r="J9">
            <v>0</v>
          </cell>
          <cell r="K9">
            <v>0</v>
          </cell>
          <cell r="L9">
            <v>30429</v>
          </cell>
          <cell r="M9">
            <v>0</v>
          </cell>
          <cell r="N9">
            <v>0</v>
          </cell>
          <cell r="O9">
            <v>0</v>
          </cell>
          <cell r="P9">
            <v>0</v>
          </cell>
          <cell r="Q9">
            <v>0</v>
          </cell>
          <cell r="R9">
            <v>0</v>
          </cell>
          <cell r="S9">
            <v>0</v>
          </cell>
          <cell r="T9">
            <v>0</v>
          </cell>
          <cell r="U9">
            <v>395</v>
          </cell>
          <cell r="V9">
            <v>0</v>
          </cell>
          <cell r="W9">
            <v>0.75</v>
          </cell>
        </row>
        <row r="10">
          <cell r="C10" t="str">
            <v>1990CO</v>
          </cell>
          <cell r="D10">
            <v>2590</v>
          </cell>
          <cell r="E10">
            <v>128650</v>
          </cell>
          <cell r="F10">
            <v>86950</v>
          </cell>
          <cell r="G10">
            <v>12000</v>
          </cell>
          <cell r="H10">
            <v>10340</v>
          </cell>
          <cell r="I10">
            <v>2250</v>
          </cell>
          <cell r="J10">
            <v>84</v>
          </cell>
          <cell r="K10">
            <v>0</v>
          </cell>
          <cell r="L10">
            <v>0</v>
          </cell>
          <cell r="M10">
            <v>0</v>
          </cell>
          <cell r="N10">
            <v>0</v>
          </cell>
          <cell r="O10">
            <v>0</v>
          </cell>
          <cell r="P10">
            <v>0</v>
          </cell>
          <cell r="Q10">
            <v>0</v>
          </cell>
          <cell r="R10">
            <v>0</v>
          </cell>
          <cell r="S10">
            <v>0</v>
          </cell>
          <cell r="T10">
            <v>0</v>
          </cell>
          <cell r="U10">
            <v>0</v>
          </cell>
          <cell r="V10">
            <v>0</v>
          </cell>
        </row>
        <row r="11">
          <cell r="C11" t="str">
            <v>1990CT</v>
          </cell>
          <cell r="D11">
            <v>51</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row>
        <row r="12">
          <cell r="C12" t="str">
            <v>1990DE</v>
          </cell>
          <cell r="D12">
            <v>33</v>
          </cell>
          <cell r="E12">
            <v>19780</v>
          </cell>
          <cell r="F12">
            <v>3060</v>
          </cell>
          <cell r="G12">
            <v>1890</v>
          </cell>
          <cell r="H12">
            <v>0</v>
          </cell>
          <cell r="I12">
            <v>0</v>
          </cell>
          <cell r="J12">
            <v>0</v>
          </cell>
          <cell r="K12">
            <v>0</v>
          </cell>
          <cell r="L12">
            <v>0</v>
          </cell>
          <cell r="M12">
            <v>6766</v>
          </cell>
          <cell r="N12">
            <v>0</v>
          </cell>
          <cell r="O12">
            <v>0</v>
          </cell>
          <cell r="P12">
            <v>0</v>
          </cell>
          <cell r="Q12">
            <v>0</v>
          </cell>
          <cell r="R12">
            <v>0</v>
          </cell>
          <cell r="S12">
            <v>0</v>
          </cell>
          <cell r="T12">
            <v>0</v>
          </cell>
          <cell r="U12">
            <v>0</v>
          </cell>
          <cell r="V12">
            <v>0</v>
          </cell>
        </row>
        <row r="13">
          <cell r="C13" t="str">
            <v>1990FL</v>
          </cell>
          <cell r="D13">
            <v>0</v>
          </cell>
          <cell r="E13">
            <v>5325</v>
          </cell>
          <cell r="F13">
            <v>1815</v>
          </cell>
          <cell r="G13">
            <v>0</v>
          </cell>
          <cell r="H13">
            <v>0</v>
          </cell>
          <cell r="I13">
            <v>0</v>
          </cell>
          <cell r="J13">
            <v>0</v>
          </cell>
          <cell r="K13">
            <v>0</v>
          </cell>
          <cell r="L13">
            <v>546.53594167167773</v>
          </cell>
          <cell r="M13">
            <v>1425</v>
          </cell>
          <cell r="N13">
            <v>234000</v>
          </cell>
          <cell r="O13">
            <v>0</v>
          </cell>
          <cell r="P13">
            <v>0</v>
          </cell>
          <cell r="Q13">
            <v>0</v>
          </cell>
          <cell r="R13">
            <v>0</v>
          </cell>
          <cell r="S13">
            <v>0</v>
          </cell>
          <cell r="T13">
            <v>15407</v>
          </cell>
          <cell r="U13">
            <v>12</v>
          </cell>
          <cell r="V13">
            <v>6</v>
          </cell>
          <cell r="W13">
            <v>0</v>
          </cell>
        </row>
        <row r="14">
          <cell r="C14" t="str">
            <v>1990GA</v>
          </cell>
          <cell r="D14">
            <v>0</v>
          </cell>
          <cell r="E14">
            <v>37400</v>
          </cell>
          <cell r="F14">
            <v>20650</v>
          </cell>
          <cell r="G14">
            <v>0</v>
          </cell>
          <cell r="H14">
            <v>1200</v>
          </cell>
          <cell r="I14">
            <v>2240</v>
          </cell>
          <cell r="J14">
            <v>1320</v>
          </cell>
          <cell r="K14">
            <v>0</v>
          </cell>
          <cell r="L14">
            <v>0</v>
          </cell>
          <cell r="M14">
            <v>9800</v>
          </cell>
          <cell r="N14">
            <v>1347500</v>
          </cell>
          <cell r="O14">
            <v>0</v>
          </cell>
          <cell r="P14">
            <v>0</v>
          </cell>
          <cell r="Q14">
            <v>0</v>
          </cell>
          <cell r="R14">
            <v>0</v>
          </cell>
          <cell r="S14">
            <v>0</v>
          </cell>
          <cell r="T14">
            <v>0</v>
          </cell>
          <cell r="U14">
            <v>0</v>
          </cell>
          <cell r="V14">
            <v>0</v>
          </cell>
        </row>
        <row r="15">
          <cell r="C15" t="str">
            <v>1990HI</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6723</v>
          </cell>
          <cell r="U15">
            <v>0</v>
          </cell>
          <cell r="V15">
            <v>0</v>
          </cell>
        </row>
        <row r="16">
          <cell r="C16" t="str">
            <v>1990ID</v>
          </cell>
          <cell r="D16">
            <v>3744</v>
          </cell>
          <cell r="E16">
            <v>3900</v>
          </cell>
          <cell r="F16">
            <v>99600</v>
          </cell>
          <cell r="G16">
            <v>56160</v>
          </cell>
          <cell r="H16">
            <v>0</v>
          </cell>
          <cell r="I16">
            <v>1980</v>
          </cell>
          <cell r="J16">
            <v>0</v>
          </cell>
          <cell r="K16">
            <v>0</v>
          </cell>
          <cell r="L16">
            <v>0</v>
          </cell>
          <cell r="M16">
            <v>0</v>
          </cell>
          <cell r="N16">
            <v>0</v>
          </cell>
          <cell r="O16">
            <v>0</v>
          </cell>
          <cell r="P16">
            <v>0</v>
          </cell>
          <cell r="Q16">
            <v>0</v>
          </cell>
          <cell r="R16">
            <v>0</v>
          </cell>
          <cell r="S16">
            <v>0</v>
          </cell>
          <cell r="T16">
            <v>0</v>
          </cell>
          <cell r="U16">
            <v>0</v>
          </cell>
          <cell r="V16">
            <v>0</v>
          </cell>
        </row>
        <row r="17">
          <cell r="C17" t="str">
            <v>1990IL</v>
          </cell>
          <cell r="D17">
            <v>2772</v>
          </cell>
          <cell r="E17">
            <v>1320800</v>
          </cell>
          <cell r="F17">
            <v>88800</v>
          </cell>
          <cell r="G17">
            <v>0</v>
          </cell>
          <cell r="H17">
            <v>14625</v>
          </cell>
          <cell r="I17">
            <v>11560</v>
          </cell>
          <cell r="J17">
            <v>165</v>
          </cell>
          <cell r="K17">
            <v>0</v>
          </cell>
          <cell r="L17">
            <v>0</v>
          </cell>
          <cell r="M17">
            <v>354900</v>
          </cell>
          <cell r="N17">
            <v>0</v>
          </cell>
          <cell r="O17">
            <v>0</v>
          </cell>
          <cell r="P17">
            <v>0</v>
          </cell>
          <cell r="Q17">
            <v>0</v>
          </cell>
          <cell r="R17">
            <v>0</v>
          </cell>
          <cell r="S17">
            <v>0</v>
          </cell>
          <cell r="T17">
            <v>0</v>
          </cell>
          <cell r="U17">
            <v>0</v>
          </cell>
          <cell r="V17">
            <v>0</v>
          </cell>
        </row>
        <row r="18">
          <cell r="C18" t="str">
            <v>1990IN</v>
          </cell>
          <cell r="D18">
            <v>1560</v>
          </cell>
          <cell r="E18">
            <v>703050</v>
          </cell>
          <cell r="F18">
            <v>50440</v>
          </cell>
          <cell r="G18">
            <v>0</v>
          </cell>
          <cell r="H18">
            <v>0</v>
          </cell>
          <cell r="I18">
            <v>4830</v>
          </cell>
          <cell r="J18">
            <v>124</v>
          </cell>
          <cell r="K18">
            <v>0</v>
          </cell>
          <cell r="L18">
            <v>0</v>
          </cell>
          <cell r="M18">
            <v>171380</v>
          </cell>
          <cell r="N18">
            <v>0</v>
          </cell>
          <cell r="O18">
            <v>0</v>
          </cell>
          <cell r="P18">
            <v>0</v>
          </cell>
          <cell r="Q18">
            <v>0</v>
          </cell>
          <cell r="R18">
            <v>0</v>
          </cell>
          <cell r="S18">
            <v>0</v>
          </cell>
          <cell r="T18">
            <v>0</v>
          </cell>
          <cell r="U18">
            <v>0</v>
          </cell>
          <cell r="V18">
            <v>0</v>
          </cell>
        </row>
        <row r="19">
          <cell r="C19" t="str">
            <v>1990IA</v>
          </cell>
          <cell r="D19">
            <v>6375</v>
          </cell>
          <cell r="E19">
            <v>1562400</v>
          </cell>
          <cell r="F19">
            <v>3375</v>
          </cell>
          <cell r="G19">
            <v>0</v>
          </cell>
          <cell r="H19">
            <v>0</v>
          </cell>
          <cell r="I19">
            <v>40800</v>
          </cell>
          <cell r="J19">
            <v>0</v>
          </cell>
          <cell r="K19">
            <v>0</v>
          </cell>
          <cell r="L19">
            <v>0</v>
          </cell>
          <cell r="M19">
            <v>327850</v>
          </cell>
          <cell r="N19">
            <v>0</v>
          </cell>
          <cell r="O19">
            <v>0</v>
          </cell>
          <cell r="P19">
            <v>0</v>
          </cell>
          <cell r="Q19">
            <v>0</v>
          </cell>
          <cell r="R19">
            <v>0</v>
          </cell>
          <cell r="S19">
            <v>0</v>
          </cell>
          <cell r="T19">
            <v>0</v>
          </cell>
          <cell r="U19">
            <v>0</v>
          </cell>
          <cell r="V19">
            <v>0</v>
          </cell>
        </row>
        <row r="20">
          <cell r="C20" t="str">
            <v>1990KS</v>
          </cell>
          <cell r="D20">
            <v>3040</v>
          </cell>
          <cell r="E20">
            <v>188500</v>
          </cell>
          <cell r="F20">
            <v>472000</v>
          </cell>
          <cell r="G20">
            <v>924</v>
          </cell>
          <cell r="H20">
            <v>184800</v>
          </cell>
          <cell r="I20">
            <v>6600</v>
          </cell>
          <cell r="J20">
            <v>130</v>
          </cell>
          <cell r="K20">
            <v>0</v>
          </cell>
          <cell r="L20">
            <v>0</v>
          </cell>
          <cell r="M20">
            <v>46800</v>
          </cell>
          <cell r="N20">
            <v>0</v>
          </cell>
          <cell r="O20">
            <v>0</v>
          </cell>
          <cell r="P20">
            <v>0</v>
          </cell>
          <cell r="Q20">
            <v>0</v>
          </cell>
          <cell r="R20">
            <v>0</v>
          </cell>
          <cell r="S20">
            <v>0</v>
          </cell>
          <cell r="T20">
            <v>0</v>
          </cell>
          <cell r="U20">
            <v>0</v>
          </cell>
          <cell r="V20">
            <v>0</v>
          </cell>
        </row>
        <row r="21">
          <cell r="C21" t="str">
            <v>1990KY</v>
          </cell>
          <cell r="D21">
            <v>1088</v>
          </cell>
          <cell r="E21">
            <v>120000</v>
          </cell>
          <cell r="F21">
            <v>20000</v>
          </cell>
          <cell r="G21">
            <v>1020</v>
          </cell>
          <cell r="H21">
            <v>2604</v>
          </cell>
          <cell r="I21">
            <v>0</v>
          </cell>
          <cell r="J21">
            <v>0</v>
          </cell>
          <cell r="K21">
            <v>0</v>
          </cell>
          <cell r="L21">
            <v>0</v>
          </cell>
          <cell r="M21">
            <v>39040</v>
          </cell>
          <cell r="N21">
            <v>0</v>
          </cell>
          <cell r="O21">
            <v>0</v>
          </cell>
          <cell r="P21">
            <v>0</v>
          </cell>
          <cell r="Q21">
            <v>0</v>
          </cell>
          <cell r="R21">
            <v>0</v>
          </cell>
          <cell r="S21">
            <v>0</v>
          </cell>
          <cell r="T21">
            <v>0</v>
          </cell>
          <cell r="U21">
            <v>0</v>
          </cell>
          <cell r="V21">
            <v>0</v>
          </cell>
        </row>
        <row r="22">
          <cell r="C22" t="str">
            <v>1990LA</v>
          </cell>
          <cell r="D22">
            <v>0</v>
          </cell>
          <cell r="E22">
            <v>21576</v>
          </cell>
          <cell r="F22">
            <v>12870</v>
          </cell>
          <cell r="G22">
            <v>0</v>
          </cell>
          <cell r="H22">
            <v>8320</v>
          </cell>
          <cell r="I22">
            <v>0</v>
          </cell>
          <cell r="J22">
            <v>0</v>
          </cell>
          <cell r="K22">
            <v>0</v>
          </cell>
          <cell r="L22">
            <v>26469</v>
          </cell>
          <cell r="M22">
            <v>42000</v>
          </cell>
          <cell r="N22">
            <v>0</v>
          </cell>
          <cell r="O22">
            <v>0</v>
          </cell>
          <cell r="P22">
            <v>0</v>
          </cell>
          <cell r="Q22">
            <v>0</v>
          </cell>
          <cell r="R22">
            <v>0</v>
          </cell>
          <cell r="S22">
            <v>0</v>
          </cell>
          <cell r="T22">
            <v>5056</v>
          </cell>
          <cell r="U22">
            <v>545</v>
          </cell>
          <cell r="V22">
            <v>164</v>
          </cell>
          <cell r="W22">
            <v>0.06</v>
          </cell>
        </row>
        <row r="23">
          <cell r="C23" t="str">
            <v>1990ME</v>
          </cell>
          <cell r="D23">
            <v>53</v>
          </cell>
          <cell r="E23">
            <v>0</v>
          </cell>
          <cell r="F23">
            <v>0</v>
          </cell>
          <cell r="G23">
            <v>0</v>
          </cell>
          <cell r="H23">
            <v>0</v>
          </cell>
          <cell r="I23">
            <v>2145</v>
          </cell>
          <cell r="J23">
            <v>0</v>
          </cell>
          <cell r="K23">
            <v>0</v>
          </cell>
          <cell r="L23">
            <v>0</v>
          </cell>
          <cell r="M23">
            <v>0</v>
          </cell>
          <cell r="N23">
            <v>0</v>
          </cell>
          <cell r="O23">
            <v>0</v>
          </cell>
          <cell r="P23">
            <v>0</v>
          </cell>
          <cell r="Q23">
            <v>0</v>
          </cell>
          <cell r="R23">
            <v>0</v>
          </cell>
          <cell r="S23">
            <v>0</v>
          </cell>
          <cell r="T23">
            <v>0</v>
          </cell>
          <cell r="U23">
            <v>0</v>
          </cell>
          <cell r="V23">
            <v>0</v>
          </cell>
        </row>
        <row r="24">
          <cell r="C24" t="str">
            <v>1990MD</v>
          </cell>
          <cell r="D24">
            <v>308</v>
          </cell>
          <cell r="E24">
            <v>53100</v>
          </cell>
          <cell r="F24">
            <v>9880</v>
          </cell>
          <cell r="G24">
            <v>4284</v>
          </cell>
          <cell r="H24">
            <v>0</v>
          </cell>
          <cell r="I24">
            <v>986</v>
          </cell>
          <cell r="J24">
            <v>210</v>
          </cell>
          <cell r="K24">
            <v>0</v>
          </cell>
          <cell r="L24">
            <v>0</v>
          </cell>
          <cell r="M24">
            <v>17820</v>
          </cell>
          <cell r="N24">
            <v>0</v>
          </cell>
          <cell r="O24">
            <v>0</v>
          </cell>
          <cell r="P24">
            <v>0</v>
          </cell>
          <cell r="Q24">
            <v>0</v>
          </cell>
          <cell r="R24">
            <v>0</v>
          </cell>
          <cell r="S24">
            <v>0</v>
          </cell>
          <cell r="T24">
            <v>0</v>
          </cell>
          <cell r="U24">
            <v>0</v>
          </cell>
          <cell r="V24">
            <v>0</v>
          </cell>
        </row>
        <row r="25">
          <cell r="C25" t="str">
            <v>1990MA</v>
          </cell>
          <cell r="D25">
            <v>78</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row>
        <row r="26">
          <cell r="C26" t="str">
            <v>1990MI</v>
          </cell>
          <cell r="D26">
            <v>4875</v>
          </cell>
          <cell r="E26">
            <v>238050</v>
          </cell>
          <cell r="F26">
            <v>41250</v>
          </cell>
          <cell r="G26">
            <v>2580</v>
          </cell>
          <cell r="H26">
            <v>0</v>
          </cell>
          <cell r="I26">
            <v>13050</v>
          </cell>
          <cell r="J26">
            <v>580</v>
          </cell>
          <cell r="K26">
            <v>0</v>
          </cell>
          <cell r="L26">
            <v>0</v>
          </cell>
          <cell r="M26">
            <v>43320</v>
          </cell>
          <cell r="N26">
            <v>0</v>
          </cell>
          <cell r="O26">
            <v>0</v>
          </cell>
          <cell r="P26">
            <v>0</v>
          </cell>
          <cell r="Q26">
            <v>0</v>
          </cell>
          <cell r="R26">
            <v>0</v>
          </cell>
          <cell r="S26">
            <v>0</v>
          </cell>
          <cell r="T26">
            <v>0</v>
          </cell>
          <cell r="U26">
            <v>0</v>
          </cell>
          <cell r="V26">
            <v>0</v>
          </cell>
        </row>
        <row r="27">
          <cell r="C27" t="str">
            <v>1990MN</v>
          </cell>
          <cell r="D27">
            <v>5120</v>
          </cell>
          <cell r="E27">
            <v>762600</v>
          </cell>
          <cell r="F27">
            <v>138620</v>
          </cell>
          <cell r="G27">
            <v>50400</v>
          </cell>
          <cell r="H27">
            <v>0</v>
          </cell>
          <cell r="I27">
            <v>48180</v>
          </cell>
          <cell r="J27">
            <v>868</v>
          </cell>
          <cell r="K27">
            <v>0</v>
          </cell>
          <cell r="L27">
            <v>0</v>
          </cell>
          <cell r="M27">
            <v>179400</v>
          </cell>
          <cell r="N27">
            <v>0</v>
          </cell>
          <cell r="O27">
            <v>0</v>
          </cell>
          <cell r="P27">
            <v>0</v>
          </cell>
          <cell r="Q27">
            <v>0</v>
          </cell>
          <cell r="R27">
            <v>0</v>
          </cell>
          <cell r="S27">
            <v>0</v>
          </cell>
          <cell r="T27">
            <v>0</v>
          </cell>
          <cell r="U27">
            <v>0</v>
          </cell>
          <cell r="V27">
            <v>0</v>
          </cell>
        </row>
        <row r="28">
          <cell r="C28" t="str">
            <v>1990MS</v>
          </cell>
          <cell r="D28">
            <v>0</v>
          </cell>
          <cell r="E28">
            <v>11200</v>
          </cell>
          <cell r="F28">
            <v>15600</v>
          </cell>
          <cell r="G28">
            <v>0</v>
          </cell>
          <cell r="H28">
            <v>5525</v>
          </cell>
          <cell r="I28">
            <v>0</v>
          </cell>
          <cell r="J28">
            <v>0</v>
          </cell>
          <cell r="K28">
            <v>0</v>
          </cell>
          <cell r="L28">
            <v>14250</v>
          </cell>
          <cell r="M28">
            <v>39900</v>
          </cell>
          <cell r="N28">
            <v>0</v>
          </cell>
          <cell r="O28">
            <v>0</v>
          </cell>
          <cell r="P28">
            <v>0</v>
          </cell>
          <cell r="Q28">
            <v>0</v>
          </cell>
          <cell r="R28">
            <v>0</v>
          </cell>
          <cell r="S28">
            <v>0</v>
          </cell>
          <cell r="T28">
            <v>0</v>
          </cell>
          <cell r="U28">
            <v>250</v>
          </cell>
          <cell r="V28">
            <v>0</v>
          </cell>
          <cell r="W28">
            <v>0.1</v>
          </cell>
        </row>
        <row r="29">
          <cell r="C29" t="str">
            <v>1990MO</v>
          </cell>
          <cell r="D29">
            <v>1440</v>
          </cell>
          <cell r="E29">
            <v>205800</v>
          </cell>
          <cell r="F29">
            <v>76000</v>
          </cell>
          <cell r="G29">
            <v>0</v>
          </cell>
          <cell r="H29">
            <v>42640</v>
          </cell>
          <cell r="I29">
            <v>2226</v>
          </cell>
          <cell r="J29">
            <v>0</v>
          </cell>
          <cell r="K29">
            <v>0</v>
          </cell>
          <cell r="L29">
            <v>3760</v>
          </cell>
          <cell r="M29">
            <v>124500</v>
          </cell>
          <cell r="N29">
            <v>0</v>
          </cell>
          <cell r="O29">
            <v>0</v>
          </cell>
          <cell r="P29">
            <v>0</v>
          </cell>
          <cell r="Q29">
            <v>0</v>
          </cell>
          <cell r="R29">
            <v>0</v>
          </cell>
          <cell r="S29">
            <v>0</v>
          </cell>
          <cell r="T29">
            <v>0</v>
          </cell>
          <cell r="U29">
            <v>80</v>
          </cell>
          <cell r="V29">
            <v>0</v>
          </cell>
          <cell r="W29">
            <v>0.05</v>
          </cell>
        </row>
        <row r="30">
          <cell r="C30" t="str">
            <v>1990MT</v>
          </cell>
          <cell r="D30">
            <v>3250</v>
          </cell>
          <cell r="E30">
            <v>855</v>
          </cell>
          <cell r="F30">
            <v>145865</v>
          </cell>
          <cell r="G30">
            <v>56580</v>
          </cell>
          <cell r="H30">
            <v>0</v>
          </cell>
          <cell r="I30">
            <v>2800</v>
          </cell>
          <cell r="J30">
            <v>0</v>
          </cell>
          <cell r="K30">
            <v>0</v>
          </cell>
          <cell r="L30">
            <v>0</v>
          </cell>
          <cell r="M30">
            <v>0</v>
          </cell>
          <cell r="N30">
            <v>0</v>
          </cell>
          <cell r="O30">
            <v>0</v>
          </cell>
          <cell r="P30">
            <v>0</v>
          </cell>
          <cell r="Q30">
            <v>0</v>
          </cell>
          <cell r="R30">
            <v>0</v>
          </cell>
          <cell r="S30">
            <v>0</v>
          </cell>
          <cell r="T30">
            <v>0</v>
          </cell>
          <cell r="U30">
            <v>0</v>
          </cell>
          <cell r="V30">
            <v>0</v>
          </cell>
        </row>
        <row r="31">
          <cell r="C31" t="str">
            <v>1990NE</v>
          </cell>
          <cell r="D31">
            <v>4785</v>
          </cell>
          <cell r="E31">
            <v>934400</v>
          </cell>
          <cell r="F31">
            <v>85500</v>
          </cell>
          <cell r="G31">
            <v>880</v>
          </cell>
          <cell r="H31">
            <v>108570</v>
          </cell>
          <cell r="I31">
            <v>13440</v>
          </cell>
          <cell r="J31">
            <v>750</v>
          </cell>
          <cell r="K31">
            <v>0</v>
          </cell>
          <cell r="L31">
            <v>0</v>
          </cell>
          <cell r="M31">
            <v>81420</v>
          </cell>
          <cell r="N31">
            <v>0</v>
          </cell>
          <cell r="O31">
            <v>0</v>
          </cell>
          <cell r="P31">
            <v>0</v>
          </cell>
          <cell r="Q31">
            <v>0</v>
          </cell>
          <cell r="R31">
            <v>0</v>
          </cell>
          <cell r="S31">
            <v>0</v>
          </cell>
          <cell r="T31">
            <v>0</v>
          </cell>
          <cell r="U31">
            <v>0</v>
          </cell>
          <cell r="V31">
            <v>0</v>
          </cell>
        </row>
        <row r="32">
          <cell r="C32" t="str">
            <v>1990NV</v>
          </cell>
          <cell r="D32">
            <v>984</v>
          </cell>
          <cell r="E32">
            <v>0</v>
          </cell>
          <cell r="F32">
            <v>980</v>
          </cell>
          <cell r="G32">
            <v>675</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row>
        <row r="33">
          <cell r="C33" t="str">
            <v>1990NH</v>
          </cell>
          <cell r="D33">
            <v>33</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row>
        <row r="34">
          <cell r="C34" t="str">
            <v>1990NJ</v>
          </cell>
          <cell r="D34">
            <v>78</v>
          </cell>
          <cell r="E34">
            <v>8850</v>
          </cell>
          <cell r="F34">
            <v>1247</v>
          </cell>
          <cell r="G34">
            <v>372</v>
          </cell>
          <cell r="H34">
            <v>0</v>
          </cell>
          <cell r="I34">
            <v>0</v>
          </cell>
          <cell r="J34">
            <v>144</v>
          </cell>
          <cell r="K34">
            <v>0</v>
          </cell>
          <cell r="L34">
            <v>0</v>
          </cell>
          <cell r="M34">
            <v>3996</v>
          </cell>
          <cell r="N34">
            <v>0</v>
          </cell>
          <cell r="O34">
            <v>0</v>
          </cell>
          <cell r="P34">
            <v>0</v>
          </cell>
          <cell r="Q34">
            <v>0</v>
          </cell>
          <cell r="R34">
            <v>0</v>
          </cell>
          <cell r="S34">
            <v>0</v>
          </cell>
          <cell r="T34">
            <v>0</v>
          </cell>
          <cell r="U34">
            <v>0</v>
          </cell>
          <cell r="V34">
            <v>0</v>
          </cell>
        </row>
        <row r="35">
          <cell r="C35" t="str">
            <v>1990NM</v>
          </cell>
          <cell r="D35">
            <v>1250</v>
          </cell>
          <cell r="E35">
            <v>7975</v>
          </cell>
          <cell r="F35">
            <v>8100</v>
          </cell>
          <cell r="G35">
            <v>0</v>
          </cell>
          <cell r="H35">
            <v>3250</v>
          </cell>
          <cell r="I35">
            <v>0</v>
          </cell>
          <cell r="J35">
            <v>0</v>
          </cell>
          <cell r="K35">
            <v>0</v>
          </cell>
          <cell r="L35">
            <v>0</v>
          </cell>
          <cell r="M35">
            <v>0</v>
          </cell>
          <cell r="N35">
            <v>50000</v>
          </cell>
          <cell r="O35">
            <v>0</v>
          </cell>
          <cell r="P35">
            <v>0</v>
          </cell>
          <cell r="Q35">
            <v>0</v>
          </cell>
          <cell r="R35">
            <v>0</v>
          </cell>
          <cell r="S35">
            <v>0</v>
          </cell>
          <cell r="T35">
            <v>0</v>
          </cell>
          <cell r="U35">
            <v>0</v>
          </cell>
          <cell r="V35">
            <v>0</v>
          </cell>
        </row>
        <row r="36">
          <cell r="C36" t="str">
            <v>1990NY</v>
          </cell>
          <cell r="D36">
            <v>2193</v>
          </cell>
          <cell r="E36">
            <v>60760</v>
          </cell>
          <cell r="F36">
            <v>7105</v>
          </cell>
          <cell r="G36">
            <v>0</v>
          </cell>
          <cell r="H36">
            <v>0</v>
          </cell>
          <cell r="I36">
            <v>8235</v>
          </cell>
          <cell r="J36">
            <v>260</v>
          </cell>
          <cell r="K36">
            <v>0</v>
          </cell>
          <cell r="L36">
            <v>0</v>
          </cell>
          <cell r="M36">
            <v>0</v>
          </cell>
          <cell r="N36">
            <v>0</v>
          </cell>
          <cell r="O36">
            <v>0</v>
          </cell>
          <cell r="P36">
            <v>0</v>
          </cell>
          <cell r="Q36">
            <v>0</v>
          </cell>
          <cell r="R36">
            <v>0</v>
          </cell>
          <cell r="S36">
            <v>0</v>
          </cell>
          <cell r="T36">
            <v>0</v>
          </cell>
          <cell r="U36">
            <v>0</v>
          </cell>
          <cell r="V36">
            <v>0</v>
          </cell>
        </row>
        <row r="37">
          <cell r="C37" t="str">
            <v>1990NC</v>
          </cell>
          <cell r="D37">
            <v>87</v>
          </cell>
          <cell r="E37">
            <v>72760</v>
          </cell>
          <cell r="F37">
            <v>22550</v>
          </cell>
          <cell r="G37">
            <v>1590</v>
          </cell>
          <cell r="H37">
            <v>1840</v>
          </cell>
          <cell r="I37">
            <v>2440</v>
          </cell>
          <cell r="J37">
            <v>345</v>
          </cell>
          <cell r="K37">
            <v>0</v>
          </cell>
          <cell r="L37">
            <v>0</v>
          </cell>
          <cell r="M37">
            <v>32400</v>
          </cell>
          <cell r="N37">
            <v>475600</v>
          </cell>
          <cell r="O37">
            <v>0</v>
          </cell>
          <cell r="P37">
            <v>0</v>
          </cell>
          <cell r="Q37">
            <v>0</v>
          </cell>
          <cell r="R37">
            <v>0</v>
          </cell>
          <cell r="S37">
            <v>0</v>
          </cell>
          <cell r="T37">
            <v>0</v>
          </cell>
          <cell r="U37">
            <v>0</v>
          </cell>
          <cell r="V37">
            <v>0</v>
          </cell>
        </row>
        <row r="38">
          <cell r="C38" t="str">
            <v>1990ND</v>
          </cell>
          <cell r="D38">
            <v>1540</v>
          </cell>
          <cell r="E38">
            <v>36800</v>
          </cell>
          <cell r="F38">
            <v>385220</v>
          </cell>
          <cell r="G38">
            <v>129850</v>
          </cell>
          <cell r="H38">
            <v>0</v>
          </cell>
          <cell r="I38">
            <v>30600</v>
          </cell>
          <cell r="J38">
            <v>780</v>
          </cell>
          <cell r="K38">
            <v>0</v>
          </cell>
          <cell r="L38">
            <v>0</v>
          </cell>
          <cell r="M38">
            <v>12870</v>
          </cell>
          <cell r="N38">
            <v>0</v>
          </cell>
          <cell r="O38">
            <v>5005</v>
          </cell>
          <cell r="P38">
            <v>0</v>
          </cell>
          <cell r="Q38">
            <v>0</v>
          </cell>
          <cell r="R38">
            <v>0</v>
          </cell>
          <cell r="S38">
            <v>0</v>
          </cell>
          <cell r="T38">
            <v>0</v>
          </cell>
          <cell r="U38">
            <v>0</v>
          </cell>
          <cell r="V38">
            <v>0</v>
          </cell>
        </row>
        <row r="39">
          <cell r="C39" t="str">
            <v>1990OH</v>
          </cell>
          <cell r="D39">
            <v>2800</v>
          </cell>
          <cell r="E39">
            <v>417450</v>
          </cell>
          <cell r="F39">
            <v>76200</v>
          </cell>
          <cell r="G39">
            <v>0</v>
          </cell>
          <cell r="H39">
            <v>0</v>
          </cell>
          <cell r="I39">
            <v>16100</v>
          </cell>
          <cell r="J39">
            <v>175</v>
          </cell>
          <cell r="K39">
            <v>0</v>
          </cell>
          <cell r="L39">
            <v>0</v>
          </cell>
          <cell r="M39">
            <v>135720</v>
          </cell>
          <cell r="N39">
            <v>0</v>
          </cell>
          <cell r="O39">
            <v>0</v>
          </cell>
          <cell r="P39">
            <v>0</v>
          </cell>
          <cell r="Q39">
            <v>0</v>
          </cell>
          <cell r="R39">
            <v>0</v>
          </cell>
          <cell r="S39">
            <v>0</v>
          </cell>
          <cell r="T39">
            <v>0</v>
          </cell>
          <cell r="U39">
            <v>0</v>
          </cell>
          <cell r="V39">
            <v>0</v>
          </cell>
        </row>
        <row r="40">
          <cell r="C40" t="str">
            <v>1990OK</v>
          </cell>
          <cell r="D40">
            <v>1376</v>
          </cell>
          <cell r="E40">
            <v>10032</v>
          </cell>
          <cell r="F40">
            <v>198400</v>
          </cell>
          <cell r="G40">
            <v>697</v>
          </cell>
          <cell r="H40">
            <v>16450</v>
          </cell>
          <cell r="I40">
            <v>2280</v>
          </cell>
          <cell r="J40">
            <v>420</v>
          </cell>
          <cell r="K40">
            <v>0</v>
          </cell>
          <cell r="L40">
            <v>0</v>
          </cell>
          <cell r="M40">
            <v>4620</v>
          </cell>
          <cell r="N40">
            <v>235320</v>
          </cell>
          <cell r="O40">
            <v>0</v>
          </cell>
          <cell r="P40">
            <v>0</v>
          </cell>
          <cell r="Q40">
            <v>0</v>
          </cell>
          <cell r="R40">
            <v>0</v>
          </cell>
          <cell r="S40">
            <v>0</v>
          </cell>
          <cell r="T40">
            <v>0</v>
          </cell>
          <cell r="U40">
            <v>1.5247999999999999</v>
          </cell>
          <cell r="V40">
            <v>0</v>
          </cell>
          <cell r="W40">
            <v>0.9</v>
          </cell>
        </row>
        <row r="41">
          <cell r="C41" t="str">
            <v>1990OR</v>
          </cell>
          <cell r="D41">
            <v>1806</v>
          </cell>
          <cell r="E41">
            <v>2700</v>
          </cell>
          <cell r="F41">
            <v>57616</v>
          </cell>
          <cell r="G41">
            <v>9100</v>
          </cell>
          <cell r="H41">
            <v>0</v>
          </cell>
          <cell r="I41">
            <v>4590</v>
          </cell>
          <cell r="J41">
            <v>0</v>
          </cell>
          <cell r="K41">
            <v>0</v>
          </cell>
          <cell r="L41">
            <v>0</v>
          </cell>
          <cell r="M41">
            <v>0</v>
          </cell>
          <cell r="N41">
            <v>0</v>
          </cell>
          <cell r="O41">
            <v>0</v>
          </cell>
          <cell r="P41">
            <v>0</v>
          </cell>
          <cell r="Q41">
            <v>0</v>
          </cell>
          <cell r="R41">
            <v>0</v>
          </cell>
          <cell r="S41">
            <v>0</v>
          </cell>
          <cell r="T41">
            <v>0</v>
          </cell>
          <cell r="U41">
            <v>0</v>
          </cell>
          <cell r="V41">
            <v>0</v>
          </cell>
        </row>
        <row r="42">
          <cell r="C42" t="str">
            <v>1990PA</v>
          </cell>
          <cell r="D42">
            <v>2430</v>
          </cell>
          <cell r="E42">
            <v>109610</v>
          </cell>
          <cell r="F42">
            <v>10500</v>
          </cell>
          <cell r="G42">
            <v>4140</v>
          </cell>
          <cell r="H42">
            <v>0</v>
          </cell>
          <cell r="I42">
            <v>15840</v>
          </cell>
          <cell r="J42">
            <v>496</v>
          </cell>
          <cell r="K42">
            <v>0</v>
          </cell>
          <cell r="L42">
            <v>0</v>
          </cell>
          <cell r="M42">
            <v>11275</v>
          </cell>
          <cell r="N42">
            <v>0</v>
          </cell>
          <cell r="O42">
            <v>0</v>
          </cell>
          <cell r="P42">
            <v>0</v>
          </cell>
          <cell r="Q42">
            <v>0</v>
          </cell>
          <cell r="R42">
            <v>0</v>
          </cell>
          <cell r="S42">
            <v>0</v>
          </cell>
          <cell r="T42">
            <v>0</v>
          </cell>
          <cell r="U42">
            <v>0</v>
          </cell>
          <cell r="V42">
            <v>0</v>
          </cell>
        </row>
        <row r="43">
          <cell r="C43" t="str">
            <v>1990RI</v>
          </cell>
          <cell r="D43">
            <v>8</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row>
        <row r="44">
          <cell r="C44" t="str">
            <v>1990SC</v>
          </cell>
          <cell r="D44">
            <v>0</v>
          </cell>
          <cell r="E44">
            <v>15360</v>
          </cell>
          <cell r="F44">
            <v>14440</v>
          </cell>
          <cell r="G44">
            <v>676</v>
          </cell>
          <cell r="H44">
            <v>264</v>
          </cell>
          <cell r="I44">
            <v>1824</v>
          </cell>
          <cell r="J44">
            <v>594</v>
          </cell>
          <cell r="K44">
            <v>0</v>
          </cell>
          <cell r="L44">
            <v>0</v>
          </cell>
          <cell r="M44">
            <v>13875</v>
          </cell>
          <cell r="N44">
            <v>30105</v>
          </cell>
          <cell r="O44">
            <v>0</v>
          </cell>
          <cell r="P44">
            <v>0</v>
          </cell>
          <cell r="Q44">
            <v>0</v>
          </cell>
          <cell r="R44">
            <v>0</v>
          </cell>
          <cell r="S44">
            <v>0</v>
          </cell>
          <cell r="T44">
            <v>0</v>
          </cell>
          <cell r="U44">
            <v>0</v>
          </cell>
          <cell r="V44">
            <v>0</v>
          </cell>
        </row>
        <row r="45">
          <cell r="C45" t="str">
            <v>1990SD</v>
          </cell>
          <cell r="D45">
            <v>3780</v>
          </cell>
          <cell r="E45">
            <v>234000</v>
          </cell>
          <cell r="F45">
            <v>128004</v>
          </cell>
          <cell r="G45">
            <v>24500</v>
          </cell>
          <cell r="H45">
            <v>14300</v>
          </cell>
          <cell r="I45">
            <v>53200</v>
          </cell>
          <cell r="J45">
            <v>1870</v>
          </cell>
          <cell r="K45">
            <v>0</v>
          </cell>
          <cell r="L45">
            <v>0</v>
          </cell>
          <cell r="M45">
            <v>53760</v>
          </cell>
          <cell r="N45">
            <v>0</v>
          </cell>
          <cell r="O45">
            <v>0</v>
          </cell>
          <cell r="P45">
            <v>0</v>
          </cell>
          <cell r="Q45">
            <v>0</v>
          </cell>
          <cell r="R45">
            <v>0</v>
          </cell>
          <cell r="S45">
            <v>0</v>
          </cell>
          <cell r="T45">
            <v>0</v>
          </cell>
          <cell r="U45">
            <v>0</v>
          </cell>
          <cell r="V45">
            <v>0</v>
          </cell>
        </row>
        <row r="46">
          <cell r="C46" t="str">
            <v>1990TN</v>
          </cell>
          <cell r="D46">
            <v>252</v>
          </cell>
          <cell r="E46">
            <v>43860</v>
          </cell>
          <cell r="F46">
            <v>17640</v>
          </cell>
          <cell r="G46">
            <v>0</v>
          </cell>
          <cell r="H46">
            <v>4235</v>
          </cell>
          <cell r="I46">
            <v>0</v>
          </cell>
          <cell r="J46">
            <v>0</v>
          </cell>
          <cell r="K46">
            <v>0</v>
          </cell>
          <cell r="L46">
            <v>0</v>
          </cell>
          <cell r="M46">
            <v>33750</v>
          </cell>
          <cell r="N46">
            <v>0</v>
          </cell>
          <cell r="O46">
            <v>0</v>
          </cell>
          <cell r="P46">
            <v>0</v>
          </cell>
          <cell r="Q46">
            <v>0</v>
          </cell>
          <cell r="R46">
            <v>0</v>
          </cell>
          <cell r="S46">
            <v>0</v>
          </cell>
          <cell r="T46">
            <v>0</v>
          </cell>
          <cell r="U46">
            <v>0</v>
          </cell>
          <cell r="V46">
            <v>0</v>
          </cell>
        </row>
        <row r="47">
          <cell r="C47" t="str">
            <v>1990TX</v>
          </cell>
          <cell r="D47">
            <v>400</v>
          </cell>
          <cell r="E47">
            <v>130500</v>
          </cell>
          <cell r="F47">
            <v>130200</v>
          </cell>
          <cell r="G47">
            <v>608</v>
          </cell>
          <cell r="H47">
            <v>135200</v>
          </cell>
          <cell r="I47">
            <v>9225</v>
          </cell>
          <cell r="J47">
            <v>140</v>
          </cell>
          <cell r="K47">
            <v>0</v>
          </cell>
          <cell r="L47">
            <v>21180</v>
          </cell>
          <cell r="M47">
            <v>5000</v>
          </cell>
          <cell r="N47">
            <v>534650</v>
          </cell>
          <cell r="O47">
            <v>0</v>
          </cell>
          <cell r="P47">
            <v>0</v>
          </cell>
          <cell r="Q47">
            <v>0</v>
          </cell>
          <cell r="R47">
            <v>0</v>
          </cell>
          <cell r="S47">
            <v>0</v>
          </cell>
          <cell r="T47">
            <v>950</v>
          </cell>
          <cell r="U47">
            <v>353</v>
          </cell>
          <cell r="V47">
            <v>141</v>
          </cell>
          <cell r="W47">
            <v>0.01</v>
          </cell>
        </row>
        <row r="48">
          <cell r="C48" t="str">
            <v>1990UT</v>
          </cell>
          <cell r="D48">
            <v>1843</v>
          </cell>
          <cell r="E48">
            <v>2660</v>
          </cell>
          <cell r="F48">
            <v>7170</v>
          </cell>
          <cell r="G48">
            <v>8505</v>
          </cell>
          <cell r="H48">
            <v>0</v>
          </cell>
          <cell r="I48">
            <v>816</v>
          </cell>
          <cell r="J48">
            <v>0</v>
          </cell>
          <cell r="K48">
            <v>0</v>
          </cell>
          <cell r="L48">
            <v>0</v>
          </cell>
          <cell r="M48">
            <v>0</v>
          </cell>
          <cell r="N48">
            <v>0</v>
          </cell>
          <cell r="O48">
            <v>0</v>
          </cell>
          <cell r="P48">
            <v>0</v>
          </cell>
          <cell r="Q48">
            <v>0</v>
          </cell>
          <cell r="R48">
            <v>0</v>
          </cell>
          <cell r="S48">
            <v>0</v>
          </cell>
          <cell r="T48">
            <v>0</v>
          </cell>
          <cell r="U48">
            <v>0</v>
          </cell>
          <cell r="V48">
            <v>0</v>
          </cell>
        </row>
        <row r="49">
          <cell r="C49" t="str">
            <v>1990VT</v>
          </cell>
          <cell r="D49">
            <v>240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row>
        <row r="50">
          <cell r="C50" t="str">
            <v>1990VA</v>
          </cell>
          <cell r="D50">
            <v>560</v>
          </cell>
          <cell r="E50">
            <v>36500</v>
          </cell>
          <cell r="F50">
            <v>12220</v>
          </cell>
          <cell r="G50">
            <v>5280</v>
          </cell>
          <cell r="H50">
            <v>0</v>
          </cell>
          <cell r="I50">
            <v>0</v>
          </cell>
          <cell r="J50">
            <v>256</v>
          </cell>
          <cell r="K50">
            <v>0</v>
          </cell>
          <cell r="L50">
            <v>0</v>
          </cell>
          <cell r="M50">
            <v>16800</v>
          </cell>
          <cell r="N50">
            <v>309915</v>
          </cell>
          <cell r="O50">
            <v>0</v>
          </cell>
          <cell r="P50">
            <v>0</v>
          </cell>
          <cell r="Q50">
            <v>0</v>
          </cell>
          <cell r="R50">
            <v>0</v>
          </cell>
          <cell r="S50">
            <v>0</v>
          </cell>
          <cell r="T50">
            <v>0</v>
          </cell>
          <cell r="U50">
            <v>0</v>
          </cell>
          <cell r="V50">
            <v>0</v>
          </cell>
        </row>
        <row r="51">
          <cell r="C51" t="str">
            <v>1990WA</v>
          </cell>
          <cell r="D51">
            <v>2256</v>
          </cell>
          <cell r="E51">
            <v>14000</v>
          </cell>
          <cell r="F51">
            <v>150080</v>
          </cell>
          <cell r="G51">
            <v>22620</v>
          </cell>
          <cell r="H51">
            <v>0</v>
          </cell>
          <cell r="I51">
            <v>2640</v>
          </cell>
          <cell r="J51">
            <v>0</v>
          </cell>
          <cell r="K51">
            <v>0</v>
          </cell>
          <cell r="L51">
            <v>0</v>
          </cell>
          <cell r="M51">
            <v>0</v>
          </cell>
          <cell r="N51">
            <v>0</v>
          </cell>
          <cell r="O51">
            <v>0</v>
          </cell>
          <cell r="P51">
            <v>0</v>
          </cell>
          <cell r="Q51">
            <v>0</v>
          </cell>
          <cell r="R51">
            <v>0</v>
          </cell>
          <cell r="S51">
            <v>0</v>
          </cell>
          <cell r="T51">
            <v>0</v>
          </cell>
          <cell r="U51">
            <v>0</v>
          </cell>
          <cell r="V51">
            <v>0</v>
          </cell>
        </row>
        <row r="52">
          <cell r="C52" t="str">
            <v>1990WV</v>
          </cell>
          <cell r="D52">
            <v>192</v>
          </cell>
          <cell r="E52">
            <v>5250</v>
          </cell>
          <cell r="F52">
            <v>552</v>
          </cell>
          <cell r="G52">
            <v>0</v>
          </cell>
          <cell r="H52">
            <v>0</v>
          </cell>
          <cell r="I52">
            <v>342</v>
          </cell>
          <cell r="J52">
            <v>0</v>
          </cell>
          <cell r="K52">
            <v>0</v>
          </cell>
          <cell r="L52">
            <v>0</v>
          </cell>
          <cell r="M52">
            <v>0</v>
          </cell>
          <cell r="N52">
            <v>0</v>
          </cell>
          <cell r="O52">
            <v>0</v>
          </cell>
          <cell r="P52">
            <v>0</v>
          </cell>
          <cell r="Q52">
            <v>0</v>
          </cell>
          <cell r="R52">
            <v>0</v>
          </cell>
          <cell r="S52">
            <v>0</v>
          </cell>
          <cell r="T52">
            <v>0</v>
          </cell>
          <cell r="U52">
            <v>0</v>
          </cell>
          <cell r="V52">
            <v>0</v>
          </cell>
        </row>
        <row r="53">
          <cell r="C53" t="str">
            <v>1990WI</v>
          </cell>
          <cell r="D53">
            <v>8400</v>
          </cell>
          <cell r="E53">
            <v>354000</v>
          </cell>
          <cell r="F53">
            <v>10085</v>
          </cell>
          <cell r="G53">
            <v>2700</v>
          </cell>
          <cell r="H53">
            <v>0</v>
          </cell>
          <cell r="I53">
            <v>47570</v>
          </cell>
          <cell r="J53">
            <v>465</v>
          </cell>
          <cell r="K53">
            <v>0</v>
          </cell>
          <cell r="L53">
            <v>0</v>
          </cell>
          <cell r="M53">
            <v>17630</v>
          </cell>
          <cell r="N53">
            <v>0</v>
          </cell>
          <cell r="O53">
            <v>0</v>
          </cell>
          <cell r="P53">
            <v>0</v>
          </cell>
          <cell r="Q53">
            <v>0</v>
          </cell>
          <cell r="R53">
            <v>0</v>
          </cell>
          <cell r="S53">
            <v>0</v>
          </cell>
          <cell r="T53">
            <v>0</v>
          </cell>
          <cell r="U53">
            <v>0</v>
          </cell>
          <cell r="V53">
            <v>0</v>
          </cell>
        </row>
        <row r="54">
          <cell r="C54" t="str">
            <v>1990WY</v>
          </cell>
          <cell r="D54">
            <v>1368</v>
          </cell>
          <cell r="E54">
            <v>6000</v>
          </cell>
          <cell r="F54">
            <v>6113</v>
          </cell>
          <cell r="G54">
            <v>9250</v>
          </cell>
          <cell r="H54">
            <v>0</v>
          </cell>
          <cell r="I54">
            <v>1540</v>
          </cell>
          <cell r="J54">
            <v>0</v>
          </cell>
          <cell r="K54">
            <v>0</v>
          </cell>
          <cell r="L54">
            <v>0</v>
          </cell>
          <cell r="M54">
            <v>0</v>
          </cell>
          <cell r="N54">
            <v>0</v>
          </cell>
          <cell r="O54">
            <v>0</v>
          </cell>
          <cell r="P54">
            <v>0</v>
          </cell>
          <cell r="Q54">
            <v>0</v>
          </cell>
          <cell r="R54">
            <v>0</v>
          </cell>
          <cell r="S54">
            <v>0</v>
          </cell>
          <cell r="T54">
            <v>0</v>
          </cell>
          <cell r="U54">
            <v>0</v>
          </cell>
          <cell r="V54">
            <v>0</v>
          </cell>
        </row>
        <row r="55">
          <cell r="C55" t="str">
            <v>1990US</v>
          </cell>
          <cell r="D55">
            <v>83413</v>
          </cell>
          <cell r="E55">
            <v>7934028</v>
          </cell>
          <cell r="F55">
            <v>2729778</v>
          </cell>
          <cell r="G55">
            <v>422196</v>
          </cell>
          <cell r="H55">
            <v>573303</v>
          </cell>
          <cell r="I55">
            <v>357654</v>
          </cell>
          <cell r="J55">
            <v>10176</v>
          </cell>
          <cell r="K55">
            <v>0</v>
          </cell>
          <cell r="L55">
            <v>156088</v>
          </cell>
          <cell r="M55">
            <v>1925947</v>
          </cell>
          <cell r="N55">
            <v>3603650</v>
          </cell>
          <cell r="O55">
            <v>0</v>
          </cell>
          <cell r="P55">
            <v>0</v>
          </cell>
          <cell r="Q55">
            <v>0</v>
          </cell>
          <cell r="R55">
            <v>0</v>
          </cell>
          <cell r="S55">
            <v>0</v>
          </cell>
          <cell r="T55">
            <v>28136</v>
          </cell>
        </row>
        <row r="56">
          <cell r="C56" t="str">
            <v>1991AL</v>
          </cell>
          <cell r="D56">
            <v>0</v>
          </cell>
          <cell r="E56">
            <v>16800</v>
          </cell>
          <cell r="F56">
            <v>2750</v>
          </cell>
          <cell r="G56">
            <v>0</v>
          </cell>
          <cell r="H56">
            <v>1265</v>
          </cell>
          <cell r="I56">
            <v>875</v>
          </cell>
          <cell r="J56">
            <v>0</v>
          </cell>
          <cell r="K56">
            <v>0</v>
          </cell>
          <cell r="L56">
            <v>0</v>
          </cell>
          <cell r="M56">
            <v>8050</v>
          </cell>
          <cell r="N56">
            <v>638485</v>
          </cell>
          <cell r="O56">
            <v>0</v>
          </cell>
          <cell r="P56">
            <v>0</v>
          </cell>
          <cell r="Q56">
            <v>0</v>
          </cell>
          <cell r="R56">
            <v>0</v>
          </cell>
          <cell r="S56">
            <v>0</v>
          </cell>
          <cell r="T56">
            <v>0</v>
          </cell>
          <cell r="U56">
            <v>0</v>
          </cell>
          <cell r="V56">
            <v>0</v>
          </cell>
        </row>
        <row r="57">
          <cell r="C57" t="str">
            <v>1991AK</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row>
        <row r="58">
          <cell r="C58" t="str">
            <v>1991AZ</v>
          </cell>
          <cell r="D58">
            <v>1309</v>
          </cell>
          <cell r="E58">
            <v>850</v>
          </cell>
          <cell r="F58">
            <v>6750</v>
          </cell>
          <cell r="G58">
            <v>2400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row>
        <row r="59">
          <cell r="C59" t="str">
            <v>1991AR</v>
          </cell>
          <cell r="D59">
            <v>90</v>
          </cell>
          <cell r="E59">
            <v>8000</v>
          </cell>
          <cell r="F59">
            <v>20460</v>
          </cell>
          <cell r="G59">
            <v>0</v>
          </cell>
          <cell r="H59">
            <v>15390</v>
          </cell>
          <cell r="I59">
            <v>1680</v>
          </cell>
          <cell r="J59">
            <v>0</v>
          </cell>
          <cell r="K59">
            <v>0</v>
          </cell>
          <cell r="L59">
            <v>66780</v>
          </cell>
          <cell r="M59">
            <v>89600</v>
          </cell>
          <cell r="N59">
            <v>0</v>
          </cell>
          <cell r="O59">
            <v>0</v>
          </cell>
          <cell r="P59">
            <v>0</v>
          </cell>
          <cell r="Q59">
            <v>0</v>
          </cell>
          <cell r="R59">
            <v>0</v>
          </cell>
          <cell r="S59">
            <v>0</v>
          </cell>
          <cell r="T59">
            <v>0</v>
          </cell>
          <cell r="U59">
            <v>1260</v>
          </cell>
          <cell r="V59">
            <v>0</v>
          </cell>
          <cell r="W59">
            <v>0.13</v>
          </cell>
        </row>
        <row r="60">
          <cell r="C60" t="str">
            <v>1991CA</v>
          </cell>
          <cell r="D60">
            <v>7035</v>
          </cell>
          <cell r="E60">
            <v>18400</v>
          </cell>
          <cell r="F60">
            <v>36160</v>
          </cell>
          <cell r="G60">
            <v>9440</v>
          </cell>
          <cell r="H60">
            <v>0</v>
          </cell>
          <cell r="I60">
            <v>3375</v>
          </cell>
          <cell r="J60">
            <v>0</v>
          </cell>
          <cell r="K60">
            <v>0</v>
          </cell>
          <cell r="L60">
            <v>30260</v>
          </cell>
          <cell r="M60">
            <v>0</v>
          </cell>
          <cell r="N60">
            <v>0</v>
          </cell>
          <cell r="O60">
            <v>0</v>
          </cell>
          <cell r="P60">
            <v>0</v>
          </cell>
          <cell r="Q60">
            <v>0</v>
          </cell>
          <cell r="R60">
            <v>0</v>
          </cell>
          <cell r="S60">
            <v>0</v>
          </cell>
          <cell r="T60">
            <v>0</v>
          </cell>
          <cell r="U60">
            <v>356</v>
          </cell>
          <cell r="V60">
            <v>0</v>
          </cell>
          <cell r="W60">
            <v>0.75</v>
          </cell>
        </row>
        <row r="61">
          <cell r="C61" t="str">
            <v>1991CO</v>
          </cell>
          <cell r="D61">
            <v>2736</v>
          </cell>
          <cell r="E61">
            <v>133110</v>
          </cell>
          <cell r="F61">
            <v>74000</v>
          </cell>
          <cell r="G61">
            <v>10400</v>
          </cell>
          <cell r="H61">
            <v>10800</v>
          </cell>
          <cell r="I61">
            <v>1800</v>
          </cell>
          <cell r="J61">
            <v>78</v>
          </cell>
          <cell r="K61">
            <v>0</v>
          </cell>
          <cell r="L61">
            <v>0</v>
          </cell>
          <cell r="M61">
            <v>0</v>
          </cell>
          <cell r="N61">
            <v>0</v>
          </cell>
          <cell r="O61">
            <v>0</v>
          </cell>
          <cell r="P61">
            <v>0</v>
          </cell>
          <cell r="Q61">
            <v>0</v>
          </cell>
          <cell r="R61">
            <v>0</v>
          </cell>
          <cell r="S61">
            <v>0</v>
          </cell>
          <cell r="T61">
            <v>0</v>
          </cell>
          <cell r="U61">
            <v>0</v>
          </cell>
          <cell r="V61">
            <v>0</v>
          </cell>
        </row>
        <row r="62">
          <cell r="C62" t="str">
            <v>1991CT</v>
          </cell>
          <cell r="D62">
            <v>51</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row>
        <row r="63">
          <cell r="C63" t="str">
            <v>1991DE</v>
          </cell>
          <cell r="D63">
            <v>21</v>
          </cell>
          <cell r="E63">
            <v>17914</v>
          </cell>
          <cell r="F63">
            <v>3551</v>
          </cell>
          <cell r="G63">
            <v>2516</v>
          </cell>
          <cell r="H63">
            <v>0</v>
          </cell>
          <cell r="I63">
            <v>0</v>
          </cell>
          <cell r="J63">
            <v>0</v>
          </cell>
          <cell r="K63">
            <v>0</v>
          </cell>
          <cell r="L63">
            <v>0</v>
          </cell>
          <cell r="M63">
            <v>8750</v>
          </cell>
          <cell r="N63">
            <v>0</v>
          </cell>
          <cell r="O63">
            <v>0</v>
          </cell>
          <cell r="P63">
            <v>0</v>
          </cell>
          <cell r="Q63">
            <v>0</v>
          </cell>
          <cell r="R63">
            <v>0</v>
          </cell>
          <cell r="S63">
            <v>0</v>
          </cell>
          <cell r="T63">
            <v>0</v>
          </cell>
          <cell r="U63">
            <v>0</v>
          </cell>
          <cell r="V63">
            <v>0</v>
          </cell>
        </row>
        <row r="64">
          <cell r="C64" t="str">
            <v>1991FL</v>
          </cell>
          <cell r="D64">
            <v>0</v>
          </cell>
          <cell r="E64">
            <v>5100</v>
          </cell>
          <cell r="F64">
            <v>575</v>
          </cell>
          <cell r="G64">
            <v>0</v>
          </cell>
          <cell r="H64">
            <v>0</v>
          </cell>
          <cell r="I64">
            <v>0</v>
          </cell>
          <cell r="J64">
            <v>0</v>
          </cell>
          <cell r="K64">
            <v>0</v>
          </cell>
          <cell r="L64">
            <v>941.99690759671296</v>
          </cell>
          <cell r="M64">
            <v>1161</v>
          </cell>
          <cell r="N64">
            <v>279660</v>
          </cell>
          <cell r="O64">
            <v>0</v>
          </cell>
          <cell r="P64">
            <v>0</v>
          </cell>
          <cell r="Q64">
            <v>0</v>
          </cell>
          <cell r="R64">
            <v>0</v>
          </cell>
          <cell r="S64">
            <v>0</v>
          </cell>
          <cell r="T64">
            <v>15461</v>
          </cell>
          <cell r="U64">
            <v>21</v>
          </cell>
          <cell r="V64">
            <v>11</v>
          </cell>
          <cell r="W64">
            <v>0</v>
          </cell>
        </row>
        <row r="65">
          <cell r="C65" t="str">
            <v>1991GA</v>
          </cell>
          <cell r="D65">
            <v>0</v>
          </cell>
          <cell r="E65">
            <v>55000</v>
          </cell>
          <cell r="F65">
            <v>14025</v>
          </cell>
          <cell r="G65">
            <v>0</v>
          </cell>
          <cell r="H65">
            <v>2500</v>
          </cell>
          <cell r="I65">
            <v>3000</v>
          </cell>
          <cell r="J65">
            <v>1300</v>
          </cell>
          <cell r="K65">
            <v>0</v>
          </cell>
          <cell r="L65">
            <v>0</v>
          </cell>
          <cell r="M65">
            <v>15930</v>
          </cell>
          <cell r="N65">
            <v>2228550</v>
          </cell>
          <cell r="O65">
            <v>0</v>
          </cell>
          <cell r="P65">
            <v>0</v>
          </cell>
          <cell r="Q65">
            <v>0</v>
          </cell>
          <cell r="R65">
            <v>0</v>
          </cell>
          <cell r="S65">
            <v>0</v>
          </cell>
          <cell r="T65">
            <v>0</v>
          </cell>
          <cell r="U65">
            <v>0</v>
          </cell>
          <cell r="V65">
            <v>0</v>
          </cell>
        </row>
        <row r="66">
          <cell r="C66" t="str">
            <v>1991HI</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6061</v>
          </cell>
          <cell r="U66">
            <v>0</v>
          </cell>
          <cell r="V66">
            <v>0</v>
          </cell>
        </row>
        <row r="67">
          <cell r="C67" t="str">
            <v>1991ID</v>
          </cell>
          <cell r="D67">
            <v>3914</v>
          </cell>
          <cell r="E67">
            <v>7875</v>
          </cell>
          <cell r="F67">
            <v>81660</v>
          </cell>
          <cell r="G67">
            <v>59250</v>
          </cell>
          <cell r="H67">
            <v>0</v>
          </cell>
          <cell r="I67">
            <v>3060</v>
          </cell>
          <cell r="J67">
            <v>0</v>
          </cell>
          <cell r="K67">
            <v>0</v>
          </cell>
          <cell r="L67">
            <v>0</v>
          </cell>
          <cell r="M67">
            <v>0</v>
          </cell>
          <cell r="N67">
            <v>0</v>
          </cell>
          <cell r="O67">
            <v>0</v>
          </cell>
          <cell r="P67">
            <v>0</v>
          </cell>
          <cell r="Q67">
            <v>0</v>
          </cell>
          <cell r="R67">
            <v>0</v>
          </cell>
          <cell r="S67">
            <v>0</v>
          </cell>
          <cell r="T67">
            <v>0</v>
          </cell>
          <cell r="U67">
            <v>0</v>
          </cell>
          <cell r="V67">
            <v>0</v>
          </cell>
        </row>
        <row r="68">
          <cell r="C68" t="str">
            <v>1991IL</v>
          </cell>
          <cell r="D68">
            <v>2546</v>
          </cell>
          <cell r="E68">
            <v>1177000</v>
          </cell>
          <cell r="F68">
            <v>44800</v>
          </cell>
          <cell r="G68">
            <v>0</v>
          </cell>
          <cell r="H68">
            <v>13840</v>
          </cell>
          <cell r="I68">
            <v>6600</v>
          </cell>
          <cell r="J68">
            <v>162</v>
          </cell>
          <cell r="K68">
            <v>0</v>
          </cell>
          <cell r="L68">
            <v>0</v>
          </cell>
          <cell r="M68">
            <v>341250</v>
          </cell>
          <cell r="N68">
            <v>0</v>
          </cell>
          <cell r="O68">
            <v>0</v>
          </cell>
          <cell r="P68">
            <v>0</v>
          </cell>
          <cell r="Q68">
            <v>0</v>
          </cell>
          <cell r="R68">
            <v>0</v>
          </cell>
          <cell r="S68">
            <v>0</v>
          </cell>
          <cell r="T68">
            <v>0</v>
          </cell>
          <cell r="U68">
            <v>0</v>
          </cell>
          <cell r="V68">
            <v>0</v>
          </cell>
        </row>
        <row r="69">
          <cell r="C69" t="str">
            <v>1991IN</v>
          </cell>
          <cell r="D69">
            <v>1125</v>
          </cell>
          <cell r="E69">
            <v>510600</v>
          </cell>
          <cell r="F69">
            <v>28800</v>
          </cell>
          <cell r="G69">
            <v>0</v>
          </cell>
          <cell r="H69">
            <v>0</v>
          </cell>
          <cell r="I69">
            <v>2565</v>
          </cell>
          <cell r="J69">
            <v>100</v>
          </cell>
          <cell r="K69">
            <v>0</v>
          </cell>
          <cell r="L69">
            <v>0</v>
          </cell>
          <cell r="M69">
            <v>171600</v>
          </cell>
          <cell r="N69">
            <v>0</v>
          </cell>
          <cell r="O69">
            <v>0</v>
          </cell>
          <cell r="P69">
            <v>0</v>
          </cell>
          <cell r="Q69">
            <v>0</v>
          </cell>
          <cell r="R69">
            <v>0</v>
          </cell>
          <cell r="S69">
            <v>0</v>
          </cell>
          <cell r="T69">
            <v>0</v>
          </cell>
          <cell r="U69">
            <v>0</v>
          </cell>
          <cell r="V69">
            <v>0</v>
          </cell>
        </row>
        <row r="70">
          <cell r="C70" t="str">
            <v>1991IA</v>
          </cell>
          <cell r="D70">
            <v>5550</v>
          </cell>
          <cell r="E70">
            <v>1427400</v>
          </cell>
          <cell r="F70">
            <v>1700</v>
          </cell>
          <cell r="G70">
            <v>0</v>
          </cell>
          <cell r="H70">
            <v>0</v>
          </cell>
          <cell r="I70">
            <v>21250</v>
          </cell>
          <cell r="J70">
            <v>0</v>
          </cell>
          <cell r="K70">
            <v>0</v>
          </cell>
          <cell r="L70">
            <v>0</v>
          </cell>
          <cell r="M70">
            <v>349515</v>
          </cell>
          <cell r="N70">
            <v>0</v>
          </cell>
          <cell r="O70">
            <v>0</v>
          </cell>
          <cell r="P70">
            <v>0</v>
          </cell>
          <cell r="Q70">
            <v>0</v>
          </cell>
          <cell r="R70">
            <v>0</v>
          </cell>
          <cell r="S70">
            <v>0</v>
          </cell>
          <cell r="T70">
            <v>0</v>
          </cell>
          <cell r="U70">
            <v>0</v>
          </cell>
          <cell r="V70">
            <v>0</v>
          </cell>
        </row>
        <row r="71">
          <cell r="C71" t="str">
            <v>1991KS</v>
          </cell>
          <cell r="D71">
            <v>2480</v>
          </cell>
          <cell r="E71">
            <v>206250</v>
          </cell>
          <cell r="F71">
            <v>363000</v>
          </cell>
          <cell r="G71">
            <v>759</v>
          </cell>
          <cell r="H71">
            <v>176400</v>
          </cell>
          <cell r="I71">
            <v>5830</v>
          </cell>
          <cell r="J71">
            <v>115</v>
          </cell>
          <cell r="K71">
            <v>0</v>
          </cell>
          <cell r="L71">
            <v>0</v>
          </cell>
          <cell r="M71">
            <v>43700</v>
          </cell>
          <cell r="N71">
            <v>0</v>
          </cell>
          <cell r="O71">
            <v>0</v>
          </cell>
          <cell r="P71">
            <v>0</v>
          </cell>
          <cell r="Q71">
            <v>0</v>
          </cell>
          <cell r="R71">
            <v>0</v>
          </cell>
          <cell r="S71">
            <v>0</v>
          </cell>
          <cell r="T71">
            <v>0</v>
          </cell>
          <cell r="U71">
            <v>0</v>
          </cell>
          <cell r="V71">
            <v>0</v>
          </cell>
        </row>
        <row r="72">
          <cell r="C72" t="str">
            <v>1991KY</v>
          </cell>
          <cell r="D72">
            <v>1225</v>
          </cell>
          <cell r="E72">
            <v>111250</v>
          </cell>
          <cell r="F72">
            <v>10800</v>
          </cell>
          <cell r="G72">
            <v>1210</v>
          </cell>
          <cell r="H72">
            <v>2044</v>
          </cell>
          <cell r="I72">
            <v>0</v>
          </cell>
          <cell r="J72">
            <v>0</v>
          </cell>
          <cell r="K72">
            <v>0</v>
          </cell>
          <cell r="L72">
            <v>0</v>
          </cell>
          <cell r="M72">
            <v>36725</v>
          </cell>
          <cell r="N72">
            <v>0</v>
          </cell>
          <cell r="O72">
            <v>0</v>
          </cell>
          <cell r="P72">
            <v>0</v>
          </cell>
          <cell r="Q72">
            <v>0</v>
          </cell>
          <cell r="R72">
            <v>0</v>
          </cell>
          <cell r="S72">
            <v>0</v>
          </cell>
          <cell r="T72">
            <v>0</v>
          </cell>
          <cell r="U72">
            <v>0</v>
          </cell>
          <cell r="V72">
            <v>0</v>
          </cell>
        </row>
        <row r="73">
          <cell r="C73" t="str">
            <v>1991LA</v>
          </cell>
          <cell r="D73">
            <v>0</v>
          </cell>
          <cell r="E73">
            <v>20995</v>
          </cell>
          <cell r="F73">
            <v>3800</v>
          </cell>
          <cell r="G73">
            <v>0</v>
          </cell>
          <cell r="H73">
            <v>10120</v>
          </cell>
          <cell r="I73">
            <v>0</v>
          </cell>
          <cell r="J73">
            <v>0</v>
          </cell>
          <cell r="K73">
            <v>0</v>
          </cell>
          <cell r="L73">
            <v>24735</v>
          </cell>
          <cell r="M73">
            <v>30740</v>
          </cell>
          <cell r="N73">
            <v>0</v>
          </cell>
          <cell r="O73">
            <v>0</v>
          </cell>
          <cell r="P73">
            <v>0</v>
          </cell>
          <cell r="Q73">
            <v>0</v>
          </cell>
          <cell r="R73">
            <v>0</v>
          </cell>
          <cell r="S73">
            <v>0</v>
          </cell>
          <cell r="T73">
            <v>7620</v>
          </cell>
          <cell r="U73">
            <v>510</v>
          </cell>
          <cell r="V73">
            <v>153</v>
          </cell>
          <cell r="W73">
            <v>0.06</v>
          </cell>
        </row>
        <row r="74">
          <cell r="C74" t="str">
            <v>1991ME</v>
          </cell>
          <cell r="D74">
            <v>42</v>
          </cell>
          <cell r="E74">
            <v>0</v>
          </cell>
          <cell r="F74">
            <v>0</v>
          </cell>
          <cell r="G74">
            <v>0</v>
          </cell>
          <cell r="H74">
            <v>0</v>
          </cell>
          <cell r="I74">
            <v>1380</v>
          </cell>
          <cell r="J74">
            <v>0</v>
          </cell>
          <cell r="K74">
            <v>0</v>
          </cell>
          <cell r="L74">
            <v>0</v>
          </cell>
          <cell r="M74">
            <v>0</v>
          </cell>
          <cell r="N74">
            <v>0</v>
          </cell>
          <cell r="O74">
            <v>0</v>
          </cell>
          <cell r="P74">
            <v>0</v>
          </cell>
          <cell r="Q74">
            <v>0</v>
          </cell>
          <cell r="R74">
            <v>0</v>
          </cell>
          <cell r="S74">
            <v>0</v>
          </cell>
          <cell r="T74">
            <v>0</v>
          </cell>
          <cell r="U74">
            <v>0</v>
          </cell>
          <cell r="V74">
            <v>0</v>
          </cell>
        </row>
        <row r="75">
          <cell r="C75" t="str">
            <v>1991MD</v>
          </cell>
          <cell r="D75">
            <v>225</v>
          </cell>
          <cell r="E75">
            <v>42750</v>
          </cell>
          <cell r="F75">
            <v>9750</v>
          </cell>
          <cell r="G75">
            <v>4992</v>
          </cell>
          <cell r="H75">
            <v>0</v>
          </cell>
          <cell r="I75">
            <v>420</v>
          </cell>
          <cell r="J75">
            <v>224</v>
          </cell>
          <cell r="K75">
            <v>0</v>
          </cell>
          <cell r="L75">
            <v>0</v>
          </cell>
          <cell r="M75">
            <v>17000</v>
          </cell>
          <cell r="N75">
            <v>0</v>
          </cell>
          <cell r="O75">
            <v>0</v>
          </cell>
          <cell r="P75">
            <v>0</v>
          </cell>
          <cell r="Q75">
            <v>0</v>
          </cell>
          <cell r="R75">
            <v>0</v>
          </cell>
          <cell r="S75">
            <v>0</v>
          </cell>
          <cell r="T75">
            <v>0</v>
          </cell>
          <cell r="U75">
            <v>0</v>
          </cell>
          <cell r="V75">
            <v>0</v>
          </cell>
        </row>
        <row r="76">
          <cell r="C76" t="str">
            <v>1991MA</v>
          </cell>
          <cell r="D76">
            <v>75</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row>
        <row r="77">
          <cell r="C77" t="str">
            <v>1991MI</v>
          </cell>
          <cell r="D77">
            <v>4485</v>
          </cell>
          <cell r="E77">
            <v>253000</v>
          </cell>
          <cell r="F77">
            <v>24080</v>
          </cell>
          <cell r="G77">
            <v>1419</v>
          </cell>
          <cell r="H77">
            <v>0</v>
          </cell>
          <cell r="I77">
            <v>5400</v>
          </cell>
          <cell r="J77">
            <v>360</v>
          </cell>
          <cell r="K77">
            <v>0</v>
          </cell>
          <cell r="L77">
            <v>0</v>
          </cell>
          <cell r="M77">
            <v>52820</v>
          </cell>
          <cell r="N77">
            <v>0</v>
          </cell>
          <cell r="O77">
            <v>0</v>
          </cell>
          <cell r="P77">
            <v>0</v>
          </cell>
          <cell r="Q77">
            <v>0</v>
          </cell>
          <cell r="R77">
            <v>0</v>
          </cell>
          <cell r="S77">
            <v>0</v>
          </cell>
          <cell r="T77">
            <v>0</v>
          </cell>
          <cell r="U77">
            <v>0</v>
          </cell>
          <cell r="V77">
            <v>0</v>
          </cell>
        </row>
        <row r="78">
          <cell r="C78" t="str">
            <v>1991MN</v>
          </cell>
          <cell r="D78">
            <v>6290</v>
          </cell>
          <cell r="E78">
            <v>720000</v>
          </cell>
          <cell r="F78">
            <v>67110</v>
          </cell>
          <cell r="G78">
            <v>43750</v>
          </cell>
          <cell r="H78">
            <v>0</v>
          </cell>
          <cell r="I78">
            <v>22800</v>
          </cell>
          <cell r="J78">
            <v>648</v>
          </cell>
          <cell r="K78">
            <v>0</v>
          </cell>
          <cell r="L78">
            <v>0</v>
          </cell>
          <cell r="M78">
            <v>195275</v>
          </cell>
          <cell r="N78">
            <v>0</v>
          </cell>
          <cell r="O78">
            <v>0</v>
          </cell>
          <cell r="P78">
            <v>0</v>
          </cell>
          <cell r="Q78">
            <v>0</v>
          </cell>
          <cell r="R78">
            <v>0</v>
          </cell>
          <cell r="S78">
            <v>0</v>
          </cell>
          <cell r="T78">
            <v>0</v>
          </cell>
          <cell r="U78">
            <v>0</v>
          </cell>
          <cell r="V78">
            <v>0</v>
          </cell>
        </row>
        <row r="79">
          <cell r="C79" t="str">
            <v>1991MS</v>
          </cell>
          <cell r="D79">
            <v>0</v>
          </cell>
          <cell r="E79">
            <v>11250</v>
          </cell>
          <cell r="F79">
            <v>4500</v>
          </cell>
          <cell r="G79">
            <v>0</v>
          </cell>
          <cell r="H79">
            <v>4760</v>
          </cell>
          <cell r="I79">
            <v>0</v>
          </cell>
          <cell r="J79">
            <v>0</v>
          </cell>
          <cell r="K79">
            <v>0</v>
          </cell>
          <cell r="L79">
            <v>12320</v>
          </cell>
          <cell r="M79">
            <v>46800</v>
          </cell>
          <cell r="N79">
            <v>0</v>
          </cell>
          <cell r="O79">
            <v>0</v>
          </cell>
          <cell r="P79">
            <v>0</v>
          </cell>
          <cell r="Q79">
            <v>0</v>
          </cell>
          <cell r="R79">
            <v>0</v>
          </cell>
          <cell r="S79">
            <v>0</v>
          </cell>
          <cell r="T79">
            <v>0</v>
          </cell>
          <cell r="U79">
            <v>220</v>
          </cell>
          <cell r="V79">
            <v>0</v>
          </cell>
          <cell r="W79">
            <v>0.1</v>
          </cell>
        </row>
        <row r="80">
          <cell r="C80" t="str">
            <v>1991MO</v>
          </cell>
          <cell r="D80">
            <v>1485</v>
          </cell>
          <cell r="E80">
            <v>213400</v>
          </cell>
          <cell r="F80">
            <v>48000</v>
          </cell>
          <cell r="G80">
            <v>0</v>
          </cell>
          <cell r="H80">
            <v>37440</v>
          </cell>
          <cell r="I80">
            <v>1632</v>
          </cell>
          <cell r="J80">
            <v>0</v>
          </cell>
          <cell r="K80">
            <v>0</v>
          </cell>
          <cell r="L80">
            <v>4692</v>
          </cell>
          <cell r="M80">
            <v>135115</v>
          </cell>
          <cell r="N80">
            <v>0</v>
          </cell>
          <cell r="O80">
            <v>0</v>
          </cell>
          <cell r="P80">
            <v>0</v>
          </cell>
          <cell r="Q80">
            <v>0</v>
          </cell>
          <cell r="R80">
            <v>0</v>
          </cell>
          <cell r="S80">
            <v>0</v>
          </cell>
          <cell r="T80">
            <v>0</v>
          </cell>
          <cell r="U80">
            <v>92</v>
          </cell>
          <cell r="V80">
            <v>0</v>
          </cell>
          <cell r="W80">
            <v>0.05</v>
          </cell>
        </row>
        <row r="81">
          <cell r="C81" t="str">
            <v>1991MT</v>
          </cell>
          <cell r="D81">
            <v>3375</v>
          </cell>
          <cell r="E81">
            <v>1800</v>
          </cell>
          <cell r="F81">
            <v>163507</v>
          </cell>
          <cell r="G81">
            <v>85800</v>
          </cell>
          <cell r="H81">
            <v>0</v>
          </cell>
          <cell r="I81">
            <v>6050</v>
          </cell>
          <cell r="J81">
            <v>0</v>
          </cell>
          <cell r="K81">
            <v>0</v>
          </cell>
          <cell r="L81">
            <v>0</v>
          </cell>
          <cell r="M81">
            <v>0</v>
          </cell>
          <cell r="N81">
            <v>0</v>
          </cell>
          <cell r="O81">
            <v>0</v>
          </cell>
          <cell r="P81">
            <v>0</v>
          </cell>
          <cell r="Q81">
            <v>0</v>
          </cell>
          <cell r="R81">
            <v>0</v>
          </cell>
          <cell r="S81">
            <v>0</v>
          </cell>
          <cell r="T81">
            <v>0</v>
          </cell>
          <cell r="U81">
            <v>0</v>
          </cell>
          <cell r="V81">
            <v>0</v>
          </cell>
        </row>
        <row r="82">
          <cell r="C82" t="str">
            <v>1991NE</v>
          </cell>
          <cell r="D82">
            <v>4785</v>
          </cell>
          <cell r="E82">
            <v>990600</v>
          </cell>
          <cell r="F82">
            <v>67200</v>
          </cell>
          <cell r="G82">
            <v>1026</v>
          </cell>
          <cell r="H82">
            <v>90450</v>
          </cell>
          <cell r="I82">
            <v>11880</v>
          </cell>
          <cell r="J82">
            <v>1000</v>
          </cell>
          <cell r="K82">
            <v>0</v>
          </cell>
          <cell r="L82">
            <v>0</v>
          </cell>
          <cell r="M82">
            <v>82410</v>
          </cell>
          <cell r="N82">
            <v>0</v>
          </cell>
          <cell r="O82">
            <v>0</v>
          </cell>
          <cell r="P82">
            <v>0</v>
          </cell>
          <cell r="Q82">
            <v>0</v>
          </cell>
          <cell r="R82">
            <v>0</v>
          </cell>
          <cell r="S82">
            <v>0</v>
          </cell>
          <cell r="T82">
            <v>0</v>
          </cell>
          <cell r="U82">
            <v>0</v>
          </cell>
          <cell r="V82">
            <v>0</v>
          </cell>
        </row>
        <row r="83">
          <cell r="C83" t="str">
            <v>1991NV</v>
          </cell>
          <cell r="D83">
            <v>858</v>
          </cell>
          <cell r="E83">
            <v>0</v>
          </cell>
          <cell r="F83">
            <v>660</v>
          </cell>
          <cell r="G83">
            <v>360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row>
        <row r="84">
          <cell r="C84" t="str">
            <v>1991NH</v>
          </cell>
          <cell r="D84">
            <v>34</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row>
        <row r="85">
          <cell r="C85" t="str">
            <v>1991NJ</v>
          </cell>
          <cell r="D85">
            <v>87</v>
          </cell>
          <cell r="E85">
            <v>8470</v>
          </cell>
          <cell r="F85">
            <v>1196</v>
          </cell>
          <cell r="G85">
            <v>488</v>
          </cell>
          <cell r="H85">
            <v>0</v>
          </cell>
          <cell r="I85">
            <v>0</v>
          </cell>
          <cell r="J85">
            <v>192</v>
          </cell>
          <cell r="K85">
            <v>0</v>
          </cell>
          <cell r="L85">
            <v>0</v>
          </cell>
          <cell r="M85">
            <v>4428</v>
          </cell>
          <cell r="N85">
            <v>0</v>
          </cell>
          <cell r="O85">
            <v>0</v>
          </cell>
          <cell r="P85">
            <v>0</v>
          </cell>
          <cell r="Q85">
            <v>0</v>
          </cell>
          <cell r="R85">
            <v>0</v>
          </cell>
          <cell r="S85">
            <v>0</v>
          </cell>
          <cell r="T85">
            <v>0</v>
          </cell>
          <cell r="U85">
            <v>0</v>
          </cell>
          <cell r="V85">
            <v>0</v>
          </cell>
        </row>
        <row r="86">
          <cell r="C86" t="str">
            <v>1991NM</v>
          </cell>
          <cell r="D86">
            <v>1274</v>
          </cell>
          <cell r="E86">
            <v>9900</v>
          </cell>
          <cell r="F86">
            <v>8000</v>
          </cell>
          <cell r="G86">
            <v>0</v>
          </cell>
          <cell r="H86">
            <v>10200</v>
          </cell>
          <cell r="I86">
            <v>0</v>
          </cell>
          <cell r="J86">
            <v>0</v>
          </cell>
          <cell r="K86">
            <v>0</v>
          </cell>
          <cell r="L86">
            <v>0</v>
          </cell>
          <cell r="M86">
            <v>0</v>
          </cell>
          <cell r="N86">
            <v>51075</v>
          </cell>
          <cell r="O86">
            <v>0</v>
          </cell>
          <cell r="P86">
            <v>0</v>
          </cell>
          <cell r="Q86">
            <v>0</v>
          </cell>
          <cell r="R86">
            <v>0</v>
          </cell>
          <cell r="S86">
            <v>0</v>
          </cell>
          <cell r="T86">
            <v>0</v>
          </cell>
          <cell r="U86">
            <v>0</v>
          </cell>
          <cell r="V86">
            <v>0</v>
          </cell>
        </row>
        <row r="87">
          <cell r="C87" t="str">
            <v>1991NY</v>
          </cell>
          <cell r="D87">
            <v>1900</v>
          </cell>
          <cell r="E87">
            <v>58800</v>
          </cell>
          <cell r="F87">
            <v>5390</v>
          </cell>
          <cell r="G87">
            <v>0</v>
          </cell>
          <cell r="H87">
            <v>0</v>
          </cell>
          <cell r="I87">
            <v>5000</v>
          </cell>
          <cell r="J87">
            <v>264</v>
          </cell>
          <cell r="K87">
            <v>0</v>
          </cell>
          <cell r="L87">
            <v>0</v>
          </cell>
          <cell r="M87">
            <v>0</v>
          </cell>
          <cell r="N87">
            <v>0</v>
          </cell>
          <cell r="O87">
            <v>0</v>
          </cell>
          <cell r="P87">
            <v>0</v>
          </cell>
          <cell r="Q87">
            <v>0</v>
          </cell>
          <cell r="R87">
            <v>0</v>
          </cell>
          <cell r="S87">
            <v>0</v>
          </cell>
          <cell r="T87">
            <v>0</v>
          </cell>
          <cell r="U87">
            <v>0</v>
          </cell>
          <cell r="V87">
            <v>0</v>
          </cell>
        </row>
        <row r="88">
          <cell r="C88" t="str">
            <v>1991NC</v>
          </cell>
          <cell r="D88">
            <v>120</v>
          </cell>
          <cell r="E88">
            <v>85500</v>
          </cell>
          <cell r="F88">
            <v>19200</v>
          </cell>
          <cell r="G88">
            <v>1645</v>
          </cell>
          <cell r="H88">
            <v>1250</v>
          </cell>
          <cell r="I88">
            <v>2200</v>
          </cell>
          <cell r="J88">
            <v>500</v>
          </cell>
          <cell r="K88">
            <v>0</v>
          </cell>
          <cell r="L88">
            <v>0</v>
          </cell>
          <cell r="M88">
            <v>38645</v>
          </cell>
          <cell r="N88">
            <v>461700</v>
          </cell>
          <cell r="O88">
            <v>0</v>
          </cell>
          <cell r="P88">
            <v>0</v>
          </cell>
          <cell r="Q88">
            <v>0</v>
          </cell>
          <cell r="R88">
            <v>0</v>
          </cell>
          <cell r="S88">
            <v>0</v>
          </cell>
          <cell r="T88">
            <v>0</v>
          </cell>
          <cell r="U88">
            <v>0</v>
          </cell>
          <cell r="V88">
            <v>0</v>
          </cell>
        </row>
        <row r="89">
          <cell r="C89" t="str">
            <v>1991ND</v>
          </cell>
          <cell r="D89">
            <v>2310</v>
          </cell>
          <cell r="E89">
            <v>51300</v>
          </cell>
          <cell r="F89">
            <v>303670</v>
          </cell>
          <cell r="G89">
            <v>138670</v>
          </cell>
          <cell r="H89">
            <v>0</v>
          </cell>
          <cell r="I89">
            <v>32500</v>
          </cell>
          <cell r="J89">
            <v>992</v>
          </cell>
          <cell r="K89">
            <v>0</v>
          </cell>
          <cell r="L89">
            <v>0</v>
          </cell>
          <cell r="M89">
            <v>19215</v>
          </cell>
          <cell r="N89">
            <v>0</v>
          </cell>
          <cell r="O89">
            <v>7548</v>
          </cell>
          <cell r="P89">
            <v>0</v>
          </cell>
          <cell r="Q89">
            <v>0</v>
          </cell>
          <cell r="R89">
            <v>0</v>
          </cell>
          <cell r="S89">
            <v>0</v>
          </cell>
          <cell r="T89">
            <v>0</v>
          </cell>
          <cell r="U89">
            <v>0</v>
          </cell>
          <cell r="V89">
            <v>0</v>
          </cell>
        </row>
        <row r="90">
          <cell r="C90" t="str">
            <v>1991OH</v>
          </cell>
          <cell r="D90">
            <v>1680</v>
          </cell>
          <cell r="E90">
            <v>326400</v>
          </cell>
          <cell r="F90">
            <v>52920</v>
          </cell>
          <cell r="G90">
            <v>0</v>
          </cell>
          <cell r="H90">
            <v>0</v>
          </cell>
          <cell r="I90">
            <v>10200</v>
          </cell>
          <cell r="J90">
            <v>155</v>
          </cell>
          <cell r="K90">
            <v>0</v>
          </cell>
          <cell r="L90">
            <v>0</v>
          </cell>
          <cell r="M90">
            <v>135720</v>
          </cell>
          <cell r="N90">
            <v>0</v>
          </cell>
          <cell r="O90">
            <v>0</v>
          </cell>
          <cell r="P90">
            <v>0</v>
          </cell>
          <cell r="Q90">
            <v>0</v>
          </cell>
          <cell r="R90">
            <v>0</v>
          </cell>
          <cell r="S90">
            <v>0</v>
          </cell>
          <cell r="T90">
            <v>0</v>
          </cell>
          <cell r="U90">
            <v>0</v>
          </cell>
          <cell r="V90">
            <v>0</v>
          </cell>
        </row>
        <row r="91">
          <cell r="C91" t="str">
            <v>1991OK</v>
          </cell>
          <cell r="D91">
            <v>1320</v>
          </cell>
          <cell r="E91">
            <v>10925</v>
          </cell>
          <cell r="F91">
            <v>135000</v>
          </cell>
          <cell r="G91">
            <v>390</v>
          </cell>
          <cell r="H91">
            <v>13800</v>
          </cell>
          <cell r="I91">
            <v>1292</v>
          </cell>
          <cell r="J91">
            <v>665</v>
          </cell>
          <cell r="K91">
            <v>0</v>
          </cell>
          <cell r="L91">
            <v>0</v>
          </cell>
          <cell r="M91">
            <v>5640</v>
          </cell>
          <cell r="N91">
            <v>243800</v>
          </cell>
          <cell r="O91">
            <v>0</v>
          </cell>
          <cell r="P91">
            <v>0</v>
          </cell>
          <cell r="Q91">
            <v>0</v>
          </cell>
          <cell r="R91">
            <v>0</v>
          </cell>
          <cell r="S91">
            <v>0</v>
          </cell>
          <cell r="T91">
            <v>0</v>
          </cell>
          <cell r="U91">
            <v>1.0662</v>
          </cell>
          <cell r="V91">
            <v>0</v>
          </cell>
          <cell r="W91">
            <v>0.9</v>
          </cell>
        </row>
        <row r="92">
          <cell r="C92" t="str">
            <v>1991OR</v>
          </cell>
          <cell r="D92">
            <v>1785</v>
          </cell>
          <cell r="E92">
            <v>2190</v>
          </cell>
          <cell r="F92">
            <v>43900</v>
          </cell>
          <cell r="G92">
            <v>12600</v>
          </cell>
          <cell r="H92">
            <v>0</v>
          </cell>
          <cell r="I92">
            <v>4725</v>
          </cell>
          <cell r="J92">
            <v>0</v>
          </cell>
          <cell r="K92">
            <v>0</v>
          </cell>
          <cell r="L92">
            <v>0</v>
          </cell>
          <cell r="M92">
            <v>0</v>
          </cell>
          <cell r="N92">
            <v>0</v>
          </cell>
          <cell r="O92">
            <v>0</v>
          </cell>
          <cell r="P92">
            <v>0</v>
          </cell>
          <cell r="Q92">
            <v>0</v>
          </cell>
          <cell r="R92">
            <v>0</v>
          </cell>
          <cell r="S92">
            <v>0</v>
          </cell>
          <cell r="T92">
            <v>0</v>
          </cell>
          <cell r="U92">
            <v>0</v>
          </cell>
          <cell r="V92">
            <v>0</v>
          </cell>
        </row>
        <row r="93">
          <cell r="C93" t="str">
            <v>1991PA</v>
          </cell>
          <cell r="D93">
            <v>2028</v>
          </cell>
          <cell r="E93">
            <v>64500</v>
          </cell>
          <cell r="F93">
            <v>7700</v>
          </cell>
          <cell r="G93">
            <v>4200</v>
          </cell>
          <cell r="H93">
            <v>0</v>
          </cell>
          <cell r="I93">
            <v>8800</v>
          </cell>
          <cell r="J93">
            <v>270</v>
          </cell>
          <cell r="K93">
            <v>0</v>
          </cell>
          <cell r="L93">
            <v>0</v>
          </cell>
          <cell r="M93">
            <v>9900</v>
          </cell>
          <cell r="N93">
            <v>0</v>
          </cell>
          <cell r="O93">
            <v>0</v>
          </cell>
          <cell r="P93">
            <v>0</v>
          </cell>
          <cell r="Q93">
            <v>0</v>
          </cell>
          <cell r="R93">
            <v>0</v>
          </cell>
          <cell r="S93">
            <v>0</v>
          </cell>
          <cell r="T93">
            <v>0</v>
          </cell>
          <cell r="U93">
            <v>0</v>
          </cell>
          <cell r="V93">
            <v>0</v>
          </cell>
        </row>
        <row r="94">
          <cell r="C94" t="str">
            <v>1991RI</v>
          </cell>
          <cell r="D94">
            <v>5</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row>
        <row r="95">
          <cell r="C95" t="str">
            <v>1991SC</v>
          </cell>
          <cell r="D95">
            <v>0</v>
          </cell>
          <cell r="E95">
            <v>21675</v>
          </cell>
          <cell r="F95">
            <v>8525</v>
          </cell>
          <cell r="G95">
            <v>279</v>
          </cell>
          <cell r="H95">
            <v>456</v>
          </cell>
          <cell r="I95">
            <v>2200</v>
          </cell>
          <cell r="J95">
            <v>630</v>
          </cell>
          <cell r="K95">
            <v>0</v>
          </cell>
          <cell r="L95">
            <v>0</v>
          </cell>
          <cell r="M95">
            <v>13860</v>
          </cell>
          <cell r="N95">
            <v>33600</v>
          </cell>
          <cell r="O95">
            <v>0</v>
          </cell>
          <cell r="P95">
            <v>0</v>
          </cell>
          <cell r="Q95">
            <v>0</v>
          </cell>
          <cell r="R95">
            <v>0</v>
          </cell>
          <cell r="S95">
            <v>0</v>
          </cell>
          <cell r="T95">
            <v>0</v>
          </cell>
          <cell r="U95">
            <v>0</v>
          </cell>
          <cell r="V95">
            <v>0</v>
          </cell>
        </row>
        <row r="96">
          <cell r="C96" t="str">
            <v>1991SD</v>
          </cell>
          <cell r="D96">
            <v>5405</v>
          </cell>
          <cell r="E96">
            <v>240500</v>
          </cell>
          <cell r="F96">
            <v>96175</v>
          </cell>
          <cell r="G96">
            <v>17940</v>
          </cell>
          <cell r="H96">
            <v>13020</v>
          </cell>
          <cell r="I96">
            <v>38500</v>
          </cell>
          <cell r="J96">
            <v>1152</v>
          </cell>
          <cell r="K96">
            <v>0</v>
          </cell>
          <cell r="L96">
            <v>0</v>
          </cell>
          <cell r="M96">
            <v>58320</v>
          </cell>
          <cell r="N96">
            <v>0</v>
          </cell>
          <cell r="O96">
            <v>0</v>
          </cell>
          <cell r="P96">
            <v>0</v>
          </cell>
          <cell r="Q96">
            <v>0</v>
          </cell>
          <cell r="R96">
            <v>0</v>
          </cell>
          <cell r="S96">
            <v>0</v>
          </cell>
          <cell r="T96">
            <v>0</v>
          </cell>
          <cell r="U96">
            <v>0</v>
          </cell>
          <cell r="V96">
            <v>0</v>
          </cell>
        </row>
        <row r="97">
          <cell r="C97" t="str">
            <v>1991TN</v>
          </cell>
          <cell r="D97">
            <v>280</v>
          </cell>
          <cell r="E97">
            <v>43860</v>
          </cell>
          <cell r="F97">
            <v>7680</v>
          </cell>
          <cell r="G97">
            <v>0</v>
          </cell>
          <cell r="H97">
            <v>4225</v>
          </cell>
          <cell r="I97">
            <v>0</v>
          </cell>
          <cell r="J97">
            <v>0</v>
          </cell>
          <cell r="K97">
            <v>0</v>
          </cell>
          <cell r="L97">
            <v>0</v>
          </cell>
          <cell r="M97">
            <v>31500</v>
          </cell>
          <cell r="N97">
            <v>0</v>
          </cell>
          <cell r="O97">
            <v>0</v>
          </cell>
          <cell r="P97">
            <v>0</v>
          </cell>
          <cell r="Q97">
            <v>0</v>
          </cell>
          <cell r="R97">
            <v>0</v>
          </cell>
          <cell r="S97">
            <v>0</v>
          </cell>
          <cell r="T97">
            <v>0</v>
          </cell>
          <cell r="U97">
            <v>0</v>
          </cell>
          <cell r="V97">
            <v>0</v>
          </cell>
        </row>
        <row r="98">
          <cell r="C98" t="str">
            <v>1991TX</v>
          </cell>
          <cell r="D98">
            <v>450</v>
          </cell>
          <cell r="E98">
            <v>165000</v>
          </cell>
          <cell r="F98">
            <v>84000</v>
          </cell>
          <cell r="G98">
            <v>320</v>
          </cell>
          <cell r="H98">
            <v>176900</v>
          </cell>
          <cell r="I98">
            <v>7200</v>
          </cell>
          <cell r="J98">
            <v>228</v>
          </cell>
          <cell r="K98">
            <v>0</v>
          </cell>
          <cell r="L98">
            <v>20580</v>
          </cell>
          <cell r="M98">
            <v>5270</v>
          </cell>
          <cell r="N98">
            <v>682500</v>
          </cell>
          <cell r="O98">
            <v>0</v>
          </cell>
          <cell r="P98">
            <v>0</v>
          </cell>
          <cell r="Q98">
            <v>0</v>
          </cell>
          <cell r="R98">
            <v>0</v>
          </cell>
          <cell r="S98">
            <v>0</v>
          </cell>
          <cell r="T98">
            <v>1110</v>
          </cell>
          <cell r="U98">
            <v>343</v>
          </cell>
          <cell r="V98">
            <v>137</v>
          </cell>
          <cell r="W98">
            <v>0.01</v>
          </cell>
        </row>
        <row r="99">
          <cell r="C99" t="str">
            <v>1991UT</v>
          </cell>
          <cell r="D99">
            <v>1960</v>
          </cell>
          <cell r="E99">
            <v>2940</v>
          </cell>
          <cell r="F99">
            <v>5807</v>
          </cell>
          <cell r="G99">
            <v>7885</v>
          </cell>
          <cell r="H99">
            <v>0</v>
          </cell>
          <cell r="I99">
            <v>616</v>
          </cell>
          <cell r="J99">
            <v>0</v>
          </cell>
          <cell r="K99">
            <v>0</v>
          </cell>
          <cell r="L99">
            <v>0</v>
          </cell>
          <cell r="M99">
            <v>0</v>
          </cell>
          <cell r="N99">
            <v>0</v>
          </cell>
          <cell r="O99">
            <v>0</v>
          </cell>
          <cell r="P99">
            <v>0</v>
          </cell>
          <cell r="Q99">
            <v>0</v>
          </cell>
          <cell r="R99">
            <v>0</v>
          </cell>
          <cell r="S99">
            <v>0</v>
          </cell>
          <cell r="T99">
            <v>0</v>
          </cell>
          <cell r="U99">
            <v>0</v>
          </cell>
          <cell r="V99">
            <v>0</v>
          </cell>
        </row>
        <row r="100">
          <cell r="C100" t="str">
            <v>1991VT</v>
          </cell>
          <cell r="D100">
            <v>252</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row>
        <row r="101">
          <cell r="C101" t="str">
            <v>1991VA</v>
          </cell>
          <cell r="D101">
            <v>442</v>
          </cell>
          <cell r="E101">
            <v>28140</v>
          </cell>
          <cell r="F101">
            <v>12250</v>
          </cell>
          <cell r="G101">
            <v>5695</v>
          </cell>
          <cell r="H101">
            <v>0</v>
          </cell>
          <cell r="I101">
            <v>0</v>
          </cell>
          <cell r="J101">
            <v>264</v>
          </cell>
          <cell r="K101">
            <v>0</v>
          </cell>
          <cell r="L101">
            <v>0</v>
          </cell>
          <cell r="M101">
            <v>14500</v>
          </cell>
          <cell r="N101">
            <v>307200</v>
          </cell>
          <cell r="O101">
            <v>0</v>
          </cell>
          <cell r="P101">
            <v>0</v>
          </cell>
          <cell r="Q101">
            <v>0</v>
          </cell>
          <cell r="R101">
            <v>0</v>
          </cell>
          <cell r="S101">
            <v>0</v>
          </cell>
          <cell r="T101">
            <v>0</v>
          </cell>
          <cell r="U101">
            <v>0</v>
          </cell>
          <cell r="V101">
            <v>0</v>
          </cell>
        </row>
        <row r="102">
          <cell r="C102" t="str">
            <v>1991WA</v>
          </cell>
          <cell r="D102">
            <v>2160</v>
          </cell>
          <cell r="E102">
            <v>15840</v>
          </cell>
          <cell r="F102">
            <v>98600</v>
          </cell>
          <cell r="G102">
            <v>37050</v>
          </cell>
          <cell r="H102">
            <v>0</v>
          </cell>
          <cell r="I102">
            <v>2600</v>
          </cell>
          <cell r="J102">
            <v>0</v>
          </cell>
          <cell r="K102">
            <v>0</v>
          </cell>
          <cell r="L102">
            <v>0</v>
          </cell>
          <cell r="M102">
            <v>0</v>
          </cell>
          <cell r="N102">
            <v>0</v>
          </cell>
          <cell r="O102">
            <v>0</v>
          </cell>
          <cell r="P102">
            <v>0</v>
          </cell>
          <cell r="Q102">
            <v>0</v>
          </cell>
          <cell r="R102">
            <v>0</v>
          </cell>
          <cell r="S102">
            <v>0</v>
          </cell>
          <cell r="T102">
            <v>0</v>
          </cell>
          <cell r="U102">
            <v>0</v>
          </cell>
          <cell r="V102">
            <v>0</v>
          </cell>
        </row>
        <row r="103">
          <cell r="C103" t="str">
            <v>1991WV</v>
          </cell>
          <cell r="D103">
            <v>125</v>
          </cell>
          <cell r="E103">
            <v>2850</v>
          </cell>
          <cell r="F103">
            <v>450</v>
          </cell>
          <cell r="G103">
            <v>0</v>
          </cell>
          <cell r="H103">
            <v>0</v>
          </cell>
          <cell r="I103">
            <v>225</v>
          </cell>
          <cell r="J103">
            <v>0</v>
          </cell>
          <cell r="K103">
            <v>0</v>
          </cell>
          <cell r="L103">
            <v>0</v>
          </cell>
          <cell r="M103">
            <v>0</v>
          </cell>
          <cell r="N103">
            <v>0</v>
          </cell>
          <cell r="O103">
            <v>0</v>
          </cell>
          <cell r="P103">
            <v>0</v>
          </cell>
          <cell r="Q103">
            <v>0</v>
          </cell>
          <cell r="R103">
            <v>0</v>
          </cell>
          <cell r="S103">
            <v>0</v>
          </cell>
          <cell r="T103">
            <v>0</v>
          </cell>
          <cell r="U103">
            <v>0</v>
          </cell>
          <cell r="V103">
            <v>0</v>
          </cell>
        </row>
        <row r="104">
          <cell r="C104" t="str">
            <v>1991WI</v>
          </cell>
          <cell r="D104">
            <v>8400</v>
          </cell>
          <cell r="E104">
            <v>380800</v>
          </cell>
          <cell r="F104">
            <v>6118</v>
          </cell>
          <cell r="G104">
            <v>3312</v>
          </cell>
          <cell r="H104">
            <v>0</v>
          </cell>
          <cell r="I104">
            <v>26500</v>
          </cell>
          <cell r="J104">
            <v>435</v>
          </cell>
          <cell r="K104">
            <v>0</v>
          </cell>
          <cell r="L104">
            <v>0</v>
          </cell>
          <cell r="M104">
            <v>23100</v>
          </cell>
          <cell r="N104">
            <v>0</v>
          </cell>
          <cell r="O104">
            <v>0</v>
          </cell>
          <cell r="P104">
            <v>0</v>
          </cell>
          <cell r="Q104">
            <v>0</v>
          </cell>
          <cell r="R104">
            <v>0</v>
          </cell>
          <cell r="S104">
            <v>0</v>
          </cell>
          <cell r="T104">
            <v>0</v>
          </cell>
          <cell r="U104">
            <v>0</v>
          </cell>
          <cell r="V104">
            <v>0</v>
          </cell>
        </row>
        <row r="105">
          <cell r="C105" t="str">
            <v>1991WY</v>
          </cell>
          <cell r="D105">
            <v>1600</v>
          </cell>
          <cell r="E105">
            <v>5831</v>
          </cell>
          <cell r="F105">
            <v>5920</v>
          </cell>
          <cell r="G105">
            <v>10530</v>
          </cell>
          <cell r="H105">
            <v>0</v>
          </cell>
          <cell r="I105">
            <v>1696</v>
          </cell>
          <cell r="J105">
            <v>0</v>
          </cell>
          <cell r="K105">
            <v>0</v>
          </cell>
          <cell r="L105">
            <v>0</v>
          </cell>
          <cell r="M105">
            <v>0</v>
          </cell>
          <cell r="N105">
            <v>0</v>
          </cell>
          <cell r="O105">
            <v>0</v>
          </cell>
          <cell r="P105">
            <v>0</v>
          </cell>
          <cell r="Q105">
            <v>0</v>
          </cell>
          <cell r="R105">
            <v>0</v>
          </cell>
          <cell r="S105">
            <v>0</v>
          </cell>
          <cell r="T105">
            <v>0</v>
          </cell>
          <cell r="U105">
            <v>0</v>
          </cell>
          <cell r="V105">
            <v>0</v>
          </cell>
        </row>
        <row r="106">
          <cell r="C106" t="str">
            <v>1991US</v>
          </cell>
          <cell r="D106">
            <v>83319</v>
          </cell>
          <cell r="E106">
            <v>7474765</v>
          </cell>
          <cell r="F106">
            <v>1980139</v>
          </cell>
          <cell r="G106">
            <v>464326</v>
          </cell>
          <cell r="H106">
            <v>584860</v>
          </cell>
          <cell r="I106">
            <v>243851</v>
          </cell>
          <cell r="J106">
            <v>9734</v>
          </cell>
          <cell r="K106">
            <v>0</v>
          </cell>
          <cell r="L106">
            <v>159367</v>
          </cell>
          <cell r="M106">
            <v>1986539</v>
          </cell>
          <cell r="N106">
            <v>4926570</v>
          </cell>
          <cell r="O106">
            <v>0</v>
          </cell>
          <cell r="P106">
            <v>0</v>
          </cell>
          <cell r="Q106">
            <v>0</v>
          </cell>
          <cell r="R106">
            <v>0</v>
          </cell>
          <cell r="S106">
            <v>0</v>
          </cell>
          <cell r="T106">
            <v>30252</v>
          </cell>
        </row>
        <row r="107">
          <cell r="C107" t="str">
            <v>1992AL</v>
          </cell>
          <cell r="D107">
            <v>0</v>
          </cell>
          <cell r="E107">
            <v>27730</v>
          </cell>
          <cell r="F107">
            <v>4180</v>
          </cell>
          <cell r="G107">
            <v>0</v>
          </cell>
          <cell r="H107">
            <v>1250</v>
          </cell>
          <cell r="I107">
            <v>1500</v>
          </cell>
          <cell r="J107">
            <v>0</v>
          </cell>
          <cell r="K107">
            <v>0</v>
          </cell>
          <cell r="L107">
            <v>0</v>
          </cell>
          <cell r="M107">
            <v>7830</v>
          </cell>
          <cell r="N107">
            <v>591180</v>
          </cell>
          <cell r="O107">
            <v>0</v>
          </cell>
          <cell r="P107">
            <v>0</v>
          </cell>
          <cell r="Q107">
            <v>0</v>
          </cell>
          <cell r="R107">
            <v>0</v>
          </cell>
          <cell r="S107">
            <v>0</v>
          </cell>
          <cell r="T107">
            <v>0</v>
          </cell>
          <cell r="U107">
            <v>0</v>
          </cell>
          <cell r="V107">
            <v>0</v>
          </cell>
        </row>
        <row r="108">
          <cell r="C108" t="str">
            <v>1992AK</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row>
        <row r="109">
          <cell r="C109" t="str">
            <v>1992AZ</v>
          </cell>
          <cell r="D109">
            <v>1095</v>
          </cell>
          <cell r="E109">
            <v>1870</v>
          </cell>
          <cell r="F109">
            <v>7700</v>
          </cell>
          <cell r="G109">
            <v>2205</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row>
        <row r="110">
          <cell r="C110" t="str">
            <v>1992AR</v>
          </cell>
          <cell r="D110">
            <v>105</v>
          </cell>
          <cell r="E110">
            <v>12350</v>
          </cell>
          <cell r="F110">
            <v>39100</v>
          </cell>
          <cell r="G110">
            <v>0</v>
          </cell>
          <cell r="H110">
            <v>31160</v>
          </cell>
          <cell r="I110">
            <v>1600</v>
          </cell>
          <cell r="J110">
            <v>0</v>
          </cell>
          <cell r="K110">
            <v>0</v>
          </cell>
          <cell r="L110">
            <v>75914</v>
          </cell>
          <cell r="M110">
            <v>104280</v>
          </cell>
          <cell r="N110">
            <v>0</v>
          </cell>
          <cell r="O110">
            <v>0</v>
          </cell>
          <cell r="P110">
            <v>0</v>
          </cell>
          <cell r="Q110">
            <v>0</v>
          </cell>
          <cell r="R110">
            <v>0</v>
          </cell>
          <cell r="S110">
            <v>0</v>
          </cell>
          <cell r="T110">
            <v>0</v>
          </cell>
          <cell r="U110">
            <v>1380</v>
          </cell>
          <cell r="V110">
            <v>0</v>
          </cell>
          <cell r="W110">
            <v>0.13</v>
          </cell>
        </row>
        <row r="111">
          <cell r="C111" t="str">
            <v>1992CA</v>
          </cell>
          <cell r="D111">
            <v>6432</v>
          </cell>
          <cell r="E111">
            <v>24750</v>
          </cell>
          <cell r="F111">
            <v>43635</v>
          </cell>
          <cell r="G111">
            <v>11780</v>
          </cell>
          <cell r="H111">
            <v>0</v>
          </cell>
          <cell r="I111">
            <v>2800</v>
          </cell>
          <cell r="J111">
            <v>0</v>
          </cell>
          <cell r="K111">
            <v>0</v>
          </cell>
          <cell r="L111">
            <v>33490</v>
          </cell>
          <cell r="M111">
            <v>0</v>
          </cell>
          <cell r="N111">
            <v>0</v>
          </cell>
          <cell r="O111">
            <v>0</v>
          </cell>
          <cell r="P111">
            <v>0</v>
          </cell>
          <cell r="Q111">
            <v>0</v>
          </cell>
          <cell r="R111">
            <v>0</v>
          </cell>
          <cell r="S111">
            <v>0</v>
          </cell>
          <cell r="T111">
            <v>0</v>
          </cell>
          <cell r="U111">
            <v>394</v>
          </cell>
          <cell r="V111">
            <v>0</v>
          </cell>
          <cell r="W111">
            <v>0.66</v>
          </cell>
        </row>
        <row r="112">
          <cell r="C112" t="str">
            <v>1992CO</v>
          </cell>
          <cell r="D112">
            <v>2964</v>
          </cell>
          <cell r="E112">
            <v>130240</v>
          </cell>
          <cell r="F112">
            <v>74119</v>
          </cell>
          <cell r="G112">
            <v>9720</v>
          </cell>
          <cell r="H112">
            <v>6660</v>
          </cell>
          <cell r="I112">
            <v>1560</v>
          </cell>
          <cell r="J112">
            <v>50</v>
          </cell>
          <cell r="K112">
            <v>0</v>
          </cell>
          <cell r="L112">
            <v>0</v>
          </cell>
          <cell r="M112">
            <v>0</v>
          </cell>
          <cell r="N112">
            <v>0</v>
          </cell>
          <cell r="O112">
            <v>0</v>
          </cell>
          <cell r="P112">
            <v>0</v>
          </cell>
          <cell r="Q112">
            <v>0</v>
          </cell>
          <cell r="R112">
            <v>0</v>
          </cell>
          <cell r="S112">
            <v>0</v>
          </cell>
          <cell r="T112">
            <v>0</v>
          </cell>
          <cell r="U112">
            <v>0</v>
          </cell>
          <cell r="V112">
            <v>0</v>
          </cell>
        </row>
        <row r="113">
          <cell r="C113" t="str">
            <v>1992CT</v>
          </cell>
          <cell r="D113">
            <v>58</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row>
        <row r="114">
          <cell r="C114" t="str">
            <v>1992DE</v>
          </cell>
          <cell r="D114">
            <v>21</v>
          </cell>
          <cell r="E114">
            <v>19159</v>
          </cell>
          <cell r="F114">
            <v>4060</v>
          </cell>
          <cell r="G114">
            <v>2590</v>
          </cell>
          <cell r="H114">
            <v>0</v>
          </cell>
          <cell r="I114">
            <v>0</v>
          </cell>
          <cell r="J114">
            <v>0</v>
          </cell>
          <cell r="K114">
            <v>0</v>
          </cell>
          <cell r="L114">
            <v>0</v>
          </cell>
          <cell r="M114">
            <v>6880</v>
          </cell>
          <cell r="N114">
            <v>0</v>
          </cell>
          <cell r="O114">
            <v>0</v>
          </cell>
          <cell r="P114">
            <v>0</v>
          </cell>
          <cell r="Q114">
            <v>0</v>
          </cell>
          <cell r="R114">
            <v>0</v>
          </cell>
          <cell r="S114">
            <v>0</v>
          </cell>
          <cell r="T114">
            <v>0</v>
          </cell>
          <cell r="U114">
            <v>0</v>
          </cell>
          <cell r="V114">
            <v>0</v>
          </cell>
        </row>
        <row r="115">
          <cell r="C115" t="str">
            <v>1992FL</v>
          </cell>
          <cell r="D115">
            <v>0</v>
          </cell>
          <cell r="E115">
            <v>8250</v>
          </cell>
          <cell r="F115">
            <v>840</v>
          </cell>
          <cell r="G115">
            <v>0</v>
          </cell>
          <cell r="H115">
            <v>0</v>
          </cell>
          <cell r="I115">
            <v>0</v>
          </cell>
          <cell r="J115">
            <v>0</v>
          </cell>
          <cell r="K115">
            <v>0</v>
          </cell>
          <cell r="L115">
            <v>1021.9777771096414</v>
          </cell>
          <cell r="M115">
            <v>1500</v>
          </cell>
          <cell r="N115">
            <v>202510</v>
          </cell>
          <cell r="O115">
            <v>0</v>
          </cell>
          <cell r="P115">
            <v>0</v>
          </cell>
          <cell r="Q115">
            <v>0</v>
          </cell>
          <cell r="R115">
            <v>0</v>
          </cell>
          <cell r="S115">
            <v>0</v>
          </cell>
          <cell r="T115">
            <v>14707</v>
          </cell>
          <cell r="U115">
            <v>23</v>
          </cell>
          <cell r="V115">
            <v>12</v>
          </cell>
          <cell r="W115">
            <v>0</v>
          </cell>
        </row>
        <row r="116">
          <cell r="C116" t="str">
            <v>1992GA</v>
          </cell>
          <cell r="D116">
            <v>0</v>
          </cell>
          <cell r="E116">
            <v>69000</v>
          </cell>
          <cell r="F116">
            <v>16100</v>
          </cell>
          <cell r="G116">
            <v>0</v>
          </cell>
          <cell r="H116">
            <v>2640</v>
          </cell>
          <cell r="I116">
            <v>3685</v>
          </cell>
          <cell r="J116">
            <v>1560</v>
          </cell>
          <cell r="K116">
            <v>0</v>
          </cell>
          <cell r="L116">
            <v>0</v>
          </cell>
          <cell r="M116">
            <v>18560</v>
          </cell>
          <cell r="N116">
            <v>1820465</v>
          </cell>
          <cell r="O116">
            <v>0</v>
          </cell>
          <cell r="P116">
            <v>0</v>
          </cell>
          <cell r="Q116">
            <v>0</v>
          </cell>
          <cell r="R116">
            <v>0</v>
          </cell>
          <cell r="S116">
            <v>0</v>
          </cell>
          <cell r="T116">
            <v>0</v>
          </cell>
          <cell r="U116">
            <v>0</v>
          </cell>
          <cell r="V116">
            <v>0</v>
          </cell>
        </row>
        <row r="117">
          <cell r="C117" t="str">
            <v>1992HI</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5622</v>
          </cell>
          <cell r="U117">
            <v>0</v>
          </cell>
          <cell r="V117">
            <v>0</v>
          </cell>
        </row>
        <row r="118">
          <cell r="C118" t="str">
            <v>1992ID</v>
          </cell>
          <cell r="D118">
            <v>3367</v>
          </cell>
          <cell r="E118">
            <v>4290</v>
          </cell>
          <cell r="F118">
            <v>100090</v>
          </cell>
          <cell r="G118">
            <v>54000</v>
          </cell>
          <cell r="H118">
            <v>0</v>
          </cell>
          <cell r="I118">
            <v>1440</v>
          </cell>
          <cell r="J118">
            <v>0</v>
          </cell>
          <cell r="K118">
            <v>0</v>
          </cell>
          <cell r="L118">
            <v>0</v>
          </cell>
          <cell r="M118">
            <v>0</v>
          </cell>
          <cell r="N118">
            <v>0</v>
          </cell>
          <cell r="O118">
            <v>0</v>
          </cell>
          <cell r="P118">
            <v>0</v>
          </cell>
          <cell r="Q118">
            <v>0</v>
          </cell>
          <cell r="R118">
            <v>0</v>
          </cell>
          <cell r="S118">
            <v>397</v>
          </cell>
          <cell r="T118">
            <v>0</v>
          </cell>
          <cell r="U118">
            <v>0</v>
          </cell>
          <cell r="V118">
            <v>0</v>
          </cell>
        </row>
        <row r="119">
          <cell r="C119" t="str">
            <v>1992IL</v>
          </cell>
          <cell r="D119">
            <v>2590</v>
          </cell>
          <cell r="E119">
            <v>1646450</v>
          </cell>
          <cell r="F119">
            <v>62100</v>
          </cell>
          <cell r="G119">
            <v>0</v>
          </cell>
          <cell r="H119">
            <v>26780</v>
          </cell>
          <cell r="I119">
            <v>7930</v>
          </cell>
          <cell r="J119">
            <v>280</v>
          </cell>
          <cell r="K119">
            <v>0</v>
          </cell>
          <cell r="L119">
            <v>0</v>
          </cell>
          <cell r="M119">
            <v>405490</v>
          </cell>
          <cell r="N119">
            <v>0</v>
          </cell>
          <cell r="O119">
            <v>0</v>
          </cell>
          <cell r="P119">
            <v>0</v>
          </cell>
          <cell r="Q119">
            <v>0</v>
          </cell>
          <cell r="R119">
            <v>0</v>
          </cell>
          <cell r="S119">
            <v>0</v>
          </cell>
          <cell r="T119">
            <v>0</v>
          </cell>
          <cell r="U119">
            <v>0</v>
          </cell>
          <cell r="V119">
            <v>0</v>
          </cell>
        </row>
        <row r="120">
          <cell r="C120" t="str">
            <v>1992IN</v>
          </cell>
          <cell r="D120">
            <v>1221</v>
          </cell>
          <cell r="E120">
            <v>877590</v>
          </cell>
          <cell r="F120">
            <v>25000</v>
          </cell>
          <cell r="G120">
            <v>0</v>
          </cell>
          <cell r="H120">
            <v>0</v>
          </cell>
          <cell r="I120">
            <v>2800</v>
          </cell>
          <cell r="J120">
            <v>156</v>
          </cell>
          <cell r="K120">
            <v>0</v>
          </cell>
          <cell r="L120">
            <v>0</v>
          </cell>
          <cell r="M120">
            <v>194360</v>
          </cell>
          <cell r="N120">
            <v>0</v>
          </cell>
          <cell r="O120">
            <v>0</v>
          </cell>
          <cell r="P120">
            <v>0</v>
          </cell>
          <cell r="Q120">
            <v>0</v>
          </cell>
          <cell r="R120">
            <v>0</v>
          </cell>
          <cell r="S120">
            <v>0</v>
          </cell>
          <cell r="T120">
            <v>0</v>
          </cell>
          <cell r="U120">
            <v>0</v>
          </cell>
          <cell r="V120">
            <v>0</v>
          </cell>
        </row>
        <row r="121">
          <cell r="C121" t="str">
            <v>1992IA</v>
          </cell>
          <cell r="D121">
            <v>5735</v>
          </cell>
          <cell r="E121">
            <v>1903650</v>
          </cell>
          <cell r="F121">
            <v>1560</v>
          </cell>
          <cell r="G121">
            <v>0</v>
          </cell>
          <cell r="H121">
            <v>0</v>
          </cell>
          <cell r="I121">
            <v>25125</v>
          </cell>
          <cell r="J121">
            <v>0</v>
          </cell>
          <cell r="K121">
            <v>0</v>
          </cell>
          <cell r="L121">
            <v>0</v>
          </cell>
          <cell r="M121">
            <v>359480</v>
          </cell>
          <cell r="N121">
            <v>0</v>
          </cell>
          <cell r="O121">
            <v>0</v>
          </cell>
          <cell r="P121">
            <v>0</v>
          </cell>
          <cell r="Q121">
            <v>0</v>
          </cell>
          <cell r="R121">
            <v>0</v>
          </cell>
          <cell r="S121">
            <v>0</v>
          </cell>
          <cell r="T121">
            <v>0</v>
          </cell>
          <cell r="U121">
            <v>0</v>
          </cell>
          <cell r="V121">
            <v>0</v>
          </cell>
        </row>
        <row r="122">
          <cell r="C122" t="str">
            <v>1992KS</v>
          </cell>
          <cell r="D122">
            <v>3570</v>
          </cell>
          <cell r="E122">
            <v>259500</v>
          </cell>
          <cell r="F122">
            <v>363800</v>
          </cell>
          <cell r="G122">
            <v>920</v>
          </cell>
          <cell r="H122">
            <v>244000</v>
          </cell>
          <cell r="I122">
            <v>7840</v>
          </cell>
          <cell r="J122">
            <v>130</v>
          </cell>
          <cell r="K122">
            <v>0</v>
          </cell>
          <cell r="L122">
            <v>0</v>
          </cell>
          <cell r="M122">
            <v>68450</v>
          </cell>
          <cell r="N122">
            <v>0</v>
          </cell>
          <cell r="O122">
            <v>0</v>
          </cell>
          <cell r="P122">
            <v>0</v>
          </cell>
          <cell r="Q122">
            <v>0</v>
          </cell>
          <cell r="R122">
            <v>0</v>
          </cell>
          <cell r="S122">
            <v>0</v>
          </cell>
          <cell r="T122">
            <v>0</v>
          </cell>
          <cell r="U122">
            <v>0</v>
          </cell>
          <cell r="V122">
            <v>0</v>
          </cell>
        </row>
        <row r="123">
          <cell r="C123" t="str">
            <v>1992KY</v>
          </cell>
          <cell r="D123">
            <v>1120</v>
          </cell>
          <cell r="E123">
            <v>171600</v>
          </cell>
          <cell r="F123">
            <v>20350</v>
          </cell>
          <cell r="G123">
            <v>924</v>
          </cell>
          <cell r="H123">
            <v>1710</v>
          </cell>
          <cell r="I123">
            <v>0</v>
          </cell>
          <cell r="J123">
            <v>0</v>
          </cell>
          <cell r="K123">
            <v>0</v>
          </cell>
          <cell r="L123">
            <v>0</v>
          </cell>
          <cell r="M123">
            <v>42180</v>
          </cell>
          <cell r="N123">
            <v>0</v>
          </cell>
          <cell r="O123">
            <v>0</v>
          </cell>
          <cell r="P123">
            <v>0</v>
          </cell>
          <cell r="Q123">
            <v>0</v>
          </cell>
          <cell r="R123">
            <v>0</v>
          </cell>
          <cell r="S123">
            <v>0</v>
          </cell>
          <cell r="T123">
            <v>0</v>
          </cell>
          <cell r="U123">
            <v>0</v>
          </cell>
          <cell r="V123">
            <v>0</v>
          </cell>
        </row>
        <row r="124">
          <cell r="C124" t="str">
            <v>1992LA</v>
          </cell>
          <cell r="D124">
            <v>0</v>
          </cell>
          <cell r="E124">
            <v>37080</v>
          </cell>
          <cell r="F124">
            <v>6120</v>
          </cell>
          <cell r="G124">
            <v>0</v>
          </cell>
          <cell r="H124">
            <v>15232</v>
          </cell>
          <cell r="I124">
            <v>0</v>
          </cell>
          <cell r="J124">
            <v>0</v>
          </cell>
          <cell r="K124">
            <v>0</v>
          </cell>
          <cell r="L124">
            <v>28846</v>
          </cell>
          <cell r="M124">
            <v>35100</v>
          </cell>
          <cell r="N124">
            <v>0</v>
          </cell>
          <cell r="O124">
            <v>0</v>
          </cell>
          <cell r="P124">
            <v>0</v>
          </cell>
          <cell r="Q124">
            <v>0</v>
          </cell>
          <cell r="R124">
            <v>0</v>
          </cell>
          <cell r="S124">
            <v>0</v>
          </cell>
          <cell r="T124">
            <v>8706</v>
          </cell>
          <cell r="U124">
            <v>620</v>
          </cell>
          <cell r="V124">
            <v>186</v>
          </cell>
          <cell r="W124">
            <v>0.06</v>
          </cell>
        </row>
        <row r="125">
          <cell r="C125" t="str">
            <v>1992ME</v>
          </cell>
          <cell r="D125">
            <v>46</v>
          </cell>
          <cell r="E125">
            <v>0</v>
          </cell>
          <cell r="F125">
            <v>0</v>
          </cell>
          <cell r="G125">
            <v>0</v>
          </cell>
          <cell r="H125">
            <v>0</v>
          </cell>
          <cell r="I125">
            <v>2125</v>
          </cell>
          <cell r="J125">
            <v>0</v>
          </cell>
          <cell r="K125">
            <v>0</v>
          </cell>
          <cell r="L125">
            <v>0</v>
          </cell>
          <cell r="M125">
            <v>0</v>
          </cell>
          <cell r="N125">
            <v>0</v>
          </cell>
          <cell r="O125">
            <v>0</v>
          </cell>
          <cell r="P125">
            <v>0</v>
          </cell>
          <cell r="Q125">
            <v>0</v>
          </cell>
          <cell r="R125">
            <v>0</v>
          </cell>
          <cell r="S125">
            <v>0</v>
          </cell>
          <cell r="T125">
            <v>0</v>
          </cell>
          <cell r="U125">
            <v>0</v>
          </cell>
          <cell r="V125">
            <v>0</v>
          </cell>
        </row>
        <row r="126">
          <cell r="C126" t="str">
            <v>1992MD</v>
          </cell>
          <cell r="D126">
            <v>273</v>
          </cell>
          <cell r="E126">
            <v>58280</v>
          </cell>
          <cell r="F126">
            <v>12760</v>
          </cell>
          <cell r="G126">
            <v>4672</v>
          </cell>
          <cell r="H126">
            <v>0</v>
          </cell>
          <cell r="I126">
            <v>594</v>
          </cell>
          <cell r="J126">
            <v>185</v>
          </cell>
          <cell r="K126">
            <v>0</v>
          </cell>
          <cell r="L126">
            <v>0</v>
          </cell>
          <cell r="M126">
            <v>17985</v>
          </cell>
          <cell r="N126">
            <v>0</v>
          </cell>
          <cell r="O126">
            <v>0</v>
          </cell>
          <cell r="P126">
            <v>0</v>
          </cell>
          <cell r="Q126">
            <v>0</v>
          </cell>
          <cell r="R126">
            <v>0</v>
          </cell>
          <cell r="S126">
            <v>0</v>
          </cell>
          <cell r="T126">
            <v>0</v>
          </cell>
          <cell r="U126">
            <v>0</v>
          </cell>
          <cell r="V126">
            <v>0</v>
          </cell>
        </row>
        <row r="127">
          <cell r="C127" t="str">
            <v>1992MA</v>
          </cell>
          <cell r="D127">
            <v>78</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row>
        <row r="128">
          <cell r="C128" t="str">
            <v>1992MI</v>
          </cell>
          <cell r="D128">
            <v>3780</v>
          </cell>
          <cell r="E128">
            <v>241500</v>
          </cell>
          <cell r="F128">
            <v>35280</v>
          </cell>
          <cell r="G128">
            <v>1400</v>
          </cell>
          <cell r="H128">
            <v>0</v>
          </cell>
          <cell r="I128">
            <v>7800</v>
          </cell>
          <cell r="J128">
            <v>496</v>
          </cell>
          <cell r="K128">
            <v>0</v>
          </cell>
          <cell r="L128">
            <v>0</v>
          </cell>
          <cell r="M128">
            <v>47520</v>
          </cell>
          <cell r="N128">
            <v>0</v>
          </cell>
          <cell r="O128">
            <v>0</v>
          </cell>
          <cell r="P128">
            <v>0</v>
          </cell>
          <cell r="Q128">
            <v>0</v>
          </cell>
          <cell r="R128">
            <v>0</v>
          </cell>
          <cell r="S128">
            <v>0</v>
          </cell>
          <cell r="T128">
            <v>0</v>
          </cell>
          <cell r="U128">
            <v>0</v>
          </cell>
          <cell r="V128">
            <v>0</v>
          </cell>
        </row>
        <row r="129">
          <cell r="C129" t="str">
            <v>1992MN</v>
          </cell>
          <cell r="D129">
            <v>5250</v>
          </cell>
          <cell r="E129">
            <v>741000</v>
          </cell>
          <cell r="F129">
            <v>139860</v>
          </cell>
          <cell r="G129">
            <v>50625</v>
          </cell>
          <cell r="H129">
            <v>0</v>
          </cell>
          <cell r="I129">
            <v>35000</v>
          </cell>
          <cell r="J129">
            <v>720</v>
          </cell>
          <cell r="K129">
            <v>0</v>
          </cell>
          <cell r="L129">
            <v>0</v>
          </cell>
          <cell r="M129">
            <v>172800</v>
          </cell>
          <cell r="N129">
            <v>0</v>
          </cell>
          <cell r="O129">
            <v>0</v>
          </cell>
          <cell r="P129">
            <v>0</v>
          </cell>
          <cell r="Q129">
            <v>0</v>
          </cell>
          <cell r="R129">
            <v>0</v>
          </cell>
          <cell r="S129">
            <v>0</v>
          </cell>
          <cell r="T129">
            <v>0</v>
          </cell>
          <cell r="U129">
            <v>0</v>
          </cell>
          <cell r="V129">
            <v>0</v>
          </cell>
        </row>
        <row r="130">
          <cell r="C130" t="str">
            <v>1992MS</v>
          </cell>
          <cell r="D130">
            <v>0</v>
          </cell>
          <cell r="E130">
            <v>27000</v>
          </cell>
          <cell r="F130">
            <v>10500</v>
          </cell>
          <cell r="G130">
            <v>0</v>
          </cell>
          <cell r="H130">
            <v>10500</v>
          </cell>
          <cell r="I130">
            <v>0</v>
          </cell>
          <cell r="J130">
            <v>0</v>
          </cell>
          <cell r="K130">
            <v>0</v>
          </cell>
          <cell r="L130">
            <v>15675</v>
          </cell>
          <cell r="M130">
            <v>59500</v>
          </cell>
          <cell r="N130">
            <v>0</v>
          </cell>
          <cell r="O130">
            <v>0</v>
          </cell>
          <cell r="P130">
            <v>0</v>
          </cell>
          <cell r="Q130">
            <v>0</v>
          </cell>
          <cell r="R130">
            <v>0</v>
          </cell>
          <cell r="S130">
            <v>0</v>
          </cell>
          <cell r="T130">
            <v>0</v>
          </cell>
          <cell r="U130">
            <v>275</v>
          </cell>
          <cell r="V130">
            <v>0</v>
          </cell>
          <cell r="W130">
            <v>0.1</v>
          </cell>
        </row>
        <row r="131">
          <cell r="C131" t="str">
            <v>1992MO</v>
          </cell>
          <cell r="D131">
            <v>1680</v>
          </cell>
          <cell r="E131">
            <v>324000</v>
          </cell>
          <cell r="F131">
            <v>64800</v>
          </cell>
          <cell r="G131">
            <v>0</v>
          </cell>
          <cell r="H131">
            <v>62080</v>
          </cell>
          <cell r="I131">
            <v>2430</v>
          </cell>
          <cell r="J131">
            <v>0</v>
          </cell>
          <cell r="K131">
            <v>0</v>
          </cell>
          <cell r="L131">
            <v>5376</v>
          </cell>
          <cell r="M131">
            <v>161500</v>
          </cell>
          <cell r="N131">
            <v>0</v>
          </cell>
          <cell r="O131">
            <v>0</v>
          </cell>
          <cell r="P131">
            <v>0</v>
          </cell>
          <cell r="Q131">
            <v>0</v>
          </cell>
          <cell r="R131">
            <v>0</v>
          </cell>
          <cell r="S131">
            <v>0</v>
          </cell>
          <cell r="T131">
            <v>0</v>
          </cell>
          <cell r="U131">
            <v>112</v>
          </cell>
          <cell r="V131">
            <v>0</v>
          </cell>
          <cell r="W131">
            <v>0.05</v>
          </cell>
        </row>
        <row r="132">
          <cell r="C132" t="str">
            <v>1992MT</v>
          </cell>
          <cell r="D132">
            <v>2990</v>
          </cell>
          <cell r="E132">
            <v>2750</v>
          </cell>
          <cell r="F132">
            <v>149151</v>
          </cell>
          <cell r="G132">
            <v>52800</v>
          </cell>
          <cell r="H132">
            <v>0</v>
          </cell>
          <cell r="I132">
            <v>5040</v>
          </cell>
          <cell r="J132">
            <v>0</v>
          </cell>
          <cell r="K132">
            <v>0</v>
          </cell>
          <cell r="L132">
            <v>0</v>
          </cell>
          <cell r="M132">
            <v>0</v>
          </cell>
          <cell r="N132">
            <v>0</v>
          </cell>
          <cell r="O132">
            <v>0</v>
          </cell>
          <cell r="P132">
            <v>0</v>
          </cell>
          <cell r="Q132">
            <v>0</v>
          </cell>
          <cell r="R132">
            <v>0</v>
          </cell>
          <cell r="S132">
            <v>0</v>
          </cell>
          <cell r="T132">
            <v>0</v>
          </cell>
          <cell r="U132">
            <v>0</v>
          </cell>
          <cell r="V132">
            <v>0</v>
          </cell>
        </row>
        <row r="133">
          <cell r="C133" t="str">
            <v>1992NE</v>
          </cell>
          <cell r="D133">
            <v>5550</v>
          </cell>
          <cell r="E133">
            <v>1066500</v>
          </cell>
          <cell r="F133">
            <v>55500</v>
          </cell>
          <cell r="G133">
            <v>850</v>
          </cell>
          <cell r="H133">
            <v>143820</v>
          </cell>
          <cell r="I133">
            <v>15400</v>
          </cell>
          <cell r="J133">
            <v>702</v>
          </cell>
          <cell r="K133">
            <v>0</v>
          </cell>
          <cell r="L133">
            <v>0</v>
          </cell>
          <cell r="M133">
            <v>103320</v>
          </cell>
          <cell r="N133">
            <v>0</v>
          </cell>
          <cell r="O133">
            <v>0</v>
          </cell>
          <cell r="P133">
            <v>0</v>
          </cell>
          <cell r="Q133">
            <v>0</v>
          </cell>
          <cell r="R133">
            <v>0</v>
          </cell>
          <cell r="S133">
            <v>0</v>
          </cell>
          <cell r="T133">
            <v>0</v>
          </cell>
          <cell r="U133">
            <v>0</v>
          </cell>
          <cell r="V133">
            <v>0</v>
          </cell>
        </row>
        <row r="134">
          <cell r="C134" t="str">
            <v>1992NV</v>
          </cell>
          <cell r="D134">
            <v>874</v>
          </cell>
          <cell r="E134">
            <v>0</v>
          </cell>
          <cell r="F134">
            <v>800</v>
          </cell>
          <cell r="G134">
            <v>550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row>
        <row r="135">
          <cell r="C135" t="str">
            <v>1992NH</v>
          </cell>
          <cell r="D135">
            <v>31</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row>
        <row r="136">
          <cell r="C136" t="str">
            <v>1992NJ</v>
          </cell>
          <cell r="D136">
            <v>113</v>
          </cell>
          <cell r="E136">
            <v>9840</v>
          </cell>
          <cell r="F136">
            <v>1400</v>
          </cell>
          <cell r="G136">
            <v>448</v>
          </cell>
          <cell r="H136">
            <v>0</v>
          </cell>
          <cell r="I136">
            <v>0</v>
          </cell>
          <cell r="J136">
            <v>259</v>
          </cell>
          <cell r="K136">
            <v>0</v>
          </cell>
          <cell r="L136">
            <v>0</v>
          </cell>
          <cell r="M136">
            <v>4224</v>
          </cell>
          <cell r="N136">
            <v>0</v>
          </cell>
          <cell r="O136">
            <v>0</v>
          </cell>
          <cell r="P136">
            <v>0</v>
          </cell>
          <cell r="Q136">
            <v>0</v>
          </cell>
          <cell r="R136">
            <v>0</v>
          </cell>
          <cell r="S136">
            <v>0</v>
          </cell>
          <cell r="T136">
            <v>0</v>
          </cell>
          <cell r="U136">
            <v>0</v>
          </cell>
          <cell r="V136">
            <v>0</v>
          </cell>
        </row>
        <row r="137">
          <cell r="C137" t="str">
            <v>1992NM</v>
          </cell>
          <cell r="D137">
            <v>1275</v>
          </cell>
          <cell r="E137">
            <v>11360</v>
          </cell>
          <cell r="F137">
            <v>11220</v>
          </cell>
          <cell r="G137">
            <v>0</v>
          </cell>
          <cell r="H137">
            <v>12300</v>
          </cell>
          <cell r="I137">
            <v>0</v>
          </cell>
          <cell r="J137">
            <v>0</v>
          </cell>
          <cell r="K137">
            <v>0</v>
          </cell>
          <cell r="L137">
            <v>0</v>
          </cell>
          <cell r="M137">
            <v>0</v>
          </cell>
          <cell r="N137">
            <v>58236</v>
          </cell>
          <cell r="O137">
            <v>0</v>
          </cell>
          <cell r="P137">
            <v>0</v>
          </cell>
          <cell r="Q137">
            <v>0</v>
          </cell>
          <cell r="R137">
            <v>0</v>
          </cell>
          <cell r="S137">
            <v>0</v>
          </cell>
          <cell r="T137">
            <v>0</v>
          </cell>
          <cell r="U137">
            <v>0</v>
          </cell>
          <cell r="V137">
            <v>0</v>
          </cell>
        </row>
        <row r="138">
          <cell r="C138" t="str">
            <v>1992NY</v>
          </cell>
          <cell r="D138">
            <v>1880</v>
          </cell>
          <cell r="E138">
            <v>50600</v>
          </cell>
          <cell r="F138">
            <v>6160</v>
          </cell>
          <cell r="G138">
            <v>0</v>
          </cell>
          <cell r="H138">
            <v>0</v>
          </cell>
          <cell r="I138">
            <v>7700</v>
          </cell>
          <cell r="J138">
            <v>288</v>
          </cell>
          <cell r="K138">
            <v>0</v>
          </cell>
          <cell r="L138">
            <v>0</v>
          </cell>
          <cell r="M138">
            <v>0</v>
          </cell>
          <cell r="N138">
            <v>0</v>
          </cell>
          <cell r="O138">
            <v>0</v>
          </cell>
          <cell r="P138">
            <v>0</v>
          </cell>
          <cell r="Q138">
            <v>0</v>
          </cell>
          <cell r="R138">
            <v>0</v>
          </cell>
          <cell r="S138">
            <v>0</v>
          </cell>
          <cell r="T138">
            <v>0</v>
          </cell>
          <cell r="U138">
            <v>0</v>
          </cell>
          <cell r="V138">
            <v>0</v>
          </cell>
        </row>
        <row r="139">
          <cell r="C139" t="str">
            <v>1992NC</v>
          </cell>
          <cell r="D139">
            <v>84</v>
          </cell>
          <cell r="E139">
            <v>98800</v>
          </cell>
          <cell r="F139">
            <v>27750</v>
          </cell>
          <cell r="G139">
            <v>1980</v>
          </cell>
          <cell r="H139">
            <v>1000</v>
          </cell>
          <cell r="I139">
            <v>3000</v>
          </cell>
          <cell r="J139">
            <v>360</v>
          </cell>
          <cell r="K139">
            <v>0</v>
          </cell>
          <cell r="L139">
            <v>0</v>
          </cell>
          <cell r="M139">
            <v>36450</v>
          </cell>
          <cell r="N139">
            <v>406980</v>
          </cell>
          <cell r="O139">
            <v>0</v>
          </cell>
          <cell r="P139">
            <v>0</v>
          </cell>
          <cell r="Q139">
            <v>0</v>
          </cell>
          <cell r="R139">
            <v>0</v>
          </cell>
          <cell r="S139">
            <v>0</v>
          </cell>
          <cell r="T139">
            <v>0</v>
          </cell>
          <cell r="U139">
            <v>0</v>
          </cell>
          <cell r="V139">
            <v>0</v>
          </cell>
        </row>
        <row r="140">
          <cell r="C140" t="str">
            <v>1992ND</v>
          </cell>
          <cell r="D140">
            <v>1755</v>
          </cell>
          <cell r="E140">
            <v>36540</v>
          </cell>
          <cell r="F140">
            <v>472890</v>
          </cell>
          <cell r="G140">
            <v>172250</v>
          </cell>
          <cell r="H140">
            <v>0</v>
          </cell>
          <cell r="I140">
            <v>37400</v>
          </cell>
          <cell r="J140">
            <v>1394</v>
          </cell>
          <cell r="K140">
            <v>0</v>
          </cell>
          <cell r="L140">
            <v>0</v>
          </cell>
          <cell r="M140">
            <v>17250</v>
          </cell>
          <cell r="N140">
            <v>0</v>
          </cell>
          <cell r="O140">
            <v>4680</v>
          </cell>
          <cell r="P140">
            <v>0</v>
          </cell>
          <cell r="Q140">
            <v>0</v>
          </cell>
          <cell r="R140">
            <v>0</v>
          </cell>
          <cell r="S140">
            <v>0</v>
          </cell>
          <cell r="T140">
            <v>0</v>
          </cell>
          <cell r="U140">
            <v>0</v>
          </cell>
          <cell r="V140">
            <v>0</v>
          </cell>
        </row>
        <row r="141">
          <cell r="C141" t="str">
            <v>1992OH</v>
          </cell>
          <cell r="D141">
            <v>2800</v>
          </cell>
          <cell r="E141">
            <v>507650</v>
          </cell>
          <cell r="F141">
            <v>59095</v>
          </cell>
          <cell r="G141">
            <v>0</v>
          </cell>
          <cell r="H141">
            <v>0</v>
          </cell>
          <cell r="I141">
            <v>12070</v>
          </cell>
          <cell r="J141">
            <v>175</v>
          </cell>
          <cell r="K141">
            <v>0</v>
          </cell>
          <cell r="L141">
            <v>0</v>
          </cell>
          <cell r="M141">
            <v>147200</v>
          </cell>
          <cell r="N141">
            <v>0</v>
          </cell>
          <cell r="O141">
            <v>0</v>
          </cell>
          <cell r="P141">
            <v>0</v>
          </cell>
          <cell r="Q141">
            <v>0</v>
          </cell>
          <cell r="R141">
            <v>0</v>
          </cell>
          <cell r="S141">
            <v>0</v>
          </cell>
          <cell r="T141">
            <v>0</v>
          </cell>
          <cell r="U141">
            <v>0</v>
          </cell>
          <cell r="V141">
            <v>0</v>
          </cell>
        </row>
        <row r="142">
          <cell r="C142" t="str">
            <v>1992OK</v>
          </cell>
          <cell r="D142">
            <v>1330</v>
          </cell>
          <cell r="E142">
            <v>18225</v>
          </cell>
          <cell r="F142">
            <v>168150</v>
          </cell>
          <cell r="G142">
            <v>378</v>
          </cell>
          <cell r="H142">
            <v>17490</v>
          </cell>
          <cell r="I142">
            <v>2000</v>
          </cell>
          <cell r="J142">
            <v>798</v>
          </cell>
          <cell r="K142">
            <v>0</v>
          </cell>
          <cell r="L142">
            <v>0</v>
          </cell>
          <cell r="M142">
            <v>5940</v>
          </cell>
          <cell r="N142">
            <v>236180</v>
          </cell>
          <cell r="O142">
            <v>0</v>
          </cell>
          <cell r="P142">
            <v>0</v>
          </cell>
          <cell r="Q142">
            <v>0</v>
          </cell>
          <cell r="R142">
            <v>0</v>
          </cell>
          <cell r="S142">
            <v>0</v>
          </cell>
          <cell r="T142">
            <v>0</v>
          </cell>
          <cell r="U142">
            <v>0</v>
          </cell>
          <cell r="V142">
            <v>0</v>
          </cell>
          <cell r="W142">
            <v>0.9</v>
          </cell>
        </row>
        <row r="143">
          <cell r="C143" t="str">
            <v>1992OR</v>
          </cell>
          <cell r="D143">
            <v>1600</v>
          </cell>
          <cell r="E143">
            <v>2250</v>
          </cell>
          <cell r="F143">
            <v>47800</v>
          </cell>
          <cell r="G143">
            <v>9450</v>
          </cell>
          <cell r="H143">
            <v>0</v>
          </cell>
          <cell r="I143">
            <v>4230</v>
          </cell>
          <cell r="J143">
            <v>0</v>
          </cell>
          <cell r="K143">
            <v>0</v>
          </cell>
          <cell r="L143">
            <v>0</v>
          </cell>
          <cell r="M143">
            <v>0</v>
          </cell>
          <cell r="N143">
            <v>0</v>
          </cell>
          <cell r="O143">
            <v>0</v>
          </cell>
          <cell r="P143">
            <v>0</v>
          </cell>
          <cell r="Q143">
            <v>0</v>
          </cell>
          <cell r="R143">
            <v>0</v>
          </cell>
          <cell r="S143">
            <v>0</v>
          </cell>
          <cell r="T143">
            <v>0</v>
          </cell>
          <cell r="U143">
            <v>0</v>
          </cell>
          <cell r="V143">
            <v>0</v>
          </cell>
        </row>
        <row r="144">
          <cell r="C144" t="str">
            <v>1992PA</v>
          </cell>
          <cell r="D144">
            <v>2560</v>
          </cell>
          <cell r="E144">
            <v>118800</v>
          </cell>
          <cell r="F144">
            <v>9805</v>
          </cell>
          <cell r="G144">
            <v>6035</v>
          </cell>
          <cell r="H144">
            <v>0</v>
          </cell>
          <cell r="I144">
            <v>13065</v>
          </cell>
          <cell r="J144">
            <v>648</v>
          </cell>
          <cell r="K144">
            <v>0</v>
          </cell>
          <cell r="L144">
            <v>0</v>
          </cell>
          <cell r="M144">
            <v>11115</v>
          </cell>
          <cell r="N144">
            <v>0</v>
          </cell>
          <cell r="O144">
            <v>0</v>
          </cell>
          <cell r="P144">
            <v>0</v>
          </cell>
          <cell r="Q144">
            <v>0</v>
          </cell>
          <cell r="R144">
            <v>0</v>
          </cell>
          <cell r="S144">
            <v>0</v>
          </cell>
          <cell r="T144">
            <v>0</v>
          </cell>
          <cell r="U144">
            <v>0</v>
          </cell>
          <cell r="V144">
            <v>0</v>
          </cell>
        </row>
        <row r="145">
          <cell r="C145" t="str">
            <v>1992RI</v>
          </cell>
          <cell r="D145">
            <v>8</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row>
        <row r="146">
          <cell r="C146" t="str">
            <v>1992SC</v>
          </cell>
          <cell r="D146">
            <v>0</v>
          </cell>
          <cell r="E146">
            <v>30800</v>
          </cell>
          <cell r="F146">
            <v>12925</v>
          </cell>
          <cell r="G146">
            <v>558</v>
          </cell>
          <cell r="H146">
            <v>540</v>
          </cell>
          <cell r="I146">
            <v>2205</v>
          </cell>
          <cell r="J146">
            <v>675</v>
          </cell>
          <cell r="K146">
            <v>0</v>
          </cell>
          <cell r="L146">
            <v>0</v>
          </cell>
          <cell r="M146">
            <v>14740</v>
          </cell>
          <cell r="N146">
            <v>32500</v>
          </cell>
          <cell r="O146">
            <v>0</v>
          </cell>
          <cell r="P146">
            <v>0</v>
          </cell>
          <cell r="Q146">
            <v>0</v>
          </cell>
          <cell r="R146">
            <v>0</v>
          </cell>
          <cell r="S146">
            <v>0</v>
          </cell>
          <cell r="T146">
            <v>0</v>
          </cell>
          <cell r="U146">
            <v>0</v>
          </cell>
          <cell r="V146">
            <v>0</v>
          </cell>
        </row>
        <row r="147">
          <cell r="C147" t="str">
            <v>1992SD</v>
          </cell>
          <cell r="D147">
            <v>4620</v>
          </cell>
          <cell r="E147">
            <v>277200</v>
          </cell>
          <cell r="F147">
            <v>119590</v>
          </cell>
          <cell r="G147">
            <v>20520</v>
          </cell>
          <cell r="H147">
            <v>14060</v>
          </cell>
          <cell r="I147">
            <v>42900</v>
          </cell>
          <cell r="J147">
            <v>1666</v>
          </cell>
          <cell r="K147">
            <v>0</v>
          </cell>
          <cell r="L147">
            <v>0</v>
          </cell>
          <cell r="M147">
            <v>63000</v>
          </cell>
          <cell r="N147">
            <v>0</v>
          </cell>
          <cell r="O147">
            <v>0</v>
          </cell>
          <cell r="P147">
            <v>0</v>
          </cell>
          <cell r="Q147">
            <v>0</v>
          </cell>
          <cell r="R147">
            <v>0</v>
          </cell>
          <cell r="S147">
            <v>0</v>
          </cell>
          <cell r="T147">
            <v>0</v>
          </cell>
          <cell r="U147">
            <v>0</v>
          </cell>
          <cell r="V147">
            <v>0</v>
          </cell>
        </row>
        <row r="148">
          <cell r="C148" t="str">
            <v>1992TN</v>
          </cell>
          <cell r="D148">
            <v>252</v>
          </cell>
          <cell r="E148">
            <v>79360</v>
          </cell>
          <cell r="F148">
            <v>13440</v>
          </cell>
          <cell r="G148">
            <v>0</v>
          </cell>
          <cell r="H148">
            <v>4800</v>
          </cell>
          <cell r="I148">
            <v>0</v>
          </cell>
          <cell r="J148">
            <v>0</v>
          </cell>
          <cell r="K148">
            <v>0</v>
          </cell>
          <cell r="L148">
            <v>0</v>
          </cell>
          <cell r="M148">
            <v>33250</v>
          </cell>
          <cell r="N148">
            <v>0</v>
          </cell>
          <cell r="O148">
            <v>0</v>
          </cell>
          <cell r="P148">
            <v>0</v>
          </cell>
          <cell r="Q148">
            <v>0</v>
          </cell>
          <cell r="R148">
            <v>0</v>
          </cell>
          <cell r="S148">
            <v>0</v>
          </cell>
          <cell r="T148">
            <v>0</v>
          </cell>
          <cell r="U148">
            <v>0</v>
          </cell>
          <cell r="V148">
            <v>0</v>
          </cell>
        </row>
        <row r="149">
          <cell r="C149" t="str">
            <v>1992TX</v>
          </cell>
          <cell r="D149">
            <v>550</v>
          </cell>
          <cell r="E149">
            <v>202500</v>
          </cell>
          <cell r="F149">
            <v>129200</v>
          </cell>
          <cell r="G149">
            <v>270</v>
          </cell>
          <cell r="H149">
            <v>279000</v>
          </cell>
          <cell r="I149">
            <v>5720</v>
          </cell>
          <cell r="J149">
            <v>280</v>
          </cell>
          <cell r="K149">
            <v>0</v>
          </cell>
          <cell r="L149">
            <v>20357</v>
          </cell>
          <cell r="M149">
            <v>12870</v>
          </cell>
          <cell r="N149">
            <v>680150</v>
          </cell>
          <cell r="O149">
            <v>0</v>
          </cell>
          <cell r="P149">
            <v>0</v>
          </cell>
          <cell r="Q149">
            <v>0</v>
          </cell>
          <cell r="R149">
            <v>0</v>
          </cell>
          <cell r="S149">
            <v>0</v>
          </cell>
          <cell r="T149">
            <v>1328</v>
          </cell>
          <cell r="U149">
            <v>351</v>
          </cell>
          <cell r="V149">
            <v>140</v>
          </cell>
          <cell r="W149">
            <v>0.01</v>
          </cell>
        </row>
        <row r="150">
          <cell r="C150" t="str">
            <v>1992UT</v>
          </cell>
          <cell r="D150">
            <v>1960</v>
          </cell>
          <cell r="E150">
            <v>3240</v>
          </cell>
          <cell r="F150">
            <v>6456</v>
          </cell>
          <cell r="G150">
            <v>8970</v>
          </cell>
          <cell r="H150">
            <v>0</v>
          </cell>
          <cell r="I150">
            <v>1050</v>
          </cell>
          <cell r="J150">
            <v>0</v>
          </cell>
          <cell r="K150">
            <v>0</v>
          </cell>
          <cell r="L150">
            <v>0</v>
          </cell>
          <cell r="M150">
            <v>0</v>
          </cell>
          <cell r="N150">
            <v>0</v>
          </cell>
          <cell r="O150">
            <v>0</v>
          </cell>
          <cell r="P150">
            <v>0</v>
          </cell>
          <cell r="Q150">
            <v>0</v>
          </cell>
          <cell r="R150">
            <v>0</v>
          </cell>
          <cell r="S150">
            <v>0</v>
          </cell>
          <cell r="T150">
            <v>0</v>
          </cell>
          <cell r="U150">
            <v>0</v>
          </cell>
          <cell r="V150">
            <v>0</v>
          </cell>
        </row>
        <row r="151">
          <cell r="C151" t="str">
            <v>1992VT</v>
          </cell>
          <cell r="D151">
            <v>219</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row>
        <row r="152">
          <cell r="C152" t="str">
            <v>1992VA</v>
          </cell>
          <cell r="D152">
            <v>490</v>
          </cell>
          <cell r="E152">
            <v>41760</v>
          </cell>
          <cell r="F152">
            <v>15105</v>
          </cell>
          <cell r="G152">
            <v>7110</v>
          </cell>
          <cell r="H152">
            <v>0</v>
          </cell>
          <cell r="I152">
            <v>0</v>
          </cell>
          <cell r="J152">
            <v>288</v>
          </cell>
          <cell r="K152">
            <v>0</v>
          </cell>
          <cell r="L152">
            <v>0</v>
          </cell>
          <cell r="M152">
            <v>15500</v>
          </cell>
          <cell r="N152">
            <v>256215</v>
          </cell>
          <cell r="O152">
            <v>0</v>
          </cell>
          <cell r="P152">
            <v>0</v>
          </cell>
          <cell r="Q152">
            <v>0</v>
          </cell>
          <cell r="R152">
            <v>0</v>
          </cell>
          <cell r="S152">
            <v>0</v>
          </cell>
          <cell r="T152">
            <v>0</v>
          </cell>
          <cell r="U152">
            <v>0</v>
          </cell>
          <cell r="V152">
            <v>0</v>
          </cell>
        </row>
        <row r="153">
          <cell r="C153" t="str">
            <v>1992WA</v>
          </cell>
          <cell r="D153">
            <v>2208</v>
          </cell>
          <cell r="E153">
            <v>15840</v>
          </cell>
          <cell r="F153">
            <v>119640</v>
          </cell>
          <cell r="G153">
            <v>19800</v>
          </cell>
          <cell r="H153">
            <v>0</v>
          </cell>
          <cell r="I153">
            <v>1800</v>
          </cell>
          <cell r="J153">
            <v>0</v>
          </cell>
          <cell r="K153">
            <v>0</v>
          </cell>
          <cell r="L153">
            <v>0</v>
          </cell>
          <cell r="M153">
            <v>0</v>
          </cell>
          <cell r="N153">
            <v>0</v>
          </cell>
          <cell r="O153">
            <v>0</v>
          </cell>
          <cell r="P153">
            <v>0</v>
          </cell>
          <cell r="Q153">
            <v>0</v>
          </cell>
          <cell r="R153">
            <v>0</v>
          </cell>
          <cell r="S153">
            <v>140</v>
          </cell>
          <cell r="T153">
            <v>0</v>
          </cell>
          <cell r="U153">
            <v>0</v>
          </cell>
          <cell r="V153">
            <v>0</v>
          </cell>
        </row>
        <row r="154">
          <cell r="C154" t="str">
            <v>1992WV</v>
          </cell>
          <cell r="D154">
            <v>120</v>
          </cell>
          <cell r="E154">
            <v>5400</v>
          </cell>
          <cell r="F154">
            <v>539</v>
          </cell>
          <cell r="G154">
            <v>0</v>
          </cell>
          <cell r="H154">
            <v>0</v>
          </cell>
          <cell r="I154">
            <v>360</v>
          </cell>
          <cell r="J154">
            <v>0</v>
          </cell>
          <cell r="K154">
            <v>0</v>
          </cell>
          <cell r="L154">
            <v>0</v>
          </cell>
          <cell r="M154">
            <v>0</v>
          </cell>
          <cell r="N154">
            <v>0</v>
          </cell>
          <cell r="O154">
            <v>0</v>
          </cell>
          <cell r="P154">
            <v>0</v>
          </cell>
          <cell r="Q154">
            <v>0</v>
          </cell>
          <cell r="R154">
            <v>0</v>
          </cell>
          <cell r="S154">
            <v>0</v>
          </cell>
          <cell r="T154">
            <v>0</v>
          </cell>
          <cell r="U154">
            <v>0</v>
          </cell>
          <cell r="V154">
            <v>0</v>
          </cell>
        </row>
        <row r="155">
          <cell r="C155" t="str">
            <v>1992WI</v>
          </cell>
          <cell r="D155">
            <v>5290</v>
          </cell>
          <cell r="E155">
            <v>306800</v>
          </cell>
          <cell r="F155">
            <v>2640</v>
          </cell>
          <cell r="G155">
            <v>4160</v>
          </cell>
          <cell r="H155">
            <v>0</v>
          </cell>
          <cell r="I155">
            <v>34410</v>
          </cell>
          <cell r="J155">
            <v>330</v>
          </cell>
          <cell r="K155">
            <v>0</v>
          </cell>
          <cell r="L155">
            <v>0</v>
          </cell>
          <cell r="M155">
            <v>22080</v>
          </cell>
          <cell r="N155">
            <v>0</v>
          </cell>
          <cell r="O155">
            <v>0</v>
          </cell>
          <cell r="P155">
            <v>0</v>
          </cell>
          <cell r="Q155">
            <v>0</v>
          </cell>
          <cell r="R155">
            <v>0</v>
          </cell>
          <cell r="S155">
            <v>0</v>
          </cell>
          <cell r="T155">
            <v>0</v>
          </cell>
          <cell r="U155">
            <v>0</v>
          </cell>
          <cell r="V155">
            <v>0</v>
          </cell>
        </row>
        <row r="156">
          <cell r="C156" t="str">
            <v>1992WY</v>
          </cell>
          <cell r="D156">
            <v>1196</v>
          </cell>
          <cell r="E156">
            <v>5194</v>
          </cell>
          <cell r="F156">
            <v>5588</v>
          </cell>
          <cell r="G156">
            <v>10125</v>
          </cell>
          <cell r="H156">
            <v>0</v>
          </cell>
          <cell r="I156">
            <v>1650</v>
          </cell>
          <cell r="J156">
            <v>0</v>
          </cell>
          <cell r="K156">
            <v>0</v>
          </cell>
          <cell r="L156">
            <v>0</v>
          </cell>
          <cell r="M156">
            <v>0</v>
          </cell>
          <cell r="N156">
            <v>0</v>
          </cell>
          <cell r="O156">
            <v>0</v>
          </cell>
          <cell r="P156">
            <v>0</v>
          </cell>
          <cell r="Q156">
            <v>0</v>
          </cell>
          <cell r="R156">
            <v>0</v>
          </cell>
          <cell r="S156">
            <v>0</v>
          </cell>
          <cell r="T156">
            <v>0</v>
          </cell>
          <cell r="U156">
            <v>0</v>
          </cell>
          <cell r="V156">
            <v>0</v>
          </cell>
        </row>
        <row r="157">
          <cell r="C157" t="str">
            <v>1992US</v>
          </cell>
          <cell r="D157">
            <v>79140</v>
          </cell>
          <cell r="E157">
            <v>9476698</v>
          </cell>
          <cell r="F157">
            <v>2466798</v>
          </cell>
          <cell r="G157">
            <v>455090</v>
          </cell>
          <cell r="H157">
            <v>875022</v>
          </cell>
          <cell r="I157">
            <v>294229</v>
          </cell>
          <cell r="J157">
            <v>11440</v>
          </cell>
          <cell r="K157">
            <v>0</v>
          </cell>
          <cell r="L157">
            <v>179658</v>
          </cell>
          <cell r="M157">
            <v>2190354</v>
          </cell>
          <cell r="N157">
            <v>4284416</v>
          </cell>
          <cell r="O157">
            <v>0</v>
          </cell>
          <cell r="P157">
            <v>0</v>
          </cell>
          <cell r="Q157">
            <v>0</v>
          </cell>
          <cell r="R157">
            <v>0</v>
          </cell>
          <cell r="S157">
            <v>537</v>
          </cell>
          <cell r="T157">
            <v>30363</v>
          </cell>
        </row>
        <row r="158">
          <cell r="C158" t="str">
            <v>1993AL</v>
          </cell>
          <cell r="D158">
            <v>0</v>
          </cell>
          <cell r="E158">
            <v>13750</v>
          </cell>
          <cell r="F158">
            <v>3230</v>
          </cell>
          <cell r="G158">
            <v>0</v>
          </cell>
          <cell r="H158">
            <v>817</v>
          </cell>
          <cell r="I158">
            <v>1350</v>
          </cell>
          <cell r="J158">
            <v>0</v>
          </cell>
          <cell r="K158">
            <v>0</v>
          </cell>
          <cell r="L158">
            <v>0</v>
          </cell>
          <cell r="M158">
            <v>7080</v>
          </cell>
          <cell r="N158">
            <v>473220</v>
          </cell>
          <cell r="O158">
            <v>0</v>
          </cell>
          <cell r="P158">
            <v>0</v>
          </cell>
          <cell r="Q158">
            <v>0</v>
          </cell>
          <cell r="R158">
            <v>0</v>
          </cell>
          <cell r="S158">
            <v>0</v>
          </cell>
          <cell r="T158">
            <v>0</v>
          </cell>
          <cell r="U158">
            <v>0</v>
          </cell>
          <cell r="V158">
            <v>0</v>
          </cell>
        </row>
        <row r="159">
          <cell r="C159" t="str">
            <v>1993AK</v>
          </cell>
          <cell r="D159">
            <v>0</v>
          </cell>
          <cell r="E159">
            <v>0</v>
          </cell>
          <cell r="F159">
            <v>0</v>
          </cell>
          <cell r="G159">
            <v>164</v>
          </cell>
          <cell r="H159">
            <v>0</v>
          </cell>
          <cell r="I159">
            <v>46000</v>
          </cell>
          <cell r="J159">
            <v>0</v>
          </cell>
          <cell r="K159">
            <v>0</v>
          </cell>
          <cell r="L159">
            <v>0</v>
          </cell>
          <cell r="M159">
            <v>0</v>
          </cell>
          <cell r="N159">
            <v>0</v>
          </cell>
          <cell r="O159">
            <v>0</v>
          </cell>
          <cell r="P159">
            <v>0</v>
          </cell>
          <cell r="Q159">
            <v>0</v>
          </cell>
          <cell r="R159">
            <v>0</v>
          </cell>
          <cell r="S159">
            <v>0</v>
          </cell>
          <cell r="T159">
            <v>0</v>
          </cell>
          <cell r="U159">
            <v>0</v>
          </cell>
          <cell r="V159">
            <v>0</v>
          </cell>
        </row>
        <row r="160">
          <cell r="C160" t="str">
            <v>1993AZ</v>
          </cell>
          <cell r="D160">
            <v>1110</v>
          </cell>
          <cell r="E160">
            <v>1600</v>
          </cell>
          <cell r="F160">
            <v>7790</v>
          </cell>
          <cell r="G160">
            <v>2900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row>
        <row r="161">
          <cell r="C161" t="str">
            <v>1993AR</v>
          </cell>
          <cell r="D161">
            <v>90</v>
          </cell>
          <cell r="E161">
            <v>8190</v>
          </cell>
          <cell r="F161">
            <v>41600</v>
          </cell>
          <cell r="G161">
            <v>0</v>
          </cell>
          <cell r="H161">
            <v>12470</v>
          </cell>
          <cell r="I161">
            <v>1360</v>
          </cell>
          <cell r="J161">
            <v>0</v>
          </cell>
          <cell r="K161">
            <v>0</v>
          </cell>
          <cell r="L161">
            <v>62094</v>
          </cell>
          <cell r="M161">
            <v>92300</v>
          </cell>
          <cell r="N161">
            <v>0</v>
          </cell>
          <cell r="O161">
            <v>0</v>
          </cell>
          <cell r="P161">
            <v>0</v>
          </cell>
          <cell r="Q161">
            <v>0</v>
          </cell>
          <cell r="R161">
            <v>0</v>
          </cell>
          <cell r="S161">
            <v>0</v>
          </cell>
          <cell r="T161">
            <v>0</v>
          </cell>
          <cell r="U161">
            <v>1230</v>
          </cell>
          <cell r="V161">
            <v>0</v>
          </cell>
          <cell r="W161">
            <v>0.13</v>
          </cell>
        </row>
        <row r="162">
          <cell r="C162" t="str">
            <v>1993CA</v>
          </cell>
          <cell r="D162">
            <v>6348</v>
          </cell>
          <cell r="E162">
            <v>28050</v>
          </cell>
          <cell r="F162">
            <v>42300</v>
          </cell>
          <cell r="G162">
            <v>13000</v>
          </cell>
          <cell r="H162">
            <v>0</v>
          </cell>
          <cell r="I162">
            <v>2400</v>
          </cell>
          <cell r="J162">
            <v>0</v>
          </cell>
          <cell r="K162">
            <v>0</v>
          </cell>
          <cell r="L162">
            <v>36271</v>
          </cell>
          <cell r="M162">
            <v>0</v>
          </cell>
          <cell r="N162">
            <v>0</v>
          </cell>
          <cell r="O162">
            <v>2210</v>
          </cell>
          <cell r="P162">
            <v>0</v>
          </cell>
          <cell r="Q162">
            <v>0</v>
          </cell>
          <cell r="R162">
            <v>0</v>
          </cell>
          <cell r="S162">
            <v>0</v>
          </cell>
          <cell r="T162">
            <v>0</v>
          </cell>
          <cell r="U162">
            <v>437</v>
          </cell>
          <cell r="V162">
            <v>0</v>
          </cell>
          <cell r="W162">
            <v>0.6</v>
          </cell>
        </row>
        <row r="163">
          <cell r="C163" t="str">
            <v>1993CO</v>
          </cell>
          <cell r="D163">
            <v>3230</v>
          </cell>
          <cell r="E163">
            <v>106800</v>
          </cell>
          <cell r="F163">
            <v>96990</v>
          </cell>
          <cell r="G163">
            <v>7650</v>
          </cell>
          <cell r="H163">
            <v>7140</v>
          </cell>
          <cell r="I163">
            <v>1426</v>
          </cell>
          <cell r="J163">
            <v>25</v>
          </cell>
          <cell r="K163">
            <v>0</v>
          </cell>
          <cell r="L163">
            <v>0</v>
          </cell>
          <cell r="M163">
            <v>0</v>
          </cell>
          <cell r="N163">
            <v>0</v>
          </cell>
          <cell r="O163">
            <v>2609</v>
          </cell>
          <cell r="P163">
            <v>0</v>
          </cell>
          <cell r="Q163">
            <v>0</v>
          </cell>
          <cell r="R163">
            <v>0</v>
          </cell>
          <cell r="S163">
            <v>0</v>
          </cell>
          <cell r="T163">
            <v>0</v>
          </cell>
          <cell r="U163">
            <v>0</v>
          </cell>
          <cell r="V163">
            <v>0</v>
          </cell>
        </row>
        <row r="164">
          <cell r="C164" t="str">
            <v>1993CT</v>
          </cell>
          <cell r="D164">
            <v>48</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row>
        <row r="165">
          <cell r="C165" t="str">
            <v>1993DE</v>
          </cell>
          <cell r="D165">
            <v>19</v>
          </cell>
          <cell r="E165">
            <v>13600</v>
          </cell>
          <cell r="F165">
            <v>3591</v>
          </cell>
          <cell r="G165">
            <v>2275</v>
          </cell>
          <cell r="H165">
            <v>0</v>
          </cell>
          <cell r="I165">
            <v>0</v>
          </cell>
          <cell r="J165">
            <v>0</v>
          </cell>
          <cell r="K165">
            <v>0</v>
          </cell>
          <cell r="L165">
            <v>0</v>
          </cell>
          <cell r="M165">
            <v>4945</v>
          </cell>
          <cell r="N165">
            <v>0</v>
          </cell>
          <cell r="O165">
            <v>0</v>
          </cell>
          <cell r="P165">
            <v>0</v>
          </cell>
          <cell r="Q165">
            <v>0</v>
          </cell>
          <cell r="R165">
            <v>0</v>
          </cell>
          <cell r="S165">
            <v>0</v>
          </cell>
          <cell r="T165">
            <v>0</v>
          </cell>
          <cell r="U165">
            <v>0</v>
          </cell>
          <cell r="V165">
            <v>0</v>
          </cell>
        </row>
        <row r="166">
          <cell r="C166" t="str">
            <v>1993FL</v>
          </cell>
          <cell r="D166">
            <v>0</v>
          </cell>
          <cell r="E166">
            <v>6500</v>
          </cell>
          <cell r="F166">
            <v>825</v>
          </cell>
          <cell r="G166">
            <v>0</v>
          </cell>
          <cell r="H166">
            <v>0</v>
          </cell>
          <cell r="I166">
            <v>0</v>
          </cell>
          <cell r="J166">
            <v>0</v>
          </cell>
          <cell r="K166">
            <v>0</v>
          </cell>
          <cell r="L166">
            <v>1021.9777771096414</v>
          </cell>
          <cell r="M166">
            <v>1250</v>
          </cell>
          <cell r="N166">
            <v>194880</v>
          </cell>
          <cell r="O166">
            <v>0</v>
          </cell>
          <cell r="P166">
            <v>0</v>
          </cell>
          <cell r="Q166">
            <v>0</v>
          </cell>
          <cell r="R166">
            <v>0</v>
          </cell>
          <cell r="S166">
            <v>0</v>
          </cell>
          <cell r="T166">
            <v>15133</v>
          </cell>
          <cell r="U166">
            <v>23</v>
          </cell>
          <cell r="V166">
            <v>12</v>
          </cell>
          <cell r="W166">
            <v>0</v>
          </cell>
        </row>
        <row r="167">
          <cell r="C167" t="str">
            <v>1993GA</v>
          </cell>
          <cell r="D167">
            <v>0</v>
          </cell>
          <cell r="E167">
            <v>39200</v>
          </cell>
          <cell r="F167">
            <v>13680</v>
          </cell>
          <cell r="G167">
            <v>0</v>
          </cell>
          <cell r="H167">
            <v>1440</v>
          </cell>
          <cell r="I167">
            <v>3000</v>
          </cell>
          <cell r="J167">
            <v>1380</v>
          </cell>
          <cell r="K167">
            <v>0</v>
          </cell>
          <cell r="L167">
            <v>0</v>
          </cell>
          <cell r="M167">
            <v>8160</v>
          </cell>
          <cell r="N167">
            <v>1383545</v>
          </cell>
          <cell r="O167">
            <v>0</v>
          </cell>
          <cell r="P167">
            <v>0</v>
          </cell>
          <cell r="Q167">
            <v>0</v>
          </cell>
          <cell r="R167">
            <v>0</v>
          </cell>
          <cell r="S167">
            <v>0</v>
          </cell>
          <cell r="T167">
            <v>0</v>
          </cell>
          <cell r="U167">
            <v>0</v>
          </cell>
          <cell r="V167">
            <v>0</v>
          </cell>
        </row>
        <row r="168">
          <cell r="C168" t="str">
            <v>1993HI</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5606</v>
          </cell>
          <cell r="U168">
            <v>0</v>
          </cell>
          <cell r="V168">
            <v>0</v>
          </cell>
        </row>
        <row r="169">
          <cell r="C169" t="str">
            <v>1993ID</v>
          </cell>
          <cell r="D169">
            <v>4200</v>
          </cell>
          <cell r="E169">
            <v>5625</v>
          </cell>
          <cell r="F169">
            <v>110350</v>
          </cell>
          <cell r="G169">
            <v>60000</v>
          </cell>
          <cell r="H169">
            <v>0</v>
          </cell>
          <cell r="I169">
            <v>1200</v>
          </cell>
          <cell r="J169">
            <v>0</v>
          </cell>
          <cell r="K169">
            <v>0</v>
          </cell>
          <cell r="L169">
            <v>0</v>
          </cell>
          <cell r="M169">
            <v>0</v>
          </cell>
          <cell r="N169">
            <v>0</v>
          </cell>
          <cell r="O169">
            <v>2091</v>
          </cell>
          <cell r="P169">
            <v>940</v>
          </cell>
          <cell r="Q169">
            <v>150</v>
          </cell>
          <cell r="R169">
            <v>840</v>
          </cell>
          <cell r="S169">
            <v>577</v>
          </cell>
          <cell r="T169">
            <v>0</v>
          </cell>
          <cell r="U169">
            <v>0</v>
          </cell>
          <cell r="V169">
            <v>0</v>
          </cell>
        </row>
        <row r="170">
          <cell r="C170" t="str">
            <v>1993IL</v>
          </cell>
          <cell r="D170">
            <v>2812</v>
          </cell>
          <cell r="E170">
            <v>1300000</v>
          </cell>
          <cell r="F170">
            <v>68200</v>
          </cell>
          <cell r="G170">
            <v>0</v>
          </cell>
          <cell r="H170">
            <v>17430</v>
          </cell>
          <cell r="I170">
            <v>4590</v>
          </cell>
          <cell r="J170">
            <v>224</v>
          </cell>
          <cell r="K170">
            <v>0</v>
          </cell>
          <cell r="L170">
            <v>0</v>
          </cell>
          <cell r="M170">
            <v>387000</v>
          </cell>
          <cell r="N170">
            <v>0</v>
          </cell>
          <cell r="O170">
            <v>0</v>
          </cell>
          <cell r="P170">
            <v>0</v>
          </cell>
          <cell r="Q170">
            <v>0</v>
          </cell>
          <cell r="R170">
            <v>0</v>
          </cell>
          <cell r="S170">
            <v>0</v>
          </cell>
          <cell r="T170">
            <v>0</v>
          </cell>
          <cell r="U170">
            <v>0</v>
          </cell>
          <cell r="V170">
            <v>0</v>
          </cell>
        </row>
        <row r="171">
          <cell r="C171" t="str">
            <v>1993IN</v>
          </cell>
          <cell r="D171">
            <v>1320</v>
          </cell>
          <cell r="E171">
            <v>712800</v>
          </cell>
          <cell r="F171">
            <v>34840</v>
          </cell>
          <cell r="G171">
            <v>0</v>
          </cell>
          <cell r="H171">
            <v>0</v>
          </cell>
          <cell r="I171">
            <v>2240</v>
          </cell>
          <cell r="J171">
            <v>150</v>
          </cell>
          <cell r="K171">
            <v>0</v>
          </cell>
          <cell r="L171">
            <v>0</v>
          </cell>
          <cell r="M171">
            <v>223100</v>
          </cell>
          <cell r="N171">
            <v>0</v>
          </cell>
          <cell r="O171">
            <v>0</v>
          </cell>
          <cell r="P171">
            <v>0</v>
          </cell>
          <cell r="Q171">
            <v>0</v>
          </cell>
          <cell r="R171">
            <v>0</v>
          </cell>
          <cell r="S171">
            <v>0</v>
          </cell>
          <cell r="T171">
            <v>0</v>
          </cell>
          <cell r="U171">
            <v>0</v>
          </cell>
          <cell r="V171">
            <v>0</v>
          </cell>
        </row>
        <row r="172">
          <cell r="C172" t="str">
            <v>1993IA</v>
          </cell>
          <cell r="D172">
            <v>3953</v>
          </cell>
          <cell r="E172">
            <v>880000</v>
          </cell>
          <cell r="F172">
            <v>625</v>
          </cell>
          <cell r="G172">
            <v>0</v>
          </cell>
          <cell r="H172">
            <v>0</v>
          </cell>
          <cell r="I172">
            <v>9000</v>
          </cell>
          <cell r="J172">
            <v>0</v>
          </cell>
          <cell r="K172">
            <v>0</v>
          </cell>
          <cell r="L172">
            <v>0</v>
          </cell>
          <cell r="M172">
            <v>257300</v>
          </cell>
          <cell r="N172">
            <v>0</v>
          </cell>
          <cell r="O172">
            <v>0</v>
          </cell>
          <cell r="P172">
            <v>0</v>
          </cell>
          <cell r="Q172">
            <v>0</v>
          </cell>
          <cell r="R172">
            <v>0</v>
          </cell>
          <cell r="S172">
            <v>0</v>
          </cell>
          <cell r="T172">
            <v>0</v>
          </cell>
          <cell r="U172">
            <v>0</v>
          </cell>
          <cell r="V172">
            <v>0</v>
          </cell>
        </row>
        <row r="173">
          <cell r="C173" t="str">
            <v>1993KS</v>
          </cell>
          <cell r="D173">
            <v>3230</v>
          </cell>
          <cell r="E173">
            <v>216000</v>
          </cell>
          <cell r="F173">
            <v>388500</v>
          </cell>
          <cell r="G173">
            <v>690</v>
          </cell>
          <cell r="H173">
            <v>176400</v>
          </cell>
          <cell r="I173">
            <v>1020</v>
          </cell>
          <cell r="J173">
            <v>693</v>
          </cell>
          <cell r="K173">
            <v>0</v>
          </cell>
          <cell r="L173">
            <v>0</v>
          </cell>
          <cell r="M173">
            <v>53200</v>
          </cell>
          <cell r="N173">
            <v>0</v>
          </cell>
          <cell r="O173">
            <v>378</v>
          </cell>
          <cell r="P173">
            <v>0</v>
          </cell>
          <cell r="Q173">
            <v>0</v>
          </cell>
          <cell r="R173">
            <v>0</v>
          </cell>
          <cell r="S173">
            <v>0</v>
          </cell>
          <cell r="T173">
            <v>0</v>
          </cell>
          <cell r="U173">
            <v>0</v>
          </cell>
          <cell r="V173">
            <v>0</v>
          </cell>
        </row>
        <row r="174">
          <cell r="C174" t="str">
            <v>1993KY</v>
          </cell>
          <cell r="D174">
            <v>1110</v>
          </cell>
          <cell r="E174">
            <v>126880</v>
          </cell>
          <cell r="F174">
            <v>20090</v>
          </cell>
          <cell r="G174">
            <v>1072</v>
          </cell>
          <cell r="H174">
            <v>750</v>
          </cell>
          <cell r="I174">
            <v>0</v>
          </cell>
          <cell r="J174">
            <v>0</v>
          </cell>
          <cell r="K174">
            <v>0</v>
          </cell>
          <cell r="L174">
            <v>0</v>
          </cell>
          <cell r="M174">
            <v>37950</v>
          </cell>
          <cell r="N174">
            <v>0</v>
          </cell>
          <cell r="O174">
            <v>0</v>
          </cell>
          <cell r="P174">
            <v>0</v>
          </cell>
          <cell r="Q174">
            <v>0</v>
          </cell>
          <cell r="R174">
            <v>0</v>
          </cell>
          <cell r="S174">
            <v>0</v>
          </cell>
          <cell r="T174">
            <v>0</v>
          </cell>
          <cell r="U174">
            <v>0</v>
          </cell>
          <cell r="V174">
            <v>0</v>
          </cell>
        </row>
        <row r="175">
          <cell r="C175" t="str">
            <v>1993LA</v>
          </cell>
          <cell r="D175">
            <v>0</v>
          </cell>
          <cell r="E175">
            <v>19950</v>
          </cell>
          <cell r="F175">
            <v>2375</v>
          </cell>
          <cell r="G175">
            <v>0</v>
          </cell>
          <cell r="H175">
            <v>7200</v>
          </cell>
          <cell r="I175">
            <v>0</v>
          </cell>
          <cell r="J175">
            <v>0</v>
          </cell>
          <cell r="K175">
            <v>0</v>
          </cell>
          <cell r="L175">
            <v>24108</v>
          </cell>
          <cell r="M175">
            <v>31200</v>
          </cell>
          <cell r="N175">
            <v>0</v>
          </cell>
          <cell r="O175">
            <v>0</v>
          </cell>
          <cell r="P175">
            <v>0</v>
          </cell>
          <cell r="Q175">
            <v>0</v>
          </cell>
          <cell r="R175">
            <v>0</v>
          </cell>
          <cell r="S175">
            <v>0</v>
          </cell>
          <cell r="T175">
            <v>8892</v>
          </cell>
          <cell r="U175">
            <v>530</v>
          </cell>
          <cell r="V175">
            <v>159</v>
          </cell>
          <cell r="W175">
            <v>0.06</v>
          </cell>
        </row>
        <row r="176">
          <cell r="C176" t="str">
            <v>1993ME</v>
          </cell>
          <cell r="D176">
            <v>53</v>
          </cell>
          <cell r="E176">
            <v>0</v>
          </cell>
          <cell r="F176">
            <v>0</v>
          </cell>
          <cell r="G176">
            <v>0</v>
          </cell>
          <cell r="H176">
            <v>0</v>
          </cell>
          <cell r="I176">
            <v>1875</v>
          </cell>
          <cell r="J176">
            <v>0</v>
          </cell>
          <cell r="K176">
            <v>0</v>
          </cell>
          <cell r="L176">
            <v>0</v>
          </cell>
          <cell r="M176">
            <v>0</v>
          </cell>
          <cell r="N176">
            <v>0</v>
          </cell>
          <cell r="O176">
            <v>0</v>
          </cell>
          <cell r="P176">
            <v>0</v>
          </cell>
          <cell r="Q176">
            <v>0</v>
          </cell>
          <cell r="R176">
            <v>0</v>
          </cell>
          <cell r="S176">
            <v>0</v>
          </cell>
          <cell r="T176">
            <v>0</v>
          </cell>
          <cell r="U176">
            <v>0</v>
          </cell>
          <cell r="V176">
            <v>0</v>
          </cell>
        </row>
        <row r="177">
          <cell r="C177" t="str">
            <v>1993MD</v>
          </cell>
          <cell r="D177">
            <v>202</v>
          </cell>
          <cell r="E177">
            <v>32760</v>
          </cell>
          <cell r="F177">
            <v>10800</v>
          </cell>
          <cell r="G177">
            <v>4761</v>
          </cell>
          <cell r="H177">
            <v>0</v>
          </cell>
          <cell r="I177">
            <v>424</v>
          </cell>
          <cell r="J177">
            <v>165</v>
          </cell>
          <cell r="K177">
            <v>0</v>
          </cell>
          <cell r="L177">
            <v>0</v>
          </cell>
          <cell r="M177">
            <v>14820</v>
          </cell>
          <cell r="N177">
            <v>0</v>
          </cell>
          <cell r="O177">
            <v>0</v>
          </cell>
          <cell r="P177">
            <v>0</v>
          </cell>
          <cell r="Q177">
            <v>0</v>
          </cell>
          <cell r="R177">
            <v>0</v>
          </cell>
          <cell r="S177">
            <v>0</v>
          </cell>
          <cell r="T177">
            <v>0</v>
          </cell>
          <cell r="U177">
            <v>0</v>
          </cell>
          <cell r="V177">
            <v>0</v>
          </cell>
        </row>
        <row r="178">
          <cell r="C178" t="str">
            <v>1993MA</v>
          </cell>
          <cell r="D178">
            <v>71</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row>
        <row r="179">
          <cell r="C179" t="str">
            <v>1993MI</v>
          </cell>
          <cell r="D179">
            <v>4620</v>
          </cell>
          <cell r="E179">
            <v>225500</v>
          </cell>
          <cell r="F179">
            <v>22140</v>
          </cell>
          <cell r="G179">
            <v>1512</v>
          </cell>
          <cell r="H179">
            <v>0</v>
          </cell>
          <cell r="I179">
            <v>7150</v>
          </cell>
          <cell r="J179">
            <v>420</v>
          </cell>
          <cell r="K179">
            <v>0</v>
          </cell>
          <cell r="L179">
            <v>0</v>
          </cell>
          <cell r="M179">
            <v>54720</v>
          </cell>
          <cell r="N179">
            <v>0</v>
          </cell>
          <cell r="O179">
            <v>6080</v>
          </cell>
          <cell r="P179">
            <v>0</v>
          </cell>
          <cell r="Q179">
            <v>0</v>
          </cell>
          <cell r="R179">
            <v>0</v>
          </cell>
          <cell r="S179">
            <v>0</v>
          </cell>
          <cell r="T179">
            <v>0</v>
          </cell>
          <cell r="U179">
            <v>0</v>
          </cell>
          <cell r="V179">
            <v>0</v>
          </cell>
        </row>
        <row r="180">
          <cell r="C180" t="str">
            <v>1993MN</v>
          </cell>
          <cell r="D180">
            <v>4800</v>
          </cell>
          <cell r="E180">
            <v>322000</v>
          </cell>
          <cell r="F180">
            <v>71190</v>
          </cell>
          <cell r="G180">
            <v>37700</v>
          </cell>
          <cell r="H180">
            <v>0</v>
          </cell>
          <cell r="I180">
            <v>23750</v>
          </cell>
          <cell r="J180">
            <v>667</v>
          </cell>
          <cell r="K180">
            <v>0</v>
          </cell>
          <cell r="L180">
            <v>0</v>
          </cell>
          <cell r="M180">
            <v>115000</v>
          </cell>
          <cell r="N180">
            <v>0</v>
          </cell>
          <cell r="O180">
            <v>836</v>
          </cell>
          <cell r="P180">
            <v>0</v>
          </cell>
          <cell r="Q180">
            <v>0</v>
          </cell>
          <cell r="R180">
            <v>0</v>
          </cell>
          <cell r="S180">
            <v>0</v>
          </cell>
          <cell r="T180">
            <v>0</v>
          </cell>
          <cell r="U180">
            <v>0</v>
          </cell>
          <cell r="V180">
            <v>0</v>
          </cell>
        </row>
        <row r="181">
          <cell r="C181" t="str">
            <v>1993MS</v>
          </cell>
          <cell r="D181">
            <v>0</v>
          </cell>
          <cell r="E181">
            <v>14820</v>
          </cell>
          <cell r="F181">
            <v>6930</v>
          </cell>
          <cell r="G181">
            <v>0</v>
          </cell>
          <cell r="H181">
            <v>4225</v>
          </cell>
          <cell r="I181">
            <v>0</v>
          </cell>
          <cell r="J181">
            <v>0</v>
          </cell>
          <cell r="K181">
            <v>0</v>
          </cell>
          <cell r="L181">
            <v>12985</v>
          </cell>
          <cell r="M181">
            <v>42900</v>
          </cell>
          <cell r="N181">
            <v>0</v>
          </cell>
          <cell r="O181">
            <v>0</v>
          </cell>
          <cell r="P181">
            <v>0</v>
          </cell>
          <cell r="Q181">
            <v>0</v>
          </cell>
          <cell r="R181">
            <v>0</v>
          </cell>
          <cell r="S181">
            <v>0</v>
          </cell>
          <cell r="T181">
            <v>0</v>
          </cell>
          <cell r="U181">
            <v>245</v>
          </cell>
          <cell r="V181">
            <v>0</v>
          </cell>
          <cell r="W181">
            <v>0.1</v>
          </cell>
        </row>
        <row r="182">
          <cell r="C182" t="str">
            <v>1993MO</v>
          </cell>
          <cell r="D182">
            <v>1485</v>
          </cell>
          <cell r="E182">
            <v>166500</v>
          </cell>
          <cell r="F182">
            <v>53200</v>
          </cell>
          <cell r="G182">
            <v>0</v>
          </cell>
          <cell r="H182">
            <v>39420</v>
          </cell>
          <cell r="I182">
            <v>686</v>
          </cell>
          <cell r="J182">
            <v>0</v>
          </cell>
          <cell r="K182">
            <v>0</v>
          </cell>
          <cell r="L182">
            <v>4557</v>
          </cell>
          <cell r="M182">
            <v>118800</v>
          </cell>
          <cell r="N182">
            <v>0</v>
          </cell>
          <cell r="O182">
            <v>0</v>
          </cell>
          <cell r="P182">
            <v>0</v>
          </cell>
          <cell r="Q182">
            <v>0</v>
          </cell>
          <cell r="R182">
            <v>0</v>
          </cell>
          <cell r="S182">
            <v>0</v>
          </cell>
          <cell r="T182">
            <v>0</v>
          </cell>
          <cell r="U182">
            <v>93</v>
          </cell>
          <cell r="V182">
            <v>0</v>
          </cell>
          <cell r="W182">
            <v>0.05</v>
          </cell>
        </row>
        <row r="183">
          <cell r="C183" t="str">
            <v>1993MT</v>
          </cell>
          <cell r="D183">
            <v>3480</v>
          </cell>
          <cell r="E183">
            <v>2100</v>
          </cell>
          <cell r="F183">
            <v>206334</v>
          </cell>
          <cell r="G183">
            <v>63800</v>
          </cell>
          <cell r="H183">
            <v>0</v>
          </cell>
          <cell r="I183">
            <v>5525</v>
          </cell>
          <cell r="J183">
            <v>0</v>
          </cell>
          <cell r="K183">
            <v>0</v>
          </cell>
          <cell r="L183">
            <v>0</v>
          </cell>
          <cell r="M183">
            <v>0</v>
          </cell>
          <cell r="N183">
            <v>0</v>
          </cell>
          <cell r="O183">
            <v>155</v>
          </cell>
          <cell r="P183">
            <v>0</v>
          </cell>
          <cell r="Q183">
            <v>0</v>
          </cell>
          <cell r="R183">
            <v>0</v>
          </cell>
          <cell r="S183">
            <v>0</v>
          </cell>
          <cell r="T183">
            <v>0</v>
          </cell>
          <cell r="U183">
            <v>0</v>
          </cell>
          <cell r="V183">
            <v>0</v>
          </cell>
        </row>
        <row r="184">
          <cell r="C184" t="str">
            <v>1993NE</v>
          </cell>
          <cell r="D184">
            <v>4760</v>
          </cell>
          <cell r="E184">
            <v>785200</v>
          </cell>
          <cell r="F184">
            <v>73500</v>
          </cell>
          <cell r="G184">
            <v>532</v>
          </cell>
          <cell r="H184">
            <v>73750</v>
          </cell>
          <cell r="I184">
            <v>6880</v>
          </cell>
          <cell r="J184">
            <v>500</v>
          </cell>
          <cell r="K184">
            <v>0</v>
          </cell>
          <cell r="L184">
            <v>0</v>
          </cell>
          <cell r="M184">
            <v>90000</v>
          </cell>
          <cell r="N184">
            <v>0</v>
          </cell>
          <cell r="O184">
            <v>2100</v>
          </cell>
          <cell r="P184">
            <v>0</v>
          </cell>
          <cell r="Q184">
            <v>0</v>
          </cell>
          <cell r="R184">
            <v>0</v>
          </cell>
          <cell r="S184">
            <v>0</v>
          </cell>
          <cell r="T184">
            <v>0</v>
          </cell>
          <cell r="U184">
            <v>0</v>
          </cell>
          <cell r="V184">
            <v>0</v>
          </cell>
        </row>
        <row r="185">
          <cell r="C185" t="str">
            <v>1993NV</v>
          </cell>
          <cell r="D185">
            <v>1034</v>
          </cell>
          <cell r="E185">
            <v>0</v>
          </cell>
          <cell r="F185">
            <v>800</v>
          </cell>
          <cell r="G185">
            <v>500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row>
        <row r="186">
          <cell r="C186" t="str">
            <v>1993NH</v>
          </cell>
          <cell r="D186">
            <v>37</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row>
        <row r="187">
          <cell r="C187" t="str">
            <v>1993NJ</v>
          </cell>
          <cell r="D187">
            <v>69</v>
          </cell>
          <cell r="E187">
            <v>7680</v>
          </cell>
          <cell r="F187">
            <v>1419</v>
          </cell>
          <cell r="G187">
            <v>300</v>
          </cell>
          <cell r="H187">
            <v>0</v>
          </cell>
          <cell r="I187">
            <v>0</v>
          </cell>
          <cell r="J187">
            <v>182</v>
          </cell>
          <cell r="K187">
            <v>0</v>
          </cell>
          <cell r="L187">
            <v>0</v>
          </cell>
          <cell r="M187">
            <v>4263</v>
          </cell>
          <cell r="N187">
            <v>0</v>
          </cell>
          <cell r="O187">
            <v>0</v>
          </cell>
          <cell r="P187">
            <v>0</v>
          </cell>
          <cell r="Q187">
            <v>0</v>
          </cell>
          <cell r="R187">
            <v>0</v>
          </cell>
          <cell r="S187">
            <v>0</v>
          </cell>
          <cell r="T187">
            <v>0</v>
          </cell>
          <cell r="U187">
            <v>0</v>
          </cell>
          <cell r="V187">
            <v>0</v>
          </cell>
        </row>
        <row r="188">
          <cell r="C188" t="str">
            <v>1993NM</v>
          </cell>
          <cell r="D188">
            <v>1301</v>
          </cell>
          <cell r="E188">
            <v>14025</v>
          </cell>
          <cell r="F188">
            <v>6210</v>
          </cell>
          <cell r="G188">
            <v>0</v>
          </cell>
          <cell r="H188">
            <v>7425</v>
          </cell>
          <cell r="I188">
            <v>0</v>
          </cell>
          <cell r="J188">
            <v>0</v>
          </cell>
          <cell r="K188">
            <v>0</v>
          </cell>
          <cell r="L188">
            <v>0</v>
          </cell>
          <cell r="M188">
            <v>0</v>
          </cell>
          <cell r="N188">
            <v>56680</v>
          </cell>
          <cell r="O188">
            <v>189</v>
          </cell>
          <cell r="P188">
            <v>0</v>
          </cell>
          <cell r="Q188">
            <v>0</v>
          </cell>
          <cell r="R188">
            <v>0</v>
          </cell>
          <cell r="S188">
            <v>0</v>
          </cell>
          <cell r="T188">
            <v>0</v>
          </cell>
          <cell r="U188">
            <v>0</v>
          </cell>
          <cell r="V188">
            <v>0</v>
          </cell>
        </row>
        <row r="189">
          <cell r="C189" t="str">
            <v>1993NY</v>
          </cell>
          <cell r="D189">
            <v>1715</v>
          </cell>
          <cell r="E189">
            <v>56700</v>
          </cell>
          <cell r="F189">
            <v>3910</v>
          </cell>
          <cell r="G189">
            <v>0</v>
          </cell>
          <cell r="H189">
            <v>0</v>
          </cell>
          <cell r="I189">
            <v>6510</v>
          </cell>
          <cell r="J189">
            <v>216</v>
          </cell>
          <cell r="K189">
            <v>0</v>
          </cell>
          <cell r="L189">
            <v>0</v>
          </cell>
          <cell r="M189">
            <v>0</v>
          </cell>
          <cell r="N189">
            <v>0</v>
          </cell>
          <cell r="O189">
            <v>459</v>
          </cell>
          <cell r="P189">
            <v>0</v>
          </cell>
          <cell r="Q189">
            <v>0</v>
          </cell>
          <cell r="R189">
            <v>0</v>
          </cell>
          <cell r="S189">
            <v>0</v>
          </cell>
          <cell r="T189">
            <v>0</v>
          </cell>
          <cell r="U189">
            <v>0</v>
          </cell>
          <cell r="V189">
            <v>0</v>
          </cell>
        </row>
        <row r="190">
          <cell r="C190" t="str">
            <v>1993NC</v>
          </cell>
          <cell r="D190">
            <v>40</v>
          </cell>
          <cell r="E190">
            <v>55250</v>
          </cell>
          <cell r="F190">
            <v>23520</v>
          </cell>
          <cell r="G190">
            <v>1200</v>
          </cell>
          <cell r="H190">
            <v>675</v>
          </cell>
          <cell r="I190">
            <v>1800</v>
          </cell>
          <cell r="J190">
            <v>750</v>
          </cell>
          <cell r="K190">
            <v>0</v>
          </cell>
          <cell r="L190">
            <v>0</v>
          </cell>
          <cell r="M190">
            <v>30000</v>
          </cell>
          <cell r="N190">
            <v>299585</v>
          </cell>
          <cell r="O190">
            <v>0</v>
          </cell>
          <cell r="P190">
            <v>0</v>
          </cell>
          <cell r="Q190">
            <v>0</v>
          </cell>
          <cell r="R190">
            <v>0</v>
          </cell>
          <cell r="S190">
            <v>0</v>
          </cell>
          <cell r="T190">
            <v>0</v>
          </cell>
          <cell r="U190">
            <v>0</v>
          </cell>
          <cell r="V190">
            <v>0</v>
          </cell>
        </row>
        <row r="191">
          <cell r="C191" t="str">
            <v>1993ND</v>
          </cell>
          <cell r="D191">
            <v>3230</v>
          </cell>
          <cell r="E191">
            <v>16425</v>
          </cell>
          <cell r="F191">
            <v>336610</v>
          </cell>
          <cell r="G191">
            <v>117600</v>
          </cell>
          <cell r="H191">
            <v>0</v>
          </cell>
          <cell r="I191">
            <v>37100</v>
          </cell>
          <cell r="J191">
            <v>1050</v>
          </cell>
          <cell r="K191">
            <v>0</v>
          </cell>
          <cell r="L191">
            <v>0</v>
          </cell>
          <cell r="M191">
            <v>9180</v>
          </cell>
          <cell r="N191">
            <v>0</v>
          </cell>
          <cell r="O191">
            <v>2964</v>
          </cell>
          <cell r="P191">
            <v>0</v>
          </cell>
          <cell r="Q191">
            <v>0</v>
          </cell>
          <cell r="R191">
            <v>0</v>
          </cell>
          <cell r="S191">
            <v>0</v>
          </cell>
          <cell r="T191">
            <v>0</v>
          </cell>
          <cell r="U191">
            <v>0</v>
          </cell>
          <cell r="V191">
            <v>0</v>
          </cell>
        </row>
        <row r="192">
          <cell r="C192" t="str">
            <v>1993OH</v>
          </cell>
          <cell r="D192">
            <v>2275</v>
          </cell>
          <cell r="E192">
            <v>360800</v>
          </cell>
          <cell r="F192">
            <v>52520</v>
          </cell>
          <cell r="G192">
            <v>0</v>
          </cell>
          <cell r="H192">
            <v>0</v>
          </cell>
          <cell r="I192">
            <v>9000</v>
          </cell>
          <cell r="J192">
            <v>150</v>
          </cell>
          <cell r="K192">
            <v>0</v>
          </cell>
          <cell r="L192">
            <v>0</v>
          </cell>
          <cell r="M192">
            <v>156180</v>
          </cell>
          <cell r="N192">
            <v>0</v>
          </cell>
          <cell r="O192">
            <v>0</v>
          </cell>
          <cell r="P192">
            <v>0</v>
          </cell>
          <cell r="Q192">
            <v>0</v>
          </cell>
          <cell r="R192">
            <v>0</v>
          </cell>
          <cell r="S192">
            <v>0</v>
          </cell>
          <cell r="T192">
            <v>0</v>
          </cell>
          <cell r="U192">
            <v>0</v>
          </cell>
          <cell r="V192">
            <v>0</v>
          </cell>
        </row>
        <row r="193">
          <cell r="C193" t="str">
            <v>1993OK</v>
          </cell>
          <cell r="D193">
            <v>1188</v>
          </cell>
          <cell r="E193">
            <v>15225</v>
          </cell>
          <cell r="F193">
            <v>156600</v>
          </cell>
          <cell r="G193">
            <v>280</v>
          </cell>
          <cell r="H193">
            <v>14500</v>
          </cell>
          <cell r="I193">
            <v>1050</v>
          </cell>
          <cell r="J193">
            <v>660</v>
          </cell>
          <cell r="K193">
            <v>0</v>
          </cell>
          <cell r="L193">
            <v>0</v>
          </cell>
          <cell r="M193">
            <v>6240</v>
          </cell>
          <cell r="N193">
            <v>233580</v>
          </cell>
          <cell r="O193">
            <v>0</v>
          </cell>
          <cell r="P193">
            <v>0</v>
          </cell>
          <cell r="Q193">
            <v>0</v>
          </cell>
          <cell r="R193">
            <v>0</v>
          </cell>
          <cell r="S193">
            <v>0</v>
          </cell>
          <cell r="T193">
            <v>0</v>
          </cell>
          <cell r="U193">
            <v>0.84489999999999998</v>
          </cell>
          <cell r="V193">
            <v>0</v>
          </cell>
          <cell r="W193">
            <v>0.9</v>
          </cell>
        </row>
        <row r="194">
          <cell r="C194" t="str">
            <v>1993OR</v>
          </cell>
          <cell r="D194">
            <v>1764</v>
          </cell>
          <cell r="E194">
            <v>2945</v>
          </cell>
          <cell r="F194">
            <v>64960</v>
          </cell>
          <cell r="G194">
            <v>9750</v>
          </cell>
          <cell r="H194">
            <v>0</v>
          </cell>
          <cell r="I194">
            <v>3000</v>
          </cell>
          <cell r="J194">
            <v>0</v>
          </cell>
          <cell r="K194">
            <v>0</v>
          </cell>
          <cell r="L194">
            <v>0</v>
          </cell>
          <cell r="M194">
            <v>0</v>
          </cell>
          <cell r="N194">
            <v>0</v>
          </cell>
          <cell r="O194">
            <v>174</v>
          </cell>
          <cell r="P194">
            <v>0</v>
          </cell>
          <cell r="Q194">
            <v>5</v>
          </cell>
          <cell r="R194">
            <v>0</v>
          </cell>
          <cell r="S194">
            <v>0</v>
          </cell>
          <cell r="T194">
            <v>0</v>
          </cell>
          <cell r="U194">
            <v>0</v>
          </cell>
          <cell r="V194">
            <v>0</v>
          </cell>
        </row>
        <row r="195">
          <cell r="C195" t="str">
            <v>1993PA</v>
          </cell>
          <cell r="D195">
            <v>2262</v>
          </cell>
          <cell r="E195">
            <v>93120</v>
          </cell>
          <cell r="F195">
            <v>7425</v>
          </cell>
          <cell r="G195">
            <v>5985</v>
          </cell>
          <cell r="H195">
            <v>0</v>
          </cell>
          <cell r="I195">
            <v>10000</v>
          </cell>
          <cell r="J195">
            <v>340</v>
          </cell>
          <cell r="K195">
            <v>0</v>
          </cell>
          <cell r="L195">
            <v>0</v>
          </cell>
          <cell r="M195">
            <v>11505</v>
          </cell>
          <cell r="N195">
            <v>0</v>
          </cell>
          <cell r="O195">
            <v>0</v>
          </cell>
          <cell r="P195">
            <v>0</v>
          </cell>
          <cell r="Q195">
            <v>0</v>
          </cell>
          <cell r="R195">
            <v>0</v>
          </cell>
          <cell r="S195">
            <v>0</v>
          </cell>
          <cell r="T195">
            <v>0</v>
          </cell>
          <cell r="U195">
            <v>0</v>
          </cell>
          <cell r="V195">
            <v>0</v>
          </cell>
        </row>
        <row r="196">
          <cell r="C196" t="str">
            <v>1993RI</v>
          </cell>
          <cell r="D196">
            <v>4</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row>
        <row r="197">
          <cell r="C197" t="str">
            <v>1993SC</v>
          </cell>
          <cell r="D197">
            <v>0</v>
          </cell>
          <cell r="E197">
            <v>9600</v>
          </cell>
          <cell r="F197">
            <v>9880</v>
          </cell>
          <cell r="G197">
            <v>266</v>
          </cell>
          <cell r="H197">
            <v>160</v>
          </cell>
          <cell r="I197">
            <v>1500</v>
          </cell>
          <cell r="J197">
            <v>380</v>
          </cell>
          <cell r="K197">
            <v>0</v>
          </cell>
          <cell r="L197">
            <v>0</v>
          </cell>
          <cell r="M197">
            <v>7800</v>
          </cell>
          <cell r="N197">
            <v>24500</v>
          </cell>
          <cell r="O197">
            <v>0</v>
          </cell>
          <cell r="P197">
            <v>0</v>
          </cell>
          <cell r="Q197">
            <v>0</v>
          </cell>
          <cell r="R197">
            <v>0</v>
          </cell>
          <cell r="S197">
            <v>0</v>
          </cell>
          <cell r="T197">
            <v>0</v>
          </cell>
          <cell r="U197">
            <v>0</v>
          </cell>
          <cell r="V197">
            <v>0</v>
          </cell>
        </row>
        <row r="198">
          <cell r="C198" t="str">
            <v>1993SD</v>
          </cell>
          <cell r="D198">
            <v>5980</v>
          </cell>
          <cell r="E198">
            <v>160650</v>
          </cell>
          <cell r="F198">
            <v>111522</v>
          </cell>
          <cell r="G198">
            <v>15120</v>
          </cell>
          <cell r="H198">
            <v>10500</v>
          </cell>
          <cell r="I198">
            <v>26520</v>
          </cell>
          <cell r="J198">
            <v>1600</v>
          </cell>
          <cell r="K198">
            <v>0</v>
          </cell>
          <cell r="L198">
            <v>0</v>
          </cell>
          <cell r="M198">
            <v>38500</v>
          </cell>
          <cell r="N198">
            <v>0</v>
          </cell>
          <cell r="O198">
            <v>0</v>
          </cell>
          <cell r="P198">
            <v>0</v>
          </cell>
          <cell r="Q198">
            <v>0</v>
          </cell>
          <cell r="R198">
            <v>0</v>
          </cell>
          <cell r="S198">
            <v>0</v>
          </cell>
          <cell r="T198">
            <v>0</v>
          </cell>
          <cell r="U198">
            <v>0</v>
          </cell>
          <cell r="V198">
            <v>0</v>
          </cell>
        </row>
        <row r="199">
          <cell r="C199" t="str">
            <v>1993TN</v>
          </cell>
          <cell r="D199">
            <v>198</v>
          </cell>
          <cell r="E199">
            <v>46200</v>
          </cell>
          <cell r="F199">
            <v>13940</v>
          </cell>
          <cell r="G199">
            <v>0</v>
          </cell>
          <cell r="H199">
            <v>3120</v>
          </cell>
          <cell r="I199">
            <v>0</v>
          </cell>
          <cell r="J199">
            <v>0</v>
          </cell>
          <cell r="K199">
            <v>0</v>
          </cell>
          <cell r="L199">
            <v>0</v>
          </cell>
          <cell r="M199">
            <v>31000</v>
          </cell>
          <cell r="N199">
            <v>0</v>
          </cell>
          <cell r="O199">
            <v>0</v>
          </cell>
          <cell r="P199">
            <v>0</v>
          </cell>
          <cell r="Q199">
            <v>0</v>
          </cell>
          <cell r="R199">
            <v>0</v>
          </cell>
          <cell r="S199">
            <v>0</v>
          </cell>
          <cell r="T199">
            <v>0</v>
          </cell>
          <cell r="U199">
            <v>0</v>
          </cell>
          <cell r="V199">
            <v>0</v>
          </cell>
        </row>
        <row r="200">
          <cell r="C200" t="str">
            <v>1993TX</v>
          </cell>
          <cell r="D200">
            <v>366</v>
          </cell>
          <cell r="E200">
            <v>212750</v>
          </cell>
          <cell r="F200">
            <v>118400</v>
          </cell>
          <cell r="G200">
            <v>308</v>
          </cell>
          <cell r="H200">
            <v>156750</v>
          </cell>
          <cell r="I200">
            <v>7420</v>
          </cell>
          <cell r="J200">
            <v>363</v>
          </cell>
          <cell r="K200">
            <v>0</v>
          </cell>
          <cell r="L200">
            <v>16095</v>
          </cell>
          <cell r="M200">
            <v>3895</v>
          </cell>
          <cell r="N200">
            <v>550175</v>
          </cell>
          <cell r="O200">
            <v>311</v>
          </cell>
          <cell r="P200">
            <v>0</v>
          </cell>
          <cell r="Q200">
            <v>0</v>
          </cell>
          <cell r="R200">
            <v>0</v>
          </cell>
          <cell r="S200">
            <v>0</v>
          </cell>
          <cell r="T200">
            <v>1441</v>
          </cell>
          <cell r="U200">
            <v>298</v>
          </cell>
          <cell r="V200">
            <v>119</v>
          </cell>
          <cell r="W200">
            <v>0.01</v>
          </cell>
        </row>
        <row r="201">
          <cell r="C201" t="str">
            <v>1993UT</v>
          </cell>
          <cell r="D201">
            <v>2200</v>
          </cell>
          <cell r="E201">
            <v>2860</v>
          </cell>
          <cell r="F201">
            <v>7270</v>
          </cell>
          <cell r="G201">
            <v>9350</v>
          </cell>
          <cell r="H201">
            <v>0</v>
          </cell>
          <cell r="I201">
            <v>975</v>
          </cell>
          <cell r="J201">
            <v>0</v>
          </cell>
          <cell r="K201">
            <v>0</v>
          </cell>
          <cell r="L201">
            <v>0</v>
          </cell>
          <cell r="M201">
            <v>0</v>
          </cell>
          <cell r="N201">
            <v>0</v>
          </cell>
          <cell r="O201">
            <v>24</v>
          </cell>
          <cell r="P201">
            <v>0</v>
          </cell>
          <cell r="Q201">
            <v>0</v>
          </cell>
          <cell r="R201">
            <v>0</v>
          </cell>
          <cell r="S201">
            <v>0</v>
          </cell>
          <cell r="T201">
            <v>0</v>
          </cell>
          <cell r="U201">
            <v>0</v>
          </cell>
          <cell r="V201">
            <v>0</v>
          </cell>
        </row>
        <row r="202">
          <cell r="C202" t="str">
            <v>1993VT</v>
          </cell>
          <cell r="D202">
            <v>212</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row>
        <row r="203">
          <cell r="C203" t="str">
            <v>1993VA</v>
          </cell>
          <cell r="D203">
            <v>351</v>
          </cell>
          <cell r="E203">
            <v>17100</v>
          </cell>
          <cell r="F203">
            <v>13515</v>
          </cell>
          <cell r="G203">
            <v>5695</v>
          </cell>
          <cell r="H203">
            <v>0</v>
          </cell>
          <cell r="I203">
            <v>0</v>
          </cell>
          <cell r="J203">
            <v>165</v>
          </cell>
          <cell r="K203">
            <v>0</v>
          </cell>
          <cell r="L203">
            <v>0</v>
          </cell>
          <cell r="M203">
            <v>10780</v>
          </cell>
          <cell r="N203">
            <v>176250</v>
          </cell>
          <cell r="O203">
            <v>0</v>
          </cell>
          <cell r="P203">
            <v>0</v>
          </cell>
          <cell r="Q203">
            <v>0</v>
          </cell>
          <cell r="R203">
            <v>0</v>
          </cell>
          <cell r="S203">
            <v>0</v>
          </cell>
          <cell r="T203">
            <v>0</v>
          </cell>
          <cell r="U203">
            <v>0</v>
          </cell>
          <cell r="V203">
            <v>0</v>
          </cell>
        </row>
        <row r="204">
          <cell r="C204" t="str">
            <v>1993WA</v>
          </cell>
          <cell r="D204">
            <v>2160</v>
          </cell>
          <cell r="E204">
            <v>15200</v>
          </cell>
          <cell r="F204">
            <v>177580</v>
          </cell>
          <cell r="G204">
            <v>23115</v>
          </cell>
          <cell r="H204">
            <v>0</v>
          </cell>
          <cell r="I204">
            <v>2040</v>
          </cell>
          <cell r="J204">
            <v>0</v>
          </cell>
          <cell r="K204">
            <v>0</v>
          </cell>
          <cell r="L204">
            <v>0</v>
          </cell>
          <cell r="M204">
            <v>0</v>
          </cell>
          <cell r="N204">
            <v>0</v>
          </cell>
          <cell r="O204">
            <v>798</v>
          </cell>
          <cell r="P204">
            <v>2352</v>
          </cell>
          <cell r="Q204">
            <v>0</v>
          </cell>
          <cell r="R204">
            <v>1166</v>
          </cell>
          <cell r="S204">
            <v>272</v>
          </cell>
          <cell r="T204">
            <v>0</v>
          </cell>
          <cell r="U204">
            <v>0</v>
          </cell>
          <cell r="V204">
            <v>0</v>
          </cell>
        </row>
        <row r="205">
          <cell r="C205" t="str">
            <v>1993WV</v>
          </cell>
          <cell r="D205">
            <v>128</v>
          </cell>
          <cell r="E205">
            <v>3655</v>
          </cell>
          <cell r="F205">
            <v>473</v>
          </cell>
          <cell r="G205">
            <v>0</v>
          </cell>
          <cell r="H205">
            <v>0</v>
          </cell>
          <cell r="I205">
            <v>240</v>
          </cell>
          <cell r="J205">
            <v>0</v>
          </cell>
          <cell r="K205">
            <v>0</v>
          </cell>
          <cell r="L205">
            <v>0</v>
          </cell>
          <cell r="M205">
            <v>0</v>
          </cell>
          <cell r="N205">
            <v>0</v>
          </cell>
          <cell r="O205">
            <v>0</v>
          </cell>
          <cell r="P205">
            <v>0</v>
          </cell>
          <cell r="Q205">
            <v>0</v>
          </cell>
          <cell r="R205">
            <v>0</v>
          </cell>
          <cell r="S205">
            <v>0</v>
          </cell>
          <cell r="T205">
            <v>0</v>
          </cell>
          <cell r="U205">
            <v>0</v>
          </cell>
          <cell r="V205">
            <v>0</v>
          </cell>
        </row>
        <row r="206">
          <cell r="C206" t="str">
            <v>1993WI</v>
          </cell>
          <cell r="D206">
            <v>5060</v>
          </cell>
          <cell r="E206">
            <v>216200</v>
          </cell>
          <cell r="F206">
            <v>4660</v>
          </cell>
          <cell r="G206">
            <v>3220</v>
          </cell>
          <cell r="H206">
            <v>0</v>
          </cell>
          <cell r="I206">
            <v>24150</v>
          </cell>
          <cell r="J206">
            <v>260</v>
          </cell>
          <cell r="K206">
            <v>0</v>
          </cell>
          <cell r="L206">
            <v>0</v>
          </cell>
          <cell r="M206">
            <v>20650</v>
          </cell>
          <cell r="N206">
            <v>0</v>
          </cell>
          <cell r="O206">
            <v>145</v>
          </cell>
          <cell r="P206">
            <v>0</v>
          </cell>
          <cell r="Q206">
            <v>0</v>
          </cell>
          <cell r="R206">
            <v>0</v>
          </cell>
          <cell r="S206">
            <v>0</v>
          </cell>
          <cell r="T206">
            <v>0</v>
          </cell>
          <cell r="U206">
            <v>0</v>
          </cell>
          <cell r="V206">
            <v>0</v>
          </cell>
        </row>
        <row r="207">
          <cell r="C207" t="str">
            <v>1993WY</v>
          </cell>
          <cell r="D207">
            <v>1600</v>
          </cell>
          <cell r="E207">
            <v>3520</v>
          </cell>
          <cell r="F207">
            <v>6146</v>
          </cell>
          <cell r="G207">
            <v>9460</v>
          </cell>
          <cell r="H207">
            <v>0</v>
          </cell>
          <cell r="I207">
            <v>1550</v>
          </cell>
          <cell r="J207">
            <v>0</v>
          </cell>
          <cell r="K207">
            <v>0</v>
          </cell>
          <cell r="L207">
            <v>0</v>
          </cell>
          <cell r="M207">
            <v>0</v>
          </cell>
          <cell r="N207">
            <v>0</v>
          </cell>
          <cell r="O207">
            <v>339</v>
          </cell>
          <cell r="P207">
            <v>0</v>
          </cell>
          <cell r="Q207">
            <v>0</v>
          </cell>
          <cell r="R207">
            <v>0</v>
          </cell>
          <cell r="S207">
            <v>0</v>
          </cell>
          <cell r="T207">
            <v>0</v>
          </cell>
          <cell r="U207">
            <v>0</v>
          </cell>
          <cell r="V207">
            <v>0</v>
          </cell>
        </row>
        <row r="208">
          <cell r="C208" t="str">
            <v>1993US</v>
          </cell>
          <cell r="D208">
            <v>80115</v>
          </cell>
          <cell r="E208">
            <v>6337730</v>
          </cell>
          <cell r="F208">
            <v>2396440</v>
          </cell>
          <cell r="G208">
            <v>398205</v>
          </cell>
          <cell r="H208">
            <v>534172</v>
          </cell>
          <cell r="I208">
            <v>206731</v>
          </cell>
          <cell r="J208">
            <v>10340</v>
          </cell>
          <cell r="K208">
            <v>0</v>
          </cell>
          <cell r="L208">
            <v>156110</v>
          </cell>
          <cell r="M208">
            <v>1869718</v>
          </cell>
          <cell r="N208">
            <v>3392415</v>
          </cell>
          <cell r="O208">
            <v>21862</v>
          </cell>
          <cell r="P208">
            <v>3292</v>
          </cell>
          <cell r="Q208">
            <v>155</v>
          </cell>
          <cell r="R208">
            <v>2006</v>
          </cell>
          <cell r="S208">
            <v>849</v>
          </cell>
          <cell r="T208">
            <v>31072</v>
          </cell>
        </row>
        <row r="209">
          <cell r="C209" t="str">
            <v>1994AL</v>
          </cell>
          <cell r="D209">
            <v>0</v>
          </cell>
          <cell r="E209">
            <v>24960</v>
          </cell>
          <cell r="F209">
            <v>4560</v>
          </cell>
          <cell r="G209">
            <v>0</v>
          </cell>
          <cell r="H209">
            <v>900</v>
          </cell>
          <cell r="I209">
            <v>1650</v>
          </cell>
          <cell r="J209">
            <v>0</v>
          </cell>
          <cell r="K209">
            <v>0</v>
          </cell>
          <cell r="L209">
            <v>0</v>
          </cell>
          <cell r="M209">
            <v>9145</v>
          </cell>
          <cell r="N209">
            <v>446220</v>
          </cell>
          <cell r="O209">
            <v>0</v>
          </cell>
          <cell r="P209">
            <v>0</v>
          </cell>
          <cell r="Q209">
            <v>0</v>
          </cell>
          <cell r="R209">
            <v>0</v>
          </cell>
          <cell r="S209">
            <v>0</v>
          </cell>
          <cell r="T209">
            <v>0</v>
          </cell>
          <cell r="U209">
            <v>0</v>
          </cell>
          <cell r="V209">
            <v>0</v>
          </cell>
        </row>
        <row r="210">
          <cell r="C210" t="str">
            <v>1994AK</v>
          </cell>
          <cell r="D210">
            <v>0</v>
          </cell>
          <cell r="E210">
            <v>0</v>
          </cell>
          <cell r="F210">
            <v>0</v>
          </cell>
          <cell r="G210">
            <v>230</v>
          </cell>
          <cell r="H210">
            <v>0</v>
          </cell>
          <cell r="I210">
            <v>48000</v>
          </cell>
          <cell r="J210">
            <v>0</v>
          </cell>
          <cell r="K210">
            <v>0</v>
          </cell>
          <cell r="L210">
            <v>0</v>
          </cell>
          <cell r="M210">
            <v>0</v>
          </cell>
          <cell r="N210">
            <v>0</v>
          </cell>
          <cell r="O210">
            <v>0</v>
          </cell>
          <cell r="P210">
            <v>0</v>
          </cell>
          <cell r="Q210">
            <v>0</v>
          </cell>
          <cell r="R210">
            <v>0</v>
          </cell>
          <cell r="S210">
            <v>0</v>
          </cell>
          <cell r="T210">
            <v>0</v>
          </cell>
          <cell r="U210">
            <v>0</v>
          </cell>
          <cell r="V210">
            <v>0</v>
          </cell>
        </row>
        <row r="211">
          <cell r="C211" t="str">
            <v>1994AZ</v>
          </cell>
          <cell r="D211">
            <v>1200</v>
          </cell>
          <cell r="E211">
            <v>2550</v>
          </cell>
          <cell r="F211">
            <v>11186</v>
          </cell>
          <cell r="G211">
            <v>3135</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row>
        <row r="212">
          <cell r="C212" t="str">
            <v>1994AR</v>
          </cell>
          <cell r="D212">
            <v>85</v>
          </cell>
          <cell r="E212">
            <v>10800</v>
          </cell>
          <cell r="F212">
            <v>40480</v>
          </cell>
          <cell r="G212">
            <v>0</v>
          </cell>
          <cell r="H212">
            <v>18375</v>
          </cell>
          <cell r="I212">
            <v>1540</v>
          </cell>
          <cell r="J212">
            <v>0</v>
          </cell>
          <cell r="K212">
            <v>0</v>
          </cell>
          <cell r="L212">
            <v>80940</v>
          </cell>
          <cell r="M212">
            <v>115600</v>
          </cell>
          <cell r="N212">
            <v>0</v>
          </cell>
          <cell r="O212">
            <v>0</v>
          </cell>
          <cell r="P212">
            <v>0</v>
          </cell>
          <cell r="Q212">
            <v>0</v>
          </cell>
          <cell r="R212">
            <v>0</v>
          </cell>
          <cell r="S212">
            <v>0</v>
          </cell>
          <cell r="T212">
            <v>0</v>
          </cell>
          <cell r="U212">
            <v>1420</v>
          </cell>
          <cell r="V212">
            <v>0</v>
          </cell>
          <cell r="W212">
            <v>0.13</v>
          </cell>
        </row>
        <row r="213">
          <cell r="C213" t="str">
            <v>1994CA</v>
          </cell>
          <cell r="D213">
            <v>6650</v>
          </cell>
          <cell r="E213">
            <v>30600</v>
          </cell>
          <cell r="F213">
            <v>44365</v>
          </cell>
          <cell r="G213">
            <v>14300</v>
          </cell>
          <cell r="H213">
            <v>0</v>
          </cell>
          <cell r="I213">
            <v>2400</v>
          </cell>
          <cell r="J213">
            <v>0</v>
          </cell>
          <cell r="K213">
            <v>0</v>
          </cell>
          <cell r="L213">
            <v>41224</v>
          </cell>
          <cell r="M213">
            <v>0</v>
          </cell>
          <cell r="N213">
            <v>0</v>
          </cell>
          <cell r="O213">
            <v>2771</v>
          </cell>
          <cell r="P213">
            <v>0</v>
          </cell>
          <cell r="Q213">
            <v>0</v>
          </cell>
          <cell r="R213">
            <v>0</v>
          </cell>
          <cell r="S213">
            <v>0</v>
          </cell>
          <cell r="T213">
            <v>0</v>
          </cell>
          <cell r="U213">
            <v>485</v>
          </cell>
          <cell r="V213">
            <v>0</v>
          </cell>
          <cell r="W213">
            <v>0.69</v>
          </cell>
        </row>
        <row r="214">
          <cell r="C214" t="str">
            <v>1994CO</v>
          </cell>
          <cell r="D214">
            <v>3276</v>
          </cell>
          <cell r="E214">
            <v>126000</v>
          </cell>
          <cell r="F214">
            <v>79734</v>
          </cell>
          <cell r="G214">
            <v>7470</v>
          </cell>
          <cell r="H214">
            <v>7140</v>
          </cell>
          <cell r="I214">
            <v>1440</v>
          </cell>
          <cell r="J214">
            <v>54</v>
          </cell>
          <cell r="K214">
            <v>0</v>
          </cell>
          <cell r="L214">
            <v>0</v>
          </cell>
          <cell r="M214">
            <v>0</v>
          </cell>
          <cell r="N214">
            <v>0</v>
          </cell>
          <cell r="O214">
            <v>3140</v>
          </cell>
          <cell r="P214">
            <v>0</v>
          </cell>
          <cell r="Q214">
            <v>0</v>
          </cell>
          <cell r="R214">
            <v>0</v>
          </cell>
          <cell r="S214">
            <v>0</v>
          </cell>
          <cell r="T214">
            <v>0</v>
          </cell>
          <cell r="U214">
            <v>0</v>
          </cell>
          <cell r="V214">
            <v>0</v>
          </cell>
        </row>
        <row r="215">
          <cell r="C215" t="str">
            <v>1994CT</v>
          </cell>
          <cell r="D215">
            <v>70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row>
        <row r="216">
          <cell r="C216" t="str">
            <v>1994DE</v>
          </cell>
          <cell r="D216">
            <v>26</v>
          </cell>
          <cell r="E216">
            <v>18750</v>
          </cell>
          <cell r="F216">
            <v>3780</v>
          </cell>
          <cell r="G216">
            <v>1890</v>
          </cell>
          <cell r="H216">
            <v>0</v>
          </cell>
          <cell r="I216">
            <v>0</v>
          </cell>
          <cell r="J216">
            <v>0</v>
          </cell>
          <cell r="K216">
            <v>0</v>
          </cell>
          <cell r="L216">
            <v>0</v>
          </cell>
          <cell r="M216">
            <v>8030</v>
          </cell>
          <cell r="N216">
            <v>0</v>
          </cell>
          <cell r="O216">
            <v>0</v>
          </cell>
          <cell r="P216">
            <v>0</v>
          </cell>
          <cell r="Q216">
            <v>0</v>
          </cell>
          <cell r="R216">
            <v>0</v>
          </cell>
          <cell r="S216">
            <v>0</v>
          </cell>
          <cell r="T216">
            <v>0</v>
          </cell>
          <cell r="U216">
            <v>0</v>
          </cell>
          <cell r="V216">
            <v>0</v>
          </cell>
        </row>
        <row r="217">
          <cell r="C217" t="str">
            <v>1994FL</v>
          </cell>
          <cell r="D217">
            <v>0</v>
          </cell>
          <cell r="E217">
            <v>6800</v>
          </cell>
          <cell r="F217">
            <v>630</v>
          </cell>
          <cell r="G217">
            <v>0</v>
          </cell>
          <cell r="H217">
            <v>0</v>
          </cell>
          <cell r="I217">
            <v>0</v>
          </cell>
          <cell r="J217">
            <v>0</v>
          </cell>
          <cell r="K217">
            <v>0</v>
          </cell>
          <cell r="L217">
            <v>1066.4115935057127</v>
          </cell>
          <cell r="M217">
            <v>1302</v>
          </cell>
          <cell r="N217">
            <v>207480</v>
          </cell>
          <cell r="O217">
            <v>0</v>
          </cell>
          <cell r="P217">
            <v>0</v>
          </cell>
          <cell r="Q217">
            <v>0</v>
          </cell>
          <cell r="R217">
            <v>0</v>
          </cell>
          <cell r="S217">
            <v>0</v>
          </cell>
          <cell r="T217">
            <v>14933</v>
          </cell>
          <cell r="U217">
            <v>24</v>
          </cell>
          <cell r="V217">
            <v>12</v>
          </cell>
          <cell r="W217">
            <v>0</v>
          </cell>
        </row>
        <row r="218">
          <cell r="C218" t="str">
            <v>1994GA</v>
          </cell>
          <cell r="D218">
            <v>0</v>
          </cell>
          <cell r="E218">
            <v>57240</v>
          </cell>
          <cell r="F218">
            <v>20400</v>
          </cell>
          <cell r="G218">
            <v>0</v>
          </cell>
          <cell r="H218">
            <v>2000</v>
          </cell>
          <cell r="I218">
            <v>3350</v>
          </cell>
          <cell r="J218">
            <v>1890</v>
          </cell>
          <cell r="K218">
            <v>0</v>
          </cell>
          <cell r="L218">
            <v>0</v>
          </cell>
          <cell r="M218">
            <v>15500</v>
          </cell>
          <cell r="N218">
            <v>1862630</v>
          </cell>
          <cell r="O218">
            <v>0</v>
          </cell>
          <cell r="P218">
            <v>0</v>
          </cell>
          <cell r="Q218">
            <v>0</v>
          </cell>
          <cell r="R218">
            <v>0</v>
          </cell>
          <cell r="S218">
            <v>0</v>
          </cell>
          <cell r="T218">
            <v>0</v>
          </cell>
          <cell r="U218">
            <v>0</v>
          </cell>
          <cell r="V218">
            <v>0</v>
          </cell>
        </row>
        <row r="219">
          <cell r="C219" t="str">
            <v>1994HI</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5364</v>
          </cell>
          <cell r="U219">
            <v>0</v>
          </cell>
          <cell r="V219">
            <v>0</v>
          </cell>
        </row>
        <row r="220">
          <cell r="C220" t="str">
            <v>1994ID</v>
          </cell>
          <cell r="D220">
            <v>3978</v>
          </cell>
          <cell r="E220">
            <v>4900</v>
          </cell>
          <cell r="F220">
            <v>100280</v>
          </cell>
          <cell r="G220">
            <v>54000</v>
          </cell>
          <cell r="H220">
            <v>0</v>
          </cell>
          <cell r="I220">
            <v>1300</v>
          </cell>
          <cell r="J220">
            <v>0</v>
          </cell>
          <cell r="K220">
            <v>0</v>
          </cell>
          <cell r="L220">
            <v>0</v>
          </cell>
          <cell r="M220">
            <v>0</v>
          </cell>
          <cell r="N220">
            <v>0</v>
          </cell>
          <cell r="O220">
            <v>2691</v>
          </cell>
          <cell r="P220">
            <v>846</v>
          </cell>
          <cell r="Q220">
            <v>44</v>
          </cell>
          <cell r="R220">
            <v>935</v>
          </cell>
          <cell r="S220">
            <v>368</v>
          </cell>
          <cell r="T220">
            <v>0</v>
          </cell>
          <cell r="U220">
            <v>0</v>
          </cell>
          <cell r="V220">
            <v>0</v>
          </cell>
        </row>
        <row r="221">
          <cell r="C221" t="str">
            <v>1994IL</v>
          </cell>
          <cell r="D221">
            <v>2100</v>
          </cell>
          <cell r="E221">
            <v>1786200</v>
          </cell>
          <cell r="F221">
            <v>50400</v>
          </cell>
          <cell r="G221">
            <v>0</v>
          </cell>
          <cell r="H221">
            <v>14355</v>
          </cell>
          <cell r="I221">
            <v>5490</v>
          </cell>
          <cell r="J221">
            <v>144</v>
          </cell>
          <cell r="K221">
            <v>0</v>
          </cell>
          <cell r="L221">
            <v>0</v>
          </cell>
          <cell r="M221">
            <v>429065</v>
          </cell>
          <cell r="N221">
            <v>0</v>
          </cell>
          <cell r="O221">
            <v>0</v>
          </cell>
          <cell r="P221">
            <v>0</v>
          </cell>
          <cell r="Q221">
            <v>0</v>
          </cell>
          <cell r="R221">
            <v>0</v>
          </cell>
          <cell r="S221">
            <v>0</v>
          </cell>
          <cell r="T221">
            <v>0</v>
          </cell>
          <cell r="U221">
            <v>0</v>
          </cell>
          <cell r="V221">
            <v>0</v>
          </cell>
        </row>
        <row r="222">
          <cell r="C222" t="str">
            <v>1994IN</v>
          </cell>
          <cell r="D222">
            <v>1330</v>
          </cell>
          <cell r="E222">
            <v>858240</v>
          </cell>
          <cell r="F222">
            <v>38430</v>
          </cell>
          <cell r="G222">
            <v>0</v>
          </cell>
          <cell r="H222">
            <v>0</v>
          </cell>
          <cell r="I222">
            <v>1855</v>
          </cell>
          <cell r="J222">
            <v>120</v>
          </cell>
          <cell r="K222">
            <v>0</v>
          </cell>
          <cell r="L222">
            <v>0</v>
          </cell>
          <cell r="M222">
            <v>215260</v>
          </cell>
          <cell r="N222">
            <v>0</v>
          </cell>
          <cell r="O222">
            <v>0</v>
          </cell>
          <cell r="P222">
            <v>0</v>
          </cell>
          <cell r="Q222">
            <v>0</v>
          </cell>
          <cell r="R222">
            <v>0</v>
          </cell>
          <cell r="S222">
            <v>0</v>
          </cell>
          <cell r="T222">
            <v>0</v>
          </cell>
          <cell r="U222">
            <v>0</v>
          </cell>
          <cell r="V222">
            <v>0</v>
          </cell>
        </row>
        <row r="223">
          <cell r="C223" t="str">
            <v>1994IA</v>
          </cell>
          <cell r="D223">
            <v>4625</v>
          </cell>
          <cell r="E223">
            <v>1915200</v>
          </cell>
          <cell r="F223">
            <v>2115</v>
          </cell>
          <cell r="G223">
            <v>0</v>
          </cell>
          <cell r="H223">
            <v>0</v>
          </cell>
          <cell r="I223">
            <v>26660</v>
          </cell>
          <cell r="J223">
            <v>0</v>
          </cell>
          <cell r="K223">
            <v>0</v>
          </cell>
          <cell r="L223">
            <v>0</v>
          </cell>
          <cell r="M223">
            <v>442885</v>
          </cell>
          <cell r="N223">
            <v>0</v>
          </cell>
          <cell r="O223">
            <v>0</v>
          </cell>
          <cell r="P223">
            <v>0</v>
          </cell>
          <cell r="Q223">
            <v>0</v>
          </cell>
          <cell r="R223">
            <v>0</v>
          </cell>
          <cell r="S223">
            <v>0</v>
          </cell>
          <cell r="T223">
            <v>0</v>
          </cell>
          <cell r="U223">
            <v>0</v>
          </cell>
          <cell r="V223">
            <v>0</v>
          </cell>
        </row>
        <row r="224">
          <cell r="C224" t="str">
            <v>1994KS</v>
          </cell>
          <cell r="D224">
            <v>3120</v>
          </cell>
          <cell r="E224">
            <v>300300</v>
          </cell>
          <cell r="F224">
            <v>433200</v>
          </cell>
          <cell r="G224">
            <v>532</v>
          </cell>
          <cell r="H224">
            <v>231000</v>
          </cell>
          <cell r="I224">
            <v>5520</v>
          </cell>
          <cell r="J224">
            <v>325</v>
          </cell>
          <cell r="K224">
            <v>0</v>
          </cell>
          <cell r="L224">
            <v>0</v>
          </cell>
          <cell r="M224">
            <v>73500</v>
          </cell>
          <cell r="N224">
            <v>0</v>
          </cell>
          <cell r="O224">
            <v>560</v>
          </cell>
          <cell r="P224">
            <v>0</v>
          </cell>
          <cell r="Q224">
            <v>0</v>
          </cell>
          <cell r="R224">
            <v>0</v>
          </cell>
          <cell r="S224">
            <v>0</v>
          </cell>
          <cell r="T224">
            <v>0</v>
          </cell>
          <cell r="U224">
            <v>0</v>
          </cell>
          <cell r="V224">
            <v>0</v>
          </cell>
        </row>
        <row r="225">
          <cell r="C225" t="str">
            <v>1994KY</v>
          </cell>
          <cell r="D225">
            <v>1110</v>
          </cell>
          <cell r="E225">
            <v>156160</v>
          </cell>
          <cell r="F225">
            <v>25200</v>
          </cell>
          <cell r="G225">
            <v>1106</v>
          </cell>
          <cell r="H225">
            <v>1012</v>
          </cell>
          <cell r="I225">
            <v>0</v>
          </cell>
          <cell r="J225">
            <v>0</v>
          </cell>
          <cell r="K225">
            <v>0</v>
          </cell>
          <cell r="L225">
            <v>0</v>
          </cell>
          <cell r="M225">
            <v>42375</v>
          </cell>
          <cell r="N225">
            <v>0</v>
          </cell>
          <cell r="O225">
            <v>0</v>
          </cell>
          <cell r="P225">
            <v>0</v>
          </cell>
          <cell r="Q225">
            <v>0</v>
          </cell>
          <cell r="R225">
            <v>0</v>
          </cell>
          <cell r="S225">
            <v>0</v>
          </cell>
          <cell r="T225">
            <v>0</v>
          </cell>
          <cell r="U225">
            <v>0</v>
          </cell>
          <cell r="V225">
            <v>0</v>
          </cell>
        </row>
        <row r="226">
          <cell r="C226" t="str">
            <v>1994LA</v>
          </cell>
          <cell r="D226">
            <v>0</v>
          </cell>
          <cell r="E226">
            <v>35190</v>
          </cell>
          <cell r="F226">
            <v>2590</v>
          </cell>
          <cell r="G226">
            <v>0</v>
          </cell>
          <cell r="H226">
            <v>8364</v>
          </cell>
          <cell r="I226">
            <v>0</v>
          </cell>
          <cell r="J226">
            <v>0</v>
          </cell>
          <cell r="K226">
            <v>0</v>
          </cell>
          <cell r="L226">
            <v>29448</v>
          </cell>
          <cell r="M226">
            <v>31920</v>
          </cell>
          <cell r="N226">
            <v>0</v>
          </cell>
          <cell r="O226">
            <v>0</v>
          </cell>
          <cell r="P226">
            <v>0</v>
          </cell>
          <cell r="Q226">
            <v>0</v>
          </cell>
          <cell r="R226">
            <v>0</v>
          </cell>
          <cell r="S226">
            <v>0</v>
          </cell>
          <cell r="T226">
            <v>9272</v>
          </cell>
          <cell r="U226">
            <v>620</v>
          </cell>
          <cell r="V226">
            <v>186</v>
          </cell>
          <cell r="W226">
            <v>0.06</v>
          </cell>
        </row>
        <row r="227">
          <cell r="C227" t="str">
            <v>1994ME</v>
          </cell>
          <cell r="D227">
            <v>35</v>
          </cell>
          <cell r="E227">
            <v>0</v>
          </cell>
          <cell r="F227">
            <v>0</v>
          </cell>
          <cell r="G227">
            <v>0</v>
          </cell>
          <cell r="H227">
            <v>0</v>
          </cell>
          <cell r="I227">
            <v>1540</v>
          </cell>
          <cell r="J227">
            <v>0</v>
          </cell>
          <cell r="K227">
            <v>0</v>
          </cell>
          <cell r="L227">
            <v>0</v>
          </cell>
          <cell r="M227">
            <v>0</v>
          </cell>
          <cell r="N227">
            <v>0</v>
          </cell>
          <cell r="O227">
            <v>0</v>
          </cell>
          <cell r="P227">
            <v>0</v>
          </cell>
          <cell r="Q227">
            <v>0</v>
          </cell>
          <cell r="R227">
            <v>0</v>
          </cell>
          <cell r="S227">
            <v>0</v>
          </cell>
          <cell r="T227">
            <v>0</v>
          </cell>
          <cell r="U227">
            <v>0</v>
          </cell>
          <cell r="V227">
            <v>0</v>
          </cell>
        </row>
        <row r="228">
          <cell r="C228" t="str">
            <v>1994MD</v>
          </cell>
          <cell r="D228">
            <v>276</v>
          </cell>
          <cell r="E228">
            <v>46020</v>
          </cell>
          <cell r="F228">
            <v>12100</v>
          </cell>
          <cell r="G228">
            <v>4200</v>
          </cell>
          <cell r="H228">
            <v>0</v>
          </cell>
          <cell r="I228">
            <v>270</v>
          </cell>
          <cell r="J228">
            <v>140</v>
          </cell>
          <cell r="K228">
            <v>0</v>
          </cell>
          <cell r="L228">
            <v>0</v>
          </cell>
          <cell r="M228">
            <v>19525</v>
          </cell>
          <cell r="N228">
            <v>0</v>
          </cell>
          <cell r="O228">
            <v>0</v>
          </cell>
          <cell r="P228">
            <v>0</v>
          </cell>
          <cell r="Q228">
            <v>0</v>
          </cell>
          <cell r="R228">
            <v>0</v>
          </cell>
          <cell r="S228">
            <v>0</v>
          </cell>
          <cell r="T228">
            <v>0</v>
          </cell>
          <cell r="U228">
            <v>0</v>
          </cell>
          <cell r="V228">
            <v>0</v>
          </cell>
        </row>
        <row r="229">
          <cell r="C229" t="str">
            <v>1994MA</v>
          </cell>
          <cell r="D229">
            <v>65</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row>
        <row r="230">
          <cell r="C230" t="str">
            <v>1994MI</v>
          </cell>
          <cell r="D230">
            <v>4095</v>
          </cell>
          <cell r="E230">
            <v>255060</v>
          </cell>
          <cell r="F230">
            <v>30740</v>
          </cell>
          <cell r="G230">
            <v>1632</v>
          </cell>
          <cell r="H230">
            <v>0</v>
          </cell>
          <cell r="I230">
            <v>6270</v>
          </cell>
          <cell r="J230">
            <v>442</v>
          </cell>
          <cell r="K230">
            <v>0</v>
          </cell>
          <cell r="L230">
            <v>0</v>
          </cell>
          <cell r="M230">
            <v>56980</v>
          </cell>
          <cell r="N230">
            <v>0</v>
          </cell>
          <cell r="O230">
            <v>4680</v>
          </cell>
          <cell r="P230">
            <v>0</v>
          </cell>
          <cell r="Q230">
            <v>0</v>
          </cell>
          <cell r="R230">
            <v>0</v>
          </cell>
          <cell r="S230">
            <v>0</v>
          </cell>
          <cell r="T230">
            <v>0</v>
          </cell>
          <cell r="U230">
            <v>0</v>
          </cell>
          <cell r="V230">
            <v>0</v>
          </cell>
        </row>
        <row r="231">
          <cell r="C231" t="str">
            <v>1994MN</v>
          </cell>
          <cell r="D231">
            <v>5920</v>
          </cell>
          <cell r="E231">
            <v>915900</v>
          </cell>
          <cell r="F231">
            <v>71348</v>
          </cell>
          <cell r="G231">
            <v>30000</v>
          </cell>
          <cell r="H231">
            <v>0</v>
          </cell>
          <cell r="I231">
            <v>24750</v>
          </cell>
          <cell r="J231">
            <v>810</v>
          </cell>
          <cell r="K231">
            <v>0</v>
          </cell>
          <cell r="L231">
            <v>0</v>
          </cell>
          <cell r="M231">
            <v>224000</v>
          </cell>
          <cell r="N231">
            <v>0</v>
          </cell>
          <cell r="O231">
            <v>2079</v>
          </cell>
          <cell r="P231">
            <v>0</v>
          </cell>
          <cell r="Q231">
            <v>0</v>
          </cell>
          <cell r="R231">
            <v>0</v>
          </cell>
          <cell r="S231">
            <v>0</v>
          </cell>
          <cell r="T231">
            <v>0</v>
          </cell>
          <cell r="U231">
            <v>0</v>
          </cell>
          <cell r="V231">
            <v>0</v>
          </cell>
        </row>
        <row r="232">
          <cell r="C232" t="str">
            <v>1994MS</v>
          </cell>
          <cell r="D232">
            <v>0</v>
          </cell>
          <cell r="E232">
            <v>26500</v>
          </cell>
          <cell r="F232">
            <v>6400</v>
          </cell>
          <cell r="G232">
            <v>0</v>
          </cell>
          <cell r="H232">
            <v>5250</v>
          </cell>
          <cell r="I232">
            <v>0</v>
          </cell>
          <cell r="J232">
            <v>0</v>
          </cell>
          <cell r="K232">
            <v>0</v>
          </cell>
          <cell r="L232">
            <v>18467</v>
          </cell>
          <cell r="M232">
            <v>57035</v>
          </cell>
          <cell r="N232">
            <v>0</v>
          </cell>
          <cell r="O232">
            <v>0</v>
          </cell>
          <cell r="P232">
            <v>0</v>
          </cell>
          <cell r="Q232">
            <v>0</v>
          </cell>
          <cell r="R232">
            <v>0</v>
          </cell>
          <cell r="S232">
            <v>0</v>
          </cell>
          <cell r="T232">
            <v>0</v>
          </cell>
          <cell r="U232">
            <v>313</v>
          </cell>
          <cell r="V232">
            <v>0</v>
          </cell>
          <cell r="W232">
            <v>0.1</v>
          </cell>
        </row>
        <row r="233">
          <cell r="C233" t="str">
            <v>1994MO</v>
          </cell>
          <cell r="D233">
            <v>1260</v>
          </cell>
          <cell r="E233">
            <v>271400</v>
          </cell>
          <cell r="F233">
            <v>50400</v>
          </cell>
          <cell r="G233">
            <v>0</v>
          </cell>
          <cell r="H233">
            <v>49500</v>
          </cell>
          <cell r="I233">
            <v>1768</v>
          </cell>
          <cell r="J233">
            <v>0</v>
          </cell>
          <cell r="K233">
            <v>0</v>
          </cell>
          <cell r="L233">
            <v>6448</v>
          </cell>
          <cell r="M233">
            <v>173280</v>
          </cell>
          <cell r="N233">
            <v>0</v>
          </cell>
          <cell r="O233">
            <v>0</v>
          </cell>
          <cell r="P233">
            <v>0</v>
          </cell>
          <cell r="Q233">
            <v>0</v>
          </cell>
          <cell r="R233">
            <v>0</v>
          </cell>
          <cell r="S233">
            <v>0</v>
          </cell>
          <cell r="T233">
            <v>0</v>
          </cell>
          <cell r="U233">
            <v>124</v>
          </cell>
          <cell r="V233">
            <v>0</v>
          </cell>
          <cell r="W233">
            <v>0.05</v>
          </cell>
        </row>
        <row r="234">
          <cell r="C234" t="str">
            <v>1994MT</v>
          </cell>
          <cell r="D234">
            <v>3565</v>
          </cell>
          <cell r="E234">
            <v>2295</v>
          </cell>
          <cell r="F234">
            <v>170590</v>
          </cell>
          <cell r="G234">
            <v>52800</v>
          </cell>
          <cell r="H234">
            <v>0</v>
          </cell>
          <cell r="I234">
            <v>3600</v>
          </cell>
          <cell r="J234">
            <v>0</v>
          </cell>
          <cell r="K234">
            <v>0</v>
          </cell>
          <cell r="L234">
            <v>0</v>
          </cell>
          <cell r="M234">
            <v>0</v>
          </cell>
          <cell r="N234">
            <v>0</v>
          </cell>
          <cell r="O234">
            <v>220</v>
          </cell>
          <cell r="P234">
            <v>0</v>
          </cell>
          <cell r="Q234">
            <v>0</v>
          </cell>
          <cell r="R234">
            <v>0</v>
          </cell>
          <cell r="S234">
            <v>0</v>
          </cell>
          <cell r="T234">
            <v>0</v>
          </cell>
          <cell r="U234">
            <v>0</v>
          </cell>
          <cell r="V234">
            <v>0</v>
          </cell>
        </row>
        <row r="235">
          <cell r="C235" t="str">
            <v>1994NE</v>
          </cell>
          <cell r="D235">
            <v>5040</v>
          </cell>
          <cell r="E235">
            <v>1146750</v>
          </cell>
          <cell r="F235">
            <v>71400</v>
          </cell>
          <cell r="G235">
            <v>304</v>
          </cell>
          <cell r="H235">
            <v>117600</v>
          </cell>
          <cell r="I235">
            <v>7500</v>
          </cell>
          <cell r="J235">
            <v>546</v>
          </cell>
          <cell r="K235">
            <v>0</v>
          </cell>
          <cell r="L235">
            <v>0</v>
          </cell>
          <cell r="M235">
            <v>134420</v>
          </cell>
          <cell r="N235">
            <v>0</v>
          </cell>
          <cell r="O235">
            <v>3572</v>
          </cell>
          <cell r="P235">
            <v>0</v>
          </cell>
          <cell r="Q235">
            <v>0</v>
          </cell>
          <cell r="R235">
            <v>0</v>
          </cell>
          <cell r="S235">
            <v>0</v>
          </cell>
          <cell r="T235">
            <v>0</v>
          </cell>
          <cell r="U235">
            <v>0</v>
          </cell>
          <cell r="V235">
            <v>0</v>
          </cell>
        </row>
        <row r="236">
          <cell r="C236" t="str">
            <v>1994NV</v>
          </cell>
          <cell r="D236">
            <v>1032</v>
          </cell>
          <cell r="E236">
            <v>0</v>
          </cell>
          <cell r="F236">
            <v>670</v>
          </cell>
          <cell r="G236">
            <v>340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row>
        <row r="237">
          <cell r="C237" t="str">
            <v>1994NH</v>
          </cell>
          <cell r="D237">
            <v>40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row>
        <row r="238">
          <cell r="C238" t="str">
            <v>1994NJ</v>
          </cell>
          <cell r="D238">
            <v>111</v>
          </cell>
          <cell r="E238">
            <v>9639</v>
          </cell>
          <cell r="F238">
            <v>1344</v>
          </cell>
          <cell r="G238">
            <v>265</v>
          </cell>
          <cell r="H238">
            <v>0</v>
          </cell>
          <cell r="I238">
            <v>0</v>
          </cell>
          <cell r="J238">
            <v>190</v>
          </cell>
          <cell r="K238">
            <v>0</v>
          </cell>
          <cell r="L238">
            <v>0</v>
          </cell>
          <cell r="M238">
            <v>5072</v>
          </cell>
          <cell r="N238">
            <v>0</v>
          </cell>
          <cell r="O238">
            <v>0</v>
          </cell>
          <cell r="P238">
            <v>0</v>
          </cell>
          <cell r="Q238">
            <v>0</v>
          </cell>
          <cell r="R238">
            <v>0</v>
          </cell>
          <cell r="S238">
            <v>0</v>
          </cell>
          <cell r="T238">
            <v>0</v>
          </cell>
          <cell r="U238">
            <v>0</v>
          </cell>
          <cell r="V238">
            <v>0</v>
          </cell>
        </row>
        <row r="239">
          <cell r="C239" t="str">
            <v>1994NM</v>
          </cell>
          <cell r="D239">
            <v>1300</v>
          </cell>
          <cell r="E239">
            <v>12750</v>
          </cell>
          <cell r="F239">
            <v>5520</v>
          </cell>
          <cell r="G239">
            <v>0</v>
          </cell>
          <cell r="H239">
            <v>7410</v>
          </cell>
          <cell r="I239">
            <v>0</v>
          </cell>
          <cell r="J239">
            <v>0</v>
          </cell>
          <cell r="K239">
            <v>0</v>
          </cell>
          <cell r="L239">
            <v>0</v>
          </cell>
          <cell r="M239">
            <v>0</v>
          </cell>
          <cell r="N239">
            <v>51660</v>
          </cell>
          <cell r="O239">
            <v>283</v>
          </cell>
          <cell r="P239">
            <v>0</v>
          </cell>
          <cell r="Q239">
            <v>0</v>
          </cell>
          <cell r="R239">
            <v>0</v>
          </cell>
          <cell r="S239">
            <v>0</v>
          </cell>
          <cell r="T239">
            <v>0</v>
          </cell>
          <cell r="U239">
            <v>0</v>
          </cell>
          <cell r="V239">
            <v>0</v>
          </cell>
        </row>
        <row r="240">
          <cell r="C240" t="str">
            <v>1994NY</v>
          </cell>
          <cell r="D240">
            <v>1829</v>
          </cell>
          <cell r="E240">
            <v>66120</v>
          </cell>
          <cell r="F240">
            <v>6095</v>
          </cell>
          <cell r="G240">
            <v>0</v>
          </cell>
          <cell r="H240">
            <v>0</v>
          </cell>
          <cell r="I240">
            <v>7040</v>
          </cell>
          <cell r="J240">
            <v>248</v>
          </cell>
          <cell r="K240">
            <v>0</v>
          </cell>
          <cell r="L240">
            <v>0</v>
          </cell>
          <cell r="M240">
            <v>0</v>
          </cell>
          <cell r="N240">
            <v>0</v>
          </cell>
          <cell r="O240">
            <v>585</v>
          </cell>
          <cell r="P240">
            <v>0</v>
          </cell>
          <cell r="Q240">
            <v>0</v>
          </cell>
          <cell r="R240">
            <v>0</v>
          </cell>
          <cell r="S240">
            <v>0</v>
          </cell>
          <cell r="T240">
            <v>0</v>
          </cell>
          <cell r="U240">
            <v>0</v>
          </cell>
          <cell r="V240">
            <v>0</v>
          </cell>
        </row>
        <row r="241">
          <cell r="C241" t="str">
            <v>1994NC</v>
          </cell>
          <cell r="D241">
            <v>60</v>
          </cell>
          <cell r="E241">
            <v>81900</v>
          </cell>
          <cell r="F241">
            <v>30380</v>
          </cell>
          <cell r="G241">
            <v>1750</v>
          </cell>
          <cell r="H241">
            <v>1100</v>
          </cell>
          <cell r="I241">
            <v>2600</v>
          </cell>
          <cell r="J241">
            <v>650</v>
          </cell>
          <cell r="K241">
            <v>0</v>
          </cell>
          <cell r="L241">
            <v>0</v>
          </cell>
          <cell r="M241">
            <v>41850</v>
          </cell>
          <cell r="N241">
            <v>485465</v>
          </cell>
          <cell r="O241">
            <v>0</v>
          </cell>
          <cell r="P241">
            <v>0</v>
          </cell>
          <cell r="Q241">
            <v>0</v>
          </cell>
          <cell r="R241">
            <v>0</v>
          </cell>
          <cell r="S241">
            <v>0</v>
          </cell>
          <cell r="T241">
            <v>0</v>
          </cell>
          <cell r="U241">
            <v>0</v>
          </cell>
          <cell r="V241">
            <v>0</v>
          </cell>
        </row>
        <row r="242">
          <cell r="C242" t="str">
            <v>1994ND</v>
          </cell>
          <cell r="D242">
            <v>2755</v>
          </cell>
          <cell r="E242">
            <v>52000</v>
          </cell>
          <cell r="F242">
            <v>356404</v>
          </cell>
          <cell r="G242">
            <v>132000</v>
          </cell>
          <cell r="H242">
            <v>0</v>
          </cell>
          <cell r="I242">
            <v>33550</v>
          </cell>
          <cell r="J242">
            <v>700</v>
          </cell>
          <cell r="K242">
            <v>0</v>
          </cell>
          <cell r="L242">
            <v>0</v>
          </cell>
          <cell r="M242">
            <v>18910</v>
          </cell>
          <cell r="N242">
            <v>0</v>
          </cell>
          <cell r="O242">
            <v>6110</v>
          </cell>
          <cell r="P242">
            <v>0</v>
          </cell>
          <cell r="Q242">
            <v>0</v>
          </cell>
          <cell r="R242">
            <v>0</v>
          </cell>
          <cell r="S242">
            <v>0</v>
          </cell>
          <cell r="T242">
            <v>0</v>
          </cell>
          <cell r="U242">
            <v>0</v>
          </cell>
          <cell r="V242">
            <v>0</v>
          </cell>
        </row>
        <row r="243">
          <cell r="C243" t="str">
            <v>1994OH</v>
          </cell>
          <cell r="D243">
            <v>2772</v>
          </cell>
          <cell r="E243">
            <v>486500</v>
          </cell>
          <cell r="F243">
            <v>68440</v>
          </cell>
          <cell r="G243">
            <v>0</v>
          </cell>
          <cell r="H243">
            <v>0</v>
          </cell>
          <cell r="I243">
            <v>6720</v>
          </cell>
          <cell r="J243">
            <v>170</v>
          </cell>
          <cell r="K243">
            <v>0</v>
          </cell>
          <cell r="L243">
            <v>0</v>
          </cell>
          <cell r="M243">
            <v>173565</v>
          </cell>
          <cell r="N243">
            <v>0</v>
          </cell>
          <cell r="O243">
            <v>0</v>
          </cell>
          <cell r="P243">
            <v>0</v>
          </cell>
          <cell r="Q243">
            <v>0</v>
          </cell>
          <cell r="R243">
            <v>0</v>
          </cell>
          <cell r="S243">
            <v>0</v>
          </cell>
          <cell r="T243">
            <v>0</v>
          </cell>
          <cell r="U243">
            <v>0</v>
          </cell>
          <cell r="V243">
            <v>0</v>
          </cell>
        </row>
        <row r="244">
          <cell r="C244" t="str">
            <v>1994OK</v>
          </cell>
          <cell r="D244">
            <v>1190</v>
          </cell>
          <cell r="E244">
            <v>17655</v>
          </cell>
          <cell r="F244">
            <v>143100</v>
          </cell>
          <cell r="G244">
            <v>222</v>
          </cell>
          <cell r="H244">
            <v>14000</v>
          </cell>
          <cell r="I244">
            <v>1110</v>
          </cell>
          <cell r="J244">
            <v>945</v>
          </cell>
          <cell r="K244">
            <v>0</v>
          </cell>
          <cell r="L244">
            <v>0</v>
          </cell>
          <cell r="M244">
            <v>9280</v>
          </cell>
          <cell r="N244">
            <v>261000</v>
          </cell>
          <cell r="O244">
            <v>0</v>
          </cell>
          <cell r="P244">
            <v>0</v>
          </cell>
          <cell r="Q244">
            <v>0</v>
          </cell>
          <cell r="R244">
            <v>0</v>
          </cell>
          <cell r="S244">
            <v>0</v>
          </cell>
          <cell r="T244">
            <v>0</v>
          </cell>
          <cell r="U244">
            <v>0.89639999999999997</v>
          </cell>
          <cell r="V244">
            <v>0</v>
          </cell>
          <cell r="W244">
            <v>0.9</v>
          </cell>
        </row>
        <row r="245">
          <cell r="C245" t="str">
            <v>1994OR</v>
          </cell>
          <cell r="D245">
            <v>1640</v>
          </cell>
          <cell r="E245">
            <v>3400</v>
          </cell>
          <cell r="F245">
            <v>58580</v>
          </cell>
          <cell r="G245">
            <v>9490</v>
          </cell>
          <cell r="H245">
            <v>0</v>
          </cell>
          <cell r="I245">
            <v>4500</v>
          </cell>
          <cell r="J245">
            <v>0</v>
          </cell>
          <cell r="K245">
            <v>0</v>
          </cell>
          <cell r="L245">
            <v>0</v>
          </cell>
          <cell r="M245">
            <v>0</v>
          </cell>
          <cell r="N245">
            <v>0</v>
          </cell>
          <cell r="O245">
            <v>197</v>
          </cell>
          <cell r="P245">
            <v>0</v>
          </cell>
          <cell r="Q245">
            <v>7</v>
          </cell>
          <cell r="R245">
            <v>0</v>
          </cell>
          <cell r="S245">
            <v>0</v>
          </cell>
          <cell r="T245">
            <v>0</v>
          </cell>
          <cell r="U245">
            <v>0</v>
          </cell>
          <cell r="V245">
            <v>0</v>
          </cell>
        </row>
        <row r="246">
          <cell r="C246" t="str">
            <v>1994PA</v>
          </cell>
          <cell r="D246">
            <v>2400</v>
          </cell>
          <cell r="E246">
            <v>123600</v>
          </cell>
          <cell r="F246">
            <v>7920</v>
          </cell>
          <cell r="G246">
            <v>4875</v>
          </cell>
          <cell r="H246">
            <v>0</v>
          </cell>
          <cell r="I246">
            <v>8480</v>
          </cell>
          <cell r="J246">
            <v>320</v>
          </cell>
          <cell r="K246">
            <v>0</v>
          </cell>
          <cell r="L246">
            <v>0</v>
          </cell>
          <cell r="M246">
            <v>13230</v>
          </cell>
          <cell r="N246">
            <v>0</v>
          </cell>
          <cell r="O246">
            <v>0</v>
          </cell>
          <cell r="P246">
            <v>0</v>
          </cell>
          <cell r="Q246">
            <v>0</v>
          </cell>
          <cell r="R246">
            <v>0</v>
          </cell>
          <cell r="S246">
            <v>0</v>
          </cell>
          <cell r="T246">
            <v>0</v>
          </cell>
          <cell r="U246">
            <v>0</v>
          </cell>
          <cell r="V246">
            <v>0</v>
          </cell>
        </row>
        <row r="247">
          <cell r="C247" t="str">
            <v>1994RI</v>
          </cell>
          <cell r="D247">
            <v>5</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row>
        <row r="248">
          <cell r="C248" t="str">
            <v>1994SC</v>
          </cell>
          <cell r="D248">
            <v>0</v>
          </cell>
          <cell r="E248">
            <v>29325</v>
          </cell>
          <cell r="F248">
            <v>18000</v>
          </cell>
          <cell r="G248">
            <v>504</v>
          </cell>
          <cell r="H248">
            <v>320</v>
          </cell>
          <cell r="I248">
            <v>2840</v>
          </cell>
          <cell r="J248">
            <v>600</v>
          </cell>
          <cell r="K248">
            <v>0</v>
          </cell>
          <cell r="L248">
            <v>0</v>
          </cell>
          <cell r="M248">
            <v>15660</v>
          </cell>
          <cell r="N248">
            <v>36250</v>
          </cell>
          <cell r="O248">
            <v>0</v>
          </cell>
          <cell r="P248">
            <v>0</v>
          </cell>
          <cell r="Q248">
            <v>0</v>
          </cell>
          <cell r="R248">
            <v>0</v>
          </cell>
          <cell r="S248">
            <v>0</v>
          </cell>
          <cell r="T248">
            <v>0</v>
          </cell>
          <cell r="U248">
            <v>0</v>
          </cell>
          <cell r="V248">
            <v>0</v>
          </cell>
        </row>
        <row r="249">
          <cell r="C249" t="str">
            <v>1994SD</v>
          </cell>
          <cell r="D249">
            <v>5250</v>
          </cell>
          <cell r="E249">
            <v>361800</v>
          </cell>
          <cell r="F249">
            <v>95278</v>
          </cell>
          <cell r="G249">
            <v>13020</v>
          </cell>
          <cell r="H249">
            <v>11375</v>
          </cell>
          <cell r="I249">
            <v>31360</v>
          </cell>
          <cell r="J249">
            <v>1485</v>
          </cell>
          <cell r="K249">
            <v>0</v>
          </cell>
          <cell r="L249">
            <v>0</v>
          </cell>
          <cell r="M249">
            <v>91200</v>
          </cell>
          <cell r="N249">
            <v>0</v>
          </cell>
          <cell r="O249">
            <v>0</v>
          </cell>
          <cell r="P249">
            <v>0</v>
          </cell>
          <cell r="Q249">
            <v>0</v>
          </cell>
          <cell r="R249">
            <v>0</v>
          </cell>
          <cell r="S249">
            <v>0</v>
          </cell>
          <cell r="T249">
            <v>0</v>
          </cell>
          <cell r="U249">
            <v>0</v>
          </cell>
          <cell r="V249">
            <v>0</v>
          </cell>
        </row>
        <row r="250">
          <cell r="C250" t="str">
            <v>1994TN</v>
          </cell>
          <cell r="D250">
            <v>165</v>
          </cell>
          <cell r="E250">
            <v>66120</v>
          </cell>
          <cell r="F250">
            <v>15000</v>
          </cell>
          <cell r="G250">
            <v>0</v>
          </cell>
          <cell r="H250">
            <v>2640</v>
          </cell>
          <cell r="I250">
            <v>0</v>
          </cell>
          <cell r="J250">
            <v>0</v>
          </cell>
          <cell r="K250">
            <v>0</v>
          </cell>
          <cell r="L250">
            <v>0</v>
          </cell>
          <cell r="M250">
            <v>36500</v>
          </cell>
          <cell r="N250">
            <v>0</v>
          </cell>
          <cell r="O250">
            <v>0</v>
          </cell>
          <cell r="P250">
            <v>0</v>
          </cell>
          <cell r="Q250">
            <v>0</v>
          </cell>
          <cell r="R250">
            <v>0</v>
          </cell>
          <cell r="S250">
            <v>0</v>
          </cell>
          <cell r="T250">
            <v>0</v>
          </cell>
          <cell r="U250">
            <v>0</v>
          </cell>
          <cell r="V250">
            <v>0</v>
          </cell>
        </row>
        <row r="251">
          <cell r="C251" t="str">
            <v>1994TX</v>
          </cell>
          <cell r="D251">
            <v>405</v>
          </cell>
          <cell r="E251">
            <v>238680</v>
          </cell>
          <cell r="F251">
            <v>75400</v>
          </cell>
          <cell r="G251">
            <v>264</v>
          </cell>
          <cell r="H251">
            <v>153400</v>
          </cell>
          <cell r="I251">
            <v>5200</v>
          </cell>
          <cell r="J251">
            <v>435</v>
          </cell>
          <cell r="K251">
            <v>0</v>
          </cell>
          <cell r="L251">
            <v>21252</v>
          </cell>
          <cell r="M251">
            <v>7035</v>
          </cell>
          <cell r="N251">
            <v>605570</v>
          </cell>
          <cell r="O251">
            <v>218</v>
          </cell>
          <cell r="P251">
            <v>0</v>
          </cell>
          <cell r="Q251">
            <v>0</v>
          </cell>
          <cell r="R251">
            <v>0</v>
          </cell>
          <cell r="S251">
            <v>0</v>
          </cell>
          <cell r="T251">
            <v>1358</v>
          </cell>
          <cell r="U251">
            <v>354</v>
          </cell>
          <cell r="V251">
            <v>142</v>
          </cell>
          <cell r="W251">
            <v>0.01</v>
          </cell>
        </row>
        <row r="252">
          <cell r="C252" t="str">
            <v>1994UT</v>
          </cell>
          <cell r="D252">
            <v>2205</v>
          </cell>
          <cell r="E252">
            <v>2860</v>
          </cell>
          <cell r="F252">
            <v>7012</v>
          </cell>
          <cell r="G252">
            <v>8025</v>
          </cell>
          <cell r="H252">
            <v>0</v>
          </cell>
          <cell r="I252">
            <v>576</v>
          </cell>
          <cell r="J252">
            <v>0</v>
          </cell>
          <cell r="K252">
            <v>0</v>
          </cell>
          <cell r="L252">
            <v>0</v>
          </cell>
          <cell r="M252">
            <v>0</v>
          </cell>
          <cell r="N252">
            <v>0</v>
          </cell>
          <cell r="O252">
            <v>24</v>
          </cell>
          <cell r="P252">
            <v>0</v>
          </cell>
          <cell r="Q252">
            <v>0</v>
          </cell>
          <cell r="R252">
            <v>0</v>
          </cell>
          <cell r="S252">
            <v>0</v>
          </cell>
          <cell r="T252">
            <v>0</v>
          </cell>
          <cell r="U252">
            <v>0</v>
          </cell>
          <cell r="V252">
            <v>0</v>
          </cell>
        </row>
        <row r="253">
          <cell r="C253" t="str">
            <v>1994VT</v>
          </cell>
          <cell r="D253">
            <v>220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row>
        <row r="254">
          <cell r="C254" t="str">
            <v>1994VA</v>
          </cell>
          <cell r="D254">
            <v>403</v>
          </cell>
          <cell r="E254">
            <v>34300</v>
          </cell>
          <cell r="F254">
            <v>14000</v>
          </cell>
          <cell r="G254">
            <v>6351</v>
          </cell>
          <cell r="H254">
            <v>0</v>
          </cell>
          <cell r="I254">
            <v>0</v>
          </cell>
          <cell r="J254">
            <v>252</v>
          </cell>
          <cell r="K254">
            <v>0</v>
          </cell>
          <cell r="L254">
            <v>0</v>
          </cell>
          <cell r="M254">
            <v>16640</v>
          </cell>
          <cell r="N254">
            <v>291180</v>
          </cell>
          <cell r="O254">
            <v>0</v>
          </cell>
          <cell r="P254">
            <v>0</v>
          </cell>
          <cell r="Q254">
            <v>0</v>
          </cell>
          <cell r="R254">
            <v>0</v>
          </cell>
          <cell r="S254">
            <v>0</v>
          </cell>
          <cell r="T254">
            <v>0</v>
          </cell>
          <cell r="U254">
            <v>0</v>
          </cell>
          <cell r="V254">
            <v>0</v>
          </cell>
        </row>
        <row r="255">
          <cell r="C255" t="str">
            <v>1994WA</v>
          </cell>
          <cell r="D255">
            <v>2209</v>
          </cell>
          <cell r="E255">
            <v>19425</v>
          </cell>
          <cell r="F255">
            <v>134000</v>
          </cell>
          <cell r="G255">
            <v>14335</v>
          </cell>
          <cell r="H255">
            <v>0</v>
          </cell>
          <cell r="I255">
            <v>1160</v>
          </cell>
          <cell r="J255">
            <v>0</v>
          </cell>
          <cell r="K255">
            <v>0</v>
          </cell>
          <cell r="L255">
            <v>0</v>
          </cell>
          <cell r="M255">
            <v>0</v>
          </cell>
          <cell r="N255">
            <v>0</v>
          </cell>
          <cell r="O255">
            <v>840</v>
          </cell>
          <cell r="P255">
            <v>1409</v>
          </cell>
          <cell r="Q255">
            <v>0</v>
          </cell>
          <cell r="R255">
            <v>921</v>
          </cell>
          <cell r="S255">
            <v>386</v>
          </cell>
          <cell r="T255">
            <v>0</v>
          </cell>
          <cell r="U255">
            <v>0</v>
          </cell>
          <cell r="V255">
            <v>0</v>
          </cell>
        </row>
        <row r="256">
          <cell r="C256" t="str">
            <v>1994WV</v>
          </cell>
          <cell r="D256">
            <v>160</v>
          </cell>
          <cell r="E256">
            <v>3675</v>
          </cell>
          <cell r="F256">
            <v>550</v>
          </cell>
          <cell r="G256">
            <v>0</v>
          </cell>
          <cell r="H256">
            <v>0</v>
          </cell>
          <cell r="I256">
            <v>225</v>
          </cell>
          <cell r="J256">
            <v>0</v>
          </cell>
          <cell r="K256">
            <v>0</v>
          </cell>
          <cell r="L256">
            <v>0</v>
          </cell>
          <cell r="M256">
            <v>0</v>
          </cell>
          <cell r="N256">
            <v>0</v>
          </cell>
          <cell r="O256">
            <v>0</v>
          </cell>
          <cell r="P256">
            <v>0</v>
          </cell>
          <cell r="Q256">
            <v>0</v>
          </cell>
          <cell r="R256">
            <v>0</v>
          </cell>
          <cell r="S256">
            <v>0</v>
          </cell>
          <cell r="T256">
            <v>0</v>
          </cell>
          <cell r="U256">
            <v>0</v>
          </cell>
          <cell r="V256">
            <v>0</v>
          </cell>
        </row>
        <row r="257">
          <cell r="C257" t="str">
            <v>1994WI</v>
          </cell>
          <cell r="D257">
            <v>5750</v>
          </cell>
          <cell r="E257">
            <v>437100</v>
          </cell>
          <cell r="F257">
            <v>7940</v>
          </cell>
          <cell r="G257">
            <v>4452</v>
          </cell>
          <cell r="H257">
            <v>0</v>
          </cell>
          <cell r="I257">
            <v>25380</v>
          </cell>
          <cell r="J257">
            <v>875</v>
          </cell>
          <cell r="K257">
            <v>0</v>
          </cell>
          <cell r="L257">
            <v>0</v>
          </cell>
          <cell r="M257">
            <v>36105</v>
          </cell>
          <cell r="N257">
            <v>0</v>
          </cell>
          <cell r="O257">
            <v>237</v>
          </cell>
          <cell r="P257">
            <v>0</v>
          </cell>
          <cell r="Q257">
            <v>0</v>
          </cell>
          <cell r="R257">
            <v>0</v>
          </cell>
          <cell r="S257">
            <v>0</v>
          </cell>
          <cell r="T257">
            <v>0</v>
          </cell>
          <cell r="U257">
            <v>0</v>
          </cell>
          <cell r="V257">
            <v>0</v>
          </cell>
        </row>
        <row r="258">
          <cell r="C258" t="str">
            <v>1994WY</v>
          </cell>
          <cell r="D258">
            <v>1403</v>
          </cell>
          <cell r="E258">
            <v>5856</v>
          </cell>
          <cell r="F258">
            <v>5020</v>
          </cell>
          <cell r="G258">
            <v>7600</v>
          </cell>
          <cell r="H258">
            <v>0</v>
          </cell>
          <cell r="I258">
            <v>1200</v>
          </cell>
          <cell r="J258">
            <v>0</v>
          </cell>
          <cell r="K258">
            <v>0</v>
          </cell>
          <cell r="L258">
            <v>0</v>
          </cell>
          <cell r="M258">
            <v>0</v>
          </cell>
          <cell r="N258">
            <v>0</v>
          </cell>
          <cell r="O258">
            <v>743</v>
          </cell>
          <cell r="P258">
            <v>0</v>
          </cell>
          <cell r="Q258">
            <v>0</v>
          </cell>
          <cell r="R258">
            <v>0</v>
          </cell>
          <cell r="S258">
            <v>0</v>
          </cell>
          <cell r="T258">
            <v>0</v>
          </cell>
          <cell r="U258">
            <v>0</v>
          </cell>
          <cell r="V258">
            <v>0</v>
          </cell>
        </row>
        <row r="259">
          <cell r="C259" t="str">
            <v>1994US</v>
          </cell>
          <cell r="D259">
            <v>81130</v>
          </cell>
          <cell r="E259">
            <v>10050520</v>
          </cell>
          <cell r="F259">
            <v>2320981</v>
          </cell>
          <cell r="G259">
            <v>375092</v>
          </cell>
          <cell r="H259">
            <v>645741</v>
          </cell>
          <cell r="I259">
            <v>228844</v>
          </cell>
          <cell r="J259">
            <v>11341</v>
          </cell>
          <cell r="K259">
            <v>0</v>
          </cell>
          <cell r="L259">
            <v>197779</v>
          </cell>
          <cell r="M259">
            <v>2514869</v>
          </cell>
          <cell r="N259">
            <v>4247455</v>
          </cell>
          <cell r="O259">
            <v>28950</v>
          </cell>
          <cell r="P259">
            <v>2255</v>
          </cell>
          <cell r="Q259">
            <v>51</v>
          </cell>
          <cell r="R259">
            <v>1856</v>
          </cell>
          <cell r="S259">
            <v>754</v>
          </cell>
          <cell r="T259">
            <v>30927</v>
          </cell>
        </row>
        <row r="260">
          <cell r="C260" t="str">
            <v>1995AL</v>
          </cell>
          <cell r="D260">
            <v>0</v>
          </cell>
          <cell r="E260">
            <v>16500</v>
          </cell>
          <cell r="F260">
            <v>2880</v>
          </cell>
          <cell r="G260">
            <v>0</v>
          </cell>
          <cell r="H260">
            <v>320</v>
          </cell>
          <cell r="I260">
            <v>805</v>
          </cell>
          <cell r="J260">
            <v>0</v>
          </cell>
          <cell r="K260">
            <v>0</v>
          </cell>
          <cell r="L260">
            <v>0</v>
          </cell>
          <cell r="M260">
            <v>5400</v>
          </cell>
          <cell r="N260">
            <v>483360</v>
          </cell>
          <cell r="O260">
            <v>0</v>
          </cell>
          <cell r="P260">
            <v>0</v>
          </cell>
          <cell r="Q260">
            <v>0</v>
          </cell>
          <cell r="R260">
            <v>0</v>
          </cell>
          <cell r="S260">
            <v>0</v>
          </cell>
          <cell r="T260">
            <v>0</v>
          </cell>
          <cell r="U260">
            <v>0</v>
          </cell>
          <cell r="V260">
            <v>0</v>
          </cell>
        </row>
        <row r="261">
          <cell r="C261" t="str">
            <v>1995AK</v>
          </cell>
          <cell r="D261">
            <v>0</v>
          </cell>
          <cell r="E261">
            <v>0</v>
          </cell>
          <cell r="F261">
            <v>0</v>
          </cell>
          <cell r="G261">
            <v>372</v>
          </cell>
          <cell r="H261">
            <v>0</v>
          </cell>
          <cell r="I261">
            <v>70200</v>
          </cell>
          <cell r="J261">
            <v>0</v>
          </cell>
          <cell r="K261">
            <v>0</v>
          </cell>
          <cell r="L261">
            <v>0</v>
          </cell>
          <cell r="M261">
            <v>0</v>
          </cell>
          <cell r="N261">
            <v>0</v>
          </cell>
          <cell r="O261">
            <v>0</v>
          </cell>
          <cell r="P261">
            <v>0</v>
          </cell>
          <cell r="Q261">
            <v>0</v>
          </cell>
          <cell r="R261">
            <v>0</v>
          </cell>
          <cell r="S261">
            <v>0</v>
          </cell>
          <cell r="T261">
            <v>0</v>
          </cell>
          <cell r="U261">
            <v>0</v>
          </cell>
          <cell r="V261">
            <v>0</v>
          </cell>
        </row>
        <row r="262">
          <cell r="C262" t="str">
            <v>1995AZ</v>
          </cell>
          <cell r="D262">
            <v>1287</v>
          </cell>
          <cell r="E262">
            <v>3740</v>
          </cell>
          <cell r="F262">
            <v>10354</v>
          </cell>
          <cell r="G262">
            <v>1890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row>
        <row r="263">
          <cell r="C263" t="str">
            <v>1995AR</v>
          </cell>
          <cell r="D263">
            <v>63</v>
          </cell>
          <cell r="E263">
            <v>9775</v>
          </cell>
          <cell r="F263">
            <v>47000</v>
          </cell>
          <cell r="G263">
            <v>0</v>
          </cell>
          <cell r="H263">
            <v>13135</v>
          </cell>
          <cell r="I263">
            <v>765</v>
          </cell>
          <cell r="J263">
            <v>0</v>
          </cell>
          <cell r="K263">
            <v>0</v>
          </cell>
          <cell r="L263">
            <v>73020</v>
          </cell>
          <cell r="M263">
            <v>88400</v>
          </cell>
          <cell r="N263">
            <v>0</v>
          </cell>
          <cell r="O263">
            <v>0</v>
          </cell>
          <cell r="P263">
            <v>0</v>
          </cell>
          <cell r="Q263">
            <v>0</v>
          </cell>
          <cell r="R263">
            <v>0</v>
          </cell>
          <cell r="S263">
            <v>0</v>
          </cell>
          <cell r="T263">
            <v>0</v>
          </cell>
          <cell r="U263">
            <v>1340</v>
          </cell>
          <cell r="V263">
            <v>0</v>
          </cell>
          <cell r="W263">
            <v>0.13</v>
          </cell>
        </row>
        <row r="264">
          <cell r="C264" t="str">
            <v>1995CA</v>
          </cell>
          <cell r="D264">
            <v>6486</v>
          </cell>
          <cell r="E264">
            <v>24000</v>
          </cell>
          <cell r="F264">
            <v>32725</v>
          </cell>
          <cell r="G264">
            <v>14000</v>
          </cell>
          <cell r="H264">
            <v>0</v>
          </cell>
          <cell r="I264">
            <v>2550</v>
          </cell>
          <cell r="J264">
            <v>0</v>
          </cell>
          <cell r="K264">
            <v>0</v>
          </cell>
          <cell r="L264">
            <v>35352</v>
          </cell>
          <cell r="M264">
            <v>0</v>
          </cell>
          <cell r="N264">
            <v>0</v>
          </cell>
          <cell r="O264">
            <v>2740</v>
          </cell>
          <cell r="P264">
            <v>0</v>
          </cell>
          <cell r="Q264">
            <v>0</v>
          </cell>
          <cell r="R264">
            <v>0</v>
          </cell>
          <cell r="S264">
            <v>0</v>
          </cell>
          <cell r="T264">
            <v>0</v>
          </cell>
          <cell r="U264">
            <v>465</v>
          </cell>
          <cell r="V264">
            <v>0</v>
          </cell>
          <cell r="W264">
            <v>0.59</v>
          </cell>
        </row>
        <row r="265">
          <cell r="C265" t="str">
            <v>1995CO</v>
          </cell>
          <cell r="D265">
            <v>3060</v>
          </cell>
          <cell r="E265">
            <v>92130</v>
          </cell>
          <cell r="F265">
            <v>105260</v>
          </cell>
          <cell r="G265">
            <v>10000</v>
          </cell>
          <cell r="H265">
            <v>4620</v>
          </cell>
          <cell r="I265">
            <v>2046</v>
          </cell>
          <cell r="J265">
            <v>60</v>
          </cell>
          <cell r="K265">
            <v>0</v>
          </cell>
          <cell r="L265">
            <v>0</v>
          </cell>
          <cell r="M265">
            <v>0</v>
          </cell>
          <cell r="N265">
            <v>0</v>
          </cell>
          <cell r="O265">
            <v>2558</v>
          </cell>
          <cell r="P265">
            <v>0</v>
          </cell>
          <cell r="Q265">
            <v>0</v>
          </cell>
          <cell r="R265">
            <v>0</v>
          </cell>
          <cell r="S265">
            <v>0</v>
          </cell>
          <cell r="T265">
            <v>0</v>
          </cell>
          <cell r="U265">
            <v>0</v>
          </cell>
          <cell r="V265">
            <v>0</v>
          </cell>
        </row>
        <row r="266">
          <cell r="C266" t="str">
            <v>1995CT</v>
          </cell>
          <cell r="D266">
            <v>32</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row>
        <row r="267">
          <cell r="C267" t="str">
            <v>1995DE</v>
          </cell>
          <cell r="D267">
            <v>15</v>
          </cell>
          <cell r="E267">
            <v>15120</v>
          </cell>
          <cell r="F267">
            <v>4352</v>
          </cell>
          <cell r="G267">
            <v>2960</v>
          </cell>
          <cell r="H267">
            <v>0</v>
          </cell>
          <cell r="I267">
            <v>0</v>
          </cell>
          <cell r="J267">
            <v>0</v>
          </cell>
          <cell r="K267">
            <v>0</v>
          </cell>
          <cell r="L267">
            <v>0</v>
          </cell>
          <cell r="M267">
            <v>4660</v>
          </cell>
          <cell r="N267">
            <v>0</v>
          </cell>
          <cell r="O267">
            <v>0</v>
          </cell>
          <cell r="P267">
            <v>0</v>
          </cell>
          <cell r="Q267">
            <v>0</v>
          </cell>
          <cell r="R267">
            <v>0</v>
          </cell>
          <cell r="S267">
            <v>0</v>
          </cell>
          <cell r="T267">
            <v>0</v>
          </cell>
          <cell r="U267">
            <v>0</v>
          </cell>
          <cell r="V267">
            <v>0</v>
          </cell>
        </row>
        <row r="268">
          <cell r="C268" t="str">
            <v>1995FL</v>
          </cell>
          <cell r="D268">
            <v>0</v>
          </cell>
          <cell r="E268">
            <v>5400</v>
          </cell>
          <cell r="F268">
            <v>384</v>
          </cell>
          <cell r="G268">
            <v>0</v>
          </cell>
          <cell r="H268">
            <v>0</v>
          </cell>
          <cell r="I268">
            <v>0</v>
          </cell>
          <cell r="J268">
            <v>0</v>
          </cell>
          <cell r="K268">
            <v>0</v>
          </cell>
          <cell r="L268">
            <v>1066.4115935057127</v>
          </cell>
          <cell r="M268">
            <v>728</v>
          </cell>
          <cell r="N268">
            <v>193590</v>
          </cell>
          <cell r="O268">
            <v>0</v>
          </cell>
          <cell r="P268">
            <v>0</v>
          </cell>
          <cell r="Q268">
            <v>0</v>
          </cell>
          <cell r="R268">
            <v>0</v>
          </cell>
          <cell r="S268">
            <v>0</v>
          </cell>
          <cell r="T268">
            <v>15106</v>
          </cell>
          <cell r="U268">
            <v>24</v>
          </cell>
          <cell r="V268">
            <v>12</v>
          </cell>
          <cell r="W268">
            <v>0</v>
          </cell>
        </row>
        <row r="269">
          <cell r="C269" t="str">
            <v>1995GA</v>
          </cell>
          <cell r="D269">
            <v>0</v>
          </cell>
          <cell r="E269">
            <v>31500</v>
          </cell>
          <cell r="F269">
            <v>11400</v>
          </cell>
          <cell r="G269">
            <v>0</v>
          </cell>
          <cell r="H269">
            <v>1110</v>
          </cell>
          <cell r="I269">
            <v>1750</v>
          </cell>
          <cell r="J269">
            <v>1155</v>
          </cell>
          <cell r="K269">
            <v>0</v>
          </cell>
          <cell r="L269">
            <v>0</v>
          </cell>
          <cell r="M269">
            <v>8370</v>
          </cell>
          <cell r="N269">
            <v>1414880</v>
          </cell>
          <cell r="O269">
            <v>0</v>
          </cell>
          <cell r="P269">
            <v>0</v>
          </cell>
          <cell r="Q269">
            <v>0</v>
          </cell>
          <cell r="R269">
            <v>0</v>
          </cell>
          <cell r="S269">
            <v>0</v>
          </cell>
          <cell r="T269">
            <v>0</v>
          </cell>
          <cell r="U269">
            <v>0</v>
          </cell>
          <cell r="V269">
            <v>0</v>
          </cell>
        </row>
        <row r="270">
          <cell r="C270" t="str">
            <v>1995HI</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4070</v>
          </cell>
          <cell r="U270">
            <v>0</v>
          </cell>
          <cell r="V270">
            <v>0</v>
          </cell>
        </row>
        <row r="271">
          <cell r="C271" t="str">
            <v>1995ID</v>
          </cell>
          <cell r="D271">
            <v>4510</v>
          </cell>
          <cell r="E271">
            <v>4900</v>
          </cell>
          <cell r="F271">
            <v>103320</v>
          </cell>
          <cell r="G271">
            <v>60800</v>
          </cell>
          <cell r="H271">
            <v>0</v>
          </cell>
          <cell r="I271">
            <v>1600</v>
          </cell>
          <cell r="J271">
            <v>0</v>
          </cell>
          <cell r="K271">
            <v>0</v>
          </cell>
          <cell r="L271">
            <v>0</v>
          </cell>
          <cell r="M271">
            <v>0</v>
          </cell>
          <cell r="N271">
            <v>0</v>
          </cell>
          <cell r="O271">
            <v>2160</v>
          </cell>
          <cell r="P271">
            <v>1564</v>
          </cell>
          <cell r="Q271">
            <v>105</v>
          </cell>
          <cell r="R271">
            <v>1015</v>
          </cell>
          <cell r="S271">
            <v>493</v>
          </cell>
          <cell r="T271">
            <v>0</v>
          </cell>
          <cell r="U271">
            <v>0</v>
          </cell>
          <cell r="V271">
            <v>0</v>
          </cell>
        </row>
        <row r="272">
          <cell r="C272" t="str">
            <v>1995IL</v>
          </cell>
          <cell r="D272">
            <v>2280</v>
          </cell>
          <cell r="E272">
            <v>1130000</v>
          </cell>
          <cell r="F272">
            <v>68110</v>
          </cell>
          <cell r="G272">
            <v>0</v>
          </cell>
          <cell r="H272">
            <v>10005</v>
          </cell>
          <cell r="I272">
            <v>5360</v>
          </cell>
          <cell r="J272">
            <v>240</v>
          </cell>
          <cell r="K272">
            <v>0</v>
          </cell>
          <cell r="L272">
            <v>0</v>
          </cell>
          <cell r="M272">
            <v>378300</v>
          </cell>
          <cell r="N272">
            <v>0</v>
          </cell>
          <cell r="O272">
            <v>0</v>
          </cell>
          <cell r="P272">
            <v>0</v>
          </cell>
          <cell r="Q272">
            <v>0</v>
          </cell>
          <cell r="R272">
            <v>0</v>
          </cell>
          <cell r="S272">
            <v>0</v>
          </cell>
          <cell r="T272">
            <v>0</v>
          </cell>
          <cell r="U272">
            <v>0</v>
          </cell>
          <cell r="V272">
            <v>0</v>
          </cell>
        </row>
        <row r="273">
          <cell r="C273" t="str">
            <v>1995IN</v>
          </cell>
          <cell r="D273">
            <v>1280</v>
          </cell>
          <cell r="E273">
            <v>598900</v>
          </cell>
          <cell r="F273">
            <v>39600</v>
          </cell>
          <cell r="G273">
            <v>0</v>
          </cell>
          <cell r="H273">
            <v>0</v>
          </cell>
          <cell r="I273">
            <v>2040</v>
          </cell>
          <cell r="J273">
            <v>116</v>
          </cell>
          <cell r="K273">
            <v>0</v>
          </cell>
          <cell r="L273">
            <v>0</v>
          </cell>
          <cell r="M273">
            <v>196710</v>
          </cell>
          <cell r="N273">
            <v>0</v>
          </cell>
          <cell r="O273">
            <v>0</v>
          </cell>
          <cell r="P273">
            <v>0</v>
          </cell>
          <cell r="Q273">
            <v>0</v>
          </cell>
          <cell r="R273">
            <v>0</v>
          </cell>
          <cell r="S273">
            <v>0</v>
          </cell>
          <cell r="T273">
            <v>0</v>
          </cell>
          <cell r="U273">
            <v>0</v>
          </cell>
          <cell r="V273">
            <v>0</v>
          </cell>
        </row>
        <row r="274">
          <cell r="C274" t="str">
            <v>1995IA</v>
          </cell>
          <cell r="D274">
            <v>4860</v>
          </cell>
          <cell r="E274">
            <v>1426800</v>
          </cell>
          <cell r="F274">
            <v>1225</v>
          </cell>
          <cell r="G274">
            <v>0</v>
          </cell>
          <cell r="H274">
            <v>0</v>
          </cell>
          <cell r="I274">
            <v>14625</v>
          </cell>
          <cell r="J274">
            <v>0</v>
          </cell>
          <cell r="K274">
            <v>0</v>
          </cell>
          <cell r="L274">
            <v>0</v>
          </cell>
          <cell r="M274">
            <v>407440</v>
          </cell>
          <cell r="N274">
            <v>0</v>
          </cell>
          <cell r="O274">
            <v>0</v>
          </cell>
          <cell r="P274">
            <v>0</v>
          </cell>
          <cell r="Q274">
            <v>0</v>
          </cell>
          <cell r="R274">
            <v>0</v>
          </cell>
          <cell r="S274">
            <v>0</v>
          </cell>
          <cell r="T274">
            <v>0</v>
          </cell>
          <cell r="U274">
            <v>0</v>
          </cell>
          <cell r="V274">
            <v>0</v>
          </cell>
        </row>
        <row r="275">
          <cell r="C275" t="str">
            <v>1995KS</v>
          </cell>
          <cell r="D275">
            <v>3230</v>
          </cell>
          <cell r="E275">
            <v>244280</v>
          </cell>
          <cell r="F275">
            <v>286000</v>
          </cell>
          <cell r="G275">
            <v>315</v>
          </cell>
          <cell r="H275">
            <v>173600</v>
          </cell>
          <cell r="I275">
            <v>3760</v>
          </cell>
          <cell r="J275">
            <v>400</v>
          </cell>
          <cell r="K275">
            <v>0</v>
          </cell>
          <cell r="L275">
            <v>0</v>
          </cell>
          <cell r="M275">
            <v>51250</v>
          </cell>
          <cell r="N275">
            <v>0</v>
          </cell>
          <cell r="O275">
            <v>481</v>
          </cell>
          <cell r="P275">
            <v>0</v>
          </cell>
          <cell r="Q275">
            <v>0</v>
          </cell>
          <cell r="R275">
            <v>0</v>
          </cell>
          <cell r="S275">
            <v>0</v>
          </cell>
          <cell r="T275">
            <v>0</v>
          </cell>
          <cell r="U275">
            <v>0</v>
          </cell>
          <cell r="V275">
            <v>0</v>
          </cell>
        </row>
        <row r="276">
          <cell r="C276" t="str">
            <v>1995KY</v>
          </cell>
          <cell r="D276">
            <v>1170</v>
          </cell>
          <cell r="E276">
            <v>123120</v>
          </cell>
          <cell r="F276">
            <v>24380</v>
          </cell>
          <cell r="G276">
            <v>1050</v>
          </cell>
          <cell r="H276">
            <v>1848</v>
          </cell>
          <cell r="I276">
            <v>0</v>
          </cell>
          <cell r="J276">
            <v>0</v>
          </cell>
          <cell r="K276">
            <v>0</v>
          </cell>
          <cell r="L276">
            <v>0</v>
          </cell>
          <cell r="M276">
            <v>41400</v>
          </cell>
          <cell r="N276">
            <v>0</v>
          </cell>
          <cell r="O276">
            <v>0</v>
          </cell>
          <cell r="P276">
            <v>0</v>
          </cell>
          <cell r="Q276">
            <v>0</v>
          </cell>
          <cell r="R276">
            <v>0</v>
          </cell>
          <cell r="S276">
            <v>0</v>
          </cell>
          <cell r="T276">
            <v>0</v>
          </cell>
          <cell r="U276">
            <v>0</v>
          </cell>
          <cell r="V276">
            <v>0</v>
          </cell>
        </row>
        <row r="277">
          <cell r="C277" t="str">
            <v>1995LA</v>
          </cell>
          <cell r="D277">
            <v>0</v>
          </cell>
          <cell r="E277">
            <v>23205</v>
          </cell>
          <cell r="F277">
            <v>2880</v>
          </cell>
          <cell r="G277">
            <v>0</v>
          </cell>
          <cell r="H277">
            <v>5880</v>
          </cell>
          <cell r="I277">
            <v>0</v>
          </cell>
          <cell r="J277">
            <v>0</v>
          </cell>
          <cell r="K277">
            <v>0</v>
          </cell>
          <cell r="L277">
            <v>26209</v>
          </cell>
          <cell r="M277">
            <v>26000</v>
          </cell>
          <cell r="N277">
            <v>0</v>
          </cell>
          <cell r="O277">
            <v>0</v>
          </cell>
          <cell r="P277">
            <v>0</v>
          </cell>
          <cell r="Q277">
            <v>0</v>
          </cell>
          <cell r="R277">
            <v>0</v>
          </cell>
          <cell r="S277">
            <v>0</v>
          </cell>
          <cell r="T277">
            <v>10240</v>
          </cell>
          <cell r="U277">
            <v>570</v>
          </cell>
          <cell r="V277">
            <v>171</v>
          </cell>
          <cell r="W277">
            <v>0.06</v>
          </cell>
        </row>
        <row r="278">
          <cell r="C278" t="str">
            <v>1995ME</v>
          </cell>
          <cell r="D278">
            <v>30</v>
          </cell>
          <cell r="E278">
            <v>0</v>
          </cell>
          <cell r="F278">
            <v>0</v>
          </cell>
          <cell r="G278">
            <v>0</v>
          </cell>
          <cell r="H278">
            <v>0</v>
          </cell>
          <cell r="I278">
            <v>1560</v>
          </cell>
          <cell r="J278">
            <v>0</v>
          </cell>
          <cell r="K278">
            <v>0</v>
          </cell>
          <cell r="L278">
            <v>0</v>
          </cell>
          <cell r="M278">
            <v>0</v>
          </cell>
          <cell r="N278">
            <v>0</v>
          </cell>
          <cell r="O278">
            <v>0</v>
          </cell>
          <cell r="P278">
            <v>0</v>
          </cell>
          <cell r="Q278">
            <v>0</v>
          </cell>
          <cell r="R278">
            <v>0</v>
          </cell>
          <cell r="S278">
            <v>0</v>
          </cell>
          <cell r="T278">
            <v>0</v>
          </cell>
          <cell r="U278">
            <v>0</v>
          </cell>
          <cell r="V278">
            <v>0</v>
          </cell>
        </row>
        <row r="279">
          <cell r="C279" t="str">
            <v>1995MD</v>
          </cell>
          <cell r="D279">
            <v>237</v>
          </cell>
          <cell r="E279">
            <v>42000</v>
          </cell>
          <cell r="F279">
            <v>14400</v>
          </cell>
          <cell r="G279">
            <v>5022</v>
          </cell>
          <cell r="H279">
            <v>0</v>
          </cell>
          <cell r="I279">
            <v>366</v>
          </cell>
          <cell r="J279">
            <v>170</v>
          </cell>
          <cell r="K279">
            <v>0</v>
          </cell>
          <cell r="L279">
            <v>0</v>
          </cell>
          <cell r="M279">
            <v>11730</v>
          </cell>
          <cell r="N279">
            <v>0</v>
          </cell>
          <cell r="O279">
            <v>0</v>
          </cell>
          <cell r="P279">
            <v>0</v>
          </cell>
          <cell r="Q279">
            <v>0</v>
          </cell>
          <cell r="R279">
            <v>0</v>
          </cell>
          <cell r="S279">
            <v>0</v>
          </cell>
          <cell r="T279">
            <v>0</v>
          </cell>
          <cell r="U279">
            <v>0</v>
          </cell>
          <cell r="V279">
            <v>0</v>
          </cell>
        </row>
        <row r="280">
          <cell r="C280" t="str">
            <v>1995MA</v>
          </cell>
          <cell r="D280">
            <v>48</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row>
        <row r="281">
          <cell r="C281" t="str">
            <v>1995MI</v>
          </cell>
          <cell r="D281">
            <v>4305</v>
          </cell>
          <cell r="E281">
            <v>249550</v>
          </cell>
          <cell r="F281">
            <v>37200</v>
          </cell>
          <cell r="G281">
            <v>1150</v>
          </cell>
          <cell r="H281">
            <v>0</v>
          </cell>
          <cell r="I281">
            <v>5130</v>
          </cell>
          <cell r="J281">
            <v>544</v>
          </cell>
          <cell r="K281">
            <v>0</v>
          </cell>
          <cell r="L281">
            <v>0</v>
          </cell>
          <cell r="M281">
            <v>59600</v>
          </cell>
          <cell r="N281">
            <v>0</v>
          </cell>
          <cell r="O281">
            <v>6930</v>
          </cell>
          <cell r="P281">
            <v>0</v>
          </cell>
          <cell r="Q281">
            <v>0</v>
          </cell>
          <cell r="R281">
            <v>0</v>
          </cell>
          <cell r="S281">
            <v>0</v>
          </cell>
          <cell r="T281">
            <v>0</v>
          </cell>
          <cell r="U281">
            <v>0</v>
          </cell>
          <cell r="V281">
            <v>0</v>
          </cell>
        </row>
        <row r="282">
          <cell r="C282" t="str">
            <v>1995MN</v>
          </cell>
          <cell r="D282">
            <v>4988</v>
          </cell>
          <cell r="E282">
            <v>731850</v>
          </cell>
          <cell r="F282">
            <v>71849</v>
          </cell>
          <cell r="G282">
            <v>29000</v>
          </cell>
          <cell r="H282">
            <v>0</v>
          </cell>
          <cell r="I282">
            <v>18000</v>
          </cell>
          <cell r="J282">
            <v>609</v>
          </cell>
          <cell r="K282">
            <v>0</v>
          </cell>
          <cell r="L282">
            <v>0</v>
          </cell>
          <cell r="M282">
            <v>234900</v>
          </cell>
          <cell r="N282">
            <v>0</v>
          </cell>
          <cell r="O282">
            <v>2055</v>
          </cell>
          <cell r="P282">
            <v>0</v>
          </cell>
          <cell r="Q282">
            <v>0</v>
          </cell>
          <cell r="R282">
            <v>0</v>
          </cell>
          <cell r="S282">
            <v>0</v>
          </cell>
          <cell r="T282">
            <v>0</v>
          </cell>
          <cell r="U282">
            <v>0</v>
          </cell>
          <cell r="V282">
            <v>0</v>
          </cell>
        </row>
        <row r="283">
          <cell r="C283" t="str">
            <v>1995MS</v>
          </cell>
          <cell r="D283">
            <v>0</v>
          </cell>
          <cell r="E283">
            <v>26125</v>
          </cell>
          <cell r="F283">
            <v>6270</v>
          </cell>
          <cell r="G283">
            <v>0</v>
          </cell>
          <cell r="H283">
            <v>2665</v>
          </cell>
          <cell r="I283">
            <v>0</v>
          </cell>
          <cell r="J283">
            <v>0</v>
          </cell>
          <cell r="K283">
            <v>0</v>
          </cell>
          <cell r="L283">
            <v>15552</v>
          </cell>
          <cell r="M283">
            <v>37800</v>
          </cell>
          <cell r="N283">
            <v>0</v>
          </cell>
          <cell r="O283">
            <v>0</v>
          </cell>
          <cell r="P283">
            <v>0</v>
          </cell>
          <cell r="Q283">
            <v>0</v>
          </cell>
          <cell r="R283">
            <v>0</v>
          </cell>
          <cell r="S283">
            <v>0</v>
          </cell>
          <cell r="T283">
            <v>0</v>
          </cell>
          <cell r="U283">
            <v>288</v>
          </cell>
          <cell r="V283">
            <v>0</v>
          </cell>
          <cell r="W283">
            <v>0.1</v>
          </cell>
        </row>
        <row r="284">
          <cell r="C284" t="str">
            <v>1995MO</v>
          </cell>
          <cell r="D284">
            <v>1260</v>
          </cell>
          <cell r="E284">
            <v>149940</v>
          </cell>
          <cell r="F284">
            <v>47970</v>
          </cell>
          <cell r="G284">
            <v>0</v>
          </cell>
          <cell r="H284">
            <v>35770</v>
          </cell>
          <cell r="I284">
            <v>1363</v>
          </cell>
          <cell r="J284">
            <v>0</v>
          </cell>
          <cell r="K284">
            <v>0</v>
          </cell>
          <cell r="L284">
            <v>5936</v>
          </cell>
          <cell r="M284">
            <v>132750</v>
          </cell>
          <cell r="N284">
            <v>0</v>
          </cell>
          <cell r="O284">
            <v>0</v>
          </cell>
          <cell r="P284">
            <v>0</v>
          </cell>
          <cell r="Q284">
            <v>0</v>
          </cell>
          <cell r="R284">
            <v>0</v>
          </cell>
          <cell r="S284">
            <v>0</v>
          </cell>
          <cell r="T284">
            <v>0</v>
          </cell>
          <cell r="U284">
            <v>112</v>
          </cell>
          <cell r="V284">
            <v>0</v>
          </cell>
          <cell r="W284">
            <v>0.05</v>
          </cell>
        </row>
        <row r="285">
          <cell r="C285" t="str">
            <v>1995MT</v>
          </cell>
          <cell r="D285">
            <v>4000</v>
          </cell>
          <cell r="E285">
            <v>1920</v>
          </cell>
          <cell r="F285">
            <v>195750</v>
          </cell>
          <cell r="G285">
            <v>62400</v>
          </cell>
          <cell r="H285">
            <v>0</v>
          </cell>
          <cell r="I285">
            <v>4720</v>
          </cell>
          <cell r="J285">
            <v>0</v>
          </cell>
          <cell r="K285">
            <v>0</v>
          </cell>
          <cell r="L285">
            <v>0</v>
          </cell>
          <cell r="M285">
            <v>0</v>
          </cell>
          <cell r="N285">
            <v>0</v>
          </cell>
          <cell r="O285">
            <v>205</v>
          </cell>
          <cell r="P285">
            <v>0</v>
          </cell>
          <cell r="Q285">
            <v>0</v>
          </cell>
          <cell r="R285">
            <v>0</v>
          </cell>
          <cell r="S285">
            <v>0</v>
          </cell>
          <cell r="T285">
            <v>0</v>
          </cell>
          <cell r="U285">
            <v>0</v>
          </cell>
          <cell r="V285">
            <v>0</v>
          </cell>
        </row>
        <row r="286">
          <cell r="C286" t="str">
            <v>1995NE</v>
          </cell>
          <cell r="D286">
            <v>4860</v>
          </cell>
          <cell r="E286">
            <v>854700</v>
          </cell>
          <cell r="F286">
            <v>86100</v>
          </cell>
          <cell r="G286">
            <v>222</v>
          </cell>
          <cell r="H286">
            <v>56840</v>
          </cell>
          <cell r="I286">
            <v>4500</v>
          </cell>
          <cell r="J286">
            <v>480</v>
          </cell>
          <cell r="K286">
            <v>0</v>
          </cell>
          <cell r="L286">
            <v>0</v>
          </cell>
          <cell r="M286">
            <v>100980</v>
          </cell>
          <cell r="N286">
            <v>0</v>
          </cell>
          <cell r="O286">
            <v>3588</v>
          </cell>
          <cell r="P286">
            <v>0</v>
          </cell>
          <cell r="Q286">
            <v>0</v>
          </cell>
          <cell r="R286">
            <v>0</v>
          </cell>
          <cell r="S286">
            <v>0</v>
          </cell>
          <cell r="T286">
            <v>0</v>
          </cell>
          <cell r="U286">
            <v>0</v>
          </cell>
          <cell r="V286">
            <v>0</v>
          </cell>
        </row>
        <row r="287">
          <cell r="C287" t="str">
            <v>1995NV</v>
          </cell>
          <cell r="D287">
            <v>1125</v>
          </cell>
          <cell r="E287">
            <v>0</v>
          </cell>
          <cell r="F287">
            <v>850</v>
          </cell>
          <cell r="G287">
            <v>320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row>
        <row r="288">
          <cell r="C288" t="str">
            <v>1995NH</v>
          </cell>
          <cell r="D288">
            <v>27</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row>
        <row r="289">
          <cell r="C289" t="str">
            <v>1995NJ</v>
          </cell>
          <cell r="D289">
            <v>105</v>
          </cell>
          <cell r="E289">
            <v>7254</v>
          </cell>
          <cell r="F289">
            <v>1824</v>
          </cell>
          <cell r="G289">
            <v>325</v>
          </cell>
          <cell r="H289">
            <v>0</v>
          </cell>
          <cell r="I289">
            <v>0</v>
          </cell>
          <cell r="J289">
            <v>304</v>
          </cell>
          <cell r="K289">
            <v>0</v>
          </cell>
          <cell r="L289">
            <v>0</v>
          </cell>
          <cell r="M289">
            <v>3036</v>
          </cell>
          <cell r="N289">
            <v>0</v>
          </cell>
          <cell r="O289">
            <v>0</v>
          </cell>
          <cell r="P289">
            <v>0</v>
          </cell>
          <cell r="Q289">
            <v>0</v>
          </cell>
          <cell r="R289">
            <v>0</v>
          </cell>
          <cell r="S289">
            <v>0</v>
          </cell>
          <cell r="T289">
            <v>0</v>
          </cell>
          <cell r="U289">
            <v>0</v>
          </cell>
          <cell r="V289">
            <v>0</v>
          </cell>
        </row>
        <row r="290">
          <cell r="C290" t="str">
            <v>1995NM</v>
          </cell>
          <cell r="D290">
            <v>1250</v>
          </cell>
          <cell r="E290">
            <v>11680</v>
          </cell>
          <cell r="F290">
            <v>3300</v>
          </cell>
          <cell r="G290">
            <v>0</v>
          </cell>
          <cell r="H290">
            <v>3380</v>
          </cell>
          <cell r="I290">
            <v>0</v>
          </cell>
          <cell r="J290">
            <v>0</v>
          </cell>
          <cell r="K290">
            <v>0</v>
          </cell>
          <cell r="L290">
            <v>0</v>
          </cell>
          <cell r="M290">
            <v>0</v>
          </cell>
          <cell r="N290">
            <v>43000</v>
          </cell>
          <cell r="O290">
            <v>251</v>
          </cell>
          <cell r="P290">
            <v>0</v>
          </cell>
          <cell r="Q290">
            <v>0</v>
          </cell>
          <cell r="R290">
            <v>0</v>
          </cell>
          <cell r="S290">
            <v>0</v>
          </cell>
          <cell r="T290">
            <v>0</v>
          </cell>
          <cell r="U290">
            <v>0</v>
          </cell>
          <cell r="V290">
            <v>0</v>
          </cell>
        </row>
        <row r="291">
          <cell r="C291" t="str">
            <v>1995NY</v>
          </cell>
          <cell r="D291">
            <v>1690</v>
          </cell>
          <cell r="E291">
            <v>65100</v>
          </cell>
          <cell r="F291">
            <v>6875</v>
          </cell>
          <cell r="G291">
            <v>0</v>
          </cell>
          <cell r="H291">
            <v>0</v>
          </cell>
          <cell r="I291">
            <v>5220</v>
          </cell>
          <cell r="J291">
            <v>315</v>
          </cell>
          <cell r="K291">
            <v>0</v>
          </cell>
          <cell r="L291">
            <v>0</v>
          </cell>
          <cell r="M291">
            <v>0</v>
          </cell>
          <cell r="N291">
            <v>0</v>
          </cell>
          <cell r="O291">
            <v>538</v>
          </cell>
          <cell r="P291">
            <v>0</v>
          </cell>
          <cell r="Q291">
            <v>0</v>
          </cell>
          <cell r="R291">
            <v>0</v>
          </cell>
          <cell r="S291">
            <v>0</v>
          </cell>
          <cell r="T291">
            <v>0</v>
          </cell>
          <cell r="U291">
            <v>0</v>
          </cell>
          <cell r="V291">
            <v>0</v>
          </cell>
        </row>
        <row r="292">
          <cell r="C292" t="str">
            <v>1995NC</v>
          </cell>
          <cell r="D292">
            <v>62</v>
          </cell>
          <cell r="E292">
            <v>74900</v>
          </cell>
          <cell r="F292">
            <v>28160</v>
          </cell>
          <cell r="G292">
            <v>1800</v>
          </cell>
          <cell r="H292">
            <v>650</v>
          </cell>
          <cell r="I292">
            <v>1950</v>
          </cell>
          <cell r="J292">
            <v>500</v>
          </cell>
          <cell r="K292">
            <v>0</v>
          </cell>
          <cell r="L292">
            <v>0</v>
          </cell>
          <cell r="M292">
            <v>26750</v>
          </cell>
          <cell r="N292">
            <v>347040</v>
          </cell>
          <cell r="O292">
            <v>0</v>
          </cell>
          <cell r="P292">
            <v>0</v>
          </cell>
          <cell r="Q292">
            <v>0</v>
          </cell>
          <cell r="R292">
            <v>0</v>
          </cell>
          <cell r="S292">
            <v>0</v>
          </cell>
          <cell r="T292">
            <v>0</v>
          </cell>
          <cell r="U292">
            <v>0</v>
          </cell>
          <cell r="V292">
            <v>0</v>
          </cell>
        </row>
        <row r="293">
          <cell r="C293" t="str">
            <v>1995ND</v>
          </cell>
          <cell r="D293">
            <v>3080</v>
          </cell>
          <cell r="E293">
            <v>40290</v>
          </cell>
          <cell r="F293">
            <v>300300</v>
          </cell>
          <cell r="G293">
            <v>101250</v>
          </cell>
          <cell r="H293">
            <v>0</v>
          </cell>
          <cell r="I293">
            <v>21600</v>
          </cell>
          <cell r="J293">
            <v>726</v>
          </cell>
          <cell r="K293">
            <v>0</v>
          </cell>
          <cell r="L293">
            <v>0</v>
          </cell>
          <cell r="M293">
            <v>18560</v>
          </cell>
          <cell r="N293">
            <v>0</v>
          </cell>
          <cell r="O293">
            <v>7182</v>
          </cell>
          <cell r="P293">
            <v>0</v>
          </cell>
          <cell r="Q293">
            <v>0</v>
          </cell>
          <cell r="R293">
            <v>0</v>
          </cell>
          <cell r="S293">
            <v>0</v>
          </cell>
          <cell r="T293">
            <v>0</v>
          </cell>
          <cell r="U293">
            <v>0</v>
          </cell>
          <cell r="V293">
            <v>0</v>
          </cell>
        </row>
        <row r="294">
          <cell r="C294" t="str">
            <v>1995OH</v>
          </cell>
          <cell r="D294">
            <v>2660</v>
          </cell>
          <cell r="E294">
            <v>375100</v>
          </cell>
          <cell r="F294">
            <v>73810</v>
          </cell>
          <cell r="G294">
            <v>0</v>
          </cell>
          <cell r="H294">
            <v>0</v>
          </cell>
          <cell r="I294">
            <v>6900</v>
          </cell>
          <cell r="J294">
            <v>180</v>
          </cell>
          <cell r="K294">
            <v>0</v>
          </cell>
          <cell r="L294">
            <v>0</v>
          </cell>
          <cell r="M294">
            <v>153140</v>
          </cell>
          <cell r="N294">
            <v>0</v>
          </cell>
          <cell r="O294">
            <v>0</v>
          </cell>
          <cell r="P294">
            <v>0</v>
          </cell>
          <cell r="Q294">
            <v>0</v>
          </cell>
          <cell r="R294">
            <v>0</v>
          </cell>
          <cell r="S294">
            <v>0</v>
          </cell>
          <cell r="T294">
            <v>0</v>
          </cell>
          <cell r="U294">
            <v>0</v>
          </cell>
          <cell r="V294">
            <v>0</v>
          </cell>
        </row>
        <row r="295">
          <cell r="C295" t="str">
            <v>1995OK</v>
          </cell>
          <cell r="D295">
            <v>1330</v>
          </cell>
          <cell r="E295">
            <v>16250</v>
          </cell>
          <cell r="F295">
            <v>109200</v>
          </cell>
          <cell r="G295">
            <v>170</v>
          </cell>
          <cell r="H295">
            <v>12800</v>
          </cell>
          <cell r="I295">
            <v>780</v>
          </cell>
          <cell r="J295">
            <v>810</v>
          </cell>
          <cell r="K295">
            <v>0</v>
          </cell>
          <cell r="L295">
            <v>0</v>
          </cell>
          <cell r="M295">
            <v>5500</v>
          </cell>
          <cell r="N295">
            <v>201880</v>
          </cell>
          <cell r="O295">
            <v>0</v>
          </cell>
          <cell r="P295">
            <v>0</v>
          </cell>
          <cell r="Q295">
            <v>0</v>
          </cell>
          <cell r="R295">
            <v>0</v>
          </cell>
          <cell r="S295">
            <v>0</v>
          </cell>
          <cell r="T295">
            <v>0</v>
          </cell>
          <cell r="U295">
            <v>0.89900000000000002</v>
          </cell>
          <cell r="V295">
            <v>0</v>
          </cell>
          <cell r="W295">
            <v>0.9</v>
          </cell>
        </row>
        <row r="296">
          <cell r="C296" t="str">
            <v>1995OR</v>
          </cell>
          <cell r="D296">
            <v>1935</v>
          </cell>
          <cell r="E296">
            <v>3360</v>
          </cell>
          <cell r="F296">
            <v>60920</v>
          </cell>
          <cell r="G296">
            <v>7220</v>
          </cell>
          <cell r="H296">
            <v>0</v>
          </cell>
          <cell r="I296">
            <v>3395</v>
          </cell>
          <cell r="J296">
            <v>0</v>
          </cell>
          <cell r="K296">
            <v>0</v>
          </cell>
          <cell r="L296">
            <v>0</v>
          </cell>
          <cell r="M296">
            <v>0</v>
          </cell>
          <cell r="N296">
            <v>0</v>
          </cell>
          <cell r="O296">
            <v>208</v>
          </cell>
          <cell r="P296">
            <v>0</v>
          </cell>
          <cell r="Q296">
            <v>14</v>
          </cell>
          <cell r="R296">
            <v>0</v>
          </cell>
          <cell r="S296">
            <v>0</v>
          </cell>
          <cell r="T296">
            <v>0</v>
          </cell>
          <cell r="U296">
            <v>0</v>
          </cell>
          <cell r="V296">
            <v>0</v>
          </cell>
        </row>
        <row r="297">
          <cell r="C297" t="str">
            <v>1995PA</v>
          </cell>
          <cell r="D297">
            <v>2262</v>
          </cell>
          <cell r="E297">
            <v>94080</v>
          </cell>
          <cell r="F297">
            <v>10175</v>
          </cell>
          <cell r="G297">
            <v>5175</v>
          </cell>
          <cell r="H297">
            <v>0</v>
          </cell>
          <cell r="I297">
            <v>9440</v>
          </cell>
          <cell r="J297">
            <v>330</v>
          </cell>
          <cell r="K297">
            <v>0</v>
          </cell>
          <cell r="L297">
            <v>0</v>
          </cell>
          <cell r="M297">
            <v>9450</v>
          </cell>
          <cell r="N297">
            <v>0</v>
          </cell>
          <cell r="O297">
            <v>0</v>
          </cell>
          <cell r="P297">
            <v>0</v>
          </cell>
          <cell r="Q297">
            <v>0</v>
          </cell>
          <cell r="R297">
            <v>0</v>
          </cell>
          <cell r="S297">
            <v>0</v>
          </cell>
          <cell r="T297">
            <v>0</v>
          </cell>
          <cell r="U297">
            <v>0</v>
          </cell>
          <cell r="V297">
            <v>0</v>
          </cell>
        </row>
        <row r="298">
          <cell r="C298" t="str">
            <v>1995RI</v>
          </cell>
          <cell r="D298">
            <v>4</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row>
        <row r="299">
          <cell r="C299" t="str">
            <v>1995SC</v>
          </cell>
          <cell r="D299">
            <v>0</v>
          </cell>
          <cell r="E299">
            <v>24115</v>
          </cell>
          <cell r="F299">
            <v>8960</v>
          </cell>
          <cell r="G299">
            <v>210</v>
          </cell>
          <cell r="H299">
            <v>320</v>
          </cell>
          <cell r="I299">
            <v>1575</v>
          </cell>
          <cell r="J299">
            <v>440</v>
          </cell>
          <cell r="K299">
            <v>0</v>
          </cell>
          <cell r="L299">
            <v>0</v>
          </cell>
          <cell r="M299">
            <v>12720</v>
          </cell>
          <cell r="N299">
            <v>30800</v>
          </cell>
          <cell r="O299">
            <v>0</v>
          </cell>
          <cell r="P299">
            <v>0</v>
          </cell>
          <cell r="Q299">
            <v>0</v>
          </cell>
          <cell r="R299">
            <v>0</v>
          </cell>
          <cell r="S299">
            <v>0</v>
          </cell>
          <cell r="T299">
            <v>0</v>
          </cell>
          <cell r="U299">
            <v>0</v>
          </cell>
          <cell r="V299">
            <v>0</v>
          </cell>
        </row>
        <row r="300">
          <cell r="C300" t="str">
            <v>1995SD</v>
          </cell>
          <cell r="D300">
            <v>6500</v>
          </cell>
          <cell r="E300">
            <v>193550</v>
          </cell>
          <cell r="F300">
            <v>90736</v>
          </cell>
          <cell r="G300">
            <v>6080</v>
          </cell>
          <cell r="H300">
            <v>4800</v>
          </cell>
          <cell r="I300">
            <v>11500</v>
          </cell>
          <cell r="J300">
            <v>1650</v>
          </cell>
          <cell r="K300">
            <v>0</v>
          </cell>
          <cell r="L300">
            <v>0</v>
          </cell>
          <cell r="M300">
            <v>75000</v>
          </cell>
          <cell r="N300">
            <v>0</v>
          </cell>
          <cell r="O300">
            <v>0</v>
          </cell>
          <cell r="P300">
            <v>0</v>
          </cell>
          <cell r="Q300">
            <v>0</v>
          </cell>
          <cell r="R300">
            <v>0</v>
          </cell>
          <cell r="S300">
            <v>0</v>
          </cell>
          <cell r="T300">
            <v>0</v>
          </cell>
          <cell r="U300">
            <v>0</v>
          </cell>
          <cell r="V300">
            <v>0</v>
          </cell>
        </row>
        <row r="301">
          <cell r="C301" t="str">
            <v>1995TN</v>
          </cell>
          <cell r="D301">
            <v>180</v>
          </cell>
          <cell r="E301">
            <v>63720</v>
          </cell>
          <cell r="F301">
            <v>15980</v>
          </cell>
          <cell r="G301">
            <v>0</v>
          </cell>
          <cell r="H301">
            <v>1305</v>
          </cell>
          <cell r="I301">
            <v>0</v>
          </cell>
          <cell r="J301">
            <v>0</v>
          </cell>
          <cell r="K301">
            <v>0</v>
          </cell>
          <cell r="L301">
            <v>0</v>
          </cell>
          <cell r="M301">
            <v>32000</v>
          </cell>
          <cell r="N301">
            <v>0</v>
          </cell>
          <cell r="O301">
            <v>0</v>
          </cell>
          <cell r="P301">
            <v>0</v>
          </cell>
          <cell r="Q301">
            <v>0</v>
          </cell>
          <cell r="R301">
            <v>0</v>
          </cell>
          <cell r="S301">
            <v>0</v>
          </cell>
          <cell r="T301">
            <v>0</v>
          </cell>
          <cell r="U301">
            <v>0</v>
          </cell>
          <cell r="V301">
            <v>0</v>
          </cell>
        </row>
        <row r="302">
          <cell r="C302" t="str">
            <v>1995TX</v>
          </cell>
          <cell r="D302">
            <v>576</v>
          </cell>
          <cell r="E302">
            <v>216600</v>
          </cell>
          <cell r="F302">
            <v>75600</v>
          </cell>
          <cell r="G302">
            <v>322</v>
          </cell>
          <cell r="H302">
            <v>129600</v>
          </cell>
          <cell r="I302">
            <v>5040</v>
          </cell>
          <cell r="J302">
            <v>380</v>
          </cell>
          <cell r="K302">
            <v>0</v>
          </cell>
          <cell r="L302">
            <v>17802</v>
          </cell>
          <cell r="M302">
            <v>6000</v>
          </cell>
          <cell r="N302">
            <v>540000</v>
          </cell>
          <cell r="O302">
            <v>225</v>
          </cell>
          <cell r="P302">
            <v>0</v>
          </cell>
          <cell r="Q302">
            <v>0</v>
          </cell>
          <cell r="R302">
            <v>0</v>
          </cell>
          <cell r="S302">
            <v>0</v>
          </cell>
          <cell r="T302">
            <v>1363</v>
          </cell>
          <cell r="U302">
            <v>318</v>
          </cell>
          <cell r="V302">
            <v>127</v>
          </cell>
          <cell r="W302">
            <v>0.01</v>
          </cell>
        </row>
        <row r="303">
          <cell r="C303" t="str">
            <v>1995UT</v>
          </cell>
          <cell r="D303">
            <v>2344</v>
          </cell>
          <cell r="E303">
            <v>2000</v>
          </cell>
          <cell r="F303">
            <v>8585</v>
          </cell>
          <cell r="G303">
            <v>8184</v>
          </cell>
          <cell r="H303">
            <v>0</v>
          </cell>
          <cell r="I303">
            <v>612</v>
          </cell>
          <cell r="J303">
            <v>0</v>
          </cell>
          <cell r="K303">
            <v>0</v>
          </cell>
          <cell r="L303">
            <v>0</v>
          </cell>
          <cell r="M303">
            <v>0</v>
          </cell>
          <cell r="N303">
            <v>0</v>
          </cell>
          <cell r="O303">
            <v>32</v>
          </cell>
          <cell r="P303">
            <v>0</v>
          </cell>
          <cell r="Q303">
            <v>0</v>
          </cell>
          <cell r="R303">
            <v>0</v>
          </cell>
          <cell r="S303">
            <v>0</v>
          </cell>
          <cell r="T303">
            <v>0</v>
          </cell>
          <cell r="U303">
            <v>0</v>
          </cell>
          <cell r="V303">
            <v>0</v>
          </cell>
        </row>
        <row r="304">
          <cell r="C304" t="str">
            <v>1995VT</v>
          </cell>
          <cell r="D304">
            <v>200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row>
        <row r="305">
          <cell r="C305" t="str">
            <v>1995VA</v>
          </cell>
          <cell r="D305">
            <v>429</v>
          </cell>
          <cell r="E305">
            <v>30525</v>
          </cell>
          <cell r="F305">
            <v>17600</v>
          </cell>
          <cell r="G305">
            <v>6720</v>
          </cell>
          <cell r="H305">
            <v>0</v>
          </cell>
          <cell r="I305">
            <v>0</v>
          </cell>
          <cell r="J305">
            <v>175</v>
          </cell>
          <cell r="K305">
            <v>0</v>
          </cell>
          <cell r="L305">
            <v>0</v>
          </cell>
          <cell r="M305">
            <v>11280</v>
          </cell>
          <cell r="N305">
            <v>206925</v>
          </cell>
          <cell r="O305">
            <v>0</v>
          </cell>
          <cell r="P305">
            <v>0</v>
          </cell>
          <cell r="Q305">
            <v>0</v>
          </cell>
          <cell r="R305">
            <v>0</v>
          </cell>
          <cell r="S305">
            <v>0</v>
          </cell>
          <cell r="T305">
            <v>0</v>
          </cell>
          <cell r="U305">
            <v>0</v>
          </cell>
          <cell r="V305">
            <v>0</v>
          </cell>
        </row>
        <row r="306">
          <cell r="C306" t="str">
            <v>1995WA</v>
          </cell>
          <cell r="D306">
            <v>2550</v>
          </cell>
          <cell r="E306">
            <v>19380</v>
          </cell>
          <cell r="F306">
            <v>153770</v>
          </cell>
          <cell r="G306">
            <v>20880</v>
          </cell>
          <cell r="H306">
            <v>0</v>
          </cell>
          <cell r="I306">
            <v>1120</v>
          </cell>
          <cell r="J306">
            <v>0</v>
          </cell>
          <cell r="K306">
            <v>0</v>
          </cell>
          <cell r="L306">
            <v>0</v>
          </cell>
          <cell r="M306">
            <v>0</v>
          </cell>
          <cell r="N306">
            <v>0</v>
          </cell>
          <cell r="O306">
            <v>902</v>
          </cell>
          <cell r="P306">
            <v>2775</v>
          </cell>
          <cell r="Q306">
            <v>0</v>
          </cell>
          <cell r="R306">
            <v>1050</v>
          </cell>
          <cell r="S306">
            <v>555</v>
          </cell>
          <cell r="T306">
            <v>0</v>
          </cell>
          <cell r="U306">
            <v>0</v>
          </cell>
          <cell r="V306">
            <v>0</v>
          </cell>
        </row>
        <row r="307">
          <cell r="C307" t="str">
            <v>1995WV</v>
          </cell>
          <cell r="D307">
            <v>120</v>
          </cell>
          <cell r="E307">
            <v>4000</v>
          </cell>
          <cell r="F307">
            <v>624</v>
          </cell>
          <cell r="G307">
            <v>0</v>
          </cell>
          <cell r="H307">
            <v>0</v>
          </cell>
          <cell r="I307">
            <v>210</v>
          </cell>
          <cell r="J307">
            <v>0</v>
          </cell>
          <cell r="K307">
            <v>0</v>
          </cell>
          <cell r="L307">
            <v>0</v>
          </cell>
          <cell r="M307">
            <v>0</v>
          </cell>
          <cell r="N307">
            <v>0</v>
          </cell>
          <cell r="O307">
            <v>0</v>
          </cell>
          <cell r="P307">
            <v>0</v>
          </cell>
          <cell r="Q307">
            <v>0</v>
          </cell>
          <cell r="R307">
            <v>0</v>
          </cell>
          <cell r="S307">
            <v>0</v>
          </cell>
          <cell r="T307">
            <v>0</v>
          </cell>
          <cell r="U307">
            <v>0</v>
          </cell>
          <cell r="V307">
            <v>0</v>
          </cell>
        </row>
        <row r="308">
          <cell r="C308" t="str">
            <v>1995WI</v>
          </cell>
          <cell r="D308">
            <v>5980</v>
          </cell>
          <cell r="E308">
            <v>347700</v>
          </cell>
          <cell r="F308">
            <v>8070</v>
          </cell>
          <cell r="G308">
            <v>3456</v>
          </cell>
          <cell r="H308">
            <v>0</v>
          </cell>
          <cell r="I308">
            <v>18700</v>
          </cell>
          <cell r="J308">
            <v>480</v>
          </cell>
          <cell r="K308">
            <v>0</v>
          </cell>
          <cell r="L308">
            <v>0</v>
          </cell>
          <cell r="M308">
            <v>34400</v>
          </cell>
          <cell r="N308">
            <v>0</v>
          </cell>
          <cell r="O308">
            <v>130</v>
          </cell>
          <cell r="P308">
            <v>0</v>
          </cell>
          <cell r="Q308">
            <v>0</v>
          </cell>
          <cell r="R308">
            <v>0</v>
          </cell>
          <cell r="S308">
            <v>0</v>
          </cell>
          <cell r="T308">
            <v>0</v>
          </cell>
          <cell r="U308">
            <v>0</v>
          </cell>
          <cell r="V308">
            <v>0</v>
          </cell>
        </row>
        <row r="309">
          <cell r="C309" t="str">
            <v>1995WY</v>
          </cell>
          <cell r="D309">
            <v>1728</v>
          </cell>
          <cell r="E309">
            <v>4992</v>
          </cell>
          <cell r="F309">
            <v>7960</v>
          </cell>
          <cell r="G309">
            <v>8455</v>
          </cell>
          <cell r="H309">
            <v>0</v>
          </cell>
          <cell r="I309">
            <v>2112</v>
          </cell>
          <cell r="J309">
            <v>0</v>
          </cell>
          <cell r="K309">
            <v>0</v>
          </cell>
          <cell r="L309">
            <v>0</v>
          </cell>
          <cell r="M309">
            <v>0</v>
          </cell>
          <cell r="N309">
            <v>0</v>
          </cell>
          <cell r="O309">
            <v>504</v>
          </cell>
          <cell r="P309">
            <v>0</v>
          </cell>
          <cell r="Q309">
            <v>0</v>
          </cell>
          <cell r="R309">
            <v>0</v>
          </cell>
          <cell r="S309">
            <v>0</v>
          </cell>
          <cell r="T309">
            <v>0</v>
          </cell>
          <cell r="U309">
            <v>0</v>
          </cell>
          <cell r="V309">
            <v>0</v>
          </cell>
        </row>
        <row r="310">
          <cell r="C310" t="str">
            <v>1995US</v>
          </cell>
          <cell r="D310">
            <v>84138</v>
          </cell>
          <cell r="E310">
            <v>7400051</v>
          </cell>
          <cell r="F310">
            <v>2182708</v>
          </cell>
          <cell r="G310">
            <v>359748</v>
          </cell>
          <cell r="H310">
            <v>458648</v>
          </cell>
          <cell r="I310">
            <v>161094</v>
          </cell>
          <cell r="J310">
            <v>10064</v>
          </cell>
          <cell r="K310">
            <v>0</v>
          </cell>
          <cell r="L310">
            <v>173871</v>
          </cell>
          <cell r="M310">
            <v>2174254</v>
          </cell>
          <cell r="N310">
            <v>3461475</v>
          </cell>
          <cell r="O310">
            <v>30689</v>
          </cell>
          <cell r="P310">
            <v>4765</v>
          </cell>
          <cell r="Q310">
            <v>119</v>
          </cell>
          <cell r="R310">
            <v>2224</v>
          </cell>
          <cell r="S310">
            <v>1048</v>
          </cell>
          <cell r="T310">
            <v>30779</v>
          </cell>
        </row>
        <row r="311">
          <cell r="C311" t="str">
            <v>1996AL</v>
          </cell>
          <cell r="D311">
            <v>0</v>
          </cell>
          <cell r="E311">
            <v>22140</v>
          </cell>
          <cell r="F311">
            <v>3520</v>
          </cell>
          <cell r="G311">
            <v>0</v>
          </cell>
          <cell r="H311">
            <v>550</v>
          </cell>
          <cell r="I311">
            <v>675</v>
          </cell>
          <cell r="J311">
            <v>0</v>
          </cell>
          <cell r="K311">
            <v>0</v>
          </cell>
          <cell r="L311">
            <v>0</v>
          </cell>
          <cell r="M311">
            <v>10370</v>
          </cell>
          <cell r="N311">
            <v>449805</v>
          </cell>
          <cell r="O311">
            <v>0</v>
          </cell>
          <cell r="P311">
            <v>0</v>
          </cell>
          <cell r="Q311">
            <v>0</v>
          </cell>
          <cell r="R311">
            <v>0</v>
          </cell>
          <cell r="S311">
            <v>0</v>
          </cell>
          <cell r="T311">
            <v>0</v>
          </cell>
          <cell r="U311">
            <v>0</v>
          </cell>
          <cell r="V311">
            <v>0</v>
          </cell>
        </row>
        <row r="312">
          <cell r="C312" t="str">
            <v>1996AK</v>
          </cell>
          <cell r="D312">
            <v>0</v>
          </cell>
          <cell r="E312">
            <v>0</v>
          </cell>
          <cell r="F312">
            <v>0</v>
          </cell>
          <cell r="G312">
            <v>283</v>
          </cell>
          <cell r="H312">
            <v>0</v>
          </cell>
          <cell r="I312">
            <v>31500</v>
          </cell>
          <cell r="J312">
            <v>0</v>
          </cell>
          <cell r="K312">
            <v>0</v>
          </cell>
          <cell r="L312">
            <v>0</v>
          </cell>
          <cell r="M312">
            <v>0</v>
          </cell>
          <cell r="N312">
            <v>0</v>
          </cell>
          <cell r="O312">
            <v>0</v>
          </cell>
          <cell r="P312">
            <v>0</v>
          </cell>
          <cell r="Q312">
            <v>0</v>
          </cell>
          <cell r="R312">
            <v>0</v>
          </cell>
          <cell r="S312">
            <v>0</v>
          </cell>
          <cell r="T312">
            <v>0</v>
          </cell>
          <cell r="U312">
            <v>0</v>
          </cell>
          <cell r="V312">
            <v>0</v>
          </cell>
        </row>
        <row r="313">
          <cell r="C313" t="str">
            <v>1996AZ</v>
          </cell>
          <cell r="D313">
            <v>1280</v>
          </cell>
          <cell r="E313">
            <v>7000</v>
          </cell>
          <cell r="F313">
            <v>16090</v>
          </cell>
          <cell r="G313">
            <v>5670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row>
        <row r="314">
          <cell r="C314" t="str">
            <v>1996AR</v>
          </cell>
          <cell r="D314">
            <v>60</v>
          </cell>
          <cell r="E314">
            <v>28750</v>
          </cell>
          <cell r="F314">
            <v>66960</v>
          </cell>
          <cell r="G314">
            <v>0</v>
          </cell>
          <cell r="H314">
            <v>16280</v>
          </cell>
          <cell r="I314">
            <v>1080</v>
          </cell>
          <cell r="J314">
            <v>0</v>
          </cell>
          <cell r="K314">
            <v>0</v>
          </cell>
          <cell r="L314">
            <v>71945</v>
          </cell>
          <cell r="M314">
            <v>112000</v>
          </cell>
          <cell r="N314">
            <v>0</v>
          </cell>
          <cell r="O314">
            <v>0</v>
          </cell>
          <cell r="P314">
            <v>0</v>
          </cell>
          <cell r="Q314">
            <v>0</v>
          </cell>
          <cell r="R314">
            <v>0</v>
          </cell>
          <cell r="S314">
            <v>0</v>
          </cell>
          <cell r="T314">
            <v>0</v>
          </cell>
          <cell r="U314">
            <v>1170</v>
          </cell>
          <cell r="V314">
            <v>0</v>
          </cell>
          <cell r="W314">
            <v>0.13</v>
          </cell>
        </row>
        <row r="315">
          <cell r="C315" t="str">
            <v>1996CA</v>
          </cell>
          <cell r="D315">
            <v>6580</v>
          </cell>
          <cell r="E315">
            <v>35200</v>
          </cell>
          <cell r="F315">
            <v>51750</v>
          </cell>
          <cell r="G315">
            <v>11400</v>
          </cell>
          <cell r="H315">
            <v>0</v>
          </cell>
          <cell r="I315">
            <v>2250</v>
          </cell>
          <cell r="J315">
            <v>0</v>
          </cell>
          <cell r="K315">
            <v>0</v>
          </cell>
          <cell r="L315">
            <v>37459</v>
          </cell>
          <cell r="M315">
            <v>0</v>
          </cell>
          <cell r="N315">
            <v>0</v>
          </cell>
          <cell r="O315">
            <v>2325</v>
          </cell>
          <cell r="P315">
            <v>0</v>
          </cell>
          <cell r="Q315">
            <v>0</v>
          </cell>
          <cell r="R315">
            <v>0</v>
          </cell>
          <cell r="S315">
            <v>0</v>
          </cell>
          <cell r="T315">
            <v>0</v>
          </cell>
          <cell r="U315">
            <v>500</v>
          </cell>
          <cell r="V315">
            <v>0</v>
          </cell>
          <cell r="W315">
            <v>0.63</v>
          </cell>
        </row>
        <row r="316">
          <cell r="C316" t="str">
            <v>1996CO</v>
          </cell>
          <cell r="D316">
            <v>3010</v>
          </cell>
          <cell r="E316">
            <v>126380</v>
          </cell>
          <cell r="F316">
            <v>75500</v>
          </cell>
          <cell r="G316">
            <v>9568</v>
          </cell>
          <cell r="H316">
            <v>13260</v>
          </cell>
          <cell r="I316">
            <v>1820</v>
          </cell>
          <cell r="J316">
            <v>50</v>
          </cell>
          <cell r="K316">
            <v>0</v>
          </cell>
          <cell r="L316">
            <v>0</v>
          </cell>
          <cell r="M316">
            <v>0</v>
          </cell>
          <cell r="N316">
            <v>0</v>
          </cell>
          <cell r="O316">
            <v>2250</v>
          </cell>
          <cell r="P316">
            <v>0</v>
          </cell>
          <cell r="Q316">
            <v>0</v>
          </cell>
          <cell r="R316">
            <v>0</v>
          </cell>
          <cell r="S316">
            <v>0</v>
          </cell>
          <cell r="T316">
            <v>0</v>
          </cell>
          <cell r="U316">
            <v>0</v>
          </cell>
          <cell r="V316">
            <v>0</v>
          </cell>
        </row>
        <row r="317">
          <cell r="C317" t="str">
            <v>1996CT</v>
          </cell>
          <cell r="D317">
            <v>38</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row>
        <row r="318">
          <cell r="C318" t="str">
            <v>1996DE</v>
          </cell>
          <cell r="D318">
            <v>32</v>
          </cell>
          <cell r="E318">
            <v>22022</v>
          </cell>
          <cell r="F318">
            <v>4134</v>
          </cell>
          <cell r="G318">
            <v>1564</v>
          </cell>
          <cell r="H318">
            <v>0</v>
          </cell>
          <cell r="I318">
            <v>0</v>
          </cell>
          <cell r="J318">
            <v>0</v>
          </cell>
          <cell r="K318">
            <v>0</v>
          </cell>
          <cell r="L318">
            <v>0</v>
          </cell>
          <cell r="M318">
            <v>7595</v>
          </cell>
          <cell r="N318">
            <v>0</v>
          </cell>
          <cell r="O318">
            <v>0</v>
          </cell>
          <cell r="P318">
            <v>0</v>
          </cell>
          <cell r="Q318">
            <v>0</v>
          </cell>
          <cell r="R318">
            <v>0</v>
          </cell>
          <cell r="S318">
            <v>0</v>
          </cell>
          <cell r="T318">
            <v>0</v>
          </cell>
          <cell r="U318">
            <v>0</v>
          </cell>
          <cell r="V318">
            <v>0</v>
          </cell>
        </row>
        <row r="319">
          <cell r="C319" t="str">
            <v>1996FL</v>
          </cell>
          <cell r="D319">
            <v>0</v>
          </cell>
          <cell r="E319">
            <v>9856</v>
          </cell>
          <cell r="F319">
            <v>380</v>
          </cell>
          <cell r="G319">
            <v>0</v>
          </cell>
          <cell r="H319">
            <v>0</v>
          </cell>
          <cell r="I319">
            <v>0</v>
          </cell>
          <cell r="J319">
            <v>0</v>
          </cell>
          <cell r="K319">
            <v>0</v>
          </cell>
          <cell r="L319">
            <v>977.54396071356996</v>
          </cell>
          <cell r="M319">
            <v>1056</v>
          </cell>
          <cell r="N319">
            <v>236160</v>
          </cell>
          <cell r="O319">
            <v>0</v>
          </cell>
          <cell r="P319">
            <v>0</v>
          </cell>
          <cell r="Q319">
            <v>0</v>
          </cell>
          <cell r="R319">
            <v>0</v>
          </cell>
          <cell r="S319">
            <v>0</v>
          </cell>
          <cell r="T319">
            <v>14498</v>
          </cell>
          <cell r="U319">
            <v>22</v>
          </cell>
          <cell r="V319">
            <v>11</v>
          </cell>
          <cell r="W319">
            <v>0</v>
          </cell>
        </row>
        <row r="320">
          <cell r="C320" t="str">
            <v>1996GA</v>
          </cell>
          <cell r="D320">
            <v>0</v>
          </cell>
          <cell r="E320">
            <v>49875</v>
          </cell>
          <cell r="F320">
            <v>15840</v>
          </cell>
          <cell r="G320">
            <v>0</v>
          </cell>
          <cell r="H320">
            <v>1640</v>
          </cell>
          <cell r="I320">
            <v>1600</v>
          </cell>
          <cell r="J320">
            <v>1820</v>
          </cell>
          <cell r="K320">
            <v>0</v>
          </cell>
          <cell r="L320">
            <v>0</v>
          </cell>
          <cell r="M320">
            <v>10140</v>
          </cell>
          <cell r="N320">
            <v>1433770</v>
          </cell>
          <cell r="O320">
            <v>0</v>
          </cell>
          <cell r="P320">
            <v>0</v>
          </cell>
          <cell r="Q320">
            <v>0</v>
          </cell>
          <cell r="R320">
            <v>0</v>
          </cell>
          <cell r="S320">
            <v>0</v>
          </cell>
          <cell r="T320">
            <v>0</v>
          </cell>
          <cell r="U320">
            <v>0</v>
          </cell>
          <cell r="V320">
            <v>0</v>
          </cell>
        </row>
        <row r="321">
          <cell r="C321" t="str">
            <v>1996HI</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3639</v>
          </cell>
          <cell r="U321">
            <v>0</v>
          </cell>
          <cell r="V321">
            <v>0</v>
          </cell>
        </row>
        <row r="322">
          <cell r="C322" t="str">
            <v>1996ID</v>
          </cell>
          <cell r="D322">
            <v>4200</v>
          </cell>
          <cell r="E322">
            <v>5400</v>
          </cell>
          <cell r="F322">
            <v>119200</v>
          </cell>
          <cell r="G322">
            <v>53290</v>
          </cell>
          <cell r="H322">
            <v>0</v>
          </cell>
          <cell r="I322">
            <v>1875</v>
          </cell>
          <cell r="J322">
            <v>0</v>
          </cell>
          <cell r="K322">
            <v>0</v>
          </cell>
          <cell r="L322">
            <v>0</v>
          </cell>
          <cell r="M322">
            <v>0</v>
          </cell>
          <cell r="N322">
            <v>0</v>
          </cell>
          <cell r="O322">
            <v>1907</v>
          </cell>
          <cell r="P322">
            <v>590</v>
          </cell>
          <cell r="Q322">
            <v>98</v>
          </cell>
          <cell r="R322">
            <v>440</v>
          </cell>
          <cell r="S322">
            <v>316</v>
          </cell>
          <cell r="T322">
            <v>0</v>
          </cell>
          <cell r="U322">
            <v>0</v>
          </cell>
          <cell r="V322">
            <v>0</v>
          </cell>
        </row>
        <row r="323">
          <cell r="C323" t="str">
            <v>1996IL</v>
          </cell>
          <cell r="D323">
            <v>1980</v>
          </cell>
          <cell r="E323">
            <v>1468800</v>
          </cell>
          <cell r="F323">
            <v>41800</v>
          </cell>
          <cell r="G323">
            <v>0</v>
          </cell>
          <cell r="H323">
            <v>12600</v>
          </cell>
          <cell r="I323">
            <v>4620</v>
          </cell>
          <cell r="J323">
            <v>186</v>
          </cell>
          <cell r="K323">
            <v>0</v>
          </cell>
          <cell r="L323">
            <v>0</v>
          </cell>
          <cell r="M323">
            <v>398925</v>
          </cell>
          <cell r="N323">
            <v>0</v>
          </cell>
          <cell r="O323">
            <v>0</v>
          </cell>
          <cell r="P323">
            <v>0</v>
          </cell>
          <cell r="Q323">
            <v>0</v>
          </cell>
          <cell r="R323">
            <v>0</v>
          </cell>
          <cell r="S323">
            <v>0</v>
          </cell>
          <cell r="T323">
            <v>0</v>
          </cell>
          <cell r="U323">
            <v>0</v>
          </cell>
          <cell r="V323">
            <v>0</v>
          </cell>
        </row>
        <row r="324">
          <cell r="C324" t="str">
            <v>1996IN</v>
          </cell>
          <cell r="D324">
            <v>1360</v>
          </cell>
          <cell r="E324">
            <v>670350</v>
          </cell>
          <cell r="F324">
            <v>27360</v>
          </cell>
          <cell r="G324">
            <v>0</v>
          </cell>
          <cell r="H324">
            <v>0</v>
          </cell>
          <cell r="I324">
            <v>1600</v>
          </cell>
          <cell r="J324">
            <v>44</v>
          </cell>
          <cell r="K324">
            <v>0</v>
          </cell>
          <cell r="L324">
            <v>0</v>
          </cell>
          <cell r="M324">
            <v>203680</v>
          </cell>
          <cell r="N324">
            <v>0</v>
          </cell>
          <cell r="O324">
            <v>0</v>
          </cell>
          <cell r="P324">
            <v>0</v>
          </cell>
          <cell r="Q324">
            <v>0</v>
          </cell>
          <cell r="R324">
            <v>0</v>
          </cell>
          <cell r="S324">
            <v>0</v>
          </cell>
          <cell r="T324">
            <v>0</v>
          </cell>
          <cell r="U324">
            <v>0</v>
          </cell>
          <cell r="V324">
            <v>0</v>
          </cell>
        </row>
        <row r="325">
          <cell r="C325" t="str">
            <v>1996IA</v>
          </cell>
          <cell r="D325">
            <v>4320</v>
          </cell>
          <cell r="E325">
            <v>1711200</v>
          </cell>
          <cell r="F325">
            <v>1400</v>
          </cell>
          <cell r="G325">
            <v>0</v>
          </cell>
          <cell r="H325">
            <v>0</v>
          </cell>
          <cell r="I325">
            <v>12920</v>
          </cell>
          <cell r="J325">
            <v>0</v>
          </cell>
          <cell r="K325">
            <v>0</v>
          </cell>
          <cell r="L325">
            <v>0</v>
          </cell>
          <cell r="M325">
            <v>415800</v>
          </cell>
          <cell r="N325">
            <v>0</v>
          </cell>
          <cell r="O325">
            <v>0</v>
          </cell>
          <cell r="P325">
            <v>0</v>
          </cell>
          <cell r="Q325">
            <v>0</v>
          </cell>
          <cell r="R325">
            <v>0</v>
          </cell>
          <cell r="S325">
            <v>0</v>
          </cell>
          <cell r="T325">
            <v>0</v>
          </cell>
          <cell r="U325">
            <v>0</v>
          </cell>
          <cell r="V325">
            <v>0</v>
          </cell>
        </row>
        <row r="326">
          <cell r="C326" t="str">
            <v>1996KS</v>
          </cell>
          <cell r="D326">
            <v>3440</v>
          </cell>
          <cell r="E326">
            <v>357200</v>
          </cell>
          <cell r="F326">
            <v>255200</v>
          </cell>
          <cell r="G326">
            <v>363</v>
          </cell>
          <cell r="H326">
            <v>354200</v>
          </cell>
          <cell r="I326">
            <v>4160</v>
          </cell>
          <cell r="J326">
            <v>150</v>
          </cell>
          <cell r="K326">
            <v>0</v>
          </cell>
          <cell r="L326">
            <v>0</v>
          </cell>
          <cell r="M326">
            <v>74000</v>
          </cell>
          <cell r="N326">
            <v>0</v>
          </cell>
          <cell r="O326">
            <v>444</v>
          </cell>
          <cell r="P326">
            <v>0</v>
          </cell>
          <cell r="Q326">
            <v>0</v>
          </cell>
          <cell r="R326">
            <v>0</v>
          </cell>
          <cell r="S326">
            <v>0</v>
          </cell>
          <cell r="T326">
            <v>0</v>
          </cell>
          <cell r="U326">
            <v>0</v>
          </cell>
          <cell r="V326">
            <v>0</v>
          </cell>
        </row>
        <row r="327">
          <cell r="C327" t="str">
            <v>1996KY</v>
          </cell>
          <cell r="D327">
            <v>1080</v>
          </cell>
          <cell r="E327">
            <v>148800</v>
          </cell>
          <cell r="F327">
            <v>28090</v>
          </cell>
          <cell r="G327">
            <v>1480</v>
          </cell>
          <cell r="H327">
            <v>2116</v>
          </cell>
          <cell r="I327">
            <v>0</v>
          </cell>
          <cell r="J327">
            <v>0</v>
          </cell>
          <cell r="K327">
            <v>0</v>
          </cell>
          <cell r="L327">
            <v>0</v>
          </cell>
          <cell r="M327">
            <v>44840</v>
          </cell>
          <cell r="N327">
            <v>0</v>
          </cell>
          <cell r="O327">
            <v>0</v>
          </cell>
          <cell r="P327">
            <v>0</v>
          </cell>
          <cell r="Q327">
            <v>0</v>
          </cell>
          <cell r="R327">
            <v>0</v>
          </cell>
          <cell r="S327">
            <v>0</v>
          </cell>
          <cell r="T327">
            <v>0</v>
          </cell>
          <cell r="U327">
            <v>0</v>
          </cell>
          <cell r="V327">
            <v>0</v>
          </cell>
        </row>
        <row r="328">
          <cell r="C328" t="str">
            <v>1996LA</v>
          </cell>
          <cell r="D328">
            <v>0</v>
          </cell>
          <cell r="E328">
            <v>65375</v>
          </cell>
          <cell r="F328">
            <v>5590</v>
          </cell>
          <cell r="G328">
            <v>0</v>
          </cell>
          <cell r="H328">
            <v>11628</v>
          </cell>
          <cell r="I328">
            <v>0</v>
          </cell>
          <cell r="J328">
            <v>0</v>
          </cell>
          <cell r="K328">
            <v>0</v>
          </cell>
          <cell r="L328">
            <v>25977</v>
          </cell>
          <cell r="M328">
            <v>35640</v>
          </cell>
          <cell r="N328">
            <v>0</v>
          </cell>
          <cell r="O328">
            <v>0</v>
          </cell>
          <cell r="P328">
            <v>0</v>
          </cell>
          <cell r="Q328">
            <v>0</v>
          </cell>
          <cell r="R328">
            <v>0</v>
          </cell>
          <cell r="S328">
            <v>0</v>
          </cell>
          <cell r="T328">
            <v>10324</v>
          </cell>
          <cell r="U328">
            <v>533</v>
          </cell>
          <cell r="V328">
            <v>160</v>
          </cell>
          <cell r="W328">
            <v>0.06</v>
          </cell>
        </row>
        <row r="329">
          <cell r="C329" t="str">
            <v>1996ME</v>
          </cell>
          <cell r="D329">
            <v>30</v>
          </cell>
          <cell r="E329">
            <v>0</v>
          </cell>
          <cell r="F329">
            <v>0</v>
          </cell>
          <cell r="G329">
            <v>0</v>
          </cell>
          <cell r="H329">
            <v>0</v>
          </cell>
          <cell r="I329">
            <v>2100</v>
          </cell>
          <cell r="J329">
            <v>0</v>
          </cell>
          <cell r="K329">
            <v>0</v>
          </cell>
          <cell r="L329">
            <v>0</v>
          </cell>
          <cell r="M329">
            <v>0</v>
          </cell>
          <cell r="N329">
            <v>0</v>
          </cell>
          <cell r="O329">
            <v>0</v>
          </cell>
          <cell r="P329">
            <v>0</v>
          </cell>
          <cell r="Q329">
            <v>0</v>
          </cell>
          <cell r="R329">
            <v>0</v>
          </cell>
          <cell r="S329">
            <v>0</v>
          </cell>
          <cell r="T329">
            <v>0</v>
          </cell>
          <cell r="U329">
            <v>0</v>
          </cell>
          <cell r="V329">
            <v>0</v>
          </cell>
        </row>
        <row r="330">
          <cell r="C330" t="str">
            <v>1996MD</v>
          </cell>
          <cell r="D330">
            <v>282</v>
          </cell>
          <cell r="E330">
            <v>64635</v>
          </cell>
          <cell r="F330">
            <v>11804</v>
          </cell>
          <cell r="G330">
            <v>2989</v>
          </cell>
          <cell r="H330">
            <v>0</v>
          </cell>
          <cell r="I330">
            <v>434</v>
          </cell>
          <cell r="J330">
            <v>50</v>
          </cell>
          <cell r="K330">
            <v>0</v>
          </cell>
          <cell r="L330">
            <v>0</v>
          </cell>
          <cell r="M330">
            <v>17760</v>
          </cell>
          <cell r="N330">
            <v>0</v>
          </cell>
          <cell r="O330">
            <v>0</v>
          </cell>
          <cell r="P330">
            <v>0</v>
          </cell>
          <cell r="Q330">
            <v>0</v>
          </cell>
          <cell r="R330">
            <v>0</v>
          </cell>
          <cell r="S330">
            <v>0</v>
          </cell>
          <cell r="T330">
            <v>0</v>
          </cell>
          <cell r="U330">
            <v>0</v>
          </cell>
          <cell r="V330">
            <v>0</v>
          </cell>
        </row>
        <row r="331">
          <cell r="C331" t="str">
            <v>1996MA</v>
          </cell>
          <cell r="D331">
            <v>30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row>
        <row r="332">
          <cell r="C332" t="str">
            <v>1996MI</v>
          </cell>
          <cell r="D332">
            <v>3420</v>
          </cell>
          <cell r="E332">
            <v>211500</v>
          </cell>
          <cell r="F332">
            <v>22800</v>
          </cell>
          <cell r="G332">
            <v>1200</v>
          </cell>
          <cell r="H332">
            <v>0</v>
          </cell>
          <cell r="I332">
            <v>3600</v>
          </cell>
          <cell r="J332">
            <v>351</v>
          </cell>
          <cell r="K332">
            <v>0</v>
          </cell>
          <cell r="L332">
            <v>0</v>
          </cell>
          <cell r="M332">
            <v>46740</v>
          </cell>
          <cell r="N332">
            <v>0</v>
          </cell>
          <cell r="O332">
            <v>4640</v>
          </cell>
          <cell r="P332">
            <v>0</v>
          </cell>
          <cell r="Q332">
            <v>0</v>
          </cell>
          <cell r="R332">
            <v>0</v>
          </cell>
          <cell r="S332">
            <v>0</v>
          </cell>
          <cell r="T332">
            <v>0</v>
          </cell>
          <cell r="U332">
            <v>0</v>
          </cell>
          <cell r="V332">
            <v>0</v>
          </cell>
        </row>
        <row r="333">
          <cell r="C333" t="str">
            <v>1996MN</v>
          </cell>
          <cell r="D333">
            <v>4573</v>
          </cell>
          <cell r="E333">
            <v>868750</v>
          </cell>
          <cell r="F333">
            <v>106582</v>
          </cell>
          <cell r="G333">
            <v>33280</v>
          </cell>
          <cell r="H333">
            <v>0</v>
          </cell>
          <cell r="I333">
            <v>15120</v>
          </cell>
          <cell r="J333">
            <v>480</v>
          </cell>
          <cell r="K333">
            <v>0</v>
          </cell>
          <cell r="L333">
            <v>0</v>
          </cell>
          <cell r="M333">
            <v>224200</v>
          </cell>
          <cell r="N333">
            <v>0</v>
          </cell>
          <cell r="O333">
            <v>2418</v>
          </cell>
          <cell r="P333">
            <v>0</v>
          </cell>
          <cell r="Q333">
            <v>0</v>
          </cell>
          <cell r="R333">
            <v>0</v>
          </cell>
          <cell r="S333">
            <v>0</v>
          </cell>
          <cell r="T333">
            <v>0</v>
          </cell>
          <cell r="U333">
            <v>0</v>
          </cell>
          <cell r="V333">
            <v>0</v>
          </cell>
        </row>
        <row r="334">
          <cell r="C334" t="str">
            <v>1996MS</v>
          </cell>
          <cell r="D334">
            <v>0</v>
          </cell>
          <cell r="E334">
            <v>60690</v>
          </cell>
          <cell r="F334">
            <v>11270</v>
          </cell>
          <cell r="G334">
            <v>0</v>
          </cell>
          <cell r="H334">
            <v>5040</v>
          </cell>
          <cell r="I334">
            <v>0</v>
          </cell>
          <cell r="J334">
            <v>0</v>
          </cell>
          <cell r="K334">
            <v>0</v>
          </cell>
          <cell r="L334">
            <v>12480</v>
          </cell>
          <cell r="M334">
            <v>54250</v>
          </cell>
          <cell r="N334">
            <v>0</v>
          </cell>
          <cell r="O334">
            <v>0</v>
          </cell>
          <cell r="P334">
            <v>0</v>
          </cell>
          <cell r="Q334">
            <v>0</v>
          </cell>
          <cell r="R334">
            <v>0</v>
          </cell>
          <cell r="S334">
            <v>0</v>
          </cell>
          <cell r="T334">
            <v>0</v>
          </cell>
          <cell r="U334">
            <v>208</v>
          </cell>
          <cell r="V334">
            <v>0</v>
          </cell>
          <cell r="W334">
            <v>0.1</v>
          </cell>
        </row>
        <row r="335">
          <cell r="C335" t="str">
            <v>1996MO</v>
          </cell>
          <cell r="D335">
            <v>1320</v>
          </cell>
          <cell r="E335">
            <v>340360</v>
          </cell>
          <cell r="F335">
            <v>48750</v>
          </cell>
          <cell r="G335">
            <v>0</v>
          </cell>
          <cell r="H335">
            <v>50960</v>
          </cell>
          <cell r="I335">
            <v>1537</v>
          </cell>
          <cell r="J335">
            <v>0</v>
          </cell>
          <cell r="K335">
            <v>0</v>
          </cell>
          <cell r="L335">
            <v>5273</v>
          </cell>
          <cell r="M335">
            <v>149850</v>
          </cell>
          <cell r="N335">
            <v>0</v>
          </cell>
          <cell r="O335">
            <v>0</v>
          </cell>
          <cell r="P335">
            <v>0</v>
          </cell>
          <cell r="Q335">
            <v>0</v>
          </cell>
          <cell r="R335">
            <v>0</v>
          </cell>
          <cell r="S335">
            <v>0</v>
          </cell>
          <cell r="T335">
            <v>0</v>
          </cell>
          <cell r="U335">
            <v>95</v>
          </cell>
          <cell r="V335">
            <v>0</v>
          </cell>
          <cell r="W335">
            <v>0.05</v>
          </cell>
        </row>
        <row r="336">
          <cell r="C336" t="str">
            <v>1996MT</v>
          </cell>
          <cell r="D336">
            <v>3570</v>
          </cell>
          <cell r="E336">
            <v>2055</v>
          </cell>
          <cell r="F336">
            <v>174980</v>
          </cell>
          <cell r="G336">
            <v>49450</v>
          </cell>
          <cell r="H336">
            <v>0</v>
          </cell>
          <cell r="I336">
            <v>2000</v>
          </cell>
          <cell r="J336">
            <v>0</v>
          </cell>
          <cell r="K336">
            <v>0</v>
          </cell>
          <cell r="L336">
            <v>0</v>
          </cell>
          <cell r="M336">
            <v>0</v>
          </cell>
          <cell r="N336">
            <v>0</v>
          </cell>
          <cell r="O336">
            <v>235</v>
          </cell>
          <cell r="P336">
            <v>0</v>
          </cell>
          <cell r="Q336">
            <v>0</v>
          </cell>
          <cell r="R336">
            <v>0</v>
          </cell>
          <cell r="S336">
            <v>0</v>
          </cell>
          <cell r="T336">
            <v>0</v>
          </cell>
          <cell r="U336">
            <v>0</v>
          </cell>
          <cell r="V336">
            <v>0</v>
          </cell>
        </row>
        <row r="337">
          <cell r="C337" t="str">
            <v>1996NE</v>
          </cell>
          <cell r="D337">
            <v>5180</v>
          </cell>
          <cell r="E337">
            <v>1179750</v>
          </cell>
          <cell r="F337">
            <v>73500</v>
          </cell>
          <cell r="G337">
            <v>901</v>
          </cell>
          <cell r="H337">
            <v>97850</v>
          </cell>
          <cell r="I337">
            <v>7455</v>
          </cell>
          <cell r="J337">
            <v>323</v>
          </cell>
          <cell r="K337">
            <v>0</v>
          </cell>
          <cell r="L337">
            <v>0</v>
          </cell>
          <cell r="M337">
            <v>135450</v>
          </cell>
          <cell r="N337">
            <v>0</v>
          </cell>
          <cell r="O337">
            <v>3705</v>
          </cell>
          <cell r="P337">
            <v>0</v>
          </cell>
          <cell r="Q337">
            <v>0</v>
          </cell>
          <cell r="R337">
            <v>0</v>
          </cell>
          <cell r="S337">
            <v>0</v>
          </cell>
          <cell r="T337">
            <v>0</v>
          </cell>
          <cell r="U337">
            <v>0</v>
          </cell>
          <cell r="V337">
            <v>0</v>
          </cell>
        </row>
        <row r="338">
          <cell r="C338" t="str">
            <v>1996NV</v>
          </cell>
          <cell r="D338">
            <v>1125</v>
          </cell>
          <cell r="E338">
            <v>0</v>
          </cell>
          <cell r="F338">
            <v>1650</v>
          </cell>
          <cell r="G338">
            <v>475</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row>
        <row r="339">
          <cell r="C339" t="str">
            <v>1996NH</v>
          </cell>
          <cell r="D339">
            <v>23</v>
          </cell>
          <cell r="E339">
            <v>0</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row>
        <row r="340">
          <cell r="C340" t="str">
            <v>1996NJ</v>
          </cell>
          <cell r="D340">
            <v>88</v>
          </cell>
          <cell r="E340">
            <v>11844</v>
          </cell>
          <cell r="F340">
            <v>1748</v>
          </cell>
          <cell r="G340">
            <v>180</v>
          </cell>
          <cell r="H340">
            <v>0</v>
          </cell>
          <cell r="I340">
            <v>0</v>
          </cell>
          <cell r="J340">
            <v>81</v>
          </cell>
          <cell r="K340">
            <v>0</v>
          </cell>
          <cell r="L340">
            <v>0</v>
          </cell>
          <cell r="M340">
            <v>4403</v>
          </cell>
          <cell r="N340">
            <v>0</v>
          </cell>
          <cell r="O340">
            <v>0</v>
          </cell>
          <cell r="P340">
            <v>0</v>
          </cell>
          <cell r="Q340">
            <v>0</v>
          </cell>
          <cell r="R340">
            <v>0</v>
          </cell>
          <cell r="S340">
            <v>0</v>
          </cell>
          <cell r="T340">
            <v>0</v>
          </cell>
          <cell r="U340">
            <v>0</v>
          </cell>
          <cell r="V340">
            <v>0</v>
          </cell>
        </row>
        <row r="341">
          <cell r="C341" t="str">
            <v>1996NM</v>
          </cell>
          <cell r="D341">
            <v>1275</v>
          </cell>
          <cell r="E341">
            <v>14700</v>
          </cell>
          <cell r="F341">
            <v>4070</v>
          </cell>
          <cell r="G341">
            <v>0</v>
          </cell>
          <cell r="H341">
            <v>7425</v>
          </cell>
          <cell r="I341">
            <v>0</v>
          </cell>
          <cell r="J341">
            <v>0</v>
          </cell>
          <cell r="K341">
            <v>0</v>
          </cell>
          <cell r="L341">
            <v>0</v>
          </cell>
          <cell r="M341">
            <v>0</v>
          </cell>
          <cell r="N341">
            <v>37950</v>
          </cell>
          <cell r="O341">
            <v>264</v>
          </cell>
          <cell r="P341">
            <v>0</v>
          </cell>
          <cell r="Q341">
            <v>0</v>
          </cell>
          <cell r="R341">
            <v>0</v>
          </cell>
          <cell r="S341">
            <v>0</v>
          </cell>
          <cell r="T341">
            <v>0</v>
          </cell>
          <cell r="U341">
            <v>0</v>
          </cell>
          <cell r="V341">
            <v>0</v>
          </cell>
        </row>
        <row r="342">
          <cell r="C342" t="str">
            <v>1996NY</v>
          </cell>
          <cell r="D342">
            <v>1728</v>
          </cell>
          <cell r="E342">
            <v>64890</v>
          </cell>
          <cell r="F342">
            <v>6450</v>
          </cell>
          <cell r="G342">
            <v>0</v>
          </cell>
          <cell r="H342">
            <v>0</v>
          </cell>
          <cell r="I342">
            <v>3850</v>
          </cell>
          <cell r="J342">
            <v>224</v>
          </cell>
          <cell r="K342">
            <v>0</v>
          </cell>
          <cell r="L342">
            <v>0</v>
          </cell>
          <cell r="M342">
            <v>0</v>
          </cell>
          <cell r="N342">
            <v>0</v>
          </cell>
          <cell r="O342">
            <v>377</v>
          </cell>
          <cell r="P342">
            <v>0</v>
          </cell>
          <cell r="Q342">
            <v>0</v>
          </cell>
          <cell r="R342">
            <v>0</v>
          </cell>
          <cell r="S342">
            <v>0</v>
          </cell>
          <cell r="T342">
            <v>0</v>
          </cell>
          <cell r="U342">
            <v>0</v>
          </cell>
          <cell r="V342">
            <v>0</v>
          </cell>
        </row>
        <row r="343">
          <cell r="C343" t="str">
            <v>1996NC</v>
          </cell>
          <cell r="D343">
            <v>42</v>
          </cell>
          <cell r="E343">
            <v>85500</v>
          </cell>
          <cell r="F343">
            <v>25960</v>
          </cell>
          <cell r="G343">
            <v>1300</v>
          </cell>
          <cell r="H343">
            <v>570</v>
          </cell>
          <cell r="I343">
            <v>1200</v>
          </cell>
          <cell r="J343">
            <v>500</v>
          </cell>
          <cell r="K343">
            <v>0</v>
          </cell>
          <cell r="L343">
            <v>0</v>
          </cell>
          <cell r="M343">
            <v>34800</v>
          </cell>
          <cell r="N343">
            <v>367500</v>
          </cell>
          <cell r="O343">
            <v>0</v>
          </cell>
          <cell r="P343">
            <v>0</v>
          </cell>
          <cell r="Q343">
            <v>0</v>
          </cell>
          <cell r="R343">
            <v>0</v>
          </cell>
          <cell r="S343">
            <v>0</v>
          </cell>
          <cell r="T343">
            <v>0</v>
          </cell>
          <cell r="U343">
            <v>0</v>
          </cell>
          <cell r="V343">
            <v>0</v>
          </cell>
        </row>
        <row r="344">
          <cell r="C344" t="str">
            <v>1996ND</v>
          </cell>
          <cell r="D344">
            <v>3145</v>
          </cell>
          <cell r="E344">
            <v>54600</v>
          </cell>
          <cell r="F344">
            <v>395130</v>
          </cell>
          <cell r="G344">
            <v>143000</v>
          </cell>
          <cell r="H344">
            <v>0</v>
          </cell>
          <cell r="I344">
            <v>19000</v>
          </cell>
          <cell r="J344">
            <v>528</v>
          </cell>
          <cell r="K344">
            <v>0</v>
          </cell>
          <cell r="L344">
            <v>0</v>
          </cell>
          <cell r="M344">
            <v>24505</v>
          </cell>
          <cell r="N344">
            <v>0</v>
          </cell>
          <cell r="O344">
            <v>7524</v>
          </cell>
          <cell r="P344">
            <v>0</v>
          </cell>
          <cell r="Q344">
            <v>0</v>
          </cell>
          <cell r="R344">
            <v>0</v>
          </cell>
          <cell r="S344">
            <v>0</v>
          </cell>
          <cell r="T344">
            <v>0</v>
          </cell>
          <cell r="U344">
            <v>0</v>
          </cell>
          <cell r="V344">
            <v>0</v>
          </cell>
        </row>
        <row r="345">
          <cell r="C345" t="str">
            <v>1996OH</v>
          </cell>
          <cell r="D345">
            <v>2100</v>
          </cell>
          <cell r="E345">
            <v>310800</v>
          </cell>
          <cell r="F345">
            <v>51870</v>
          </cell>
          <cell r="G345">
            <v>0</v>
          </cell>
          <cell r="H345">
            <v>0</v>
          </cell>
          <cell r="I345">
            <v>5130</v>
          </cell>
          <cell r="J345">
            <v>124</v>
          </cell>
          <cell r="K345">
            <v>0</v>
          </cell>
          <cell r="L345">
            <v>0</v>
          </cell>
          <cell r="M345">
            <v>157150</v>
          </cell>
          <cell r="N345">
            <v>0</v>
          </cell>
          <cell r="O345">
            <v>0</v>
          </cell>
          <cell r="P345">
            <v>0</v>
          </cell>
          <cell r="Q345">
            <v>0</v>
          </cell>
          <cell r="R345">
            <v>0</v>
          </cell>
          <cell r="S345">
            <v>0</v>
          </cell>
          <cell r="T345">
            <v>0</v>
          </cell>
          <cell r="U345">
            <v>0</v>
          </cell>
          <cell r="V345">
            <v>0</v>
          </cell>
        </row>
        <row r="346">
          <cell r="C346" t="str">
            <v>1996OK</v>
          </cell>
          <cell r="D346">
            <v>1260</v>
          </cell>
          <cell r="E346">
            <v>24650</v>
          </cell>
          <cell r="F346">
            <v>93100</v>
          </cell>
          <cell r="G346">
            <v>69</v>
          </cell>
          <cell r="H346">
            <v>28910</v>
          </cell>
          <cell r="I346">
            <v>648</v>
          </cell>
          <cell r="J346">
            <v>975</v>
          </cell>
          <cell r="K346">
            <v>0</v>
          </cell>
          <cell r="L346">
            <v>0</v>
          </cell>
          <cell r="M346">
            <v>7410</v>
          </cell>
          <cell r="N346">
            <v>195210</v>
          </cell>
          <cell r="O346">
            <v>0</v>
          </cell>
          <cell r="P346">
            <v>0</v>
          </cell>
          <cell r="Q346">
            <v>0</v>
          </cell>
          <cell r="R346">
            <v>0</v>
          </cell>
          <cell r="S346">
            <v>0</v>
          </cell>
          <cell r="T346">
            <v>0</v>
          </cell>
          <cell r="U346">
            <v>4.65E-2</v>
          </cell>
          <cell r="V346">
            <v>0</v>
          </cell>
          <cell r="W346">
            <v>0.9</v>
          </cell>
        </row>
        <row r="347">
          <cell r="C347" t="str">
            <v>1996OR</v>
          </cell>
          <cell r="D347">
            <v>2024</v>
          </cell>
          <cell r="E347">
            <v>6105</v>
          </cell>
          <cell r="F347">
            <v>65085</v>
          </cell>
          <cell r="G347">
            <v>9600</v>
          </cell>
          <cell r="H347">
            <v>0</v>
          </cell>
          <cell r="I347">
            <v>3395</v>
          </cell>
          <cell r="J347">
            <v>0</v>
          </cell>
          <cell r="K347">
            <v>0</v>
          </cell>
          <cell r="L347">
            <v>0</v>
          </cell>
          <cell r="M347">
            <v>0</v>
          </cell>
          <cell r="N347">
            <v>0</v>
          </cell>
          <cell r="O347">
            <v>158</v>
          </cell>
          <cell r="P347">
            <v>0</v>
          </cell>
          <cell r="Q347">
            <v>5</v>
          </cell>
          <cell r="R347">
            <v>0</v>
          </cell>
          <cell r="S347">
            <v>0</v>
          </cell>
          <cell r="T347">
            <v>0</v>
          </cell>
          <cell r="U347">
            <v>0</v>
          </cell>
          <cell r="V347">
            <v>0</v>
          </cell>
        </row>
        <row r="348">
          <cell r="C348" t="str">
            <v>1996PA</v>
          </cell>
          <cell r="D348">
            <v>2325</v>
          </cell>
          <cell r="E348">
            <v>127330</v>
          </cell>
          <cell r="F348">
            <v>9120</v>
          </cell>
          <cell r="G348">
            <v>5025</v>
          </cell>
          <cell r="H348">
            <v>0</v>
          </cell>
          <cell r="I348">
            <v>7560</v>
          </cell>
          <cell r="J348">
            <v>216</v>
          </cell>
          <cell r="K348">
            <v>0</v>
          </cell>
          <cell r="L348">
            <v>0</v>
          </cell>
          <cell r="M348">
            <v>11400</v>
          </cell>
          <cell r="N348">
            <v>0</v>
          </cell>
          <cell r="O348">
            <v>0</v>
          </cell>
          <cell r="P348">
            <v>0</v>
          </cell>
          <cell r="Q348">
            <v>0</v>
          </cell>
          <cell r="R348">
            <v>0</v>
          </cell>
          <cell r="S348">
            <v>0</v>
          </cell>
          <cell r="T348">
            <v>0</v>
          </cell>
          <cell r="U348">
            <v>0</v>
          </cell>
          <cell r="V348">
            <v>0</v>
          </cell>
        </row>
        <row r="349">
          <cell r="C349" t="str">
            <v>1996RI</v>
          </cell>
          <cell r="D349">
            <v>6</v>
          </cell>
          <cell r="E349">
            <v>0</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row>
        <row r="350">
          <cell r="C350" t="str">
            <v>1996SC</v>
          </cell>
          <cell r="D350">
            <v>0</v>
          </cell>
          <cell r="E350">
            <v>30020</v>
          </cell>
          <cell r="F350">
            <v>12150</v>
          </cell>
          <cell r="G350">
            <v>200</v>
          </cell>
          <cell r="H350">
            <v>250</v>
          </cell>
          <cell r="I350">
            <v>1620</v>
          </cell>
          <cell r="J350">
            <v>520</v>
          </cell>
          <cell r="K350">
            <v>0</v>
          </cell>
          <cell r="L350">
            <v>0</v>
          </cell>
          <cell r="M350">
            <v>13500</v>
          </cell>
          <cell r="N350">
            <v>32550</v>
          </cell>
          <cell r="O350">
            <v>0</v>
          </cell>
          <cell r="P350">
            <v>0</v>
          </cell>
          <cell r="Q350">
            <v>0</v>
          </cell>
          <cell r="R350">
            <v>0</v>
          </cell>
          <cell r="S350">
            <v>0</v>
          </cell>
          <cell r="T350">
            <v>0</v>
          </cell>
          <cell r="U350">
            <v>0</v>
          </cell>
          <cell r="V350">
            <v>0</v>
          </cell>
        </row>
        <row r="351">
          <cell r="C351" t="str">
            <v>1996SD</v>
          </cell>
          <cell r="D351">
            <v>5500</v>
          </cell>
          <cell r="E351">
            <v>365000</v>
          </cell>
          <cell r="F351">
            <v>139270</v>
          </cell>
          <cell r="G351">
            <v>6380</v>
          </cell>
          <cell r="H351">
            <v>7975</v>
          </cell>
          <cell r="I351">
            <v>21600</v>
          </cell>
          <cell r="J351">
            <v>1476</v>
          </cell>
          <cell r="K351">
            <v>0</v>
          </cell>
          <cell r="L351">
            <v>0</v>
          </cell>
          <cell r="M351">
            <v>90780</v>
          </cell>
          <cell r="N351">
            <v>0</v>
          </cell>
          <cell r="O351">
            <v>0</v>
          </cell>
          <cell r="P351">
            <v>0</v>
          </cell>
          <cell r="Q351">
            <v>0</v>
          </cell>
          <cell r="R351">
            <v>0</v>
          </cell>
          <cell r="S351">
            <v>0</v>
          </cell>
          <cell r="T351">
            <v>0</v>
          </cell>
          <cell r="U351">
            <v>0</v>
          </cell>
          <cell r="V351">
            <v>0</v>
          </cell>
        </row>
        <row r="352">
          <cell r="C352" t="str">
            <v>1996TN</v>
          </cell>
          <cell r="D352">
            <v>136</v>
          </cell>
          <cell r="E352">
            <v>75400</v>
          </cell>
          <cell r="F352">
            <v>16720</v>
          </cell>
          <cell r="G352">
            <v>0</v>
          </cell>
          <cell r="H352">
            <v>1620</v>
          </cell>
          <cell r="I352">
            <v>0</v>
          </cell>
          <cell r="J352">
            <v>0</v>
          </cell>
          <cell r="K352">
            <v>0</v>
          </cell>
          <cell r="L352">
            <v>0</v>
          </cell>
          <cell r="M352">
            <v>38500</v>
          </cell>
          <cell r="N352">
            <v>0</v>
          </cell>
          <cell r="O352">
            <v>0</v>
          </cell>
          <cell r="P352">
            <v>0</v>
          </cell>
          <cell r="Q352">
            <v>0</v>
          </cell>
          <cell r="R352">
            <v>0</v>
          </cell>
          <cell r="S352">
            <v>0</v>
          </cell>
          <cell r="T352">
            <v>0</v>
          </cell>
          <cell r="U352">
            <v>0</v>
          </cell>
          <cell r="V352">
            <v>0</v>
          </cell>
        </row>
        <row r="353">
          <cell r="C353" t="str">
            <v>1996TX</v>
          </cell>
          <cell r="D353">
            <v>675</v>
          </cell>
          <cell r="E353">
            <v>198240</v>
          </cell>
          <cell r="F353">
            <v>75400</v>
          </cell>
          <cell r="G353">
            <v>374</v>
          </cell>
          <cell r="H353">
            <v>182400</v>
          </cell>
          <cell r="I353">
            <v>3400</v>
          </cell>
          <cell r="J353">
            <v>190</v>
          </cell>
          <cell r="K353">
            <v>0</v>
          </cell>
          <cell r="L353">
            <v>18465</v>
          </cell>
          <cell r="M353">
            <v>7020</v>
          </cell>
          <cell r="N353">
            <v>689000</v>
          </cell>
          <cell r="O353">
            <v>84</v>
          </cell>
          <cell r="P353">
            <v>0</v>
          </cell>
          <cell r="Q353">
            <v>0</v>
          </cell>
          <cell r="R353">
            <v>0</v>
          </cell>
          <cell r="S353">
            <v>0</v>
          </cell>
          <cell r="T353">
            <v>1003</v>
          </cell>
          <cell r="U353">
            <v>298</v>
          </cell>
          <cell r="V353">
            <v>119</v>
          </cell>
          <cell r="W353">
            <v>0.01</v>
          </cell>
        </row>
        <row r="354">
          <cell r="C354" t="str">
            <v>1996UT</v>
          </cell>
          <cell r="D354">
            <v>2180</v>
          </cell>
          <cell r="E354">
            <v>2780</v>
          </cell>
          <cell r="F354">
            <v>7455</v>
          </cell>
          <cell r="G354">
            <v>8000</v>
          </cell>
          <cell r="H354">
            <v>0</v>
          </cell>
          <cell r="I354">
            <v>630</v>
          </cell>
          <cell r="J354">
            <v>0</v>
          </cell>
          <cell r="K354">
            <v>0</v>
          </cell>
          <cell r="L354">
            <v>0</v>
          </cell>
          <cell r="M354">
            <v>0</v>
          </cell>
          <cell r="N354">
            <v>0</v>
          </cell>
          <cell r="O354">
            <v>10</v>
          </cell>
          <cell r="P354">
            <v>0</v>
          </cell>
          <cell r="Q354">
            <v>0</v>
          </cell>
          <cell r="R354">
            <v>0</v>
          </cell>
          <cell r="S354">
            <v>0</v>
          </cell>
          <cell r="T354">
            <v>0</v>
          </cell>
          <cell r="U354">
            <v>0</v>
          </cell>
          <cell r="V354">
            <v>0</v>
          </cell>
        </row>
        <row r="355">
          <cell r="C355" t="str">
            <v>1996VT</v>
          </cell>
          <cell r="D355">
            <v>137</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row>
        <row r="356">
          <cell r="C356" t="str">
            <v>1996VA</v>
          </cell>
          <cell r="D356">
            <v>432</v>
          </cell>
          <cell r="E356">
            <v>39060</v>
          </cell>
          <cell r="F356">
            <v>14575</v>
          </cell>
          <cell r="G356">
            <v>5100</v>
          </cell>
          <cell r="H356">
            <v>0</v>
          </cell>
          <cell r="I356">
            <v>0</v>
          </cell>
          <cell r="J356">
            <v>264</v>
          </cell>
          <cell r="K356">
            <v>0</v>
          </cell>
          <cell r="L356">
            <v>0</v>
          </cell>
          <cell r="M356">
            <v>16320</v>
          </cell>
          <cell r="N356">
            <v>219260</v>
          </cell>
          <cell r="O356">
            <v>0</v>
          </cell>
          <cell r="P356">
            <v>0</v>
          </cell>
          <cell r="Q356">
            <v>0</v>
          </cell>
          <cell r="R356">
            <v>0</v>
          </cell>
          <cell r="S356">
            <v>0</v>
          </cell>
          <cell r="T356">
            <v>0</v>
          </cell>
          <cell r="U356">
            <v>0</v>
          </cell>
          <cell r="V356">
            <v>0</v>
          </cell>
        </row>
        <row r="357">
          <cell r="C357" t="str">
            <v>1996WA</v>
          </cell>
          <cell r="D357">
            <v>2303</v>
          </cell>
          <cell r="E357">
            <v>22200</v>
          </cell>
          <cell r="F357">
            <v>182670</v>
          </cell>
          <cell r="G357">
            <v>27280</v>
          </cell>
          <cell r="H357">
            <v>0</v>
          </cell>
          <cell r="I357">
            <v>1120</v>
          </cell>
          <cell r="J357">
            <v>0</v>
          </cell>
          <cell r="K357">
            <v>0</v>
          </cell>
          <cell r="L357">
            <v>0</v>
          </cell>
          <cell r="M357">
            <v>0</v>
          </cell>
          <cell r="N357">
            <v>0</v>
          </cell>
          <cell r="O357">
            <v>710</v>
          </cell>
          <cell r="P357">
            <v>1404</v>
          </cell>
          <cell r="Q357">
            <v>0</v>
          </cell>
          <cell r="R357">
            <v>682</v>
          </cell>
          <cell r="S357">
            <v>232</v>
          </cell>
          <cell r="T357">
            <v>0</v>
          </cell>
          <cell r="U357">
            <v>0</v>
          </cell>
          <cell r="V357">
            <v>0</v>
          </cell>
        </row>
        <row r="358">
          <cell r="C358" t="str">
            <v>1996WV</v>
          </cell>
          <cell r="D358">
            <v>112</v>
          </cell>
          <cell r="E358">
            <v>4200</v>
          </cell>
          <cell r="F358">
            <v>495</v>
          </cell>
          <cell r="G358">
            <v>0</v>
          </cell>
          <cell r="H358">
            <v>0</v>
          </cell>
          <cell r="I358">
            <v>150</v>
          </cell>
          <cell r="J358">
            <v>0</v>
          </cell>
          <cell r="K358">
            <v>0</v>
          </cell>
          <cell r="L358">
            <v>0</v>
          </cell>
          <cell r="M358">
            <v>0</v>
          </cell>
          <cell r="N358">
            <v>0</v>
          </cell>
          <cell r="O358">
            <v>0</v>
          </cell>
          <cell r="P358">
            <v>0</v>
          </cell>
          <cell r="Q358">
            <v>0</v>
          </cell>
          <cell r="R358">
            <v>0</v>
          </cell>
          <cell r="S358">
            <v>0</v>
          </cell>
          <cell r="T358">
            <v>0</v>
          </cell>
          <cell r="U358">
            <v>0</v>
          </cell>
          <cell r="V358">
            <v>0</v>
          </cell>
        </row>
        <row r="359">
          <cell r="C359" t="str">
            <v>1996WI</v>
          </cell>
          <cell r="D359">
            <v>5250</v>
          </cell>
          <cell r="E359">
            <v>333000</v>
          </cell>
          <cell r="F359">
            <v>5940</v>
          </cell>
          <cell r="G359">
            <v>3975</v>
          </cell>
          <cell r="H359">
            <v>0</v>
          </cell>
          <cell r="I359">
            <v>17400</v>
          </cell>
          <cell r="J359">
            <v>384</v>
          </cell>
          <cell r="K359">
            <v>0</v>
          </cell>
          <cell r="L359">
            <v>0</v>
          </cell>
          <cell r="M359">
            <v>32190</v>
          </cell>
          <cell r="N359">
            <v>0</v>
          </cell>
          <cell r="O359">
            <v>162</v>
          </cell>
          <cell r="P359">
            <v>0</v>
          </cell>
          <cell r="Q359">
            <v>0</v>
          </cell>
          <cell r="R359">
            <v>0</v>
          </cell>
          <cell r="S359">
            <v>0</v>
          </cell>
          <cell r="T359">
            <v>0</v>
          </cell>
          <cell r="U359">
            <v>0</v>
          </cell>
          <cell r="V359">
            <v>0</v>
          </cell>
        </row>
        <row r="360">
          <cell r="C360" t="str">
            <v>1996WY</v>
          </cell>
          <cell r="D360">
            <v>1488</v>
          </cell>
          <cell r="E360">
            <v>6150</v>
          </cell>
          <cell r="F360">
            <v>6030</v>
          </cell>
          <cell r="G360">
            <v>10320</v>
          </cell>
          <cell r="H360">
            <v>0</v>
          </cell>
          <cell r="I360">
            <v>1696</v>
          </cell>
          <cell r="J360">
            <v>0</v>
          </cell>
          <cell r="K360">
            <v>0</v>
          </cell>
          <cell r="L360">
            <v>0</v>
          </cell>
          <cell r="M360">
            <v>0</v>
          </cell>
          <cell r="N360">
            <v>0</v>
          </cell>
          <cell r="O360">
            <v>699</v>
          </cell>
          <cell r="P360">
            <v>0</v>
          </cell>
          <cell r="Q360">
            <v>0</v>
          </cell>
          <cell r="R360">
            <v>0</v>
          </cell>
          <cell r="S360">
            <v>0</v>
          </cell>
          <cell r="T360">
            <v>0</v>
          </cell>
          <cell r="U360">
            <v>0</v>
          </cell>
          <cell r="V360">
            <v>0</v>
          </cell>
        </row>
        <row r="361">
          <cell r="C361" t="str">
            <v>1996US</v>
          </cell>
          <cell r="D361">
            <v>79139</v>
          </cell>
          <cell r="E361">
            <v>9232557</v>
          </cell>
          <cell r="F361">
            <v>2277388</v>
          </cell>
          <cell r="G361">
            <v>392716</v>
          </cell>
          <cell r="H361">
            <v>795274</v>
          </cell>
          <cell r="I361">
            <v>153245</v>
          </cell>
          <cell r="J361">
            <v>8936</v>
          </cell>
          <cell r="K361">
            <v>0</v>
          </cell>
          <cell r="L361">
            <v>171599</v>
          </cell>
          <cell r="M361">
            <v>2380274</v>
          </cell>
          <cell r="N361">
            <v>3661205</v>
          </cell>
          <cell r="O361">
            <v>27912</v>
          </cell>
          <cell r="P361">
            <v>2671</v>
          </cell>
          <cell r="Q361">
            <v>103</v>
          </cell>
          <cell r="R361">
            <v>1333</v>
          </cell>
          <cell r="S361">
            <v>548</v>
          </cell>
          <cell r="T361">
            <v>29464</v>
          </cell>
        </row>
        <row r="362">
          <cell r="C362" t="str">
            <v>1997AL</v>
          </cell>
          <cell r="D362">
            <v>0</v>
          </cell>
          <cell r="E362">
            <v>21750</v>
          </cell>
          <cell r="F362">
            <v>3780</v>
          </cell>
          <cell r="G362">
            <v>0</v>
          </cell>
          <cell r="H362">
            <v>300</v>
          </cell>
          <cell r="I362">
            <v>960</v>
          </cell>
          <cell r="J362">
            <v>0</v>
          </cell>
          <cell r="K362">
            <v>0</v>
          </cell>
          <cell r="L362">
            <v>0</v>
          </cell>
          <cell r="M362">
            <v>8500</v>
          </cell>
          <cell r="N362">
            <v>372490</v>
          </cell>
          <cell r="O362">
            <v>0</v>
          </cell>
          <cell r="P362">
            <v>0</v>
          </cell>
          <cell r="Q362">
            <v>0</v>
          </cell>
          <cell r="R362">
            <v>0</v>
          </cell>
          <cell r="S362">
            <v>0</v>
          </cell>
          <cell r="T362">
            <v>0</v>
          </cell>
          <cell r="U362">
            <v>0</v>
          </cell>
          <cell r="V362">
            <v>0</v>
          </cell>
        </row>
        <row r="363">
          <cell r="C363" t="str">
            <v>1997AK</v>
          </cell>
          <cell r="D363">
            <v>0</v>
          </cell>
          <cell r="E363">
            <v>0</v>
          </cell>
          <cell r="F363">
            <v>0</v>
          </cell>
          <cell r="G363">
            <v>164.5</v>
          </cell>
          <cell r="H363">
            <v>0</v>
          </cell>
          <cell r="I363">
            <v>65300</v>
          </cell>
          <cell r="J363">
            <v>0</v>
          </cell>
          <cell r="K363">
            <v>0</v>
          </cell>
          <cell r="L363">
            <v>0</v>
          </cell>
          <cell r="M363">
            <v>0</v>
          </cell>
          <cell r="N363">
            <v>0</v>
          </cell>
          <cell r="O363">
            <v>0</v>
          </cell>
          <cell r="P363">
            <v>0</v>
          </cell>
          <cell r="Q363">
            <v>0</v>
          </cell>
          <cell r="R363">
            <v>0</v>
          </cell>
          <cell r="S363">
            <v>0</v>
          </cell>
          <cell r="T363">
            <v>0</v>
          </cell>
          <cell r="U363">
            <v>0</v>
          </cell>
          <cell r="V363">
            <v>0</v>
          </cell>
        </row>
        <row r="364">
          <cell r="C364" t="str">
            <v>1997AZ</v>
          </cell>
          <cell r="D364">
            <v>1558</v>
          </cell>
          <cell r="E364">
            <v>6600</v>
          </cell>
          <cell r="F364">
            <v>8775</v>
          </cell>
          <cell r="G364">
            <v>6834</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row>
        <row r="365">
          <cell r="C365" t="str">
            <v>1997AR</v>
          </cell>
          <cell r="D365">
            <v>70</v>
          </cell>
          <cell r="E365">
            <v>23125</v>
          </cell>
          <cell r="F365">
            <v>39360</v>
          </cell>
          <cell r="G365">
            <v>0</v>
          </cell>
          <cell r="H365">
            <v>11100</v>
          </cell>
          <cell r="I365">
            <v>750</v>
          </cell>
          <cell r="J365">
            <v>0</v>
          </cell>
          <cell r="K365">
            <v>0</v>
          </cell>
          <cell r="L365">
            <v>79220</v>
          </cell>
          <cell r="M365">
            <v>109800</v>
          </cell>
          <cell r="N365">
            <v>0</v>
          </cell>
          <cell r="O365">
            <v>0</v>
          </cell>
          <cell r="P365">
            <v>0</v>
          </cell>
          <cell r="Q365">
            <v>0</v>
          </cell>
          <cell r="R365">
            <v>0</v>
          </cell>
          <cell r="S365">
            <v>0</v>
          </cell>
          <cell r="T365">
            <v>0</v>
          </cell>
          <cell r="U365">
            <v>1390</v>
          </cell>
          <cell r="V365">
            <v>0</v>
          </cell>
          <cell r="W365">
            <v>0.13</v>
          </cell>
        </row>
        <row r="366">
          <cell r="C366" t="str">
            <v>1997CA</v>
          </cell>
          <cell r="D366">
            <v>6840</v>
          </cell>
          <cell r="E366">
            <v>45050</v>
          </cell>
          <cell r="F366">
            <v>41680</v>
          </cell>
          <cell r="G366">
            <v>8550</v>
          </cell>
          <cell r="H366">
            <v>0</v>
          </cell>
          <cell r="I366">
            <v>2400</v>
          </cell>
          <cell r="J366">
            <v>0</v>
          </cell>
          <cell r="K366">
            <v>0</v>
          </cell>
          <cell r="L366">
            <v>42546</v>
          </cell>
          <cell r="M366">
            <v>0</v>
          </cell>
          <cell r="N366">
            <v>0</v>
          </cell>
          <cell r="O366">
            <v>3000</v>
          </cell>
          <cell r="P366">
            <v>0</v>
          </cell>
          <cell r="Q366">
            <v>0</v>
          </cell>
          <cell r="R366">
            <v>0</v>
          </cell>
          <cell r="S366">
            <v>0</v>
          </cell>
          <cell r="T366">
            <v>0</v>
          </cell>
          <cell r="U366">
            <v>516</v>
          </cell>
          <cell r="V366">
            <v>0</v>
          </cell>
          <cell r="W366">
            <v>0.34</v>
          </cell>
        </row>
        <row r="367">
          <cell r="C367" t="str">
            <v>1997CO</v>
          </cell>
          <cell r="D367">
            <v>3276</v>
          </cell>
          <cell r="E367">
            <v>143080</v>
          </cell>
          <cell r="F367">
            <v>90100</v>
          </cell>
          <cell r="G367">
            <v>9612</v>
          </cell>
          <cell r="H367">
            <v>6000</v>
          </cell>
          <cell r="I367">
            <v>1700</v>
          </cell>
          <cell r="J367">
            <v>54</v>
          </cell>
          <cell r="K367">
            <v>0</v>
          </cell>
          <cell r="L367">
            <v>0</v>
          </cell>
          <cell r="M367">
            <v>0</v>
          </cell>
          <cell r="N367">
            <v>0</v>
          </cell>
          <cell r="O367">
            <v>2280</v>
          </cell>
          <cell r="P367">
            <v>0</v>
          </cell>
          <cell r="Q367">
            <v>0</v>
          </cell>
          <cell r="R367">
            <v>0</v>
          </cell>
          <cell r="S367">
            <v>0</v>
          </cell>
          <cell r="T367">
            <v>0</v>
          </cell>
          <cell r="U367">
            <v>0</v>
          </cell>
          <cell r="V367">
            <v>0</v>
          </cell>
        </row>
        <row r="368">
          <cell r="C368" t="str">
            <v>1997CT</v>
          </cell>
          <cell r="D368">
            <v>29</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row>
        <row r="369">
          <cell r="C369" t="str">
            <v>1997DE</v>
          </cell>
          <cell r="D369">
            <v>24</v>
          </cell>
          <cell r="E369">
            <v>16800</v>
          </cell>
          <cell r="F369">
            <v>5329</v>
          </cell>
          <cell r="G369">
            <v>3115</v>
          </cell>
          <cell r="H369">
            <v>0</v>
          </cell>
          <cell r="I369">
            <v>0</v>
          </cell>
          <cell r="J369">
            <v>0</v>
          </cell>
          <cell r="K369">
            <v>0</v>
          </cell>
          <cell r="L369">
            <v>0</v>
          </cell>
          <cell r="M369">
            <v>6525</v>
          </cell>
          <cell r="N369">
            <v>0</v>
          </cell>
          <cell r="O369">
            <v>0</v>
          </cell>
          <cell r="P369">
            <v>0</v>
          </cell>
          <cell r="Q369">
            <v>0</v>
          </cell>
          <cell r="R369">
            <v>0</v>
          </cell>
          <cell r="S369">
            <v>0</v>
          </cell>
          <cell r="T369">
            <v>0</v>
          </cell>
          <cell r="U369">
            <v>0</v>
          </cell>
          <cell r="V369">
            <v>0</v>
          </cell>
        </row>
        <row r="370">
          <cell r="C370" t="str">
            <v>1997FL</v>
          </cell>
          <cell r="D370">
            <v>0</v>
          </cell>
          <cell r="E370">
            <v>6000</v>
          </cell>
          <cell r="F370">
            <v>663</v>
          </cell>
          <cell r="G370">
            <v>0</v>
          </cell>
          <cell r="H370">
            <v>0</v>
          </cell>
          <cell r="I370">
            <v>0</v>
          </cell>
          <cell r="J370">
            <v>0</v>
          </cell>
          <cell r="K370">
            <v>0</v>
          </cell>
          <cell r="L370">
            <v>844.24251152535589</v>
          </cell>
          <cell r="M370">
            <v>1125</v>
          </cell>
          <cell r="N370">
            <v>228060</v>
          </cell>
          <cell r="O370">
            <v>0</v>
          </cell>
          <cell r="P370">
            <v>0</v>
          </cell>
          <cell r="Q370">
            <v>0</v>
          </cell>
          <cell r="R370">
            <v>0</v>
          </cell>
          <cell r="S370">
            <v>0</v>
          </cell>
          <cell r="T370">
            <v>16236</v>
          </cell>
          <cell r="U370">
            <v>19</v>
          </cell>
          <cell r="V370">
            <v>10</v>
          </cell>
          <cell r="W370">
            <v>0</v>
          </cell>
        </row>
        <row r="371">
          <cell r="C371" t="str">
            <v>1997GA</v>
          </cell>
          <cell r="D371">
            <v>0</v>
          </cell>
          <cell r="E371">
            <v>47250</v>
          </cell>
          <cell r="F371">
            <v>15400</v>
          </cell>
          <cell r="G371">
            <v>0</v>
          </cell>
          <cell r="H371">
            <v>1800</v>
          </cell>
          <cell r="I371">
            <v>1680</v>
          </cell>
          <cell r="J371">
            <v>1430</v>
          </cell>
          <cell r="K371">
            <v>0</v>
          </cell>
          <cell r="L371">
            <v>0</v>
          </cell>
          <cell r="M371">
            <v>7980</v>
          </cell>
          <cell r="N371">
            <v>1333830</v>
          </cell>
          <cell r="O371">
            <v>0</v>
          </cell>
          <cell r="P371">
            <v>0</v>
          </cell>
          <cell r="Q371">
            <v>0</v>
          </cell>
          <cell r="R371">
            <v>0</v>
          </cell>
          <cell r="S371">
            <v>0</v>
          </cell>
          <cell r="T371">
            <v>0</v>
          </cell>
          <cell r="U371">
            <v>0</v>
          </cell>
          <cell r="V371">
            <v>0</v>
          </cell>
        </row>
        <row r="372">
          <cell r="C372" t="str">
            <v>1997HI</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3009</v>
          </cell>
          <cell r="U372">
            <v>0</v>
          </cell>
          <cell r="V372">
            <v>0</v>
          </cell>
        </row>
        <row r="373">
          <cell r="C373" t="str">
            <v>1997ID</v>
          </cell>
          <cell r="D373">
            <v>4100</v>
          </cell>
          <cell r="E373">
            <v>6665</v>
          </cell>
          <cell r="F373">
            <v>113830</v>
          </cell>
          <cell r="G373">
            <v>59250</v>
          </cell>
          <cell r="H373">
            <v>0</v>
          </cell>
          <cell r="I373">
            <v>1575</v>
          </cell>
          <cell r="J373">
            <v>0</v>
          </cell>
          <cell r="K373">
            <v>0</v>
          </cell>
          <cell r="L373">
            <v>0</v>
          </cell>
          <cell r="M373">
            <v>0</v>
          </cell>
          <cell r="N373">
            <v>0</v>
          </cell>
          <cell r="O373">
            <v>2156</v>
          </cell>
          <cell r="P373">
            <v>1554</v>
          </cell>
          <cell r="Q373">
            <v>108</v>
          </cell>
          <cell r="R373">
            <v>924</v>
          </cell>
          <cell r="S373">
            <v>286</v>
          </cell>
          <cell r="T373">
            <v>0</v>
          </cell>
          <cell r="U373">
            <v>0</v>
          </cell>
          <cell r="V373">
            <v>0</v>
          </cell>
        </row>
        <row r="374">
          <cell r="C374" t="str">
            <v>1997IL</v>
          </cell>
          <cell r="D374">
            <v>2262</v>
          </cell>
          <cell r="E374">
            <v>1425450</v>
          </cell>
          <cell r="F374">
            <v>66490</v>
          </cell>
          <cell r="G374">
            <v>0</v>
          </cell>
          <cell r="H374">
            <v>10465</v>
          </cell>
          <cell r="I374">
            <v>5550</v>
          </cell>
          <cell r="J374">
            <v>240</v>
          </cell>
          <cell r="K374">
            <v>0</v>
          </cell>
          <cell r="L374">
            <v>0</v>
          </cell>
          <cell r="M374">
            <v>427850</v>
          </cell>
          <cell r="N374">
            <v>0</v>
          </cell>
          <cell r="O374">
            <v>0</v>
          </cell>
          <cell r="P374">
            <v>0</v>
          </cell>
          <cell r="Q374">
            <v>0</v>
          </cell>
          <cell r="R374">
            <v>0</v>
          </cell>
          <cell r="S374">
            <v>0</v>
          </cell>
          <cell r="T374">
            <v>0</v>
          </cell>
          <cell r="U374">
            <v>0</v>
          </cell>
          <cell r="V374">
            <v>0</v>
          </cell>
        </row>
        <row r="375">
          <cell r="C375" t="str">
            <v>1997IN</v>
          </cell>
          <cell r="D375">
            <v>1520</v>
          </cell>
          <cell r="E375">
            <v>701500</v>
          </cell>
          <cell r="F375">
            <v>36540</v>
          </cell>
          <cell r="G375">
            <v>0</v>
          </cell>
          <cell r="H375">
            <v>0</v>
          </cell>
          <cell r="I375">
            <v>1800</v>
          </cell>
          <cell r="J375">
            <v>64</v>
          </cell>
          <cell r="K375">
            <v>0</v>
          </cell>
          <cell r="L375">
            <v>0</v>
          </cell>
          <cell r="M375">
            <v>230550</v>
          </cell>
          <cell r="N375">
            <v>0</v>
          </cell>
          <cell r="O375">
            <v>0</v>
          </cell>
          <cell r="P375">
            <v>0</v>
          </cell>
          <cell r="Q375">
            <v>0</v>
          </cell>
          <cell r="R375">
            <v>0</v>
          </cell>
          <cell r="S375">
            <v>0</v>
          </cell>
          <cell r="T375">
            <v>0</v>
          </cell>
          <cell r="U375">
            <v>0</v>
          </cell>
          <cell r="V375">
            <v>0</v>
          </cell>
        </row>
        <row r="376">
          <cell r="C376" t="str">
            <v>1997IA</v>
          </cell>
          <cell r="D376">
            <v>4200</v>
          </cell>
          <cell r="E376">
            <v>1642200</v>
          </cell>
          <cell r="F376">
            <v>1050</v>
          </cell>
          <cell r="G376">
            <v>0</v>
          </cell>
          <cell r="H376">
            <v>0</v>
          </cell>
          <cell r="I376">
            <v>16790</v>
          </cell>
          <cell r="J376">
            <v>0</v>
          </cell>
          <cell r="K376">
            <v>0</v>
          </cell>
          <cell r="L376">
            <v>0</v>
          </cell>
          <cell r="M376">
            <v>478400</v>
          </cell>
          <cell r="N376">
            <v>0</v>
          </cell>
          <cell r="O376">
            <v>0</v>
          </cell>
          <cell r="P376">
            <v>0</v>
          </cell>
          <cell r="Q376">
            <v>0</v>
          </cell>
          <cell r="R376">
            <v>0</v>
          </cell>
          <cell r="S376">
            <v>0</v>
          </cell>
          <cell r="T376">
            <v>0</v>
          </cell>
          <cell r="U376">
            <v>0</v>
          </cell>
          <cell r="V376">
            <v>0</v>
          </cell>
        </row>
        <row r="377">
          <cell r="C377" t="str">
            <v>1997KS</v>
          </cell>
          <cell r="D377">
            <v>3600</v>
          </cell>
          <cell r="E377">
            <v>371800</v>
          </cell>
          <cell r="F377">
            <v>501400</v>
          </cell>
          <cell r="G377">
            <v>336</v>
          </cell>
          <cell r="H377">
            <v>265200</v>
          </cell>
          <cell r="I377">
            <v>4720</v>
          </cell>
          <cell r="J377">
            <v>300</v>
          </cell>
          <cell r="K377">
            <v>0</v>
          </cell>
          <cell r="L377">
            <v>0</v>
          </cell>
          <cell r="M377">
            <v>86950</v>
          </cell>
          <cell r="N377">
            <v>0</v>
          </cell>
          <cell r="O377">
            <v>380</v>
          </cell>
          <cell r="P377">
            <v>0</v>
          </cell>
          <cell r="Q377">
            <v>0</v>
          </cell>
          <cell r="R377">
            <v>0</v>
          </cell>
          <cell r="S377">
            <v>0</v>
          </cell>
          <cell r="T377">
            <v>0</v>
          </cell>
          <cell r="U377">
            <v>0</v>
          </cell>
          <cell r="V377">
            <v>0</v>
          </cell>
        </row>
        <row r="378">
          <cell r="C378" t="str">
            <v>1997KY</v>
          </cell>
          <cell r="D378">
            <v>750</v>
          </cell>
          <cell r="E378">
            <v>118450</v>
          </cell>
          <cell r="F378">
            <v>22680</v>
          </cell>
          <cell r="G378">
            <v>490</v>
          </cell>
          <cell r="H378">
            <v>585</v>
          </cell>
          <cell r="I378">
            <v>0</v>
          </cell>
          <cell r="J378">
            <v>0</v>
          </cell>
          <cell r="K378">
            <v>0</v>
          </cell>
          <cell r="L378">
            <v>0</v>
          </cell>
          <cell r="M378">
            <v>42090</v>
          </cell>
          <cell r="N378">
            <v>0</v>
          </cell>
          <cell r="O378">
            <v>0</v>
          </cell>
          <cell r="P378">
            <v>0</v>
          </cell>
          <cell r="Q378">
            <v>0</v>
          </cell>
          <cell r="R378">
            <v>0</v>
          </cell>
          <cell r="S378">
            <v>0</v>
          </cell>
          <cell r="T378">
            <v>0</v>
          </cell>
          <cell r="U378">
            <v>0</v>
          </cell>
          <cell r="V378">
            <v>0</v>
          </cell>
        </row>
        <row r="379">
          <cell r="C379" t="str">
            <v>1997LA</v>
          </cell>
          <cell r="D379">
            <v>0</v>
          </cell>
          <cell r="E379">
            <v>48789</v>
          </cell>
          <cell r="F379">
            <v>4255</v>
          </cell>
          <cell r="G379">
            <v>0</v>
          </cell>
          <cell r="H379">
            <v>6600</v>
          </cell>
          <cell r="I379">
            <v>0</v>
          </cell>
          <cell r="J379">
            <v>0</v>
          </cell>
          <cell r="K379">
            <v>0</v>
          </cell>
          <cell r="L379">
            <v>26981</v>
          </cell>
          <cell r="M379">
            <v>39150</v>
          </cell>
          <cell r="N379">
            <v>0</v>
          </cell>
          <cell r="O379">
            <v>0</v>
          </cell>
          <cell r="P379">
            <v>0</v>
          </cell>
          <cell r="Q379">
            <v>0</v>
          </cell>
          <cell r="R379">
            <v>0</v>
          </cell>
          <cell r="S379">
            <v>0</v>
          </cell>
          <cell r="T379">
            <v>11562</v>
          </cell>
          <cell r="U379">
            <v>583</v>
          </cell>
          <cell r="V379">
            <v>175</v>
          </cell>
          <cell r="W379">
            <v>0.06</v>
          </cell>
        </row>
        <row r="380">
          <cell r="C380" t="str">
            <v>1997ME</v>
          </cell>
          <cell r="D380">
            <v>20</v>
          </cell>
          <cell r="E380">
            <v>0</v>
          </cell>
          <cell r="F380">
            <v>0</v>
          </cell>
          <cell r="G380">
            <v>0</v>
          </cell>
          <cell r="H380">
            <v>0</v>
          </cell>
          <cell r="I380">
            <v>1679</v>
          </cell>
          <cell r="J380">
            <v>0</v>
          </cell>
          <cell r="K380">
            <v>0</v>
          </cell>
          <cell r="L380">
            <v>0</v>
          </cell>
          <cell r="M380">
            <v>0</v>
          </cell>
          <cell r="N380">
            <v>0</v>
          </cell>
          <cell r="O380">
            <v>0</v>
          </cell>
          <cell r="P380">
            <v>0</v>
          </cell>
          <cell r="Q380">
            <v>0</v>
          </cell>
          <cell r="R380">
            <v>0</v>
          </cell>
          <cell r="S380">
            <v>0</v>
          </cell>
          <cell r="T380">
            <v>0</v>
          </cell>
          <cell r="U380">
            <v>0</v>
          </cell>
          <cell r="V380">
            <v>0</v>
          </cell>
        </row>
        <row r="381">
          <cell r="C381" t="str">
            <v>1997MD</v>
          </cell>
          <cell r="D381">
            <v>182</v>
          </cell>
          <cell r="E381">
            <v>36900</v>
          </cell>
          <cell r="F381">
            <v>14280</v>
          </cell>
          <cell r="G381">
            <v>4000</v>
          </cell>
          <cell r="H381">
            <v>0</v>
          </cell>
          <cell r="I381">
            <v>385</v>
          </cell>
          <cell r="J381">
            <v>75</v>
          </cell>
          <cell r="K381">
            <v>0</v>
          </cell>
          <cell r="L381">
            <v>0</v>
          </cell>
          <cell r="M381">
            <v>15600</v>
          </cell>
          <cell r="N381">
            <v>0</v>
          </cell>
          <cell r="O381">
            <v>0</v>
          </cell>
          <cell r="P381">
            <v>0</v>
          </cell>
          <cell r="Q381">
            <v>0</v>
          </cell>
          <cell r="R381">
            <v>0</v>
          </cell>
          <cell r="S381">
            <v>0</v>
          </cell>
          <cell r="T381">
            <v>0</v>
          </cell>
          <cell r="U381">
            <v>0</v>
          </cell>
          <cell r="V381">
            <v>0</v>
          </cell>
        </row>
        <row r="382">
          <cell r="C382" t="str">
            <v>1997MA</v>
          </cell>
          <cell r="D382">
            <v>39</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row>
        <row r="383">
          <cell r="C383" t="str">
            <v>1997MI</v>
          </cell>
          <cell r="D383">
            <v>3060</v>
          </cell>
          <cell r="E383">
            <v>255060</v>
          </cell>
          <cell r="F383">
            <v>32240</v>
          </cell>
          <cell r="G383">
            <v>1276</v>
          </cell>
          <cell r="H383">
            <v>0</v>
          </cell>
          <cell r="I383">
            <v>4880</v>
          </cell>
          <cell r="J383">
            <v>450</v>
          </cell>
          <cell r="K383">
            <v>0</v>
          </cell>
          <cell r="L383">
            <v>0</v>
          </cell>
          <cell r="M383">
            <v>71610</v>
          </cell>
          <cell r="N383">
            <v>0</v>
          </cell>
          <cell r="O383">
            <v>4941</v>
          </cell>
          <cell r="P383">
            <v>0</v>
          </cell>
          <cell r="Q383">
            <v>0</v>
          </cell>
          <cell r="R383">
            <v>0</v>
          </cell>
          <cell r="S383">
            <v>0</v>
          </cell>
          <cell r="T383">
            <v>0</v>
          </cell>
          <cell r="U383">
            <v>0</v>
          </cell>
          <cell r="V383">
            <v>0</v>
          </cell>
        </row>
        <row r="384">
          <cell r="C384" t="str">
            <v>1997MN</v>
          </cell>
          <cell r="D384">
            <v>4868</v>
          </cell>
          <cell r="E384">
            <v>851400</v>
          </cell>
          <cell r="F384">
            <v>77300</v>
          </cell>
          <cell r="G384">
            <v>23460</v>
          </cell>
          <cell r="H384">
            <v>0</v>
          </cell>
          <cell r="I384">
            <v>17400</v>
          </cell>
          <cell r="J384">
            <v>400</v>
          </cell>
          <cell r="K384">
            <v>0</v>
          </cell>
          <cell r="L384">
            <v>0</v>
          </cell>
          <cell r="M384">
            <v>255450</v>
          </cell>
          <cell r="N384">
            <v>0</v>
          </cell>
          <cell r="O384">
            <v>2558</v>
          </cell>
          <cell r="P384">
            <v>0</v>
          </cell>
          <cell r="Q384">
            <v>0</v>
          </cell>
          <cell r="R384">
            <v>0</v>
          </cell>
          <cell r="S384">
            <v>0</v>
          </cell>
          <cell r="T384">
            <v>0</v>
          </cell>
          <cell r="U384">
            <v>0</v>
          </cell>
          <cell r="V384">
            <v>0</v>
          </cell>
        </row>
        <row r="385">
          <cell r="C385" t="str">
            <v>1997MS</v>
          </cell>
          <cell r="D385">
            <v>0</v>
          </cell>
          <cell r="E385">
            <v>46331</v>
          </cell>
          <cell r="F385">
            <v>7525</v>
          </cell>
          <cell r="G385">
            <v>0</v>
          </cell>
          <cell r="H385">
            <v>2475</v>
          </cell>
          <cell r="I385">
            <v>0</v>
          </cell>
          <cell r="J385">
            <v>0</v>
          </cell>
          <cell r="K385">
            <v>0</v>
          </cell>
          <cell r="L385">
            <v>13804</v>
          </cell>
          <cell r="M385">
            <v>64170</v>
          </cell>
          <cell r="N385">
            <v>0</v>
          </cell>
          <cell r="O385">
            <v>0</v>
          </cell>
          <cell r="P385">
            <v>0</v>
          </cell>
          <cell r="Q385">
            <v>0</v>
          </cell>
          <cell r="R385">
            <v>0</v>
          </cell>
          <cell r="S385">
            <v>0</v>
          </cell>
          <cell r="T385">
            <v>0</v>
          </cell>
          <cell r="U385">
            <v>238</v>
          </cell>
          <cell r="V385">
            <v>0</v>
          </cell>
          <cell r="W385">
            <v>0.1</v>
          </cell>
        </row>
        <row r="386">
          <cell r="C386" t="str">
            <v>1997MO</v>
          </cell>
          <cell r="D386">
            <v>1260</v>
          </cell>
          <cell r="E386">
            <v>299000</v>
          </cell>
          <cell r="F386">
            <v>58320</v>
          </cell>
          <cell r="G386">
            <v>0</v>
          </cell>
          <cell r="H386">
            <v>36800</v>
          </cell>
          <cell r="I386">
            <v>1525</v>
          </cell>
          <cell r="J386">
            <v>0</v>
          </cell>
          <cell r="K386">
            <v>0</v>
          </cell>
          <cell r="L386">
            <v>6201</v>
          </cell>
          <cell r="M386">
            <v>174600</v>
          </cell>
          <cell r="N386">
            <v>0</v>
          </cell>
          <cell r="O386">
            <v>0</v>
          </cell>
          <cell r="P386">
            <v>0</v>
          </cell>
          <cell r="Q386">
            <v>0</v>
          </cell>
          <cell r="R386">
            <v>0</v>
          </cell>
          <cell r="S386">
            <v>0</v>
          </cell>
          <cell r="T386">
            <v>0</v>
          </cell>
          <cell r="U386">
            <v>117</v>
          </cell>
          <cell r="V386">
            <v>0</v>
          </cell>
          <cell r="W386">
            <v>0.05</v>
          </cell>
        </row>
        <row r="387">
          <cell r="C387" t="str">
            <v>1997MT</v>
          </cell>
          <cell r="D387">
            <v>3960</v>
          </cell>
          <cell r="E387">
            <v>1890</v>
          </cell>
          <cell r="F387">
            <v>181540</v>
          </cell>
          <cell r="G387">
            <v>60950</v>
          </cell>
          <cell r="H387">
            <v>0</v>
          </cell>
          <cell r="I387">
            <v>3850</v>
          </cell>
          <cell r="J387">
            <v>0</v>
          </cell>
          <cell r="K387">
            <v>0</v>
          </cell>
          <cell r="L387">
            <v>0</v>
          </cell>
          <cell r="M387">
            <v>0</v>
          </cell>
          <cell r="N387">
            <v>0</v>
          </cell>
          <cell r="O387">
            <v>257</v>
          </cell>
          <cell r="P387">
            <v>0</v>
          </cell>
          <cell r="Q387">
            <v>0</v>
          </cell>
          <cell r="R387">
            <v>0</v>
          </cell>
          <cell r="S387">
            <v>0</v>
          </cell>
          <cell r="T387">
            <v>0</v>
          </cell>
          <cell r="U387">
            <v>0</v>
          </cell>
          <cell r="V387">
            <v>0</v>
          </cell>
        </row>
        <row r="388">
          <cell r="C388" t="str">
            <v>1997NE</v>
          </cell>
          <cell r="D388">
            <v>4225</v>
          </cell>
          <cell r="E388">
            <v>1135200</v>
          </cell>
          <cell r="F388">
            <v>70300</v>
          </cell>
          <cell r="G388">
            <v>459</v>
          </cell>
          <cell r="H388">
            <v>60750</v>
          </cell>
          <cell r="I388">
            <v>5850</v>
          </cell>
          <cell r="J388">
            <v>240</v>
          </cell>
          <cell r="K388">
            <v>0</v>
          </cell>
          <cell r="L388">
            <v>0</v>
          </cell>
          <cell r="M388">
            <v>143775</v>
          </cell>
          <cell r="N388">
            <v>0</v>
          </cell>
          <cell r="O388">
            <v>3708</v>
          </cell>
          <cell r="P388">
            <v>0</v>
          </cell>
          <cell r="Q388">
            <v>0</v>
          </cell>
          <cell r="R388">
            <v>0</v>
          </cell>
          <cell r="S388">
            <v>0</v>
          </cell>
          <cell r="T388">
            <v>0</v>
          </cell>
          <cell r="U388">
            <v>0</v>
          </cell>
          <cell r="V388">
            <v>0</v>
          </cell>
        </row>
        <row r="389">
          <cell r="C389" t="str">
            <v>1997NV</v>
          </cell>
          <cell r="D389">
            <v>1092</v>
          </cell>
          <cell r="E389">
            <v>0</v>
          </cell>
          <cell r="F389">
            <v>1875</v>
          </cell>
          <cell r="G389">
            <v>500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row>
        <row r="390">
          <cell r="C390" t="str">
            <v>1997NH</v>
          </cell>
          <cell r="D390">
            <v>16</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row>
        <row r="391">
          <cell r="C391" t="str">
            <v>1997NJ</v>
          </cell>
          <cell r="D391">
            <v>73</v>
          </cell>
          <cell r="E391">
            <v>10152</v>
          </cell>
          <cell r="F391">
            <v>2280</v>
          </cell>
          <cell r="G391">
            <v>296</v>
          </cell>
          <cell r="H391">
            <v>0</v>
          </cell>
          <cell r="I391">
            <v>0</v>
          </cell>
          <cell r="J391">
            <v>175</v>
          </cell>
          <cell r="K391">
            <v>0</v>
          </cell>
          <cell r="L391">
            <v>0</v>
          </cell>
          <cell r="M391">
            <v>4030</v>
          </cell>
          <cell r="N391">
            <v>0</v>
          </cell>
          <cell r="O391">
            <v>0</v>
          </cell>
          <cell r="P391">
            <v>0</v>
          </cell>
          <cell r="Q391">
            <v>0</v>
          </cell>
          <cell r="R391">
            <v>0</v>
          </cell>
          <cell r="S391">
            <v>0</v>
          </cell>
          <cell r="T391">
            <v>0</v>
          </cell>
          <cell r="U391">
            <v>0</v>
          </cell>
          <cell r="V391">
            <v>0</v>
          </cell>
        </row>
        <row r="392">
          <cell r="C392" t="str">
            <v>1997NM</v>
          </cell>
          <cell r="D392">
            <v>1326</v>
          </cell>
          <cell r="E392">
            <v>14875</v>
          </cell>
          <cell r="F392">
            <v>9975</v>
          </cell>
          <cell r="G392">
            <v>0</v>
          </cell>
          <cell r="H392">
            <v>9988</v>
          </cell>
          <cell r="I392">
            <v>0</v>
          </cell>
          <cell r="J392">
            <v>0</v>
          </cell>
          <cell r="K392">
            <v>0</v>
          </cell>
          <cell r="L392">
            <v>0</v>
          </cell>
          <cell r="M392">
            <v>0</v>
          </cell>
          <cell r="N392">
            <v>46710</v>
          </cell>
          <cell r="O392">
            <v>204</v>
          </cell>
          <cell r="P392">
            <v>0</v>
          </cell>
          <cell r="Q392">
            <v>0</v>
          </cell>
          <cell r="R392">
            <v>0</v>
          </cell>
          <cell r="S392">
            <v>0</v>
          </cell>
          <cell r="T392">
            <v>0</v>
          </cell>
          <cell r="U392">
            <v>0</v>
          </cell>
          <cell r="V392">
            <v>0</v>
          </cell>
        </row>
        <row r="393">
          <cell r="C393" t="str">
            <v>1997NY</v>
          </cell>
          <cell r="D393">
            <v>1664</v>
          </cell>
          <cell r="E393">
            <v>66000</v>
          </cell>
          <cell r="F393">
            <v>7280</v>
          </cell>
          <cell r="G393">
            <v>0</v>
          </cell>
          <cell r="H393">
            <v>0</v>
          </cell>
          <cell r="I393">
            <v>5850</v>
          </cell>
          <cell r="J393">
            <v>231</v>
          </cell>
          <cell r="K393">
            <v>0</v>
          </cell>
          <cell r="L393">
            <v>0</v>
          </cell>
          <cell r="M393">
            <v>0</v>
          </cell>
          <cell r="N393">
            <v>0</v>
          </cell>
          <cell r="O393">
            <v>679</v>
          </cell>
          <cell r="P393">
            <v>0</v>
          </cell>
          <cell r="Q393">
            <v>0</v>
          </cell>
          <cell r="R393">
            <v>0</v>
          </cell>
          <cell r="S393">
            <v>0</v>
          </cell>
          <cell r="T393">
            <v>0</v>
          </cell>
          <cell r="U393">
            <v>0</v>
          </cell>
          <cell r="V393">
            <v>0</v>
          </cell>
        </row>
        <row r="394">
          <cell r="C394" t="str">
            <v>1997NC</v>
          </cell>
          <cell r="D394">
            <v>60</v>
          </cell>
          <cell r="E394">
            <v>77430</v>
          </cell>
          <cell r="F394">
            <v>34170</v>
          </cell>
          <cell r="G394">
            <v>1360</v>
          </cell>
          <cell r="H394">
            <v>550</v>
          </cell>
          <cell r="I394">
            <v>1600</v>
          </cell>
          <cell r="J394">
            <v>420</v>
          </cell>
          <cell r="K394">
            <v>0</v>
          </cell>
          <cell r="L394">
            <v>0</v>
          </cell>
          <cell r="M394">
            <v>38570</v>
          </cell>
          <cell r="N394">
            <v>329640</v>
          </cell>
          <cell r="O394">
            <v>0</v>
          </cell>
          <cell r="P394">
            <v>0</v>
          </cell>
          <cell r="Q394">
            <v>0</v>
          </cell>
          <cell r="R394">
            <v>0</v>
          </cell>
          <cell r="S394">
            <v>0</v>
          </cell>
          <cell r="T394">
            <v>0</v>
          </cell>
          <cell r="U394">
            <v>0</v>
          </cell>
          <cell r="V394">
            <v>0</v>
          </cell>
        </row>
        <row r="395">
          <cell r="C395" t="str">
            <v>1997ND</v>
          </cell>
          <cell r="D395">
            <v>2625</v>
          </cell>
          <cell r="E395">
            <v>58410</v>
          </cell>
          <cell r="F395">
            <v>269290</v>
          </cell>
          <cell r="G395">
            <v>101250</v>
          </cell>
          <cell r="H395">
            <v>0</v>
          </cell>
          <cell r="I395">
            <v>18700</v>
          </cell>
          <cell r="J395">
            <v>513</v>
          </cell>
          <cell r="K395">
            <v>0</v>
          </cell>
          <cell r="L395">
            <v>0</v>
          </cell>
          <cell r="M395">
            <v>33630</v>
          </cell>
          <cell r="N395">
            <v>0</v>
          </cell>
          <cell r="O395">
            <v>7119</v>
          </cell>
          <cell r="P395">
            <v>0</v>
          </cell>
          <cell r="Q395">
            <v>0</v>
          </cell>
          <cell r="R395">
            <v>0</v>
          </cell>
          <cell r="S395">
            <v>0</v>
          </cell>
          <cell r="T395">
            <v>0</v>
          </cell>
          <cell r="U395">
            <v>0</v>
          </cell>
          <cell r="V395">
            <v>0</v>
          </cell>
        </row>
        <row r="396">
          <cell r="C396" t="str">
            <v>1997OH</v>
          </cell>
          <cell r="D396">
            <v>2160</v>
          </cell>
          <cell r="E396">
            <v>475700</v>
          </cell>
          <cell r="F396">
            <v>68670</v>
          </cell>
          <cell r="G396">
            <v>0</v>
          </cell>
          <cell r="H396">
            <v>0</v>
          </cell>
          <cell r="I396">
            <v>6660</v>
          </cell>
          <cell r="J396">
            <v>120</v>
          </cell>
          <cell r="K396">
            <v>0</v>
          </cell>
          <cell r="L396">
            <v>0</v>
          </cell>
          <cell r="M396">
            <v>190960</v>
          </cell>
          <cell r="N396">
            <v>0</v>
          </cell>
          <cell r="O396">
            <v>0</v>
          </cell>
          <cell r="P396">
            <v>0</v>
          </cell>
          <cell r="Q396">
            <v>0</v>
          </cell>
          <cell r="R396">
            <v>0</v>
          </cell>
          <cell r="S396">
            <v>0</v>
          </cell>
          <cell r="T396">
            <v>0</v>
          </cell>
          <cell r="U396">
            <v>0</v>
          </cell>
          <cell r="V396">
            <v>0</v>
          </cell>
        </row>
        <row r="397">
          <cell r="C397" t="str">
            <v>1997OK</v>
          </cell>
          <cell r="D397">
            <v>1368</v>
          </cell>
          <cell r="E397">
            <v>23460</v>
          </cell>
          <cell r="F397">
            <v>169600</v>
          </cell>
          <cell r="G397">
            <v>210</v>
          </cell>
          <cell r="H397">
            <v>22500</v>
          </cell>
          <cell r="I397">
            <v>1760</v>
          </cell>
          <cell r="J397">
            <v>1080</v>
          </cell>
          <cell r="K397">
            <v>0</v>
          </cell>
          <cell r="L397">
            <v>0</v>
          </cell>
          <cell r="M397">
            <v>9900</v>
          </cell>
          <cell r="N397">
            <v>184800</v>
          </cell>
          <cell r="O397">
            <v>0</v>
          </cell>
          <cell r="P397">
            <v>0</v>
          </cell>
          <cell r="Q397">
            <v>0</v>
          </cell>
          <cell r="R397">
            <v>0</v>
          </cell>
          <cell r="S397">
            <v>0</v>
          </cell>
          <cell r="T397">
            <v>0</v>
          </cell>
          <cell r="U397">
            <v>0.03</v>
          </cell>
          <cell r="V397">
            <v>0</v>
          </cell>
          <cell r="W397">
            <v>0.9</v>
          </cell>
        </row>
        <row r="398">
          <cell r="C398" t="str">
            <v>1997OR</v>
          </cell>
          <cell r="D398">
            <v>1974</v>
          </cell>
          <cell r="E398">
            <v>5265</v>
          </cell>
          <cell r="F398">
            <v>60390</v>
          </cell>
          <cell r="G398">
            <v>8004</v>
          </cell>
          <cell r="H398">
            <v>0</v>
          </cell>
          <cell r="I398">
            <v>2852</v>
          </cell>
          <cell r="J398">
            <v>0</v>
          </cell>
          <cell r="K398">
            <v>0</v>
          </cell>
          <cell r="L398">
            <v>0</v>
          </cell>
          <cell r="M398">
            <v>0</v>
          </cell>
          <cell r="N398">
            <v>0</v>
          </cell>
          <cell r="O398">
            <v>182</v>
          </cell>
          <cell r="P398">
            <v>0</v>
          </cell>
          <cell r="Q398">
            <v>7</v>
          </cell>
          <cell r="R398">
            <v>0</v>
          </cell>
          <cell r="S398">
            <v>0</v>
          </cell>
          <cell r="T398">
            <v>0</v>
          </cell>
          <cell r="U398">
            <v>0</v>
          </cell>
          <cell r="V398">
            <v>0</v>
          </cell>
        </row>
        <row r="399">
          <cell r="C399" t="str">
            <v>1997PA</v>
          </cell>
          <cell r="D399">
            <v>2072</v>
          </cell>
          <cell r="E399">
            <v>98980</v>
          </cell>
          <cell r="F399">
            <v>9100</v>
          </cell>
          <cell r="G399">
            <v>4556</v>
          </cell>
          <cell r="H399">
            <v>0</v>
          </cell>
          <cell r="I399">
            <v>8990</v>
          </cell>
          <cell r="J399">
            <v>400</v>
          </cell>
          <cell r="K399">
            <v>0</v>
          </cell>
          <cell r="L399">
            <v>0</v>
          </cell>
          <cell r="M399">
            <v>13690</v>
          </cell>
          <cell r="N399">
            <v>0</v>
          </cell>
          <cell r="O399">
            <v>0</v>
          </cell>
          <cell r="P399">
            <v>0</v>
          </cell>
          <cell r="Q399">
            <v>0</v>
          </cell>
          <cell r="R399">
            <v>0</v>
          </cell>
          <cell r="S399">
            <v>0</v>
          </cell>
          <cell r="T399">
            <v>0</v>
          </cell>
          <cell r="U399">
            <v>0</v>
          </cell>
          <cell r="V399">
            <v>0</v>
          </cell>
        </row>
        <row r="400">
          <cell r="C400" t="str">
            <v>1997RI</v>
          </cell>
          <cell r="D400">
            <v>5</v>
          </cell>
          <cell r="E400">
            <v>0</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row>
        <row r="401">
          <cell r="C401" t="str">
            <v>1997SC</v>
          </cell>
          <cell r="D401">
            <v>0</v>
          </cell>
          <cell r="E401">
            <v>30875</v>
          </cell>
          <cell r="F401">
            <v>15000</v>
          </cell>
          <cell r="G401">
            <v>180</v>
          </cell>
          <cell r="H401">
            <v>172</v>
          </cell>
          <cell r="I401">
            <v>1400</v>
          </cell>
          <cell r="J401">
            <v>250</v>
          </cell>
          <cell r="K401">
            <v>0</v>
          </cell>
          <cell r="L401">
            <v>0</v>
          </cell>
          <cell r="M401">
            <v>12825</v>
          </cell>
          <cell r="N401">
            <v>30450</v>
          </cell>
          <cell r="O401">
            <v>0</v>
          </cell>
          <cell r="P401">
            <v>0</v>
          </cell>
          <cell r="Q401">
            <v>0</v>
          </cell>
          <cell r="R401">
            <v>0</v>
          </cell>
          <cell r="S401">
            <v>0</v>
          </cell>
          <cell r="T401">
            <v>0</v>
          </cell>
          <cell r="U401">
            <v>0</v>
          </cell>
          <cell r="V401">
            <v>0</v>
          </cell>
        </row>
        <row r="402">
          <cell r="C402" t="str">
            <v>1997SD</v>
          </cell>
          <cell r="D402">
            <v>5290</v>
          </cell>
          <cell r="E402">
            <v>326400</v>
          </cell>
          <cell r="F402">
            <v>98013</v>
          </cell>
          <cell r="G402">
            <v>4560</v>
          </cell>
          <cell r="H402">
            <v>11360</v>
          </cell>
          <cell r="I402">
            <v>14850</v>
          </cell>
          <cell r="J402">
            <v>728</v>
          </cell>
          <cell r="K402">
            <v>0</v>
          </cell>
          <cell r="L402">
            <v>0</v>
          </cell>
          <cell r="M402">
            <v>113750</v>
          </cell>
          <cell r="N402">
            <v>0</v>
          </cell>
          <cell r="O402">
            <v>0</v>
          </cell>
          <cell r="P402">
            <v>0</v>
          </cell>
          <cell r="Q402">
            <v>0</v>
          </cell>
          <cell r="R402">
            <v>0</v>
          </cell>
          <cell r="S402">
            <v>0</v>
          </cell>
          <cell r="T402">
            <v>0</v>
          </cell>
          <cell r="U402">
            <v>0</v>
          </cell>
          <cell r="V402">
            <v>0</v>
          </cell>
        </row>
        <row r="403">
          <cell r="C403" t="str">
            <v>1997TN</v>
          </cell>
          <cell r="D403">
            <v>132</v>
          </cell>
          <cell r="E403">
            <v>63240</v>
          </cell>
          <cell r="F403">
            <v>16200</v>
          </cell>
          <cell r="G403">
            <v>0</v>
          </cell>
          <cell r="H403">
            <v>1050</v>
          </cell>
          <cell r="I403">
            <v>0</v>
          </cell>
          <cell r="J403">
            <v>0</v>
          </cell>
          <cell r="K403">
            <v>0</v>
          </cell>
          <cell r="L403">
            <v>0</v>
          </cell>
          <cell r="M403">
            <v>40800</v>
          </cell>
          <cell r="N403">
            <v>0</v>
          </cell>
          <cell r="O403">
            <v>0</v>
          </cell>
          <cell r="P403">
            <v>0</v>
          </cell>
          <cell r="Q403">
            <v>0</v>
          </cell>
          <cell r="R403">
            <v>0</v>
          </cell>
          <cell r="S403">
            <v>0</v>
          </cell>
          <cell r="T403">
            <v>0</v>
          </cell>
          <cell r="U403">
            <v>0</v>
          </cell>
          <cell r="V403">
            <v>0</v>
          </cell>
        </row>
        <row r="404">
          <cell r="C404" t="str">
            <v>1997TX</v>
          </cell>
          <cell r="D404">
            <v>635</v>
          </cell>
          <cell r="E404">
            <v>241500</v>
          </cell>
          <cell r="F404">
            <v>118900</v>
          </cell>
          <cell r="G404">
            <v>235</v>
          </cell>
          <cell r="H404">
            <v>185850</v>
          </cell>
          <cell r="I404">
            <v>6760</v>
          </cell>
          <cell r="J404">
            <v>330</v>
          </cell>
          <cell r="K404">
            <v>0</v>
          </cell>
          <cell r="L404">
            <v>14240</v>
          </cell>
          <cell r="M404">
            <v>11200</v>
          </cell>
          <cell r="N404">
            <v>822150</v>
          </cell>
          <cell r="O404">
            <v>143</v>
          </cell>
          <cell r="P404">
            <v>0</v>
          </cell>
          <cell r="Q404">
            <v>0</v>
          </cell>
          <cell r="R404">
            <v>0</v>
          </cell>
          <cell r="S404">
            <v>0</v>
          </cell>
          <cell r="T404">
            <v>902</v>
          </cell>
          <cell r="U404">
            <v>259</v>
          </cell>
          <cell r="V404">
            <v>104</v>
          </cell>
          <cell r="W404">
            <v>0.01</v>
          </cell>
        </row>
        <row r="405">
          <cell r="C405" t="str">
            <v>1997UT</v>
          </cell>
          <cell r="D405">
            <v>2344</v>
          </cell>
          <cell r="E405">
            <v>2940</v>
          </cell>
          <cell r="F405">
            <v>8742</v>
          </cell>
          <cell r="G405">
            <v>7980</v>
          </cell>
          <cell r="H405">
            <v>0</v>
          </cell>
          <cell r="I405">
            <v>720</v>
          </cell>
          <cell r="J405">
            <v>0</v>
          </cell>
          <cell r="K405">
            <v>0</v>
          </cell>
          <cell r="L405">
            <v>0</v>
          </cell>
          <cell r="M405">
            <v>0</v>
          </cell>
          <cell r="N405">
            <v>0</v>
          </cell>
          <cell r="O405">
            <v>42</v>
          </cell>
          <cell r="P405">
            <v>0</v>
          </cell>
          <cell r="Q405">
            <v>0</v>
          </cell>
          <cell r="R405">
            <v>0</v>
          </cell>
          <cell r="S405">
            <v>0</v>
          </cell>
          <cell r="T405">
            <v>0</v>
          </cell>
          <cell r="U405">
            <v>0</v>
          </cell>
          <cell r="V405">
            <v>0</v>
          </cell>
        </row>
        <row r="406">
          <cell r="C406" t="str">
            <v>1997VT</v>
          </cell>
          <cell r="D406">
            <v>104</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row>
        <row r="407">
          <cell r="C407" t="str">
            <v>1997VA</v>
          </cell>
          <cell r="D407">
            <v>330</v>
          </cell>
          <cell r="E407">
            <v>30225</v>
          </cell>
          <cell r="F407">
            <v>17420</v>
          </cell>
          <cell r="G407">
            <v>4920</v>
          </cell>
          <cell r="H407">
            <v>0</v>
          </cell>
          <cell r="I407">
            <v>0</v>
          </cell>
          <cell r="J407">
            <v>200</v>
          </cell>
          <cell r="K407">
            <v>0</v>
          </cell>
          <cell r="L407">
            <v>0</v>
          </cell>
          <cell r="M407">
            <v>11270</v>
          </cell>
          <cell r="N407">
            <v>191250</v>
          </cell>
          <cell r="O407">
            <v>0</v>
          </cell>
          <cell r="P407">
            <v>0</v>
          </cell>
          <cell r="Q407">
            <v>0</v>
          </cell>
          <cell r="R407">
            <v>0</v>
          </cell>
          <cell r="S407">
            <v>0</v>
          </cell>
          <cell r="T407">
            <v>0</v>
          </cell>
          <cell r="U407">
            <v>0</v>
          </cell>
          <cell r="V407">
            <v>0</v>
          </cell>
        </row>
        <row r="408">
          <cell r="C408" t="str">
            <v>1997WA</v>
          </cell>
          <cell r="D408">
            <v>2304</v>
          </cell>
          <cell r="E408">
            <v>18050</v>
          </cell>
          <cell r="F408">
            <v>165120</v>
          </cell>
          <cell r="G408">
            <v>35520</v>
          </cell>
          <cell r="H408">
            <v>0</v>
          </cell>
          <cell r="I408">
            <v>1360</v>
          </cell>
          <cell r="J408">
            <v>0</v>
          </cell>
          <cell r="K408">
            <v>0</v>
          </cell>
          <cell r="L408">
            <v>0</v>
          </cell>
          <cell r="M408">
            <v>0</v>
          </cell>
          <cell r="N408">
            <v>0</v>
          </cell>
          <cell r="O408">
            <v>850</v>
          </cell>
          <cell r="P408">
            <v>2621</v>
          </cell>
          <cell r="Q408">
            <v>0</v>
          </cell>
          <cell r="R408">
            <v>1115</v>
          </cell>
          <cell r="S408">
            <v>396</v>
          </cell>
          <cell r="T408">
            <v>0</v>
          </cell>
          <cell r="U408">
            <v>0</v>
          </cell>
          <cell r="V408">
            <v>0</v>
          </cell>
        </row>
        <row r="409">
          <cell r="C409" t="str">
            <v>1997WV</v>
          </cell>
          <cell r="D409">
            <v>165</v>
          </cell>
          <cell r="E409">
            <v>3420</v>
          </cell>
          <cell r="F409">
            <v>486</v>
          </cell>
          <cell r="G409">
            <v>0</v>
          </cell>
          <cell r="H409">
            <v>0</v>
          </cell>
          <cell r="I409">
            <v>200</v>
          </cell>
          <cell r="J409">
            <v>0</v>
          </cell>
          <cell r="K409">
            <v>0</v>
          </cell>
          <cell r="L409">
            <v>0</v>
          </cell>
          <cell r="M409">
            <v>0</v>
          </cell>
          <cell r="N409">
            <v>0</v>
          </cell>
          <cell r="O409">
            <v>0</v>
          </cell>
          <cell r="P409">
            <v>0</v>
          </cell>
          <cell r="Q409">
            <v>0</v>
          </cell>
          <cell r="R409">
            <v>0</v>
          </cell>
          <cell r="S409">
            <v>0</v>
          </cell>
          <cell r="T409">
            <v>0</v>
          </cell>
          <cell r="U409">
            <v>0</v>
          </cell>
          <cell r="V409">
            <v>0</v>
          </cell>
        </row>
        <row r="410">
          <cell r="C410" t="str">
            <v>1997WI</v>
          </cell>
          <cell r="D410">
            <v>5225</v>
          </cell>
          <cell r="E410">
            <v>402600</v>
          </cell>
          <cell r="F410">
            <v>8531</v>
          </cell>
          <cell r="G410">
            <v>3575</v>
          </cell>
          <cell r="H410">
            <v>0</v>
          </cell>
          <cell r="I410">
            <v>20160</v>
          </cell>
          <cell r="J410">
            <v>432</v>
          </cell>
          <cell r="K410">
            <v>0</v>
          </cell>
          <cell r="L410">
            <v>0</v>
          </cell>
          <cell r="M410">
            <v>44000</v>
          </cell>
          <cell r="N410">
            <v>0</v>
          </cell>
          <cell r="O410">
            <v>171</v>
          </cell>
          <cell r="P410">
            <v>0</v>
          </cell>
          <cell r="Q410">
            <v>0</v>
          </cell>
          <cell r="R410">
            <v>0</v>
          </cell>
          <cell r="S410">
            <v>0</v>
          </cell>
          <cell r="T410">
            <v>0</v>
          </cell>
          <cell r="U410">
            <v>0</v>
          </cell>
          <cell r="V410">
            <v>0</v>
          </cell>
        </row>
        <row r="411">
          <cell r="C411" t="str">
            <v>1997WY</v>
          </cell>
          <cell r="D411">
            <v>1728</v>
          </cell>
          <cell r="E411">
            <v>7020</v>
          </cell>
          <cell r="F411">
            <v>7587</v>
          </cell>
          <cell r="G411">
            <v>8400</v>
          </cell>
          <cell r="H411">
            <v>0</v>
          </cell>
          <cell r="I411">
            <v>1890</v>
          </cell>
          <cell r="J411">
            <v>0</v>
          </cell>
          <cell r="K411">
            <v>0</v>
          </cell>
          <cell r="L411">
            <v>0</v>
          </cell>
          <cell r="M411">
            <v>0</v>
          </cell>
          <cell r="N411">
            <v>0</v>
          </cell>
          <cell r="O411">
            <v>700</v>
          </cell>
          <cell r="P411">
            <v>0</v>
          </cell>
          <cell r="Q411">
            <v>0</v>
          </cell>
          <cell r="R411">
            <v>0</v>
          </cell>
          <cell r="S411">
            <v>0</v>
          </cell>
          <cell r="T411">
            <v>0</v>
          </cell>
          <cell r="U411">
            <v>0</v>
          </cell>
          <cell r="V411">
            <v>0</v>
          </cell>
        </row>
        <row r="412">
          <cell r="C412" t="str">
            <v>1997US</v>
          </cell>
          <cell r="D412">
            <v>78535</v>
          </cell>
          <cell r="E412">
            <v>9206832</v>
          </cell>
          <cell r="F412">
            <v>2481466</v>
          </cell>
          <cell r="G412">
            <v>360042.5</v>
          </cell>
          <cell r="H412">
            <v>633545</v>
          </cell>
          <cell r="I412">
            <v>167246</v>
          </cell>
          <cell r="J412">
            <v>8132</v>
          </cell>
          <cell r="K412">
            <v>0</v>
          </cell>
          <cell r="L412">
            <v>182992</v>
          </cell>
          <cell r="M412">
            <v>2688750</v>
          </cell>
          <cell r="N412">
            <v>3539380</v>
          </cell>
          <cell r="O412">
            <v>29370</v>
          </cell>
          <cell r="P412">
            <v>5752</v>
          </cell>
          <cell r="Q412">
            <v>115</v>
          </cell>
          <cell r="R412">
            <v>2406</v>
          </cell>
          <cell r="S412">
            <v>682</v>
          </cell>
          <cell r="T412">
            <v>31709</v>
          </cell>
        </row>
        <row r="413">
          <cell r="C413" t="str">
            <v>1998AL</v>
          </cell>
          <cell r="D413">
            <v>0</v>
          </cell>
          <cell r="E413">
            <v>12600</v>
          </cell>
          <cell r="F413">
            <v>3570</v>
          </cell>
          <cell r="G413">
            <v>0</v>
          </cell>
          <cell r="H413">
            <v>270</v>
          </cell>
          <cell r="I413">
            <v>816</v>
          </cell>
          <cell r="J413">
            <v>0</v>
          </cell>
          <cell r="K413">
            <v>0</v>
          </cell>
          <cell r="L413">
            <v>0</v>
          </cell>
          <cell r="M413">
            <v>7040</v>
          </cell>
          <cell r="N413">
            <v>432415</v>
          </cell>
          <cell r="O413">
            <v>0</v>
          </cell>
          <cell r="P413">
            <v>0</v>
          </cell>
          <cell r="Q413">
            <v>0</v>
          </cell>
          <cell r="R413">
            <v>0</v>
          </cell>
          <cell r="S413">
            <v>0</v>
          </cell>
          <cell r="T413">
            <v>0</v>
          </cell>
          <cell r="U413">
            <v>0</v>
          </cell>
          <cell r="V413">
            <v>0</v>
          </cell>
        </row>
        <row r="414">
          <cell r="C414" t="str">
            <v>1998AK</v>
          </cell>
          <cell r="D414">
            <v>0</v>
          </cell>
          <cell r="E414">
            <v>0</v>
          </cell>
          <cell r="F414">
            <v>0</v>
          </cell>
          <cell r="G414">
            <v>122.9</v>
          </cell>
          <cell r="H414">
            <v>0</v>
          </cell>
          <cell r="I414">
            <v>45000</v>
          </cell>
          <cell r="J414">
            <v>0</v>
          </cell>
          <cell r="K414">
            <v>0</v>
          </cell>
          <cell r="L414">
            <v>0</v>
          </cell>
          <cell r="M414">
            <v>0</v>
          </cell>
          <cell r="N414">
            <v>0</v>
          </cell>
          <cell r="O414">
            <v>0</v>
          </cell>
          <cell r="P414">
            <v>0</v>
          </cell>
          <cell r="Q414">
            <v>0</v>
          </cell>
          <cell r="R414">
            <v>0</v>
          </cell>
          <cell r="S414">
            <v>0</v>
          </cell>
          <cell r="T414">
            <v>0</v>
          </cell>
          <cell r="U414">
            <v>0</v>
          </cell>
          <cell r="V414">
            <v>0</v>
          </cell>
        </row>
        <row r="415">
          <cell r="C415" t="str">
            <v>1998AZ</v>
          </cell>
          <cell r="D415">
            <v>1600</v>
          </cell>
          <cell r="E415">
            <v>5250</v>
          </cell>
          <cell r="F415">
            <v>15840</v>
          </cell>
          <cell r="G415">
            <v>6160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row>
        <row r="416">
          <cell r="C416" t="str">
            <v>1998AR</v>
          </cell>
          <cell r="D416">
            <v>65</v>
          </cell>
          <cell r="E416">
            <v>21500</v>
          </cell>
          <cell r="F416">
            <v>45900</v>
          </cell>
          <cell r="G416">
            <v>0</v>
          </cell>
          <cell r="H416">
            <v>6890</v>
          </cell>
          <cell r="I416">
            <v>720</v>
          </cell>
          <cell r="J416">
            <v>0</v>
          </cell>
          <cell r="K416">
            <v>0</v>
          </cell>
          <cell r="L416">
            <v>86124</v>
          </cell>
          <cell r="M416">
            <v>85000</v>
          </cell>
          <cell r="N416">
            <v>0</v>
          </cell>
          <cell r="O416">
            <v>0</v>
          </cell>
          <cell r="P416">
            <v>0</v>
          </cell>
          <cell r="Q416">
            <v>0</v>
          </cell>
          <cell r="R416">
            <v>0</v>
          </cell>
          <cell r="S416">
            <v>0</v>
          </cell>
          <cell r="T416">
            <v>0</v>
          </cell>
          <cell r="U416">
            <v>1485</v>
          </cell>
          <cell r="V416">
            <v>0.5</v>
          </cell>
          <cell r="W416">
            <v>0.13</v>
          </cell>
        </row>
        <row r="417">
          <cell r="C417" t="str">
            <v>1998CA</v>
          </cell>
          <cell r="D417">
            <v>6930</v>
          </cell>
          <cell r="E417">
            <v>39200</v>
          </cell>
          <cell r="F417">
            <v>38550</v>
          </cell>
          <cell r="G417">
            <v>7500</v>
          </cell>
          <cell r="H417">
            <v>0</v>
          </cell>
          <cell r="I417">
            <v>2250</v>
          </cell>
          <cell r="J417">
            <v>0</v>
          </cell>
          <cell r="K417">
            <v>0</v>
          </cell>
          <cell r="L417">
            <v>31386</v>
          </cell>
          <cell r="M417">
            <v>0</v>
          </cell>
          <cell r="N417">
            <v>0</v>
          </cell>
          <cell r="O417">
            <v>1554</v>
          </cell>
          <cell r="P417">
            <v>0</v>
          </cell>
          <cell r="Q417">
            <v>0</v>
          </cell>
          <cell r="R417">
            <v>0</v>
          </cell>
          <cell r="S417">
            <v>0</v>
          </cell>
          <cell r="T417">
            <v>0</v>
          </cell>
          <cell r="U417">
            <v>458</v>
          </cell>
          <cell r="V417">
            <v>0</v>
          </cell>
          <cell r="W417">
            <v>0.33</v>
          </cell>
        </row>
        <row r="418">
          <cell r="C418" t="str">
            <v>1998CO</v>
          </cell>
          <cell r="D418">
            <v>3402</v>
          </cell>
          <cell r="E418">
            <v>155150</v>
          </cell>
          <cell r="F418">
            <v>103470</v>
          </cell>
          <cell r="G418">
            <v>9430</v>
          </cell>
          <cell r="H418">
            <v>10545</v>
          </cell>
          <cell r="I418">
            <v>1750</v>
          </cell>
          <cell r="J418">
            <v>84</v>
          </cell>
          <cell r="K418">
            <v>0</v>
          </cell>
          <cell r="L418">
            <v>0</v>
          </cell>
          <cell r="M418">
            <v>0</v>
          </cell>
          <cell r="N418">
            <v>0</v>
          </cell>
          <cell r="O418">
            <v>2868</v>
          </cell>
          <cell r="P418">
            <v>0</v>
          </cell>
          <cell r="Q418">
            <v>0</v>
          </cell>
          <cell r="R418">
            <v>0</v>
          </cell>
          <cell r="S418">
            <v>0</v>
          </cell>
          <cell r="T418">
            <v>0</v>
          </cell>
          <cell r="U418">
            <v>0</v>
          </cell>
          <cell r="V418">
            <v>0</v>
          </cell>
        </row>
        <row r="419">
          <cell r="C419" t="str">
            <v>1998CT</v>
          </cell>
          <cell r="D419">
            <v>18</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row>
        <row r="420">
          <cell r="C420" t="str">
            <v>1998DE</v>
          </cell>
          <cell r="D420">
            <v>29</v>
          </cell>
          <cell r="E420">
            <v>15500</v>
          </cell>
          <cell r="F420">
            <v>3723</v>
          </cell>
          <cell r="G420">
            <v>1800</v>
          </cell>
          <cell r="H420">
            <v>0</v>
          </cell>
          <cell r="I420">
            <v>0</v>
          </cell>
          <cell r="J420">
            <v>0</v>
          </cell>
          <cell r="K420">
            <v>0</v>
          </cell>
          <cell r="L420">
            <v>0</v>
          </cell>
          <cell r="M420">
            <v>7128</v>
          </cell>
          <cell r="N420">
            <v>0</v>
          </cell>
          <cell r="O420">
            <v>0</v>
          </cell>
          <cell r="P420">
            <v>0</v>
          </cell>
          <cell r="Q420">
            <v>0</v>
          </cell>
          <cell r="R420">
            <v>0</v>
          </cell>
          <cell r="S420">
            <v>0</v>
          </cell>
          <cell r="T420">
            <v>0</v>
          </cell>
          <cell r="U420">
            <v>0</v>
          </cell>
          <cell r="V420">
            <v>0</v>
          </cell>
        </row>
        <row r="421">
          <cell r="C421" t="str">
            <v>1998FL</v>
          </cell>
          <cell r="D421">
            <v>0</v>
          </cell>
          <cell r="E421">
            <v>3410</v>
          </cell>
          <cell r="F421">
            <v>559</v>
          </cell>
          <cell r="G421">
            <v>0</v>
          </cell>
          <cell r="H421">
            <v>0</v>
          </cell>
          <cell r="I421">
            <v>0</v>
          </cell>
          <cell r="J421">
            <v>0</v>
          </cell>
          <cell r="K421">
            <v>0</v>
          </cell>
          <cell r="L421">
            <v>888.67632792142729</v>
          </cell>
          <cell r="M421">
            <v>690</v>
          </cell>
          <cell r="N421">
            <v>233100</v>
          </cell>
          <cell r="O421">
            <v>0</v>
          </cell>
          <cell r="P421">
            <v>0</v>
          </cell>
          <cell r="Q421">
            <v>0</v>
          </cell>
          <cell r="R421">
            <v>0</v>
          </cell>
          <cell r="S421">
            <v>0</v>
          </cell>
          <cell r="T421">
            <v>17925</v>
          </cell>
          <cell r="U421">
            <v>20</v>
          </cell>
          <cell r="V421">
            <v>10</v>
          </cell>
          <cell r="W421">
            <v>0</v>
          </cell>
        </row>
        <row r="422">
          <cell r="C422" t="str">
            <v>1998GA</v>
          </cell>
          <cell r="D422">
            <v>0</v>
          </cell>
          <cell r="E422">
            <v>22525</v>
          </cell>
          <cell r="F422">
            <v>10320</v>
          </cell>
          <cell r="G422">
            <v>0</v>
          </cell>
          <cell r="H422">
            <v>1140</v>
          </cell>
          <cell r="I422">
            <v>1325</v>
          </cell>
          <cell r="J422">
            <v>1050</v>
          </cell>
          <cell r="K422">
            <v>0</v>
          </cell>
          <cell r="L422">
            <v>0</v>
          </cell>
          <cell r="M422">
            <v>4620</v>
          </cell>
          <cell r="N422">
            <v>1511655</v>
          </cell>
          <cell r="O422">
            <v>0</v>
          </cell>
          <cell r="P422">
            <v>0</v>
          </cell>
          <cell r="Q422">
            <v>0</v>
          </cell>
          <cell r="R422">
            <v>0</v>
          </cell>
          <cell r="S422">
            <v>0</v>
          </cell>
          <cell r="T422">
            <v>0</v>
          </cell>
          <cell r="U422">
            <v>0</v>
          </cell>
          <cell r="V422">
            <v>0</v>
          </cell>
        </row>
        <row r="423">
          <cell r="C423" t="str">
            <v>1998HI</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2798</v>
          </cell>
          <cell r="U423">
            <v>0</v>
          </cell>
          <cell r="V423">
            <v>0</v>
          </cell>
        </row>
        <row r="424">
          <cell r="C424" t="str">
            <v>1998ID</v>
          </cell>
          <cell r="D424">
            <v>4730</v>
          </cell>
          <cell r="E424">
            <v>7800</v>
          </cell>
          <cell r="F424">
            <v>102410</v>
          </cell>
          <cell r="G424">
            <v>59280</v>
          </cell>
          <cell r="H424">
            <v>0</v>
          </cell>
          <cell r="I424">
            <v>2250</v>
          </cell>
          <cell r="J424">
            <v>0</v>
          </cell>
          <cell r="K424">
            <v>0</v>
          </cell>
          <cell r="L424">
            <v>0</v>
          </cell>
          <cell r="M424">
            <v>0</v>
          </cell>
          <cell r="N424">
            <v>0</v>
          </cell>
          <cell r="O424">
            <v>2112</v>
          </cell>
          <cell r="P424">
            <v>1139</v>
          </cell>
          <cell r="Q424">
            <v>98</v>
          </cell>
          <cell r="R424">
            <v>644</v>
          </cell>
          <cell r="S424">
            <v>248</v>
          </cell>
          <cell r="T424">
            <v>0</v>
          </cell>
          <cell r="U424">
            <v>0</v>
          </cell>
          <cell r="V424">
            <v>0</v>
          </cell>
        </row>
        <row r="425">
          <cell r="C425" t="str">
            <v>1998IL</v>
          </cell>
          <cell r="D425">
            <v>2436</v>
          </cell>
          <cell r="E425">
            <v>1473450</v>
          </cell>
          <cell r="F425">
            <v>57600</v>
          </cell>
          <cell r="G425">
            <v>0</v>
          </cell>
          <cell r="H425">
            <v>7918</v>
          </cell>
          <cell r="I425">
            <v>3920</v>
          </cell>
          <cell r="J425">
            <v>333</v>
          </cell>
          <cell r="K425">
            <v>0</v>
          </cell>
          <cell r="L425">
            <v>0</v>
          </cell>
          <cell r="M425">
            <v>464200</v>
          </cell>
          <cell r="N425">
            <v>0</v>
          </cell>
          <cell r="O425">
            <v>0</v>
          </cell>
          <cell r="P425">
            <v>0</v>
          </cell>
          <cell r="Q425">
            <v>0</v>
          </cell>
          <cell r="R425">
            <v>0</v>
          </cell>
          <cell r="S425">
            <v>0</v>
          </cell>
          <cell r="T425">
            <v>0</v>
          </cell>
          <cell r="U425">
            <v>0</v>
          </cell>
          <cell r="V425">
            <v>0</v>
          </cell>
        </row>
        <row r="426">
          <cell r="C426" t="str">
            <v>1998IN</v>
          </cell>
          <cell r="D426">
            <v>1558</v>
          </cell>
          <cell r="E426">
            <v>760350</v>
          </cell>
          <cell r="F426">
            <v>35750</v>
          </cell>
          <cell r="G426">
            <v>0</v>
          </cell>
          <cell r="H426">
            <v>0</v>
          </cell>
          <cell r="I426">
            <v>1500</v>
          </cell>
          <cell r="J426">
            <v>76</v>
          </cell>
          <cell r="K426">
            <v>0</v>
          </cell>
          <cell r="L426">
            <v>0</v>
          </cell>
          <cell r="M426">
            <v>231000</v>
          </cell>
          <cell r="N426">
            <v>0</v>
          </cell>
          <cell r="O426">
            <v>0</v>
          </cell>
          <cell r="P426">
            <v>0</v>
          </cell>
          <cell r="Q426">
            <v>0</v>
          </cell>
          <cell r="R426">
            <v>0</v>
          </cell>
          <cell r="S426">
            <v>0</v>
          </cell>
          <cell r="T426">
            <v>0</v>
          </cell>
          <cell r="U426">
            <v>0</v>
          </cell>
          <cell r="V426">
            <v>0</v>
          </cell>
        </row>
        <row r="427">
          <cell r="C427" t="str">
            <v>1998IA</v>
          </cell>
          <cell r="D427">
            <v>4500</v>
          </cell>
          <cell r="E427">
            <v>1769000</v>
          </cell>
          <cell r="F427">
            <v>1408</v>
          </cell>
          <cell r="G427">
            <v>0</v>
          </cell>
          <cell r="H427">
            <v>0</v>
          </cell>
          <cell r="I427">
            <v>10915</v>
          </cell>
          <cell r="J427">
            <v>0</v>
          </cell>
          <cell r="K427">
            <v>0</v>
          </cell>
          <cell r="L427">
            <v>0</v>
          </cell>
          <cell r="M427">
            <v>496800</v>
          </cell>
          <cell r="N427">
            <v>0</v>
          </cell>
          <cell r="O427">
            <v>0</v>
          </cell>
          <cell r="P427">
            <v>0</v>
          </cell>
          <cell r="Q427">
            <v>0</v>
          </cell>
          <cell r="R427">
            <v>0</v>
          </cell>
          <cell r="S427">
            <v>0</v>
          </cell>
          <cell r="T427">
            <v>0</v>
          </cell>
          <cell r="U427">
            <v>0</v>
          </cell>
          <cell r="V427">
            <v>0</v>
          </cell>
        </row>
        <row r="428">
          <cell r="C428" t="str">
            <v>1998KS</v>
          </cell>
          <cell r="D428">
            <v>4600</v>
          </cell>
          <cell r="E428">
            <v>418950</v>
          </cell>
          <cell r="F428">
            <v>494900</v>
          </cell>
          <cell r="G428">
            <v>280</v>
          </cell>
          <cell r="H428">
            <v>264000</v>
          </cell>
          <cell r="I428">
            <v>2700</v>
          </cell>
          <cell r="J428">
            <v>375</v>
          </cell>
          <cell r="K428">
            <v>0</v>
          </cell>
          <cell r="L428">
            <v>0</v>
          </cell>
          <cell r="M428">
            <v>75000</v>
          </cell>
          <cell r="N428">
            <v>0</v>
          </cell>
          <cell r="O428">
            <v>380</v>
          </cell>
          <cell r="P428">
            <v>0</v>
          </cell>
          <cell r="Q428">
            <v>0</v>
          </cell>
          <cell r="R428">
            <v>0</v>
          </cell>
          <cell r="S428">
            <v>0</v>
          </cell>
          <cell r="T428">
            <v>0</v>
          </cell>
          <cell r="U428">
            <v>0</v>
          </cell>
          <cell r="V428">
            <v>0</v>
          </cell>
        </row>
        <row r="429">
          <cell r="C429" t="str">
            <v>1998KY</v>
          </cell>
          <cell r="D429">
            <v>875</v>
          </cell>
          <cell r="E429">
            <v>135700</v>
          </cell>
          <cell r="F429">
            <v>24750</v>
          </cell>
          <cell r="G429">
            <v>441</v>
          </cell>
          <cell r="H429">
            <v>640</v>
          </cell>
          <cell r="I429">
            <v>0</v>
          </cell>
          <cell r="J429">
            <v>0</v>
          </cell>
          <cell r="K429">
            <v>0</v>
          </cell>
          <cell r="L429">
            <v>0</v>
          </cell>
          <cell r="M429">
            <v>36000</v>
          </cell>
          <cell r="N429">
            <v>0</v>
          </cell>
          <cell r="O429">
            <v>0</v>
          </cell>
          <cell r="P429">
            <v>0</v>
          </cell>
          <cell r="Q429">
            <v>0</v>
          </cell>
          <cell r="R429">
            <v>0</v>
          </cell>
          <cell r="S429">
            <v>0</v>
          </cell>
          <cell r="T429">
            <v>0</v>
          </cell>
          <cell r="U429">
            <v>0</v>
          </cell>
          <cell r="V429">
            <v>0</v>
          </cell>
        </row>
        <row r="430">
          <cell r="C430" t="str">
            <v>1998LA</v>
          </cell>
          <cell r="D430">
            <v>0</v>
          </cell>
          <cell r="E430">
            <v>43740</v>
          </cell>
          <cell r="F430">
            <v>3960</v>
          </cell>
          <cell r="G430">
            <v>0</v>
          </cell>
          <cell r="H430">
            <v>7500</v>
          </cell>
          <cell r="I430">
            <v>0</v>
          </cell>
          <cell r="J430">
            <v>0</v>
          </cell>
          <cell r="K430">
            <v>0</v>
          </cell>
          <cell r="L430">
            <v>28107</v>
          </cell>
          <cell r="M430">
            <v>22470</v>
          </cell>
          <cell r="N430">
            <v>0</v>
          </cell>
          <cell r="O430">
            <v>0</v>
          </cell>
          <cell r="P430">
            <v>0</v>
          </cell>
          <cell r="Q430">
            <v>0</v>
          </cell>
          <cell r="R430">
            <v>0</v>
          </cell>
          <cell r="S430">
            <v>0</v>
          </cell>
          <cell r="T430">
            <v>12920</v>
          </cell>
          <cell r="U430">
            <v>620</v>
          </cell>
          <cell r="V430">
            <v>186</v>
          </cell>
          <cell r="W430">
            <v>0.06</v>
          </cell>
        </row>
        <row r="431">
          <cell r="C431" t="str">
            <v>1998ME</v>
          </cell>
          <cell r="D431">
            <v>33</v>
          </cell>
          <cell r="E431">
            <v>0</v>
          </cell>
          <cell r="F431">
            <v>0</v>
          </cell>
          <cell r="G431">
            <v>0</v>
          </cell>
          <cell r="H431">
            <v>0</v>
          </cell>
          <cell r="I431">
            <v>1679</v>
          </cell>
          <cell r="J431">
            <v>0</v>
          </cell>
          <cell r="K431">
            <v>0</v>
          </cell>
          <cell r="L431">
            <v>0</v>
          </cell>
          <cell r="M431">
            <v>0</v>
          </cell>
          <cell r="N431">
            <v>0</v>
          </cell>
          <cell r="O431">
            <v>0</v>
          </cell>
          <cell r="P431">
            <v>0</v>
          </cell>
          <cell r="Q431">
            <v>0</v>
          </cell>
          <cell r="R431">
            <v>0</v>
          </cell>
          <cell r="S431">
            <v>0</v>
          </cell>
          <cell r="T431">
            <v>0</v>
          </cell>
          <cell r="U431">
            <v>0</v>
          </cell>
          <cell r="V431">
            <v>0</v>
          </cell>
        </row>
        <row r="432">
          <cell r="C432" t="str">
            <v>1998MD</v>
          </cell>
          <cell r="D432">
            <v>226</v>
          </cell>
          <cell r="E432">
            <v>43600</v>
          </cell>
          <cell r="F432">
            <v>10750</v>
          </cell>
          <cell r="G432">
            <v>3200</v>
          </cell>
          <cell r="H432">
            <v>0</v>
          </cell>
          <cell r="I432">
            <v>350</v>
          </cell>
          <cell r="J432">
            <v>96</v>
          </cell>
          <cell r="K432">
            <v>0</v>
          </cell>
          <cell r="L432">
            <v>0</v>
          </cell>
          <cell r="M432">
            <v>14260</v>
          </cell>
          <cell r="N432">
            <v>0</v>
          </cell>
          <cell r="O432">
            <v>0</v>
          </cell>
          <cell r="P432">
            <v>0</v>
          </cell>
          <cell r="Q432">
            <v>0</v>
          </cell>
          <cell r="R432">
            <v>0</v>
          </cell>
          <cell r="S432">
            <v>0</v>
          </cell>
          <cell r="T432">
            <v>0</v>
          </cell>
          <cell r="U432">
            <v>0</v>
          </cell>
          <cell r="V432">
            <v>0</v>
          </cell>
        </row>
        <row r="433">
          <cell r="C433" t="str">
            <v>1998MA</v>
          </cell>
          <cell r="D433">
            <v>32</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row>
        <row r="434">
          <cell r="C434" t="str">
            <v>1998MI</v>
          </cell>
          <cell r="D434">
            <v>2805</v>
          </cell>
          <cell r="E434">
            <v>227550</v>
          </cell>
          <cell r="F434">
            <v>30780</v>
          </cell>
          <cell r="G434">
            <v>850</v>
          </cell>
          <cell r="H434">
            <v>0</v>
          </cell>
          <cell r="I434">
            <v>4800</v>
          </cell>
          <cell r="J434">
            <v>420</v>
          </cell>
          <cell r="K434">
            <v>0</v>
          </cell>
          <cell r="L434">
            <v>0</v>
          </cell>
          <cell r="M434">
            <v>73710</v>
          </cell>
          <cell r="N434">
            <v>0</v>
          </cell>
          <cell r="O434">
            <v>4425</v>
          </cell>
          <cell r="P434">
            <v>0</v>
          </cell>
          <cell r="Q434">
            <v>0</v>
          </cell>
          <cell r="R434">
            <v>0</v>
          </cell>
          <cell r="S434">
            <v>0</v>
          </cell>
          <cell r="T434">
            <v>0</v>
          </cell>
          <cell r="U434">
            <v>0</v>
          </cell>
          <cell r="V434">
            <v>0</v>
          </cell>
        </row>
        <row r="435">
          <cell r="C435" t="str">
            <v>1998MN</v>
          </cell>
          <cell r="D435">
            <v>5580</v>
          </cell>
          <cell r="E435">
            <v>1032750</v>
          </cell>
          <cell r="F435">
            <v>80444</v>
          </cell>
          <cell r="G435">
            <v>22825</v>
          </cell>
          <cell r="H435">
            <v>0</v>
          </cell>
          <cell r="I435">
            <v>19530</v>
          </cell>
          <cell r="J435">
            <v>837</v>
          </cell>
          <cell r="K435">
            <v>0</v>
          </cell>
          <cell r="L435">
            <v>0</v>
          </cell>
          <cell r="M435">
            <v>285600</v>
          </cell>
          <cell r="N435">
            <v>0</v>
          </cell>
          <cell r="O435">
            <v>2538</v>
          </cell>
          <cell r="P435">
            <v>0</v>
          </cell>
          <cell r="Q435">
            <v>0</v>
          </cell>
          <cell r="R435">
            <v>0</v>
          </cell>
          <cell r="S435">
            <v>0</v>
          </cell>
          <cell r="T435">
            <v>0</v>
          </cell>
          <cell r="U435">
            <v>0</v>
          </cell>
          <cell r="V435">
            <v>0</v>
          </cell>
        </row>
        <row r="436">
          <cell r="C436" t="str">
            <v>1998MS</v>
          </cell>
          <cell r="D436">
            <v>0</v>
          </cell>
          <cell r="E436">
            <v>43000</v>
          </cell>
          <cell r="F436">
            <v>6750</v>
          </cell>
          <cell r="G436">
            <v>0</v>
          </cell>
          <cell r="H436">
            <v>2340</v>
          </cell>
          <cell r="I436">
            <v>0</v>
          </cell>
          <cell r="J436">
            <v>0</v>
          </cell>
          <cell r="K436">
            <v>0</v>
          </cell>
          <cell r="L436">
            <v>15544</v>
          </cell>
          <cell r="M436">
            <v>48000</v>
          </cell>
          <cell r="N436">
            <v>0</v>
          </cell>
          <cell r="O436">
            <v>0</v>
          </cell>
          <cell r="P436">
            <v>0</v>
          </cell>
          <cell r="Q436">
            <v>0</v>
          </cell>
          <cell r="R436">
            <v>0</v>
          </cell>
          <cell r="S436">
            <v>0</v>
          </cell>
          <cell r="T436">
            <v>0</v>
          </cell>
          <cell r="U436">
            <v>268</v>
          </cell>
          <cell r="V436">
            <v>0</v>
          </cell>
          <cell r="W436">
            <v>0.1</v>
          </cell>
        </row>
        <row r="437">
          <cell r="C437" t="str">
            <v>1998MO</v>
          </cell>
          <cell r="D437">
            <v>1300</v>
          </cell>
          <cell r="E437">
            <v>285000</v>
          </cell>
          <cell r="F437">
            <v>57500</v>
          </cell>
          <cell r="G437">
            <v>0</v>
          </cell>
          <cell r="H437">
            <v>26560</v>
          </cell>
          <cell r="I437">
            <v>611</v>
          </cell>
          <cell r="J437">
            <v>0</v>
          </cell>
          <cell r="K437">
            <v>0</v>
          </cell>
          <cell r="L437">
            <v>7436</v>
          </cell>
          <cell r="M437">
            <v>170000</v>
          </cell>
          <cell r="N437">
            <v>0</v>
          </cell>
          <cell r="O437">
            <v>0</v>
          </cell>
          <cell r="P437">
            <v>0</v>
          </cell>
          <cell r="Q437">
            <v>0</v>
          </cell>
          <cell r="R437">
            <v>0</v>
          </cell>
          <cell r="S437">
            <v>0</v>
          </cell>
          <cell r="T437">
            <v>0</v>
          </cell>
          <cell r="U437">
            <v>143</v>
          </cell>
          <cell r="V437">
            <v>0</v>
          </cell>
          <cell r="W437">
            <v>0.05</v>
          </cell>
        </row>
        <row r="438">
          <cell r="C438" t="str">
            <v>1998MT</v>
          </cell>
          <cell r="D438">
            <v>3740</v>
          </cell>
          <cell r="E438">
            <v>2070</v>
          </cell>
          <cell r="F438">
            <v>168790</v>
          </cell>
          <cell r="G438">
            <v>57600</v>
          </cell>
          <cell r="H438">
            <v>0</v>
          </cell>
          <cell r="I438">
            <v>3240</v>
          </cell>
          <cell r="J438">
            <v>0</v>
          </cell>
          <cell r="K438">
            <v>0</v>
          </cell>
          <cell r="L438">
            <v>0</v>
          </cell>
          <cell r="M438">
            <v>0</v>
          </cell>
          <cell r="N438">
            <v>0</v>
          </cell>
          <cell r="O438">
            <v>350</v>
          </cell>
          <cell r="P438">
            <v>666</v>
          </cell>
          <cell r="Q438">
            <v>0</v>
          </cell>
          <cell r="R438">
            <v>190</v>
          </cell>
          <cell r="S438">
            <v>0</v>
          </cell>
          <cell r="T438">
            <v>0</v>
          </cell>
          <cell r="U438">
            <v>0</v>
          </cell>
          <cell r="V438">
            <v>0</v>
          </cell>
        </row>
        <row r="439">
          <cell r="C439" t="str">
            <v>1998NE</v>
          </cell>
          <cell r="D439">
            <v>5250</v>
          </cell>
          <cell r="E439">
            <v>1239750</v>
          </cell>
          <cell r="F439">
            <v>82800</v>
          </cell>
          <cell r="G439">
            <v>400</v>
          </cell>
          <cell r="H439">
            <v>56400</v>
          </cell>
          <cell r="I439">
            <v>5320</v>
          </cell>
          <cell r="J439">
            <v>288</v>
          </cell>
          <cell r="K439">
            <v>0</v>
          </cell>
          <cell r="L439">
            <v>0</v>
          </cell>
          <cell r="M439">
            <v>165000</v>
          </cell>
          <cell r="N439">
            <v>0</v>
          </cell>
          <cell r="O439">
            <v>3666</v>
          </cell>
          <cell r="P439">
            <v>0</v>
          </cell>
          <cell r="Q439">
            <v>0</v>
          </cell>
          <cell r="R439">
            <v>0</v>
          </cell>
          <cell r="S439">
            <v>0</v>
          </cell>
          <cell r="T439">
            <v>0</v>
          </cell>
          <cell r="U439">
            <v>0</v>
          </cell>
          <cell r="V439">
            <v>0</v>
          </cell>
        </row>
        <row r="440">
          <cell r="C440" t="str">
            <v>1998NV</v>
          </cell>
          <cell r="D440">
            <v>1196</v>
          </cell>
          <cell r="E440">
            <v>0</v>
          </cell>
          <cell r="F440">
            <v>1240</v>
          </cell>
          <cell r="G440">
            <v>400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row>
        <row r="441">
          <cell r="C441" t="str">
            <v>1998NH</v>
          </cell>
          <cell r="D441">
            <v>24</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row>
        <row r="442">
          <cell r="C442" t="str">
            <v>1998NJ</v>
          </cell>
          <cell r="D442">
            <v>84</v>
          </cell>
          <cell r="E442">
            <v>9016</v>
          </cell>
          <cell r="F442">
            <v>2288</v>
          </cell>
          <cell r="G442">
            <v>232</v>
          </cell>
          <cell r="H442">
            <v>0</v>
          </cell>
          <cell r="I442">
            <v>0</v>
          </cell>
          <cell r="J442">
            <v>165</v>
          </cell>
          <cell r="K442">
            <v>0</v>
          </cell>
          <cell r="L442">
            <v>0</v>
          </cell>
          <cell r="M442">
            <v>3164</v>
          </cell>
          <cell r="N442">
            <v>0</v>
          </cell>
          <cell r="O442">
            <v>0</v>
          </cell>
          <cell r="P442">
            <v>0</v>
          </cell>
          <cell r="Q442">
            <v>0</v>
          </cell>
          <cell r="R442">
            <v>0</v>
          </cell>
          <cell r="S442">
            <v>0</v>
          </cell>
          <cell r="T442">
            <v>0</v>
          </cell>
          <cell r="U442">
            <v>0</v>
          </cell>
          <cell r="V442">
            <v>0</v>
          </cell>
        </row>
        <row r="443">
          <cell r="C443" t="str">
            <v>1998NM</v>
          </cell>
          <cell r="D443">
            <v>1377</v>
          </cell>
          <cell r="E443">
            <v>14025</v>
          </cell>
          <cell r="F443">
            <v>7950</v>
          </cell>
          <cell r="G443">
            <v>0</v>
          </cell>
          <cell r="H443">
            <v>2925</v>
          </cell>
          <cell r="I443">
            <v>0</v>
          </cell>
          <cell r="J443">
            <v>0</v>
          </cell>
          <cell r="K443">
            <v>0</v>
          </cell>
          <cell r="L443">
            <v>0</v>
          </cell>
          <cell r="M443">
            <v>0</v>
          </cell>
          <cell r="N443">
            <v>62040</v>
          </cell>
          <cell r="O443">
            <v>171</v>
          </cell>
          <cell r="P443">
            <v>0</v>
          </cell>
          <cell r="Q443">
            <v>0</v>
          </cell>
          <cell r="R443">
            <v>0</v>
          </cell>
          <cell r="S443">
            <v>0</v>
          </cell>
          <cell r="T443">
            <v>0</v>
          </cell>
          <cell r="U443">
            <v>0</v>
          </cell>
          <cell r="V443">
            <v>0</v>
          </cell>
        </row>
        <row r="444">
          <cell r="C444" t="str">
            <v>1998NY</v>
          </cell>
          <cell r="D444">
            <v>1470</v>
          </cell>
          <cell r="E444">
            <v>66120</v>
          </cell>
          <cell r="F444">
            <v>7020</v>
          </cell>
          <cell r="G444">
            <v>0</v>
          </cell>
          <cell r="H444">
            <v>0</v>
          </cell>
          <cell r="I444">
            <v>6510</v>
          </cell>
          <cell r="J444">
            <v>525</v>
          </cell>
          <cell r="K444">
            <v>0</v>
          </cell>
          <cell r="L444">
            <v>0</v>
          </cell>
          <cell r="M444">
            <v>3977</v>
          </cell>
          <cell r="N444">
            <v>0</v>
          </cell>
          <cell r="O444">
            <v>426</v>
          </cell>
          <cell r="P444">
            <v>0</v>
          </cell>
          <cell r="Q444">
            <v>0</v>
          </cell>
          <cell r="R444">
            <v>0</v>
          </cell>
          <cell r="S444">
            <v>0</v>
          </cell>
          <cell r="T444">
            <v>0</v>
          </cell>
          <cell r="U444">
            <v>0</v>
          </cell>
          <cell r="V444">
            <v>0</v>
          </cell>
        </row>
        <row r="445">
          <cell r="C445" t="str">
            <v>1998NC</v>
          </cell>
          <cell r="D445">
            <v>56</v>
          </cell>
          <cell r="E445">
            <v>53900</v>
          </cell>
          <cell r="F445">
            <v>27880</v>
          </cell>
          <cell r="G445">
            <v>1140</v>
          </cell>
          <cell r="H445">
            <v>540</v>
          </cell>
          <cell r="I445">
            <v>1160</v>
          </cell>
          <cell r="J445">
            <v>440</v>
          </cell>
          <cell r="K445">
            <v>0</v>
          </cell>
          <cell r="L445">
            <v>0</v>
          </cell>
          <cell r="M445">
            <v>38205</v>
          </cell>
          <cell r="N445">
            <v>397155</v>
          </cell>
          <cell r="O445">
            <v>0</v>
          </cell>
          <cell r="P445">
            <v>0</v>
          </cell>
          <cell r="Q445">
            <v>0</v>
          </cell>
          <cell r="R445">
            <v>0</v>
          </cell>
          <cell r="S445">
            <v>0</v>
          </cell>
          <cell r="T445">
            <v>0</v>
          </cell>
          <cell r="U445">
            <v>0</v>
          </cell>
          <cell r="V445">
            <v>0</v>
          </cell>
        </row>
        <row r="446">
          <cell r="C446" t="str">
            <v>1998ND</v>
          </cell>
          <cell r="D446">
            <v>2450</v>
          </cell>
          <cell r="E446">
            <v>88275</v>
          </cell>
          <cell r="F446">
            <v>307700</v>
          </cell>
          <cell r="G446">
            <v>106150</v>
          </cell>
          <cell r="H446">
            <v>0</v>
          </cell>
          <cell r="I446">
            <v>25200</v>
          </cell>
          <cell r="J446">
            <v>2562</v>
          </cell>
          <cell r="K446">
            <v>0</v>
          </cell>
          <cell r="L446">
            <v>0</v>
          </cell>
          <cell r="M446">
            <v>47200</v>
          </cell>
          <cell r="N446">
            <v>0</v>
          </cell>
          <cell r="O446">
            <v>9798</v>
          </cell>
          <cell r="P446">
            <v>1766</v>
          </cell>
          <cell r="Q446">
            <v>0</v>
          </cell>
          <cell r="R446">
            <v>267</v>
          </cell>
          <cell r="S446">
            <v>0</v>
          </cell>
          <cell r="T446">
            <v>0</v>
          </cell>
          <cell r="U446">
            <v>0</v>
          </cell>
          <cell r="V446">
            <v>0</v>
          </cell>
        </row>
        <row r="447">
          <cell r="C447" t="str">
            <v>1998OH</v>
          </cell>
          <cell r="D447">
            <v>2065</v>
          </cell>
          <cell r="E447">
            <v>470940</v>
          </cell>
          <cell r="F447">
            <v>74240</v>
          </cell>
          <cell r="G447">
            <v>0</v>
          </cell>
          <cell r="H447">
            <v>0</v>
          </cell>
          <cell r="I447">
            <v>6500</v>
          </cell>
          <cell r="J447">
            <v>140</v>
          </cell>
          <cell r="K447">
            <v>0</v>
          </cell>
          <cell r="L447">
            <v>0</v>
          </cell>
          <cell r="M447">
            <v>193160</v>
          </cell>
          <cell r="N447">
            <v>0</v>
          </cell>
          <cell r="O447">
            <v>0</v>
          </cell>
          <cell r="P447">
            <v>0</v>
          </cell>
          <cell r="Q447">
            <v>0</v>
          </cell>
          <cell r="R447">
            <v>0</v>
          </cell>
          <cell r="S447">
            <v>0</v>
          </cell>
          <cell r="T447">
            <v>0</v>
          </cell>
          <cell r="U447">
            <v>0</v>
          </cell>
          <cell r="V447">
            <v>0</v>
          </cell>
        </row>
        <row r="448">
          <cell r="C448" t="str">
            <v>1998OK</v>
          </cell>
          <cell r="D448">
            <v>910</v>
          </cell>
          <cell r="E448">
            <v>28600</v>
          </cell>
          <cell r="F448">
            <v>198900</v>
          </cell>
          <cell r="G448">
            <v>235</v>
          </cell>
          <cell r="H448">
            <v>15300</v>
          </cell>
          <cell r="I448">
            <v>820</v>
          </cell>
          <cell r="J448">
            <v>1540</v>
          </cell>
          <cell r="K448">
            <v>0</v>
          </cell>
          <cell r="L448">
            <v>0</v>
          </cell>
          <cell r="M448">
            <v>6120</v>
          </cell>
          <cell r="N448">
            <v>159750</v>
          </cell>
          <cell r="O448">
            <v>0</v>
          </cell>
          <cell r="P448">
            <v>0</v>
          </cell>
          <cell r="Q448">
            <v>0</v>
          </cell>
          <cell r="R448">
            <v>0</v>
          </cell>
          <cell r="S448">
            <v>0</v>
          </cell>
          <cell r="T448">
            <v>0</v>
          </cell>
          <cell r="U448">
            <v>4.65E-2</v>
          </cell>
          <cell r="V448">
            <v>0</v>
          </cell>
          <cell r="W448">
            <v>0.9</v>
          </cell>
        </row>
        <row r="449">
          <cell r="C449" t="str">
            <v>1998OR</v>
          </cell>
          <cell r="D449">
            <v>1920</v>
          </cell>
          <cell r="E449">
            <v>6270</v>
          </cell>
          <cell r="F449">
            <v>57490</v>
          </cell>
          <cell r="G449">
            <v>8060</v>
          </cell>
          <cell r="H449">
            <v>0</v>
          </cell>
          <cell r="I449">
            <v>3850</v>
          </cell>
          <cell r="J449">
            <v>0</v>
          </cell>
          <cell r="K449">
            <v>0</v>
          </cell>
          <cell r="L449">
            <v>0</v>
          </cell>
          <cell r="M449">
            <v>0</v>
          </cell>
          <cell r="N449">
            <v>0</v>
          </cell>
          <cell r="O449">
            <v>152</v>
          </cell>
          <cell r="P449">
            <v>0</v>
          </cell>
          <cell r="Q449">
            <v>6</v>
          </cell>
          <cell r="R449">
            <v>0</v>
          </cell>
          <cell r="S449">
            <v>0</v>
          </cell>
          <cell r="T449">
            <v>0</v>
          </cell>
          <cell r="U449">
            <v>0</v>
          </cell>
          <cell r="V449">
            <v>0</v>
          </cell>
        </row>
        <row r="450">
          <cell r="C450" t="str">
            <v>1998PA</v>
          </cell>
          <cell r="D450">
            <v>1960</v>
          </cell>
          <cell r="E450">
            <v>116550</v>
          </cell>
          <cell r="F450">
            <v>9690</v>
          </cell>
          <cell r="G450">
            <v>5025</v>
          </cell>
          <cell r="H450">
            <v>0</v>
          </cell>
          <cell r="I450">
            <v>8480</v>
          </cell>
          <cell r="J450">
            <v>495</v>
          </cell>
          <cell r="K450">
            <v>0</v>
          </cell>
          <cell r="L450">
            <v>0</v>
          </cell>
          <cell r="M450">
            <v>15800</v>
          </cell>
          <cell r="N450">
            <v>0</v>
          </cell>
          <cell r="O450">
            <v>0</v>
          </cell>
          <cell r="P450">
            <v>0</v>
          </cell>
          <cell r="Q450">
            <v>0</v>
          </cell>
          <cell r="R450">
            <v>0</v>
          </cell>
          <cell r="S450">
            <v>0</v>
          </cell>
          <cell r="T450">
            <v>0</v>
          </cell>
          <cell r="U450">
            <v>0</v>
          </cell>
          <cell r="V450">
            <v>0</v>
          </cell>
        </row>
        <row r="451">
          <cell r="C451" t="str">
            <v>1998RI</v>
          </cell>
          <cell r="D451">
            <v>6</v>
          </cell>
          <cell r="E451">
            <v>0</v>
          </cell>
          <cell r="F451">
            <v>0</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row>
        <row r="452">
          <cell r="C452" t="str">
            <v>1998SC</v>
          </cell>
          <cell r="D452">
            <v>0</v>
          </cell>
          <cell r="E452">
            <v>11000</v>
          </cell>
          <cell r="F452">
            <v>7680</v>
          </cell>
          <cell r="G452">
            <v>141</v>
          </cell>
          <cell r="H452">
            <v>105</v>
          </cell>
          <cell r="I452">
            <v>1125</v>
          </cell>
          <cell r="J452">
            <v>400</v>
          </cell>
          <cell r="K452">
            <v>0</v>
          </cell>
          <cell r="L452">
            <v>0</v>
          </cell>
          <cell r="M452">
            <v>10500</v>
          </cell>
          <cell r="N452">
            <v>28175</v>
          </cell>
          <cell r="O452">
            <v>0</v>
          </cell>
          <cell r="P452">
            <v>0</v>
          </cell>
          <cell r="Q452">
            <v>0</v>
          </cell>
          <cell r="R452">
            <v>0</v>
          </cell>
          <cell r="S452">
            <v>0</v>
          </cell>
          <cell r="T452">
            <v>0</v>
          </cell>
          <cell r="U452">
            <v>0</v>
          </cell>
          <cell r="V452">
            <v>0</v>
          </cell>
        </row>
        <row r="453">
          <cell r="C453" t="str">
            <v>1998SD</v>
          </cell>
          <cell r="D453">
            <v>5760</v>
          </cell>
          <cell r="E453">
            <v>429550</v>
          </cell>
          <cell r="F453">
            <v>120884</v>
          </cell>
          <cell r="G453">
            <v>4560</v>
          </cell>
          <cell r="H453">
            <v>9940</v>
          </cell>
          <cell r="I453">
            <v>20100</v>
          </cell>
          <cell r="J453">
            <v>1400</v>
          </cell>
          <cell r="K453">
            <v>0</v>
          </cell>
          <cell r="L453">
            <v>0</v>
          </cell>
          <cell r="M453">
            <v>132600</v>
          </cell>
          <cell r="N453">
            <v>0</v>
          </cell>
          <cell r="O453">
            <v>0</v>
          </cell>
          <cell r="P453">
            <v>0</v>
          </cell>
          <cell r="Q453">
            <v>0</v>
          </cell>
          <cell r="R453">
            <v>0</v>
          </cell>
          <cell r="S453">
            <v>0</v>
          </cell>
          <cell r="T453">
            <v>0</v>
          </cell>
          <cell r="U453">
            <v>0</v>
          </cell>
          <cell r="V453">
            <v>0</v>
          </cell>
        </row>
        <row r="454">
          <cell r="C454" t="str">
            <v>1998TN</v>
          </cell>
          <cell r="D454">
            <v>119</v>
          </cell>
          <cell r="E454">
            <v>59520</v>
          </cell>
          <cell r="F454">
            <v>15170</v>
          </cell>
          <cell r="G454">
            <v>0</v>
          </cell>
          <cell r="H454">
            <v>1120</v>
          </cell>
          <cell r="I454">
            <v>0</v>
          </cell>
          <cell r="J454">
            <v>0</v>
          </cell>
          <cell r="K454">
            <v>0</v>
          </cell>
          <cell r="L454">
            <v>0</v>
          </cell>
          <cell r="M454">
            <v>35090</v>
          </cell>
          <cell r="N454">
            <v>0</v>
          </cell>
          <cell r="O454">
            <v>0</v>
          </cell>
          <cell r="P454">
            <v>0</v>
          </cell>
          <cell r="Q454">
            <v>0</v>
          </cell>
          <cell r="R454">
            <v>0</v>
          </cell>
          <cell r="S454">
            <v>0</v>
          </cell>
          <cell r="T454">
            <v>0</v>
          </cell>
          <cell r="U454">
            <v>0</v>
          </cell>
          <cell r="V454">
            <v>0</v>
          </cell>
        </row>
        <row r="455">
          <cell r="C455" t="str">
            <v>1998TX</v>
          </cell>
          <cell r="D455">
            <v>630</v>
          </cell>
          <cell r="E455">
            <v>185000</v>
          </cell>
          <cell r="F455">
            <v>136500</v>
          </cell>
          <cell r="G455">
            <v>215</v>
          </cell>
          <cell r="H455">
            <v>105800</v>
          </cell>
          <cell r="I455">
            <v>6890</v>
          </cell>
          <cell r="J455">
            <v>400</v>
          </cell>
          <cell r="K455">
            <v>0</v>
          </cell>
          <cell r="L455">
            <v>15846</v>
          </cell>
          <cell r="M455">
            <v>5940</v>
          </cell>
          <cell r="N455">
            <v>917900</v>
          </cell>
          <cell r="O455">
            <v>135</v>
          </cell>
          <cell r="P455">
            <v>0</v>
          </cell>
          <cell r="Q455">
            <v>0</v>
          </cell>
          <cell r="R455">
            <v>0</v>
          </cell>
          <cell r="S455">
            <v>0</v>
          </cell>
          <cell r="T455">
            <v>1064</v>
          </cell>
          <cell r="U455">
            <v>283</v>
          </cell>
          <cell r="V455">
            <v>113</v>
          </cell>
          <cell r="W455">
            <v>0.01</v>
          </cell>
        </row>
        <row r="456">
          <cell r="C456" t="str">
            <v>1998UT</v>
          </cell>
          <cell r="D456">
            <v>2398</v>
          </cell>
          <cell r="E456">
            <v>3384</v>
          </cell>
          <cell r="F456">
            <v>8834</v>
          </cell>
          <cell r="G456">
            <v>7055</v>
          </cell>
          <cell r="H456">
            <v>0</v>
          </cell>
          <cell r="I456">
            <v>490</v>
          </cell>
          <cell r="J456">
            <v>0</v>
          </cell>
          <cell r="K456">
            <v>0</v>
          </cell>
          <cell r="L456">
            <v>0</v>
          </cell>
          <cell r="M456">
            <v>0</v>
          </cell>
          <cell r="N456">
            <v>0</v>
          </cell>
          <cell r="O456">
            <v>30</v>
          </cell>
          <cell r="P456">
            <v>0</v>
          </cell>
          <cell r="Q456">
            <v>0</v>
          </cell>
          <cell r="R456">
            <v>0</v>
          </cell>
          <cell r="S456">
            <v>0</v>
          </cell>
          <cell r="T456">
            <v>0</v>
          </cell>
          <cell r="U456">
            <v>0</v>
          </cell>
          <cell r="V456">
            <v>0</v>
          </cell>
        </row>
        <row r="457">
          <cell r="C457" t="str">
            <v>1998VT</v>
          </cell>
          <cell r="D457">
            <v>104</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row>
        <row r="458">
          <cell r="C458" t="str">
            <v>1998VA</v>
          </cell>
          <cell r="D458">
            <v>324</v>
          </cell>
          <cell r="E458">
            <v>25200</v>
          </cell>
          <cell r="F458">
            <v>11025</v>
          </cell>
          <cell r="G458">
            <v>4270</v>
          </cell>
          <cell r="H458">
            <v>0</v>
          </cell>
          <cell r="I458">
            <v>0</v>
          </cell>
          <cell r="J458">
            <v>175</v>
          </cell>
          <cell r="K458">
            <v>0</v>
          </cell>
          <cell r="L458">
            <v>0</v>
          </cell>
          <cell r="M458">
            <v>11040</v>
          </cell>
          <cell r="N458">
            <v>221250</v>
          </cell>
          <cell r="O458">
            <v>0</v>
          </cell>
          <cell r="P458">
            <v>0</v>
          </cell>
          <cell r="Q458">
            <v>0</v>
          </cell>
          <cell r="R458">
            <v>0</v>
          </cell>
          <cell r="S458">
            <v>0</v>
          </cell>
          <cell r="T458">
            <v>0</v>
          </cell>
          <cell r="U458">
            <v>0</v>
          </cell>
          <cell r="V458">
            <v>0</v>
          </cell>
        </row>
        <row r="459">
          <cell r="C459" t="str">
            <v>1998WA</v>
          </cell>
          <cell r="D459">
            <v>2400</v>
          </cell>
          <cell r="E459">
            <v>19000</v>
          </cell>
          <cell r="F459">
            <v>157425</v>
          </cell>
          <cell r="G459">
            <v>33800</v>
          </cell>
          <cell r="H459">
            <v>0</v>
          </cell>
          <cell r="I459">
            <v>1125</v>
          </cell>
          <cell r="J459">
            <v>0</v>
          </cell>
          <cell r="K459">
            <v>0</v>
          </cell>
          <cell r="L459">
            <v>0</v>
          </cell>
          <cell r="M459">
            <v>0</v>
          </cell>
          <cell r="N459">
            <v>0</v>
          </cell>
          <cell r="O459">
            <v>890</v>
          </cell>
          <cell r="P459">
            <v>2344</v>
          </cell>
          <cell r="Q459">
            <v>0</v>
          </cell>
          <cell r="R459">
            <v>837</v>
          </cell>
          <cell r="S459">
            <v>426</v>
          </cell>
          <cell r="T459">
            <v>0</v>
          </cell>
          <cell r="U459">
            <v>0</v>
          </cell>
          <cell r="V459">
            <v>0</v>
          </cell>
        </row>
        <row r="460">
          <cell r="C460" t="str">
            <v>1998WV</v>
          </cell>
          <cell r="D460">
            <v>150</v>
          </cell>
          <cell r="E460">
            <v>2720</v>
          </cell>
          <cell r="F460">
            <v>456</v>
          </cell>
          <cell r="G460">
            <v>0</v>
          </cell>
          <cell r="H460">
            <v>0</v>
          </cell>
          <cell r="I460">
            <v>200</v>
          </cell>
          <cell r="J460">
            <v>0</v>
          </cell>
          <cell r="K460">
            <v>0</v>
          </cell>
          <cell r="L460">
            <v>0</v>
          </cell>
          <cell r="M460">
            <v>0</v>
          </cell>
          <cell r="N460">
            <v>0</v>
          </cell>
          <cell r="O460">
            <v>0</v>
          </cell>
          <cell r="P460">
            <v>0</v>
          </cell>
          <cell r="Q460">
            <v>0</v>
          </cell>
          <cell r="R460">
            <v>0</v>
          </cell>
          <cell r="S460">
            <v>0</v>
          </cell>
          <cell r="T460">
            <v>0</v>
          </cell>
          <cell r="U460">
            <v>0</v>
          </cell>
          <cell r="V460">
            <v>0</v>
          </cell>
        </row>
        <row r="461">
          <cell r="C461" t="str">
            <v>1998WI</v>
          </cell>
          <cell r="D461">
            <v>5320</v>
          </cell>
          <cell r="E461">
            <v>404150</v>
          </cell>
          <cell r="F461">
            <v>7635</v>
          </cell>
          <cell r="G461">
            <v>3380</v>
          </cell>
          <cell r="H461">
            <v>0</v>
          </cell>
          <cell r="I461">
            <v>18300</v>
          </cell>
          <cell r="J461">
            <v>360</v>
          </cell>
          <cell r="K461">
            <v>0</v>
          </cell>
          <cell r="L461">
            <v>0</v>
          </cell>
          <cell r="M461">
            <v>51700</v>
          </cell>
          <cell r="N461">
            <v>0</v>
          </cell>
          <cell r="O461">
            <v>115</v>
          </cell>
          <cell r="P461">
            <v>0</v>
          </cell>
          <cell r="Q461">
            <v>0</v>
          </cell>
          <cell r="R461">
            <v>0</v>
          </cell>
          <cell r="S461">
            <v>0</v>
          </cell>
          <cell r="T461">
            <v>0</v>
          </cell>
          <cell r="U461">
            <v>0</v>
          </cell>
          <cell r="V461">
            <v>0</v>
          </cell>
        </row>
        <row r="462">
          <cell r="C462" t="str">
            <v>1998WY</v>
          </cell>
          <cell r="D462">
            <v>1560</v>
          </cell>
          <cell r="E462">
            <v>7620</v>
          </cell>
          <cell r="F462">
            <v>6790</v>
          </cell>
          <cell r="G462">
            <v>7140</v>
          </cell>
          <cell r="H462">
            <v>0</v>
          </cell>
          <cell r="I462">
            <v>1342</v>
          </cell>
          <cell r="J462">
            <v>0</v>
          </cell>
          <cell r="K462">
            <v>0</v>
          </cell>
          <cell r="L462">
            <v>0</v>
          </cell>
          <cell r="M462">
            <v>0</v>
          </cell>
          <cell r="N462">
            <v>0</v>
          </cell>
          <cell r="O462">
            <v>808</v>
          </cell>
          <cell r="P462">
            <v>0</v>
          </cell>
          <cell r="Q462">
            <v>0</v>
          </cell>
          <cell r="R462">
            <v>0</v>
          </cell>
          <cell r="S462">
            <v>0</v>
          </cell>
          <cell r="T462">
            <v>0</v>
          </cell>
          <cell r="U462">
            <v>0</v>
          </cell>
          <cell r="V462">
            <v>0</v>
          </cell>
        </row>
        <row r="463">
          <cell r="C463" t="str">
            <v>1998US</v>
          </cell>
          <cell r="D463">
            <v>81992</v>
          </cell>
          <cell r="E463">
            <v>9758685</v>
          </cell>
          <cell r="F463">
            <v>2547321</v>
          </cell>
          <cell r="G463">
            <v>351691.9</v>
          </cell>
          <cell r="H463">
            <v>519933</v>
          </cell>
          <cell r="I463">
            <v>165768</v>
          </cell>
          <cell r="J463">
            <v>12161</v>
          </cell>
          <cell r="K463">
            <v>0</v>
          </cell>
          <cell r="L463">
            <v>184443</v>
          </cell>
          <cell r="M463">
            <v>2741014</v>
          </cell>
          <cell r="N463">
            <v>3963440</v>
          </cell>
          <cell r="O463">
            <v>30418</v>
          </cell>
          <cell r="P463">
            <v>5934</v>
          </cell>
          <cell r="Q463">
            <v>104</v>
          </cell>
          <cell r="R463">
            <v>1938</v>
          </cell>
          <cell r="S463">
            <v>674</v>
          </cell>
          <cell r="T463">
            <v>34707</v>
          </cell>
        </row>
        <row r="464">
          <cell r="C464" t="str">
            <v>1999AL</v>
          </cell>
          <cell r="D464">
            <v>0</v>
          </cell>
          <cell r="E464">
            <v>20600</v>
          </cell>
          <cell r="F464">
            <v>4320</v>
          </cell>
          <cell r="G464">
            <v>0</v>
          </cell>
          <cell r="H464">
            <v>294</v>
          </cell>
          <cell r="I464">
            <v>880</v>
          </cell>
          <cell r="J464">
            <v>0</v>
          </cell>
          <cell r="K464">
            <v>0</v>
          </cell>
          <cell r="L464">
            <v>0</v>
          </cell>
          <cell r="M464">
            <v>3200</v>
          </cell>
          <cell r="N464">
            <v>448050</v>
          </cell>
          <cell r="O464">
            <v>0</v>
          </cell>
          <cell r="P464">
            <v>0</v>
          </cell>
          <cell r="Q464">
            <v>0</v>
          </cell>
          <cell r="R464">
            <v>0</v>
          </cell>
          <cell r="S464">
            <v>0</v>
          </cell>
          <cell r="T464">
            <v>0</v>
          </cell>
          <cell r="U464">
            <v>0</v>
          </cell>
          <cell r="V464">
            <v>0</v>
          </cell>
        </row>
        <row r="465">
          <cell r="C465" t="str">
            <v>1999AK</v>
          </cell>
          <cell r="D465">
            <v>0</v>
          </cell>
          <cell r="E465">
            <v>0</v>
          </cell>
          <cell r="F465">
            <v>0</v>
          </cell>
          <cell r="G465">
            <v>154.80000000000001</v>
          </cell>
          <cell r="H465">
            <v>0</v>
          </cell>
          <cell r="I465">
            <v>62100</v>
          </cell>
          <cell r="J465">
            <v>0</v>
          </cell>
          <cell r="K465">
            <v>0</v>
          </cell>
          <cell r="L465">
            <v>0</v>
          </cell>
          <cell r="M465">
            <v>0</v>
          </cell>
          <cell r="N465">
            <v>0</v>
          </cell>
          <cell r="O465">
            <v>0</v>
          </cell>
          <cell r="P465">
            <v>0</v>
          </cell>
          <cell r="Q465">
            <v>0</v>
          </cell>
          <cell r="R465">
            <v>0</v>
          </cell>
          <cell r="S465">
            <v>0</v>
          </cell>
          <cell r="T465">
            <v>0</v>
          </cell>
          <cell r="U465">
            <v>0</v>
          </cell>
          <cell r="V465">
            <v>0</v>
          </cell>
        </row>
        <row r="466">
          <cell r="C466" t="str">
            <v>1999AZ</v>
          </cell>
          <cell r="D466">
            <v>1580</v>
          </cell>
          <cell r="E466">
            <v>5850</v>
          </cell>
          <cell r="F466">
            <v>8325</v>
          </cell>
          <cell r="G466">
            <v>7068</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row>
        <row r="467">
          <cell r="C467" t="str">
            <v>1999AR</v>
          </cell>
          <cell r="D467">
            <v>50</v>
          </cell>
          <cell r="E467">
            <v>13000</v>
          </cell>
          <cell r="F467">
            <v>51520</v>
          </cell>
          <cell r="G467">
            <v>0</v>
          </cell>
          <cell r="H467">
            <v>9750</v>
          </cell>
          <cell r="I467">
            <v>1001</v>
          </cell>
          <cell r="J467">
            <v>0</v>
          </cell>
          <cell r="K467">
            <v>0</v>
          </cell>
          <cell r="L467">
            <v>95054</v>
          </cell>
          <cell r="M467">
            <v>92400</v>
          </cell>
          <cell r="N467">
            <v>0</v>
          </cell>
          <cell r="O467">
            <v>0</v>
          </cell>
          <cell r="P467">
            <v>0</v>
          </cell>
          <cell r="Q467">
            <v>0</v>
          </cell>
          <cell r="R467">
            <v>0</v>
          </cell>
          <cell r="S467">
            <v>0</v>
          </cell>
          <cell r="T467">
            <v>0</v>
          </cell>
          <cell r="U467">
            <v>1625</v>
          </cell>
          <cell r="V467">
            <v>0.5</v>
          </cell>
          <cell r="W467">
            <v>0.13</v>
          </cell>
        </row>
        <row r="468">
          <cell r="C468" t="str">
            <v>1999CA</v>
          </cell>
          <cell r="D468">
            <v>7245</v>
          </cell>
          <cell r="E468">
            <v>31450</v>
          </cell>
          <cell r="F468">
            <v>37785</v>
          </cell>
          <cell r="G468">
            <v>6400</v>
          </cell>
          <cell r="H468">
            <v>0</v>
          </cell>
          <cell r="I468">
            <v>2125</v>
          </cell>
          <cell r="J468">
            <v>0</v>
          </cell>
          <cell r="K468">
            <v>0</v>
          </cell>
          <cell r="L468">
            <v>36690</v>
          </cell>
          <cell r="M468">
            <v>0</v>
          </cell>
          <cell r="N468">
            <v>0</v>
          </cell>
          <cell r="O468">
            <v>2455</v>
          </cell>
          <cell r="P468">
            <v>0</v>
          </cell>
          <cell r="Q468">
            <v>0</v>
          </cell>
          <cell r="R468">
            <v>0</v>
          </cell>
          <cell r="S468">
            <v>0</v>
          </cell>
          <cell r="T468">
            <v>0</v>
          </cell>
          <cell r="U468">
            <v>505</v>
          </cell>
          <cell r="V468">
            <v>0</v>
          </cell>
          <cell r="W468">
            <v>0.27</v>
          </cell>
        </row>
        <row r="469">
          <cell r="C469" t="str">
            <v>1999CO</v>
          </cell>
          <cell r="D469">
            <v>3420</v>
          </cell>
          <cell r="E469">
            <v>159040</v>
          </cell>
          <cell r="F469">
            <v>107200</v>
          </cell>
          <cell r="G469">
            <v>9030</v>
          </cell>
          <cell r="H469">
            <v>8610</v>
          </cell>
          <cell r="I469">
            <v>1300</v>
          </cell>
          <cell r="J469">
            <v>66</v>
          </cell>
          <cell r="K469">
            <v>8160</v>
          </cell>
          <cell r="L469">
            <v>0</v>
          </cell>
          <cell r="M469">
            <v>0</v>
          </cell>
          <cell r="N469">
            <v>0</v>
          </cell>
          <cell r="O469">
            <v>2755</v>
          </cell>
          <cell r="P469">
            <v>0</v>
          </cell>
          <cell r="Q469">
            <v>0</v>
          </cell>
          <cell r="R469">
            <v>0</v>
          </cell>
          <cell r="S469">
            <v>0</v>
          </cell>
          <cell r="T469">
            <v>0</v>
          </cell>
          <cell r="U469">
            <v>0</v>
          </cell>
          <cell r="V469">
            <v>0</v>
          </cell>
        </row>
        <row r="470">
          <cell r="C470" t="str">
            <v>1999CT</v>
          </cell>
          <cell r="D470">
            <v>19</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row>
        <row r="471">
          <cell r="C471" t="str">
            <v>1999DE</v>
          </cell>
          <cell r="D471">
            <v>27</v>
          </cell>
          <cell r="E471">
            <v>13706</v>
          </cell>
          <cell r="F471">
            <v>3990</v>
          </cell>
          <cell r="G471">
            <v>2184</v>
          </cell>
          <cell r="H471">
            <v>0</v>
          </cell>
          <cell r="I471">
            <v>0</v>
          </cell>
          <cell r="J471">
            <v>0</v>
          </cell>
          <cell r="K471">
            <v>0</v>
          </cell>
          <cell r="L471">
            <v>0</v>
          </cell>
          <cell r="M471">
            <v>5427</v>
          </cell>
          <cell r="N471">
            <v>0</v>
          </cell>
          <cell r="O471">
            <v>0</v>
          </cell>
          <cell r="P471">
            <v>0</v>
          </cell>
          <cell r="Q471">
            <v>0</v>
          </cell>
          <cell r="R471">
            <v>0</v>
          </cell>
          <cell r="S471">
            <v>0</v>
          </cell>
          <cell r="T471">
            <v>0</v>
          </cell>
          <cell r="U471">
            <v>0</v>
          </cell>
          <cell r="V471">
            <v>0</v>
          </cell>
        </row>
        <row r="472">
          <cell r="C472" t="str">
            <v>1999FL</v>
          </cell>
          <cell r="D472">
            <v>0</v>
          </cell>
          <cell r="E472">
            <v>3720</v>
          </cell>
          <cell r="F472">
            <v>520</v>
          </cell>
          <cell r="G472">
            <v>0</v>
          </cell>
          <cell r="H472">
            <v>0</v>
          </cell>
          <cell r="I472">
            <v>0</v>
          </cell>
          <cell r="J472">
            <v>0</v>
          </cell>
          <cell r="K472">
            <v>0</v>
          </cell>
          <cell r="L472">
            <v>793.76569609941885</v>
          </cell>
          <cell r="M472">
            <v>608</v>
          </cell>
          <cell r="N472">
            <v>260380</v>
          </cell>
          <cell r="O472">
            <v>0</v>
          </cell>
          <cell r="P472">
            <v>0</v>
          </cell>
          <cell r="Q472">
            <v>0</v>
          </cell>
          <cell r="R472">
            <v>0</v>
          </cell>
          <cell r="S472">
            <v>0</v>
          </cell>
          <cell r="T472">
            <v>16100</v>
          </cell>
          <cell r="U472">
            <v>18</v>
          </cell>
          <cell r="V472">
            <v>12</v>
          </cell>
          <cell r="W472">
            <v>0</v>
          </cell>
        </row>
        <row r="473">
          <cell r="C473" t="str">
            <v>1999GA</v>
          </cell>
          <cell r="D473">
            <v>0</v>
          </cell>
          <cell r="E473">
            <v>30900</v>
          </cell>
          <cell r="F473">
            <v>9675</v>
          </cell>
          <cell r="G473">
            <v>0</v>
          </cell>
          <cell r="H473">
            <v>1350</v>
          </cell>
          <cell r="I473">
            <v>1375</v>
          </cell>
          <cell r="J473">
            <v>1050</v>
          </cell>
          <cell r="K473">
            <v>0</v>
          </cell>
          <cell r="L473">
            <v>0</v>
          </cell>
          <cell r="M473">
            <v>3610</v>
          </cell>
          <cell r="N473">
            <v>1400800</v>
          </cell>
          <cell r="O473">
            <v>0</v>
          </cell>
          <cell r="P473">
            <v>0</v>
          </cell>
          <cell r="Q473">
            <v>0</v>
          </cell>
          <cell r="R473">
            <v>0</v>
          </cell>
          <cell r="S473">
            <v>0</v>
          </cell>
          <cell r="T473">
            <v>0</v>
          </cell>
          <cell r="U473">
            <v>0</v>
          </cell>
          <cell r="V473">
            <v>0</v>
          </cell>
        </row>
        <row r="474">
          <cell r="C474" t="str">
            <v>1999HI</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2960</v>
          </cell>
          <cell r="U474">
            <v>0</v>
          </cell>
          <cell r="V474">
            <v>0</v>
          </cell>
        </row>
        <row r="475">
          <cell r="C475" t="str">
            <v>1999ID</v>
          </cell>
          <cell r="D475">
            <v>4600</v>
          </cell>
          <cell r="E475">
            <v>8525</v>
          </cell>
          <cell r="F475">
            <v>104520</v>
          </cell>
          <cell r="G475">
            <v>53820</v>
          </cell>
          <cell r="H475">
            <v>0</v>
          </cell>
          <cell r="I475">
            <v>1700</v>
          </cell>
          <cell r="J475">
            <v>0</v>
          </cell>
          <cell r="K475">
            <v>0</v>
          </cell>
          <cell r="L475">
            <v>0</v>
          </cell>
          <cell r="M475">
            <v>0</v>
          </cell>
          <cell r="N475">
            <v>0</v>
          </cell>
          <cell r="O475">
            <v>2112</v>
          </cell>
          <cell r="P475">
            <v>1007</v>
          </cell>
          <cell r="Q475">
            <v>56</v>
          </cell>
          <cell r="R475">
            <v>840</v>
          </cell>
          <cell r="S475">
            <v>340</v>
          </cell>
          <cell r="T475">
            <v>0</v>
          </cell>
          <cell r="U475">
            <v>0</v>
          </cell>
          <cell r="V475">
            <v>0</v>
          </cell>
        </row>
        <row r="476">
          <cell r="C476" t="str">
            <v>1999IL</v>
          </cell>
          <cell r="D476">
            <v>1880</v>
          </cell>
          <cell r="E476">
            <v>1491000</v>
          </cell>
          <cell r="F476">
            <v>60600</v>
          </cell>
          <cell r="G476">
            <v>0</v>
          </cell>
          <cell r="H476">
            <v>9215</v>
          </cell>
          <cell r="I476">
            <v>4260</v>
          </cell>
          <cell r="J476">
            <v>203</v>
          </cell>
          <cell r="K476">
            <v>0</v>
          </cell>
          <cell r="L476">
            <v>0</v>
          </cell>
          <cell r="M476">
            <v>443100</v>
          </cell>
          <cell r="N476">
            <v>0</v>
          </cell>
          <cell r="O476">
            <v>0</v>
          </cell>
          <cell r="P476">
            <v>0</v>
          </cell>
          <cell r="Q476">
            <v>0</v>
          </cell>
          <cell r="R476">
            <v>0</v>
          </cell>
          <cell r="S476">
            <v>0</v>
          </cell>
          <cell r="T476">
            <v>0</v>
          </cell>
          <cell r="U476">
            <v>0</v>
          </cell>
          <cell r="V476">
            <v>0</v>
          </cell>
        </row>
        <row r="477">
          <cell r="C477" t="str">
            <v>1999IN</v>
          </cell>
          <cell r="D477">
            <v>1480</v>
          </cell>
          <cell r="E477">
            <v>748440</v>
          </cell>
          <cell r="F477">
            <v>33660</v>
          </cell>
          <cell r="G477">
            <v>0</v>
          </cell>
          <cell r="H477">
            <v>0</v>
          </cell>
          <cell r="I477">
            <v>1625</v>
          </cell>
          <cell r="J477">
            <v>70</v>
          </cell>
          <cell r="K477">
            <v>0</v>
          </cell>
          <cell r="L477">
            <v>0</v>
          </cell>
          <cell r="M477">
            <v>216450</v>
          </cell>
          <cell r="N477">
            <v>0</v>
          </cell>
          <cell r="O477">
            <v>0</v>
          </cell>
          <cell r="P477">
            <v>0</v>
          </cell>
          <cell r="Q477">
            <v>0</v>
          </cell>
          <cell r="R477">
            <v>0</v>
          </cell>
          <cell r="S477">
            <v>0</v>
          </cell>
          <cell r="T477">
            <v>0</v>
          </cell>
          <cell r="U477">
            <v>0</v>
          </cell>
          <cell r="V477">
            <v>0</v>
          </cell>
        </row>
        <row r="478">
          <cell r="C478" t="str">
            <v>1999IA</v>
          </cell>
          <cell r="D478">
            <v>5070</v>
          </cell>
          <cell r="E478">
            <v>1758200</v>
          </cell>
          <cell r="F478">
            <v>1333</v>
          </cell>
          <cell r="G478">
            <v>0</v>
          </cell>
          <cell r="H478">
            <v>0</v>
          </cell>
          <cell r="I478">
            <v>11375</v>
          </cell>
          <cell r="J478">
            <v>0</v>
          </cell>
          <cell r="K478">
            <v>0</v>
          </cell>
          <cell r="L478">
            <v>0</v>
          </cell>
          <cell r="M478">
            <v>478375</v>
          </cell>
          <cell r="N478">
            <v>0</v>
          </cell>
          <cell r="O478">
            <v>0</v>
          </cell>
          <cell r="P478">
            <v>0</v>
          </cell>
          <cell r="Q478">
            <v>0</v>
          </cell>
          <cell r="R478">
            <v>0</v>
          </cell>
          <cell r="S478">
            <v>0</v>
          </cell>
          <cell r="T478">
            <v>0</v>
          </cell>
          <cell r="U478">
            <v>0</v>
          </cell>
          <cell r="V478">
            <v>0</v>
          </cell>
        </row>
        <row r="479">
          <cell r="C479" t="str">
            <v>1999KS</v>
          </cell>
          <cell r="D479">
            <v>3960</v>
          </cell>
          <cell r="E479">
            <v>420180</v>
          </cell>
          <cell r="F479">
            <v>432400</v>
          </cell>
          <cell r="G479">
            <v>585</v>
          </cell>
          <cell r="H479">
            <v>258400</v>
          </cell>
          <cell r="I479">
            <v>3290</v>
          </cell>
          <cell r="J479">
            <v>300</v>
          </cell>
          <cell r="K479">
            <v>0</v>
          </cell>
          <cell r="L479">
            <v>0</v>
          </cell>
          <cell r="M479">
            <v>81200</v>
          </cell>
          <cell r="N479">
            <v>0</v>
          </cell>
          <cell r="O479">
            <v>387</v>
          </cell>
          <cell r="P479">
            <v>0</v>
          </cell>
          <cell r="Q479">
            <v>0</v>
          </cell>
          <cell r="R479">
            <v>0</v>
          </cell>
          <cell r="S479">
            <v>0</v>
          </cell>
          <cell r="T479">
            <v>0</v>
          </cell>
          <cell r="U479">
            <v>0</v>
          </cell>
          <cell r="V479">
            <v>0</v>
          </cell>
        </row>
        <row r="480">
          <cell r="C480" t="str">
            <v>1999KY</v>
          </cell>
          <cell r="D480">
            <v>667</v>
          </cell>
          <cell r="E480">
            <v>123900</v>
          </cell>
          <cell r="F480">
            <v>24600</v>
          </cell>
          <cell r="G480">
            <v>640</v>
          </cell>
          <cell r="H480">
            <v>640</v>
          </cell>
          <cell r="I480">
            <v>0</v>
          </cell>
          <cell r="J480">
            <v>0</v>
          </cell>
          <cell r="K480">
            <v>0</v>
          </cell>
          <cell r="L480">
            <v>0</v>
          </cell>
          <cell r="M480">
            <v>24360</v>
          </cell>
          <cell r="N480">
            <v>0</v>
          </cell>
          <cell r="O480">
            <v>0</v>
          </cell>
          <cell r="P480">
            <v>0</v>
          </cell>
          <cell r="Q480">
            <v>0</v>
          </cell>
          <cell r="R480">
            <v>0</v>
          </cell>
          <cell r="S480">
            <v>0</v>
          </cell>
          <cell r="T480">
            <v>0</v>
          </cell>
          <cell r="U480">
            <v>0</v>
          </cell>
          <cell r="V480">
            <v>0</v>
          </cell>
        </row>
        <row r="481">
          <cell r="C481" t="str">
            <v>1999LA</v>
          </cell>
          <cell r="D481">
            <v>0</v>
          </cell>
          <cell r="E481">
            <v>39930</v>
          </cell>
          <cell r="F481">
            <v>4935</v>
          </cell>
          <cell r="G481">
            <v>0</v>
          </cell>
          <cell r="H481">
            <v>19270</v>
          </cell>
          <cell r="I481">
            <v>0</v>
          </cell>
          <cell r="J481">
            <v>0</v>
          </cell>
          <cell r="K481">
            <v>0</v>
          </cell>
          <cell r="L481">
            <v>30825</v>
          </cell>
          <cell r="M481">
            <v>26730</v>
          </cell>
          <cell r="N481">
            <v>0</v>
          </cell>
          <cell r="O481">
            <v>0</v>
          </cell>
          <cell r="P481">
            <v>0</v>
          </cell>
          <cell r="Q481">
            <v>0</v>
          </cell>
          <cell r="R481">
            <v>0</v>
          </cell>
          <cell r="S481">
            <v>0</v>
          </cell>
          <cell r="T481">
            <v>15206</v>
          </cell>
          <cell r="U481">
            <v>616</v>
          </cell>
          <cell r="V481">
            <v>185</v>
          </cell>
          <cell r="W481">
            <v>0</v>
          </cell>
        </row>
        <row r="482">
          <cell r="C482" t="str">
            <v>1999ME</v>
          </cell>
          <cell r="D482">
            <v>20</v>
          </cell>
          <cell r="E482">
            <v>0</v>
          </cell>
          <cell r="F482">
            <v>0</v>
          </cell>
          <cell r="G482">
            <v>0</v>
          </cell>
          <cell r="H482">
            <v>0</v>
          </cell>
          <cell r="I482">
            <v>2160</v>
          </cell>
          <cell r="J482">
            <v>0</v>
          </cell>
          <cell r="K482">
            <v>0</v>
          </cell>
          <cell r="L482">
            <v>0</v>
          </cell>
          <cell r="M482">
            <v>0</v>
          </cell>
          <cell r="N482">
            <v>0</v>
          </cell>
          <cell r="O482">
            <v>0</v>
          </cell>
          <cell r="P482">
            <v>0</v>
          </cell>
          <cell r="Q482">
            <v>0</v>
          </cell>
          <cell r="R482">
            <v>0</v>
          </cell>
          <cell r="S482">
            <v>0</v>
          </cell>
          <cell r="T482">
            <v>0</v>
          </cell>
          <cell r="U482">
            <v>0</v>
          </cell>
          <cell r="V482">
            <v>0</v>
          </cell>
        </row>
        <row r="483">
          <cell r="C483" t="str">
            <v>1999MD</v>
          </cell>
          <cell r="D483">
            <v>168</v>
          </cell>
          <cell r="E483">
            <v>33480</v>
          </cell>
          <cell r="F483">
            <v>12000</v>
          </cell>
          <cell r="G483">
            <v>3600</v>
          </cell>
          <cell r="H483">
            <v>0</v>
          </cell>
          <cell r="I483">
            <v>255</v>
          </cell>
          <cell r="J483">
            <v>155</v>
          </cell>
          <cell r="K483">
            <v>0</v>
          </cell>
          <cell r="L483">
            <v>0</v>
          </cell>
          <cell r="M483">
            <v>15360</v>
          </cell>
          <cell r="N483">
            <v>0</v>
          </cell>
          <cell r="O483">
            <v>0</v>
          </cell>
          <cell r="P483">
            <v>0</v>
          </cell>
          <cell r="Q483">
            <v>0</v>
          </cell>
          <cell r="R483">
            <v>0</v>
          </cell>
          <cell r="S483">
            <v>0</v>
          </cell>
          <cell r="T483">
            <v>0</v>
          </cell>
          <cell r="U483">
            <v>0</v>
          </cell>
          <cell r="V483">
            <v>0</v>
          </cell>
        </row>
        <row r="484">
          <cell r="C484" t="str">
            <v>1999MA</v>
          </cell>
          <cell r="D484">
            <v>32</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row>
        <row r="485">
          <cell r="C485" t="str">
            <v>1999MI</v>
          </cell>
          <cell r="D485">
            <v>3610</v>
          </cell>
          <cell r="E485">
            <v>253500</v>
          </cell>
          <cell r="F485">
            <v>37950</v>
          </cell>
          <cell r="G485">
            <v>990</v>
          </cell>
          <cell r="H485">
            <v>0</v>
          </cell>
          <cell r="I485">
            <v>4875</v>
          </cell>
          <cell r="J485">
            <v>756</v>
          </cell>
          <cell r="K485">
            <v>0</v>
          </cell>
          <cell r="L485">
            <v>0</v>
          </cell>
          <cell r="M485">
            <v>77600</v>
          </cell>
          <cell r="N485">
            <v>0</v>
          </cell>
          <cell r="O485">
            <v>7350</v>
          </cell>
          <cell r="P485">
            <v>0</v>
          </cell>
          <cell r="Q485">
            <v>0</v>
          </cell>
          <cell r="R485">
            <v>0</v>
          </cell>
          <cell r="S485">
            <v>0</v>
          </cell>
          <cell r="T485">
            <v>0</v>
          </cell>
          <cell r="U485">
            <v>0</v>
          </cell>
          <cell r="V485">
            <v>0</v>
          </cell>
        </row>
        <row r="486">
          <cell r="C486" t="str">
            <v>1999MN</v>
          </cell>
          <cell r="D486">
            <v>5600</v>
          </cell>
          <cell r="E486">
            <v>990000</v>
          </cell>
          <cell r="F486">
            <v>79210</v>
          </cell>
          <cell r="G486">
            <v>8460</v>
          </cell>
          <cell r="H486">
            <v>0</v>
          </cell>
          <cell r="I486">
            <v>17700</v>
          </cell>
          <cell r="J486">
            <v>775</v>
          </cell>
          <cell r="K486">
            <v>0</v>
          </cell>
          <cell r="L486">
            <v>0</v>
          </cell>
          <cell r="M486">
            <v>289800</v>
          </cell>
          <cell r="N486">
            <v>0</v>
          </cell>
          <cell r="O486">
            <v>2558</v>
          </cell>
          <cell r="P486">
            <v>0</v>
          </cell>
          <cell r="Q486">
            <v>0</v>
          </cell>
          <cell r="R486">
            <v>0</v>
          </cell>
          <cell r="S486">
            <v>0</v>
          </cell>
          <cell r="T486">
            <v>0</v>
          </cell>
          <cell r="U486">
            <v>0</v>
          </cell>
          <cell r="V486">
            <v>0</v>
          </cell>
        </row>
        <row r="487">
          <cell r="C487" t="str">
            <v>1999MS</v>
          </cell>
          <cell r="D487">
            <v>0</v>
          </cell>
          <cell r="E487">
            <v>36270</v>
          </cell>
          <cell r="F487">
            <v>8250</v>
          </cell>
          <cell r="G487">
            <v>0</v>
          </cell>
          <cell r="H487">
            <v>4872</v>
          </cell>
          <cell r="I487">
            <v>0</v>
          </cell>
          <cell r="J487">
            <v>0</v>
          </cell>
          <cell r="K487">
            <v>0</v>
          </cell>
          <cell r="L487">
            <v>18250</v>
          </cell>
          <cell r="M487">
            <v>44650</v>
          </cell>
          <cell r="N487">
            <v>0</v>
          </cell>
          <cell r="O487">
            <v>0</v>
          </cell>
          <cell r="P487">
            <v>0</v>
          </cell>
          <cell r="Q487">
            <v>0</v>
          </cell>
          <cell r="R487">
            <v>0</v>
          </cell>
          <cell r="S487">
            <v>0</v>
          </cell>
          <cell r="T487">
            <v>0</v>
          </cell>
          <cell r="U487">
            <v>323</v>
          </cell>
          <cell r="V487">
            <v>0</v>
          </cell>
          <cell r="W487">
            <v>0.4</v>
          </cell>
        </row>
        <row r="488">
          <cell r="C488" t="str">
            <v>1999MO</v>
          </cell>
          <cell r="D488">
            <v>1131</v>
          </cell>
          <cell r="E488">
            <v>247350</v>
          </cell>
          <cell r="F488">
            <v>44160</v>
          </cell>
          <cell r="G488">
            <v>0</v>
          </cell>
          <cell r="H488">
            <v>22010</v>
          </cell>
          <cell r="I488">
            <v>1012</v>
          </cell>
          <cell r="J488">
            <v>0</v>
          </cell>
          <cell r="K488">
            <v>0</v>
          </cell>
          <cell r="L488">
            <v>9936</v>
          </cell>
          <cell r="M488">
            <v>147125</v>
          </cell>
          <cell r="N488">
            <v>0</v>
          </cell>
          <cell r="O488">
            <v>0</v>
          </cell>
          <cell r="P488">
            <v>0</v>
          </cell>
          <cell r="Q488">
            <v>0</v>
          </cell>
          <cell r="R488">
            <v>0</v>
          </cell>
          <cell r="S488">
            <v>0</v>
          </cell>
          <cell r="T488">
            <v>0</v>
          </cell>
          <cell r="U488">
            <v>184</v>
          </cell>
          <cell r="V488">
            <v>0</v>
          </cell>
          <cell r="W488">
            <v>0.05</v>
          </cell>
        </row>
        <row r="489">
          <cell r="C489" t="str">
            <v>1999MT</v>
          </cell>
          <cell r="D489">
            <v>3740</v>
          </cell>
          <cell r="E489">
            <v>1980</v>
          </cell>
          <cell r="F489">
            <v>154310</v>
          </cell>
          <cell r="G489">
            <v>50000</v>
          </cell>
          <cell r="H489">
            <v>0</v>
          </cell>
          <cell r="I489">
            <v>3220</v>
          </cell>
          <cell r="J489">
            <v>0</v>
          </cell>
          <cell r="K489">
            <v>0</v>
          </cell>
          <cell r="L489">
            <v>0</v>
          </cell>
          <cell r="M489">
            <v>0</v>
          </cell>
          <cell r="N489">
            <v>0</v>
          </cell>
          <cell r="O489">
            <v>484</v>
          </cell>
          <cell r="P489">
            <v>364</v>
          </cell>
          <cell r="Q489">
            <v>0</v>
          </cell>
          <cell r="R489">
            <v>192</v>
          </cell>
          <cell r="S489">
            <v>0</v>
          </cell>
          <cell r="T489">
            <v>0</v>
          </cell>
          <cell r="U489">
            <v>0</v>
          </cell>
          <cell r="V489">
            <v>0</v>
          </cell>
        </row>
        <row r="490">
          <cell r="C490" t="str">
            <v>1999NE</v>
          </cell>
          <cell r="D490">
            <v>5180</v>
          </cell>
          <cell r="E490">
            <v>1153700</v>
          </cell>
          <cell r="F490">
            <v>81600</v>
          </cell>
          <cell r="G490">
            <v>144</v>
          </cell>
          <cell r="H490">
            <v>42770</v>
          </cell>
          <cell r="I490">
            <v>4650</v>
          </cell>
          <cell r="J490">
            <v>405</v>
          </cell>
          <cell r="K490">
            <v>4950</v>
          </cell>
          <cell r="L490">
            <v>0</v>
          </cell>
          <cell r="M490">
            <v>180625</v>
          </cell>
          <cell r="N490">
            <v>0</v>
          </cell>
          <cell r="O490">
            <v>3740</v>
          </cell>
          <cell r="P490">
            <v>0</v>
          </cell>
          <cell r="Q490">
            <v>0</v>
          </cell>
          <cell r="R490">
            <v>0</v>
          </cell>
          <cell r="S490">
            <v>0</v>
          </cell>
          <cell r="T490">
            <v>0</v>
          </cell>
          <cell r="U490">
            <v>0</v>
          </cell>
          <cell r="V490">
            <v>0</v>
          </cell>
        </row>
        <row r="491">
          <cell r="C491" t="str">
            <v>1999NV</v>
          </cell>
          <cell r="D491">
            <v>1087</v>
          </cell>
          <cell r="E491">
            <v>0</v>
          </cell>
          <cell r="F491">
            <v>1375</v>
          </cell>
          <cell r="G491">
            <v>360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row>
        <row r="492">
          <cell r="C492" t="str">
            <v>1999NH</v>
          </cell>
          <cell r="D492">
            <v>15</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row>
        <row r="493">
          <cell r="C493" t="str">
            <v>1999NJ</v>
          </cell>
          <cell r="D493">
            <v>81</v>
          </cell>
          <cell r="E493">
            <v>2220</v>
          </cell>
          <cell r="F493">
            <v>1848</v>
          </cell>
          <cell r="G493">
            <v>316</v>
          </cell>
          <cell r="H493">
            <v>0</v>
          </cell>
          <cell r="I493">
            <v>0</v>
          </cell>
          <cell r="J493">
            <v>120</v>
          </cell>
          <cell r="K493">
            <v>0</v>
          </cell>
          <cell r="L493">
            <v>0</v>
          </cell>
          <cell r="M493">
            <v>2352</v>
          </cell>
          <cell r="N493">
            <v>0</v>
          </cell>
          <cell r="O493">
            <v>0</v>
          </cell>
          <cell r="P493">
            <v>0</v>
          </cell>
          <cell r="Q493">
            <v>0</v>
          </cell>
          <cell r="R493">
            <v>0</v>
          </cell>
          <cell r="S493">
            <v>0</v>
          </cell>
          <cell r="T493">
            <v>0</v>
          </cell>
          <cell r="U493">
            <v>0</v>
          </cell>
          <cell r="V493">
            <v>0</v>
          </cell>
        </row>
        <row r="494">
          <cell r="C494" t="str">
            <v>1999NM</v>
          </cell>
          <cell r="D494">
            <v>1508</v>
          </cell>
          <cell r="E494">
            <v>14940</v>
          </cell>
          <cell r="F494">
            <v>10640</v>
          </cell>
          <cell r="G494">
            <v>0</v>
          </cell>
          <cell r="H494">
            <v>7425</v>
          </cell>
          <cell r="I494">
            <v>0</v>
          </cell>
          <cell r="J494">
            <v>0</v>
          </cell>
          <cell r="K494">
            <v>0</v>
          </cell>
          <cell r="L494">
            <v>0</v>
          </cell>
          <cell r="M494">
            <v>0</v>
          </cell>
          <cell r="N494">
            <v>61600</v>
          </cell>
          <cell r="O494">
            <v>36</v>
          </cell>
          <cell r="P494">
            <v>0</v>
          </cell>
          <cell r="Q494">
            <v>0</v>
          </cell>
          <cell r="R494">
            <v>0</v>
          </cell>
          <cell r="S494">
            <v>0</v>
          </cell>
          <cell r="T494">
            <v>0</v>
          </cell>
          <cell r="U494">
            <v>0</v>
          </cell>
          <cell r="V494">
            <v>0</v>
          </cell>
        </row>
        <row r="495">
          <cell r="C495" t="str">
            <v>1999NY</v>
          </cell>
          <cell r="D495">
            <v>1265</v>
          </cell>
          <cell r="E495">
            <v>59590</v>
          </cell>
          <cell r="F495">
            <v>8125</v>
          </cell>
          <cell r="G495">
            <v>0</v>
          </cell>
          <cell r="H495">
            <v>0</v>
          </cell>
          <cell r="I495">
            <v>4760</v>
          </cell>
          <cell r="J495">
            <v>570</v>
          </cell>
          <cell r="K495">
            <v>0</v>
          </cell>
          <cell r="L495">
            <v>0</v>
          </cell>
          <cell r="M495">
            <v>4736</v>
          </cell>
          <cell r="N495">
            <v>0</v>
          </cell>
          <cell r="O495">
            <v>414</v>
          </cell>
          <cell r="P495">
            <v>0</v>
          </cell>
          <cell r="Q495">
            <v>0</v>
          </cell>
          <cell r="R495">
            <v>0</v>
          </cell>
          <cell r="S495">
            <v>0</v>
          </cell>
          <cell r="T495">
            <v>0</v>
          </cell>
          <cell r="U495">
            <v>0</v>
          </cell>
          <cell r="V495">
            <v>0</v>
          </cell>
        </row>
        <row r="496">
          <cell r="C496" t="str">
            <v>1999NC</v>
          </cell>
          <cell r="D496">
            <v>60</v>
          </cell>
          <cell r="E496">
            <v>51200</v>
          </cell>
          <cell r="F496">
            <v>28420</v>
          </cell>
          <cell r="G496">
            <v>1520</v>
          </cell>
          <cell r="H496">
            <v>552</v>
          </cell>
          <cell r="I496">
            <v>1700</v>
          </cell>
          <cell r="J496">
            <v>644</v>
          </cell>
          <cell r="K496">
            <v>0</v>
          </cell>
          <cell r="L496">
            <v>0</v>
          </cell>
          <cell r="M496">
            <v>29900</v>
          </cell>
          <cell r="N496">
            <v>298840</v>
          </cell>
          <cell r="O496">
            <v>0</v>
          </cell>
          <cell r="P496">
            <v>0</v>
          </cell>
          <cell r="Q496">
            <v>0</v>
          </cell>
          <cell r="R496">
            <v>0</v>
          </cell>
          <cell r="S496">
            <v>0</v>
          </cell>
          <cell r="T496">
            <v>0</v>
          </cell>
          <cell r="U496">
            <v>0</v>
          </cell>
          <cell r="V496">
            <v>0</v>
          </cell>
        </row>
        <row r="497">
          <cell r="C497" t="str">
            <v>1999ND</v>
          </cell>
          <cell r="D497">
            <v>3118</v>
          </cell>
          <cell r="E497">
            <v>76635</v>
          </cell>
          <cell r="F497">
            <v>242280</v>
          </cell>
          <cell r="G497">
            <v>59520</v>
          </cell>
          <cell r="H497">
            <v>0</v>
          </cell>
          <cell r="I497">
            <v>16830</v>
          </cell>
          <cell r="J497">
            <v>1517</v>
          </cell>
          <cell r="K497">
            <v>0</v>
          </cell>
          <cell r="L497">
            <v>0</v>
          </cell>
          <cell r="M497">
            <v>46900</v>
          </cell>
          <cell r="N497">
            <v>0</v>
          </cell>
          <cell r="O497">
            <v>8265</v>
          </cell>
          <cell r="P497">
            <v>1102</v>
          </cell>
          <cell r="Q497">
            <v>0</v>
          </cell>
          <cell r="R497">
            <v>364</v>
          </cell>
          <cell r="S497">
            <v>0</v>
          </cell>
          <cell r="T497">
            <v>0</v>
          </cell>
          <cell r="U497">
            <v>0</v>
          </cell>
          <cell r="V497">
            <v>0</v>
          </cell>
        </row>
        <row r="498">
          <cell r="C498" t="str">
            <v>1999OH</v>
          </cell>
          <cell r="D498">
            <v>1920</v>
          </cell>
          <cell r="E498">
            <v>403200</v>
          </cell>
          <cell r="F498">
            <v>72100</v>
          </cell>
          <cell r="G498">
            <v>0</v>
          </cell>
          <cell r="H498">
            <v>0</v>
          </cell>
          <cell r="I498">
            <v>7000</v>
          </cell>
          <cell r="J498">
            <v>144</v>
          </cell>
          <cell r="K498">
            <v>0</v>
          </cell>
          <cell r="L498">
            <v>0</v>
          </cell>
          <cell r="M498">
            <v>162000</v>
          </cell>
          <cell r="N498">
            <v>0</v>
          </cell>
          <cell r="O498">
            <v>0</v>
          </cell>
          <cell r="P498">
            <v>0</v>
          </cell>
          <cell r="Q498">
            <v>0</v>
          </cell>
          <cell r="R498">
            <v>0</v>
          </cell>
          <cell r="S498">
            <v>0</v>
          </cell>
          <cell r="T498">
            <v>0</v>
          </cell>
          <cell r="U498">
            <v>0</v>
          </cell>
          <cell r="V498">
            <v>0</v>
          </cell>
        </row>
        <row r="499">
          <cell r="C499" t="str">
            <v>1999OK</v>
          </cell>
          <cell r="D499">
            <v>1260</v>
          </cell>
          <cell r="E499">
            <v>40600</v>
          </cell>
          <cell r="F499">
            <v>150500</v>
          </cell>
          <cell r="G499">
            <v>156</v>
          </cell>
          <cell r="H499">
            <v>18000</v>
          </cell>
          <cell r="I499">
            <v>1290</v>
          </cell>
          <cell r="J499">
            <v>1045</v>
          </cell>
          <cell r="K499">
            <v>0</v>
          </cell>
          <cell r="L499">
            <v>0</v>
          </cell>
          <cell r="M499">
            <v>6840</v>
          </cell>
          <cell r="N499">
            <v>189600</v>
          </cell>
          <cell r="O499">
            <v>0</v>
          </cell>
          <cell r="P499">
            <v>0</v>
          </cell>
          <cell r="Q499">
            <v>0</v>
          </cell>
          <cell r="R499">
            <v>0</v>
          </cell>
          <cell r="S499">
            <v>0</v>
          </cell>
          <cell r="T499">
            <v>0</v>
          </cell>
          <cell r="U499">
            <v>0.54290000000000005</v>
          </cell>
          <cell r="V499">
            <v>0</v>
          </cell>
          <cell r="W499">
            <v>0.9</v>
          </cell>
        </row>
        <row r="500">
          <cell r="C500" t="str">
            <v>1999OR</v>
          </cell>
          <cell r="D500">
            <v>1848</v>
          </cell>
          <cell r="E500">
            <v>5250</v>
          </cell>
          <cell r="F500">
            <v>34659</v>
          </cell>
          <cell r="G500">
            <v>6885</v>
          </cell>
          <cell r="H500">
            <v>0</v>
          </cell>
          <cell r="I500">
            <v>2000</v>
          </cell>
          <cell r="J500">
            <v>0</v>
          </cell>
          <cell r="K500">
            <v>0</v>
          </cell>
          <cell r="L500">
            <v>0</v>
          </cell>
          <cell r="M500">
            <v>0</v>
          </cell>
          <cell r="N500">
            <v>0</v>
          </cell>
          <cell r="O500">
            <v>174</v>
          </cell>
          <cell r="P500">
            <v>0</v>
          </cell>
          <cell r="Q500">
            <v>12</v>
          </cell>
          <cell r="R500">
            <v>0</v>
          </cell>
          <cell r="S500">
            <v>0</v>
          </cell>
          <cell r="T500">
            <v>0</v>
          </cell>
          <cell r="U500">
            <v>0</v>
          </cell>
          <cell r="V500">
            <v>0</v>
          </cell>
        </row>
        <row r="501">
          <cell r="C501" t="str">
            <v>1999PA</v>
          </cell>
          <cell r="D501">
            <v>1680</v>
          </cell>
          <cell r="E501">
            <v>61600</v>
          </cell>
          <cell r="F501">
            <v>10260</v>
          </cell>
          <cell r="G501">
            <v>4970</v>
          </cell>
          <cell r="H501">
            <v>0</v>
          </cell>
          <cell r="I501">
            <v>7975</v>
          </cell>
          <cell r="J501">
            <v>600</v>
          </cell>
          <cell r="K501">
            <v>0</v>
          </cell>
          <cell r="L501">
            <v>0</v>
          </cell>
          <cell r="M501">
            <v>10150</v>
          </cell>
          <cell r="N501">
            <v>0</v>
          </cell>
          <cell r="O501">
            <v>0</v>
          </cell>
          <cell r="P501">
            <v>0</v>
          </cell>
          <cell r="Q501">
            <v>0</v>
          </cell>
          <cell r="R501">
            <v>0</v>
          </cell>
          <cell r="S501">
            <v>0</v>
          </cell>
          <cell r="T501">
            <v>0</v>
          </cell>
          <cell r="U501">
            <v>0</v>
          </cell>
          <cell r="V501">
            <v>0</v>
          </cell>
        </row>
        <row r="502">
          <cell r="C502" t="str">
            <v>1999RI</v>
          </cell>
          <cell r="D502">
            <v>4</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row>
        <row r="503">
          <cell r="C503" t="str">
            <v>1999SC</v>
          </cell>
          <cell r="D503">
            <v>0</v>
          </cell>
          <cell r="E503">
            <v>19250</v>
          </cell>
          <cell r="F503">
            <v>9460</v>
          </cell>
          <cell r="G503">
            <v>120</v>
          </cell>
          <cell r="H503">
            <v>258</v>
          </cell>
          <cell r="I503">
            <v>1820</v>
          </cell>
          <cell r="J503">
            <v>500</v>
          </cell>
          <cell r="K503">
            <v>0</v>
          </cell>
          <cell r="L503">
            <v>0</v>
          </cell>
          <cell r="M503">
            <v>9000</v>
          </cell>
          <cell r="N503">
            <v>25300</v>
          </cell>
          <cell r="O503">
            <v>0</v>
          </cell>
          <cell r="P503">
            <v>0</v>
          </cell>
          <cell r="Q503">
            <v>0</v>
          </cell>
          <cell r="R503">
            <v>0</v>
          </cell>
          <cell r="S503">
            <v>0</v>
          </cell>
          <cell r="T503">
            <v>0</v>
          </cell>
          <cell r="U503">
            <v>0</v>
          </cell>
          <cell r="V503">
            <v>0</v>
          </cell>
        </row>
        <row r="504">
          <cell r="C504" t="str">
            <v>1999SD</v>
          </cell>
          <cell r="D504">
            <v>6720</v>
          </cell>
          <cell r="E504">
            <v>367250</v>
          </cell>
          <cell r="F504">
            <v>120582</v>
          </cell>
          <cell r="G504">
            <v>3552</v>
          </cell>
          <cell r="H504">
            <v>4640</v>
          </cell>
          <cell r="I504">
            <v>12800</v>
          </cell>
          <cell r="J504">
            <v>1012</v>
          </cell>
          <cell r="K504">
            <v>4800</v>
          </cell>
          <cell r="L504">
            <v>0</v>
          </cell>
          <cell r="M504">
            <v>146520</v>
          </cell>
          <cell r="N504">
            <v>0</v>
          </cell>
          <cell r="O504">
            <v>0</v>
          </cell>
          <cell r="P504">
            <v>0</v>
          </cell>
          <cell r="Q504">
            <v>0</v>
          </cell>
          <cell r="R504">
            <v>0</v>
          </cell>
          <cell r="S504">
            <v>0</v>
          </cell>
          <cell r="T504">
            <v>0</v>
          </cell>
          <cell r="U504">
            <v>0</v>
          </cell>
          <cell r="V504">
            <v>0</v>
          </cell>
        </row>
        <row r="505">
          <cell r="C505" t="str">
            <v>1999TN</v>
          </cell>
          <cell r="D505">
            <v>93</v>
          </cell>
          <cell r="E505">
            <v>58140</v>
          </cell>
          <cell r="F505">
            <v>19040</v>
          </cell>
          <cell r="G505">
            <v>0</v>
          </cell>
          <cell r="H505">
            <v>1260</v>
          </cell>
          <cell r="I505">
            <v>0</v>
          </cell>
          <cell r="J505">
            <v>0</v>
          </cell>
          <cell r="K505">
            <v>0</v>
          </cell>
          <cell r="L505">
            <v>0</v>
          </cell>
          <cell r="M505">
            <v>22800</v>
          </cell>
          <cell r="N505">
            <v>0</v>
          </cell>
          <cell r="O505">
            <v>0</v>
          </cell>
          <cell r="P505">
            <v>0</v>
          </cell>
          <cell r="Q505">
            <v>0</v>
          </cell>
          <cell r="R505">
            <v>0</v>
          </cell>
          <cell r="S505">
            <v>0</v>
          </cell>
          <cell r="T505">
            <v>0</v>
          </cell>
          <cell r="U505">
            <v>0</v>
          </cell>
          <cell r="V505">
            <v>0</v>
          </cell>
        </row>
        <row r="506">
          <cell r="C506" t="str">
            <v>1999TX</v>
          </cell>
          <cell r="D506">
            <v>770</v>
          </cell>
          <cell r="E506">
            <v>228330</v>
          </cell>
          <cell r="F506">
            <v>122400</v>
          </cell>
          <cell r="G506">
            <v>350</v>
          </cell>
          <cell r="H506">
            <v>185850</v>
          </cell>
          <cell r="I506">
            <v>4840</v>
          </cell>
          <cell r="J506">
            <v>450</v>
          </cell>
          <cell r="K506">
            <v>0</v>
          </cell>
          <cell r="L506">
            <v>15272</v>
          </cell>
          <cell r="M506">
            <v>10260</v>
          </cell>
          <cell r="N506">
            <v>926800</v>
          </cell>
          <cell r="O506">
            <v>701</v>
          </cell>
          <cell r="P506">
            <v>0</v>
          </cell>
          <cell r="Q506">
            <v>0</v>
          </cell>
          <cell r="R506">
            <v>0</v>
          </cell>
          <cell r="S506">
            <v>0</v>
          </cell>
          <cell r="T506">
            <v>1033</v>
          </cell>
          <cell r="U506">
            <v>259</v>
          </cell>
          <cell r="V506">
            <v>104</v>
          </cell>
          <cell r="W506">
            <v>0.02</v>
          </cell>
        </row>
        <row r="507">
          <cell r="C507" t="str">
            <v>1999UT</v>
          </cell>
          <cell r="D507">
            <v>2420</v>
          </cell>
          <cell r="E507">
            <v>2860</v>
          </cell>
          <cell r="F507">
            <v>8940</v>
          </cell>
          <cell r="G507">
            <v>6806</v>
          </cell>
          <cell r="H507">
            <v>0</v>
          </cell>
          <cell r="I507">
            <v>450</v>
          </cell>
          <cell r="J507">
            <v>0</v>
          </cell>
          <cell r="K507">
            <v>0</v>
          </cell>
          <cell r="L507">
            <v>0</v>
          </cell>
          <cell r="M507">
            <v>0</v>
          </cell>
          <cell r="N507">
            <v>0</v>
          </cell>
          <cell r="O507">
            <v>53</v>
          </cell>
          <cell r="P507">
            <v>0</v>
          </cell>
          <cell r="Q507">
            <v>0</v>
          </cell>
          <cell r="R507">
            <v>0</v>
          </cell>
          <cell r="S507">
            <v>0</v>
          </cell>
          <cell r="T507">
            <v>0</v>
          </cell>
          <cell r="U507">
            <v>0</v>
          </cell>
          <cell r="V507">
            <v>0</v>
          </cell>
        </row>
        <row r="508">
          <cell r="C508" t="str">
            <v>1999VT</v>
          </cell>
          <cell r="D508">
            <v>77</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row>
        <row r="509">
          <cell r="C509" t="str">
            <v>1999VA</v>
          </cell>
          <cell r="D509">
            <v>300</v>
          </cell>
          <cell r="E509">
            <v>21840</v>
          </cell>
          <cell r="F509">
            <v>13680</v>
          </cell>
          <cell r="G509">
            <v>4920</v>
          </cell>
          <cell r="H509">
            <v>0</v>
          </cell>
          <cell r="I509">
            <v>0</v>
          </cell>
          <cell r="J509">
            <v>272</v>
          </cell>
          <cell r="K509">
            <v>0</v>
          </cell>
          <cell r="L509">
            <v>0</v>
          </cell>
          <cell r="M509">
            <v>11880</v>
          </cell>
          <cell r="N509">
            <v>218120</v>
          </cell>
          <cell r="O509">
            <v>0</v>
          </cell>
          <cell r="P509">
            <v>0</v>
          </cell>
          <cell r="Q509">
            <v>0</v>
          </cell>
          <cell r="R509">
            <v>0</v>
          </cell>
          <cell r="S509">
            <v>0</v>
          </cell>
          <cell r="T509">
            <v>0</v>
          </cell>
          <cell r="U509">
            <v>0</v>
          </cell>
          <cell r="V509">
            <v>0</v>
          </cell>
        </row>
        <row r="510">
          <cell r="C510" t="str">
            <v>1999WA</v>
          </cell>
          <cell r="D510">
            <v>2303</v>
          </cell>
          <cell r="E510">
            <v>18000</v>
          </cell>
          <cell r="F510">
            <v>124140</v>
          </cell>
          <cell r="G510">
            <v>28910</v>
          </cell>
          <cell r="H510">
            <v>0</v>
          </cell>
          <cell r="I510">
            <v>1125</v>
          </cell>
          <cell r="J510">
            <v>0</v>
          </cell>
          <cell r="K510">
            <v>0</v>
          </cell>
          <cell r="L510">
            <v>0</v>
          </cell>
          <cell r="M510">
            <v>0</v>
          </cell>
          <cell r="N510">
            <v>0</v>
          </cell>
          <cell r="O510">
            <v>750</v>
          </cell>
          <cell r="P510">
            <v>2222</v>
          </cell>
          <cell r="Q510">
            <v>0</v>
          </cell>
          <cell r="R510">
            <v>975</v>
          </cell>
          <cell r="S510">
            <v>318</v>
          </cell>
          <cell r="T510">
            <v>0</v>
          </cell>
          <cell r="U510">
            <v>0</v>
          </cell>
          <cell r="V510">
            <v>0</v>
          </cell>
        </row>
        <row r="511">
          <cell r="C511" t="str">
            <v>1999WV</v>
          </cell>
          <cell r="D511">
            <v>105</v>
          </cell>
          <cell r="E511">
            <v>1300</v>
          </cell>
          <cell r="F511">
            <v>399</v>
          </cell>
          <cell r="G511">
            <v>0</v>
          </cell>
          <cell r="H511">
            <v>0</v>
          </cell>
          <cell r="I511">
            <v>96</v>
          </cell>
          <cell r="J511">
            <v>0</v>
          </cell>
          <cell r="K511">
            <v>0</v>
          </cell>
          <cell r="L511">
            <v>0</v>
          </cell>
          <cell r="M511">
            <v>0</v>
          </cell>
          <cell r="N511">
            <v>0</v>
          </cell>
          <cell r="O511">
            <v>0</v>
          </cell>
          <cell r="P511">
            <v>0</v>
          </cell>
          <cell r="Q511">
            <v>0</v>
          </cell>
          <cell r="R511">
            <v>0</v>
          </cell>
          <cell r="S511">
            <v>0</v>
          </cell>
          <cell r="T511">
            <v>0</v>
          </cell>
          <cell r="U511">
            <v>0</v>
          </cell>
          <cell r="V511">
            <v>0</v>
          </cell>
        </row>
        <row r="512">
          <cell r="C512" t="str">
            <v>1999WI</v>
          </cell>
          <cell r="D512">
            <v>6510</v>
          </cell>
          <cell r="E512">
            <v>407550</v>
          </cell>
          <cell r="F512">
            <v>7480</v>
          </cell>
          <cell r="G512">
            <v>3380</v>
          </cell>
          <cell r="H512">
            <v>0</v>
          </cell>
          <cell r="I512">
            <v>18600</v>
          </cell>
          <cell r="J512">
            <v>384</v>
          </cell>
          <cell r="K512">
            <v>0</v>
          </cell>
          <cell r="L512">
            <v>0</v>
          </cell>
          <cell r="M512">
            <v>59800</v>
          </cell>
          <cell r="N512">
            <v>0</v>
          </cell>
          <cell r="O512">
            <v>124</v>
          </cell>
          <cell r="P512">
            <v>0</v>
          </cell>
          <cell r="Q512">
            <v>0</v>
          </cell>
          <cell r="R512">
            <v>0</v>
          </cell>
          <cell r="S512">
            <v>0</v>
          </cell>
          <cell r="T512">
            <v>0</v>
          </cell>
          <cell r="U512">
            <v>0</v>
          </cell>
          <cell r="V512">
            <v>0</v>
          </cell>
        </row>
        <row r="513">
          <cell r="C513" t="str">
            <v>1999WY</v>
          </cell>
          <cell r="D513">
            <v>1782</v>
          </cell>
          <cell r="E513">
            <v>6136</v>
          </cell>
          <cell r="F513">
            <v>6369</v>
          </cell>
          <cell r="G513">
            <v>7310</v>
          </cell>
          <cell r="H513">
            <v>0</v>
          </cell>
          <cell r="I513">
            <v>1539</v>
          </cell>
          <cell r="J513">
            <v>0</v>
          </cell>
          <cell r="K513">
            <v>0</v>
          </cell>
          <cell r="L513">
            <v>0</v>
          </cell>
          <cell r="M513">
            <v>0</v>
          </cell>
          <cell r="N513">
            <v>0</v>
          </cell>
          <cell r="O513">
            <v>788</v>
          </cell>
          <cell r="P513">
            <v>0</v>
          </cell>
          <cell r="Q513">
            <v>0</v>
          </cell>
          <cell r="R513">
            <v>0</v>
          </cell>
          <cell r="S513">
            <v>0</v>
          </cell>
          <cell r="T513">
            <v>0</v>
          </cell>
          <cell r="U513">
            <v>0</v>
          </cell>
          <cell r="V513">
            <v>0</v>
          </cell>
        </row>
        <row r="514">
          <cell r="C514" t="str">
            <v>1999US</v>
          </cell>
          <cell r="D514">
            <v>84405</v>
          </cell>
          <cell r="E514">
            <v>9430612</v>
          </cell>
          <cell r="F514">
            <v>2295560</v>
          </cell>
          <cell r="G514">
            <v>272150.8</v>
          </cell>
          <cell r="H514">
            <v>595166</v>
          </cell>
          <cell r="I514">
            <v>145628</v>
          </cell>
          <cell r="J514">
            <v>11038</v>
          </cell>
          <cell r="K514">
            <v>17910</v>
          </cell>
          <cell r="L514">
            <v>206027</v>
          </cell>
          <cell r="M514">
            <v>2653758</v>
          </cell>
          <cell r="N514">
            <v>3829490</v>
          </cell>
          <cell r="O514">
            <v>33146</v>
          </cell>
          <cell r="P514">
            <v>4731</v>
          </cell>
          <cell r="Q514">
            <v>68</v>
          </cell>
          <cell r="R514">
            <v>2371</v>
          </cell>
          <cell r="S514">
            <v>658</v>
          </cell>
          <cell r="T514">
            <v>35299</v>
          </cell>
        </row>
        <row r="515">
          <cell r="C515" t="str">
            <v>2000AL</v>
          </cell>
          <cell r="D515">
            <v>0</v>
          </cell>
          <cell r="E515">
            <v>10725</v>
          </cell>
          <cell r="F515">
            <v>4860</v>
          </cell>
          <cell r="G515">
            <v>0</v>
          </cell>
          <cell r="H515">
            <v>280</v>
          </cell>
          <cell r="I515">
            <v>0</v>
          </cell>
          <cell r="J515">
            <v>0</v>
          </cell>
          <cell r="K515">
            <v>0</v>
          </cell>
          <cell r="L515">
            <v>0</v>
          </cell>
          <cell r="M515">
            <v>2880</v>
          </cell>
          <cell r="N515">
            <v>271180</v>
          </cell>
          <cell r="O515">
            <v>0</v>
          </cell>
          <cell r="P515">
            <v>0</v>
          </cell>
          <cell r="Q515">
            <v>0</v>
          </cell>
          <cell r="R515">
            <v>0</v>
          </cell>
          <cell r="S515">
            <v>0</v>
          </cell>
          <cell r="T515">
            <v>0</v>
          </cell>
          <cell r="U515">
            <v>0</v>
          </cell>
          <cell r="V515">
            <v>0</v>
          </cell>
        </row>
        <row r="516">
          <cell r="C516" t="str">
            <v>2000AK</v>
          </cell>
          <cell r="D516">
            <v>0</v>
          </cell>
          <cell r="E516">
            <v>0</v>
          </cell>
          <cell r="F516">
            <v>0</v>
          </cell>
          <cell r="G516">
            <v>102.5</v>
          </cell>
          <cell r="H516">
            <v>0</v>
          </cell>
          <cell r="I516">
            <v>7000</v>
          </cell>
          <cell r="J516">
            <v>0</v>
          </cell>
          <cell r="K516">
            <v>0</v>
          </cell>
          <cell r="L516">
            <v>0</v>
          </cell>
          <cell r="M516">
            <v>0</v>
          </cell>
          <cell r="N516">
            <v>0</v>
          </cell>
          <cell r="O516">
            <v>0</v>
          </cell>
          <cell r="P516">
            <v>0</v>
          </cell>
          <cell r="Q516">
            <v>0</v>
          </cell>
          <cell r="R516">
            <v>0</v>
          </cell>
          <cell r="S516">
            <v>0</v>
          </cell>
          <cell r="T516">
            <v>0</v>
          </cell>
          <cell r="U516">
            <v>0</v>
          </cell>
          <cell r="V516">
            <v>0</v>
          </cell>
        </row>
        <row r="517">
          <cell r="C517" t="str">
            <v>2000AZ</v>
          </cell>
          <cell r="D517">
            <v>1702</v>
          </cell>
          <cell r="E517">
            <v>6468</v>
          </cell>
          <cell r="F517">
            <v>8775</v>
          </cell>
          <cell r="G517">
            <v>4104</v>
          </cell>
          <cell r="H517">
            <v>720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row>
        <row r="518">
          <cell r="C518" t="str">
            <v>2000AR</v>
          </cell>
          <cell r="D518">
            <v>50</v>
          </cell>
          <cell r="E518">
            <v>22750</v>
          </cell>
          <cell r="F518">
            <v>59400</v>
          </cell>
          <cell r="G518">
            <v>0</v>
          </cell>
          <cell r="H518">
            <v>9940</v>
          </cell>
          <cell r="I518">
            <v>0</v>
          </cell>
          <cell r="J518">
            <v>0</v>
          </cell>
          <cell r="K518">
            <v>0</v>
          </cell>
          <cell r="L518">
            <v>86112</v>
          </cell>
          <cell r="M518">
            <v>80325</v>
          </cell>
          <cell r="N518">
            <v>0</v>
          </cell>
          <cell r="O518">
            <v>0</v>
          </cell>
          <cell r="P518">
            <v>0</v>
          </cell>
          <cell r="Q518">
            <v>0</v>
          </cell>
          <cell r="R518">
            <v>0</v>
          </cell>
          <cell r="S518">
            <v>0</v>
          </cell>
          <cell r="T518">
            <v>0</v>
          </cell>
          <cell r="U518">
            <v>1410</v>
          </cell>
          <cell r="V518">
            <v>0</v>
          </cell>
          <cell r="W518">
            <v>0.13</v>
          </cell>
        </row>
        <row r="519">
          <cell r="C519" t="str">
            <v>2000CA</v>
          </cell>
          <cell r="D519">
            <v>7140</v>
          </cell>
          <cell r="E519">
            <v>34850</v>
          </cell>
          <cell r="F519">
            <v>37000</v>
          </cell>
          <cell r="G519">
            <v>6460</v>
          </cell>
          <cell r="H519">
            <v>600</v>
          </cell>
          <cell r="I519">
            <v>1875</v>
          </cell>
          <cell r="J519">
            <v>0</v>
          </cell>
          <cell r="K519">
            <v>0</v>
          </cell>
          <cell r="L519">
            <v>43521</v>
          </cell>
          <cell r="M519">
            <v>0</v>
          </cell>
          <cell r="N519">
            <v>0</v>
          </cell>
          <cell r="O519">
            <v>2059</v>
          </cell>
          <cell r="P519">
            <v>0</v>
          </cell>
          <cell r="Q519">
            <v>0</v>
          </cell>
          <cell r="R519">
            <v>0</v>
          </cell>
          <cell r="S519">
            <v>0</v>
          </cell>
          <cell r="T519">
            <v>0</v>
          </cell>
          <cell r="U519">
            <v>548</v>
          </cell>
          <cell r="V519">
            <v>0</v>
          </cell>
          <cell r="W519">
            <v>0.27</v>
          </cell>
        </row>
        <row r="520">
          <cell r="C520" t="str">
            <v>2000CO</v>
          </cell>
          <cell r="D520">
            <v>3515</v>
          </cell>
          <cell r="E520">
            <v>144900</v>
          </cell>
          <cell r="F520">
            <v>71370</v>
          </cell>
          <cell r="G520">
            <v>12075</v>
          </cell>
          <cell r="H520">
            <v>6720</v>
          </cell>
          <cell r="I520">
            <v>2205</v>
          </cell>
          <cell r="J520">
            <v>0</v>
          </cell>
          <cell r="K520">
            <v>2850</v>
          </cell>
          <cell r="L520">
            <v>0</v>
          </cell>
          <cell r="M520">
            <v>0</v>
          </cell>
          <cell r="N520">
            <v>0</v>
          </cell>
          <cell r="O520">
            <v>1980</v>
          </cell>
          <cell r="P520">
            <v>0</v>
          </cell>
          <cell r="Q520">
            <v>0</v>
          </cell>
          <cell r="R520">
            <v>0</v>
          </cell>
          <cell r="S520">
            <v>0</v>
          </cell>
          <cell r="T520">
            <v>0</v>
          </cell>
          <cell r="U520">
            <v>0</v>
          </cell>
          <cell r="V520">
            <v>0</v>
          </cell>
        </row>
        <row r="521">
          <cell r="C521" t="str">
            <v>2000CT</v>
          </cell>
          <cell r="D521">
            <v>26</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row>
        <row r="522">
          <cell r="C522" t="str">
            <v>2000DE</v>
          </cell>
          <cell r="D522">
            <v>40</v>
          </cell>
          <cell r="E522">
            <v>25110</v>
          </cell>
          <cell r="F522">
            <v>4158</v>
          </cell>
          <cell r="G522">
            <v>2268</v>
          </cell>
          <cell r="H522">
            <v>166</v>
          </cell>
          <cell r="I522">
            <v>0</v>
          </cell>
          <cell r="J522">
            <v>0</v>
          </cell>
          <cell r="K522">
            <v>0</v>
          </cell>
          <cell r="L522">
            <v>0</v>
          </cell>
          <cell r="M522">
            <v>9159</v>
          </cell>
          <cell r="N522">
            <v>0</v>
          </cell>
          <cell r="O522">
            <v>0</v>
          </cell>
          <cell r="P522">
            <v>0</v>
          </cell>
          <cell r="Q522">
            <v>0</v>
          </cell>
          <cell r="R522">
            <v>0</v>
          </cell>
          <cell r="S522">
            <v>0</v>
          </cell>
          <cell r="T522">
            <v>0</v>
          </cell>
          <cell r="U522">
            <v>0</v>
          </cell>
          <cell r="V522">
            <v>0</v>
          </cell>
        </row>
        <row r="523">
          <cell r="C523" t="str">
            <v>2000FL</v>
          </cell>
          <cell r="D523">
            <v>0</v>
          </cell>
          <cell r="E523">
            <v>1875</v>
          </cell>
          <cell r="F523">
            <v>441</v>
          </cell>
          <cell r="G523">
            <v>0</v>
          </cell>
          <cell r="H523">
            <v>0</v>
          </cell>
          <cell r="I523">
            <v>0</v>
          </cell>
          <cell r="J523">
            <v>0</v>
          </cell>
          <cell r="K523">
            <v>0</v>
          </cell>
          <cell r="L523">
            <v>856.5506786670677</v>
          </cell>
          <cell r="M523">
            <v>285</v>
          </cell>
          <cell r="N523">
            <v>213710</v>
          </cell>
          <cell r="O523">
            <v>0</v>
          </cell>
          <cell r="P523">
            <v>0</v>
          </cell>
          <cell r="Q523">
            <v>0</v>
          </cell>
          <cell r="R523">
            <v>0</v>
          </cell>
          <cell r="S523">
            <v>0</v>
          </cell>
          <cell r="T523">
            <v>17041</v>
          </cell>
          <cell r="U523">
            <v>19</v>
          </cell>
          <cell r="V523">
            <v>8</v>
          </cell>
          <cell r="W523">
            <v>0</v>
          </cell>
        </row>
        <row r="524">
          <cell r="C524" t="str">
            <v>2000GA</v>
          </cell>
          <cell r="D524">
            <v>0</v>
          </cell>
          <cell r="E524">
            <v>25680</v>
          </cell>
          <cell r="F524">
            <v>10800</v>
          </cell>
          <cell r="G524">
            <v>0</v>
          </cell>
          <cell r="H524">
            <v>1350</v>
          </cell>
          <cell r="I524">
            <v>2520</v>
          </cell>
          <cell r="J524">
            <v>1170</v>
          </cell>
          <cell r="K524">
            <v>0</v>
          </cell>
          <cell r="L524">
            <v>0</v>
          </cell>
          <cell r="M524">
            <v>3360</v>
          </cell>
          <cell r="N524">
            <v>1328400</v>
          </cell>
          <cell r="O524">
            <v>0</v>
          </cell>
          <cell r="P524">
            <v>0</v>
          </cell>
          <cell r="Q524">
            <v>0</v>
          </cell>
          <cell r="R524">
            <v>0</v>
          </cell>
          <cell r="S524">
            <v>0</v>
          </cell>
          <cell r="T524">
            <v>0</v>
          </cell>
          <cell r="U524">
            <v>0</v>
          </cell>
          <cell r="V524">
            <v>0</v>
          </cell>
        </row>
        <row r="525">
          <cell r="C525" t="str">
            <v>2000HI</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2433</v>
          </cell>
          <cell r="U525">
            <v>0</v>
          </cell>
          <cell r="V525">
            <v>0</v>
          </cell>
        </row>
        <row r="526">
          <cell r="C526" t="str">
            <v>2000ID</v>
          </cell>
          <cell r="D526">
            <v>4746</v>
          </cell>
          <cell r="E526">
            <v>9120</v>
          </cell>
          <cell r="F526">
            <v>106650</v>
          </cell>
          <cell r="G526">
            <v>55480</v>
          </cell>
          <cell r="H526">
            <v>0</v>
          </cell>
          <cell r="I526">
            <v>1400</v>
          </cell>
          <cell r="J526">
            <v>0</v>
          </cell>
          <cell r="K526">
            <v>0</v>
          </cell>
          <cell r="L526">
            <v>0</v>
          </cell>
          <cell r="M526">
            <v>0</v>
          </cell>
          <cell r="N526">
            <v>0</v>
          </cell>
          <cell r="O526">
            <v>1716</v>
          </cell>
          <cell r="P526">
            <v>456</v>
          </cell>
          <cell r="Q526">
            <v>67</v>
          </cell>
          <cell r="R526">
            <v>928</v>
          </cell>
          <cell r="S526">
            <v>331</v>
          </cell>
          <cell r="T526">
            <v>0</v>
          </cell>
          <cell r="U526">
            <v>0</v>
          </cell>
          <cell r="V526">
            <v>0</v>
          </cell>
        </row>
        <row r="527">
          <cell r="C527" t="str">
            <v>2000IL</v>
          </cell>
          <cell r="D527">
            <v>1824</v>
          </cell>
          <cell r="E527">
            <v>1668550</v>
          </cell>
          <cell r="F527">
            <v>52440</v>
          </cell>
          <cell r="G527">
            <v>0</v>
          </cell>
          <cell r="H527">
            <v>8075</v>
          </cell>
          <cell r="I527">
            <v>4015</v>
          </cell>
          <cell r="J527">
            <v>0</v>
          </cell>
          <cell r="K527">
            <v>0</v>
          </cell>
          <cell r="L527">
            <v>0</v>
          </cell>
          <cell r="M527">
            <v>459800</v>
          </cell>
          <cell r="N527">
            <v>0</v>
          </cell>
          <cell r="O527">
            <v>0</v>
          </cell>
          <cell r="P527">
            <v>0</v>
          </cell>
          <cell r="Q527">
            <v>0</v>
          </cell>
          <cell r="R527">
            <v>0</v>
          </cell>
          <cell r="S527">
            <v>0</v>
          </cell>
          <cell r="T527">
            <v>0</v>
          </cell>
          <cell r="U527">
            <v>0</v>
          </cell>
          <cell r="V527">
            <v>0</v>
          </cell>
        </row>
        <row r="528">
          <cell r="C528" t="str">
            <v>2000IN</v>
          </cell>
          <cell r="D528">
            <v>1763</v>
          </cell>
          <cell r="E528">
            <v>810300</v>
          </cell>
          <cell r="F528">
            <v>35190</v>
          </cell>
          <cell r="G528">
            <v>0</v>
          </cell>
          <cell r="H528">
            <v>0</v>
          </cell>
          <cell r="I528">
            <v>1950</v>
          </cell>
          <cell r="J528">
            <v>0</v>
          </cell>
          <cell r="K528">
            <v>0</v>
          </cell>
          <cell r="L528">
            <v>0</v>
          </cell>
          <cell r="M528">
            <v>252080</v>
          </cell>
          <cell r="N528">
            <v>0</v>
          </cell>
          <cell r="O528">
            <v>0</v>
          </cell>
          <cell r="P528">
            <v>0</v>
          </cell>
          <cell r="Q528">
            <v>0</v>
          </cell>
          <cell r="R528">
            <v>0</v>
          </cell>
          <cell r="S528">
            <v>0</v>
          </cell>
          <cell r="T528">
            <v>0</v>
          </cell>
          <cell r="U528">
            <v>0</v>
          </cell>
          <cell r="V528">
            <v>0</v>
          </cell>
        </row>
        <row r="529">
          <cell r="C529" t="str">
            <v>2000IA</v>
          </cell>
          <cell r="D529">
            <v>5070</v>
          </cell>
          <cell r="E529">
            <v>1728000</v>
          </cell>
          <cell r="F529">
            <v>846</v>
          </cell>
          <cell r="G529">
            <v>0</v>
          </cell>
          <cell r="H529">
            <v>0</v>
          </cell>
          <cell r="I529">
            <v>12060</v>
          </cell>
          <cell r="J529">
            <v>0</v>
          </cell>
          <cell r="K529">
            <v>0</v>
          </cell>
          <cell r="L529">
            <v>0</v>
          </cell>
          <cell r="M529">
            <v>464580</v>
          </cell>
          <cell r="N529">
            <v>0</v>
          </cell>
          <cell r="O529">
            <v>0</v>
          </cell>
          <cell r="P529">
            <v>0</v>
          </cell>
          <cell r="Q529">
            <v>0</v>
          </cell>
          <cell r="R529">
            <v>0</v>
          </cell>
          <cell r="S529">
            <v>0</v>
          </cell>
          <cell r="T529">
            <v>0</v>
          </cell>
          <cell r="U529">
            <v>0</v>
          </cell>
          <cell r="V529">
            <v>0</v>
          </cell>
        </row>
        <row r="530">
          <cell r="C530" t="str">
            <v>2000KS</v>
          </cell>
          <cell r="D530">
            <v>3895</v>
          </cell>
          <cell r="E530">
            <v>412100</v>
          </cell>
          <cell r="F530">
            <v>347800</v>
          </cell>
          <cell r="G530">
            <v>245</v>
          </cell>
          <cell r="H530">
            <v>188800</v>
          </cell>
          <cell r="I530">
            <v>2200</v>
          </cell>
          <cell r="J530">
            <v>0</v>
          </cell>
          <cell r="K530">
            <v>0</v>
          </cell>
          <cell r="L530">
            <v>0</v>
          </cell>
          <cell r="M530">
            <v>50000</v>
          </cell>
          <cell r="N530">
            <v>0</v>
          </cell>
          <cell r="O530">
            <v>289</v>
          </cell>
          <cell r="P530">
            <v>0</v>
          </cell>
          <cell r="Q530">
            <v>0</v>
          </cell>
          <cell r="R530">
            <v>0</v>
          </cell>
          <cell r="S530">
            <v>0</v>
          </cell>
          <cell r="T530">
            <v>0</v>
          </cell>
          <cell r="U530">
            <v>0</v>
          </cell>
          <cell r="V530">
            <v>0</v>
          </cell>
        </row>
        <row r="531">
          <cell r="C531" t="str">
            <v>2000KY</v>
          </cell>
          <cell r="D531">
            <v>897</v>
          </cell>
          <cell r="E531">
            <v>159900</v>
          </cell>
          <cell r="F531">
            <v>23940</v>
          </cell>
          <cell r="G531">
            <v>600</v>
          </cell>
          <cell r="H531">
            <v>765</v>
          </cell>
          <cell r="I531">
            <v>0</v>
          </cell>
          <cell r="J531">
            <v>0</v>
          </cell>
          <cell r="K531">
            <v>0</v>
          </cell>
          <cell r="L531">
            <v>0</v>
          </cell>
          <cell r="M531">
            <v>45240</v>
          </cell>
          <cell r="N531">
            <v>0</v>
          </cell>
          <cell r="O531">
            <v>0</v>
          </cell>
          <cell r="P531">
            <v>0</v>
          </cell>
          <cell r="Q531">
            <v>0</v>
          </cell>
          <cell r="R531">
            <v>0</v>
          </cell>
          <cell r="S531">
            <v>0</v>
          </cell>
          <cell r="T531">
            <v>0</v>
          </cell>
          <cell r="U531">
            <v>0</v>
          </cell>
          <cell r="V531">
            <v>0</v>
          </cell>
        </row>
        <row r="532">
          <cell r="C532" t="str">
            <v>2000LA</v>
          </cell>
          <cell r="D532">
            <v>0</v>
          </cell>
          <cell r="E532">
            <v>42920</v>
          </cell>
          <cell r="F532">
            <v>9805</v>
          </cell>
          <cell r="G532">
            <v>0</v>
          </cell>
          <cell r="H532">
            <v>17845</v>
          </cell>
          <cell r="I532">
            <v>0</v>
          </cell>
          <cell r="J532">
            <v>0</v>
          </cell>
          <cell r="K532">
            <v>0</v>
          </cell>
          <cell r="L532">
            <v>24402</v>
          </cell>
          <cell r="M532">
            <v>20400</v>
          </cell>
          <cell r="N532">
            <v>0</v>
          </cell>
          <cell r="O532">
            <v>0</v>
          </cell>
          <cell r="P532">
            <v>0</v>
          </cell>
          <cell r="Q532">
            <v>0</v>
          </cell>
          <cell r="R532">
            <v>0</v>
          </cell>
          <cell r="S532">
            <v>0</v>
          </cell>
          <cell r="T532">
            <v>14851</v>
          </cell>
          <cell r="U532">
            <v>480</v>
          </cell>
          <cell r="V532">
            <v>192</v>
          </cell>
          <cell r="W532">
            <v>0.05</v>
          </cell>
        </row>
        <row r="533">
          <cell r="C533" t="str">
            <v>2000ME</v>
          </cell>
          <cell r="D533">
            <v>26</v>
          </cell>
          <cell r="E533">
            <v>0</v>
          </cell>
          <cell r="F533">
            <v>0</v>
          </cell>
          <cell r="G533">
            <v>1750</v>
          </cell>
          <cell r="H533">
            <v>0</v>
          </cell>
          <cell r="I533">
            <v>1820</v>
          </cell>
          <cell r="J533">
            <v>0</v>
          </cell>
          <cell r="K533">
            <v>0</v>
          </cell>
          <cell r="L533">
            <v>0</v>
          </cell>
          <cell r="M533">
            <v>0</v>
          </cell>
          <cell r="N533">
            <v>0</v>
          </cell>
          <cell r="O533">
            <v>0</v>
          </cell>
          <cell r="P533">
            <v>0</v>
          </cell>
          <cell r="Q533">
            <v>0</v>
          </cell>
          <cell r="R533">
            <v>0</v>
          </cell>
          <cell r="S533">
            <v>0</v>
          </cell>
          <cell r="T533">
            <v>0</v>
          </cell>
          <cell r="U533">
            <v>0</v>
          </cell>
          <cell r="V533">
            <v>0</v>
          </cell>
        </row>
        <row r="534">
          <cell r="C534" t="str">
            <v>2000MD</v>
          </cell>
          <cell r="D534">
            <v>286</v>
          </cell>
          <cell r="E534">
            <v>62775</v>
          </cell>
          <cell r="F534">
            <v>12600</v>
          </cell>
          <cell r="G534">
            <v>3526</v>
          </cell>
          <cell r="H534">
            <v>756</v>
          </cell>
          <cell r="I534">
            <v>0</v>
          </cell>
          <cell r="J534">
            <v>0</v>
          </cell>
          <cell r="K534">
            <v>0</v>
          </cell>
          <cell r="L534">
            <v>0</v>
          </cell>
          <cell r="M534">
            <v>22145</v>
          </cell>
          <cell r="N534">
            <v>0</v>
          </cell>
          <cell r="O534">
            <v>0</v>
          </cell>
          <cell r="P534">
            <v>0</v>
          </cell>
          <cell r="Q534">
            <v>0</v>
          </cell>
          <cell r="R534">
            <v>0</v>
          </cell>
          <cell r="S534">
            <v>0</v>
          </cell>
          <cell r="T534">
            <v>0</v>
          </cell>
          <cell r="U534">
            <v>0</v>
          </cell>
          <cell r="V534">
            <v>0</v>
          </cell>
        </row>
        <row r="535">
          <cell r="C535" t="str">
            <v>2000MA</v>
          </cell>
          <cell r="D535">
            <v>37</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row>
        <row r="536">
          <cell r="C536" t="str">
            <v>2000MI</v>
          </cell>
          <cell r="D536">
            <v>3700</v>
          </cell>
          <cell r="E536">
            <v>241800</v>
          </cell>
          <cell r="F536">
            <v>36000</v>
          </cell>
          <cell r="G536">
            <v>720</v>
          </cell>
          <cell r="H536">
            <v>0</v>
          </cell>
          <cell r="I536">
            <v>4800</v>
          </cell>
          <cell r="J536">
            <v>0</v>
          </cell>
          <cell r="K536">
            <v>0</v>
          </cell>
          <cell r="L536">
            <v>0</v>
          </cell>
          <cell r="M536">
            <v>73080</v>
          </cell>
          <cell r="N536">
            <v>0</v>
          </cell>
          <cell r="O536">
            <v>4125</v>
          </cell>
          <cell r="P536">
            <v>0</v>
          </cell>
          <cell r="Q536">
            <v>0</v>
          </cell>
          <cell r="R536">
            <v>0</v>
          </cell>
          <cell r="S536">
            <v>0</v>
          </cell>
          <cell r="T536">
            <v>0</v>
          </cell>
          <cell r="U536">
            <v>0</v>
          </cell>
          <cell r="V536">
            <v>0</v>
          </cell>
        </row>
        <row r="537">
          <cell r="C537" t="str">
            <v>2000MN</v>
          </cell>
          <cell r="D537">
            <v>5580</v>
          </cell>
          <cell r="E537">
            <v>964250</v>
          </cell>
          <cell r="F537">
            <v>96526</v>
          </cell>
          <cell r="G537">
            <v>15360</v>
          </cell>
          <cell r="H537">
            <v>0</v>
          </cell>
          <cell r="I537">
            <v>22320</v>
          </cell>
          <cell r="J537">
            <v>0</v>
          </cell>
          <cell r="K537">
            <v>0</v>
          </cell>
          <cell r="L537">
            <v>0</v>
          </cell>
          <cell r="M537">
            <v>293150</v>
          </cell>
          <cell r="N537">
            <v>0</v>
          </cell>
          <cell r="O537">
            <v>2400</v>
          </cell>
          <cell r="P537">
            <v>0</v>
          </cell>
          <cell r="Q537">
            <v>0</v>
          </cell>
          <cell r="R537">
            <v>0</v>
          </cell>
          <cell r="S537">
            <v>0</v>
          </cell>
          <cell r="T537">
            <v>0</v>
          </cell>
          <cell r="U537">
            <v>0</v>
          </cell>
          <cell r="V537">
            <v>0</v>
          </cell>
        </row>
        <row r="538">
          <cell r="C538" t="str">
            <v>2000MS</v>
          </cell>
          <cell r="D538">
            <v>0</v>
          </cell>
          <cell r="E538">
            <v>36500</v>
          </cell>
          <cell r="F538">
            <v>12925</v>
          </cell>
          <cell r="G538">
            <v>0</v>
          </cell>
          <cell r="H538">
            <v>6708</v>
          </cell>
          <cell r="I538">
            <v>0</v>
          </cell>
          <cell r="J538">
            <v>0</v>
          </cell>
          <cell r="K538">
            <v>0</v>
          </cell>
          <cell r="L538">
            <v>12862</v>
          </cell>
          <cell r="M538">
            <v>34760</v>
          </cell>
          <cell r="N538">
            <v>0</v>
          </cell>
          <cell r="O538">
            <v>0</v>
          </cell>
          <cell r="P538">
            <v>0</v>
          </cell>
          <cell r="Q538">
            <v>0</v>
          </cell>
          <cell r="R538">
            <v>0</v>
          </cell>
          <cell r="S538">
            <v>0</v>
          </cell>
          <cell r="T538">
            <v>0</v>
          </cell>
          <cell r="U538">
            <v>218</v>
          </cell>
          <cell r="V538">
            <v>0</v>
          </cell>
          <cell r="W538">
            <v>0.4</v>
          </cell>
        </row>
        <row r="539">
          <cell r="C539" t="str">
            <v>2000MO</v>
          </cell>
          <cell r="D539">
            <v>1209</v>
          </cell>
          <cell r="E539">
            <v>396110</v>
          </cell>
          <cell r="F539">
            <v>49400</v>
          </cell>
          <cell r="G539">
            <v>0</v>
          </cell>
          <cell r="H539">
            <v>24840</v>
          </cell>
          <cell r="I539">
            <v>1590</v>
          </cell>
          <cell r="J539">
            <v>0</v>
          </cell>
          <cell r="K539">
            <v>0</v>
          </cell>
          <cell r="L539">
            <v>9633</v>
          </cell>
          <cell r="M539">
            <v>175000</v>
          </cell>
          <cell r="N539">
            <v>0</v>
          </cell>
          <cell r="O539">
            <v>0</v>
          </cell>
          <cell r="P539">
            <v>0</v>
          </cell>
          <cell r="Q539">
            <v>0</v>
          </cell>
          <cell r="R539">
            <v>0</v>
          </cell>
          <cell r="S539">
            <v>0</v>
          </cell>
          <cell r="T539">
            <v>0</v>
          </cell>
          <cell r="U539">
            <v>174</v>
          </cell>
          <cell r="V539">
            <v>0</v>
          </cell>
          <cell r="W539">
            <v>0.18</v>
          </cell>
        </row>
        <row r="540">
          <cell r="C540" t="str">
            <v>2000MT</v>
          </cell>
          <cell r="D540">
            <v>2940</v>
          </cell>
          <cell r="E540">
            <v>2240</v>
          </cell>
          <cell r="F540">
            <v>135210</v>
          </cell>
          <cell r="G540">
            <v>38000</v>
          </cell>
          <cell r="H540">
            <v>0</v>
          </cell>
          <cell r="I540">
            <v>2500</v>
          </cell>
          <cell r="J540">
            <v>0</v>
          </cell>
          <cell r="K540">
            <v>0</v>
          </cell>
          <cell r="L540">
            <v>0</v>
          </cell>
          <cell r="M540">
            <v>0</v>
          </cell>
          <cell r="N540">
            <v>0</v>
          </cell>
          <cell r="O540">
            <v>512</v>
          </cell>
          <cell r="P540">
            <v>208</v>
          </cell>
          <cell r="Q540">
            <v>0</v>
          </cell>
          <cell r="R540">
            <v>210</v>
          </cell>
          <cell r="S540">
            <v>0</v>
          </cell>
          <cell r="T540">
            <v>0</v>
          </cell>
          <cell r="U540">
            <v>0</v>
          </cell>
          <cell r="V540">
            <v>0</v>
          </cell>
        </row>
        <row r="541">
          <cell r="C541" t="str">
            <v>2000NE</v>
          </cell>
          <cell r="D541">
            <v>4185</v>
          </cell>
          <cell r="E541">
            <v>1014300</v>
          </cell>
          <cell r="F541">
            <v>59400</v>
          </cell>
          <cell r="G541">
            <v>135</v>
          </cell>
          <cell r="H541">
            <v>35000</v>
          </cell>
          <cell r="I541">
            <v>1890</v>
          </cell>
          <cell r="J541">
            <v>0</v>
          </cell>
          <cell r="K541">
            <v>2430</v>
          </cell>
          <cell r="L541">
            <v>0</v>
          </cell>
          <cell r="M541">
            <v>173850</v>
          </cell>
          <cell r="N541">
            <v>0</v>
          </cell>
          <cell r="O541">
            <v>3230</v>
          </cell>
          <cell r="P541">
            <v>0</v>
          </cell>
          <cell r="Q541">
            <v>0</v>
          </cell>
          <cell r="R541">
            <v>0</v>
          </cell>
          <cell r="S541">
            <v>0</v>
          </cell>
          <cell r="T541">
            <v>0</v>
          </cell>
          <cell r="U541">
            <v>0</v>
          </cell>
          <cell r="V541">
            <v>0</v>
          </cell>
        </row>
        <row r="542">
          <cell r="C542" t="str">
            <v>2000NV</v>
          </cell>
          <cell r="D542">
            <v>1265</v>
          </cell>
          <cell r="E542">
            <v>0</v>
          </cell>
          <cell r="F542">
            <v>1470</v>
          </cell>
          <cell r="G542">
            <v>255</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row>
        <row r="543">
          <cell r="C543" t="str">
            <v>2000NH</v>
          </cell>
          <cell r="D543">
            <v>16</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row>
        <row r="544">
          <cell r="C544" t="str">
            <v>2000NJ</v>
          </cell>
          <cell r="D544">
            <v>90</v>
          </cell>
          <cell r="E544">
            <v>10050</v>
          </cell>
          <cell r="F544">
            <v>1995</v>
          </cell>
          <cell r="G544">
            <v>312</v>
          </cell>
          <cell r="H544">
            <v>0</v>
          </cell>
          <cell r="I544">
            <v>0</v>
          </cell>
          <cell r="J544">
            <v>0</v>
          </cell>
          <cell r="K544">
            <v>0</v>
          </cell>
          <cell r="L544">
            <v>0</v>
          </cell>
          <cell r="M544">
            <v>3920</v>
          </cell>
          <cell r="N544">
            <v>0</v>
          </cell>
          <cell r="O544">
            <v>0</v>
          </cell>
          <cell r="P544">
            <v>0</v>
          </cell>
          <cell r="Q544">
            <v>0</v>
          </cell>
          <cell r="R544">
            <v>0</v>
          </cell>
          <cell r="S544">
            <v>0</v>
          </cell>
          <cell r="T544">
            <v>0</v>
          </cell>
          <cell r="U544">
            <v>0</v>
          </cell>
          <cell r="V544">
            <v>0</v>
          </cell>
        </row>
        <row r="545">
          <cell r="C545" t="str">
            <v>2000NM</v>
          </cell>
          <cell r="D545">
            <v>1508</v>
          </cell>
          <cell r="E545">
            <v>10560</v>
          </cell>
          <cell r="F545">
            <v>4200</v>
          </cell>
          <cell r="G545">
            <v>0</v>
          </cell>
          <cell r="H545">
            <v>1625</v>
          </cell>
          <cell r="I545">
            <v>0</v>
          </cell>
          <cell r="J545">
            <v>0</v>
          </cell>
          <cell r="K545">
            <v>0</v>
          </cell>
          <cell r="L545">
            <v>0</v>
          </cell>
          <cell r="M545">
            <v>0</v>
          </cell>
          <cell r="N545">
            <v>54990</v>
          </cell>
          <cell r="O545">
            <v>108</v>
          </cell>
          <cell r="P545">
            <v>0</v>
          </cell>
          <cell r="Q545">
            <v>0</v>
          </cell>
          <cell r="R545">
            <v>0</v>
          </cell>
          <cell r="S545">
            <v>0</v>
          </cell>
          <cell r="T545">
            <v>0</v>
          </cell>
          <cell r="U545">
            <v>0</v>
          </cell>
          <cell r="V545">
            <v>0</v>
          </cell>
        </row>
        <row r="546">
          <cell r="C546" t="str">
            <v>2000NY</v>
          </cell>
          <cell r="D546">
            <v>1080</v>
          </cell>
          <cell r="E546">
            <v>44100</v>
          </cell>
          <cell r="F546">
            <v>7420</v>
          </cell>
          <cell r="G546">
            <v>580</v>
          </cell>
          <cell r="H546">
            <v>0</v>
          </cell>
          <cell r="I546">
            <v>3900</v>
          </cell>
          <cell r="J546">
            <v>0</v>
          </cell>
          <cell r="K546">
            <v>0</v>
          </cell>
          <cell r="L546">
            <v>0</v>
          </cell>
          <cell r="M546">
            <v>4356</v>
          </cell>
          <cell r="N546">
            <v>0</v>
          </cell>
          <cell r="O546">
            <v>358</v>
          </cell>
          <cell r="P546">
            <v>0</v>
          </cell>
          <cell r="Q546">
            <v>0</v>
          </cell>
          <cell r="R546">
            <v>0</v>
          </cell>
          <cell r="S546">
            <v>0</v>
          </cell>
          <cell r="T546">
            <v>0</v>
          </cell>
          <cell r="U546">
            <v>0</v>
          </cell>
          <cell r="V546">
            <v>0</v>
          </cell>
        </row>
        <row r="547">
          <cell r="C547" t="str">
            <v>2000NC</v>
          </cell>
          <cell r="D547">
            <v>54</v>
          </cell>
          <cell r="E547">
            <v>74240</v>
          </cell>
          <cell r="F547">
            <v>25000</v>
          </cell>
          <cell r="G547">
            <v>1440</v>
          </cell>
          <cell r="H547">
            <v>600</v>
          </cell>
          <cell r="I547">
            <v>2100</v>
          </cell>
          <cell r="J547">
            <v>0</v>
          </cell>
          <cell r="K547">
            <v>0</v>
          </cell>
          <cell r="L547">
            <v>0</v>
          </cell>
          <cell r="M547">
            <v>44200</v>
          </cell>
          <cell r="N547">
            <v>338250</v>
          </cell>
          <cell r="O547">
            <v>0</v>
          </cell>
          <cell r="P547">
            <v>0</v>
          </cell>
          <cell r="Q547">
            <v>0</v>
          </cell>
          <cell r="R547">
            <v>0</v>
          </cell>
          <cell r="S547">
            <v>0</v>
          </cell>
          <cell r="T547">
            <v>0</v>
          </cell>
          <cell r="U547">
            <v>0</v>
          </cell>
          <cell r="V547">
            <v>0</v>
          </cell>
        </row>
        <row r="548">
          <cell r="C548" t="str">
            <v>2000ND</v>
          </cell>
          <cell r="D548">
            <v>3240</v>
          </cell>
          <cell r="E548">
            <v>104160</v>
          </cell>
          <cell r="F548">
            <v>316985</v>
          </cell>
          <cell r="G548">
            <v>97350</v>
          </cell>
          <cell r="H548">
            <v>0</v>
          </cell>
          <cell r="I548">
            <v>19845</v>
          </cell>
          <cell r="J548">
            <v>704</v>
          </cell>
          <cell r="K548">
            <v>0</v>
          </cell>
          <cell r="L548">
            <v>0</v>
          </cell>
          <cell r="M548">
            <v>59200</v>
          </cell>
          <cell r="N548">
            <v>0</v>
          </cell>
          <cell r="O548">
            <v>7613</v>
          </cell>
          <cell r="P548">
            <v>1345</v>
          </cell>
          <cell r="Q548">
            <v>0</v>
          </cell>
          <cell r="R548">
            <v>616</v>
          </cell>
          <cell r="S548">
            <v>0</v>
          </cell>
          <cell r="T548">
            <v>0</v>
          </cell>
          <cell r="U548">
            <v>0</v>
          </cell>
          <cell r="V548">
            <v>0</v>
          </cell>
        </row>
        <row r="549">
          <cell r="C549" t="str">
            <v>2000OH</v>
          </cell>
          <cell r="D549">
            <v>2560</v>
          </cell>
          <cell r="E549">
            <v>485100</v>
          </cell>
          <cell r="F549">
            <v>79920</v>
          </cell>
          <cell r="G549">
            <v>1014</v>
          </cell>
          <cell r="H549">
            <v>0</v>
          </cell>
          <cell r="I549">
            <v>6840</v>
          </cell>
          <cell r="J549">
            <v>0</v>
          </cell>
          <cell r="K549">
            <v>0</v>
          </cell>
          <cell r="L549">
            <v>0</v>
          </cell>
          <cell r="M549">
            <v>186480</v>
          </cell>
          <cell r="N549">
            <v>0</v>
          </cell>
          <cell r="O549">
            <v>0</v>
          </cell>
          <cell r="P549">
            <v>0</v>
          </cell>
          <cell r="Q549">
            <v>0</v>
          </cell>
          <cell r="R549">
            <v>0</v>
          </cell>
          <cell r="S549">
            <v>0</v>
          </cell>
          <cell r="T549">
            <v>0</v>
          </cell>
          <cell r="U549">
            <v>0</v>
          </cell>
          <cell r="V549">
            <v>0</v>
          </cell>
        </row>
        <row r="550">
          <cell r="C550" t="str">
            <v>2000OK</v>
          </cell>
          <cell r="D550">
            <v>1089</v>
          </cell>
          <cell r="E550">
            <v>33600</v>
          </cell>
          <cell r="F550">
            <v>142800</v>
          </cell>
          <cell r="G550">
            <v>0</v>
          </cell>
          <cell r="H550">
            <v>13680</v>
          </cell>
          <cell r="I550">
            <v>660</v>
          </cell>
          <cell r="J550">
            <v>1470</v>
          </cell>
          <cell r="K550">
            <v>0</v>
          </cell>
          <cell r="L550">
            <v>0</v>
          </cell>
          <cell r="M550">
            <v>4350</v>
          </cell>
          <cell r="N550">
            <v>120600</v>
          </cell>
          <cell r="O550">
            <v>0</v>
          </cell>
          <cell r="P550">
            <v>0</v>
          </cell>
          <cell r="Q550">
            <v>0</v>
          </cell>
          <cell r="R550">
            <v>0</v>
          </cell>
          <cell r="S550">
            <v>0</v>
          </cell>
          <cell r="T550">
            <v>0</v>
          </cell>
          <cell r="U550">
            <v>0.7</v>
          </cell>
          <cell r="V550">
            <v>0</v>
          </cell>
          <cell r="W550">
            <v>0.9</v>
          </cell>
        </row>
        <row r="551">
          <cell r="C551" t="str">
            <v>2000OR</v>
          </cell>
          <cell r="D551">
            <v>1638</v>
          </cell>
          <cell r="E551">
            <v>4860</v>
          </cell>
          <cell r="F551">
            <v>53540</v>
          </cell>
          <cell r="G551">
            <v>8400</v>
          </cell>
          <cell r="H551">
            <v>0</v>
          </cell>
          <cell r="I551">
            <v>2450</v>
          </cell>
          <cell r="J551">
            <v>0</v>
          </cell>
          <cell r="K551">
            <v>0</v>
          </cell>
          <cell r="L551">
            <v>0</v>
          </cell>
          <cell r="M551">
            <v>0</v>
          </cell>
          <cell r="N551">
            <v>0</v>
          </cell>
          <cell r="O551">
            <v>211</v>
          </cell>
          <cell r="P551">
            <v>100</v>
          </cell>
          <cell r="Q551">
            <v>6</v>
          </cell>
          <cell r="R551">
            <v>0</v>
          </cell>
          <cell r="S551">
            <v>0</v>
          </cell>
          <cell r="T551">
            <v>0</v>
          </cell>
          <cell r="U551">
            <v>0</v>
          </cell>
          <cell r="V551">
            <v>0</v>
          </cell>
        </row>
        <row r="552">
          <cell r="C552" t="str">
            <v>2000PA</v>
          </cell>
          <cell r="D552">
            <v>2015</v>
          </cell>
          <cell r="E552">
            <v>137160</v>
          </cell>
          <cell r="F552">
            <v>10335</v>
          </cell>
          <cell r="G552">
            <v>5325</v>
          </cell>
          <cell r="H552">
            <v>320</v>
          </cell>
          <cell r="I552">
            <v>8265</v>
          </cell>
          <cell r="J552">
            <v>0</v>
          </cell>
          <cell r="K552">
            <v>0</v>
          </cell>
          <cell r="L552">
            <v>0</v>
          </cell>
          <cell r="M552">
            <v>16555</v>
          </cell>
          <cell r="N552">
            <v>0</v>
          </cell>
          <cell r="O552">
            <v>0</v>
          </cell>
          <cell r="P552">
            <v>0</v>
          </cell>
          <cell r="Q552">
            <v>0</v>
          </cell>
          <cell r="R552">
            <v>0</v>
          </cell>
          <cell r="S552">
            <v>0</v>
          </cell>
          <cell r="T552">
            <v>0</v>
          </cell>
          <cell r="U552">
            <v>0</v>
          </cell>
          <cell r="V552">
            <v>0</v>
          </cell>
        </row>
        <row r="553">
          <cell r="C553" t="str">
            <v>2000RI</v>
          </cell>
          <cell r="D553">
            <v>5</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row>
        <row r="554">
          <cell r="C554" t="str">
            <v>2000SC</v>
          </cell>
          <cell r="D554">
            <v>0</v>
          </cell>
          <cell r="E554">
            <v>18200</v>
          </cell>
          <cell r="F554">
            <v>9555</v>
          </cell>
          <cell r="G554">
            <v>0</v>
          </cell>
          <cell r="H554">
            <v>364</v>
          </cell>
          <cell r="I554">
            <v>2100</v>
          </cell>
          <cell r="J554">
            <v>0</v>
          </cell>
          <cell r="K554">
            <v>0</v>
          </cell>
          <cell r="L554">
            <v>0</v>
          </cell>
          <cell r="M554">
            <v>10750</v>
          </cell>
          <cell r="N554">
            <v>29500</v>
          </cell>
          <cell r="O554">
            <v>0</v>
          </cell>
          <cell r="P554">
            <v>0</v>
          </cell>
          <cell r="Q554">
            <v>0</v>
          </cell>
          <cell r="R554">
            <v>0</v>
          </cell>
          <cell r="S554">
            <v>0</v>
          </cell>
          <cell r="T554">
            <v>0</v>
          </cell>
          <cell r="U554">
            <v>0</v>
          </cell>
          <cell r="V554">
            <v>0</v>
          </cell>
        </row>
        <row r="555">
          <cell r="C555" t="str">
            <v>2000SD</v>
          </cell>
          <cell r="D555">
            <v>5433</v>
          </cell>
          <cell r="E555">
            <v>425600</v>
          </cell>
          <cell r="F555">
            <v>114268</v>
          </cell>
          <cell r="G555">
            <v>5775</v>
          </cell>
          <cell r="H555">
            <v>5880</v>
          </cell>
          <cell r="I555">
            <v>13420</v>
          </cell>
          <cell r="J555">
            <v>546</v>
          </cell>
          <cell r="K555">
            <v>2040</v>
          </cell>
          <cell r="L555">
            <v>0</v>
          </cell>
          <cell r="M555">
            <v>152950</v>
          </cell>
          <cell r="N555">
            <v>0</v>
          </cell>
          <cell r="O555">
            <v>226</v>
          </cell>
          <cell r="P555">
            <v>0</v>
          </cell>
          <cell r="Q555">
            <v>0</v>
          </cell>
          <cell r="R555">
            <v>0</v>
          </cell>
          <cell r="S555">
            <v>0</v>
          </cell>
          <cell r="T555">
            <v>0</v>
          </cell>
          <cell r="U555">
            <v>0</v>
          </cell>
          <cell r="V555">
            <v>0</v>
          </cell>
        </row>
        <row r="556">
          <cell r="C556" t="str">
            <v>2000TN</v>
          </cell>
          <cell r="D556">
            <v>137</v>
          </cell>
          <cell r="E556">
            <v>66120</v>
          </cell>
          <cell r="F556">
            <v>20900</v>
          </cell>
          <cell r="G556">
            <v>0</v>
          </cell>
          <cell r="H556">
            <v>1650</v>
          </cell>
          <cell r="I556">
            <v>0</v>
          </cell>
          <cell r="J556">
            <v>0</v>
          </cell>
          <cell r="K556">
            <v>0</v>
          </cell>
          <cell r="L556">
            <v>0</v>
          </cell>
          <cell r="M556">
            <v>28750</v>
          </cell>
          <cell r="N556">
            <v>0</v>
          </cell>
          <cell r="O556">
            <v>0</v>
          </cell>
          <cell r="P556">
            <v>0</v>
          </cell>
          <cell r="Q556">
            <v>0</v>
          </cell>
          <cell r="R556">
            <v>0</v>
          </cell>
          <cell r="S556">
            <v>0</v>
          </cell>
          <cell r="T556">
            <v>0</v>
          </cell>
          <cell r="U556">
            <v>0</v>
          </cell>
          <cell r="V556">
            <v>0</v>
          </cell>
        </row>
        <row r="557">
          <cell r="C557" t="str">
            <v>2000TX</v>
          </cell>
          <cell r="D557">
            <v>520</v>
          </cell>
          <cell r="E557">
            <v>235600</v>
          </cell>
          <cell r="F557">
            <v>66000</v>
          </cell>
          <cell r="G557">
            <v>0</v>
          </cell>
          <cell r="H557">
            <v>143350</v>
          </cell>
          <cell r="I557">
            <v>4300</v>
          </cell>
          <cell r="J557">
            <v>0</v>
          </cell>
          <cell r="K557">
            <v>0</v>
          </cell>
          <cell r="L557">
            <v>14342</v>
          </cell>
          <cell r="M557">
            <v>7020</v>
          </cell>
          <cell r="N557">
            <v>698500</v>
          </cell>
          <cell r="O557">
            <v>158</v>
          </cell>
          <cell r="P557">
            <v>0</v>
          </cell>
          <cell r="Q557">
            <v>0</v>
          </cell>
          <cell r="R557">
            <v>0</v>
          </cell>
          <cell r="S557">
            <v>0</v>
          </cell>
          <cell r="T557">
            <v>1789</v>
          </cell>
          <cell r="U557">
            <v>214</v>
          </cell>
          <cell r="V557">
            <v>107</v>
          </cell>
          <cell r="W557">
            <v>0</v>
          </cell>
        </row>
        <row r="558">
          <cell r="C558" t="str">
            <v>2000UT</v>
          </cell>
          <cell r="D558">
            <v>2300</v>
          </cell>
          <cell r="E558">
            <v>2592</v>
          </cell>
          <cell r="F558">
            <v>6850</v>
          </cell>
          <cell r="G558">
            <v>5460</v>
          </cell>
          <cell r="H558">
            <v>0</v>
          </cell>
          <cell r="I558">
            <v>490</v>
          </cell>
          <cell r="J558">
            <v>0</v>
          </cell>
          <cell r="K558">
            <v>0</v>
          </cell>
          <cell r="L558">
            <v>0</v>
          </cell>
          <cell r="M558">
            <v>0</v>
          </cell>
          <cell r="N558">
            <v>0</v>
          </cell>
          <cell r="O558">
            <v>10</v>
          </cell>
          <cell r="P558">
            <v>0</v>
          </cell>
          <cell r="Q558">
            <v>0</v>
          </cell>
          <cell r="R558">
            <v>0</v>
          </cell>
          <cell r="S558">
            <v>0</v>
          </cell>
          <cell r="T558">
            <v>0</v>
          </cell>
          <cell r="U558">
            <v>0</v>
          </cell>
          <cell r="V558">
            <v>0</v>
          </cell>
        </row>
        <row r="559">
          <cell r="C559" t="str">
            <v>2000VT</v>
          </cell>
          <cell r="D559">
            <v>100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row>
        <row r="560">
          <cell r="C560" t="str">
            <v>2000VA</v>
          </cell>
          <cell r="D560">
            <v>480</v>
          </cell>
          <cell r="E560">
            <v>48180</v>
          </cell>
          <cell r="F560">
            <v>12915</v>
          </cell>
          <cell r="G560">
            <v>5785</v>
          </cell>
          <cell r="H560">
            <v>492</v>
          </cell>
          <cell r="I560">
            <v>0</v>
          </cell>
          <cell r="J560">
            <v>0</v>
          </cell>
          <cell r="K560">
            <v>0</v>
          </cell>
          <cell r="L560">
            <v>0</v>
          </cell>
          <cell r="M560">
            <v>18480</v>
          </cell>
          <cell r="N560">
            <v>210375</v>
          </cell>
          <cell r="O560">
            <v>0</v>
          </cell>
          <cell r="P560">
            <v>0</v>
          </cell>
          <cell r="Q560">
            <v>0</v>
          </cell>
          <cell r="R560">
            <v>0</v>
          </cell>
          <cell r="S560">
            <v>0</v>
          </cell>
          <cell r="T560">
            <v>0</v>
          </cell>
          <cell r="U560">
            <v>0</v>
          </cell>
          <cell r="V560">
            <v>0</v>
          </cell>
        </row>
        <row r="561">
          <cell r="C561" t="str">
            <v>2000WA</v>
          </cell>
          <cell r="D561">
            <v>2350</v>
          </cell>
          <cell r="E561">
            <v>18500</v>
          </cell>
          <cell r="F561">
            <v>164880</v>
          </cell>
          <cell r="G561">
            <v>34300</v>
          </cell>
          <cell r="H561">
            <v>0</v>
          </cell>
          <cell r="I561">
            <v>1125</v>
          </cell>
          <cell r="J561">
            <v>0</v>
          </cell>
          <cell r="K561">
            <v>0</v>
          </cell>
          <cell r="L561">
            <v>0</v>
          </cell>
          <cell r="M561">
            <v>0</v>
          </cell>
          <cell r="N561">
            <v>0</v>
          </cell>
          <cell r="O561">
            <v>640</v>
          </cell>
          <cell r="P561">
            <v>1365</v>
          </cell>
          <cell r="Q561">
            <v>0</v>
          </cell>
          <cell r="R561">
            <v>1275</v>
          </cell>
          <cell r="S561">
            <v>349</v>
          </cell>
          <cell r="T561">
            <v>0</v>
          </cell>
          <cell r="U561">
            <v>0</v>
          </cell>
          <cell r="V561">
            <v>0</v>
          </cell>
        </row>
        <row r="562">
          <cell r="C562" t="str">
            <v>2000WV</v>
          </cell>
          <cell r="D562">
            <v>160</v>
          </cell>
          <cell r="E562">
            <v>4550</v>
          </cell>
          <cell r="F562">
            <v>549</v>
          </cell>
          <cell r="G562">
            <v>0</v>
          </cell>
          <cell r="H562">
            <v>0</v>
          </cell>
          <cell r="I562">
            <v>0</v>
          </cell>
          <cell r="J562">
            <v>0</v>
          </cell>
          <cell r="K562">
            <v>0</v>
          </cell>
          <cell r="L562">
            <v>0</v>
          </cell>
          <cell r="M562">
            <v>705</v>
          </cell>
          <cell r="N562">
            <v>0</v>
          </cell>
          <cell r="O562">
            <v>0</v>
          </cell>
          <cell r="P562">
            <v>0</v>
          </cell>
          <cell r="Q562">
            <v>0</v>
          </cell>
          <cell r="R562">
            <v>0</v>
          </cell>
          <cell r="S562">
            <v>0</v>
          </cell>
          <cell r="T562">
            <v>0</v>
          </cell>
          <cell r="U562">
            <v>0</v>
          </cell>
          <cell r="V562">
            <v>0</v>
          </cell>
        </row>
        <row r="563">
          <cell r="C563" t="str">
            <v>2000WI</v>
          </cell>
          <cell r="D563">
            <v>5400</v>
          </cell>
          <cell r="E563">
            <v>363000</v>
          </cell>
          <cell r="F563">
            <v>8730</v>
          </cell>
          <cell r="G563">
            <v>3200</v>
          </cell>
          <cell r="H563">
            <v>0</v>
          </cell>
          <cell r="I563">
            <v>19040</v>
          </cell>
          <cell r="J563">
            <v>0</v>
          </cell>
          <cell r="K563">
            <v>0</v>
          </cell>
          <cell r="L563">
            <v>0</v>
          </cell>
          <cell r="M563">
            <v>60000</v>
          </cell>
          <cell r="N563">
            <v>0</v>
          </cell>
          <cell r="O563">
            <v>146</v>
          </cell>
          <cell r="P563">
            <v>0</v>
          </cell>
          <cell r="Q563">
            <v>0</v>
          </cell>
          <cell r="R563">
            <v>0</v>
          </cell>
          <cell r="S563">
            <v>0</v>
          </cell>
          <cell r="T563">
            <v>0</v>
          </cell>
          <cell r="U563">
            <v>0</v>
          </cell>
          <cell r="V563">
            <v>0</v>
          </cell>
        </row>
        <row r="564">
          <cell r="C564" t="str">
            <v>2000WY</v>
          </cell>
          <cell r="D564">
            <v>1449</v>
          </cell>
          <cell r="E564">
            <v>7656</v>
          </cell>
          <cell r="F564">
            <v>4312</v>
          </cell>
          <cell r="G564">
            <v>7885</v>
          </cell>
          <cell r="H564">
            <v>0</v>
          </cell>
          <cell r="I564">
            <v>1485</v>
          </cell>
          <cell r="J564">
            <v>0</v>
          </cell>
          <cell r="K564">
            <v>0</v>
          </cell>
          <cell r="L564">
            <v>0</v>
          </cell>
          <cell r="M564">
            <v>0</v>
          </cell>
          <cell r="N564">
            <v>0</v>
          </cell>
          <cell r="O564">
            <v>762</v>
          </cell>
          <cell r="P564">
            <v>0</v>
          </cell>
          <cell r="Q564">
            <v>0</v>
          </cell>
          <cell r="R564">
            <v>0</v>
          </cell>
          <cell r="S564">
            <v>0</v>
          </cell>
          <cell r="T564">
            <v>0</v>
          </cell>
          <cell r="U564">
            <v>0</v>
          </cell>
          <cell r="V564">
            <v>0</v>
          </cell>
        </row>
        <row r="565">
          <cell r="C565" t="str">
            <v>2000US</v>
          </cell>
          <cell r="D565">
            <v>81520</v>
          </cell>
          <cell r="E565">
            <v>9915051</v>
          </cell>
          <cell r="F565">
            <v>2228160</v>
          </cell>
          <cell r="G565">
            <v>317906.5</v>
          </cell>
          <cell r="H565">
            <v>470526</v>
          </cell>
          <cell r="I565">
            <v>149165</v>
          </cell>
          <cell r="J565">
            <v>8386</v>
          </cell>
          <cell r="K565">
            <v>7320</v>
          </cell>
          <cell r="L565">
            <v>190872</v>
          </cell>
          <cell r="M565">
            <v>2757810</v>
          </cell>
          <cell r="N565">
            <v>3265505</v>
          </cell>
          <cell r="O565">
            <v>26543</v>
          </cell>
          <cell r="P565">
            <v>3474</v>
          </cell>
          <cell r="Q565">
            <v>73</v>
          </cell>
          <cell r="R565">
            <v>3029</v>
          </cell>
          <cell r="S565">
            <v>680</v>
          </cell>
          <cell r="T565">
            <v>36114</v>
          </cell>
          <cell r="U565">
            <v>0</v>
          </cell>
        </row>
        <row r="566">
          <cell r="C566" t="str">
            <v>2001AL</v>
          </cell>
          <cell r="D566">
            <v>0</v>
          </cell>
          <cell r="E566">
            <v>16050</v>
          </cell>
          <cell r="F566">
            <v>3360</v>
          </cell>
          <cell r="G566">
            <v>0</v>
          </cell>
          <cell r="H566">
            <v>420</v>
          </cell>
          <cell r="I566">
            <v>0</v>
          </cell>
          <cell r="J566">
            <v>0</v>
          </cell>
          <cell r="K566">
            <v>0</v>
          </cell>
          <cell r="L566">
            <v>0</v>
          </cell>
          <cell r="M566">
            <v>4725</v>
          </cell>
          <cell r="N566">
            <v>532325</v>
          </cell>
          <cell r="O566">
            <v>0</v>
          </cell>
          <cell r="P566">
            <v>0</v>
          </cell>
          <cell r="Q566">
            <v>0</v>
          </cell>
          <cell r="R566">
            <v>0</v>
          </cell>
          <cell r="S566">
            <v>0</v>
          </cell>
          <cell r="T566">
            <v>0</v>
          </cell>
          <cell r="U566">
            <v>0</v>
          </cell>
        </row>
        <row r="567">
          <cell r="C567" t="str">
            <v>2001AK</v>
          </cell>
          <cell r="D567">
            <v>0</v>
          </cell>
          <cell r="E567">
            <v>0</v>
          </cell>
          <cell r="F567">
            <v>0</v>
          </cell>
          <cell r="G567">
            <v>208</v>
          </cell>
          <cell r="H567">
            <v>0</v>
          </cell>
          <cell r="I567">
            <v>61000</v>
          </cell>
          <cell r="J567">
            <v>0</v>
          </cell>
          <cell r="K567">
            <v>0</v>
          </cell>
          <cell r="L567">
            <v>0</v>
          </cell>
          <cell r="M567">
            <v>0</v>
          </cell>
          <cell r="N567">
            <v>0</v>
          </cell>
          <cell r="O567">
            <v>0</v>
          </cell>
          <cell r="P567">
            <v>0</v>
          </cell>
          <cell r="Q567">
            <v>0</v>
          </cell>
          <cell r="R567">
            <v>0</v>
          </cell>
          <cell r="S567">
            <v>0</v>
          </cell>
          <cell r="T567">
            <v>0</v>
          </cell>
          <cell r="U567">
            <v>0</v>
          </cell>
        </row>
        <row r="568">
          <cell r="C568" t="str">
            <v>2001AZ</v>
          </cell>
          <cell r="D568">
            <v>1720</v>
          </cell>
          <cell r="E568">
            <v>5824</v>
          </cell>
          <cell r="F568">
            <v>8517</v>
          </cell>
          <cell r="G568">
            <v>4400</v>
          </cell>
          <cell r="H568">
            <v>480</v>
          </cell>
          <cell r="I568">
            <v>0</v>
          </cell>
          <cell r="J568">
            <v>0</v>
          </cell>
          <cell r="K568">
            <v>0</v>
          </cell>
          <cell r="L568">
            <v>0</v>
          </cell>
          <cell r="M568">
            <v>0</v>
          </cell>
          <cell r="N568">
            <v>0</v>
          </cell>
          <cell r="O568">
            <v>0</v>
          </cell>
          <cell r="P568">
            <v>0</v>
          </cell>
          <cell r="Q568">
            <v>0</v>
          </cell>
          <cell r="R568">
            <v>0</v>
          </cell>
          <cell r="S568">
            <v>0</v>
          </cell>
          <cell r="T568">
            <v>0</v>
          </cell>
          <cell r="U568">
            <v>0</v>
          </cell>
        </row>
        <row r="569">
          <cell r="C569" t="str">
            <v>2001AR</v>
          </cell>
          <cell r="D569">
            <v>62</v>
          </cell>
          <cell r="E569">
            <v>26825</v>
          </cell>
          <cell r="F569">
            <v>50440</v>
          </cell>
          <cell r="G569">
            <v>0</v>
          </cell>
          <cell r="H569">
            <v>14620</v>
          </cell>
          <cell r="I569">
            <v>0</v>
          </cell>
          <cell r="J569">
            <v>0</v>
          </cell>
          <cell r="K569">
            <v>0</v>
          </cell>
          <cell r="L569">
            <v>102858</v>
          </cell>
          <cell r="M569">
            <v>91200</v>
          </cell>
          <cell r="N569">
            <v>0</v>
          </cell>
          <cell r="O569">
            <v>0</v>
          </cell>
          <cell r="P569">
            <v>0</v>
          </cell>
          <cell r="Q569">
            <v>0</v>
          </cell>
          <cell r="R569">
            <v>0</v>
          </cell>
          <cell r="S569">
            <v>0</v>
          </cell>
          <cell r="T569">
            <v>0</v>
          </cell>
          <cell r="U569">
            <v>1621</v>
          </cell>
          <cell r="W569">
            <v>0.13</v>
          </cell>
        </row>
        <row r="570">
          <cell r="C570" t="str">
            <v>2001CA</v>
          </cell>
          <cell r="D570">
            <v>7070</v>
          </cell>
          <cell r="E570">
            <v>27200</v>
          </cell>
          <cell r="F570">
            <v>35105</v>
          </cell>
          <cell r="G570">
            <v>5830</v>
          </cell>
          <cell r="H570">
            <v>630</v>
          </cell>
          <cell r="I570">
            <v>1500</v>
          </cell>
          <cell r="J570">
            <v>0</v>
          </cell>
          <cell r="K570">
            <v>0</v>
          </cell>
          <cell r="L570">
            <v>38490</v>
          </cell>
          <cell r="M570">
            <v>0</v>
          </cell>
          <cell r="N570">
            <v>0</v>
          </cell>
          <cell r="O570">
            <v>1496</v>
          </cell>
          <cell r="P570">
            <v>0</v>
          </cell>
          <cell r="Q570">
            <v>0</v>
          </cell>
          <cell r="R570">
            <v>0</v>
          </cell>
          <cell r="S570">
            <v>0</v>
          </cell>
          <cell r="T570">
            <v>0</v>
          </cell>
          <cell r="U570">
            <v>471</v>
          </cell>
          <cell r="W570">
            <v>0.23</v>
          </cell>
        </row>
        <row r="571">
          <cell r="C571" t="str">
            <v>2001CO</v>
          </cell>
          <cell r="D571">
            <v>3610</v>
          </cell>
          <cell r="E571">
            <v>149800</v>
          </cell>
          <cell r="F571">
            <v>69168</v>
          </cell>
          <cell r="G571">
            <v>8560</v>
          </cell>
          <cell r="H571">
            <v>9460</v>
          </cell>
          <cell r="I571">
            <v>1920</v>
          </cell>
          <cell r="J571">
            <v>0</v>
          </cell>
          <cell r="K571">
            <v>8050</v>
          </cell>
          <cell r="L571">
            <v>0</v>
          </cell>
          <cell r="M571">
            <v>0</v>
          </cell>
          <cell r="N571">
            <v>0</v>
          </cell>
          <cell r="O571">
            <v>1785</v>
          </cell>
          <cell r="P571">
            <v>0</v>
          </cell>
          <cell r="Q571">
            <v>0</v>
          </cell>
          <cell r="R571">
            <v>0</v>
          </cell>
          <cell r="S571">
            <v>0</v>
          </cell>
          <cell r="T571">
            <v>0</v>
          </cell>
          <cell r="U571">
            <v>0</v>
          </cell>
        </row>
        <row r="572">
          <cell r="C572" t="str">
            <v>2001CT</v>
          </cell>
          <cell r="D572">
            <v>18</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row>
        <row r="573">
          <cell r="C573" t="str">
            <v>2001DE</v>
          </cell>
          <cell r="D573">
            <v>27</v>
          </cell>
          <cell r="E573">
            <v>23652</v>
          </cell>
          <cell r="F573">
            <v>3477</v>
          </cell>
          <cell r="G573">
            <v>2002</v>
          </cell>
          <cell r="H573">
            <v>85</v>
          </cell>
          <cell r="I573">
            <v>0</v>
          </cell>
          <cell r="J573">
            <v>0</v>
          </cell>
          <cell r="K573">
            <v>0</v>
          </cell>
          <cell r="L573">
            <v>0</v>
          </cell>
          <cell r="M573">
            <v>7839</v>
          </cell>
          <cell r="N573">
            <v>0</v>
          </cell>
          <cell r="O573">
            <v>0</v>
          </cell>
          <cell r="P573">
            <v>0</v>
          </cell>
          <cell r="Q573">
            <v>0</v>
          </cell>
          <cell r="R573">
            <v>0</v>
          </cell>
          <cell r="S573">
            <v>0</v>
          </cell>
          <cell r="T573">
            <v>0</v>
          </cell>
          <cell r="U573">
            <v>0</v>
          </cell>
        </row>
        <row r="574">
          <cell r="C574" t="str">
            <v>2001FL</v>
          </cell>
          <cell r="D574">
            <v>0</v>
          </cell>
          <cell r="E574">
            <v>2262</v>
          </cell>
          <cell r="F574">
            <v>369</v>
          </cell>
          <cell r="G574">
            <v>0</v>
          </cell>
          <cell r="H574">
            <v>0</v>
          </cell>
          <cell r="I574">
            <v>0</v>
          </cell>
          <cell r="J574">
            <v>0</v>
          </cell>
          <cell r="K574">
            <v>0</v>
          </cell>
          <cell r="L574">
            <v>0</v>
          </cell>
          <cell r="M574">
            <v>261</v>
          </cell>
          <cell r="N574">
            <v>250100</v>
          </cell>
          <cell r="O574">
            <v>0</v>
          </cell>
          <cell r="P574">
            <v>0</v>
          </cell>
          <cell r="Q574">
            <v>0</v>
          </cell>
          <cell r="R574">
            <v>0</v>
          </cell>
          <cell r="S574">
            <v>0</v>
          </cell>
          <cell r="T574">
            <v>16338</v>
          </cell>
          <cell r="U574">
            <v>11.273</v>
          </cell>
          <cell r="V574">
            <v>6.8</v>
          </cell>
          <cell r="W574">
            <v>0</v>
          </cell>
        </row>
        <row r="575">
          <cell r="C575" t="str">
            <v>2001GA</v>
          </cell>
          <cell r="D575">
            <v>0</v>
          </cell>
          <cell r="E575">
            <v>29480</v>
          </cell>
          <cell r="F575">
            <v>10600</v>
          </cell>
          <cell r="G575">
            <v>0</v>
          </cell>
          <cell r="H575">
            <v>1200</v>
          </cell>
          <cell r="I575">
            <v>2275</v>
          </cell>
          <cell r="J575">
            <v>750</v>
          </cell>
          <cell r="K575">
            <v>0</v>
          </cell>
          <cell r="L575">
            <v>0</v>
          </cell>
          <cell r="M575">
            <v>4030</v>
          </cell>
          <cell r="N575">
            <v>1711620</v>
          </cell>
          <cell r="O575">
            <v>0</v>
          </cell>
          <cell r="P575">
            <v>0</v>
          </cell>
          <cell r="Q575">
            <v>0</v>
          </cell>
          <cell r="R575">
            <v>0</v>
          </cell>
          <cell r="S575">
            <v>0</v>
          </cell>
          <cell r="T575">
            <v>0</v>
          </cell>
          <cell r="U575">
            <v>0</v>
          </cell>
        </row>
        <row r="576">
          <cell r="C576" t="str">
            <v>2001HI</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1932</v>
          </cell>
          <cell r="U576">
            <v>0</v>
          </cell>
        </row>
        <row r="577">
          <cell r="C577" t="str">
            <v>2001ID</v>
          </cell>
          <cell r="D577">
            <v>4368</v>
          </cell>
          <cell r="E577">
            <v>6750</v>
          </cell>
          <cell r="F577">
            <v>80770</v>
          </cell>
          <cell r="G577">
            <v>50250</v>
          </cell>
          <cell r="H577">
            <v>0</v>
          </cell>
          <cell r="I577">
            <v>1360</v>
          </cell>
          <cell r="J577">
            <v>0</v>
          </cell>
          <cell r="K577">
            <v>0</v>
          </cell>
          <cell r="L577">
            <v>0</v>
          </cell>
          <cell r="M577">
            <v>0</v>
          </cell>
          <cell r="N577">
            <v>0</v>
          </cell>
          <cell r="O577">
            <v>1424</v>
          </cell>
          <cell r="P577">
            <v>460</v>
          </cell>
          <cell r="Q577">
            <v>68</v>
          </cell>
          <cell r="R577">
            <v>795</v>
          </cell>
          <cell r="S577">
            <v>202</v>
          </cell>
          <cell r="T577">
            <v>0</v>
          </cell>
          <cell r="U577">
            <v>0</v>
          </cell>
        </row>
        <row r="578">
          <cell r="C578" t="str">
            <v>2001IL</v>
          </cell>
          <cell r="D578">
            <v>1950</v>
          </cell>
          <cell r="E578">
            <v>1649200</v>
          </cell>
          <cell r="F578">
            <v>43920</v>
          </cell>
          <cell r="G578">
            <v>0</v>
          </cell>
          <cell r="H578">
            <v>8085</v>
          </cell>
          <cell r="I578">
            <v>3200</v>
          </cell>
          <cell r="J578">
            <v>0</v>
          </cell>
          <cell r="K578">
            <v>0</v>
          </cell>
          <cell r="L578">
            <v>0</v>
          </cell>
          <cell r="M578">
            <v>477900</v>
          </cell>
          <cell r="N578">
            <v>0</v>
          </cell>
          <cell r="O578">
            <v>0</v>
          </cell>
          <cell r="P578">
            <v>0</v>
          </cell>
          <cell r="Q578">
            <v>0</v>
          </cell>
          <cell r="R578">
            <v>0</v>
          </cell>
          <cell r="S578">
            <v>0</v>
          </cell>
          <cell r="T578">
            <v>0</v>
          </cell>
          <cell r="U578">
            <v>0</v>
          </cell>
        </row>
        <row r="579">
          <cell r="C579" t="str">
            <v>2001IN</v>
          </cell>
          <cell r="D579">
            <v>1320</v>
          </cell>
          <cell r="E579">
            <v>884520</v>
          </cell>
          <cell r="F579">
            <v>25080</v>
          </cell>
          <cell r="G579">
            <v>0</v>
          </cell>
          <cell r="H579">
            <v>0</v>
          </cell>
          <cell r="I579">
            <v>1280</v>
          </cell>
          <cell r="J579">
            <v>0</v>
          </cell>
          <cell r="K579">
            <v>0</v>
          </cell>
          <cell r="L579">
            <v>0</v>
          </cell>
          <cell r="M579">
            <v>273910</v>
          </cell>
          <cell r="N579">
            <v>0</v>
          </cell>
          <cell r="O579">
            <v>0</v>
          </cell>
          <cell r="P579">
            <v>0</v>
          </cell>
          <cell r="Q579">
            <v>0</v>
          </cell>
          <cell r="R579">
            <v>0</v>
          </cell>
          <cell r="S579">
            <v>0</v>
          </cell>
          <cell r="T579">
            <v>0</v>
          </cell>
          <cell r="U579">
            <v>0</v>
          </cell>
        </row>
        <row r="580">
          <cell r="C580" t="str">
            <v>2001IA</v>
          </cell>
          <cell r="D580">
            <v>4625</v>
          </cell>
          <cell r="E580">
            <v>1664400</v>
          </cell>
          <cell r="F580">
            <v>972</v>
          </cell>
          <cell r="G580">
            <v>0</v>
          </cell>
          <cell r="H580">
            <v>0</v>
          </cell>
          <cell r="I580">
            <v>9100</v>
          </cell>
          <cell r="J580">
            <v>0</v>
          </cell>
          <cell r="K580">
            <v>0</v>
          </cell>
          <cell r="L580">
            <v>0</v>
          </cell>
          <cell r="M580">
            <v>480480</v>
          </cell>
          <cell r="N580">
            <v>0</v>
          </cell>
          <cell r="O580">
            <v>0</v>
          </cell>
          <cell r="P580">
            <v>0</v>
          </cell>
          <cell r="Q580">
            <v>0</v>
          </cell>
          <cell r="R580">
            <v>0</v>
          </cell>
          <cell r="S580">
            <v>0</v>
          </cell>
          <cell r="T580">
            <v>0</v>
          </cell>
          <cell r="U580">
            <v>0</v>
          </cell>
        </row>
        <row r="581">
          <cell r="C581" t="str">
            <v>2001KS</v>
          </cell>
          <cell r="D581">
            <v>4140</v>
          </cell>
          <cell r="E581">
            <v>387350</v>
          </cell>
          <cell r="F581">
            <v>328000</v>
          </cell>
          <cell r="G581">
            <v>400</v>
          </cell>
          <cell r="H581">
            <v>232500</v>
          </cell>
          <cell r="I581">
            <v>2120</v>
          </cell>
          <cell r="J581">
            <v>0</v>
          </cell>
          <cell r="K581">
            <v>0</v>
          </cell>
          <cell r="L581">
            <v>0</v>
          </cell>
          <cell r="M581">
            <v>87360</v>
          </cell>
          <cell r="N581">
            <v>0</v>
          </cell>
          <cell r="O581">
            <v>277</v>
          </cell>
          <cell r="P581">
            <v>0</v>
          </cell>
          <cell r="Q581">
            <v>0</v>
          </cell>
          <cell r="R581">
            <v>0</v>
          </cell>
          <cell r="S581">
            <v>0</v>
          </cell>
          <cell r="T581">
            <v>0</v>
          </cell>
          <cell r="U581">
            <v>0</v>
          </cell>
        </row>
        <row r="582">
          <cell r="C582" t="str">
            <v>2001KY</v>
          </cell>
          <cell r="D582">
            <v>962</v>
          </cell>
          <cell r="E582">
            <v>156200</v>
          </cell>
          <cell r="F582">
            <v>23760</v>
          </cell>
          <cell r="G582">
            <v>680</v>
          </cell>
          <cell r="H582">
            <v>850</v>
          </cell>
          <cell r="I582">
            <v>0</v>
          </cell>
          <cell r="J582">
            <v>0</v>
          </cell>
          <cell r="K582">
            <v>0</v>
          </cell>
          <cell r="L582">
            <v>0</v>
          </cell>
          <cell r="M582">
            <v>48800</v>
          </cell>
          <cell r="N582">
            <v>0</v>
          </cell>
          <cell r="O582">
            <v>0</v>
          </cell>
          <cell r="P582">
            <v>0</v>
          </cell>
          <cell r="Q582">
            <v>0</v>
          </cell>
          <cell r="R582">
            <v>0</v>
          </cell>
          <cell r="S582">
            <v>0</v>
          </cell>
          <cell r="T582">
            <v>0</v>
          </cell>
          <cell r="U582">
            <v>0</v>
          </cell>
        </row>
        <row r="583">
          <cell r="C583" t="str">
            <v>2001LA</v>
          </cell>
          <cell r="D583">
            <v>0</v>
          </cell>
          <cell r="E583">
            <v>45436</v>
          </cell>
          <cell r="F583">
            <v>8000</v>
          </cell>
          <cell r="G583">
            <v>0</v>
          </cell>
          <cell r="H583">
            <v>17850</v>
          </cell>
          <cell r="I583">
            <v>0</v>
          </cell>
          <cell r="J583">
            <v>0</v>
          </cell>
          <cell r="K583">
            <v>0</v>
          </cell>
          <cell r="L583">
            <v>30014</v>
          </cell>
          <cell r="M583">
            <v>20130</v>
          </cell>
          <cell r="N583">
            <v>0</v>
          </cell>
          <cell r="O583">
            <v>0</v>
          </cell>
          <cell r="P583">
            <v>0</v>
          </cell>
          <cell r="Q583">
            <v>0</v>
          </cell>
          <cell r="R583">
            <v>0</v>
          </cell>
          <cell r="S583">
            <v>0</v>
          </cell>
          <cell r="T583">
            <v>14355</v>
          </cell>
          <cell r="U583">
            <v>546</v>
          </cell>
          <cell r="V583">
            <v>163.80000000000001</v>
          </cell>
          <cell r="W583">
            <v>0.04</v>
          </cell>
        </row>
        <row r="584">
          <cell r="C584" t="str">
            <v>2001ME</v>
          </cell>
          <cell r="D584">
            <v>22</v>
          </cell>
          <cell r="E584">
            <v>0</v>
          </cell>
          <cell r="F584">
            <v>0</v>
          </cell>
          <cell r="G584">
            <v>1890</v>
          </cell>
          <cell r="H584">
            <v>0</v>
          </cell>
          <cell r="I584">
            <v>2175</v>
          </cell>
          <cell r="J584">
            <v>0</v>
          </cell>
          <cell r="K584">
            <v>0</v>
          </cell>
          <cell r="L584">
            <v>0</v>
          </cell>
          <cell r="M584">
            <v>0</v>
          </cell>
          <cell r="N584">
            <v>0</v>
          </cell>
          <cell r="O584">
            <v>0</v>
          </cell>
          <cell r="P584">
            <v>0</v>
          </cell>
          <cell r="Q584">
            <v>0</v>
          </cell>
          <cell r="R584">
            <v>0</v>
          </cell>
          <cell r="S584">
            <v>0</v>
          </cell>
          <cell r="T584">
            <v>0</v>
          </cell>
          <cell r="U584">
            <v>0</v>
          </cell>
        </row>
        <row r="585">
          <cell r="C585" t="str">
            <v>2001MD</v>
          </cell>
          <cell r="D585">
            <v>202</v>
          </cell>
          <cell r="E585">
            <v>55760</v>
          </cell>
          <cell r="F585">
            <v>11025</v>
          </cell>
          <cell r="G585">
            <v>3000</v>
          </cell>
          <cell r="H585">
            <v>664</v>
          </cell>
          <cell r="I585">
            <v>0</v>
          </cell>
          <cell r="J585">
            <v>0</v>
          </cell>
          <cell r="K585">
            <v>0</v>
          </cell>
          <cell r="L585">
            <v>0</v>
          </cell>
          <cell r="M585">
            <v>20085</v>
          </cell>
          <cell r="N585">
            <v>0</v>
          </cell>
          <cell r="O585">
            <v>0</v>
          </cell>
          <cell r="P585">
            <v>0</v>
          </cell>
          <cell r="Q585">
            <v>0</v>
          </cell>
          <cell r="R585">
            <v>0</v>
          </cell>
          <cell r="S585">
            <v>0</v>
          </cell>
          <cell r="T585">
            <v>0</v>
          </cell>
          <cell r="U585">
            <v>0</v>
          </cell>
        </row>
        <row r="586">
          <cell r="C586" t="str">
            <v>2001MA</v>
          </cell>
          <cell r="D586">
            <v>39</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row>
        <row r="587">
          <cell r="C587" t="str">
            <v>2001MI</v>
          </cell>
          <cell r="D587">
            <v>3060</v>
          </cell>
          <cell r="E587">
            <v>199500</v>
          </cell>
          <cell r="F587">
            <v>32640</v>
          </cell>
          <cell r="G587">
            <v>672</v>
          </cell>
          <cell r="H587">
            <v>0</v>
          </cell>
          <cell r="I587">
            <v>3520</v>
          </cell>
          <cell r="J587">
            <v>0</v>
          </cell>
          <cell r="K587">
            <v>0</v>
          </cell>
          <cell r="L587">
            <v>0</v>
          </cell>
          <cell r="M587">
            <v>63900</v>
          </cell>
          <cell r="N587">
            <v>0</v>
          </cell>
          <cell r="O587">
            <v>780</v>
          </cell>
          <cell r="P587">
            <v>0</v>
          </cell>
          <cell r="Q587">
            <v>0</v>
          </cell>
          <cell r="R587">
            <v>0</v>
          </cell>
          <cell r="S587">
            <v>0</v>
          </cell>
          <cell r="T587">
            <v>0</v>
          </cell>
          <cell r="U587">
            <v>0</v>
          </cell>
        </row>
        <row r="588">
          <cell r="C588" t="str">
            <v>2001MN</v>
          </cell>
          <cell r="D588">
            <v>5075</v>
          </cell>
          <cell r="E588">
            <v>806000</v>
          </cell>
          <cell r="F588">
            <v>79655</v>
          </cell>
          <cell r="G588">
            <v>7975</v>
          </cell>
          <cell r="H588">
            <v>0</v>
          </cell>
          <cell r="I588">
            <v>12600</v>
          </cell>
          <cell r="J588">
            <v>0</v>
          </cell>
          <cell r="K588">
            <v>0</v>
          </cell>
          <cell r="L588">
            <v>0</v>
          </cell>
          <cell r="M588">
            <v>266400</v>
          </cell>
          <cell r="N588">
            <v>0</v>
          </cell>
          <cell r="O588">
            <v>1575</v>
          </cell>
          <cell r="P588">
            <v>0</v>
          </cell>
          <cell r="Q588">
            <v>0</v>
          </cell>
          <cell r="R588">
            <v>0</v>
          </cell>
          <cell r="S588">
            <v>0</v>
          </cell>
          <cell r="T588">
            <v>0</v>
          </cell>
          <cell r="U588">
            <v>0</v>
          </cell>
        </row>
        <row r="589">
          <cell r="C589" t="str">
            <v>2001MS</v>
          </cell>
          <cell r="D589">
            <v>0</v>
          </cell>
          <cell r="E589">
            <v>50050</v>
          </cell>
          <cell r="F589">
            <v>11700</v>
          </cell>
          <cell r="G589">
            <v>0</v>
          </cell>
          <cell r="H589">
            <v>7134</v>
          </cell>
          <cell r="I589">
            <v>0</v>
          </cell>
          <cell r="J589">
            <v>0</v>
          </cell>
          <cell r="K589">
            <v>0</v>
          </cell>
          <cell r="L589">
            <v>16698</v>
          </cell>
          <cell r="M589">
            <v>36960</v>
          </cell>
          <cell r="N589">
            <v>0</v>
          </cell>
          <cell r="O589">
            <v>0</v>
          </cell>
          <cell r="P589">
            <v>0</v>
          </cell>
          <cell r="Q589">
            <v>0</v>
          </cell>
          <cell r="R589">
            <v>0</v>
          </cell>
          <cell r="S589">
            <v>0</v>
          </cell>
          <cell r="T589">
            <v>0</v>
          </cell>
          <cell r="U589">
            <v>253</v>
          </cell>
          <cell r="W589">
            <v>0.4</v>
          </cell>
        </row>
        <row r="590">
          <cell r="C590" t="str">
            <v>2001MO</v>
          </cell>
          <cell r="D590">
            <v>1159</v>
          </cell>
          <cell r="E590">
            <v>345800</v>
          </cell>
          <cell r="F590">
            <v>41040</v>
          </cell>
          <cell r="G590">
            <v>0</v>
          </cell>
          <cell r="H590">
            <v>20680</v>
          </cell>
          <cell r="I590">
            <v>1000</v>
          </cell>
          <cell r="J590">
            <v>0</v>
          </cell>
          <cell r="K590">
            <v>0</v>
          </cell>
          <cell r="L590">
            <v>12420</v>
          </cell>
          <cell r="M590">
            <v>186200</v>
          </cell>
          <cell r="N590">
            <v>0</v>
          </cell>
          <cell r="O590">
            <v>0</v>
          </cell>
          <cell r="P590">
            <v>0</v>
          </cell>
          <cell r="Q590">
            <v>0</v>
          </cell>
          <cell r="R590">
            <v>0</v>
          </cell>
          <cell r="S590">
            <v>0</v>
          </cell>
          <cell r="T590">
            <v>0</v>
          </cell>
          <cell r="U590">
            <v>207</v>
          </cell>
          <cell r="W590">
            <v>0.18</v>
          </cell>
        </row>
        <row r="591">
          <cell r="C591" t="str">
            <v>2001MT</v>
          </cell>
          <cell r="D591">
            <v>3520</v>
          </cell>
          <cell r="E591">
            <v>1924</v>
          </cell>
          <cell r="F591">
            <v>96570</v>
          </cell>
          <cell r="G591">
            <v>29520</v>
          </cell>
          <cell r="H591">
            <v>0</v>
          </cell>
          <cell r="I591">
            <v>2640</v>
          </cell>
          <cell r="J591">
            <v>0</v>
          </cell>
          <cell r="K591">
            <v>0</v>
          </cell>
          <cell r="L591">
            <v>0</v>
          </cell>
          <cell r="M591">
            <v>0</v>
          </cell>
          <cell r="N591">
            <v>0</v>
          </cell>
          <cell r="O591">
            <v>376</v>
          </cell>
          <cell r="P591">
            <v>249</v>
          </cell>
          <cell r="Q591">
            <v>20</v>
          </cell>
          <cell r="R591">
            <v>220</v>
          </cell>
          <cell r="S591">
            <v>0</v>
          </cell>
          <cell r="T591">
            <v>0</v>
          </cell>
          <cell r="U591">
            <v>0</v>
          </cell>
        </row>
        <row r="592">
          <cell r="C592" t="str">
            <v>2001NE</v>
          </cell>
          <cell r="D592">
            <v>4970</v>
          </cell>
          <cell r="E592">
            <v>1139250</v>
          </cell>
          <cell r="F592">
            <v>59200</v>
          </cell>
          <cell r="G592">
            <v>180</v>
          </cell>
          <cell r="H592">
            <v>35700</v>
          </cell>
          <cell r="I592">
            <v>3660</v>
          </cell>
          <cell r="J592">
            <v>0</v>
          </cell>
          <cell r="K592">
            <v>5580</v>
          </cell>
          <cell r="L592">
            <v>0</v>
          </cell>
          <cell r="M592">
            <v>222950</v>
          </cell>
          <cell r="N592">
            <v>0</v>
          </cell>
          <cell r="O592">
            <v>3185</v>
          </cell>
          <cell r="P592">
            <v>0</v>
          </cell>
          <cell r="Q592">
            <v>0</v>
          </cell>
          <cell r="R592">
            <v>0</v>
          </cell>
          <cell r="S592">
            <v>0</v>
          </cell>
          <cell r="T592">
            <v>0</v>
          </cell>
          <cell r="U592">
            <v>0</v>
          </cell>
        </row>
        <row r="593">
          <cell r="C593" t="str">
            <v>2001NV</v>
          </cell>
          <cell r="D593">
            <v>1193</v>
          </cell>
          <cell r="E593">
            <v>0</v>
          </cell>
          <cell r="F593">
            <v>270</v>
          </cell>
          <cell r="G593">
            <v>90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row>
        <row r="594">
          <cell r="C594" t="str">
            <v>2001NH</v>
          </cell>
          <cell r="D594">
            <v>14</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row>
        <row r="595">
          <cell r="C595" t="str">
            <v>2001NJ</v>
          </cell>
          <cell r="D595">
            <v>102</v>
          </cell>
          <cell r="E595">
            <v>7392</v>
          </cell>
          <cell r="F595">
            <v>1215</v>
          </cell>
          <cell r="G595">
            <v>216</v>
          </cell>
          <cell r="H595">
            <v>0</v>
          </cell>
          <cell r="I595">
            <v>0</v>
          </cell>
          <cell r="J595">
            <v>0</v>
          </cell>
          <cell r="K595">
            <v>0</v>
          </cell>
          <cell r="L595">
            <v>0</v>
          </cell>
          <cell r="M595">
            <v>3131</v>
          </cell>
          <cell r="N595">
            <v>0</v>
          </cell>
          <cell r="O595">
            <v>0</v>
          </cell>
          <cell r="P595">
            <v>0</v>
          </cell>
          <cell r="Q595">
            <v>0</v>
          </cell>
          <cell r="R595">
            <v>0</v>
          </cell>
          <cell r="S595">
            <v>0</v>
          </cell>
          <cell r="T595">
            <v>0</v>
          </cell>
          <cell r="U595">
            <v>0</v>
          </cell>
        </row>
        <row r="596">
          <cell r="C596" t="str">
            <v>2001NM</v>
          </cell>
          <cell r="D596">
            <v>1300</v>
          </cell>
          <cell r="E596">
            <v>8280</v>
          </cell>
          <cell r="F596">
            <v>8160</v>
          </cell>
          <cell r="G596">
            <v>0</v>
          </cell>
          <cell r="H596">
            <v>6300</v>
          </cell>
          <cell r="I596">
            <v>0</v>
          </cell>
          <cell r="J596">
            <v>0</v>
          </cell>
          <cell r="K596">
            <v>0</v>
          </cell>
          <cell r="L596">
            <v>0</v>
          </cell>
          <cell r="M596">
            <v>0</v>
          </cell>
          <cell r="N596">
            <v>67044</v>
          </cell>
          <cell r="O596">
            <v>300</v>
          </cell>
          <cell r="P596">
            <v>0</v>
          </cell>
          <cell r="Q596">
            <v>0</v>
          </cell>
          <cell r="R596">
            <v>0</v>
          </cell>
          <cell r="S596">
            <v>0</v>
          </cell>
          <cell r="T596">
            <v>0</v>
          </cell>
          <cell r="U596">
            <v>0</v>
          </cell>
        </row>
        <row r="597">
          <cell r="C597" t="str">
            <v>2001NY</v>
          </cell>
          <cell r="D597">
            <v>1596</v>
          </cell>
          <cell r="E597">
            <v>56700</v>
          </cell>
          <cell r="F597">
            <v>6360</v>
          </cell>
          <cell r="G597">
            <v>612</v>
          </cell>
          <cell r="H597">
            <v>0</v>
          </cell>
          <cell r="I597">
            <v>5520</v>
          </cell>
          <cell r="J597">
            <v>0</v>
          </cell>
          <cell r="K597">
            <v>0</v>
          </cell>
          <cell r="L597">
            <v>0</v>
          </cell>
          <cell r="M597">
            <v>5214</v>
          </cell>
          <cell r="N597">
            <v>0</v>
          </cell>
          <cell r="O597">
            <v>194</v>
          </cell>
          <cell r="P597">
            <v>0</v>
          </cell>
          <cell r="Q597">
            <v>0</v>
          </cell>
          <cell r="R597">
            <v>0</v>
          </cell>
          <cell r="S597">
            <v>0</v>
          </cell>
          <cell r="T597">
            <v>0</v>
          </cell>
          <cell r="U597">
            <v>0</v>
          </cell>
        </row>
        <row r="598">
          <cell r="C598" t="str">
            <v>2001NC</v>
          </cell>
          <cell r="D598">
            <v>60</v>
          </cell>
          <cell r="E598">
            <v>78125</v>
          </cell>
          <cell r="F598">
            <v>17550</v>
          </cell>
          <cell r="G598">
            <v>1206</v>
          </cell>
          <cell r="H598">
            <v>770</v>
          </cell>
          <cell r="I598">
            <v>1568</v>
          </cell>
          <cell r="J598">
            <v>0</v>
          </cell>
          <cell r="K598">
            <v>0</v>
          </cell>
          <cell r="L598">
            <v>0</v>
          </cell>
          <cell r="M598">
            <v>43200</v>
          </cell>
          <cell r="N598">
            <v>356475</v>
          </cell>
          <cell r="O598">
            <v>0</v>
          </cell>
          <cell r="P598">
            <v>0</v>
          </cell>
          <cell r="Q598">
            <v>0</v>
          </cell>
          <cell r="R598">
            <v>0</v>
          </cell>
          <cell r="S598">
            <v>0</v>
          </cell>
          <cell r="T598">
            <v>0</v>
          </cell>
          <cell r="U598">
            <v>0</v>
          </cell>
        </row>
        <row r="599">
          <cell r="C599" t="str">
            <v>2001ND</v>
          </cell>
          <cell r="D599">
            <v>3360</v>
          </cell>
          <cell r="E599">
            <v>81075</v>
          </cell>
          <cell r="F599">
            <v>292400</v>
          </cell>
          <cell r="G599">
            <v>79750</v>
          </cell>
          <cell r="H599">
            <v>0</v>
          </cell>
          <cell r="I599">
            <v>14880</v>
          </cell>
          <cell r="J599">
            <v>340</v>
          </cell>
          <cell r="K599">
            <v>0</v>
          </cell>
          <cell r="L599">
            <v>0</v>
          </cell>
          <cell r="M599">
            <v>70685</v>
          </cell>
          <cell r="N599">
            <v>0</v>
          </cell>
          <cell r="O599">
            <v>6200</v>
          </cell>
          <cell r="P599">
            <v>1737</v>
          </cell>
          <cell r="Q599">
            <v>0</v>
          </cell>
          <cell r="R599">
            <v>603</v>
          </cell>
          <cell r="S599">
            <v>0</v>
          </cell>
          <cell r="T599">
            <v>0</v>
          </cell>
          <cell r="U599">
            <v>0</v>
          </cell>
        </row>
        <row r="600">
          <cell r="C600" t="str">
            <v>2001OH</v>
          </cell>
          <cell r="D600">
            <v>2135</v>
          </cell>
          <cell r="E600">
            <v>437460</v>
          </cell>
          <cell r="F600">
            <v>60300</v>
          </cell>
          <cell r="G600">
            <v>380</v>
          </cell>
          <cell r="H600">
            <v>0</v>
          </cell>
          <cell r="I600">
            <v>6205</v>
          </cell>
          <cell r="J600">
            <v>0</v>
          </cell>
          <cell r="K600">
            <v>0</v>
          </cell>
          <cell r="L600">
            <v>0</v>
          </cell>
          <cell r="M600">
            <v>187780</v>
          </cell>
          <cell r="N600">
            <v>0</v>
          </cell>
          <cell r="O600">
            <v>0</v>
          </cell>
          <cell r="P600">
            <v>0</v>
          </cell>
          <cell r="Q600">
            <v>0</v>
          </cell>
          <cell r="R600">
            <v>0</v>
          </cell>
          <cell r="S600">
            <v>0</v>
          </cell>
          <cell r="T600">
            <v>0</v>
          </cell>
          <cell r="U600">
            <v>0</v>
          </cell>
        </row>
        <row r="601">
          <cell r="C601" t="str">
            <v>2001OK</v>
          </cell>
          <cell r="D601">
            <v>972</v>
          </cell>
          <cell r="E601">
            <v>26250</v>
          </cell>
          <cell r="F601">
            <v>122100</v>
          </cell>
          <cell r="G601">
            <v>0</v>
          </cell>
          <cell r="H601">
            <v>15120</v>
          </cell>
          <cell r="I601">
            <v>380</v>
          </cell>
          <cell r="J601">
            <v>1150</v>
          </cell>
          <cell r="K601">
            <v>0</v>
          </cell>
          <cell r="L601">
            <v>0</v>
          </cell>
          <cell r="M601">
            <v>4845</v>
          </cell>
          <cell r="N601">
            <v>197890</v>
          </cell>
          <cell r="O601">
            <v>0</v>
          </cell>
          <cell r="P601">
            <v>0</v>
          </cell>
          <cell r="Q601">
            <v>0</v>
          </cell>
          <cell r="R601">
            <v>0</v>
          </cell>
          <cell r="S601">
            <v>0</v>
          </cell>
          <cell r="T601">
            <v>0</v>
          </cell>
          <cell r="U601">
            <v>0.65410000000000001</v>
          </cell>
          <cell r="W601">
            <v>0.9</v>
          </cell>
        </row>
        <row r="602">
          <cell r="C602" t="str">
            <v>2001OR</v>
          </cell>
          <cell r="D602">
            <v>1978</v>
          </cell>
          <cell r="E602">
            <v>2520</v>
          </cell>
          <cell r="F602">
            <v>32650</v>
          </cell>
          <cell r="G602">
            <v>4500</v>
          </cell>
          <cell r="H602">
            <v>0</v>
          </cell>
          <cell r="I602">
            <v>1925</v>
          </cell>
          <cell r="J602">
            <v>0</v>
          </cell>
          <cell r="K602">
            <v>0</v>
          </cell>
          <cell r="L602">
            <v>0</v>
          </cell>
          <cell r="M602">
            <v>0</v>
          </cell>
          <cell r="N602">
            <v>0</v>
          </cell>
          <cell r="O602">
            <v>172</v>
          </cell>
          <cell r="P602">
            <v>77</v>
          </cell>
          <cell r="Q602">
            <v>15</v>
          </cell>
          <cell r="R602">
            <v>0</v>
          </cell>
          <cell r="S602">
            <v>0</v>
          </cell>
          <cell r="T602">
            <v>0</v>
          </cell>
          <cell r="U602">
            <v>0</v>
          </cell>
        </row>
        <row r="603">
          <cell r="C603" t="str">
            <v>2001PA</v>
          </cell>
          <cell r="D603">
            <v>1675</v>
          </cell>
          <cell r="E603">
            <v>94080</v>
          </cell>
          <cell r="F603">
            <v>8320</v>
          </cell>
          <cell r="G603">
            <v>4200</v>
          </cell>
          <cell r="H603">
            <v>312</v>
          </cell>
          <cell r="I603">
            <v>7475</v>
          </cell>
          <cell r="J603">
            <v>0</v>
          </cell>
          <cell r="K603">
            <v>0</v>
          </cell>
          <cell r="L603">
            <v>0</v>
          </cell>
          <cell r="M603">
            <v>13825</v>
          </cell>
          <cell r="N603">
            <v>0</v>
          </cell>
          <cell r="O603">
            <v>0</v>
          </cell>
          <cell r="P603">
            <v>0</v>
          </cell>
          <cell r="Q603">
            <v>0</v>
          </cell>
          <cell r="R603">
            <v>0</v>
          </cell>
          <cell r="S603">
            <v>0</v>
          </cell>
          <cell r="T603">
            <v>0</v>
          </cell>
          <cell r="U603">
            <v>0</v>
          </cell>
        </row>
        <row r="604">
          <cell r="C604" t="str">
            <v>2001RI</v>
          </cell>
          <cell r="D604">
            <v>4</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row>
        <row r="605">
          <cell r="C605" t="str">
            <v>2001SC</v>
          </cell>
          <cell r="D605">
            <v>0</v>
          </cell>
          <cell r="E605">
            <v>25920</v>
          </cell>
          <cell r="F605">
            <v>9030</v>
          </cell>
          <cell r="G605">
            <v>0</v>
          </cell>
          <cell r="H605">
            <v>390</v>
          </cell>
          <cell r="I605">
            <v>1425</v>
          </cell>
          <cell r="J605">
            <v>0</v>
          </cell>
          <cell r="K605">
            <v>0</v>
          </cell>
          <cell r="L605">
            <v>0</v>
          </cell>
          <cell r="M605">
            <v>8820</v>
          </cell>
          <cell r="N605">
            <v>30600</v>
          </cell>
          <cell r="O605">
            <v>0</v>
          </cell>
          <cell r="P605">
            <v>0</v>
          </cell>
          <cell r="Q605">
            <v>0</v>
          </cell>
          <cell r="R605">
            <v>0</v>
          </cell>
          <cell r="S605">
            <v>0</v>
          </cell>
          <cell r="T605">
            <v>0</v>
          </cell>
          <cell r="U605">
            <v>0</v>
          </cell>
        </row>
        <row r="606">
          <cell r="C606" t="str">
            <v>2001SD</v>
          </cell>
          <cell r="D606">
            <v>6600</v>
          </cell>
          <cell r="E606">
            <v>370600</v>
          </cell>
          <cell r="F606">
            <v>76766</v>
          </cell>
          <cell r="G606">
            <v>4056</v>
          </cell>
          <cell r="H606">
            <v>8850</v>
          </cell>
          <cell r="I606">
            <v>7800</v>
          </cell>
          <cell r="J606">
            <v>350</v>
          </cell>
          <cell r="K606">
            <v>5775</v>
          </cell>
          <cell r="L606">
            <v>0</v>
          </cell>
          <cell r="M606">
            <v>143040</v>
          </cell>
          <cell r="N606">
            <v>0</v>
          </cell>
          <cell r="O606">
            <v>270</v>
          </cell>
          <cell r="P606">
            <v>0</v>
          </cell>
          <cell r="Q606">
            <v>0</v>
          </cell>
          <cell r="R606">
            <v>0</v>
          </cell>
          <cell r="S606">
            <v>0</v>
          </cell>
          <cell r="T606">
            <v>0</v>
          </cell>
          <cell r="U606">
            <v>0</v>
          </cell>
        </row>
        <row r="607">
          <cell r="C607" t="str">
            <v>2001TN</v>
          </cell>
          <cell r="D607">
            <v>130</v>
          </cell>
          <cell r="E607">
            <v>80520</v>
          </cell>
          <cell r="F607">
            <v>18360</v>
          </cell>
          <cell r="G607">
            <v>0</v>
          </cell>
          <cell r="H607">
            <v>1760</v>
          </cell>
          <cell r="I607">
            <v>0</v>
          </cell>
          <cell r="J607">
            <v>0</v>
          </cell>
          <cell r="K607">
            <v>0</v>
          </cell>
          <cell r="L607">
            <v>0</v>
          </cell>
          <cell r="M607">
            <v>35360</v>
          </cell>
          <cell r="N607">
            <v>0</v>
          </cell>
          <cell r="O607">
            <v>0</v>
          </cell>
          <cell r="P607">
            <v>0</v>
          </cell>
          <cell r="Q607">
            <v>0</v>
          </cell>
          <cell r="R607">
            <v>0</v>
          </cell>
          <cell r="S607">
            <v>0</v>
          </cell>
          <cell r="T607">
            <v>0</v>
          </cell>
          <cell r="U607">
            <v>0</v>
          </cell>
        </row>
        <row r="608">
          <cell r="C608" t="str">
            <v>2001TX</v>
          </cell>
          <cell r="D608">
            <v>686</v>
          </cell>
          <cell r="E608">
            <v>167560</v>
          </cell>
          <cell r="F608">
            <v>108800</v>
          </cell>
          <cell r="G608">
            <v>0</v>
          </cell>
          <cell r="H608">
            <v>130000</v>
          </cell>
          <cell r="I608">
            <v>7200</v>
          </cell>
          <cell r="J608">
            <v>0</v>
          </cell>
          <cell r="K608">
            <v>0</v>
          </cell>
          <cell r="L608">
            <v>14790</v>
          </cell>
          <cell r="M608">
            <v>5850</v>
          </cell>
          <cell r="N608">
            <v>895900</v>
          </cell>
          <cell r="O608">
            <v>348</v>
          </cell>
          <cell r="P608">
            <v>0</v>
          </cell>
          <cell r="Q608">
            <v>0</v>
          </cell>
          <cell r="R608">
            <v>0</v>
          </cell>
          <cell r="S608">
            <v>0</v>
          </cell>
          <cell r="T608">
            <v>1962</v>
          </cell>
          <cell r="U608">
            <v>216</v>
          </cell>
          <cell r="V608">
            <v>86.4</v>
          </cell>
          <cell r="W608">
            <v>0</v>
          </cell>
        </row>
        <row r="609">
          <cell r="C609" t="str">
            <v>2001UT</v>
          </cell>
          <cell r="D609">
            <v>2240</v>
          </cell>
          <cell r="E609">
            <v>2130</v>
          </cell>
          <cell r="F609">
            <v>6034</v>
          </cell>
          <cell r="G609">
            <v>4420</v>
          </cell>
          <cell r="H609">
            <v>0</v>
          </cell>
          <cell r="I609">
            <v>390</v>
          </cell>
          <cell r="J609">
            <v>0</v>
          </cell>
          <cell r="K609">
            <v>0</v>
          </cell>
          <cell r="L609">
            <v>0</v>
          </cell>
          <cell r="M609">
            <v>0</v>
          </cell>
          <cell r="N609">
            <v>0</v>
          </cell>
          <cell r="O609">
            <v>17</v>
          </cell>
          <cell r="P609">
            <v>0</v>
          </cell>
          <cell r="Q609">
            <v>0</v>
          </cell>
          <cell r="R609">
            <v>0</v>
          </cell>
          <cell r="S609">
            <v>0</v>
          </cell>
          <cell r="T609">
            <v>0</v>
          </cell>
          <cell r="U609">
            <v>0</v>
          </cell>
        </row>
        <row r="610">
          <cell r="C610" t="str">
            <v>2001VT</v>
          </cell>
          <cell r="D610">
            <v>80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row>
        <row r="611">
          <cell r="C611" t="str">
            <v>2001VA</v>
          </cell>
          <cell r="D611">
            <v>403</v>
          </cell>
          <cell r="E611">
            <v>40590</v>
          </cell>
          <cell r="F611">
            <v>10200</v>
          </cell>
          <cell r="G611">
            <v>3750</v>
          </cell>
          <cell r="H611">
            <v>180</v>
          </cell>
          <cell r="I611">
            <v>0</v>
          </cell>
          <cell r="J611">
            <v>0</v>
          </cell>
          <cell r="K611">
            <v>0</v>
          </cell>
          <cell r="L611">
            <v>0</v>
          </cell>
          <cell r="M611">
            <v>17040</v>
          </cell>
          <cell r="N611">
            <v>234750</v>
          </cell>
          <cell r="O611">
            <v>0</v>
          </cell>
          <cell r="P611">
            <v>0</v>
          </cell>
          <cell r="Q611">
            <v>0</v>
          </cell>
          <cell r="R611">
            <v>0</v>
          </cell>
          <cell r="S611">
            <v>0</v>
          </cell>
          <cell r="T611">
            <v>0</v>
          </cell>
          <cell r="U611">
            <v>0</v>
          </cell>
        </row>
        <row r="612">
          <cell r="C612" t="str">
            <v>2001WA</v>
          </cell>
          <cell r="D612">
            <v>2256</v>
          </cell>
          <cell r="E612">
            <v>10450</v>
          </cell>
          <cell r="F612">
            <v>131350</v>
          </cell>
          <cell r="G612">
            <v>21000</v>
          </cell>
          <cell r="H612">
            <v>0</v>
          </cell>
          <cell r="I612">
            <v>660</v>
          </cell>
          <cell r="J612">
            <v>0</v>
          </cell>
          <cell r="K612">
            <v>0</v>
          </cell>
          <cell r="L612">
            <v>0</v>
          </cell>
          <cell r="M612">
            <v>0</v>
          </cell>
          <cell r="N612">
            <v>0</v>
          </cell>
          <cell r="O612">
            <v>578</v>
          </cell>
          <cell r="P612">
            <v>1240</v>
          </cell>
          <cell r="Q612">
            <v>0</v>
          </cell>
          <cell r="R612">
            <v>1280</v>
          </cell>
          <cell r="S612">
            <v>438</v>
          </cell>
          <cell r="T612">
            <v>0</v>
          </cell>
          <cell r="U612">
            <v>0</v>
          </cell>
        </row>
        <row r="613">
          <cell r="C613" t="str">
            <v>2001WV</v>
          </cell>
          <cell r="D613">
            <v>125</v>
          </cell>
          <cell r="E613">
            <v>3120</v>
          </cell>
          <cell r="F613">
            <v>464</v>
          </cell>
          <cell r="G613">
            <v>0</v>
          </cell>
          <cell r="H613">
            <v>0</v>
          </cell>
          <cell r="I613">
            <v>0</v>
          </cell>
          <cell r="J613">
            <v>0</v>
          </cell>
          <cell r="K613">
            <v>0</v>
          </cell>
          <cell r="L613">
            <v>0</v>
          </cell>
          <cell r="M613">
            <v>672</v>
          </cell>
          <cell r="N613">
            <v>0</v>
          </cell>
          <cell r="O613">
            <v>0</v>
          </cell>
          <cell r="P613">
            <v>0</v>
          </cell>
          <cell r="Q613">
            <v>0</v>
          </cell>
          <cell r="R613">
            <v>0</v>
          </cell>
          <cell r="S613">
            <v>0</v>
          </cell>
          <cell r="T613">
            <v>0</v>
          </cell>
          <cell r="U613">
            <v>0</v>
          </cell>
        </row>
        <row r="614">
          <cell r="C614" t="str">
            <v>2001WI</v>
          </cell>
          <cell r="D614">
            <v>4250</v>
          </cell>
          <cell r="E614">
            <v>330200</v>
          </cell>
          <cell r="F614">
            <v>10708</v>
          </cell>
          <cell r="G614">
            <v>1820</v>
          </cell>
          <cell r="H614">
            <v>0</v>
          </cell>
          <cell r="I614">
            <v>12480</v>
          </cell>
          <cell r="J614">
            <v>0</v>
          </cell>
          <cell r="K614">
            <v>0</v>
          </cell>
          <cell r="L614">
            <v>0</v>
          </cell>
          <cell r="M614">
            <v>58090</v>
          </cell>
          <cell r="N614">
            <v>0</v>
          </cell>
          <cell r="O614">
            <v>119</v>
          </cell>
          <cell r="P614">
            <v>0</v>
          </cell>
          <cell r="Q614">
            <v>0</v>
          </cell>
          <cell r="R614">
            <v>0</v>
          </cell>
          <cell r="S614">
            <v>0</v>
          </cell>
          <cell r="T614">
            <v>0</v>
          </cell>
          <cell r="U614">
            <v>0</v>
          </cell>
        </row>
        <row r="615">
          <cell r="C615" t="str">
            <v>2001WY</v>
          </cell>
          <cell r="D615">
            <v>1276</v>
          </cell>
          <cell r="E615">
            <v>6375</v>
          </cell>
          <cell r="F615">
            <v>3048</v>
          </cell>
          <cell r="G615">
            <v>6970</v>
          </cell>
          <cell r="H615">
            <v>0</v>
          </cell>
          <cell r="I615">
            <v>1344</v>
          </cell>
          <cell r="J615">
            <v>0</v>
          </cell>
          <cell r="K615">
            <v>0</v>
          </cell>
          <cell r="L615">
            <v>0</v>
          </cell>
          <cell r="M615">
            <v>0</v>
          </cell>
          <cell r="N615">
            <v>0</v>
          </cell>
          <cell r="O615">
            <v>514</v>
          </cell>
          <cell r="P615">
            <v>0</v>
          </cell>
          <cell r="Q615">
            <v>0</v>
          </cell>
          <cell r="R615">
            <v>0</v>
          </cell>
          <cell r="S615">
            <v>0</v>
          </cell>
          <cell r="T615">
            <v>0</v>
          </cell>
          <cell r="U615">
            <v>0</v>
          </cell>
        </row>
        <row r="616">
          <cell r="C616" t="str">
            <v>2001US</v>
          </cell>
          <cell r="D616">
            <v>80354</v>
          </cell>
          <cell r="E616">
            <v>9502580</v>
          </cell>
          <cell r="F616">
            <v>1947453</v>
          </cell>
          <cell r="G616">
            <v>248537</v>
          </cell>
          <cell r="H616">
            <v>514040</v>
          </cell>
          <cell r="I616">
            <v>117602</v>
          </cell>
          <cell r="J616">
            <v>6896</v>
          </cell>
          <cell r="K616">
            <v>19405</v>
          </cell>
          <cell r="L616">
            <v>215270</v>
          </cell>
          <cell r="M616">
            <v>2890682</v>
          </cell>
          <cell r="N616">
            <v>4276704</v>
          </cell>
          <cell r="O616">
            <v>19610</v>
          </cell>
          <cell r="P616">
            <v>3763</v>
          </cell>
          <cell r="Q616">
            <v>103</v>
          </cell>
          <cell r="R616">
            <v>2898</v>
          </cell>
          <cell r="S616">
            <v>640</v>
          </cell>
          <cell r="T616">
            <v>34587</v>
          </cell>
          <cell r="U616">
            <v>3325.9271000000003</v>
          </cell>
        </row>
        <row r="617">
          <cell r="C617" t="str">
            <v>2002AL</v>
          </cell>
          <cell r="D617">
            <v>0</v>
          </cell>
          <cell r="E617">
            <v>15840</v>
          </cell>
          <cell r="F617">
            <v>2400</v>
          </cell>
          <cell r="G617">
            <v>0</v>
          </cell>
          <cell r="H617">
            <v>280</v>
          </cell>
          <cell r="I617">
            <v>0</v>
          </cell>
          <cell r="J617">
            <v>0</v>
          </cell>
          <cell r="K617">
            <v>0</v>
          </cell>
          <cell r="L617">
            <v>0</v>
          </cell>
          <cell r="M617">
            <v>3720</v>
          </cell>
          <cell r="N617">
            <v>379800</v>
          </cell>
          <cell r="O617">
            <v>0</v>
          </cell>
          <cell r="P617">
            <v>0</v>
          </cell>
          <cell r="Q617">
            <v>0</v>
          </cell>
          <cell r="R617">
            <v>0</v>
          </cell>
          <cell r="S617">
            <v>0</v>
          </cell>
          <cell r="T617">
            <v>0</v>
          </cell>
          <cell r="U617">
            <v>0</v>
          </cell>
        </row>
        <row r="618">
          <cell r="C618" t="str">
            <v>2002AK</v>
          </cell>
          <cell r="D618">
            <v>0</v>
          </cell>
          <cell r="E618">
            <v>0</v>
          </cell>
          <cell r="F618">
            <v>0</v>
          </cell>
          <cell r="G618">
            <v>149</v>
          </cell>
          <cell r="H618">
            <v>0</v>
          </cell>
          <cell r="I618">
            <v>48000</v>
          </cell>
          <cell r="J618">
            <v>0</v>
          </cell>
          <cell r="K618">
            <v>0</v>
          </cell>
          <cell r="L618">
            <v>0</v>
          </cell>
          <cell r="M618">
            <v>0</v>
          </cell>
          <cell r="N618">
            <v>0</v>
          </cell>
          <cell r="O618">
            <v>0</v>
          </cell>
          <cell r="P618">
            <v>0</v>
          </cell>
          <cell r="Q618">
            <v>0</v>
          </cell>
          <cell r="R618">
            <v>0</v>
          </cell>
          <cell r="S618">
            <v>0</v>
          </cell>
          <cell r="T618">
            <v>0</v>
          </cell>
          <cell r="U618">
            <v>0</v>
          </cell>
        </row>
        <row r="619">
          <cell r="C619" t="str">
            <v>2002AZ</v>
          </cell>
          <cell r="D619">
            <v>1863</v>
          </cell>
          <cell r="E619">
            <v>5180</v>
          </cell>
          <cell r="F619">
            <v>9444</v>
          </cell>
          <cell r="G619">
            <v>4400</v>
          </cell>
          <cell r="H619">
            <v>420</v>
          </cell>
          <cell r="I619">
            <v>0</v>
          </cell>
          <cell r="J619">
            <v>0</v>
          </cell>
          <cell r="K619">
            <v>0</v>
          </cell>
          <cell r="L619">
            <v>0</v>
          </cell>
          <cell r="M619">
            <v>0</v>
          </cell>
          <cell r="N619">
            <v>0</v>
          </cell>
          <cell r="O619">
            <v>0</v>
          </cell>
          <cell r="P619">
            <v>0</v>
          </cell>
          <cell r="Q619">
            <v>0</v>
          </cell>
          <cell r="R619">
            <v>0</v>
          </cell>
          <cell r="S619">
            <v>0</v>
          </cell>
          <cell r="T619">
            <v>0</v>
          </cell>
          <cell r="U619">
            <v>0</v>
          </cell>
        </row>
        <row r="620">
          <cell r="C620" t="str">
            <v>2002AR</v>
          </cell>
          <cell r="D620">
            <v>60</v>
          </cell>
          <cell r="E620">
            <v>34170</v>
          </cell>
          <cell r="F620">
            <v>38180</v>
          </cell>
          <cell r="G620">
            <v>0</v>
          </cell>
          <cell r="H620">
            <v>17710</v>
          </cell>
          <cell r="I620">
            <v>0</v>
          </cell>
          <cell r="J620">
            <v>0</v>
          </cell>
          <cell r="K620">
            <v>0</v>
          </cell>
          <cell r="L620">
            <v>96752</v>
          </cell>
          <cell r="M620">
            <v>96480</v>
          </cell>
          <cell r="N620">
            <v>0</v>
          </cell>
          <cell r="O620">
            <v>0</v>
          </cell>
          <cell r="P620">
            <v>0</v>
          </cell>
          <cell r="Q620">
            <v>0</v>
          </cell>
          <cell r="R620">
            <v>0</v>
          </cell>
          <cell r="S620">
            <v>0</v>
          </cell>
          <cell r="T620">
            <v>0</v>
          </cell>
          <cell r="U620">
            <v>1503</v>
          </cell>
          <cell r="W620">
            <v>0.16</v>
          </cell>
        </row>
        <row r="621">
          <cell r="C621" t="str">
            <v>2002CA</v>
          </cell>
          <cell r="D621">
            <v>8004</v>
          </cell>
          <cell r="E621">
            <v>25500</v>
          </cell>
          <cell r="F621">
            <v>31800</v>
          </cell>
          <cell r="G621">
            <v>5325</v>
          </cell>
          <cell r="H621">
            <v>880</v>
          </cell>
          <cell r="I621">
            <v>2624</v>
          </cell>
          <cell r="J621">
            <v>0</v>
          </cell>
          <cell r="K621">
            <v>0</v>
          </cell>
          <cell r="L621">
            <v>42989</v>
          </cell>
          <cell r="M621">
            <v>0</v>
          </cell>
          <cell r="N621">
            <v>0</v>
          </cell>
          <cell r="O621">
            <v>1762</v>
          </cell>
          <cell r="P621">
            <v>0</v>
          </cell>
          <cell r="Q621">
            <v>0</v>
          </cell>
          <cell r="R621">
            <v>0</v>
          </cell>
          <cell r="S621">
            <v>0</v>
          </cell>
          <cell r="T621">
            <v>0</v>
          </cell>
          <cell r="U621">
            <v>528</v>
          </cell>
          <cell r="W621">
            <v>0.13</v>
          </cell>
        </row>
        <row r="622">
          <cell r="C622" t="str">
            <v>2002CO</v>
          </cell>
          <cell r="D622">
            <v>2262</v>
          </cell>
          <cell r="E622">
            <v>108000</v>
          </cell>
          <cell r="F622">
            <v>38100</v>
          </cell>
          <cell r="G622">
            <v>7488</v>
          </cell>
          <cell r="H622">
            <v>1800</v>
          </cell>
          <cell r="I622">
            <v>400</v>
          </cell>
          <cell r="J622">
            <v>0</v>
          </cell>
          <cell r="K622">
            <v>1208</v>
          </cell>
          <cell r="L622">
            <v>0</v>
          </cell>
          <cell r="M622">
            <v>0</v>
          </cell>
          <cell r="N622">
            <v>0</v>
          </cell>
          <cell r="O622">
            <v>1519</v>
          </cell>
          <cell r="P622">
            <v>0</v>
          </cell>
          <cell r="Q622">
            <v>0</v>
          </cell>
          <cell r="R622">
            <v>0</v>
          </cell>
          <cell r="S622">
            <v>0</v>
          </cell>
          <cell r="T622">
            <v>0</v>
          </cell>
          <cell r="U622">
            <v>0</v>
          </cell>
        </row>
        <row r="623">
          <cell r="C623" t="str">
            <v>2002CT</v>
          </cell>
          <cell r="D623">
            <v>22</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row>
        <row r="624">
          <cell r="C624" t="str">
            <v>2002DE</v>
          </cell>
          <cell r="D624">
            <v>19</v>
          </cell>
          <cell r="E624">
            <v>14028</v>
          </cell>
          <cell r="F624">
            <v>3710</v>
          </cell>
          <cell r="G624">
            <v>1909</v>
          </cell>
          <cell r="H624">
            <v>45</v>
          </cell>
          <cell r="I624">
            <v>0</v>
          </cell>
          <cell r="J624">
            <v>0</v>
          </cell>
          <cell r="K624">
            <v>0</v>
          </cell>
          <cell r="L624">
            <v>0</v>
          </cell>
          <cell r="M624">
            <v>4625</v>
          </cell>
          <cell r="N624">
            <v>0</v>
          </cell>
          <cell r="O624">
            <v>0</v>
          </cell>
          <cell r="P624">
            <v>0</v>
          </cell>
          <cell r="Q624">
            <v>0</v>
          </cell>
          <cell r="R624">
            <v>0</v>
          </cell>
          <cell r="S624">
            <v>0</v>
          </cell>
          <cell r="T624">
            <v>0</v>
          </cell>
          <cell r="U624">
            <v>0</v>
          </cell>
        </row>
        <row r="625">
          <cell r="C625" t="str">
            <v>2002FL</v>
          </cell>
          <cell r="D625">
            <v>0</v>
          </cell>
          <cell r="E625">
            <v>3552</v>
          </cell>
          <cell r="F625">
            <v>245</v>
          </cell>
          <cell r="G625">
            <v>0</v>
          </cell>
          <cell r="H625">
            <v>0</v>
          </cell>
          <cell r="I625">
            <v>0</v>
          </cell>
          <cell r="J625">
            <v>0</v>
          </cell>
          <cell r="K625">
            <v>0</v>
          </cell>
          <cell r="L625">
            <v>0</v>
          </cell>
          <cell r="M625">
            <v>297</v>
          </cell>
          <cell r="N625">
            <v>197800</v>
          </cell>
          <cell r="O625">
            <v>0</v>
          </cell>
          <cell r="P625">
            <v>0</v>
          </cell>
          <cell r="Q625">
            <v>0</v>
          </cell>
          <cell r="R625">
            <v>0</v>
          </cell>
          <cell r="S625">
            <v>0</v>
          </cell>
          <cell r="T625">
            <v>17653</v>
          </cell>
          <cell r="U625">
            <v>12.545</v>
          </cell>
          <cell r="V625">
            <v>6.7549999999999999</v>
          </cell>
          <cell r="W625">
            <v>0</v>
          </cell>
        </row>
        <row r="626">
          <cell r="C626" t="str">
            <v>2002GA</v>
          </cell>
          <cell r="D626">
            <v>0</v>
          </cell>
          <cell r="E626">
            <v>31900</v>
          </cell>
          <cell r="F626">
            <v>7980</v>
          </cell>
          <cell r="G626">
            <v>0</v>
          </cell>
          <cell r="H626">
            <v>1200</v>
          </cell>
          <cell r="I626">
            <v>1500</v>
          </cell>
          <cell r="J626">
            <v>560</v>
          </cell>
          <cell r="K626">
            <v>0</v>
          </cell>
          <cell r="L626">
            <v>0</v>
          </cell>
          <cell r="M626">
            <v>3220</v>
          </cell>
          <cell r="N626">
            <v>1313000</v>
          </cell>
          <cell r="O626">
            <v>0</v>
          </cell>
          <cell r="P626">
            <v>0</v>
          </cell>
          <cell r="Q626">
            <v>0</v>
          </cell>
          <cell r="R626">
            <v>0</v>
          </cell>
          <cell r="S626">
            <v>0</v>
          </cell>
          <cell r="T626">
            <v>0</v>
          </cell>
          <cell r="U626">
            <v>0</v>
          </cell>
        </row>
        <row r="627">
          <cell r="C627" t="str">
            <v>2002HI</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2159</v>
          </cell>
          <cell r="U627">
            <v>0</v>
          </cell>
        </row>
        <row r="628">
          <cell r="C628" t="str">
            <v>2002ID</v>
          </cell>
          <cell r="D628">
            <v>4680</v>
          </cell>
          <cell r="E628">
            <v>6975</v>
          </cell>
          <cell r="F628">
            <v>78410</v>
          </cell>
          <cell r="G628">
            <v>54670</v>
          </cell>
          <cell r="H628">
            <v>0</v>
          </cell>
          <cell r="I628">
            <v>1750</v>
          </cell>
          <cell r="J628">
            <v>0</v>
          </cell>
          <cell r="K628">
            <v>0</v>
          </cell>
          <cell r="L628">
            <v>0</v>
          </cell>
          <cell r="M628">
            <v>0</v>
          </cell>
          <cell r="N628">
            <v>0</v>
          </cell>
          <cell r="O628">
            <v>1907</v>
          </cell>
          <cell r="P628">
            <v>720</v>
          </cell>
          <cell r="Q628">
            <v>128</v>
          </cell>
          <cell r="R628">
            <v>792</v>
          </cell>
          <cell r="S628">
            <v>157</v>
          </cell>
          <cell r="T628">
            <v>0</v>
          </cell>
          <cell r="U628">
            <v>0</v>
          </cell>
        </row>
        <row r="629">
          <cell r="C629" t="str">
            <v>2002IL</v>
          </cell>
          <cell r="D629">
            <v>1620</v>
          </cell>
          <cell r="E629">
            <v>1471500</v>
          </cell>
          <cell r="F629">
            <v>30870</v>
          </cell>
          <cell r="G629">
            <v>0</v>
          </cell>
          <cell r="H629">
            <v>6308</v>
          </cell>
          <cell r="I629">
            <v>3285</v>
          </cell>
          <cell r="J629">
            <v>0</v>
          </cell>
          <cell r="K629">
            <v>0</v>
          </cell>
          <cell r="L629">
            <v>0</v>
          </cell>
          <cell r="M629">
            <v>453650</v>
          </cell>
          <cell r="N629">
            <v>0</v>
          </cell>
          <cell r="O629">
            <v>0</v>
          </cell>
          <cell r="P629">
            <v>0</v>
          </cell>
          <cell r="Q629">
            <v>0</v>
          </cell>
          <cell r="R629">
            <v>0</v>
          </cell>
          <cell r="S629">
            <v>0</v>
          </cell>
          <cell r="T629">
            <v>0</v>
          </cell>
          <cell r="U629">
            <v>0</v>
          </cell>
        </row>
        <row r="630">
          <cell r="C630" t="str">
            <v>2002IN</v>
          </cell>
          <cell r="D630">
            <v>990</v>
          </cell>
          <cell r="E630">
            <v>631620</v>
          </cell>
          <cell r="F630">
            <v>16430</v>
          </cell>
          <cell r="G630">
            <v>0</v>
          </cell>
          <cell r="H630">
            <v>0</v>
          </cell>
          <cell r="I630">
            <v>868</v>
          </cell>
          <cell r="J630">
            <v>0</v>
          </cell>
          <cell r="K630">
            <v>0</v>
          </cell>
          <cell r="L630">
            <v>0</v>
          </cell>
          <cell r="M630">
            <v>239455</v>
          </cell>
          <cell r="N630">
            <v>0</v>
          </cell>
          <cell r="O630">
            <v>0</v>
          </cell>
          <cell r="P630">
            <v>0</v>
          </cell>
          <cell r="Q630">
            <v>0</v>
          </cell>
          <cell r="R630">
            <v>0</v>
          </cell>
          <cell r="S630">
            <v>0</v>
          </cell>
          <cell r="T630">
            <v>0</v>
          </cell>
          <cell r="U630">
            <v>0</v>
          </cell>
        </row>
        <row r="631">
          <cell r="C631" t="str">
            <v>2002IA</v>
          </cell>
          <cell r="D631">
            <v>4875</v>
          </cell>
          <cell r="E631">
            <v>1931550</v>
          </cell>
          <cell r="F631">
            <v>848</v>
          </cell>
          <cell r="G631">
            <v>0</v>
          </cell>
          <cell r="H631">
            <v>0</v>
          </cell>
          <cell r="I631">
            <v>13300</v>
          </cell>
          <cell r="J631">
            <v>0</v>
          </cell>
          <cell r="K631">
            <v>0</v>
          </cell>
          <cell r="L631">
            <v>0</v>
          </cell>
          <cell r="M631">
            <v>499200</v>
          </cell>
          <cell r="N631">
            <v>0</v>
          </cell>
          <cell r="O631">
            <v>0</v>
          </cell>
          <cell r="P631">
            <v>0</v>
          </cell>
          <cell r="Q631">
            <v>0</v>
          </cell>
          <cell r="R631">
            <v>0</v>
          </cell>
          <cell r="S631">
            <v>0</v>
          </cell>
          <cell r="T631">
            <v>0</v>
          </cell>
          <cell r="U631">
            <v>0</v>
          </cell>
        </row>
        <row r="632">
          <cell r="C632" t="str">
            <v>2002KS</v>
          </cell>
          <cell r="D632">
            <v>3515</v>
          </cell>
          <cell r="E632">
            <v>301600</v>
          </cell>
          <cell r="F632">
            <v>270600</v>
          </cell>
          <cell r="G632">
            <v>259</v>
          </cell>
          <cell r="H632">
            <v>135000</v>
          </cell>
          <cell r="I632">
            <v>3120</v>
          </cell>
          <cell r="J632">
            <v>0</v>
          </cell>
          <cell r="K632">
            <v>0</v>
          </cell>
          <cell r="L632">
            <v>0</v>
          </cell>
          <cell r="M632">
            <v>58420</v>
          </cell>
          <cell r="N632">
            <v>0</v>
          </cell>
          <cell r="O632">
            <v>280</v>
          </cell>
          <cell r="P632">
            <v>0</v>
          </cell>
          <cell r="Q632">
            <v>0</v>
          </cell>
          <cell r="R632">
            <v>0</v>
          </cell>
          <cell r="S632">
            <v>0</v>
          </cell>
          <cell r="T632">
            <v>0</v>
          </cell>
          <cell r="U632">
            <v>0</v>
          </cell>
        </row>
        <row r="633">
          <cell r="C633" t="str">
            <v>2002KY</v>
          </cell>
          <cell r="D633">
            <v>928</v>
          </cell>
          <cell r="E633">
            <v>111280</v>
          </cell>
          <cell r="F633">
            <v>17160</v>
          </cell>
          <cell r="G633">
            <v>455</v>
          </cell>
          <cell r="H633">
            <v>750</v>
          </cell>
          <cell r="I633">
            <v>0</v>
          </cell>
          <cell r="J633">
            <v>0</v>
          </cell>
          <cell r="K633">
            <v>0</v>
          </cell>
          <cell r="L633">
            <v>0</v>
          </cell>
          <cell r="M633">
            <v>42570</v>
          </cell>
          <cell r="N633">
            <v>0</v>
          </cell>
          <cell r="O633">
            <v>0</v>
          </cell>
          <cell r="P633">
            <v>0</v>
          </cell>
          <cell r="Q633">
            <v>0</v>
          </cell>
          <cell r="R633">
            <v>0</v>
          </cell>
          <cell r="S633">
            <v>0</v>
          </cell>
          <cell r="T633">
            <v>0</v>
          </cell>
          <cell r="U633">
            <v>0</v>
          </cell>
        </row>
        <row r="634">
          <cell r="C634" t="str">
            <v>2002LA</v>
          </cell>
          <cell r="D634">
            <v>0</v>
          </cell>
          <cell r="E634">
            <v>65340</v>
          </cell>
          <cell r="F634">
            <v>8800</v>
          </cell>
          <cell r="G634">
            <v>0</v>
          </cell>
          <cell r="H634">
            <v>13365</v>
          </cell>
          <cell r="I634">
            <v>0</v>
          </cell>
          <cell r="J634">
            <v>0</v>
          </cell>
          <cell r="K634">
            <v>0</v>
          </cell>
          <cell r="L634">
            <v>29400</v>
          </cell>
          <cell r="M634">
            <v>21120</v>
          </cell>
          <cell r="N634">
            <v>0</v>
          </cell>
          <cell r="O634">
            <v>0</v>
          </cell>
          <cell r="P634">
            <v>0</v>
          </cell>
          <cell r="Q634">
            <v>0</v>
          </cell>
          <cell r="R634">
            <v>0</v>
          </cell>
          <cell r="S634">
            <v>0</v>
          </cell>
          <cell r="T634">
            <v>14009</v>
          </cell>
          <cell r="U634">
            <v>535</v>
          </cell>
          <cell r="V634">
            <v>80.25</v>
          </cell>
          <cell r="W634">
            <v>0.03</v>
          </cell>
        </row>
        <row r="635">
          <cell r="C635" t="str">
            <v>2002ME</v>
          </cell>
          <cell r="D635">
            <v>24</v>
          </cell>
          <cell r="E635">
            <v>0</v>
          </cell>
          <cell r="F635">
            <v>0</v>
          </cell>
          <cell r="G635">
            <v>2160</v>
          </cell>
          <cell r="H635">
            <v>0</v>
          </cell>
          <cell r="I635">
            <v>2295</v>
          </cell>
          <cell r="J635">
            <v>0</v>
          </cell>
          <cell r="K635">
            <v>0</v>
          </cell>
          <cell r="L635">
            <v>0</v>
          </cell>
          <cell r="M635">
            <v>0</v>
          </cell>
          <cell r="N635">
            <v>0</v>
          </cell>
          <cell r="O635">
            <v>0</v>
          </cell>
          <cell r="P635">
            <v>0</v>
          </cell>
          <cell r="Q635">
            <v>0</v>
          </cell>
          <cell r="R635">
            <v>0</v>
          </cell>
          <cell r="S635">
            <v>0</v>
          </cell>
          <cell r="T635">
            <v>0</v>
          </cell>
          <cell r="U635">
            <v>0</v>
          </cell>
        </row>
        <row r="636">
          <cell r="C636" t="str">
            <v>2002MD</v>
          </cell>
          <cell r="D636">
            <v>174</v>
          </cell>
          <cell r="E636">
            <v>31450</v>
          </cell>
          <cell r="F636">
            <v>11220</v>
          </cell>
          <cell r="G636">
            <v>3198</v>
          </cell>
          <cell r="H636">
            <v>160</v>
          </cell>
          <cell r="I636">
            <v>0</v>
          </cell>
          <cell r="J636">
            <v>0</v>
          </cell>
          <cell r="K636">
            <v>0</v>
          </cell>
          <cell r="L636">
            <v>0</v>
          </cell>
          <cell r="M636">
            <v>10810</v>
          </cell>
          <cell r="N636">
            <v>0</v>
          </cell>
          <cell r="O636">
            <v>0</v>
          </cell>
          <cell r="P636">
            <v>0</v>
          </cell>
          <cell r="Q636">
            <v>0</v>
          </cell>
          <cell r="R636">
            <v>0</v>
          </cell>
          <cell r="S636">
            <v>0</v>
          </cell>
          <cell r="T636">
            <v>0</v>
          </cell>
          <cell r="U636">
            <v>0</v>
          </cell>
        </row>
        <row r="637">
          <cell r="C637" t="str">
            <v>2002MA</v>
          </cell>
          <cell r="D637">
            <v>38</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row>
        <row r="638">
          <cell r="C638" t="str">
            <v>2002MI</v>
          </cell>
          <cell r="D638">
            <v>3045</v>
          </cell>
          <cell r="E638">
            <v>234000</v>
          </cell>
          <cell r="F638">
            <v>29480</v>
          </cell>
          <cell r="G638">
            <v>663</v>
          </cell>
          <cell r="H638">
            <v>0</v>
          </cell>
          <cell r="I638">
            <v>4160</v>
          </cell>
          <cell r="J638">
            <v>0</v>
          </cell>
          <cell r="K638">
            <v>0</v>
          </cell>
          <cell r="L638">
            <v>0</v>
          </cell>
          <cell r="M638">
            <v>78540</v>
          </cell>
          <cell r="N638">
            <v>0</v>
          </cell>
          <cell r="O638">
            <v>4903</v>
          </cell>
          <cell r="P638">
            <v>0</v>
          </cell>
          <cell r="Q638">
            <v>0</v>
          </cell>
          <cell r="R638">
            <v>0</v>
          </cell>
          <cell r="S638">
            <v>0</v>
          </cell>
          <cell r="T638">
            <v>0</v>
          </cell>
          <cell r="U638">
            <v>0</v>
          </cell>
        </row>
        <row r="639">
          <cell r="C639" t="str">
            <v>2002MN</v>
          </cell>
          <cell r="D639">
            <v>4620</v>
          </cell>
          <cell r="E639">
            <v>1051900</v>
          </cell>
          <cell r="F639">
            <v>62420</v>
          </cell>
          <cell r="G639">
            <v>6150</v>
          </cell>
          <cell r="H639">
            <v>0</v>
          </cell>
          <cell r="I639">
            <v>14840</v>
          </cell>
          <cell r="J639">
            <v>0</v>
          </cell>
          <cell r="K639">
            <v>0</v>
          </cell>
          <cell r="L639">
            <v>0</v>
          </cell>
          <cell r="M639">
            <v>308850</v>
          </cell>
          <cell r="N639">
            <v>0</v>
          </cell>
          <cell r="O639">
            <v>2666</v>
          </cell>
          <cell r="P639">
            <v>0</v>
          </cell>
          <cell r="Q639">
            <v>0</v>
          </cell>
          <cell r="R639">
            <v>0</v>
          </cell>
          <cell r="S639">
            <v>0</v>
          </cell>
          <cell r="T639">
            <v>0</v>
          </cell>
          <cell r="U639">
            <v>0</v>
          </cell>
        </row>
        <row r="640">
          <cell r="C640" t="str">
            <v>2002MS</v>
          </cell>
          <cell r="D640">
            <v>0</v>
          </cell>
          <cell r="E640">
            <v>63600</v>
          </cell>
          <cell r="F640">
            <v>7200</v>
          </cell>
          <cell r="G640">
            <v>0</v>
          </cell>
          <cell r="H640">
            <v>6237</v>
          </cell>
          <cell r="I640">
            <v>0</v>
          </cell>
          <cell r="J640">
            <v>0</v>
          </cell>
          <cell r="K640">
            <v>0</v>
          </cell>
          <cell r="L640">
            <v>16192</v>
          </cell>
          <cell r="M640">
            <v>43840</v>
          </cell>
          <cell r="N640">
            <v>0</v>
          </cell>
          <cell r="O640">
            <v>0</v>
          </cell>
          <cell r="P640">
            <v>0</v>
          </cell>
          <cell r="Q640">
            <v>0</v>
          </cell>
          <cell r="R640">
            <v>0</v>
          </cell>
          <cell r="S640">
            <v>0</v>
          </cell>
          <cell r="T640">
            <v>0</v>
          </cell>
          <cell r="U640">
            <v>253</v>
          </cell>
          <cell r="W640">
            <v>0.08</v>
          </cell>
        </row>
        <row r="641">
          <cell r="C641" t="str">
            <v>2002MO</v>
          </cell>
          <cell r="D641">
            <v>1200</v>
          </cell>
          <cell r="E641">
            <v>283500</v>
          </cell>
          <cell r="F641">
            <v>33440</v>
          </cell>
          <cell r="G641">
            <v>0</v>
          </cell>
          <cell r="H641">
            <v>16150</v>
          </cell>
          <cell r="I641">
            <v>1785</v>
          </cell>
          <cell r="J641">
            <v>0</v>
          </cell>
          <cell r="K641">
            <v>0</v>
          </cell>
          <cell r="L641">
            <v>11011</v>
          </cell>
          <cell r="M641">
            <v>170000</v>
          </cell>
          <cell r="N641">
            <v>0</v>
          </cell>
          <cell r="O641">
            <v>0</v>
          </cell>
          <cell r="P641">
            <v>0</v>
          </cell>
          <cell r="Q641">
            <v>0</v>
          </cell>
          <cell r="R641">
            <v>0</v>
          </cell>
          <cell r="S641">
            <v>0</v>
          </cell>
          <cell r="T641">
            <v>0</v>
          </cell>
          <cell r="U641">
            <v>182</v>
          </cell>
          <cell r="W641">
            <v>0.18</v>
          </cell>
        </row>
        <row r="642">
          <cell r="C642" t="str">
            <v>2002MT</v>
          </cell>
          <cell r="D642">
            <v>3000</v>
          </cell>
          <cell r="E642">
            <v>1820</v>
          </cell>
          <cell r="F642">
            <v>110735</v>
          </cell>
          <cell r="G642">
            <v>39060</v>
          </cell>
          <cell r="H642">
            <v>0</v>
          </cell>
          <cell r="I642">
            <v>2300</v>
          </cell>
          <cell r="J642">
            <v>0</v>
          </cell>
          <cell r="K642">
            <v>0</v>
          </cell>
          <cell r="L642">
            <v>0</v>
          </cell>
          <cell r="M642">
            <v>0</v>
          </cell>
          <cell r="N642">
            <v>0</v>
          </cell>
          <cell r="O642">
            <v>367</v>
          </cell>
          <cell r="P642">
            <v>216</v>
          </cell>
          <cell r="Q642">
            <v>25</v>
          </cell>
          <cell r="R642">
            <v>165</v>
          </cell>
          <cell r="S642">
            <v>0</v>
          </cell>
          <cell r="T642">
            <v>0</v>
          </cell>
          <cell r="U642">
            <v>0</v>
          </cell>
        </row>
        <row r="643">
          <cell r="C643" t="str">
            <v>2002NE</v>
          </cell>
          <cell r="D643">
            <v>4050</v>
          </cell>
          <cell r="E643">
            <v>940800</v>
          </cell>
          <cell r="F643">
            <v>50160</v>
          </cell>
          <cell r="G643">
            <v>128</v>
          </cell>
          <cell r="H643">
            <v>16000</v>
          </cell>
          <cell r="I643">
            <v>2365</v>
          </cell>
          <cell r="J643">
            <v>0</v>
          </cell>
          <cell r="K643">
            <v>1200</v>
          </cell>
          <cell r="L643">
            <v>0</v>
          </cell>
          <cell r="M643">
            <v>176330</v>
          </cell>
          <cell r="N643">
            <v>0</v>
          </cell>
          <cell r="O643">
            <v>3465</v>
          </cell>
          <cell r="P643">
            <v>0</v>
          </cell>
          <cell r="Q643">
            <v>0</v>
          </cell>
          <cell r="R643">
            <v>0</v>
          </cell>
          <cell r="S643">
            <v>0</v>
          </cell>
          <cell r="T643">
            <v>0</v>
          </cell>
          <cell r="U643">
            <v>0</v>
          </cell>
        </row>
        <row r="644">
          <cell r="C644" t="str">
            <v>2002NV</v>
          </cell>
          <cell r="D644">
            <v>1183</v>
          </cell>
          <cell r="E644">
            <v>0</v>
          </cell>
          <cell r="F644">
            <v>408</v>
          </cell>
          <cell r="G644">
            <v>194</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row>
        <row r="645">
          <cell r="C645" t="str">
            <v>2002NH</v>
          </cell>
          <cell r="D645">
            <v>18</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row>
        <row r="646">
          <cell r="C646" t="str">
            <v>2002NJ</v>
          </cell>
          <cell r="D646">
            <v>78</v>
          </cell>
          <cell r="E646">
            <v>4270</v>
          </cell>
          <cell r="F646">
            <v>1824</v>
          </cell>
          <cell r="G646">
            <v>210</v>
          </cell>
          <cell r="H646">
            <v>0</v>
          </cell>
          <cell r="I646">
            <v>0</v>
          </cell>
          <cell r="J646">
            <v>0</v>
          </cell>
          <cell r="K646">
            <v>0</v>
          </cell>
          <cell r="L646">
            <v>0</v>
          </cell>
          <cell r="M646">
            <v>2328</v>
          </cell>
          <cell r="N646">
            <v>0</v>
          </cell>
          <cell r="O646">
            <v>0</v>
          </cell>
          <cell r="P646">
            <v>0</v>
          </cell>
          <cell r="Q646">
            <v>0</v>
          </cell>
          <cell r="R646">
            <v>0</v>
          </cell>
          <cell r="S646">
            <v>0</v>
          </cell>
          <cell r="T646">
            <v>0</v>
          </cell>
          <cell r="U646">
            <v>0</v>
          </cell>
        </row>
        <row r="647">
          <cell r="C647" t="str">
            <v>2002NM</v>
          </cell>
          <cell r="D647">
            <v>1272</v>
          </cell>
          <cell r="E647">
            <v>8575</v>
          </cell>
          <cell r="F647">
            <v>3900</v>
          </cell>
          <cell r="G647">
            <v>0</v>
          </cell>
          <cell r="H647">
            <v>2450</v>
          </cell>
          <cell r="I647">
            <v>0</v>
          </cell>
          <cell r="J647">
            <v>0</v>
          </cell>
          <cell r="K647">
            <v>0</v>
          </cell>
          <cell r="L647">
            <v>0</v>
          </cell>
          <cell r="M647">
            <v>0</v>
          </cell>
          <cell r="N647">
            <v>54000</v>
          </cell>
          <cell r="O647">
            <v>153</v>
          </cell>
          <cell r="P647">
            <v>0</v>
          </cell>
          <cell r="Q647">
            <v>0</v>
          </cell>
          <cell r="R647">
            <v>0</v>
          </cell>
          <cell r="S647">
            <v>0</v>
          </cell>
          <cell r="T647">
            <v>0</v>
          </cell>
          <cell r="U647">
            <v>0</v>
          </cell>
        </row>
        <row r="648">
          <cell r="C648" t="str">
            <v>2002NY</v>
          </cell>
          <cell r="D648">
            <v>1525</v>
          </cell>
          <cell r="E648">
            <v>44620</v>
          </cell>
          <cell r="F648">
            <v>6844</v>
          </cell>
          <cell r="G648">
            <v>470</v>
          </cell>
          <cell r="H648">
            <v>0</v>
          </cell>
          <cell r="I648">
            <v>4160</v>
          </cell>
          <cell r="J648">
            <v>0</v>
          </cell>
          <cell r="K648">
            <v>0</v>
          </cell>
          <cell r="L648">
            <v>0</v>
          </cell>
          <cell r="M648">
            <v>4608</v>
          </cell>
          <cell r="N648">
            <v>0</v>
          </cell>
          <cell r="O648">
            <v>333</v>
          </cell>
          <cell r="P648">
            <v>0</v>
          </cell>
          <cell r="Q648">
            <v>0</v>
          </cell>
          <cell r="R648">
            <v>0</v>
          </cell>
          <cell r="S648">
            <v>0</v>
          </cell>
          <cell r="T648">
            <v>0</v>
          </cell>
          <cell r="U648">
            <v>0</v>
          </cell>
        </row>
        <row r="649">
          <cell r="C649" t="str">
            <v>2002NC</v>
          </cell>
          <cell r="D649">
            <v>40</v>
          </cell>
          <cell r="E649">
            <v>56440</v>
          </cell>
          <cell r="F649">
            <v>18060</v>
          </cell>
          <cell r="G649">
            <v>1020</v>
          </cell>
          <cell r="H649">
            <v>504</v>
          </cell>
          <cell r="I649">
            <v>1375</v>
          </cell>
          <cell r="J649">
            <v>0</v>
          </cell>
          <cell r="K649">
            <v>0</v>
          </cell>
          <cell r="L649">
            <v>0</v>
          </cell>
          <cell r="M649">
            <v>30960</v>
          </cell>
          <cell r="N649">
            <v>210000</v>
          </cell>
          <cell r="O649">
            <v>0</v>
          </cell>
          <cell r="P649">
            <v>0</v>
          </cell>
          <cell r="Q649">
            <v>0</v>
          </cell>
          <cell r="R649">
            <v>0</v>
          </cell>
          <cell r="S649">
            <v>0</v>
          </cell>
          <cell r="T649">
            <v>0</v>
          </cell>
          <cell r="U649">
            <v>0</v>
          </cell>
        </row>
        <row r="650">
          <cell r="C650" t="str">
            <v>2002ND</v>
          </cell>
          <cell r="D650">
            <v>1885</v>
          </cell>
          <cell r="E650">
            <v>113430</v>
          </cell>
          <cell r="F650">
            <v>216095</v>
          </cell>
          <cell r="G650">
            <v>58500</v>
          </cell>
          <cell r="H650">
            <v>0</v>
          </cell>
          <cell r="I650">
            <v>12600</v>
          </cell>
          <cell r="J650">
            <v>210</v>
          </cell>
          <cell r="K650">
            <v>0</v>
          </cell>
          <cell r="L650">
            <v>0</v>
          </cell>
          <cell r="M650">
            <v>86790</v>
          </cell>
          <cell r="N650">
            <v>0</v>
          </cell>
          <cell r="O650">
            <v>10626</v>
          </cell>
          <cell r="P650">
            <v>2208</v>
          </cell>
          <cell r="Q650">
            <v>0</v>
          </cell>
          <cell r="R650">
            <v>494</v>
          </cell>
          <cell r="S650">
            <v>0</v>
          </cell>
          <cell r="T650">
            <v>0</v>
          </cell>
          <cell r="U650">
            <v>0</v>
          </cell>
        </row>
        <row r="651">
          <cell r="C651" t="str">
            <v>2002OH</v>
          </cell>
          <cell r="D651">
            <v>1860</v>
          </cell>
          <cell r="E651">
            <v>264330</v>
          </cell>
          <cell r="F651">
            <v>50220</v>
          </cell>
          <cell r="G651">
            <v>330</v>
          </cell>
          <cell r="H651">
            <v>0</v>
          </cell>
          <cell r="I651">
            <v>3355</v>
          </cell>
          <cell r="J651">
            <v>0</v>
          </cell>
          <cell r="K651">
            <v>0</v>
          </cell>
          <cell r="L651">
            <v>0</v>
          </cell>
          <cell r="M651">
            <v>151040</v>
          </cell>
          <cell r="N651">
            <v>0</v>
          </cell>
          <cell r="O651">
            <v>0</v>
          </cell>
          <cell r="P651">
            <v>0</v>
          </cell>
          <cell r="Q651">
            <v>0</v>
          </cell>
          <cell r="R651">
            <v>0</v>
          </cell>
          <cell r="S651">
            <v>0</v>
          </cell>
          <cell r="T651">
            <v>0</v>
          </cell>
          <cell r="U651">
            <v>0</v>
          </cell>
        </row>
        <row r="652">
          <cell r="C652" t="str">
            <v>2002OK</v>
          </cell>
          <cell r="D652">
            <v>1225</v>
          </cell>
          <cell r="E652">
            <v>24700</v>
          </cell>
          <cell r="F652">
            <v>103600</v>
          </cell>
          <cell r="G652">
            <v>0</v>
          </cell>
          <cell r="H652">
            <v>13500</v>
          </cell>
          <cell r="I652">
            <v>740</v>
          </cell>
          <cell r="J652">
            <v>1300</v>
          </cell>
          <cell r="K652">
            <v>0</v>
          </cell>
          <cell r="L652">
            <v>0</v>
          </cell>
          <cell r="M652">
            <v>6760</v>
          </cell>
          <cell r="N652">
            <v>159600</v>
          </cell>
          <cell r="O652">
            <v>0</v>
          </cell>
          <cell r="P652">
            <v>0</v>
          </cell>
          <cell r="Q652">
            <v>0</v>
          </cell>
          <cell r="R652">
            <v>0</v>
          </cell>
          <cell r="S652">
            <v>0</v>
          </cell>
          <cell r="T652">
            <v>0</v>
          </cell>
          <cell r="U652">
            <v>0.67610000000000003</v>
          </cell>
          <cell r="W652">
            <v>0.9</v>
          </cell>
        </row>
        <row r="653">
          <cell r="C653" t="str">
            <v>2002OR</v>
          </cell>
          <cell r="D653">
            <v>2129</v>
          </cell>
          <cell r="E653">
            <v>3200</v>
          </cell>
          <cell r="F653">
            <v>34500</v>
          </cell>
          <cell r="G653">
            <v>3604</v>
          </cell>
          <cell r="H653">
            <v>0</v>
          </cell>
          <cell r="I653">
            <v>2520</v>
          </cell>
          <cell r="J653">
            <v>0</v>
          </cell>
          <cell r="K653">
            <v>0</v>
          </cell>
          <cell r="L653">
            <v>0</v>
          </cell>
          <cell r="M653">
            <v>0</v>
          </cell>
          <cell r="N653">
            <v>0</v>
          </cell>
          <cell r="O653">
            <v>146</v>
          </cell>
          <cell r="P653">
            <v>63</v>
          </cell>
          <cell r="Q653">
            <v>30</v>
          </cell>
          <cell r="R653">
            <v>0</v>
          </cell>
          <cell r="S653">
            <v>0</v>
          </cell>
          <cell r="T653">
            <v>0</v>
          </cell>
          <cell r="U653">
            <v>0</v>
          </cell>
        </row>
        <row r="654">
          <cell r="C654" t="str">
            <v>2002PA</v>
          </cell>
          <cell r="D654">
            <v>1768</v>
          </cell>
          <cell r="E654">
            <v>57120</v>
          </cell>
          <cell r="F654">
            <v>9805</v>
          </cell>
          <cell r="G654">
            <v>4440</v>
          </cell>
          <cell r="H654">
            <v>144</v>
          </cell>
          <cell r="I654">
            <v>7015</v>
          </cell>
          <cell r="J654">
            <v>0</v>
          </cell>
          <cell r="K654">
            <v>0</v>
          </cell>
          <cell r="L654">
            <v>0</v>
          </cell>
          <cell r="M654">
            <v>10140</v>
          </cell>
          <cell r="N654">
            <v>0</v>
          </cell>
          <cell r="O654">
            <v>0</v>
          </cell>
          <cell r="P654">
            <v>0</v>
          </cell>
          <cell r="Q654">
            <v>0</v>
          </cell>
          <cell r="R654">
            <v>0</v>
          </cell>
          <cell r="S654">
            <v>0</v>
          </cell>
          <cell r="T654">
            <v>0</v>
          </cell>
          <cell r="U654">
            <v>0</v>
          </cell>
        </row>
        <row r="655">
          <cell r="C655" t="str">
            <v>2002RI</v>
          </cell>
          <cell r="D655">
            <v>4</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row>
        <row r="656">
          <cell r="C656" t="str">
            <v>2002SC</v>
          </cell>
          <cell r="D656">
            <v>0</v>
          </cell>
          <cell r="E656">
            <v>12220</v>
          </cell>
          <cell r="F656">
            <v>6290</v>
          </cell>
          <cell r="G656">
            <v>0</v>
          </cell>
          <cell r="H656">
            <v>90</v>
          </cell>
          <cell r="I656">
            <v>1150</v>
          </cell>
          <cell r="J656">
            <v>0</v>
          </cell>
          <cell r="K656">
            <v>0</v>
          </cell>
          <cell r="L656">
            <v>0</v>
          </cell>
          <cell r="M656">
            <v>7055</v>
          </cell>
          <cell r="N656">
            <v>19140</v>
          </cell>
          <cell r="O656">
            <v>0</v>
          </cell>
          <cell r="P656">
            <v>0</v>
          </cell>
          <cell r="Q656">
            <v>0</v>
          </cell>
          <cell r="R656">
            <v>0</v>
          </cell>
          <cell r="S656">
            <v>0</v>
          </cell>
          <cell r="T656">
            <v>0</v>
          </cell>
          <cell r="U656">
            <v>0</v>
          </cell>
        </row>
        <row r="657">
          <cell r="C657" t="str">
            <v>2002SD</v>
          </cell>
          <cell r="D657">
            <v>3375</v>
          </cell>
          <cell r="E657">
            <v>308750</v>
          </cell>
          <cell r="F657">
            <v>44247</v>
          </cell>
          <cell r="G657">
            <v>1575</v>
          </cell>
          <cell r="H657">
            <v>3060</v>
          </cell>
          <cell r="I657">
            <v>5400</v>
          </cell>
          <cell r="J657">
            <v>270</v>
          </cell>
          <cell r="K657">
            <v>1260</v>
          </cell>
          <cell r="L657">
            <v>0</v>
          </cell>
          <cell r="M657">
            <v>126790</v>
          </cell>
          <cell r="N657">
            <v>0</v>
          </cell>
          <cell r="O657">
            <v>261</v>
          </cell>
          <cell r="P657">
            <v>0</v>
          </cell>
          <cell r="Q657">
            <v>0</v>
          </cell>
          <cell r="R657">
            <v>0</v>
          </cell>
          <cell r="S657">
            <v>0</v>
          </cell>
          <cell r="T657">
            <v>0</v>
          </cell>
          <cell r="U657">
            <v>0</v>
          </cell>
        </row>
        <row r="658">
          <cell r="C658" t="str">
            <v>2002TN</v>
          </cell>
          <cell r="D658">
            <v>105</v>
          </cell>
          <cell r="E658">
            <v>65270</v>
          </cell>
          <cell r="F658">
            <v>14100</v>
          </cell>
          <cell r="G658">
            <v>0</v>
          </cell>
          <cell r="H658">
            <v>2080</v>
          </cell>
          <cell r="I658">
            <v>0</v>
          </cell>
          <cell r="J658">
            <v>0</v>
          </cell>
          <cell r="K658">
            <v>0</v>
          </cell>
          <cell r="L658">
            <v>0</v>
          </cell>
          <cell r="M658">
            <v>34720</v>
          </cell>
          <cell r="N658">
            <v>0</v>
          </cell>
          <cell r="O658">
            <v>0</v>
          </cell>
          <cell r="P658">
            <v>0</v>
          </cell>
          <cell r="Q658">
            <v>0</v>
          </cell>
          <cell r="R658">
            <v>0</v>
          </cell>
          <cell r="S658">
            <v>0</v>
          </cell>
          <cell r="T658">
            <v>0</v>
          </cell>
          <cell r="U658">
            <v>0</v>
          </cell>
        </row>
        <row r="659">
          <cell r="C659" t="str">
            <v>2002TX</v>
          </cell>
          <cell r="D659">
            <v>690</v>
          </cell>
          <cell r="E659">
            <v>202270</v>
          </cell>
          <cell r="F659">
            <v>78300</v>
          </cell>
          <cell r="G659">
            <v>0</v>
          </cell>
          <cell r="H659">
            <v>122400</v>
          </cell>
          <cell r="I659">
            <v>6160</v>
          </cell>
          <cell r="J659">
            <v>0</v>
          </cell>
          <cell r="K659">
            <v>0</v>
          </cell>
          <cell r="L659">
            <v>14616</v>
          </cell>
          <cell r="M659">
            <v>5740</v>
          </cell>
          <cell r="N659">
            <v>868000</v>
          </cell>
          <cell r="O659">
            <v>315</v>
          </cell>
          <cell r="P659">
            <v>0</v>
          </cell>
          <cell r="Q659">
            <v>0</v>
          </cell>
          <cell r="R659">
            <v>0</v>
          </cell>
          <cell r="S659">
            <v>0</v>
          </cell>
          <cell r="T659">
            <v>1732</v>
          </cell>
          <cell r="U659">
            <v>206</v>
          </cell>
          <cell r="V659">
            <v>76.22</v>
          </cell>
          <cell r="W659">
            <v>0</v>
          </cell>
        </row>
        <row r="660">
          <cell r="C660" t="str">
            <v>2002UT</v>
          </cell>
          <cell r="D660">
            <v>2034</v>
          </cell>
          <cell r="E660">
            <v>2272</v>
          </cell>
          <cell r="F660">
            <v>3590</v>
          </cell>
          <cell r="G660">
            <v>2176</v>
          </cell>
          <cell r="H660">
            <v>0</v>
          </cell>
          <cell r="I660">
            <v>340</v>
          </cell>
          <cell r="J660">
            <v>0</v>
          </cell>
          <cell r="K660">
            <v>0</v>
          </cell>
          <cell r="L660">
            <v>0</v>
          </cell>
          <cell r="M660">
            <v>0</v>
          </cell>
          <cell r="N660">
            <v>0</v>
          </cell>
          <cell r="O660">
            <v>5</v>
          </cell>
          <cell r="P660">
            <v>0</v>
          </cell>
          <cell r="Q660">
            <v>0</v>
          </cell>
          <cell r="R660">
            <v>0</v>
          </cell>
          <cell r="S660">
            <v>0</v>
          </cell>
          <cell r="T660">
            <v>0</v>
          </cell>
          <cell r="U660">
            <v>0</v>
          </cell>
        </row>
        <row r="661">
          <cell r="C661" t="str">
            <v>2002VT</v>
          </cell>
          <cell r="D661">
            <v>90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row>
        <row r="662">
          <cell r="C662" t="str">
            <v>2002VA</v>
          </cell>
          <cell r="D662">
            <v>350</v>
          </cell>
          <cell r="E662">
            <v>22100</v>
          </cell>
          <cell r="F662">
            <v>10370</v>
          </cell>
          <cell r="G662">
            <v>3157</v>
          </cell>
          <cell r="H662">
            <v>180</v>
          </cell>
          <cell r="I662">
            <v>0</v>
          </cell>
          <cell r="J662">
            <v>0</v>
          </cell>
          <cell r="K662">
            <v>0</v>
          </cell>
          <cell r="L662">
            <v>0</v>
          </cell>
          <cell r="M662">
            <v>10580</v>
          </cell>
          <cell r="N662">
            <v>119700</v>
          </cell>
          <cell r="O662">
            <v>0</v>
          </cell>
          <cell r="P662">
            <v>0</v>
          </cell>
          <cell r="Q662">
            <v>0</v>
          </cell>
          <cell r="R662">
            <v>0</v>
          </cell>
          <cell r="S662">
            <v>0</v>
          </cell>
          <cell r="T662">
            <v>0</v>
          </cell>
          <cell r="U662">
            <v>0</v>
          </cell>
        </row>
        <row r="663">
          <cell r="C663" t="str">
            <v>2002WA</v>
          </cell>
          <cell r="D663">
            <v>2499</v>
          </cell>
          <cell r="E663">
            <v>13300</v>
          </cell>
          <cell r="F663">
            <v>129770</v>
          </cell>
          <cell r="G663">
            <v>19040</v>
          </cell>
          <cell r="H663">
            <v>0</v>
          </cell>
          <cell r="I663">
            <v>845</v>
          </cell>
          <cell r="J663">
            <v>0</v>
          </cell>
          <cell r="K663">
            <v>0</v>
          </cell>
          <cell r="L663">
            <v>0</v>
          </cell>
          <cell r="M663">
            <v>0</v>
          </cell>
          <cell r="N663">
            <v>0</v>
          </cell>
          <cell r="O663">
            <v>830</v>
          </cell>
          <cell r="P663">
            <v>1520</v>
          </cell>
          <cell r="Q663">
            <v>0</v>
          </cell>
          <cell r="R663">
            <v>1120</v>
          </cell>
          <cell r="S663">
            <v>442</v>
          </cell>
          <cell r="T663">
            <v>0</v>
          </cell>
          <cell r="U663">
            <v>0</v>
          </cell>
        </row>
        <row r="664">
          <cell r="C664" t="str">
            <v>2002WV</v>
          </cell>
          <cell r="D664">
            <v>125</v>
          </cell>
          <cell r="E664">
            <v>3150</v>
          </cell>
          <cell r="F664">
            <v>336</v>
          </cell>
          <cell r="G664">
            <v>0</v>
          </cell>
          <cell r="H664">
            <v>0</v>
          </cell>
          <cell r="I664">
            <v>0</v>
          </cell>
          <cell r="J664">
            <v>0</v>
          </cell>
          <cell r="K664">
            <v>0</v>
          </cell>
          <cell r="L664">
            <v>0</v>
          </cell>
          <cell r="M664">
            <v>629</v>
          </cell>
          <cell r="N664">
            <v>0</v>
          </cell>
          <cell r="O664">
            <v>0</v>
          </cell>
          <cell r="P664">
            <v>0</v>
          </cell>
          <cell r="Q664">
            <v>0</v>
          </cell>
          <cell r="R664">
            <v>0</v>
          </cell>
          <cell r="S664">
            <v>0</v>
          </cell>
          <cell r="T664">
            <v>0</v>
          </cell>
          <cell r="U664">
            <v>0</v>
          </cell>
        </row>
        <row r="665">
          <cell r="C665" t="str">
            <v>2002WI</v>
          </cell>
          <cell r="D665">
            <v>4620</v>
          </cell>
          <cell r="E665">
            <v>391500</v>
          </cell>
          <cell r="F665">
            <v>11516</v>
          </cell>
          <cell r="G665">
            <v>1645</v>
          </cell>
          <cell r="H665">
            <v>0</v>
          </cell>
          <cell r="I665">
            <v>15000</v>
          </cell>
          <cell r="J665">
            <v>0</v>
          </cell>
          <cell r="K665">
            <v>0</v>
          </cell>
          <cell r="L665">
            <v>0</v>
          </cell>
          <cell r="M665">
            <v>66880</v>
          </cell>
          <cell r="N665">
            <v>0</v>
          </cell>
          <cell r="O665">
            <v>150</v>
          </cell>
          <cell r="P665">
            <v>0</v>
          </cell>
          <cell r="Q665">
            <v>0</v>
          </cell>
          <cell r="R665">
            <v>0</v>
          </cell>
          <cell r="S665">
            <v>0</v>
          </cell>
          <cell r="T665">
            <v>0</v>
          </cell>
          <cell r="U665">
            <v>0</v>
          </cell>
        </row>
        <row r="666">
          <cell r="C666" t="str">
            <v>2002WY</v>
          </cell>
          <cell r="D666">
            <v>1150</v>
          </cell>
          <cell r="E666">
            <v>4165</v>
          </cell>
          <cell r="F666">
            <v>2471</v>
          </cell>
          <cell r="G666">
            <v>4680</v>
          </cell>
          <cell r="H666">
            <v>0</v>
          </cell>
          <cell r="I666">
            <v>750</v>
          </cell>
          <cell r="J666">
            <v>0</v>
          </cell>
          <cell r="K666">
            <v>0</v>
          </cell>
          <cell r="L666">
            <v>0</v>
          </cell>
          <cell r="M666">
            <v>0</v>
          </cell>
          <cell r="N666">
            <v>0</v>
          </cell>
          <cell r="O666">
            <v>624</v>
          </cell>
          <cell r="P666">
            <v>0</v>
          </cell>
          <cell r="Q666">
            <v>0</v>
          </cell>
          <cell r="R666">
            <v>0</v>
          </cell>
          <cell r="S666">
            <v>0</v>
          </cell>
          <cell r="T666">
            <v>0</v>
          </cell>
          <cell r="U666">
            <v>0</v>
          </cell>
        </row>
        <row r="667">
          <cell r="C667" t="str">
            <v>2002US</v>
          </cell>
          <cell r="D667">
            <v>73014</v>
          </cell>
          <cell r="E667">
            <v>8966787</v>
          </cell>
          <cell r="F667">
            <v>1605878</v>
          </cell>
          <cell r="G667">
            <v>227055</v>
          </cell>
          <cell r="H667">
            <v>360713</v>
          </cell>
          <cell r="I667">
            <v>116002</v>
          </cell>
          <cell r="J667">
            <v>6488</v>
          </cell>
          <cell r="K667">
            <v>3668</v>
          </cell>
          <cell r="L667">
            <v>210960</v>
          </cell>
          <cell r="M667">
            <v>2756147</v>
          </cell>
          <cell r="N667">
            <v>3321040</v>
          </cell>
          <cell r="O667">
            <v>30312</v>
          </cell>
          <cell r="P667">
            <v>4727</v>
          </cell>
          <cell r="Q667">
            <v>183</v>
          </cell>
          <cell r="R667">
            <v>2571</v>
          </cell>
          <cell r="S667">
            <v>599</v>
          </cell>
          <cell r="T667">
            <v>35553</v>
          </cell>
          <cell r="U667">
            <v>3220.2211000000002</v>
          </cell>
        </row>
        <row r="668">
          <cell r="C668" t="str">
            <v>2003AL</v>
          </cell>
          <cell r="D668">
            <v>0</v>
          </cell>
          <cell r="E668">
            <v>23180</v>
          </cell>
          <cell r="F668">
            <v>3150</v>
          </cell>
          <cell r="G668">
            <v>0</v>
          </cell>
          <cell r="H668">
            <v>270</v>
          </cell>
          <cell r="I668">
            <v>0</v>
          </cell>
          <cell r="J668">
            <v>0</v>
          </cell>
          <cell r="K668">
            <v>0</v>
          </cell>
          <cell r="L668">
            <v>0</v>
          </cell>
          <cell r="M668">
            <v>5760</v>
          </cell>
          <cell r="N668">
            <v>508750</v>
          </cell>
          <cell r="O668">
            <v>0</v>
          </cell>
          <cell r="P668">
            <v>0</v>
          </cell>
          <cell r="Q668">
            <v>0</v>
          </cell>
          <cell r="R668">
            <v>0</v>
          </cell>
          <cell r="S668">
            <v>0</v>
          </cell>
          <cell r="T668">
            <v>0</v>
          </cell>
          <cell r="U668">
            <v>0</v>
          </cell>
          <cell r="V668">
            <v>0</v>
          </cell>
          <cell r="W668">
            <v>0</v>
          </cell>
        </row>
        <row r="669">
          <cell r="C669" t="str">
            <v>2003AK</v>
          </cell>
          <cell r="D669">
            <v>0</v>
          </cell>
          <cell r="E669">
            <v>0</v>
          </cell>
          <cell r="F669">
            <v>0</v>
          </cell>
          <cell r="G669">
            <v>135000</v>
          </cell>
          <cell r="H669">
            <v>0</v>
          </cell>
          <cell r="I669">
            <v>34000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row>
        <row r="670">
          <cell r="C670" t="str">
            <v>2003AZ</v>
          </cell>
          <cell r="D670">
            <v>1998</v>
          </cell>
          <cell r="E670">
            <v>4180</v>
          </cell>
          <cell r="F670">
            <v>11912</v>
          </cell>
          <cell r="G670">
            <v>3540</v>
          </cell>
          <cell r="H670">
            <v>540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row>
        <row r="671">
          <cell r="C671" t="str">
            <v>2003AR</v>
          </cell>
          <cell r="D671">
            <v>70</v>
          </cell>
          <cell r="E671">
            <v>49000</v>
          </cell>
          <cell r="F671">
            <v>28500</v>
          </cell>
          <cell r="G671">
            <v>0</v>
          </cell>
          <cell r="H671">
            <v>17220</v>
          </cell>
          <cell r="I671">
            <v>0</v>
          </cell>
          <cell r="J671">
            <v>0</v>
          </cell>
          <cell r="K671">
            <v>0</v>
          </cell>
          <cell r="L671">
            <v>96188</v>
          </cell>
          <cell r="M671">
            <v>111265</v>
          </cell>
          <cell r="N671">
            <v>0</v>
          </cell>
          <cell r="O671">
            <v>0</v>
          </cell>
          <cell r="P671">
            <v>0</v>
          </cell>
          <cell r="Q671">
            <v>0</v>
          </cell>
          <cell r="R671">
            <v>0</v>
          </cell>
          <cell r="S671">
            <v>0</v>
          </cell>
          <cell r="T671">
            <v>0</v>
          </cell>
          <cell r="U671">
            <v>1455</v>
          </cell>
          <cell r="V671">
            <v>0</v>
          </cell>
          <cell r="W671">
            <v>0.22</v>
          </cell>
        </row>
        <row r="672">
          <cell r="C672" t="str">
            <v>2003CA</v>
          </cell>
          <cell r="D672">
            <v>7630</v>
          </cell>
          <cell r="E672">
            <v>22400</v>
          </cell>
          <cell r="F672">
            <v>36510</v>
          </cell>
          <cell r="G672">
            <v>3712</v>
          </cell>
          <cell r="H672">
            <v>900</v>
          </cell>
          <cell r="I672">
            <v>2800</v>
          </cell>
          <cell r="J672">
            <v>0</v>
          </cell>
          <cell r="K672">
            <v>0</v>
          </cell>
          <cell r="L672">
            <v>39036</v>
          </cell>
          <cell r="M672">
            <v>0</v>
          </cell>
          <cell r="N672">
            <v>0</v>
          </cell>
          <cell r="O672">
            <v>1380</v>
          </cell>
          <cell r="P672">
            <v>0</v>
          </cell>
          <cell r="Q672">
            <v>0</v>
          </cell>
          <cell r="R672">
            <v>0</v>
          </cell>
          <cell r="S672">
            <v>0</v>
          </cell>
          <cell r="T672">
            <v>0</v>
          </cell>
          <cell r="U672">
            <v>507</v>
          </cell>
          <cell r="V672">
            <v>0</v>
          </cell>
          <cell r="W672">
            <v>0.13968176104485391</v>
          </cell>
        </row>
        <row r="673">
          <cell r="C673" t="str">
            <v>2003CO</v>
          </cell>
          <cell r="D673">
            <v>2560</v>
          </cell>
          <cell r="E673">
            <v>120150</v>
          </cell>
          <cell r="F673">
            <v>78160</v>
          </cell>
          <cell r="G673">
            <v>8938</v>
          </cell>
          <cell r="H673">
            <v>4320</v>
          </cell>
          <cell r="I673">
            <v>975</v>
          </cell>
          <cell r="J673">
            <v>0</v>
          </cell>
          <cell r="K673">
            <v>5415</v>
          </cell>
          <cell r="L673">
            <v>0</v>
          </cell>
          <cell r="M673">
            <v>0</v>
          </cell>
          <cell r="N673">
            <v>0</v>
          </cell>
          <cell r="O673">
            <v>1168</v>
          </cell>
          <cell r="P673">
            <v>0</v>
          </cell>
          <cell r="Q673">
            <v>0</v>
          </cell>
          <cell r="R673">
            <v>0</v>
          </cell>
          <cell r="S673">
            <v>0</v>
          </cell>
          <cell r="T673">
            <v>0</v>
          </cell>
          <cell r="U673">
            <v>0</v>
          </cell>
          <cell r="V673">
            <v>0</v>
          </cell>
          <cell r="W673">
            <v>0</v>
          </cell>
        </row>
        <row r="674">
          <cell r="C674" t="str">
            <v>2003CT</v>
          </cell>
          <cell r="D674">
            <v>23</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row>
        <row r="675">
          <cell r="C675" t="str">
            <v>2003DE</v>
          </cell>
          <cell r="D675">
            <v>14</v>
          </cell>
          <cell r="E675">
            <v>19926</v>
          </cell>
          <cell r="F675">
            <v>1927</v>
          </cell>
          <cell r="G675">
            <v>1239</v>
          </cell>
          <cell r="H675">
            <v>70</v>
          </cell>
          <cell r="I675">
            <v>0</v>
          </cell>
          <cell r="J675">
            <v>0</v>
          </cell>
          <cell r="K675">
            <v>0</v>
          </cell>
          <cell r="L675">
            <v>0</v>
          </cell>
          <cell r="M675">
            <v>6408</v>
          </cell>
          <cell r="N675">
            <v>0</v>
          </cell>
          <cell r="O675">
            <v>0</v>
          </cell>
          <cell r="P675">
            <v>0</v>
          </cell>
          <cell r="Q675">
            <v>0</v>
          </cell>
          <cell r="R675">
            <v>0</v>
          </cell>
          <cell r="S675">
            <v>0</v>
          </cell>
          <cell r="T675">
            <v>0</v>
          </cell>
          <cell r="U675">
            <v>0</v>
          </cell>
          <cell r="V675">
            <v>0</v>
          </cell>
          <cell r="W675">
            <v>0</v>
          </cell>
        </row>
        <row r="676">
          <cell r="C676" t="str">
            <v>2003FL</v>
          </cell>
          <cell r="D676">
            <v>0</v>
          </cell>
          <cell r="E676">
            <v>3198</v>
          </cell>
          <cell r="F676">
            <v>492</v>
          </cell>
          <cell r="G676">
            <v>0</v>
          </cell>
          <cell r="H676">
            <v>0</v>
          </cell>
          <cell r="I676">
            <v>0</v>
          </cell>
          <cell r="J676">
            <v>0</v>
          </cell>
          <cell r="K676">
            <v>0</v>
          </cell>
          <cell r="L676">
            <v>0</v>
          </cell>
          <cell r="M676">
            <v>360</v>
          </cell>
          <cell r="N676">
            <v>345000</v>
          </cell>
          <cell r="O676">
            <v>0</v>
          </cell>
          <cell r="P676">
            <v>0</v>
          </cell>
          <cell r="Q676">
            <v>0</v>
          </cell>
          <cell r="R676">
            <v>0</v>
          </cell>
          <cell r="S676">
            <v>0</v>
          </cell>
          <cell r="T676">
            <v>17231</v>
          </cell>
          <cell r="U676">
            <v>5.8540703879645903</v>
          </cell>
          <cell r="V676">
            <v>5.8540703879645903</v>
          </cell>
          <cell r="W676">
            <v>0</v>
          </cell>
        </row>
        <row r="677">
          <cell r="C677" t="str">
            <v>2003GA</v>
          </cell>
          <cell r="D677">
            <v>0</v>
          </cell>
          <cell r="E677">
            <v>37410</v>
          </cell>
          <cell r="F677">
            <v>10580</v>
          </cell>
          <cell r="G677">
            <v>0</v>
          </cell>
          <cell r="H677">
            <v>1786</v>
          </cell>
          <cell r="I677">
            <v>1680</v>
          </cell>
          <cell r="J677">
            <v>800</v>
          </cell>
          <cell r="K677">
            <v>0</v>
          </cell>
          <cell r="L677">
            <v>0</v>
          </cell>
          <cell r="M677">
            <v>5940</v>
          </cell>
          <cell r="N677">
            <v>1863000</v>
          </cell>
          <cell r="O677">
            <v>0</v>
          </cell>
          <cell r="P677">
            <v>0</v>
          </cell>
          <cell r="Q677">
            <v>0</v>
          </cell>
          <cell r="R677">
            <v>0</v>
          </cell>
          <cell r="S677">
            <v>0</v>
          </cell>
          <cell r="T677">
            <v>0</v>
          </cell>
          <cell r="U677">
            <v>0</v>
          </cell>
          <cell r="V677">
            <v>0</v>
          </cell>
          <cell r="W677">
            <v>0</v>
          </cell>
        </row>
        <row r="678">
          <cell r="C678" t="str">
            <v>2003HI</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2082</v>
          </cell>
          <cell r="U678">
            <v>0</v>
          </cell>
          <cell r="V678">
            <v>0</v>
          </cell>
          <cell r="W678">
            <v>0</v>
          </cell>
        </row>
        <row r="679">
          <cell r="C679" t="str">
            <v>2003ID</v>
          </cell>
          <cell r="D679">
            <v>4440</v>
          </cell>
          <cell r="E679">
            <v>7000</v>
          </cell>
          <cell r="F679">
            <v>84660</v>
          </cell>
          <cell r="G679">
            <v>47520</v>
          </cell>
          <cell r="H679">
            <v>0</v>
          </cell>
          <cell r="I679">
            <v>1625</v>
          </cell>
          <cell r="J679">
            <v>0</v>
          </cell>
          <cell r="K679">
            <v>0</v>
          </cell>
          <cell r="L679">
            <v>0</v>
          </cell>
          <cell r="M679">
            <v>0</v>
          </cell>
          <cell r="N679">
            <v>0</v>
          </cell>
          <cell r="O679">
            <v>1497</v>
          </cell>
          <cell r="P679">
            <v>648</v>
          </cell>
          <cell r="Q679">
            <v>112</v>
          </cell>
          <cell r="R679">
            <v>627</v>
          </cell>
          <cell r="S679">
            <v>163</v>
          </cell>
          <cell r="T679">
            <v>0</v>
          </cell>
          <cell r="U679">
            <v>0</v>
          </cell>
          <cell r="V679">
            <v>0</v>
          </cell>
          <cell r="W679">
            <v>0</v>
          </cell>
        </row>
        <row r="680">
          <cell r="C680" t="str">
            <v>2003IL</v>
          </cell>
          <cell r="D680">
            <v>1743</v>
          </cell>
          <cell r="E680">
            <v>1812200</v>
          </cell>
          <cell r="F680">
            <v>52650</v>
          </cell>
          <cell r="G680">
            <v>0</v>
          </cell>
          <cell r="H680">
            <v>8610</v>
          </cell>
          <cell r="I680">
            <v>4450</v>
          </cell>
          <cell r="J680">
            <v>0</v>
          </cell>
          <cell r="K680">
            <v>0</v>
          </cell>
          <cell r="L680">
            <v>0</v>
          </cell>
          <cell r="M680">
            <v>379620</v>
          </cell>
          <cell r="N680">
            <v>0</v>
          </cell>
          <cell r="O680">
            <v>0</v>
          </cell>
          <cell r="P680">
            <v>0</v>
          </cell>
          <cell r="Q680">
            <v>0</v>
          </cell>
          <cell r="R680">
            <v>0</v>
          </cell>
          <cell r="S680">
            <v>0</v>
          </cell>
          <cell r="T680">
            <v>0</v>
          </cell>
          <cell r="U680">
            <v>0</v>
          </cell>
          <cell r="V680">
            <v>0</v>
          </cell>
          <cell r="W680">
            <v>0</v>
          </cell>
        </row>
        <row r="681">
          <cell r="C681" t="str">
            <v>2003IN</v>
          </cell>
          <cell r="D681">
            <v>1330</v>
          </cell>
          <cell r="E681">
            <v>786940</v>
          </cell>
          <cell r="F681">
            <v>29670</v>
          </cell>
          <cell r="G681">
            <v>0</v>
          </cell>
          <cell r="H681">
            <v>0</v>
          </cell>
          <cell r="I681">
            <v>1050</v>
          </cell>
          <cell r="J681">
            <v>0</v>
          </cell>
          <cell r="K681">
            <v>0</v>
          </cell>
          <cell r="L681">
            <v>0</v>
          </cell>
          <cell r="M681">
            <v>204060</v>
          </cell>
          <cell r="N681">
            <v>0</v>
          </cell>
          <cell r="O681">
            <v>0</v>
          </cell>
          <cell r="P681">
            <v>0</v>
          </cell>
          <cell r="Q681">
            <v>0</v>
          </cell>
          <cell r="R681">
            <v>0</v>
          </cell>
          <cell r="S681">
            <v>0</v>
          </cell>
          <cell r="T681">
            <v>0</v>
          </cell>
          <cell r="U681">
            <v>0</v>
          </cell>
          <cell r="V681">
            <v>0</v>
          </cell>
          <cell r="W681">
            <v>0</v>
          </cell>
        </row>
        <row r="682">
          <cell r="C682" t="str">
            <v>2003IA</v>
          </cell>
          <cell r="D682">
            <v>4921</v>
          </cell>
          <cell r="E682">
            <v>1868300</v>
          </cell>
          <cell r="F682">
            <v>1281</v>
          </cell>
          <cell r="G682">
            <v>0</v>
          </cell>
          <cell r="H682">
            <v>0</v>
          </cell>
          <cell r="I682">
            <v>10790</v>
          </cell>
          <cell r="J682">
            <v>0</v>
          </cell>
          <cell r="K682">
            <v>0</v>
          </cell>
          <cell r="L682">
            <v>0</v>
          </cell>
          <cell r="M682">
            <v>342875</v>
          </cell>
          <cell r="N682">
            <v>0</v>
          </cell>
          <cell r="O682">
            <v>0</v>
          </cell>
          <cell r="P682">
            <v>0</v>
          </cell>
          <cell r="Q682">
            <v>0</v>
          </cell>
          <cell r="R682">
            <v>0</v>
          </cell>
          <cell r="S682">
            <v>0</v>
          </cell>
          <cell r="T682">
            <v>0</v>
          </cell>
          <cell r="U682">
            <v>0</v>
          </cell>
          <cell r="V682">
            <v>0</v>
          </cell>
          <cell r="W682">
            <v>0</v>
          </cell>
        </row>
        <row r="683">
          <cell r="C683" t="str">
            <v>2003KS</v>
          </cell>
          <cell r="D683">
            <v>3400</v>
          </cell>
          <cell r="E683">
            <v>300000</v>
          </cell>
          <cell r="F683">
            <v>480000</v>
          </cell>
          <cell r="G683">
            <v>456</v>
          </cell>
          <cell r="H683">
            <v>130500</v>
          </cell>
          <cell r="I683">
            <v>4550</v>
          </cell>
          <cell r="J683">
            <v>0</v>
          </cell>
          <cell r="K683">
            <v>0</v>
          </cell>
          <cell r="L683">
            <v>0</v>
          </cell>
          <cell r="M683">
            <v>57040</v>
          </cell>
          <cell r="N683">
            <v>0</v>
          </cell>
          <cell r="O683">
            <v>231</v>
          </cell>
          <cell r="P683">
            <v>0</v>
          </cell>
          <cell r="Q683">
            <v>0</v>
          </cell>
          <cell r="R683">
            <v>0</v>
          </cell>
          <cell r="S683">
            <v>0</v>
          </cell>
          <cell r="T683">
            <v>0</v>
          </cell>
          <cell r="U683">
            <v>0</v>
          </cell>
          <cell r="V683">
            <v>0</v>
          </cell>
          <cell r="W683">
            <v>0</v>
          </cell>
        </row>
        <row r="684">
          <cell r="C684" t="str">
            <v>2003KY</v>
          </cell>
          <cell r="D684">
            <v>875</v>
          </cell>
          <cell r="E684">
            <v>147960</v>
          </cell>
          <cell r="F684">
            <v>21700</v>
          </cell>
          <cell r="G684">
            <v>600</v>
          </cell>
          <cell r="H684">
            <v>3040</v>
          </cell>
          <cell r="I684">
            <v>0</v>
          </cell>
          <cell r="J684">
            <v>0</v>
          </cell>
          <cell r="K684">
            <v>0</v>
          </cell>
          <cell r="L684">
            <v>0</v>
          </cell>
          <cell r="M684">
            <v>53940</v>
          </cell>
          <cell r="N684">
            <v>0</v>
          </cell>
          <cell r="O684">
            <v>0</v>
          </cell>
          <cell r="P684">
            <v>0</v>
          </cell>
          <cell r="Q684">
            <v>0</v>
          </cell>
          <cell r="R684">
            <v>0</v>
          </cell>
          <cell r="S684">
            <v>0</v>
          </cell>
          <cell r="T684">
            <v>0</v>
          </cell>
          <cell r="U684">
            <v>0</v>
          </cell>
          <cell r="V684">
            <v>0</v>
          </cell>
          <cell r="W684">
            <v>0</v>
          </cell>
        </row>
        <row r="685">
          <cell r="C685" t="str">
            <v>2003LA</v>
          </cell>
          <cell r="D685">
            <v>0</v>
          </cell>
          <cell r="E685">
            <v>67000</v>
          </cell>
          <cell r="F685">
            <v>5740</v>
          </cell>
          <cell r="G685">
            <v>0</v>
          </cell>
          <cell r="H685">
            <v>14025</v>
          </cell>
          <cell r="I685">
            <v>0</v>
          </cell>
          <cell r="J685">
            <v>0</v>
          </cell>
          <cell r="K685">
            <v>0</v>
          </cell>
          <cell r="L685">
            <v>26397</v>
          </cell>
          <cell r="M685">
            <v>25160</v>
          </cell>
          <cell r="N685">
            <v>0</v>
          </cell>
          <cell r="O685">
            <v>0</v>
          </cell>
          <cell r="P685">
            <v>0</v>
          </cell>
          <cell r="Q685">
            <v>0</v>
          </cell>
          <cell r="R685">
            <v>0</v>
          </cell>
          <cell r="S685">
            <v>0</v>
          </cell>
          <cell r="T685">
            <v>12838</v>
          </cell>
          <cell r="U685">
            <v>450</v>
          </cell>
          <cell r="V685">
            <v>157.5</v>
          </cell>
          <cell r="W685">
            <v>0.03</v>
          </cell>
        </row>
        <row r="686">
          <cell r="C686" t="str">
            <v>2003ME</v>
          </cell>
          <cell r="D686">
            <v>21</v>
          </cell>
          <cell r="E686">
            <v>0</v>
          </cell>
          <cell r="F686">
            <v>0</v>
          </cell>
          <cell r="G686">
            <v>1755</v>
          </cell>
          <cell r="H686">
            <v>0</v>
          </cell>
          <cell r="I686">
            <v>2028</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row>
        <row r="687">
          <cell r="C687" t="str">
            <v>2003MD</v>
          </cell>
          <cell r="D687">
            <v>149</v>
          </cell>
          <cell r="E687">
            <v>50430</v>
          </cell>
          <cell r="F687">
            <v>5365</v>
          </cell>
          <cell r="G687">
            <v>2052</v>
          </cell>
          <cell r="H687">
            <v>195</v>
          </cell>
          <cell r="I687">
            <v>0</v>
          </cell>
          <cell r="J687">
            <v>0</v>
          </cell>
          <cell r="K687">
            <v>0</v>
          </cell>
          <cell r="L687">
            <v>0</v>
          </cell>
          <cell r="M687">
            <v>15910</v>
          </cell>
          <cell r="N687">
            <v>0</v>
          </cell>
          <cell r="O687">
            <v>0</v>
          </cell>
          <cell r="P687">
            <v>0</v>
          </cell>
          <cell r="Q687">
            <v>0</v>
          </cell>
          <cell r="R687">
            <v>0</v>
          </cell>
          <cell r="S687">
            <v>0</v>
          </cell>
          <cell r="T687">
            <v>0</v>
          </cell>
          <cell r="U687">
            <v>0</v>
          </cell>
          <cell r="V687">
            <v>0</v>
          </cell>
          <cell r="W687">
            <v>0</v>
          </cell>
        </row>
        <row r="688">
          <cell r="C688" t="str">
            <v>2003MA</v>
          </cell>
          <cell r="D688">
            <v>34</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row>
        <row r="689">
          <cell r="C689" t="str">
            <v>2003MI</v>
          </cell>
          <cell r="D689">
            <v>2720</v>
          </cell>
          <cell r="E689">
            <v>259840</v>
          </cell>
          <cell r="F689">
            <v>44880</v>
          </cell>
          <cell r="G689">
            <v>784</v>
          </cell>
          <cell r="H689">
            <v>0</v>
          </cell>
          <cell r="I689">
            <v>5250</v>
          </cell>
          <cell r="J689">
            <v>0</v>
          </cell>
          <cell r="K689">
            <v>0</v>
          </cell>
          <cell r="L689">
            <v>0</v>
          </cell>
          <cell r="M689">
            <v>54725</v>
          </cell>
          <cell r="N689">
            <v>0</v>
          </cell>
          <cell r="O689">
            <v>2475</v>
          </cell>
          <cell r="P689">
            <v>0</v>
          </cell>
          <cell r="Q689">
            <v>0</v>
          </cell>
          <cell r="R689">
            <v>0</v>
          </cell>
          <cell r="S689">
            <v>0</v>
          </cell>
          <cell r="T689">
            <v>0</v>
          </cell>
          <cell r="U689">
            <v>0</v>
          </cell>
          <cell r="V689">
            <v>0</v>
          </cell>
          <cell r="W689">
            <v>0</v>
          </cell>
        </row>
        <row r="690">
          <cell r="C690" t="str">
            <v>2003MN</v>
          </cell>
          <cell r="D690">
            <v>4125</v>
          </cell>
          <cell r="E690">
            <v>970900</v>
          </cell>
          <cell r="F690">
            <v>105482</v>
          </cell>
          <cell r="G690">
            <v>12750</v>
          </cell>
          <cell r="H690">
            <v>0</v>
          </cell>
          <cell r="I690">
            <v>18815</v>
          </cell>
          <cell r="J690">
            <v>0</v>
          </cell>
          <cell r="K690">
            <v>0</v>
          </cell>
          <cell r="L690">
            <v>0</v>
          </cell>
          <cell r="M690">
            <v>238400</v>
          </cell>
          <cell r="N690">
            <v>0</v>
          </cell>
          <cell r="O690">
            <v>1870</v>
          </cell>
          <cell r="P690">
            <v>0</v>
          </cell>
          <cell r="Q690">
            <v>0</v>
          </cell>
          <cell r="R690">
            <v>0</v>
          </cell>
          <cell r="S690">
            <v>0</v>
          </cell>
          <cell r="T690">
            <v>0</v>
          </cell>
          <cell r="U690">
            <v>0</v>
          </cell>
          <cell r="V690">
            <v>0</v>
          </cell>
          <cell r="W690">
            <v>0</v>
          </cell>
        </row>
        <row r="691">
          <cell r="C691" t="str">
            <v>2003MS</v>
          </cell>
          <cell r="D691">
            <v>0</v>
          </cell>
          <cell r="E691">
            <v>71550</v>
          </cell>
          <cell r="F691">
            <v>6125</v>
          </cell>
          <cell r="G691">
            <v>0</v>
          </cell>
          <cell r="H691">
            <v>6132</v>
          </cell>
          <cell r="I691">
            <v>0</v>
          </cell>
          <cell r="J691">
            <v>0</v>
          </cell>
          <cell r="K691">
            <v>0</v>
          </cell>
          <cell r="L691">
            <v>15912</v>
          </cell>
          <cell r="M691">
            <v>55770</v>
          </cell>
          <cell r="N691">
            <v>0</v>
          </cell>
          <cell r="O691">
            <v>0</v>
          </cell>
          <cell r="P691">
            <v>0</v>
          </cell>
          <cell r="Q691">
            <v>0</v>
          </cell>
          <cell r="R691">
            <v>0</v>
          </cell>
          <cell r="S691">
            <v>0</v>
          </cell>
          <cell r="T691">
            <v>0</v>
          </cell>
          <cell r="U691">
            <v>234</v>
          </cell>
          <cell r="V691">
            <v>0</v>
          </cell>
          <cell r="W691">
            <v>0.65</v>
          </cell>
        </row>
        <row r="692">
          <cell r="C692" t="str">
            <v>2003MO</v>
          </cell>
          <cell r="D692">
            <v>1210</v>
          </cell>
          <cell r="E692">
            <v>302400</v>
          </cell>
          <cell r="F692">
            <v>53070</v>
          </cell>
          <cell r="G692">
            <v>0</v>
          </cell>
          <cell r="H692">
            <v>16170</v>
          </cell>
          <cell r="I692">
            <v>1206</v>
          </cell>
          <cell r="J692">
            <v>0</v>
          </cell>
          <cell r="K692">
            <v>0</v>
          </cell>
          <cell r="L692">
            <v>10484</v>
          </cell>
          <cell r="M692">
            <v>146025</v>
          </cell>
          <cell r="N692">
            <v>0</v>
          </cell>
          <cell r="O692">
            <v>0</v>
          </cell>
          <cell r="P692">
            <v>0</v>
          </cell>
          <cell r="Q692">
            <v>0</v>
          </cell>
          <cell r="R692">
            <v>0</v>
          </cell>
          <cell r="S692">
            <v>0</v>
          </cell>
          <cell r="T692">
            <v>0</v>
          </cell>
          <cell r="U692">
            <v>171</v>
          </cell>
          <cell r="V692">
            <v>0</v>
          </cell>
          <cell r="W692">
            <v>0.17499999999999999</v>
          </cell>
        </row>
        <row r="693">
          <cell r="C693" t="str">
            <v>2003MT</v>
          </cell>
          <cell r="D693">
            <v>3360</v>
          </cell>
          <cell r="E693">
            <v>2380</v>
          </cell>
          <cell r="F693">
            <v>142330</v>
          </cell>
          <cell r="G693">
            <v>34000</v>
          </cell>
          <cell r="H693">
            <v>0</v>
          </cell>
          <cell r="I693">
            <v>1980</v>
          </cell>
          <cell r="J693">
            <v>0</v>
          </cell>
          <cell r="K693">
            <v>0</v>
          </cell>
          <cell r="L693">
            <v>0</v>
          </cell>
          <cell r="M693">
            <v>0</v>
          </cell>
          <cell r="N693">
            <v>0</v>
          </cell>
          <cell r="O693">
            <v>233</v>
          </cell>
          <cell r="P693">
            <v>450</v>
          </cell>
          <cell r="Q693">
            <v>56</v>
          </cell>
          <cell r="R693">
            <v>273</v>
          </cell>
          <cell r="S693">
            <v>0</v>
          </cell>
          <cell r="T693">
            <v>0</v>
          </cell>
          <cell r="U693">
            <v>0</v>
          </cell>
          <cell r="V693">
            <v>0</v>
          </cell>
          <cell r="W693">
            <v>0</v>
          </cell>
        </row>
        <row r="694">
          <cell r="C694" t="str">
            <v>2003NE</v>
          </cell>
          <cell r="D694">
            <v>5220</v>
          </cell>
          <cell r="E694">
            <v>1124200</v>
          </cell>
          <cell r="F694">
            <v>83720</v>
          </cell>
          <cell r="G694">
            <v>200</v>
          </cell>
          <cell r="H694">
            <v>31000</v>
          </cell>
          <cell r="I694">
            <v>6570</v>
          </cell>
          <cell r="J694">
            <v>0</v>
          </cell>
          <cell r="K694">
            <v>3230</v>
          </cell>
          <cell r="L694">
            <v>0</v>
          </cell>
          <cell r="M694">
            <v>182250</v>
          </cell>
          <cell r="N694">
            <v>0</v>
          </cell>
          <cell r="O694">
            <v>3151</v>
          </cell>
          <cell r="P694">
            <v>0</v>
          </cell>
          <cell r="Q694">
            <v>0</v>
          </cell>
          <cell r="R694">
            <v>0</v>
          </cell>
          <cell r="S694">
            <v>0</v>
          </cell>
          <cell r="T694">
            <v>0</v>
          </cell>
          <cell r="U694">
            <v>0</v>
          </cell>
          <cell r="V694">
            <v>0</v>
          </cell>
          <cell r="W694">
            <v>0</v>
          </cell>
        </row>
        <row r="695">
          <cell r="C695" t="str">
            <v>2003NV</v>
          </cell>
          <cell r="D695">
            <v>1166</v>
          </cell>
          <cell r="E695">
            <v>0</v>
          </cell>
          <cell r="F695">
            <v>549</v>
          </cell>
          <cell r="G695">
            <v>240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row>
        <row r="696">
          <cell r="C696" t="str">
            <v>2003NH</v>
          </cell>
          <cell r="D696">
            <v>19</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row>
        <row r="697">
          <cell r="C697" t="str">
            <v>2003NJ</v>
          </cell>
          <cell r="D697">
            <v>105</v>
          </cell>
          <cell r="E697">
            <v>6893</v>
          </cell>
          <cell r="F697">
            <v>1092</v>
          </cell>
          <cell r="G697">
            <v>135</v>
          </cell>
          <cell r="H697">
            <v>0</v>
          </cell>
          <cell r="I697">
            <v>0</v>
          </cell>
          <cell r="J697">
            <v>0</v>
          </cell>
          <cell r="K697">
            <v>0</v>
          </cell>
          <cell r="L697">
            <v>0</v>
          </cell>
          <cell r="M697">
            <v>2992</v>
          </cell>
          <cell r="N697">
            <v>0</v>
          </cell>
          <cell r="O697">
            <v>0</v>
          </cell>
          <cell r="P697">
            <v>0</v>
          </cell>
          <cell r="Q697">
            <v>0</v>
          </cell>
          <cell r="R697">
            <v>0</v>
          </cell>
          <cell r="S697">
            <v>0</v>
          </cell>
          <cell r="T697">
            <v>0</v>
          </cell>
          <cell r="U697">
            <v>0</v>
          </cell>
          <cell r="V697">
            <v>0</v>
          </cell>
          <cell r="W697">
            <v>0</v>
          </cell>
        </row>
        <row r="698">
          <cell r="C698" t="str">
            <v>2003NM</v>
          </cell>
          <cell r="D698">
            <v>1127</v>
          </cell>
          <cell r="E698">
            <v>8640</v>
          </cell>
          <cell r="F698">
            <v>4200</v>
          </cell>
          <cell r="G698">
            <v>0</v>
          </cell>
          <cell r="H698">
            <v>1674</v>
          </cell>
          <cell r="I698">
            <v>0</v>
          </cell>
          <cell r="J698">
            <v>0</v>
          </cell>
          <cell r="K698">
            <v>0</v>
          </cell>
          <cell r="L698">
            <v>0</v>
          </cell>
          <cell r="M698">
            <v>0</v>
          </cell>
          <cell r="N698">
            <v>45900</v>
          </cell>
          <cell r="O698">
            <v>186</v>
          </cell>
          <cell r="P698">
            <v>0</v>
          </cell>
          <cell r="Q698">
            <v>0</v>
          </cell>
          <cell r="R698">
            <v>0</v>
          </cell>
          <cell r="S698">
            <v>0</v>
          </cell>
          <cell r="T698">
            <v>0</v>
          </cell>
          <cell r="U698">
            <v>0</v>
          </cell>
          <cell r="V698">
            <v>0</v>
          </cell>
          <cell r="W698">
            <v>0</v>
          </cell>
        </row>
        <row r="699">
          <cell r="C699" t="str">
            <v>2003NY</v>
          </cell>
          <cell r="D699">
            <v>1680</v>
          </cell>
          <cell r="E699">
            <v>53240</v>
          </cell>
          <cell r="F699">
            <v>6360</v>
          </cell>
          <cell r="G699">
            <v>650</v>
          </cell>
          <cell r="H699">
            <v>0</v>
          </cell>
          <cell r="I699">
            <v>4410</v>
          </cell>
          <cell r="J699">
            <v>0</v>
          </cell>
          <cell r="K699">
            <v>0</v>
          </cell>
          <cell r="L699">
            <v>0</v>
          </cell>
          <cell r="M699">
            <v>4830</v>
          </cell>
          <cell r="N699">
            <v>0</v>
          </cell>
          <cell r="O699">
            <v>446</v>
          </cell>
          <cell r="P699">
            <v>0</v>
          </cell>
          <cell r="Q699">
            <v>0</v>
          </cell>
          <cell r="R699">
            <v>0</v>
          </cell>
          <cell r="S699">
            <v>0</v>
          </cell>
          <cell r="T699">
            <v>0</v>
          </cell>
          <cell r="U699">
            <v>0</v>
          </cell>
          <cell r="V699">
            <v>0</v>
          </cell>
          <cell r="W699">
            <v>0</v>
          </cell>
        </row>
        <row r="700">
          <cell r="C700" t="str">
            <v>2003NC</v>
          </cell>
          <cell r="D700">
            <v>54</v>
          </cell>
          <cell r="E700">
            <v>72080</v>
          </cell>
          <cell r="F700">
            <v>14760</v>
          </cell>
          <cell r="G700">
            <v>784</v>
          </cell>
          <cell r="H700">
            <v>700</v>
          </cell>
          <cell r="I700">
            <v>1298</v>
          </cell>
          <cell r="J700">
            <v>0</v>
          </cell>
          <cell r="K700">
            <v>0</v>
          </cell>
          <cell r="L700">
            <v>0</v>
          </cell>
          <cell r="M700">
            <v>42000</v>
          </cell>
          <cell r="N700">
            <v>320000</v>
          </cell>
          <cell r="O700">
            <v>0</v>
          </cell>
          <cell r="P700">
            <v>0</v>
          </cell>
          <cell r="Q700">
            <v>0</v>
          </cell>
          <cell r="R700">
            <v>0</v>
          </cell>
          <cell r="S700">
            <v>0</v>
          </cell>
          <cell r="T700">
            <v>0</v>
          </cell>
          <cell r="U700">
            <v>0</v>
          </cell>
          <cell r="V700">
            <v>0</v>
          </cell>
          <cell r="W700">
            <v>0</v>
          </cell>
        </row>
        <row r="701">
          <cell r="C701" t="str">
            <v>2003ND</v>
          </cell>
          <cell r="D701">
            <v>2640</v>
          </cell>
          <cell r="E701">
            <v>131040</v>
          </cell>
          <cell r="F701">
            <v>317090</v>
          </cell>
          <cell r="G701">
            <v>118800</v>
          </cell>
          <cell r="H701">
            <v>0</v>
          </cell>
          <cell r="I701">
            <v>21240</v>
          </cell>
          <cell r="J701">
            <v>750</v>
          </cell>
          <cell r="K701">
            <v>0</v>
          </cell>
          <cell r="L701">
            <v>0</v>
          </cell>
          <cell r="M701">
            <v>88450</v>
          </cell>
          <cell r="N701">
            <v>0</v>
          </cell>
          <cell r="O701">
            <v>7800</v>
          </cell>
          <cell r="P701">
            <v>2744</v>
          </cell>
          <cell r="Q701">
            <v>0</v>
          </cell>
          <cell r="R701">
            <v>632</v>
          </cell>
          <cell r="S701">
            <v>0</v>
          </cell>
          <cell r="T701">
            <v>0</v>
          </cell>
          <cell r="U701">
            <v>0</v>
          </cell>
          <cell r="V701">
            <v>0</v>
          </cell>
          <cell r="W701">
            <v>0</v>
          </cell>
        </row>
        <row r="702">
          <cell r="C702" t="str">
            <v>2003OH</v>
          </cell>
          <cell r="D702">
            <v>1972</v>
          </cell>
          <cell r="E702">
            <v>478920</v>
          </cell>
          <cell r="F702">
            <v>68000</v>
          </cell>
          <cell r="G702">
            <v>348</v>
          </cell>
          <cell r="H702">
            <v>0</v>
          </cell>
          <cell r="I702">
            <v>3960</v>
          </cell>
          <cell r="J702">
            <v>0</v>
          </cell>
          <cell r="K702">
            <v>0</v>
          </cell>
          <cell r="L702">
            <v>0</v>
          </cell>
          <cell r="M702">
            <v>164780</v>
          </cell>
          <cell r="N702">
            <v>0</v>
          </cell>
          <cell r="O702">
            <v>0</v>
          </cell>
          <cell r="P702">
            <v>0</v>
          </cell>
          <cell r="Q702">
            <v>0</v>
          </cell>
          <cell r="R702">
            <v>0</v>
          </cell>
          <cell r="S702">
            <v>0</v>
          </cell>
          <cell r="T702">
            <v>0</v>
          </cell>
          <cell r="U702">
            <v>0</v>
          </cell>
          <cell r="V702">
            <v>0</v>
          </cell>
          <cell r="W702">
            <v>0</v>
          </cell>
        </row>
        <row r="703">
          <cell r="C703" t="str">
            <v>2003OK</v>
          </cell>
          <cell r="D703">
            <v>1054</v>
          </cell>
          <cell r="E703">
            <v>23750</v>
          </cell>
          <cell r="F703">
            <v>179400</v>
          </cell>
          <cell r="G703">
            <v>0</v>
          </cell>
          <cell r="H703">
            <v>9250</v>
          </cell>
          <cell r="I703">
            <v>900</v>
          </cell>
          <cell r="J703">
            <v>1540</v>
          </cell>
          <cell r="K703">
            <v>0</v>
          </cell>
          <cell r="L703">
            <v>0</v>
          </cell>
          <cell r="M703">
            <v>6370</v>
          </cell>
          <cell r="N703">
            <v>98000</v>
          </cell>
          <cell r="O703">
            <v>0</v>
          </cell>
          <cell r="P703">
            <v>0</v>
          </cell>
          <cell r="Q703">
            <v>0</v>
          </cell>
          <cell r="R703">
            <v>0</v>
          </cell>
          <cell r="S703">
            <v>0</v>
          </cell>
          <cell r="T703">
            <v>0</v>
          </cell>
          <cell r="U703">
            <v>0.13100000000000001</v>
          </cell>
          <cell r="V703">
            <v>0</v>
          </cell>
          <cell r="W703">
            <v>1</v>
          </cell>
        </row>
        <row r="704">
          <cell r="C704" t="str">
            <v>2003OR</v>
          </cell>
          <cell r="D704">
            <v>2208</v>
          </cell>
          <cell r="E704">
            <v>5100</v>
          </cell>
          <cell r="F704">
            <v>53540</v>
          </cell>
          <cell r="G704">
            <v>3840</v>
          </cell>
          <cell r="H704">
            <v>0</v>
          </cell>
          <cell r="I704">
            <v>1500</v>
          </cell>
          <cell r="J704">
            <v>0</v>
          </cell>
          <cell r="K704">
            <v>0</v>
          </cell>
          <cell r="L704">
            <v>0</v>
          </cell>
          <cell r="M704">
            <v>0</v>
          </cell>
          <cell r="N704">
            <v>0</v>
          </cell>
          <cell r="O704">
            <v>99</v>
          </cell>
          <cell r="P704">
            <v>130</v>
          </cell>
          <cell r="Q704">
            <v>6</v>
          </cell>
          <cell r="R704">
            <v>0</v>
          </cell>
          <cell r="S704">
            <v>0</v>
          </cell>
          <cell r="T704">
            <v>0</v>
          </cell>
          <cell r="U704">
            <v>0</v>
          </cell>
          <cell r="V704">
            <v>0</v>
          </cell>
          <cell r="W704">
            <v>0</v>
          </cell>
        </row>
        <row r="705">
          <cell r="C705" t="str">
            <v>2003PA</v>
          </cell>
          <cell r="D705">
            <v>1650</v>
          </cell>
          <cell r="E705">
            <v>102350</v>
          </cell>
          <cell r="F705">
            <v>7095</v>
          </cell>
          <cell r="G705">
            <v>3965</v>
          </cell>
          <cell r="H705">
            <v>435</v>
          </cell>
          <cell r="I705">
            <v>6490</v>
          </cell>
          <cell r="J705">
            <v>0</v>
          </cell>
          <cell r="K705">
            <v>0</v>
          </cell>
          <cell r="L705">
            <v>0</v>
          </cell>
          <cell r="M705">
            <v>15375</v>
          </cell>
          <cell r="N705">
            <v>0</v>
          </cell>
          <cell r="O705">
            <v>0</v>
          </cell>
          <cell r="P705">
            <v>0</v>
          </cell>
          <cell r="Q705">
            <v>0</v>
          </cell>
          <cell r="R705">
            <v>0</v>
          </cell>
          <cell r="S705">
            <v>0</v>
          </cell>
          <cell r="T705">
            <v>0</v>
          </cell>
          <cell r="U705">
            <v>0</v>
          </cell>
          <cell r="V705">
            <v>0</v>
          </cell>
          <cell r="W705">
            <v>0</v>
          </cell>
        </row>
        <row r="706">
          <cell r="C706" t="str">
            <v>2003RI</v>
          </cell>
          <cell r="D706">
            <v>5</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row>
        <row r="707">
          <cell r="C707" t="str">
            <v>2003SC</v>
          </cell>
          <cell r="D707">
            <v>0</v>
          </cell>
          <cell r="E707">
            <v>22575</v>
          </cell>
          <cell r="F707">
            <v>7215</v>
          </cell>
          <cell r="G707">
            <v>0</v>
          </cell>
          <cell r="H707">
            <v>260</v>
          </cell>
          <cell r="I707">
            <v>1120</v>
          </cell>
          <cell r="J707">
            <v>0</v>
          </cell>
          <cell r="K707">
            <v>0</v>
          </cell>
          <cell r="L707">
            <v>0</v>
          </cell>
          <cell r="M707">
            <v>11760</v>
          </cell>
          <cell r="N707">
            <v>57800</v>
          </cell>
          <cell r="O707">
            <v>0</v>
          </cell>
          <cell r="P707">
            <v>0</v>
          </cell>
          <cell r="Q707">
            <v>0</v>
          </cell>
          <cell r="R707">
            <v>0</v>
          </cell>
          <cell r="S707">
            <v>0</v>
          </cell>
          <cell r="T707">
            <v>0</v>
          </cell>
          <cell r="U707">
            <v>0</v>
          </cell>
          <cell r="V707">
            <v>0</v>
          </cell>
          <cell r="W707">
            <v>0</v>
          </cell>
        </row>
        <row r="708">
          <cell r="C708" t="str">
            <v>2003SD</v>
          </cell>
          <cell r="D708">
            <v>5130</v>
          </cell>
          <cell r="E708">
            <v>427350</v>
          </cell>
          <cell r="F708">
            <v>118391</v>
          </cell>
          <cell r="G708">
            <v>2915</v>
          </cell>
          <cell r="H708">
            <v>6750</v>
          </cell>
          <cell r="I708">
            <v>15640</v>
          </cell>
          <cell r="J708">
            <v>672</v>
          </cell>
          <cell r="K708">
            <v>2805</v>
          </cell>
          <cell r="L708">
            <v>0</v>
          </cell>
          <cell r="M708">
            <v>115500</v>
          </cell>
          <cell r="N708">
            <v>0</v>
          </cell>
          <cell r="O708">
            <v>133</v>
          </cell>
          <cell r="P708">
            <v>0</v>
          </cell>
          <cell r="Q708">
            <v>0</v>
          </cell>
          <cell r="R708">
            <v>0</v>
          </cell>
          <cell r="S708">
            <v>0</v>
          </cell>
          <cell r="T708">
            <v>0</v>
          </cell>
          <cell r="U708">
            <v>0</v>
          </cell>
          <cell r="V708">
            <v>0</v>
          </cell>
          <cell r="W708">
            <v>0</v>
          </cell>
        </row>
        <row r="709">
          <cell r="C709" t="str">
            <v>2003TN</v>
          </cell>
          <cell r="D709">
            <v>126</v>
          </cell>
          <cell r="E709">
            <v>81220</v>
          </cell>
          <cell r="F709">
            <v>13500</v>
          </cell>
          <cell r="G709">
            <v>0</v>
          </cell>
          <cell r="H709">
            <v>3280</v>
          </cell>
          <cell r="I709">
            <v>0</v>
          </cell>
          <cell r="J709">
            <v>0</v>
          </cell>
          <cell r="K709">
            <v>0</v>
          </cell>
          <cell r="L709">
            <v>0</v>
          </cell>
          <cell r="M709">
            <v>47040</v>
          </cell>
          <cell r="N709">
            <v>0</v>
          </cell>
          <cell r="O709">
            <v>0</v>
          </cell>
          <cell r="P709">
            <v>0</v>
          </cell>
          <cell r="Q709">
            <v>0</v>
          </cell>
          <cell r="R709">
            <v>0</v>
          </cell>
          <cell r="S709">
            <v>0</v>
          </cell>
          <cell r="T709">
            <v>0</v>
          </cell>
          <cell r="U709">
            <v>0</v>
          </cell>
          <cell r="V709">
            <v>0</v>
          </cell>
          <cell r="W709">
            <v>0</v>
          </cell>
        </row>
        <row r="710">
          <cell r="C710" t="str">
            <v>2003TX</v>
          </cell>
          <cell r="D710">
            <v>658</v>
          </cell>
          <cell r="E710">
            <v>194700</v>
          </cell>
          <cell r="F710">
            <v>96600</v>
          </cell>
          <cell r="G710">
            <v>0</v>
          </cell>
          <cell r="H710">
            <v>153900</v>
          </cell>
          <cell r="I710">
            <v>6300</v>
          </cell>
          <cell r="J710">
            <v>0</v>
          </cell>
          <cell r="K710">
            <v>0</v>
          </cell>
          <cell r="L710">
            <v>11880</v>
          </cell>
          <cell r="M710">
            <v>5365</v>
          </cell>
          <cell r="N710">
            <v>810000</v>
          </cell>
          <cell r="O710">
            <v>513</v>
          </cell>
          <cell r="P710">
            <v>0</v>
          </cell>
          <cell r="Q710">
            <v>0</v>
          </cell>
          <cell r="R710">
            <v>0</v>
          </cell>
          <cell r="S710">
            <v>0</v>
          </cell>
          <cell r="T710">
            <v>1707</v>
          </cell>
          <cell r="U710">
            <v>180</v>
          </cell>
          <cell r="V710">
            <v>68.400000000000006</v>
          </cell>
          <cell r="W710">
            <v>0</v>
          </cell>
        </row>
        <row r="711">
          <cell r="C711" t="str">
            <v>2003UT</v>
          </cell>
          <cell r="D711">
            <v>2180</v>
          </cell>
          <cell r="E711">
            <v>2015</v>
          </cell>
          <cell r="F711">
            <v>5677</v>
          </cell>
          <cell r="G711">
            <v>2800</v>
          </cell>
          <cell r="H711">
            <v>0</v>
          </cell>
          <cell r="I711">
            <v>492</v>
          </cell>
          <cell r="J711">
            <v>0</v>
          </cell>
          <cell r="K711">
            <v>0</v>
          </cell>
          <cell r="L711">
            <v>0</v>
          </cell>
          <cell r="M711">
            <v>0</v>
          </cell>
          <cell r="N711">
            <v>0</v>
          </cell>
          <cell r="O711">
            <v>16</v>
          </cell>
          <cell r="P711">
            <v>0</v>
          </cell>
          <cell r="Q711">
            <v>0</v>
          </cell>
          <cell r="R711">
            <v>0</v>
          </cell>
          <cell r="S711">
            <v>0</v>
          </cell>
          <cell r="T711">
            <v>0</v>
          </cell>
          <cell r="U711">
            <v>0</v>
          </cell>
          <cell r="V711">
            <v>0</v>
          </cell>
          <cell r="W711">
            <v>0</v>
          </cell>
        </row>
        <row r="712">
          <cell r="C712" t="str">
            <v>2003VT</v>
          </cell>
          <cell r="D712">
            <v>80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row>
        <row r="713">
          <cell r="C713" t="str">
            <v>2003VA</v>
          </cell>
          <cell r="D713">
            <v>455</v>
          </cell>
          <cell r="E713">
            <v>37950</v>
          </cell>
          <cell r="F713">
            <v>7360</v>
          </cell>
          <cell r="G713">
            <v>2790</v>
          </cell>
          <cell r="H713">
            <v>210</v>
          </cell>
          <cell r="I713">
            <v>0</v>
          </cell>
          <cell r="J713">
            <v>0</v>
          </cell>
          <cell r="K713">
            <v>0</v>
          </cell>
          <cell r="L713">
            <v>0</v>
          </cell>
          <cell r="M713">
            <v>16320</v>
          </cell>
          <cell r="N713">
            <v>95700</v>
          </cell>
          <cell r="O713">
            <v>0</v>
          </cell>
          <cell r="P713">
            <v>0</v>
          </cell>
          <cell r="Q713">
            <v>0</v>
          </cell>
          <cell r="R713">
            <v>0</v>
          </cell>
          <cell r="S713">
            <v>0</v>
          </cell>
          <cell r="T713">
            <v>0</v>
          </cell>
          <cell r="U713">
            <v>0</v>
          </cell>
          <cell r="V713">
            <v>0</v>
          </cell>
          <cell r="W713">
            <v>0</v>
          </cell>
        </row>
        <row r="714">
          <cell r="C714" t="str">
            <v>2003WA</v>
          </cell>
          <cell r="D714">
            <v>2703</v>
          </cell>
          <cell r="E714">
            <v>13650</v>
          </cell>
          <cell r="F714">
            <v>139345</v>
          </cell>
          <cell r="G714">
            <v>14570</v>
          </cell>
          <cell r="H714">
            <v>0</v>
          </cell>
          <cell r="I714">
            <v>750</v>
          </cell>
          <cell r="J714">
            <v>0</v>
          </cell>
          <cell r="K714">
            <v>0</v>
          </cell>
          <cell r="L714">
            <v>0</v>
          </cell>
          <cell r="M714">
            <v>0</v>
          </cell>
          <cell r="N714">
            <v>0</v>
          </cell>
          <cell r="O714">
            <v>525</v>
          </cell>
          <cell r="P714">
            <v>1230</v>
          </cell>
          <cell r="Q714">
            <v>0</v>
          </cell>
          <cell r="R714">
            <v>910</v>
          </cell>
          <cell r="S714">
            <v>510</v>
          </cell>
          <cell r="T714">
            <v>0</v>
          </cell>
          <cell r="U714">
            <v>0</v>
          </cell>
          <cell r="V714">
            <v>0</v>
          </cell>
          <cell r="W714">
            <v>0</v>
          </cell>
        </row>
        <row r="715">
          <cell r="C715" t="str">
            <v>2003WV</v>
          </cell>
          <cell r="D715">
            <v>113</v>
          </cell>
          <cell r="E715">
            <v>3105</v>
          </cell>
          <cell r="F715">
            <v>287</v>
          </cell>
          <cell r="G715">
            <v>0</v>
          </cell>
          <cell r="H715">
            <v>0</v>
          </cell>
          <cell r="I715">
            <v>0</v>
          </cell>
          <cell r="J715">
            <v>0</v>
          </cell>
          <cell r="K715">
            <v>0</v>
          </cell>
          <cell r="L715">
            <v>0</v>
          </cell>
          <cell r="M715">
            <v>615</v>
          </cell>
          <cell r="N715">
            <v>0</v>
          </cell>
          <cell r="O715">
            <v>0</v>
          </cell>
          <cell r="P715">
            <v>0</v>
          </cell>
          <cell r="Q715">
            <v>0</v>
          </cell>
          <cell r="R715">
            <v>0</v>
          </cell>
          <cell r="S715">
            <v>0</v>
          </cell>
          <cell r="T715">
            <v>0</v>
          </cell>
          <cell r="U715">
            <v>0</v>
          </cell>
          <cell r="V715">
            <v>0</v>
          </cell>
          <cell r="W715">
            <v>0</v>
          </cell>
        </row>
        <row r="716">
          <cell r="C716" t="str">
            <v>2003WI</v>
          </cell>
          <cell r="D716">
            <v>3680</v>
          </cell>
          <cell r="E716">
            <v>367650</v>
          </cell>
          <cell r="F716">
            <v>12300</v>
          </cell>
          <cell r="G716">
            <v>1925</v>
          </cell>
          <cell r="H716">
            <v>0</v>
          </cell>
          <cell r="I716">
            <v>15410</v>
          </cell>
          <cell r="J716">
            <v>0</v>
          </cell>
          <cell r="K716">
            <v>0</v>
          </cell>
          <cell r="L716">
            <v>0</v>
          </cell>
          <cell r="M716">
            <v>46760</v>
          </cell>
          <cell r="N716">
            <v>0</v>
          </cell>
          <cell r="O716">
            <v>124</v>
          </cell>
          <cell r="P716">
            <v>0</v>
          </cell>
          <cell r="Q716">
            <v>0</v>
          </cell>
          <cell r="R716">
            <v>0</v>
          </cell>
          <cell r="S716">
            <v>0</v>
          </cell>
          <cell r="T716">
            <v>0</v>
          </cell>
          <cell r="U716">
            <v>0</v>
          </cell>
          <cell r="V716">
            <v>0</v>
          </cell>
          <cell r="W716">
            <v>0</v>
          </cell>
        </row>
        <row r="717">
          <cell r="C717" t="str">
            <v>2003WY</v>
          </cell>
          <cell r="D717">
            <v>1625</v>
          </cell>
          <cell r="E717">
            <v>6450</v>
          </cell>
          <cell r="F717">
            <v>4095</v>
          </cell>
          <cell r="G717">
            <v>6975</v>
          </cell>
          <cell r="H717">
            <v>0</v>
          </cell>
          <cell r="I717">
            <v>1104</v>
          </cell>
          <cell r="J717">
            <v>0</v>
          </cell>
          <cell r="K717">
            <v>0</v>
          </cell>
          <cell r="L717">
            <v>0</v>
          </cell>
          <cell r="M717">
            <v>0</v>
          </cell>
          <cell r="N717">
            <v>0</v>
          </cell>
          <cell r="O717">
            <v>645</v>
          </cell>
          <cell r="P717">
            <v>0</v>
          </cell>
          <cell r="Q717">
            <v>0</v>
          </cell>
          <cell r="R717">
            <v>0</v>
          </cell>
          <cell r="S717">
            <v>0</v>
          </cell>
          <cell r="T717">
            <v>0</v>
          </cell>
          <cell r="U717">
            <v>0</v>
          </cell>
          <cell r="V717">
            <v>0</v>
          </cell>
          <cell r="W717">
            <v>0</v>
          </cell>
        </row>
        <row r="718">
          <cell r="C718" t="str">
            <v>2003US</v>
          </cell>
          <cell r="D718">
            <v>76273</v>
          </cell>
          <cell r="E718">
            <v>10089222</v>
          </cell>
          <cell r="F718">
            <v>2344760</v>
          </cell>
          <cell r="G718">
            <v>278283</v>
          </cell>
          <cell r="H718">
            <v>411237</v>
          </cell>
          <cell r="I718">
            <v>144383</v>
          </cell>
          <cell r="J718">
            <v>8634</v>
          </cell>
          <cell r="K718">
            <v>11450</v>
          </cell>
          <cell r="L718">
            <v>199897</v>
          </cell>
          <cell r="M718">
            <v>2453665</v>
          </cell>
          <cell r="N718">
            <v>4144150</v>
          </cell>
          <cell r="O718">
            <v>22492</v>
          </cell>
          <cell r="P718">
            <v>5202</v>
          </cell>
          <cell r="Q718">
            <v>174</v>
          </cell>
          <cell r="R718">
            <v>2442</v>
          </cell>
          <cell r="S718">
            <v>673</v>
          </cell>
          <cell r="T718">
            <v>33858</v>
          </cell>
          <cell r="U718">
            <v>3002.9850703879642</v>
          </cell>
          <cell r="V718">
            <v>231.75407038796459</v>
          </cell>
          <cell r="W718">
            <v>0</v>
          </cell>
        </row>
        <row r="719">
          <cell r="C719" t="str">
            <v>2004AL</v>
          </cell>
          <cell r="D719">
            <v>0</v>
          </cell>
          <cell r="E719">
            <v>23985</v>
          </cell>
          <cell r="F719">
            <v>2880</v>
          </cell>
          <cell r="G719">
            <v>0</v>
          </cell>
          <cell r="H719">
            <v>258</v>
          </cell>
          <cell r="I719">
            <v>0</v>
          </cell>
          <cell r="J719">
            <v>0</v>
          </cell>
          <cell r="K719">
            <v>0</v>
          </cell>
          <cell r="L719">
            <v>0</v>
          </cell>
          <cell r="M719">
            <v>6650</v>
          </cell>
          <cell r="N719">
            <v>557200</v>
          </cell>
          <cell r="O719">
            <v>0</v>
          </cell>
          <cell r="P719">
            <v>0</v>
          </cell>
          <cell r="Q719">
            <v>0</v>
          </cell>
          <cell r="R719">
            <v>0</v>
          </cell>
          <cell r="S719">
            <v>0</v>
          </cell>
          <cell r="T719">
            <v>0</v>
          </cell>
          <cell r="U719">
            <v>0</v>
          </cell>
          <cell r="V719">
            <v>0</v>
          </cell>
          <cell r="W719">
            <v>0</v>
          </cell>
        </row>
        <row r="720">
          <cell r="C720" t="str">
            <v>2004AK</v>
          </cell>
          <cell r="D720">
            <v>0</v>
          </cell>
          <cell r="E720">
            <v>0</v>
          </cell>
          <cell r="F720">
            <v>0</v>
          </cell>
          <cell r="G720">
            <v>145000</v>
          </cell>
          <cell r="H720">
            <v>0</v>
          </cell>
          <cell r="I720">
            <v>41000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row>
        <row r="721">
          <cell r="C721" t="str">
            <v>2004AZ</v>
          </cell>
          <cell r="D721">
            <v>1968</v>
          </cell>
          <cell r="E721">
            <v>4860</v>
          </cell>
          <cell r="F721">
            <v>9963</v>
          </cell>
          <cell r="G721">
            <v>4180</v>
          </cell>
          <cell r="H721">
            <v>570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row>
        <row r="722">
          <cell r="C722" t="str">
            <v>2004AR</v>
          </cell>
          <cell r="D722">
            <v>70</v>
          </cell>
          <cell r="E722">
            <v>42700</v>
          </cell>
          <cell r="F722">
            <v>32860</v>
          </cell>
          <cell r="G722">
            <v>0</v>
          </cell>
          <cell r="H722">
            <v>4704</v>
          </cell>
          <cell r="I722">
            <v>0</v>
          </cell>
          <cell r="J722">
            <v>0</v>
          </cell>
          <cell r="K722">
            <v>0</v>
          </cell>
          <cell r="L722">
            <v>108560</v>
          </cell>
          <cell r="M722">
            <v>122850</v>
          </cell>
          <cell r="N722">
            <v>0</v>
          </cell>
          <cell r="O722">
            <v>0</v>
          </cell>
          <cell r="P722">
            <v>0</v>
          </cell>
          <cell r="Q722">
            <v>0</v>
          </cell>
          <cell r="R722">
            <v>0</v>
          </cell>
          <cell r="S722">
            <v>0</v>
          </cell>
          <cell r="T722">
            <v>0</v>
          </cell>
          <cell r="U722">
            <v>1555</v>
          </cell>
          <cell r="V722">
            <v>0</v>
          </cell>
          <cell r="W722">
            <v>0.17</v>
          </cell>
        </row>
        <row r="723">
          <cell r="C723" t="str">
            <v>2004CA</v>
          </cell>
          <cell r="D723">
            <v>7350</v>
          </cell>
          <cell r="E723">
            <v>26250</v>
          </cell>
          <cell r="F723">
            <v>36200</v>
          </cell>
          <cell r="G723">
            <v>4500</v>
          </cell>
          <cell r="H723">
            <v>1080</v>
          </cell>
          <cell r="I723">
            <v>2125</v>
          </cell>
          <cell r="J723">
            <v>0</v>
          </cell>
          <cell r="K723">
            <v>0</v>
          </cell>
          <cell r="L723">
            <v>50759</v>
          </cell>
          <cell r="M723">
            <v>0</v>
          </cell>
          <cell r="N723">
            <v>0</v>
          </cell>
          <cell r="O723">
            <v>1152</v>
          </cell>
          <cell r="P723">
            <v>0</v>
          </cell>
          <cell r="Q723">
            <v>0</v>
          </cell>
          <cell r="R723">
            <v>0</v>
          </cell>
          <cell r="S723">
            <v>0</v>
          </cell>
          <cell r="T723">
            <v>0</v>
          </cell>
          <cell r="U723">
            <v>590</v>
          </cell>
          <cell r="V723">
            <v>0</v>
          </cell>
          <cell r="W723">
            <v>0.11282339509967505</v>
          </cell>
        </row>
        <row r="724">
          <cell r="C724" t="str">
            <v>2004CO</v>
          </cell>
          <cell r="D724">
            <v>2541</v>
          </cell>
          <cell r="E724">
            <v>140400</v>
          </cell>
          <cell r="F724">
            <v>46880</v>
          </cell>
          <cell r="G724">
            <v>9086</v>
          </cell>
          <cell r="H724">
            <v>5400</v>
          </cell>
          <cell r="I724">
            <v>1100</v>
          </cell>
          <cell r="J724">
            <v>0</v>
          </cell>
          <cell r="K724">
            <v>7920</v>
          </cell>
          <cell r="L724">
            <v>0</v>
          </cell>
          <cell r="M724">
            <v>0</v>
          </cell>
          <cell r="N724">
            <v>0</v>
          </cell>
          <cell r="O724">
            <v>1039</v>
          </cell>
          <cell r="P724">
            <v>0</v>
          </cell>
          <cell r="Q724">
            <v>0</v>
          </cell>
          <cell r="R724">
            <v>0</v>
          </cell>
          <cell r="S724">
            <v>0</v>
          </cell>
          <cell r="T724">
            <v>0</v>
          </cell>
          <cell r="U724">
            <v>0</v>
          </cell>
          <cell r="V724">
            <v>0</v>
          </cell>
          <cell r="W724">
            <v>0</v>
          </cell>
        </row>
        <row r="725">
          <cell r="C725" t="str">
            <v>2004CT</v>
          </cell>
          <cell r="D725">
            <v>19</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row>
        <row r="726">
          <cell r="C726" t="str">
            <v>2004DE</v>
          </cell>
          <cell r="D726">
            <v>23</v>
          </cell>
          <cell r="E726">
            <v>23256</v>
          </cell>
          <cell r="F726">
            <v>2726</v>
          </cell>
          <cell r="G726">
            <v>2080</v>
          </cell>
          <cell r="H726">
            <v>83</v>
          </cell>
          <cell r="I726">
            <v>0</v>
          </cell>
          <cell r="J726">
            <v>0</v>
          </cell>
          <cell r="K726">
            <v>0</v>
          </cell>
          <cell r="L726">
            <v>0</v>
          </cell>
          <cell r="M726">
            <v>8736</v>
          </cell>
          <cell r="N726">
            <v>0</v>
          </cell>
          <cell r="O726">
            <v>0</v>
          </cell>
          <cell r="P726">
            <v>0</v>
          </cell>
          <cell r="Q726">
            <v>0</v>
          </cell>
          <cell r="R726">
            <v>0</v>
          </cell>
          <cell r="S726">
            <v>0</v>
          </cell>
          <cell r="T726">
            <v>0</v>
          </cell>
          <cell r="U726">
            <v>0</v>
          </cell>
          <cell r="V726">
            <v>0</v>
          </cell>
          <cell r="W726">
            <v>0</v>
          </cell>
        </row>
        <row r="727">
          <cell r="C727" t="str">
            <v>2004FL</v>
          </cell>
          <cell r="D727">
            <v>0</v>
          </cell>
          <cell r="E727">
            <v>2880</v>
          </cell>
          <cell r="F727">
            <v>675</v>
          </cell>
          <cell r="G727">
            <v>0</v>
          </cell>
          <cell r="H727">
            <v>0</v>
          </cell>
          <cell r="I727">
            <v>0</v>
          </cell>
          <cell r="J727">
            <v>0</v>
          </cell>
          <cell r="K727">
            <v>0</v>
          </cell>
          <cell r="L727">
            <v>0</v>
          </cell>
          <cell r="M727">
            <v>578</v>
          </cell>
          <cell r="N727">
            <v>364000</v>
          </cell>
          <cell r="O727">
            <v>0</v>
          </cell>
          <cell r="P727">
            <v>0</v>
          </cell>
          <cell r="Q727">
            <v>0</v>
          </cell>
          <cell r="R727">
            <v>0</v>
          </cell>
          <cell r="S727">
            <v>0</v>
          </cell>
          <cell r="T727">
            <v>14281</v>
          </cell>
          <cell r="U727">
            <v>9.2795203160270887</v>
          </cell>
          <cell r="V727">
            <v>7.1637896839729125</v>
          </cell>
          <cell r="W727">
            <v>0</v>
          </cell>
        </row>
        <row r="728">
          <cell r="C728" t="str">
            <v>2004GA</v>
          </cell>
          <cell r="D728">
            <v>0</v>
          </cell>
          <cell r="E728">
            <v>36400</v>
          </cell>
          <cell r="F728">
            <v>8550</v>
          </cell>
          <cell r="G728">
            <v>0</v>
          </cell>
          <cell r="H728">
            <v>1175</v>
          </cell>
          <cell r="I728">
            <v>1250</v>
          </cell>
          <cell r="J728">
            <v>600</v>
          </cell>
          <cell r="K728">
            <v>0</v>
          </cell>
          <cell r="L728">
            <v>0</v>
          </cell>
          <cell r="M728">
            <v>8370</v>
          </cell>
          <cell r="N728">
            <v>1817800</v>
          </cell>
          <cell r="O728">
            <v>0</v>
          </cell>
          <cell r="P728">
            <v>0</v>
          </cell>
          <cell r="Q728">
            <v>0</v>
          </cell>
          <cell r="R728">
            <v>0</v>
          </cell>
          <cell r="S728">
            <v>0</v>
          </cell>
          <cell r="T728">
            <v>0</v>
          </cell>
          <cell r="U728">
            <v>0</v>
          </cell>
          <cell r="V728">
            <v>0</v>
          </cell>
          <cell r="W728">
            <v>0</v>
          </cell>
        </row>
        <row r="729">
          <cell r="C729" t="str">
            <v>2004HI</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2026</v>
          </cell>
          <cell r="U729">
            <v>0</v>
          </cell>
          <cell r="V729">
            <v>0</v>
          </cell>
          <cell r="W729">
            <v>0</v>
          </cell>
        </row>
        <row r="730">
          <cell r="C730" t="str">
            <v>2004ID</v>
          </cell>
          <cell r="D730">
            <v>4720</v>
          </cell>
          <cell r="E730">
            <v>12750</v>
          </cell>
          <cell r="F730">
            <v>101710</v>
          </cell>
          <cell r="G730">
            <v>59800</v>
          </cell>
          <cell r="H730">
            <v>0</v>
          </cell>
          <cell r="I730">
            <v>1440</v>
          </cell>
          <cell r="J730">
            <v>0</v>
          </cell>
          <cell r="K730">
            <v>0</v>
          </cell>
          <cell r="L730">
            <v>0</v>
          </cell>
          <cell r="M730">
            <v>0</v>
          </cell>
          <cell r="N730">
            <v>0</v>
          </cell>
          <cell r="O730">
            <v>1638</v>
          </cell>
          <cell r="P730">
            <v>935</v>
          </cell>
          <cell r="Q730">
            <v>168</v>
          </cell>
          <cell r="R730">
            <v>770</v>
          </cell>
          <cell r="S730">
            <v>174</v>
          </cell>
          <cell r="T730">
            <v>0</v>
          </cell>
          <cell r="U730">
            <v>0</v>
          </cell>
          <cell r="V730">
            <v>0</v>
          </cell>
          <cell r="W730">
            <v>0</v>
          </cell>
        </row>
        <row r="731">
          <cell r="C731" t="str">
            <v>2004IL</v>
          </cell>
          <cell r="D731">
            <v>1720</v>
          </cell>
          <cell r="E731">
            <v>2088000</v>
          </cell>
          <cell r="F731">
            <v>53100</v>
          </cell>
          <cell r="G731">
            <v>0</v>
          </cell>
          <cell r="H731">
            <v>8938</v>
          </cell>
          <cell r="I731">
            <v>2450</v>
          </cell>
          <cell r="J731">
            <v>0</v>
          </cell>
          <cell r="K731">
            <v>0</v>
          </cell>
          <cell r="L731">
            <v>0</v>
          </cell>
          <cell r="M731">
            <v>495000</v>
          </cell>
          <cell r="N731">
            <v>0</v>
          </cell>
          <cell r="O731">
            <v>0</v>
          </cell>
          <cell r="P731">
            <v>0</v>
          </cell>
          <cell r="Q731">
            <v>0</v>
          </cell>
          <cell r="R731">
            <v>0</v>
          </cell>
          <cell r="S731">
            <v>0</v>
          </cell>
          <cell r="T731">
            <v>0</v>
          </cell>
          <cell r="U731">
            <v>0</v>
          </cell>
          <cell r="V731">
            <v>0</v>
          </cell>
          <cell r="W731">
            <v>0</v>
          </cell>
        </row>
        <row r="732">
          <cell r="C732" t="str">
            <v>2004IN</v>
          </cell>
          <cell r="D732">
            <v>1435</v>
          </cell>
          <cell r="E732">
            <v>929040</v>
          </cell>
          <cell r="F732">
            <v>27280</v>
          </cell>
          <cell r="G732">
            <v>0</v>
          </cell>
          <cell r="H732">
            <v>0</v>
          </cell>
          <cell r="I732">
            <v>900</v>
          </cell>
          <cell r="J732">
            <v>0</v>
          </cell>
          <cell r="K732">
            <v>0</v>
          </cell>
          <cell r="L732">
            <v>0</v>
          </cell>
          <cell r="M732">
            <v>284280</v>
          </cell>
          <cell r="N732">
            <v>0</v>
          </cell>
          <cell r="O732">
            <v>0</v>
          </cell>
          <cell r="P732">
            <v>0</v>
          </cell>
          <cell r="Q732">
            <v>0</v>
          </cell>
          <cell r="R732">
            <v>0</v>
          </cell>
          <cell r="S732">
            <v>0</v>
          </cell>
          <cell r="T732">
            <v>0</v>
          </cell>
          <cell r="U732">
            <v>0</v>
          </cell>
          <cell r="V732">
            <v>0</v>
          </cell>
          <cell r="W732">
            <v>0</v>
          </cell>
        </row>
        <row r="733">
          <cell r="C733" t="str">
            <v>2004IA</v>
          </cell>
          <cell r="D733">
            <v>5460</v>
          </cell>
          <cell r="E733">
            <v>2244400</v>
          </cell>
          <cell r="F733">
            <v>1320</v>
          </cell>
          <cell r="G733">
            <v>0</v>
          </cell>
          <cell r="H733">
            <v>0</v>
          </cell>
          <cell r="I733">
            <v>10080</v>
          </cell>
          <cell r="J733">
            <v>0</v>
          </cell>
          <cell r="K733">
            <v>0</v>
          </cell>
          <cell r="L733">
            <v>0</v>
          </cell>
          <cell r="M733">
            <v>497350</v>
          </cell>
          <cell r="N733">
            <v>0</v>
          </cell>
          <cell r="O733">
            <v>0</v>
          </cell>
          <cell r="P733">
            <v>0</v>
          </cell>
          <cell r="Q733">
            <v>0</v>
          </cell>
          <cell r="R733">
            <v>0</v>
          </cell>
          <cell r="S733">
            <v>0</v>
          </cell>
          <cell r="T733">
            <v>0</v>
          </cell>
          <cell r="U733">
            <v>0</v>
          </cell>
          <cell r="V733">
            <v>0</v>
          </cell>
          <cell r="W733">
            <v>0</v>
          </cell>
        </row>
        <row r="734">
          <cell r="C734" t="str">
            <v>2004KS</v>
          </cell>
          <cell r="D734">
            <v>3800</v>
          </cell>
          <cell r="E734">
            <v>432000</v>
          </cell>
          <cell r="F734">
            <v>314500</v>
          </cell>
          <cell r="G734">
            <v>336</v>
          </cell>
          <cell r="H734">
            <v>220400</v>
          </cell>
          <cell r="I734">
            <v>1720</v>
          </cell>
          <cell r="J734">
            <v>0</v>
          </cell>
          <cell r="K734">
            <v>0</v>
          </cell>
          <cell r="L734">
            <v>0</v>
          </cell>
          <cell r="M734">
            <v>111110</v>
          </cell>
          <cell r="N734">
            <v>0</v>
          </cell>
          <cell r="O734">
            <v>153</v>
          </cell>
          <cell r="P734">
            <v>0</v>
          </cell>
          <cell r="Q734">
            <v>0</v>
          </cell>
          <cell r="R734">
            <v>0</v>
          </cell>
          <cell r="S734">
            <v>0</v>
          </cell>
          <cell r="T734">
            <v>0</v>
          </cell>
          <cell r="U734">
            <v>0</v>
          </cell>
          <cell r="V734">
            <v>0</v>
          </cell>
          <cell r="W734">
            <v>0</v>
          </cell>
        </row>
        <row r="735">
          <cell r="C735" t="str">
            <v>2004KY</v>
          </cell>
          <cell r="D735">
            <v>888</v>
          </cell>
          <cell r="E735">
            <v>173280</v>
          </cell>
          <cell r="F735">
            <v>20520</v>
          </cell>
          <cell r="G735">
            <v>616</v>
          </cell>
          <cell r="H735">
            <v>1040</v>
          </cell>
          <cell r="I735">
            <v>0</v>
          </cell>
          <cell r="J735">
            <v>0</v>
          </cell>
          <cell r="K735">
            <v>0</v>
          </cell>
          <cell r="L735">
            <v>0</v>
          </cell>
          <cell r="M735">
            <v>57200</v>
          </cell>
          <cell r="N735">
            <v>0</v>
          </cell>
          <cell r="O735">
            <v>0</v>
          </cell>
          <cell r="P735">
            <v>0</v>
          </cell>
          <cell r="Q735">
            <v>0</v>
          </cell>
          <cell r="R735">
            <v>0</v>
          </cell>
          <cell r="S735">
            <v>0</v>
          </cell>
          <cell r="T735">
            <v>0</v>
          </cell>
          <cell r="U735">
            <v>0</v>
          </cell>
          <cell r="V735">
            <v>0</v>
          </cell>
          <cell r="W735">
            <v>0</v>
          </cell>
        </row>
        <row r="736">
          <cell r="C736" t="str">
            <v>2004LA</v>
          </cell>
          <cell r="D736">
            <v>0</v>
          </cell>
          <cell r="E736">
            <v>55350</v>
          </cell>
          <cell r="F736">
            <v>8250</v>
          </cell>
          <cell r="G736">
            <v>0</v>
          </cell>
          <cell r="H736">
            <v>5200</v>
          </cell>
          <cell r="I736">
            <v>0</v>
          </cell>
          <cell r="J736">
            <v>0</v>
          </cell>
          <cell r="K736">
            <v>0</v>
          </cell>
          <cell r="L736">
            <v>28730</v>
          </cell>
          <cell r="M736">
            <v>32670</v>
          </cell>
          <cell r="N736">
            <v>0</v>
          </cell>
          <cell r="O736">
            <v>0</v>
          </cell>
          <cell r="P736">
            <v>0</v>
          </cell>
          <cell r="Q736">
            <v>0</v>
          </cell>
          <cell r="R736">
            <v>0</v>
          </cell>
          <cell r="S736">
            <v>0</v>
          </cell>
          <cell r="T736">
            <v>11067</v>
          </cell>
          <cell r="U736">
            <v>533</v>
          </cell>
          <cell r="V736">
            <v>159.9</v>
          </cell>
          <cell r="W736">
            <v>0.03</v>
          </cell>
        </row>
        <row r="737">
          <cell r="C737" t="str">
            <v>2004ME</v>
          </cell>
          <cell r="D737">
            <v>20</v>
          </cell>
          <cell r="E737">
            <v>0</v>
          </cell>
          <cell r="F737">
            <v>0</v>
          </cell>
          <cell r="G737">
            <v>1320</v>
          </cell>
          <cell r="H737">
            <v>0</v>
          </cell>
          <cell r="I737">
            <v>2560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row>
        <row r="738">
          <cell r="C738" t="str">
            <v>2004MD</v>
          </cell>
          <cell r="D738">
            <v>132</v>
          </cell>
          <cell r="E738">
            <v>65025</v>
          </cell>
          <cell r="F738">
            <v>8555</v>
          </cell>
          <cell r="G738">
            <v>2847</v>
          </cell>
          <cell r="H738">
            <v>336</v>
          </cell>
          <cell r="I738">
            <v>0</v>
          </cell>
          <cell r="J738">
            <v>0</v>
          </cell>
          <cell r="K738">
            <v>0</v>
          </cell>
          <cell r="L738">
            <v>0</v>
          </cell>
          <cell r="M738">
            <v>21285</v>
          </cell>
          <cell r="N738">
            <v>0</v>
          </cell>
          <cell r="O738">
            <v>0</v>
          </cell>
          <cell r="P738">
            <v>0</v>
          </cell>
          <cell r="Q738">
            <v>0</v>
          </cell>
          <cell r="R738">
            <v>0</v>
          </cell>
          <cell r="S738">
            <v>0</v>
          </cell>
          <cell r="T738">
            <v>0</v>
          </cell>
          <cell r="U738">
            <v>0</v>
          </cell>
          <cell r="V738">
            <v>0</v>
          </cell>
          <cell r="W738">
            <v>0</v>
          </cell>
        </row>
        <row r="739">
          <cell r="C739" t="str">
            <v>2004MA</v>
          </cell>
          <cell r="D739">
            <v>31</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row>
        <row r="740">
          <cell r="C740" t="str">
            <v>2004MI</v>
          </cell>
          <cell r="D740">
            <v>2720</v>
          </cell>
          <cell r="E740">
            <v>257280</v>
          </cell>
          <cell r="F740">
            <v>40960</v>
          </cell>
          <cell r="G740">
            <v>612</v>
          </cell>
          <cell r="H740">
            <v>0</v>
          </cell>
          <cell r="I740">
            <v>4420</v>
          </cell>
          <cell r="J740">
            <v>0</v>
          </cell>
          <cell r="K740">
            <v>0</v>
          </cell>
          <cell r="L740">
            <v>0</v>
          </cell>
          <cell r="M740">
            <v>75240</v>
          </cell>
          <cell r="N740">
            <v>0</v>
          </cell>
          <cell r="O740">
            <v>3145</v>
          </cell>
          <cell r="P740">
            <v>0</v>
          </cell>
          <cell r="Q740">
            <v>0</v>
          </cell>
          <cell r="R740">
            <v>0</v>
          </cell>
          <cell r="S740">
            <v>0</v>
          </cell>
          <cell r="T740">
            <v>0</v>
          </cell>
          <cell r="U740">
            <v>0</v>
          </cell>
          <cell r="V740">
            <v>0</v>
          </cell>
          <cell r="W740">
            <v>0</v>
          </cell>
        </row>
        <row r="741">
          <cell r="C741" t="str">
            <v>2004MN</v>
          </cell>
          <cell r="D741">
            <v>4725</v>
          </cell>
          <cell r="E741">
            <v>1120950</v>
          </cell>
          <cell r="F741">
            <v>89605</v>
          </cell>
          <cell r="G741">
            <v>7820</v>
          </cell>
          <cell r="H741">
            <v>0</v>
          </cell>
          <cell r="I741">
            <v>13300</v>
          </cell>
          <cell r="J741">
            <v>0</v>
          </cell>
          <cell r="K741">
            <v>0</v>
          </cell>
          <cell r="L741">
            <v>0</v>
          </cell>
          <cell r="M741">
            <v>232650</v>
          </cell>
          <cell r="N741">
            <v>0</v>
          </cell>
          <cell r="O741">
            <v>1150</v>
          </cell>
          <cell r="P741">
            <v>0</v>
          </cell>
          <cell r="Q741">
            <v>0</v>
          </cell>
          <cell r="R741">
            <v>0</v>
          </cell>
          <cell r="S741">
            <v>0</v>
          </cell>
          <cell r="T741">
            <v>0</v>
          </cell>
          <cell r="U741">
            <v>0</v>
          </cell>
          <cell r="V741">
            <v>0</v>
          </cell>
          <cell r="W741">
            <v>0</v>
          </cell>
        </row>
        <row r="742">
          <cell r="C742" t="str">
            <v>2004MS</v>
          </cell>
          <cell r="D742">
            <v>0</v>
          </cell>
          <cell r="E742">
            <v>59840</v>
          </cell>
          <cell r="F742">
            <v>7155</v>
          </cell>
          <cell r="G742">
            <v>0</v>
          </cell>
          <cell r="H742">
            <v>1422</v>
          </cell>
          <cell r="I742">
            <v>0</v>
          </cell>
          <cell r="J742">
            <v>0</v>
          </cell>
          <cell r="K742">
            <v>0</v>
          </cell>
          <cell r="L742">
            <v>16146</v>
          </cell>
          <cell r="M742">
            <v>61500</v>
          </cell>
          <cell r="N742">
            <v>0</v>
          </cell>
          <cell r="O742">
            <v>0</v>
          </cell>
          <cell r="P742">
            <v>0</v>
          </cell>
          <cell r="Q742">
            <v>0</v>
          </cell>
          <cell r="R742">
            <v>0</v>
          </cell>
          <cell r="S742">
            <v>0</v>
          </cell>
          <cell r="T742">
            <v>0</v>
          </cell>
          <cell r="U742">
            <v>234</v>
          </cell>
          <cell r="V742">
            <v>0</v>
          </cell>
          <cell r="W742">
            <v>0.22500000000000001</v>
          </cell>
        </row>
        <row r="743">
          <cell r="C743" t="str">
            <v>2004MO</v>
          </cell>
          <cell r="D743">
            <v>1520</v>
          </cell>
          <cell r="E743">
            <v>466560</v>
          </cell>
          <cell r="F743">
            <v>48360</v>
          </cell>
          <cell r="G743">
            <v>0</v>
          </cell>
          <cell r="H743">
            <v>15660</v>
          </cell>
          <cell r="I743">
            <v>650</v>
          </cell>
          <cell r="J743">
            <v>0</v>
          </cell>
          <cell r="K743">
            <v>0</v>
          </cell>
          <cell r="L743">
            <v>13261</v>
          </cell>
          <cell r="M743">
            <v>223200</v>
          </cell>
          <cell r="N743">
            <v>0</v>
          </cell>
          <cell r="O743">
            <v>0</v>
          </cell>
          <cell r="P743">
            <v>0</v>
          </cell>
          <cell r="Q743">
            <v>0</v>
          </cell>
          <cell r="R743">
            <v>0</v>
          </cell>
          <cell r="S743">
            <v>0</v>
          </cell>
          <cell r="T743">
            <v>0</v>
          </cell>
          <cell r="U743">
            <v>195</v>
          </cell>
          <cell r="V743">
            <v>0</v>
          </cell>
          <cell r="W743">
            <v>0.17499999999999999</v>
          </cell>
        </row>
        <row r="744">
          <cell r="C744" t="str">
            <v>2004MT</v>
          </cell>
          <cell r="D744">
            <v>3220</v>
          </cell>
          <cell r="E744">
            <v>2145</v>
          </cell>
          <cell r="F744">
            <v>173165</v>
          </cell>
          <cell r="G744">
            <v>48970</v>
          </cell>
          <cell r="H744">
            <v>0</v>
          </cell>
          <cell r="I744">
            <v>2400</v>
          </cell>
          <cell r="J744">
            <v>0</v>
          </cell>
          <cell r="K744">
            <v>0</v>
          </cell>
          <cell r="L744">
            <v>0</v>
          </cell>
          <cell r="M744">
            <v>0</v>
          </cell>
          <cell r="N744">
            <v>0</v>
          </cell>
          <cell r="O744">
            <v>285</v>
          </cell>
          <cell r="P744">
            <v>1266</v>
          </cell>
          <cell r="Q744">
            <v>99</v>
          </cell>
          <cell r="R744">
            <v>1008</v>
          </cell>
          <cell r="S744">
            <v>0</v>
          </cell>
          <cell r="T744">
            <v>0</v>
          </cell>
          <cell r="U744">
            <v>0</v>
          </cell>
          <cell r="V744">
            <v>0</v>
          </cell>
          <cell r="W744">
            <v>0</v>
          </cell>
        </row>
        <row r="745">
          <cell r="C745" t="str">
            <v>2004NE</v>
          </cell>
          <cell r="D745">
            <v>4563</v>
          </cell>
          <cell r="E745">
            <v>1319700</v>
          </cell>
          <cell r="F745">
            <v>61050</v>
          </cell>
          <cell r="G745">
            <v>162</v>
          </cell>
          <cell r="H745">
            <v>32370</v>
          </cell>
          <cell r="I745">
            <v>3400</v>
          </cell>
          <cell r="J745">
            <v>0</v>
          </cell>
          <cell r="K745">
            <v>3375</v>
          </cell>
          <cell r="L745">
            <v>0</v>
          </cell>
          <cell r="M745">
            <v>218500</v>
          </cell>
          <cell r="N745">
            <v>0</v>
          </cell>
          <cell r="O745">
            <v>2376</v>
          </cell>
          <cell r="P745">
            <v>0</v>
          </cell>
          <cell r="Q745">
            <v>0</v>
          </cell>
          <cell r="R745">
            <v>0</v>
          </cell>
          <cell r="S745">
            <v>0</v>
          </cell>
          <cell r="T745">
            <v>0</v>
          </cell>
          <cell r="U745">
            <v>0</v>
          </cell>
          <cell r="V745">
            <v>0</v>
          </cell>
          <cell r="W745">
            <v>0</v>
          </cell>
        </row>
        <row r="746">
          <cell r="C746" t="str">
            <v>2004NV</v>
          </cell>
          <cell r="D746">
            <v>1175</v>
          </cell>
          <cell r="E746">
            <v>0</v>
          </cell>
          <cell r="F746">
            <v>960</v>
          </cell>
          <cell r="G746">
            <v>210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row>
        <row r="747">
          <cell r="C747" t="str">
            <v>2004NH</v>
          </cell>
          <cell r="D747">
            <v>15</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row>
        <row r="748">
          <cell r="C748" t="str">
            <v>2004NJ</v>
          </cell>
          <cell r="D748">
            <v>111</v>
          </cell>
          <cell r="E748">
            <v>10296</v>
          </cell>
          <cell r="F748">
            <v>1128</v>
          </cell>
          <cell r="G748">
            <v>126</v>
          </cell>
          <cell r="H748">
            <v>0</v>
          </cell>
          <cell r="I748">
            <v>0</v>
          </cell>
          <cell r="J748">
            <v>0</v>
          </cell>
          <cell r="K748">
            <v>0</v>
          </cell>
          <cell r="L748">
            <v>0</v>
          </cell>
          <cell r="M748">
            <v>4326</v>
          </cell>
          <cell r="N748">
            <v>0</v>
          </cell>
          <cell r="O748">
            <v>0</v>
          </cell>
          <cell r="P748">
            <v>0</v>
          </cell>
          <cell r="Q748">
            <v>0</v>
          </cell>
          <cell r="R748">
            <v>0</v>
          </cell>
          <cell r="S748">
            <v>0</v>
          </cell>
          <cell r="T748">
            <v>0</v>
          </cell>
          <cell r="U748">
            <v>0</v>
          </cell>
          <cell r="V748">
            <v>0</v>
          </cell>
          <cell r="W748">
            <v>0</v>
          </cell>
        </row>
        <row r="749">
          <cell r="C749" t="str">
            <v>2004NM</v>
          </cell>
          <cell r="D749">
            <v>1176</v>
          </cell>
          <cell r="E749">
            <v>10440</v>
          </cell>
          <cell r="F749">
            <v>7800</v>
          </cell>
          <cell r="G749">
            <v>0</v>
          </cell>
          <cell r="H749">
            <v>4232</v>
          </cell>
          <cell r="I749">
            <v>0</v>
          </cell>
          <cell r="J749">
            <v>0</v>
          </cell>
          <cell r="K749">
            <v>0</v>
          </cell>
          <cell r="L749">
            <v>0</v>
          </cell>
          <cell r="M749">
            <v>0</v>
          </cell>
          <cell r="N749">
            <v>59500</v>
          </cell>
          <cell r="O749">
            <v>156</v>
          </cell>
          <cell r="P749">
            <v>0</v>
          </cell>
          <cell r="Q749">
            <v>0</v>
          </cell>
          <cell r="R749">
            <v>0</v>
          </cell>
          <cell r="S749">
            <v>0</v>
          </cell>
          <cell r="T749">
            <v>0</v>
          </cell>
          <cell r="U749">
            <v>0</v>
          </cell>
          <cell r="V749">
            <v>0</v>
          </cell>
          <cell r="W749">
            <v>0</v>
          </cell>
        </row>
        <row r="750">
          <cell r="C750" t="str">
            <v>2004NY</v>
          </cell>
          <cell r="D750">
            <v>1316</v>
          </cell>
          <cell r="E750">
            <v>61000</v>
          </cell>
          <cell r="F750">
            <v>5300</v>
          </cell>
          <cell r="G750">
            <v>530</v>
          </cell>
          <cell r="H750">
            <v>0</v>
          </cell>
          <cell r="I750">
            <v>3250</v>
          </cell>
          <cell r="J750">
            <v>0</v>
          </cell>
          <cell r="K750">
            <v>0</v>
          </cell>
          <cell r="L750">
            <v>0</v>
          </cell>
          <cell r="M750">
            <v>6708</v>
          </cell>
          <cell r="N750">
            <v>0</v>
          </cell>
          <cell r="O750">
            <v>247</v>
          </cell>
          <cell r="P750">
            <v>0</v>
          </cell>
          <cell r="Q750">
            <v>0</v>
          </cell>
          <cell r="R750">
            <v>0</v>
          </cell>
          <cell r="S750">
            <v>0</v>
          </cell>
          <cell r="T750">
            <v>0</v>
          </cell>
          <cell r="U750">
            <v>0</v>
          </cell>
          <cell r="V750">
            <v>0</v>
          </cell>
          <cell r="W750">
            <v>0</v>
          </cell>
        </row>
        <row r="751">
          <cell r="C751" t="str">
            <v>2004NC</v>
          </cell>
          <cell r="D751">
            <v>26</v>
          </cell>
          <cell r="E751">
            <v>86580</v>
          </cell>
          <cell r="F751">
            <v>23000</v>
          </cell>
          <cell r="G751">
            <v>960</v>
          </cell>
          <cell r="H751">
            <v>728</v>
          </cell>
          <cell r="I751">
            <v>1750</v>
          </cell>
          <cell r="J751">
            <v>0</v>
          </cell>
          <cell r="K751">
            <v>0</v>
          </cell>
          <cell r="L751">
            <v>0</v>
          </cell>
          <cell r="M751">
            <v>51000</v>
          </cell>
          <cell r="N751">
            <v>367500</v>
          </cell>
          <cell r="O751">
            <v>0</v>
          </cell>
          <cell r="P751">
            <v>0</v>
          </cell>
          <cell r="Q751">
            <v>0</v>
          </cell>
          <cell r="R751">
            <v>0</v>
          </cell>
          <cell r="S751">
            <v>0</v>
          </cell>
          <cell r="T751">
            <v>0</v>
          </cell>
          <cell r="U751">
            <v>0</v>
          </cell>
          <cell r="V751">
            <v>0</v>
          </cell>
          <cell r="W751">
            <v>0</v>
          </cell>
        </row>
        <row r="752">
          <cell r="C752" t="str">
            <v>2004ND</v>
          </cell>
          <cell r="D752">
            <v>1950</v>
          </cell>
          <cell r="E752">
            <v>120750</v>
          </cell>
          <cell r="F752">
            <v>306650</v>
          </cell>
          <cell r="G752">
            <v>91760</v>
          </cell>
          <cell r="H752">
            <v>0</v>
          </cell>
          <cell r="I752">
            <v>14080</v>
          </cell>
          <cell r="J752">
            <v>780</v>
          </cell>
          <cell r="K752">
            <v>0</v>
          </cell>
          <cell r="L752">
            <v>0</v>
          </cell>
          <cell r="M752">
            <v>82110</v>
          </cell>
          <cell r="N752">
            <v>0</v>
          </cell>
          <cell r="O752">
            <v>4750</v>
          </cell>
          <cell r="P752">
            <v>6926</v>
          </cell>
          <cell r="Q752">
            <v>0</v>
          </cell>
          <cell r="R752">
            <v>1288</v>
          </cell>
          <cell r="S752">
            <v>0</v>
          </cell>
          <cell r="T752">
            <v>0</v>
          </cell>
          <cell r="U752">
            <v>0</v>
          </cell>
          <cell r="V752">
            <v>0</v>
          </cell>
          <cell r="W752">
            <v>0</v>
          </cell>
        </row>
        <row r="753">
          <cell r="C753" t="str">
            <v>2004OH</v>
          </cell>
          <cell r="D753">
            <v>1504</v>
          </cell>
          <cell r="E753">
            <v>491380</v>
          </cell>
          <cell r="F753">
            <v>55180</v>
          </cell>
          <cell r="G753">
            <v>200</v>
          </cell>
          <cell r="H753">
            <v>0</v>
          </cell>
          <cell r="I753">
            <v>3150</v>
          </cell>
          <cell r="J753">
            <v>0</v>
          </cell>
          <cell r="K753">
            <v>0</v>
          </cell>
          <cell r="L753">
            <v>0</v>
          </cell>
          <cell r="M753">
            <v>207740</v>
          </cell>
          <cell r="N753">
            <v>0</v>
          </cell>
          <cell r="O753">
            <v>0</v>
          </cell>
          <cell r="P753">
            <v>0</v>
          </cell>
          <cell r="Q753">
            <v>0</v>
          </cell>
          <cell r="R753">
            <v>0</v>
          </cell>
          <cell r="S753">
            <v>0</v>
          </cell>
          <cell r="T753">
            <v>0</v>
          </cell>
          <cell r="U753">
            <v>0</v>
          </cell>
          <cell r="V753">
            <v>0</v>
          </cell>
          <cell r="W753">
            <v>0</v>
          </cell>
        </row>
        <row r="754">
          <cell r="C754" t="str">
            <v>2004OK</v>
          </cell>
          <cell r="D754">
            <v>1368</v>
          </cell>
          <cell r="E754">
            <v>30000</v>
          </cell>
          <cell r="F754">
            <v>164500</v>
          </cell>
          <cell r="G754">
            <v>0</v>
          </cell>
          <cell r="H754">
            <v>14400</v>
          </cell>
          <cell r="I754">
            <v>555</v>
          </cell>
          <cell r="J754">
            <v>1620</v>
          </cell>
          <cell r="K754">
            <v>0</v>
          </cell>
          <cell r="L754">
            <v>0</v>
          </cell>
          <cell r="M754">
            <v>8700</v>
          </cell>
          <cell r="N754">
            <v>102300</v>
          </cell>
          <cell r="O754">
            <v>0</v>
          </cell>
          <cell r="P754">
            <v>0</v>
          </cell>
          <cell r="Q754">
            <v>0</v>
          </cell>
          <cell r="R754">
            <v>0</v>
          </cell>
          <cell r="S754">
            <v>0</v>
          </cell>
          <cell r="T754">
            <v>0</v>
          </cell>
          <cell r="U754">
            <v>0.39105000000000001</v>
          </cell>
          <cell r="V754">
            <v>0</v>
          </cell>
          <cell r="W754">
            <v>0.88</v>
          </cell>
        </row>
        <row r="755">
          <cell r="C755" t="str">
            <v>2004OR</v>
          </cell>
          <cell r="D755">
            <v>2064</v>
          </cell>
          <cell r="E755">
            <v>4760</v>
          </cell>
          <cell r="F755">
            <v>55980</v>
          </cell>
          <cell r="G755">
            <v>4818</v>
          </cell>
          <cell r="H755">
            <v>0</v>
          </cell>
          <cell r="I755">
            <v>1940</v>
          </cell>
          <cell r="J755">
            <v>0</v>
          </cell>
          <cell r="K755">
            <v>0</v>
          </cell>
          <cell r="L755">
            <v>0</v>
          </cell>
          <cell r="M755">
            <v>0</v>
          </cell>
          <cell r="N755">
            <v>0</v>
          </cell>
          <cell r="O755">
            <v>116</v>
          </cell>
          <cell r="P755">
            <v>204</v>
          </cell>
          <cell r="Q755">
            <v>24</v>
          </cell>
          <cell r="R755">
            <v>0</v>
          </cell>
          <cell r="S755">
            <v>0</v>
          </cell>
          <cell r="T755">
            <v>0</v>
          </cell>
          <cell r="U755">
            <v>0</v>
          </cell>
          <cell r="V755">
            <v>0</v>
          </cell>
          <cell r="W755">
            <v>0</v>
          </cell>
        </row>
        <row r="756">
          <cell r="C756" t="str">
            <v>2004PA</v>
          </cell>
          <cell r="D756">
            <v>1512</v>
          </cell>
          <cell r="E756">
            <v>137200</v>
          </cell>
          <cell r="F756">
            <v>6615</v>
          </cell>
          <cell r="G756">
            <v>3410</v>
          </cell>
          <cell r="H756">
            <v>332</v>
          </cell>
          <cell r="I756">
            <v>6050</v>
          </cell>
          <cell r="J756">
            <v>0</v>
          </cell>
          <cell r="K756">
            <v>0</v>
          </cell>
          <cell r="L756">
            <v>0</v>
          </cell>
          <cell r="M756">
            <v>19550</v>
          </cell>
          <cell r="N756">
            <v>0</v>
          </cell>
          <cell r="O756">
            <v>0</v>
          </cell>
          <cell r="P756">
            <v>0</v>
          </cell>
          <cell r="Q756">
            <v>0</v>
          </cell>
          <cell r="R756">
            <v>0</v>
          </cell>
          <cell r="S756">
            <v>0</v>
          </cell>
          <cell r="T756">
            <v>0</v>
          </cell>
          <cell r="U756">
            <v>0</v>
          </cell>
          <cell r="V756">
            <v>0</v>
          </cell>
          <cell r="W756">
            <v>0</v>
          </cell>
        </row>
        <row r="757">
          <cell r="C757" t="str">
            <v>2004RI</v>
          </cell>
          <cell r="D757">
            <v>5</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row>
        <row r="758">
          <cell r="C758" t="str">
            <v>2004SC</v>
          </cell>
          <cell r="D758">
            <v>0</v>
          </cell>
          <cell r="E758">
            <v>29500</v>
          </cell>
          <cell r="F758">
            <v>7920</v>
          </cell>
          <cell r="G758">
            <v>0</v>
          </cell>
          <cell r="H758">
            <v>260</v>
          </cell>
          <cell r="I758">
            <v>1100</v>
          </cell>
          <cell r="J758">
            <v>0</v>
          </cell>
          <cell r="K758">
            <v>0</v>
          </cell>
          <cell r="L758">
            <v>0</v>
          </cell>
          <cell r="M758">
            <v>14310</v>
          </cell>
          <cell r="N758">
            <v>112200</v>
          </cell>
          <cell r="O758">
            <v>0</v>
          </cell>
          <cell r="P758">
            <v>0</v>
          </cell>
          <cell r="Q758">
            <v>0</v>
          </cell>
          <cell r="R758">
            <v>0</v>
          </cell>
          <cell r="S758">
            <v>0</v>
          </cell>
          <cell r="T758">
            <v>0</v>
          </cell>
          <cell r="U758">
            <v>0</v>
          </cell>
          <cell r="V758">
            <v>0</v>
          </cell>
          <cell r="W758">
            <v>0</v>
          </cell>
        </row>
        <row r="759">
          <cell r="C759" t="str">
            <v>2004SD</v>
          </cell>
          <cell r="D759">
            <v>4725</v>
          </cell>
          <cell r="E759">
            <v>539500</v>
          </cell>
          <cell r="F759">
            <v>128610</v>
          </cell>
          <cell r="G759">
            <v>3150</v>
          </cell>
          <cell r="H759">
            <v>6300</v>
          </cell>
          <cell r="I759">
            <v>13940</v>
          </cell>
          <cell r="J759">
            <v>649</v>
          </cell>
          <cell r="K759">
            <v>3770</v>
          </cell>
          <cell r="L759">
            <v>0</v>
          </cell>
          <cell r="M759">
            <v>140080</v>
          </cell>
          <cell r="N759">
            <v>0</v>
          </cell>
          <cell r="O759">
            <v>164</v>
          </cell>
          <cell r="P759">
            <v>0</v>
          </cell>
          <cell r="Q759">
            <v>0</v>
          </cell>
          <cell r="R759">
            <v>0</v>
          </cell>
          <cell r="S759">
            <v>0</v>
          </cell>
          <cell r="T759">
            <v>0</v>
          </cell>
          <cell r="U759">
            <v>0</v>
          </cell>
          <cell r="V759">
            <v>0</v>
          </cell>
          <cell r="W759">
            <v>0</v>
          </cell>
        </row>
        <row r="760">
          <cell r="C760" t="str">
            <v>2004TN</v>
          </cell>
          <cell r="D760">
            <v>133</v>
          </cell>
          <cell r="E760">
            <v>86100</v>
          </cell>
          <cell r="F760">
            <v>13720</v>
          </cell>
          <cell r="G760">
            <v>0</v>
          </cell>
          <cell r="H760">
            <v>1530</v>
          </cell>
          <cell r="I760">
            <v>0</v>
          </cell>
          <cell r="J760">
            <v>0</v>
          </cell>
          <cell r="K760">
            <v>0</v>
          </cell>
          <cell r="L760">
            <v>0</v>
          </cell>
          <cell r="M760">
            <v>48380</v>
          </cell>
          <cell r="N760">
            <v>0</v>
          </cell>
          <cell r="O760">
            <v>0</v>
          </cell>
          <cell r="P760">
            <v>0</v>
          </cell>
          <cell r="Q760">
            <v>0</v>
          </cell>
          <cell r="R760">
            <v>0</v>
          </cell>
          <cell r="S760">
            <v>0</v>
          </cell>
          <cell r="T760">
            <v>0</v>
          </cell>
          <cell r="U760">
            <v>0</v>
          </cell>
          <cell r="V760">
            <v>0</v>
          </cell>
          <cell r="W760">
            <v>0</v>
          </cell>
        </row>
        <row r="761">
          <cell r="C761" t="str">
            <v>2004TX</v>
          </cell>
          <cell r="D761">
            <v>855</v>
          </cell>
          <cell r="E761">
            <v>233520</v>
          </cell>
          <cell r="F761">
            <v>108500</v>
          </cell>
          <cell r="G761">
            <v>0</v>
          </cell>
          <cell r="H761">
            <v>127100</v>
          </cell>
          <cell r="I761">
            <v>6400</v>
          </cell>
          <cell r="J761">
            <v>0</v>
          </cell>
          <cell r="K761">
            <v>0</v>
          </cell>
          <cell r="L761">
            <v>14906</v>
          </cell>
          <cell r="M761">
            <v>8640</v>
          </cell>
          <cell r="N761">
            <v>803700</v>
          </cell>
          <cell r="O761">
            <v>140</v>
          </cell>
          <cell r="P761">
            <v>0</v>
          </cell>
          <cell r="Q761">
            <v>0</v>
          </cell>
          <cell r="R761">
            <v>0</v>
          </cell>
          <cell r="S761">
            <v>0</v>
          </cell>
          <cell r="T761">
            <v>1639</v>
          </cell>
          <cell r="U761">
            <v>218</v>
          </cell>
          <cell r="V761">
            <v>76.3</v>
          </cell>
          <cell r="W761">
            <v>0</v>
          </cell>
        </row>
        <row r="762">
          <cell r="C762" t="str">
            <v>2004UT</v>
          </cell>
          <cell r="D762">
            <v>2128</v>
          </cell>
          <cell r="E762">
            <v>1860</v>
          </cell>
          <cell r="F762">
            <v>5856</v>
          </cell>
          <cell r="G762">
            <v>3440</v>
          </cell>
          <cell r="H762">
            <v>0</v>
          </cell>
          <cell r="I762">
            <v>624</v>
          </cell>
          <cell r="J762">
            <v>0</v>
          </cell>
          <cell r="K762">
            <v>0</v>
          </cell>
          <cell r="L762">
            <v>0</v>
          </cell>
          <cell r="M762">
            <v>0</v>
          </cell>
          <cell r="N762">
            <v>0</v>
          </cell>
          <cell r="O762">
            <v>14</v>
          </cell>
          <cell r="P762">
            <v>0</v>
          </cell>
          <cell r="Q762">
            <v>0</v>
          </cell>
          <cell r="R762">
            <v>0</v>
          </cell>
          <cell r="S762">
            <v>0</v>
          </cell>
          <cell r="T762">
            <v>0</v>
          </cell>
          <cell r="U762">
            <v>0</v>
          </cell>
          <cell r="V762">
            <v>0</v>
          </cell>
          <cell r="W762">
            <v>0</v>
          </cell>
        </row>
        <row r="763">
          <cell r="C763" t="str">
            <v>2004VT</v>
          </cell>
          <cell r="D763">
            <v>80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row>
        <row r="764">
          <cell r="C764" t="str">
            <v>2004VA</v>
          </cell>
          <cell r="D764">
            <v>440</v>
          </cell>
          <cell r="E764">
            <v>52200</v>
          </cell>
          <cell r="F764">
            <v>9900</v>
          </cell>
          <cell r="G764">
            <v>2960</v>
          </cell>
          <cell r="H764">
            <v>136</v>
          </cell>
          <cell r="I764">
            <v>0</v>
          </cell>
          <cell r="J764">
            <v>0</v>
          </cell>
          <cell r="K764">
            <v>0</v>
          </cell>
          <cell r="L764">
            <v>0</v>
          </cell>
          <cell r="M764">
            <v>20670</v>
          </cell>
          <cell r="N764">
            <v>104000</v>
          </cell>
          <cell r="O764">
            <v>0</v>
          </cell>
          <cell r="P764">
            <v>0</v>
          </cell>
          <cell r="Q764">
            <v>0</v>
          </cell>
          <cell r="R764">
            <v>0</v>
          </cell>
          <cell r="S764">
            <v>0</v>
          </cell>
          <cell r="T764">
            <v>0</v>
          </cell>
          <cell r="U764">
            <v>0</v>
          </cell>
          <cell r="V764">
            <v>0</v>
          </cell>
          <cell r="W764">
            <v>0</v>
          </cell>
        </row>
        <row r="765">
          <cell r="C765" t="str">
            <v>2004WA</v>
          </cell>
          <cell r="D765">
            <v>2400</v>
          </cell>
          <cell r="E765">
            <v>21000</v>
          </cell>
          <cell r="F765">
            <v>143500</v>
          </cell>
          <cell r="G765">
            <v>17150</v>
          </cell>
          <cell r="H765">
            <v>0</v>
          </cell>
          <cell r="I765">
            <v>616</v>
          </cell>
          <cell r="J765">
            <v>0</v>
          </cell>
          <cell r="K765">
            <v>0</v>
          </cell>
          <cell r="L765">
            <v>0</v>
          </cell>
          <cell r="M765">
            <v>0</v>
          </cell>
          <cell r="N765">
            <v>0</v>
          </cell>
          <cell r="O765">
            <v>609</v>
          </cell>
          <cell r="P765">
            <v>2088</v>
          </cell>
          <cell r="Q765">
            <v>0</v>
          </cell>
          <cell r="R765">
            <v>1116</v>
          </cell>
          <cell r="S765">
            <v>725</v>
          </cell>
          <cell r="T765">
            <v>0</v>
          </cell>
          <cell r="U765">
            <v>0</v>
          </cell>
          <cell r="V765">
            <v>0</v>
          </cell>
          <cell r="W765">
            <v>0</v>
          </cell>
        </row>
        <row r="766">
          <cell r="C766" t="str">
            <v>2004WV</v>
          </cell>
          <cell r="D766">
            <v>108</v>
          </cell>
          <cell r="E766">
            <v>3799</v>
          </cell>
          <cell r="F766">
            <v>260</v>
          </cell>
          <cell r="G766">
            <v>0</v>
          </cell>
          <cell r="H766">
            <v>0</v>
          </cell>
          <cell r="I766">
            <v>0</v>
          </cell>
          <cell r="J766">
            <v>0</v>
          </cell>
          <cell r="K766">
            <v>0</v>
          </cell>
          <cell r="L766">
            <v>0</v>
          </cell>
          <cell r="M766">
            <v>828</v>
          </cell>
          <cell r="N766">
            <v>0</v>
          </cell>
          <cell r="O766">
            <v>0</v>
          </cell>
          <cell r="P766">
            <v>0</v>
          </cell>
          <cell r="Q766">
            <v>0</v>
          </cell>
          <cell r="R766">
            <v>0</v>
          </cell>
          <cell r="S766">
            <v>0</v>
          </cell>
          <cell r="T766">
            <v>0</v>
          </cell>
          <cell r="U766">
            <v>0</v>
          </cell>
          <cell r="V766">
            <v>0</v>
          </cell>
          <cell r="W766">
            <v>0</v>
          </cell>
        </row>
        <row r="767">
          <cell r="C767" t="str">
            <v>2004WI</v>
          </cell>
          <cell r="D767">
            <v>4160</v>
          </cell>
          <cell r="E767">
            <v>353600</v>
          </cell>
          <cell r="F767">
            <v>12852</v>
          </cell>
          <cell r="G767">
            <v>1650</v>
          </cell>
          <cell r="H767">
            <v>0</v>
          </cell>
          <cell r="I767">
            <v>13650</v>
          </cell>
          <cell r="J767">
            <v>0</v>
          </cell>
          <cell r="K767">
            <v>0</v>
          </cell>
          <cell r="L767">
            <v>0</v>
          </cell>
          <cell r="M767">
            <v>53475</v>
          </cell>
          <cell r="N767">
            <v>0</v>
          </cell>
          <cell r="O767">
            <v>113</v>
          </cell>
          <cell r="P767">
            <v>0</v>
          </cell>
          <cell r="Q767">
            <v>0</v>
          </cell>
          <cell r="R767">
            <v>0</v>
          </cell>
          <cell r="S767">
            <v>0</v>
          </cell>
          <cell r="T767">
            <v>0</v>
          </cell>
          <cell r="U767">
            <v>0</v>
          </cell>
          <cell r="V767">
            <v>0</v>
          </cell>
          <cell r="W767">
            <v>0</v>
          </cell>
        </row>
        <row r="768">
          <cell r="C768" t="str">
            <v>2004WY</v>
          </cell>
          <cell r="D768">
            <v>1305</v>
          </cell>
          <cell r="E768">
            <v>6550</v>
          </cell>
          <cell r="F768">
            <v>3750</v>
          </cell>
          <cell r="G768">
            <v>7050</v>
          </cell>
          <cell r="H768">
            <v>0</v>
          </cell>
          <cell r="I768">
            <v>795</v>
          </cell>
          <cell r="J768">
            <v>0</v>
          </cell>
          <cell r="K768">
            <v>0</v>
          </cell>
          <cell r="L768">
            <v>0</v>
          </cell>
          <cell r="M768">
            <v>0</v>
          </cell>
          <cell r="N768">
            <v>0</v>
          </cell>
          <cell r="O768">
            <v>541</v>
          </cell>
          <cell r="P768">
            <v>0</v>
          </cell>
          <cell r="Q768">
            <v>0</v>
          </cell>
          <cell r="R768">
            <v>0</v>
          </cell>
          <cell r="S768">
            <v>0</v>
          </cell>
          <cell r="T768">
            <v>0</v>
          </cell>
          <cell r="U768">
            <v>0</v>
          </cell>
          <cell r="V768">
            <v>0</v>
          </cell>
          <cell r="W768">
            <v>0</v>
          </cell>
        </row>
        <row r="769">
          <cell r="C769" t="str">
            <v>2004US</v>
          </cell>
          <cell r="D769">
            <v>75481</v>
          </cell>
          <cell r="E769">
            <v>11807086</v>
          </cell>
          <cell r="F769">
            <v>2158245</v>
          </cell>
          <cell r="G769">
            <v>279743</v>
          </cell>
          <cell r="H769">
            <v>453654</v>
          </cell>
          <cell r="I769">
            <v>115695</v>
          </cell>
          <cell r="J769">
            <v>8255</v>
          </cell>
          <cell r="K769">
            <v>15065</v>
          </cell>
          <cell r="L769">
            <v>232362</v>
          </cell>
          <cell r="M769">
            <v>3123686</v>
          </cell>
          <cell r="N769">
            <v>4288200</v>
          </cell>
          <cell r="O769">
            <v>17788</v>
          </cell>
          <cell r="P769">
            <v>11419</v>
          </cell>
          <cell r="Q769">
            <v>291</v>
          </cell>
          <cell r="R769">
            <v>4182</v>
          </cell>
          <cell r="S769">
            <v>899</v>
          </cell>
          <cell r="T769">
            <v>29013</v>
          </cell>
          <cell r="U769">
            <v>3334.6705703160274</v>
          </cell>
          <cell r="V769">
            <v>243.36378968397293</v>
          </cell>
          <cell r="W769">
            <v>0</v>
          </cell>
        </row>
        <row r="770">
          <cell r="C770" t="str">
            <v>2005AL</v>
          </cell>
          <cell r="D770">
            <v>0</v>
          </cell>
          <cell r="E770">
            <v>23800</v>
          </cell>
          <cell r="F770">
            <v>2250</v>
          </cell>
          <cell r="G770">
            <v>0</v>
          </cell>
          <cell r="H770">
            <v>318</v>
          </cell>
          <cell r="I770">
            <v>1100</v>
          </cell>
          <cell r="J770">
            <v>0</v>
          </cell>
          <cell r="K770">
            <v>0</v>
          </cell>
          <cell r="L770">
            <v>0</v>
          </cell>
          <cell r="M770">
            <v>4785</v>
          </cell>
          <cell r="N770">
            <v>613250</v>
          </cell>
          <cell r="O770">
            <v>0</v>
          </cell>
          <cell r="P770">
            <v>0</v>
          </cell>
          <cell r="Q770">
            <v>0</v>
          </cell>
          <cell r="R770">
            <v>0</v>
          </cell>
          <cell r="S770">
            <v>0</v>
          </cell>
          <cell r="T770">
            <v>0</v>
          </cell>
          <cell r="U770">
            <v>0</v>
          </cell>
          <cell r="V770">
            <v>0</v>
          </cell>
          <cell r="W770">
            <v>0</v>
          </cell>
        </row>
        <row r="771">
          <cell r="C771" t="str">
            <v>2005AK</v>
          </cell>
          <cell r="D771">
            <v>0</v>
          </cell>
          <cell r="E771">
            <v>0</v>
          </cell>
          <cell r="F771">
            <v>0</v>
          </cell>
          <cell r="G771">
            <v>208000</v>
          </cell>
          <cell r="H771">
            <v>0</v>
          </cell>
          <cell r="I771">
            <v>58000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row>
        <row r="772">
          <cell r="C772" t="str">
            <v>2005AZ</v>
          </cell>
          <cell r="D772">
            <v>2184</v>
          </cell>
          <cell r="E772">
            <v>4290</v>
          </cell>
          <cell r="F772">
            <v>8060</v>
          </cell>
          <cell r="G772">
            <v>3000</v>
          </cell>
          <cell r="H772">
            <v>665</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row>
        <row r="773">
          <cell r="C773" t="str">
            <v>2005AR</v>
          </cell>
          <cell r="D773">
            <v>46</v>
          </cell>
          <cell r="E773">
            <v>30130</v>
          </cell>
          <cell r="F773">
            <v>8320</v>
          </cell>
          <cell r="G773">
            <v>0</v>
          </cell>
          <cell r="H773">
            <v>4960</v>
          </cell>
          <cell r="I773">
            <v>0</v>
          </cell>
          <cell r="J773">
            <v>0</v>
          </cell>
          <cell r="K773">
            <v>0</v>
          </cell>
          <cell r="L773">
            <v>108792</v>
          </cell>
          <cell r="M773">
            <v>102000</v>
          </cell>
          <cell r="N773">
            <v>0</v>
          </cell>
          <cell r="O773">
            <v>0</v>
          </cell>
          <cell r="P773">
            <v>0</v>
          </cell>
          <cell r="Q773">
            <v>0</v>
          </cell>
          <cell r="R773">
            <v>0</v>
          </cell>
          <cell r="S773">
            <v>0</v>
          </cell>
          <cell r="T773">
            <v>0</v>
          </cell>
          <cell r="U773">
            <v>1635</v>
          </cell>
          <cell r="V773">
            <v>1.635</v>
          </cell>
          <cell r="W773">
            <v>0.222</v>
          </cell>
        </row>
        <row r="774">
          <cell r="C774" t="str">
            <v>2005CA</v>
          </cell>
          <cell r="D774">
            <v>7176</v>
          </cell>
          <cell r="E774">
            <v>22360</v>
          </cell>
          <cell r="F774">
            <v>28155</v>
          </cell>
          <cell r="G774">
            <v>3780</v>
          </cell>
          <cell r="H774">
            <v>900</v>
          </cell>
          <cell r="I774">
            <v>1500</v>
          </cell>
          <cell r="J774">
            <v>0</v>
          </cell>
          <cell r="K774">
            <v>0</v>
          </cell>
          <cell r="L774">
            <v>38836</v>
          </cell>
          <cell r="M774">
            <v>0</v>
          </cell>
          <cell r="N774">
            <v>0</v>
          </cell>
          <cell r="O774">
            <v>1385</v>
          </cell>
          <cell r="P774">
            <v>0</v>
          </cell>
          <cell r="Q774">
            <v>0</v>
          </cell>
          <cell r="R774">
            <v>0</v>
          </cell>
          <cell r="S774">
            <v>0</v>
          </cell>
          <cell r="T774">
            <v>0</v>
          </cell>
          <cell r="U774">
            <v>526</v>
          </cell>
          <cell r="V774">
            <v>0</v>
          </cell>
          <cell r="W774">
            <v>0.16117043282964594</v>
          </cell>
        </row>
        <row r="775">
          <cell r="C775" t="str">
            <v>2005CO</v>
          </cell>
          <cell r="D775">
            <v>2960</v>
          </cell>
          <cell r="E775">
            <v>140600</v>
          </cell>
          <cell r="F775">
            <v>54035</v>
          </cell>
          <cell r="G775">
            <v>7670</v>
          </cell>
          <cell r="H775">
            <v>3410</v>
          </cell>
          <cell r="I775">
            <v>1125</v>
          </cell>
          <cell r="J775">
            <v>0</v>
          </cell>
          <cell r="K775">
            <v>5500</v>
          </cell>
          <cell r="L775">
            <v>0</v>
          </cell>
          <cell r="M775">
            <v>0</v>
          </cell>
          <cell r="N775">
            <v>0</v>
          </cell>
          <cell r="O775">
            <v>1320</v>
          </cell>
          <cell r="P775">
            <v>0</v>
          </cell>
          <cell r="Q775">
            <v>0</v>
          </cell>
          <cell r="R775">
            <v>0</v>
          </cell>
          <cell r="S775">
            <v>0</v>
          </cell>
          <cell r="T775">
            <v>0</v>
          </cell>
          <cell r="U775">
            <v>0</v>
          </cell>
          <cell r="V775">
            <v>0</v>
          </cell>
          <cell r="W775">
            <v>0</v>
          </cell>
        </row>
        <row r="776">
          <cell r="C776" t="str">
            <v>2005CT</v>
          </cell>
          <cell r="D776">
            <v>19</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row>
        <row r="777">
          <cell r="C777" t="str">
            <v>2005DE</v>
          </cell>
          <cell r="D777">
            <v>18</v>
          </cell>
          <cell r="E777">
            <v>22022</v>
          </cell>
          <cell r="F777">
            <v>3570</v>
          </cell>
          <cell r="G777">
            <v>2187</v>
          </cell>
          <cell r="H777">
            <v>0</v>
          </cell>
          <cell r="I777">
            <v>0</v>
          </cell>
          <cell r="J777">
            <v>0</v>
          </cell>
          <cell r="K777">
            <v>0</v>
          </cell>
          <cell r="L777">
            <v>0</v>
          </cell>
          <cell r="M777">
            <v>4732</v>
          </cell>
          <cell r="N777">
            <v>0</v>
          </cell>
          <cell r="O777">
            <v>0</v>
          </cell>
          <cell r="P777">
            <v>0</v>
          </cell>
          <cell r="Q777">
            <v>0</v>
          </cell>
          <cell r="R777">
            <v>0</v>
          </cell>
          <cell r="S777">
            <v>0</v>
          </cell>
          <cell r="T777">
            <v>0</v>
          </cell>
          <cell r="U777">
            <v>0</v>
          </cell>
          <cell r="V777">
            <v>0</v>
          </cell>
          <cell r="W777">
            <v>0</v>
          </cell>
        </row>
        <row r="778">
          <cell r="C778" t="str">
            <v>2005FL</v>
          </cell>
          <cell r="D778">
            <v>0</v>
          </cell>
          <cell r="E778">
            <v>2632</v>
          </cell>
          <cell r="F778">
            <v>360</v>
          </cell>
          <cell r="G778">
            <v>0</v>
          </cell>
          <cell r="H778">
            <v>0</v>
          </cell>
          <cell r="I778">
            <v>0</v>
          </cell>
          <cell r="J778">
            <v>0</v>
          </cell>
          <cell r="K778">
            <v>0</v>
          </cell>
          <cell r="L778">
            <v>0</v>
          </cell>
          <cell r="M778">
            <v>256</v>
          </cell>
          <cell r="N778">
            <v>410400</v>
          </cell>
          <cell r="O778">
            <v>0</v>
          </cell>
          <cell r="P778">
            <v>0</v>
          </cell>
          <cell r="Q778">
            <v>0</v>
          </cell>
          <cell r="R778">
            <v>0</v>
          </cell>
          <cell r="S778">
            <v>0</v>
          </cell>
          <cell r="T778">
            <v>12746</v>
          </cell>
          <cell r="U778">
            <v>11.28</v>
          </cell>
          <cell r="V778">
            <v>0</v>
          </cell>
          <cell r="W778">
            <v>0</v>
          </cell>
        </row>
        <row r="779">
          <cell r="C779" t="str">
            <v>2005GA</v>
          </cell>
          <cell r="D779">
            <v>0</v>
          </cell>
          <cell r="E779">
            <v>29670</v>
          </cell>
          <cell r="F779">
            <v>7280</v>
          </cell>
          <cell r="G779">
            <v>0</v>
          </cell>
          <cell r="H779">
            <v>1350</v>
          </cell>
          <cell r="I779">
            <v>1200</v>
          </cell>
          <cell r="J779">
            <v>810</v>
          </cell>
          <cell r="K779">
            <v>0</v>
          </cell>
          <cell r="L779">
            <v>0</v>
          </cell>
          <cell r="M779">
            <v>4550</v>
          </cell>
          <cell r="N779">
            <v>2130000</v>
          </cell>
          <cell r="O779">
            <v>0</v>
          </cell>
          <cell r="P779">
            <v>0</v>
          </cell>
          <cell r="Q779">
            <v>0</v>
          </cell>
          <cell r="R779">
            <v>0</v>
          </cell>
          <cell r="S779">
            <v>0</v>
          </cell>
          <cell r="T779">
            <v>0</v>
          </cell>
          <cell r="U779">
            <v>0</v>
          </cell>
          <cell r="V779">
            <v>0</v>
          </cell>
          <cell r="W779">
            <v>0</v>
          </cell>
        </row>
        <row r="780">
          <cell r="C780" t="str">
            <v>2005HI</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1816</v>
          </cell>
          <cell r="U780">
            <v>0</v>
          </cell>
          <cell r="V780">
            <v>0</v>
          </cell>
          <cell r="W780">
            <v>0</v>
          </cell>
        </row>
        <row r="781">
          <cell r="C781" t="str">
            <v>2005ID</v>
          </cell>
          <cell r="D781">
            <v>4788</v>
          </cell>
          <cell r="E781">
            <v>10200</v>
          </cell>
          <cell r="F781">
            <v>100590</v>
          </cell>
          <cell r="G781">
            <v>52200</v>
          </cell>
          <cell r="H781">
            <v>0</v>
          </cell>
          <cell r="I781">
            <v>1280</v>
          </cell>
          <cell r="J781">
            <v>0</v>
          </cell>
          <cell r="K781">
            <v>0</v>
          </cell>
          <cell r="L781">
            <v>0</v>
          </cell>
          <cell r="M781">
            <v>0</v>
          </cell>
          <cell r="N781">
            <v>0</v>
          </cell>
          <cell r="O781">
            <v>1862</v>
          </cell>
          <cell r="P781">
            <v>598</v>
          </cell>
          <cell r="Q781">
            <v>88</v>
          </cell>
          <cell r="R781">
            <v>567</v>
          </cell>
          <cell r="S781">
            <v>140</v>
          </cell>
          <cell r="T781">
            <v>0</v>
          </cell>
          <cell r="U781">
            <v>0</v>
          </cell>
          <cell r="V781">
            <v>0</v>
          </cell>
          <cell r="W781">
            <v>0</v>
          </cell>
        </row>
        <row r="782">
          <cell r="C782" t="str">
            <v>2005IL</v>
          </cell>
          <cell r="D782">
            <v>1400</v>
          </cell>
          <cell r="E782">
            <v>1708850</v>
          </cell>
          <cell r="F782">
            <v>36600</v>
          </cell>
          <cell r="G782">
            <v>0</v>
          </cell>
          <cell r="H782">
            <v>7636</v>
          </cell>
          <cell r="I782">
            <v>3160</v>
          </cell>
          <cell r="J782">
            <v>0</v>
          </cell>
          <cell r="K782">
            <v>0</v>
          </cell>
          <cell r="L782">
            <v>0</v>
          </cell>
          <cell r="M782">
            <v>439425</v>
          </cell>
          <cell r="N782">
            <v>0</v>
          </cell>
          <cell r="O782">
            <v>0</v>
          </cell>
          <cell r="P782">
            <v>0</v>
          </cell>
          <cell r="Q782">
            <v>0</v>
          </cell>
          <cell r="R782">
            <v>0</v>
          </cell>
          <cell r="S782">
            <v>0</v>
          </cell>
          <cell r="T782">
            <v>0</v>
          </cell>
          <cell r="U782">
            <v>0</v>
          </cell>
          <cell r="V782">
            <v>0</v>
          </cell>
          <cell r="W782">
            <v>0</v>
          </cell>
        </row>
        <row r="783">
          <cell r="C783" t="str">
            <v>2005IN</v>
          </cell>
          <cell r="D783">
            <v>1292</v>
          </cell>
          <cell r="E783">
            <v>888580</v>
          </cell>
          <cell r="F783">
            <v>24480</v>
          </cell>
          <cell r="G783">
            <v>0</v>
          </cell>
          <cell r="H783">
            <v>0</v>
          </cell>
          <cell r="I783">
            <v>621</v>
          </cell>
          <cell r="J783">
            <v>0</v>
          </cell>
          <cell r="K783">
            <v>0</v>
          </cell>
          <cell r="L783">
            <v>0</v>
          </cell>
          <cell r="M783">
            <v>263620</v>
          </cell>
          <cell r="N783">
            <v>0</v>
          </cell>
          <cell r="O783">
            <v>0</v>
          </cell>
          <cell r="P783">
            <v>0</v>
          </cell>
          <cell r="Q783">
            <v>0</v>
          </cell>
          <cell r="R783">
            <v>0</v>
          </cell>
          <cell r="S783">
            <v>0</v>
          </cell>
          <cell r="T783">
            <v>0</v>
          </cell>
          <cell r="U783">
            <v>0</v>
          </cell>
          <cell r="V783">
            <v>0</v>
          </cell>
          <cell r="W783">
            <v>0</v>
          </cell>
        </row>
        <row r="784">
          <cell r="C784" t="str">
            <v>2005IA</v>
          </cell>
          <cell r="D784">
            <v>5125</v>
          </cell>
          <cell r="E784">
            <v>2162500</v>
          </cell>
          <cell r="F784">
            <v>750</v>
          </cell>
          <cell r="G784">
            <v>0</v>
          </cell>
          <cell r="H784">
            <v>0</v>
          </cell>
          <cell r="I784">
            <v>9875</v>
          </cell>
          <cell r="J784">
            <v>0</v>
          </cell>
          <cell r="K784">
            <v>0</v>
          </cell>
          <cell r="L784">
            <v>0</v>
          </cell>
          <cell r="M784">
            <v>525000</v>
          </cell>
          <cell r="N784">
            <v>0</v>
          </cell>
          <cell r="O784">
            <v>0</v>
          </cell>
          <cell r="P784">
            <v>0</v>
          </cell>
          <cell r="Q784">
            <v>0</v>
          </cell>
          <cell r="R784">
            <v>0</v>
          </cell>
          <cell r="S784">
            <v>0</v>
          </cell>
          <cell r="T784">
            <v>0</v>
          </cell>
          <cell r="U784">
            <v>0</v>
          </cell>
          <cell r="V784">
            <v>0</v>
          </cell>
          <cell r="W784">
            <v>0</v>
          </cell>
        </row>
        <row r="785">
          <cell r="C785" t="str">
            <v>2005KS</v>
          </cell>
          <cell r="D785">
            <v>3400</v>
          </cell>
          <cell r="E785">
            <v>465750</v>
          </cell>
          <cell r="F785">
            <v>380000</v>
          </cell>
          <cell r="G785">
            <v>588</v>
          </cell>
          <cell r="H785">
            <v>195000</v>
          </cell>
          <cell r="I785">
            <v>2360</v>
          </cell>
          <cell r="J785">
            <v>0</v>
          </cell>
          <cell r="K785">
            <v>0</v>
          </cell>
          <cell r="L785">
            <v>0</v>
          </cell>
          <cell r="M785">
            <v>105450</v>
          </cell>
          <cell r="N785">
            <v>0</v>
          </cell>
          <cell r="O785">
            <v>275</v>
          </cell>
          <cell r="P785">
            <v>0</v>
          </cell>
          <cell r="Q785">
            <v>0</v>
          </cell>
          <cell r="R785">
            <v>0</v>
          </cell>
          <cell r="S785">
            <v>0</v>
          </cell>
          <cell r="T785">
            <v>0</v>
          </cell>
          <cell r="U785">
            <v>0</v>
          </cell>
          <cell r="V785">
            <v>0</v>
          </cell>
          <cell r="W785">
            <v>0</v>
          </cell>
        </row>
        <row r="786">
          <cell r="C786" t="str">
            <v>2005KY</v>
          </cell>
          <cell r="D786">
            <v>832</v>
          </cell>
          <cell r="E786">
            <v>155760</v>
          </cell>
          <cell r="F786">
            <v>20400</v>
          </cell>
          <cell r="G786">
            <v>747</v>
          </cell>
          <cell r="H786">
            <v>2160</v>
          </cell>
          <cell r="I786">
            <v>0</v>
          </cell>
          <cell r="J786">
            <v>0</v>
          </cell>
          <cell r="K786">
            <v>0</v>
          </cell>
          <cell r="L786">
            <v>0</v>
          </cell>
          <cell r="M786">
            <v>53320</v>
          </cell>
          <cell r="N786">
            <v>0</v>
          </cell>
          <cell r="O786">
            <v>0</v>
          </cell>
          <cell r="P786">
            <v>0</v>
          </cell>
          <cell r="Q786">
            <v>0</v>
          </cell>
          <cell r="R786">
            <v>0</v>
          </cell>
          <cell r="S786">
            <v>0</v>
          </cell>
          <cell r="T786">
            <v>0</v>
          </cell>
          <cell r="U786">
            <v>0</v>
          </cell>
          <cell r="V786">
            <v>0</v>
          </cell>
          <cell r="W786">
            <v>0</v>
          </cell>
        </row>
        <row r="787">
          <cell r="C787" t="str">
            <v>2005LA</v>
          </cell>
          <cell r="D787">
            <v>0</v>
          </cell>
          <cell r="E787">
            <v>44880</v>
          </cell>
          <cell r="F787">
            <v>4800</v>
          </cell>
          <cell r="G787">
            <v>0</v>
          </cell>
          <cell r="H787">
            <v>8712</v>
          </cell>
          <cell r="I787">
            <v>0</v>
          </cell>
          <cell r="J787">
            <v>0</v>
          </cell>
          <cell r="K787">
            <v>0</v>
          </cell>
          <cell r="L787">
            <v>30983</v>
          </cell>
          <cell r="M787">
            <v>28900</v>
          </cell>
          <cell r="N787">
            <v>0</v>
          </cell>
          <cell r="O787">
            <v>0</v>
          </cell>
          <cell r="P787">
            <v>0</v>
          </cell>
          <cell r="Q787">
            <v>0</v>
          </cell>
          <cell r="R787">
            <v>0</v>
          </cell>
          <cell r="S787">
            <v>0</v>
          </cell>
          <cell r="T787">
            <v>10420</v>
          </cell>
          <cell r="U787">
            <v>525</v>
          </cell>
          <cell r="V787">
            <v>68.25</v>
          </cell>
          <cell r="W787">
            <v>0.03</v>
          </cell>
        </row>
        <row r="788">
          <cell r="C788" t="str">
            <v>2005ME</v>
          </cell>
          <cell r="D788">
            <v>30</v>
          </cell>
          <cell r="E788">
            <v>0</v>
          </cell>
          <cell r="F788">
            <v>0</v>
          </cell>
          <cell r="G788">
            <v>1320</v>
          </cell>
          <cell r="H788">
            <v>0</v>
          </cell>
          <cell r="I788">
            <v>1960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row>
        <row r="789">
          <cell r="C789" t="str">
            <v>2005MD</v>
          </cell>
          <cell r="D789">
            <v>156</v>
          </cell>
          <cell r="E789">
            <v>54000</v>
          </cell>
          <cell r="F789">
            <v>9240</v>
          </cell>
          <cell r="G789">
            <v>3526</v>
          </cell>
          <cell r="H789">
            <v>0</v>
          </cell>
          <cell r="I789">
            <v>0</v>
          </cell>
          <cell r="J789">
            <v>0</v>
          </cell>
          <cell r="K789">
            <v>0</v>
          </cell>
          <cell r="L789">
            <v>0</v>
          </cell>
          <cell r="M789">
            <v>15980</v>
          </cell>
          <cell r="N789">
            <v>0</v>
          </cell>
          <cell r="O789">
            <v>0</v>
          </cell>
          <cell r="P789">
            <v>0</v>
          </cell>
          <cell r="Q789">
            <v>0</v>
          </cell>
          <cell r="R789">
            <v>0</v>
          </cell>
          <cell r="S789">
            <v>0</v>
          </cell>
          <cell r="T789">
            <v>0</v>
          </cell>
          <cell r="U789">
            <v>0</v>
          </cell>
          <cell r="V789">
            <v>0</v>
          </cell>
          <cell r="W789">
            <v>0</v>
          </cell>
        </row>
        <row r="790">
          <cell r="C790" t="str">
            <v>2005MA</v>
          </cell>
          <cell r="D790">
            <v>31</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row>
        <row r="791">
          <cell r="C791" t="str">
            <v>2005MI</v>
          </cell>
          <cell r="D791">
            <v>2790</v>
          </cell>
          <cell r="E791">
            <v>287430</v>
          </cell>
          <cell r="F791">
            <v>38940</v>
          </cell>
          <cell r="G791">
            <v>517</v>
          </cell>
          <cell r="H791">
            <v>0</v>
          </cell>
          <cell r="I791">
            <v>4575</v>
          </cell>
          <cell r="J791">
            <v>0</v>
          </cell>
          <cell r="K791">
            <v>0</v>
          </cell>
          <cell r="L791">
            <v>0</v>
          </cell>
          <cell r="M791">
            <v>76615</v>
          </cell>
          <cell r="N791">
            <v>0</v>
          </cell>
          <cell r="O791">
            <v>3910</v>
          </cell>
          <cell r="P791">
            <v>0</v>
          </cell>
          <cell r="Q791">
            <v>0</v>
          </cell>
          <cell r="R791">
            <v>0</v>
          </cell>
          <cell r="S791">
            <v>0</v>
          </cell>
          <cell r="T791">
            <v>0</v>
          </cell>
          <cell r="U791">
            <v>0</v>
          </cell>
          <cell r="V791">
            <v>0</v>
          </cell>
          <cell r="W791">
            <v>0</v>
          </cell>
        </row>
        <row r="792">
          <cell r="C792" t="str">
            <v>2005MN</v>
          </cell>
          <cell r="D792">
            <v>4725</v>
          </cell>
          <cell r="E792">
            <v>1191900</v>
          </cell>
          <cell r="F792">
            <v>71470</v>
          </cell>
          <cell r="G792">
            <v>3870</v>
          </cell>
          <cell r="H792">
            <v>0</v>
          </cell>
          <cell r="I792">
            <v>12710</v>
          </cell>
          <cell r="J792">
            <v>0</v>
          </cell>
          <cell r="K792">
            <v>0</v>
          </cell>
          <cell r="L792">
            <v>0</v>
          </cell>
          <cell r="M792">
            <v>306000</v>
          </cell>
          <cell r="N792">
            <v>0</v>
          </cell>
          <cell r="O792">
            <v>2430</v>
          </cell>
          <cell r="P792">
            <v>0</v>
          </cell>
          <cell r="Q792">
            <v>0</v>
          </cell>
          <cell r="R792">
            <v>0</v>
          </cell>
          <cell r="S792">
            <v>0</v>
          </cell>
          <cell r="T792">
            <v>0</v>
          </cell>
          <cell r="U792">
            <v>0</v>
          </cell>
          <cell r="V792">
            <v>0</v>
          </cell>
          <cell r="W792">
            <v>0</v>
          </cell>
        </row>
        <row r="793">
          <cell r="C793" t="str">
            <v>2005MS</v>
          </cell>
          <cell r="D793">
            <v>0</v>
          </cell>
          <cell r="E793">
            <v>47085</v>
          </cell>
          <cell r="F793">
            <v>3250</v>
          </cell>
          <cell r="G793">
            <v>0</v>
          </cell>
          <cell r="H793">
            <v>1840</v>
          </cell>
          <cell r="I793">
            <v>0</v>
          </cell>
          <cell r="J793">
            <v>0</v>
          </cell>
          <cell r="K793">
            <v>0</v>
          </cell>
          <cell r="L793">
            <v>16832</v>
          </cell>
          <cell r="M793">
            <v>58035</v>
          </cell>
          <cell r="N793">
            <v>44800</v>
          </cell>
          <cell r="O793">
            <v>0</v>
          </cell>
          <cell r="P793">
            <v>0</v>
          </cell>
          <cell r="Q793">
            <v>0</v>
          </cell>
          <cell r="R793">
            <v>0</v>
          </cell>
          <cell r="S793">
            <v>0</v>
          </cell>
          <cell r="T793">
            <v>0</v>
          </cell>
          <cell r="U793">
            <v>263</v>
          </cell>
          <cell r="V793">
            <v>0</v>
          </cell>
          <cell r="W793">
            <v>0.22500000000000001</v>
          </cell>
        </row>
        <row r="794">
          <cell r="C794" t="str">
            <v>2005MO</v>
          </cell>
          <cell r="D794">
            <v>1215</v>
          </cell>
          <cell r="E794">
            <v>329670</v>
          </cell>
          <cell r="F794">
            <v>29160</v>
          </cell>
          <cell r="G794">
            <v>0</v>
          </cell>
          <cell r="H794">
            <v>9880</v>
          </cell>
          <cell r="I794">
            <v>1300</v>
          </cell>
          <cell r="J794">
            <v>0</v>
          </cell>
          <cell r="K794">
            <v>0</v>
          </cell>
          <cell r="L794">
            <v>14124</v>
          </cell>
          <cell r="M794">
            <v>181670</v>
          </cell>
          <cell r="N794">
            <v>0</v>
          </cell>
          <cell r="O794">
            <v>0</v>
          </cell>
          <cell r="P794">
            <v>0</v>
          </cell>
          <cell r="Q794">
            <v>0</v>
          </cell>
          <cell r="R794">
            <v>0</v>
          </cell>
          <cell r="S794">
            <v>0</v>
          </cell>
          <cell r="T794">
            <v>0</v>
          </cell>
          <cell r="U794">
            <v>214</v>
          </cell>
          <cell r="V794">
            <v>0</v>
          </cell>
          <cell r="W794">
            <v>0.17499999999999999</v>
          </cell>
        </row>
        <row r="795">
          <cell r="C795" t="str">
            <v>2005MT</v>
          </cell>
          <cell r="D795">
            <v>3850</v>
          </cell>
          <cell r="E795">
            <v>2516</v>
          </cell>
          <cell r="F795">
            <v>192480</v>
          </cell>
          <cell r="G795">
            <v>39200</v>
          </cell>
          <cell r="H795">
            <v>0</v>
          </cell>
          <cell r="I795">
            <v>1855</v>
          </cell>
          <cell r="J795">
            <v>0</v>
          </cell>
          <cell r="K795">
            <v>0</v>
          </cell>
          <cell r="L795">
            <v>0</v>
          </cell>
          <cell r="M795">
            <v>0</v>
          </cell>
          <cell r="N795">
            <v>0</v>
          </cell>
          <cell r="O795">
            <v>282</v>
          </cell>
          <cell r="P795">
            <v>2196</v>
          </cell>
          <cell r="Q795">
            <v>159</v>
          </cell>
          <cell r="R795">
            <v>1869</v>
          </cell>
          <cell r="S795">
            <v>0</v>
          </cell>
          <cell r="T795">
            <v>0</v>
          </cell>
          <cell r="U795">
            <v>0</v>
          </cell>
          <cell r="V795">
            <v>0</v>
          </cell>
          <cell r="W795">
            <v>0</v>
          </cell>
        </row>
        <row r="796">
          <cell r="C796" t="str">
            <v>2005NE</v>
          </cell>
          <cell r="D796">
            <v>4625</v>
          </cell>
          <cell r="E796">
            <v>1270500</v>
          </cell>
          <cell r="F796">
            <v>68640</v>
          </cell>
          <cell r="G796">
            <v>0</v>
          </cell>
          <cell r="H796">
            <v>21750</v>
          </cell>
          <cell r="I796">
            <v>4380</v>
          </cell>
          <cell r="J796">
            <v>0</v>
          </cell>
          <cell r="K796">
            <v>4375</v>
          </cell>
          <cell r="L796">
            <v>0</v>
          </cell>
          <cell r="M796">
            <v>235330</v>
          </cell>
          <cell r="N796">
            <v>0</v>
          </cell>
          <cell r="O796">
            <v>3870</v>
          </cell>
          <cell r="P796">
            <v>0</v>
          </cell>
          <cell r="Q796">
            <v>0</v>
          </cell>
          <cell r="R796">
            <v>0</v>
          </cell>
          <cell r="S796">
            <v>0</v>
          </cell>
          <cell r="T796">
            <v>0</v>
          </cell>
          <cell r="U796">
            <v>0</v>
          </cell>
          <cell r="V796">
            <v>0</v>
          </cell>
          <cell r="W796">
            <v>0</v>
          </cell>
        </row>
        <row r="797">
          <cell r="C797" t="str">
            <v>2005NV</v>
          </cell>
          <cell r="D797">
            <v>1248</v>
          </cell>
          <cell r="E797">
            <v>0</v>
          </cell>
          <cell r="F797">
            <v>805</v>
          </cell>
          <cell r="G797">
            <v>170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row>
        <row r="798">
          <cell r="C798" t="str">
            <v>2005NH</v>
          </cell>
          <cell r="D798">
            <v>17</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row>
        <row r="799">
          <cell r="C799" t="str">
            <v>2005NJ</v>
          </cell>
          <cell r="D799">
            <v>68</v>
          </cell>
          <cell r="E799">
            <v>7564</v>
          </cell>
          <cell r="F799">
            <v>1219</v>
          </cell>
          <cell r="G799">
            <v>142</v>
          </cell>
          <cell r="H799">
            <v>0</v>
          </cell>
          <cell r="I799">
            <v>0</v>
          </cell>
          <cell r="J799">
            <v>0</v>
          </cell>
          <cell r="K799">
            <v>0</v>
          </cell>
          <cell r="L799">
            <v>0</v>
          </cell>
          <cell r="M799">
            <v>2548</v>
          </cell>
          <cell r="N799">
            <v>0</v>
          </cell>
          <cell r="O799">
            <v>0</v>
          </cell>
          <cell r="P799">
            <v>0</v>
          </cell>
          <cell r="Q799">
            <v>0</v>
          </cell>
          <cell r="R799">
            <v>0</v>
          </cell>
          <cell r="S799">
            <v>0</v>
          </cell>
          <cell r="T799">
            <v>0</v>
          </cell>
          <cell r="U799">
            <v>0</v>
          </cell>
          <cell r="V799">
            <v>0</v>
          </cell>
          <cell r="W799">
            <v>0</v>
          </cell>
        </row>
        <row r="800">
          <cell r="C800" t="str">
            <v>2005NM</v>
          </cell>
          <cell r="D800">
            <v>1224</v>
          </cell>
          <cell r="E800">
            <v>9625</v>
          </cell>
          <cell r="F800">
            <v>9720</v>
          </cell>
          <cell r="G800">
            <v>0</v>
          </cell>
          <cell r="H800">
            <v>4365</v>
          </cell>
          <cell r="I800">
            <v>0</v>
          </cell>
          <cell r="J800">
            <v>0</v>
          </cell>
          <cell r="K800">
            <v>0</v>
          </cell>
          <cell r="L800">
            <v>0</v>
          </cell>
          <cell r="M800">
            <v>0</v>
          </cell>
          <cell r="N800">
            <v>66500</v>
          </cell>
          <cell r="O800">
            <v>139</v>
          </cell>
          <cell r="P800">
            <v>0</v>
          </cell>
          <cell r="Q800">
            <v>0</v>
          </cell>
          <cell r="R800">
            <v>0</v>
          </cell>
          <cell r="S800">
            <v>0</v>
          </cell>
          <cell r="T800">
            <v>0</v>
          </cell>
          <cell r="U800">
            <v>0</v>
          </cell>
          <cell r="V800">
            <v>0</v>
          </cell>
          <cell r="W800">
            <v>0</v>
          </cell>
        </row>
        <row r="801">
          <cell r="C801" t="str">
            <v>2005NY</v>
          </cell>
          <cell r="D801">
            <v>945</v>
          </cell>
          <cell r="E801">
            <v>57040</v>
          </cell>
          <cell r="F801">
            <v>5130</v>
          </cell>
          <cell r="G801">
            <v>735</v>
          </cell>
          <cell r="H801">
            <v>0</v>
          </cell>
          <cell r="I801">
            <v>4050</v>
          </cell>
          <cell r="J801">
            <v>0</v>
          </cell>
          <cell r="K801">
            <v>0</v>
          </cell>
          <cell r="L801">
            <v>0</v>
          </cell>
          <cell r="M801">
            <v>7896</v>
          </cell>
          <cell r="N801">
            <v>0</v>
          </cell>
          <cell r="O801">
            <v>282</v>
          </cell>
          <cell r="P801">
            <v>0</v>
          </cell>
          <cell r="Q801">
            <v>0</v>
          </cell>
          <cell r="R801">
            <v>0</v>
          </cell>
          <cell r="S801">
            <v>0</v>
          </cell>
          <cell r="T801">
            <v>0</v>
          </cell>
          <cell r="U801">
            <v>0</v>
          </cell>
          <cell r="V801">
            <v>0</v>
          </cell>
          <cell r="W801">
            <v>0</v>
          </cell>
        </row>
        <row r="802">
          <cell r="C802" t="str">
            <v>2005NC</v>
          </cell>
          <cell r="D802">
            <v>28</v>
          </cell>
          <cell r="E802">
            <v>84000</v>
          </cell>
          <cell r="F802">
            <v>24795</v>
          </cell>
          <cell r="G802">
            <v>1482</v>
          </cell>
          <cell r="H802">
            <v>650</v>
          </cell>
          <cell r="I802">
            <v>1679</v>
          </cell>
          <cell r="J802">
            <v>0</v>
          </cell>
          <cell r="K802">
            <v>0</v>
          </cell>
          <cell r="L802">
            <v>0</v>
          </cell>
          <cell r="M802">
            <v>39420</v>
          </cell>
          <cell r="N802">
            <v>288000</v>
          </cell>
          <cell r="O802">
            <v>0</v>
          </cell>
          <cell r="P802">
            <v>0</v>
          </cell>
          <cell r="Q802">
            <v>0</v>
          </cell>
          <cell r="R802">
            <v>0</v>
          </cell>
          <cell r="S802">
            <v>0</v>
          </cell>
          <cell r="T802">
            <v>0</v>
          </cell>
          <cell r="U802">
            <v>0</v>
          </cell>
          <cell r="V802">
            <v>0</v>
          </cell>
          <cell r="W802">
            <v>0</v>
          </cell>
        </row>
        <row r="803">
          <cell r="C803" t="str">
            <v>2005ND</v>
          </cell>
          <cell r="D803">
            <v>3300</v>
          </cell>
          <cell r="E803">
            <v>154800</v>
          </cell>
          <cell r="F803">
            <v>303765</v>
          </cell>
          <cell r="G803">
            <v>57240</v>
          </cell>
          <cell r="H803">
            <v>0</v>
          </cell>
          <cell r="I803">
            <v>14160</v>
          </cell>
          <cell r="J803">
            <v>0</v>
          </cell>
          <cell r="K803">
            <v>0</v>
          </cell>
          <cell r="L803">
            <v>0</v>
          </cell>
          <cell r="M803">
            <v>104400</v>
          </cell>
          <cell r="N803">
            <v>0</v>
          </cell>
          <cell r="O803">
            <v>8588</v>
          </cell>
          <cell r="P803">
            <v>9785</v>
          </cell>
          <cell r="Q803">
            <v>0</v>
          </cell>
          <cell r="R803">
            <v>1971</v>
          </cell>
          <cell r="S803">
            <v>0</v>
          </cell>
          <cell r="T803">
            <v>0</v>
          </cell>
          <cell r="U803">
            <v>0</v>
          </cell>
          <cell r="V803">
            <v>0</v>
          </cell>
          <cell r="W803">
            <v>0</v>
          </cell>
        </row>
        <row r="804">
          <cell r="C804" t="str">
            <v>2005OH</v>
          </cell>
          <cell r="D804">
            <v>1836</v>
          </cell>
          <cell r="E804">
            <v>464750</v>
          </cell>
          <cell r="F804">
            <v>58930</v>
          </cell>
          <cell r="G804">
            <v>300</v>
          </cell>
          <cell r="H804">
            <v>0</v>
          </cell>
          <cell r="I804">
            <v>3600</v>
          </cell>
          <cell r="J804">
            <v>0</v>
          </cell>
          <cell r="K804">
            <v>0</v>
          </cell>
          <cell r="L804">
            <v>0</v>
          </cell>
          <cell r="M804">
            <v>201600</v>
          </cell>
          <cell r="N804">
            <v>0</v>
          </cell>
          <cell r="O804">
            <v>0</v>
          </cell>
          <cell r="P804">
            <v>0</v>
          </cell>
          <cell r="Q804">
            <v>0</v>
          </cell>
          <cell r="R804">
            <v>0</v>
          </cell>
          <cell r="S804">
            <v>0</v>
          </cell>
          <cell r="T804">
            <v>0</v>
          </cell>
          <cell r="U804">
            <v>0</v>
          </cell>
          <cell r="V804">
            <v>0</v>
          </cell>
          <cell r="W804">
            <v>0</v>
          </cell>
        </row>
        <row r="805">
          <cell r="C805" t="str">
            <v>2005OK</v>
          </cell>
          <cell r="D805">
            <v>1184</v>
          </cell>
          <cell r="E805">
            <v>28750</v>
          </cell>
          <cell r="F805">
            <v>128000</v>
          </cell>
          <cell r="G805">
            <v>0</v>
          </cell>
          <cell r="H805">
            <v>11520</v>
          </cell>
          <cell r="I805">
            <v>410</v>
          </cell>
          <cell r="J805">
            <v>1400</v>
          </cell>
          <cell r="K805">
            <v>0</v>
          </cell>
          <cell r="L805">
            <v>0</v>
          </cell>
          <cell r="M805">
            <v>7930</v>
          </cell>
          <cell r="N805">
            <v>107910</v>
          </cell>
          <cell r="O805">
            <v>0</v>
          </cell>
          <cell r="P805">
            <v>0</v>
          </cell>
          <cell r="Q805">
            <v>0</v>
          </cell>
          <cell r="R805">
            <v>0</v>
          </cell>
          <cell r="S805">
            <v>0</v>
          </cell>
          <cell r="T805">
            <v>0</v>
          </cell>
          <cell r="U805">
            <v>0.66889999999999994</v>
          </cell>
          <cell r="V805">
            <v>0</v>
          </cell>
          <cell r="W805">
            <v>0.94020032889819105</v>
          </cell>
        </row>
        <row r="806">
          <cell r="C806" t="str">
            <v>2005OR</v>
          </cell>
          <cell r="D806">
            <v>1760</v>
          </cell>
          <cell r="E806">
            <v>4000</v>
          </cell>
          <cell r="F806">
            <v>53560</v>
          </cell>
          <cell r="G806">
            <v>2025</v>
          </cell>
          <cell r="H806">
            <v>0</v>
          </cell>
          <cell r="I806">
            <v>1404</v>
          </cell>
          <cell r="J806">
            <v>0</v>
          </cell>
          <cell r="K806">
            <v>0</v>
          </cell>
          <cell r="L806">
            <v>0</v>
          </cell>
          <cell r="M806">
            <v>0</v>
          </cell>
          <cell r="N806">
            <v>0</v>
          </cell>
          <cell r="O806">
            <v>176</v>
          </cell>
          <cell r="P806">
            <v>98</v>
          </cell>
          <cell r="Q806">
            <v>60</v>
          </cell>
          <cell r="R806">
            <v>0</v>
          </cell>
          <cell r="S806">
            <v>0</v>
          </cell>
          <cell r="T806">
            <v>0</v>
          </cell>
          <cell r="U806">
            <v>0</v>
          </cell>
          <cell r="V806">
            <v>0</v>
          </cell>
          <cell r="W806">
            <v>0</v>
          </cell>
        </row>
        <row r="807">
          <cell r="C807" t="str">
            <v>2005PA</v>
          </cell>
          <cell r="D807">
            <v>1326</v>
          </cell>
          <cell r="E807">
            <v>117120</v>
          </cell>
          <cell r="F807">
            <v>7830</v>
          </cell>
          <cell r="G807">
            <v>3384</v>
          </cell>
          <cell r="H807">
            <v>200</v>
          </cell>
          <cell r="I807">
            <v>6050</v>
          </cell>
          <cell r="J807">
            <v>0</v>
          </cell>
          <cell r="K807">
            <v>0</v>
          </cell>
          <cell r="L807">
            <v>0</v>
          </cell>
          <cell r="M807">
            <v>17220</v>
          </cell>
          <cell r="N807">
            <v>0</v>
          </cell>
          <cell r="O807">
            <v>0</v>
          </cell>
          <cell r="P807">
            <v>0</v>
          </cell>
          <cell r="Q807">
            <v>0</v>
          </cell>
          <cell r="R807">
            <v>0</v>
          </cell>
          <cell r="S807">
            <v>0</v>
          </cell>
          <cell r="T807">
            <v>0</v>
          </cell>
          <cell r="U807">
            <v>0</v>
          </cell>
          <cell r="V807">
            <v>0</v>
          </cell>
          <cell r="W807">
            <v>0</v>
          </cell>
        </row>
        <row r="808">
          <cell r="C808" t="str">
            <v>2005RI</v>
          </cell>
          <cell r="D808">
            <v>6</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row>
        <row r="809">
          <cell r="C809" t="str">
            <v>2005SC</v>
          </cell>
          <cell r="D809">
            <v>0</v>
          </cell>
          <cell r="E809">
            <v>33060</v>
          </cell>
          <cell r="F809">
            <v>8580</v>
          </cell>
          <cell r="G809">
            <v>0</v>
          </cell>
          <cell r="H809">
            <v>357</v>
          </cell>
          <cell r="I809">
            <v>1180</v>
          </cell>
          <cell r="J809">
            <v>0</v>
          </cell>
          <cell r="K809">
            <v>0</v>
          </cell>
          <cell r="L809">
            <v>0</v>
          </cell>
          <cell r="M809">
            <v>8610</v>
          </cell>
          <cell r="N809">
            <v>168000</v>
          </cell>
          <cell r="O809">
            <v>0</v>
          </cell>
          <cell r="P809">
            <v>0</v>
          </cell>
          <cell r="Q809">
            <v>0</v>
          </cell>
          <cell r="R809">
            <v>0</v>
          </cell>
          <cell r="S809">
            <v>0</v>
          </cell>
          <cell r="T809">
            <v>0</v>
          </cell>
          <cell r="U809">
            <v>0</v>
          </cell>
          <cell r="V809">
            <v>0</v>
          </cell>
          <cell r="W809">
            <v>0</v>
          </cell>
        </row>
        <row r="810">
          <cell r="C810" t="str">
            <v>2005SD</v>
          </cell>
          <cell r="D810">
            <v>5160</v>
          </cell>
          <cell r="E810">
            <v>470050</v>
          </cell>
          <cell r="F810">
            <v>133420</v>
          </cell>
          <cell r="G810">
            <v>2303</v>
          </cell>
          <cell r="H810">
            <v>4420</v>
          </cell>
          <cell r="I810">
            <v>12960</v>
          </cell>
          <cell r="J810">
            <v>0</v>
          </cell>
          <cell r="K810">
            <v>3795</v>
          </cell>
          <cell r="L810">
            <v>0</v>
          </cell>
          <cell r="M810">
            <v>134750</v>
          </cell>
          <cell r="N810">
            <v>0</v>
          </cell>
          <cell r="O810">
            <v>301</v>
          </cell>
          <cell r="P810">
            <v>0</v>
          </cell>
          <cell r="Q810">
            <v>0</v>
          </cell>
          <cell r="R810">
            <v>0</v>
          </cell>
          <cell r="S810">
            <v>0</v>
          </cell>
          <cell r="T810">
            <v>0</v>
          </cell>
          <cell r="U810">
            <v>0</v>
          </cell>
          <cell r="V810">
            <v>0</v>
          </cell>
          <cell r="W810">
            <v>0</v>
          </cell>
        </row>
        <row r="811">
          <cell r="C811" t="str">
            <v>2005TN</v>
          </cell>
          <cell r="D811">
            <v>112</v>
          </cell>
          <cell r="E811">
            <v>77350</v>
          </cell>
          <cell r="F811">
            <v>8400</v>
          </cell>
          <cell r="G811">
            <v>0</v>
          </cell>
          <cell r="H811">
            <v>1840</v>
          </cell>
          <cell r="I811">
            <v>0</v>
          </cell>
          <cell r="J811">
            <v>0</v>
          </cell>
          <cell r="K811">
            <v>0</v>
          </cell>
          <cell r="L811">
            <v>0</v>
          </cell>
          <cell r="M811">
            <v>41800</v>
          </cell>
          <cell r="N811">
            <v>0</v>
          </cell>
          <cell r="O811">
            <v>0</v>
          </cell>
          <cell r="P811">
            <v>0</v>
          </cell>
          <cell r="Q811">
            <v>0</v>
          </cell>
          <cell r="R811">
            <v>0</v>
          </cell>
          <cell r="S811">
            <v>0</v>
          </cell>
          <cell r="T811">
            <v>0</v>
          </cell>
          <cell r="U811">
            <v>0</v>
          </cell>
          <cell r="V811">
            <v>0</v>
          </cell>
          <cell r="W811">
            <v>0</v>
          </cell>
        </row>
        <row r="812">
          <cell r="C812" t="str">
            <v>2005TX</v>
          </cell>
          <cell r="D812">
            <v>810</v>
          </cell>
          <cell r="E812">
            <v>210900</v>
          </cell>
          <cell r="F812">
            <v>96000</v>
          </cell>
          <cell r="G812">
            <v>0</v>
          </cell>
          <cell r="H812">
            <v>111000</v>
          </cell>
          <cell r="I812">
            <v>4730</v>
          </cell>
          <cell r="J812">
            <v>0</v>
          </cell>
          <cell r="K812">
            <v>0</v>
          </cell>
          <cell r="L812">
            <v>13668</v>
          </cell>
          <cell r="M812">
            <v>5980</v>
          </cell>
          <cell r="N812">
            <v>975000</v>
          </cell>
          <cell r="O812">
            <v>233</v>
          </cell>
          <cell r="P812">
            <v>0</v>
          </cell>
          <cell r="Q812">
            <v>0</v>
          </cell>
          <cell r="R812">
            <v>0</v>
          </cell>
          <cell r="S812">
            <v>0</v>
          </cell>
          <cell r="T812">
            <v>1624</v>
          </cell>
          <cell r="U812">
            <v>201</v>
          </cell>
          <cell r="V812">
            <v>54.27</v>
          </cell>
          <cell r="W812">
            <v>0</v>
          </cell>
        </row>
        <row r="813">
          <cell r="C813" t="str">
            <v>2005UT</v>
          </cell>
          <cell r="D813">
            <v>2268</v>
          </cell>
          <cell r="E813">
            <v>1956</v>
          </cell>
          <cell r="F813">
            <v>7099</v>
          </cell>
          <cell r="G813">
            <v>1920</v>
          </cell>
          <cell r="H813">
            <v>0</v>
          </cell>
          <cell r="I813">
            <v>511</v>
          </cell>
          <cell r="J813">
            <v>0</v>
          </cell>
          <cell r="K813">
            <v>0</v>
          </cell>
          <cell r="L813">
            <v>0</v>
          </cell>
          <cell r="M813">
            <v>0</v>
          </cell>
          <cell r="N813">
            <v>0</v>
          </cell>
          <cell r="O813">
            <v>23</v>
          </cell>
          <cell r="P813">
            <v>0</v>
          </cell>
          <cell r="Q813">
            <v>0</v>
          </cell>
          <cell r="R813">
            <v>0</v>
          </cell>
          <cell r="S813">
            <v>0</v>
          </cell>
          <cell r="T813">
            <v>0</v>
          </cell>
          <cell r="U813">
            <v>0</v>
          </cell>
          <cell r="V813">
            <v>0</v>
          </cell>
          <cell r="W813">
            <v>0</v>
          </cell>
        </row>
        <row r="814">
          <cell r="C814" t="str">
            <v>2005VT</v>
          </cell>
          <cell r="D814">
            <v>81</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row>
        <row r="815">
          <cell r="C815" t="str">
            <v>2005VA</v>
          </cell>
          <cell r="D815">
            <v>396</v>
          </cell>
          <cell r="E815">
            <v>42480</v>
          </cell>
          <cell r="F815">
            <v>10080</v>
          </cell>
          <cell r="G815">
            <v>3915</v>
          </cell>
          <cell r="H815">
            <v>0</v>
          </cell>
          <cell r="I815">
            <v>183</v>
          </cell>
          <cell r="J815">
            <v>0</v>
          </cell>
          <cell r="K815">
            <v>0</v>
          </cell>
          <cell r="L815">
            <v>0</v>
          </cell>
          <cell r="M815">
            <v>15300</v>
          </cell>
          <cell r="N815">
            <v>66000</v>
          </cell>
          <cell r="O815">
            <v>0</v>
          </cell>
          <cell r="P815">
            <v>0</v>
          </cell>
          <cell r="Q815">
            <v>0</v>
          </cell>
          <cell r="R815">
            <v>0</v>
          </cell>
          <cell r="S815">
            <v>0</v>
          </cell>
          <cell r="T815">
            <v>0</v>
          </cell>
          <cell r="U815">
            <v>0</v>
          </cell>
          <cell r="V815">
            <v>0</v>
          </cell>
          <cell r="W815">
            <v>0</v>
          </cell>
        </row>
        <row r="816">
          <cell r="C816" t="str">
            <v>2005WA</v>
          </cell>
          <cell r="D816">
            <v>2340</v>
          </cell>
          <cell r="E816">
            <v>16400</v>
          </cell>
          <cell r="F816">
            <v>139300</v>
          </cell>
          <cell r="G816">
            <v>12505</v>
          </cell>
          <cell r="H816">
            <v>0</v>
          </cell>
          <cell r="I816">
            <v>600</v>
          </cell>
          <cell r="J816">
            <v>0</v>
          </cell>
          <cell r="K816">
            <v>0</v>
          </cell>
          <cell r="L816">
            <v>0</v>
          </cell>
          <cell r="M816">
            <v>0</v>
          </cell>
          <cell r="N816">
            <v>0</v>
          </cell>
          <cell r="O816">
            <v>792</v>
          </cell>
          <cell r="P816">
            <v>1326</v>
          </cell>
          <cell r="Q816">
            <v>0</v>
          </cell>
          <cell r="R816">
            <v>756</v>
          </cell>
          <cell r="S816">
            <v>525</v>
          </cell>
          <cell r="T816">
            <v>0</v>
          </cell>
          <cell r="U816">
            <v>0</v>
          </cell>
          <cell r="V816">
            <v>0</v>
          </cell>
          <cell r="W816">
            <v>0</v>
          </cell>
        </row>
        <row r="817">
          <cell r="C817" t="str">
            <v>2005WV</v>
          </cell>
          <cell r="D817">
            <v>98</v>
          </cell>
          <cell r="E817">
            <v>3052</v>
          </cell>
          <cell r="F817">
            <v>300</v>
          </cell>
          <cell r="G817">
            <v>0</v>
          </cell>
          <cell r="H817">
            <v>0</v>
          </cell>
          <cell r="I817">
            <v>0</v>
          </cell>
          <cell r="J817">
            <v>0</v>
          </cell>
          <cell r="K817">
            <v>0</v>
          </cell>
          <cell r="L817">
            <v>0</v>
          </cell>
          <cell r="M817">
            <v>595</v>
          </cell>
          <cell r="N817">
            <v>0</v>
          </cell>
          <cell r="O817">
            <v>0</v>
          </cell>
          <cell r="P817">
            <v>0</v>
          </cell>
          <cell r="Q817">
            <v>0</v>
          </cell>
          <cell r="R817">
            <v>0</v>
          </cell>
          <cell r="S817">
            <v>0</v>
          </cell>
          <cell r="T817">
            <v>0</v>
          </cell>
          <cell r="U817">
            <v>0</v>
          </cell>
          <cell r="V817">
            <v>0</v>
          </cell>
          <cell r="W817">
            <v>0</v>
          </cell>
        </row>
        <row r="818">
          <cell r="C818" t="str">
            <v>2005WI</v>
          </cell>
          <cell r="D818">
            <v>3720</v>
          </cell>
          <cell r="E818">
            <v>429200</v>
          </cell>
          <cell r="F818">
            <v>10262</v>
          </cell>
          <cell r="G818">
            <v>1590</v>
          </cell>
          <cell r="H818">
            <v>0</v>
          </cell>
          <cell r="I818">
            <v>13760</v>
          </cell>
          <cell r="J818">
            <v>0</v>
          </cell>
          <cell r="K818">
            <v>0</v>
          </cell>
          <cell r="L818">
            <v>0</v>
          </cell>
          <cell r="M818">
            <v>69520</v>
          </cell>
          <cell r="N818">
            <v>0</v>
          </cell>
          <cell r="O818">
            <v>128</v>
          </cell>
          <cell r="P818">
            <v>0</v>
          </cell>
          <cell r="Q818">
            <v>0</v>
          </cell>
          <cell r="R818">
            <v>0</v>
          </cell>
          <cell r="S818">
            <v>0</v>
          </cell>
          <cell r="T818">
            <v>0</v>
          </cell>
          <cell r="U818">
            <v>0</v>
          </cell>
          <cell r="V818">
            <v>0</v>
          </cell>
          <cell r="W818">
            <v>0</v>
          </cell>
        </row>
        <row r="819">
          <cell r="C819" t="str">
            <v>2005WY</v>
          </cell>
          <cell r="D819">
            <v>1560</v>
          </cell>
          <cell r="E819">
            <v>6860</v>
          </cell>
          <cell r="F819">
            <v>4665</v>
          </cell>
          <cell r="G819">
            <v>5580</v>
          </cell>
          <cell r="H819">
            <v>0</v>
          </cell>
          <cell r="I819">
            <v>600</v>
          </cell>
          <cell r="J819">
            <v>0</v>
          </cell>
          <cell r="K819">
            <v>0</v>
          </cell>
          <cell r="L819">
            <v>0</v>
          </cell>
          <cell r="M819">
            <v>0</v>
          </cell>
          <cell r="N819">
            <v>0</v>
          </cell>
          <cell r="O819">
            <v>776</v>
          </cell>
          <cell r="P819">
            <v>0</v>
          </cell>
          <cell r="Q819">
            <v>0</v>
          </cell>
          <cell r="R819">
            <v>0</v>
          </cell>
          <cell r="S819">
            <v>0</v>
          </cell>
          <cell r="T819">
            <v>0</v>
          </cell>
          <cell r="U819">
            <v>0</v>
          </cell>
          <cell r="V819">
            <v>0</v>
          </cell>
          <cell r="W819">
            <v>0</v>
          </cell>
        </row>
        <row r="820">
          <cell r="C820" t="str">
            <v>2005US</v>
          </cell>
          <cell r="D820">
            <v>76149</v>
          </cell>
          <cell r="E820">
            <v>11114082</v>
          </cell>
          <cell r="F820">
            <v>2104690</v>
          </cell>
          <cell r="G820">
            <v>211896</v>
          </cell>
          <cell r="H820">
            <v>392933</v>
          </cell>
          <cell r="I820">
            <v>114878</v>
          </cell>
          <cell r="J820">
            <v>7537</v>
          </cell>
          <cell r="K820">
            <v>13670</v>
          </cell>
          <cell r="L820">
            <v>223235</v>
          </cell>
          <cell r="M820">
            <v>3063237</v>
          </cell>
          <cell r="N820">
            <v>4869860</v>
          </cell>
          <cell r="O820">
            <v>26772</v>
          </cell>
          <cell r="P820">
            <v>14003</v>
          </cell>
          <cell r="Q820">
            <v>307</v>
          </cell>
          <cell r="R820">
            <v>5163</v>
          </cell>
          <cell r="S820">
            <v>665</v>
          </cell>
          <cell r="T820">
            <v>26606</v>
          </cell>
          <cell r="U820">
            <v>3375.9489000000003</v>
          </cell>
          <cell r="V820">
            <v>124.155</v>
          </cell>
          <cell r="W820">
            <v>0</v>
          </cell>
        </row>
        <row r="821">
          <cell r="C821" t="str">
            <v>2006AL</v>
          </cell>
          <cell r="D821">
            <v>0</v>
          </cell>
          <cell r="E821">
            <v>11880</v>
          </cell>
          <cell r="F821">
            <v>2610</v>
          </cell>
          <cell r="G821">
            <v>0</v>
          </cell>
          <cell r="H821">
            <v>215</v>
          </cell>
          <cell r="I821">
            <v>400</v>
          </cell>
          <cell r="J821">
            <v>0</v>
          </cell>
          <cell r="K821">
            <v>0</v>
          </cell>
          <cell r="L821">
            <v>0</v>
          </cell>
          <cell r="M821">
            <v>3000</v>
          </cell>
          <cell r="N821">
            <v>407500</v>
          </cell>
          <cell r="O821">
            <v>0</v>
          </cell>
          <cell r="P821">
            <v>0</v>
          </cell>
          <cell r="Q821">
            <v>0</v>
          </cell>
          <cell r="R821">
            <v>0</v>
          </cell>
          <cell r="S821">
            <v>0</v>
          </cell>
          <cell r="T821">
            <v>0</v>
          </cell>
          <cell r="U821">
            <v>0</v>
          </cell>
          <cell r="V821">
            <v>0</v>
          </cell>
          <cell r="W821">
            <v>0</v>
          </cell>
        </row>
        <row r="822">
          <cell r="C822" t="str">
            <v>2006AK</v>
          </cell>
          <cell r="D822">
            <v>0</v>
          </cell>
          <cell r="E822">
            <v>0</v>
          </cell>
          <cell r="F822">
            <v>0</v>
          </cell>
          <cell r="G822">
            <v>157000</v>
          </cell>
          <cell r="H822">
            <v>0</v>
          </cell>
          <cell r="I822">
            <v>28000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row>
        <row r="823">
          <cell r="C823" t="str">
            <v>2006AZ</v>
          </cell>
          <cell r="D823">
            <v>2075</v>
          </cell>
          <cell r="E823">
            <v>3060</v>
          </cell>
          <cell r="F823">
            <v>7580</v>
          </cell>
          <cell r="G823">
            <v>2530</v>
          </cell>
          <cell r="H823">
            <v>665</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row>
        <row r="824">
          <cell r="C824" t="str">
            <v>2006AR</v>
          </cell>
          <cell r="D824">
            <v>54</v>
          </cell>
          <cell r="E824">
            <v>26280</v>
          </cell>
          <cell r="F824">
            <v>18605</v>
          </cell>
          <cell r="G824">
            <v>0</v>
          </cell>
          <cell r="H824">
            <v>5100</v>
          </cell>
          <cell r="I824">
            <v>0</v>
          </cell>
          <cell r="J824">
            <v>0</v>
          </cell>
          <cell r="K824">
            <v>0</v>
          </cell>
          <cell r="L824">
            <v>95917</v>
          </cell>
          <cell r="M824">
            <v>107450</v>
          </cell>
          <cell r="N824">
            <v>0</v>
          </cell>
          <cell r="O824">
            <v>0</v>
          </cell>
          <cell r="P824">
            <v>0</v>
          </cell>
          <cell r="Q824">
            <v>0</v>
          </cell>
          <cell r="R824">
            <v>0</v>
          </cell>
          <cell r="S824">
            <v>0</v>
          </cell>
          <cell r="T824">
            <v>0</v>
          </cell>
          <cell r="U824">
            <v>1400</v>
          </cell>
          <cell r="V824">
            <v>1.4E-2</v>
          </cell>
          <cell r="W824">
            <v>0.26800000000000002</v>
          </cell>
        </row>
        <row r="825">
          <cell r="C825" t="str">
            <v>2006CA</v>
          </cell>
          <cell r="D825">
            <v>7480</v>
          </cell>
          <cell r="E825">
            <v>18150</v>
          </cell>
          <cell r="F825">
            <v>20935</v>
          </cell>
          <cell r="G825">
            <v>3575</v>
          </cell>
          <cell r="H825">
            <v>1050</v>
          </cell>
          <cell r="I825">
            <v>1720</v>
          </cell>
          <cell r="J825">
            <v>0</v>
          </cell>
          <cell r="K825">
            <v>0</v>
          </cell>
          <cell r="L825">
            <v>40040</v>
          </cell>
          <cell r="M825">
            <v>0</v>
          </cell>
          <cell r="N825">
            <v>0</v>
          </cell>
          <cell r="O825">
            <v>1209</v>
          </cell>
          <cell r="P825">
            <v>0</v>
          </cell>
          <cell r="Q825">
            <v>0</v>
          </cell>
          <cell r="R825">
            <v>0</v>
          </cell>
          <cell r="S825">
            <v>0</v>
          </cell>
          <cell r="T825">
            <v>0</v>
          </cell>
          <cell r="U825">
            <v>523</v>
          </cell>
          <cell r="V825">
            <v>0</v>
          </cell>
          <cell r="W825">
            <v>9.6524039271243034E-2</v>
          </cell>
        </row>
        <row r="826">
          <cell r="C826" t="str">
            <v>2006CO</v>
          </cell>
          <cell r="D826">
            <v>2964</v>
          </cell>
          <cell r="E826">
            <v>134160</v>
          </cell>
          <cell r="F826">
            <v>41515</v>
          </cell>
          <cell r="G826">
            <v>4830</v>
          </cell>
          <cell r="H826">
            <v>3380</v>
          </cell>
          <cell r="I826">
            <v>700</v>
          </cell>
          <cell r="J826">
            <v>0</v>
          </cell>
          <cell r="K826">
            <v>5355</v>
          </cell>
          <cell r="L826">
            <v>0</v>
          </cell>
          <cell r="M826">
            <v>0</v>
          </cell>
          <cell r="N826">
            <v>0</v>
          </cell>
          <cell r="O826">
            <v>1140</v>
          </cell>
          <cell r="P826">
            <v>0</v>
          </cell>
          <cell r="Q826">
            <v>0</v>
          </cell>
          <cell r="R826">
            <v>0</v>
          </cell>
          <cell r="S826">
            <v>0</v>
          </cell>
          <cell r="T826">
            <v>0</v>
          </cell>
          <cell r="U826">
            <v>0</v>
          </cell>
          <cell r="V826">
            <v>0</v>
          </cell>
          <cell r="W826">
            <v>0</v>
          </cell>
        </row>
        <row r="827">
          <cell r="C827" t="str">
            <v>2006CT</v>
          </cell>
          <cell r="D827">
            <v>15</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row>
        <row r="828">
          <cell r="C828" t="str">
            <v>2006DE</v>
          </cell>
          <cell r="D828">
            <v>20</v>
          </cell>
          <cell r="E828">
            <v>23345</v>
          </cell>
          <cell r="F828">
            <v>3015</v>
          </cell>
          <cell r="G828">
            <v>1920</v>
          </cell>
          <cell r="H828">
            <v>0</v>
          </cell>
          <cell r="I828">
            <v>0</v>
          </cell>
          <cell r="J828">
            <v>0</v>
          </cell>
          <cell r="K828">
            <v>0</v>
          </cell>
          <cell r="L828">
            <v>0</v>
          </cell>
          <cell r="M828">
            <v>5487</v>
          </cell>
          <cell r="N828">
            <v>0</v>
          </cell>
          <cell r="O828">
            <v>0</v>
          </cell>
          <cell r="P828">
            <v>0</v>
          </cell>
          <cell r="Q828">
            <v>0</v>
          </cell>
          <cell r="R828">
            <v>0</v>
          </cell>
          <cell r="S828">
            <v>0</v>
          </cell>
          <cell r="T828">
            <v>0</v>
          </cell>
          <cell r="U828">
            <v>0</v>
          </cell>
          <cell r="V828">
            <v>0</v>
          </cell>
          <cell r="W828">
            <v>0</v>
          </cell>
        </row>
        <row r="829">
          <cell r="C829" t="str">
            <v>2006FL</v>
          </cell>
          <cell r="D829">
            <v>0</v>
          </cell>
          <cell r="E829">
            <v>2460</v>
          </cell>
          <cell r="F829">
            <v>210</v>
          </cell>
          <cell r="G829">
            <v>0</v>
          </cell>
          <cell r="H829">
            <v>0</v>
          </cell>
          <cell r="I829">
            <v>0</v>
          </cell>
          <cell r="J829">
            <v>0</v>
          </cell>
          <cell r="K829">
            <v>0</v>
          </cell>
          <cell r="L829">
            <v>555.06039999999996</v>
          </cell>
          <cell r="M829">
            <v>135</v>
          </cell>
          <cell r="N829">
            <v>300000</v>
          </cell>
          <cell r="O829">
            <v>0</v>
          </cell>
          <cell r="P829">
            <v>0</v>
          </cell>
          <cell r="Q829">
            <v>0</v>
          </cell>
          <cell r="R829">
            <v>0</v>
          </cell>
          <cell r="S829">
            <v>0</v>
          </cell>
          <cell r="T829">
            <v>14346</v>
          </cell>
          <cell r="U829">
            <v>11.305999999999999</v>
          </cell>
          <cell r="V829">
            <v>3.1998000000000002</v>
          </cell>
          <cell r="W829">
            <v>0</v>
          </cell>
        </row>
        <row r="830">
          <cell r="C830" t="str">
            <v>2006GA</v>
          </cell>
          <cell r="D830">
            <v>0</v>
          </cell>
          <cell r="E830">
            <v>25200</v>
          </cell>
          <cell r="F830">
            <v>5880</v>
          </cell>
          <cell r="G830">
            <v>0</v>
          </cell>
          <cell r="H830">
            <v>1170</v>
          </cell>
          <cell r="I830">
            <v>1590</v>
          </cell>
          <cell r="J830">
            <v>650</v>
          </cell>
          <cell r="K830">
            <v>0</v>
          </cell>
          <cell r="L830">
            <v>0</v>
          </cell>
          <cell r="M830">
            <v>3500</v>
          </cell>
          <cell r="N830">
            <v>1598500</v>
          </cell>
          <cell r="O830">
            <v>0</v>
          </cell>
          <cell r="P830">
            <v>0</v>
          </cell>
          <cell r="Q830">
            <v>0</v>
          </cell>
          <cell r="R830">
            <v>0</v>
          </cell>
          <cell r="S830">
            <v>0</v>
          </cell>
          <cell r="T830">
            <v>0</v>
          </cell>
          <cell r="U830">
            <v>0</v>
          </cell>
          <cell r="V830">
            <v>0</v>
          </cell>
          <cell r="W830">
            <v>0</v>
          </cell>
        </row>
        <row r="831">
          <cell r="C831" t="str">
            <v>2006HI</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1665</v>
          </cell>
          <cell r="U831">
            <v>0</v>
          </cell>
          <cell r="V831">
            <v>0</v>
          </cell>
          <cell r="W831">
            <v>0</v>
          </cell>
        </row>
        <row r="832">
          <cell r="C832" t="str">
            <v>2006ID</v>
          </cell>
          <cell r="D832">
            <v>4859</v>
          </cell>
          <cell r="E832">
            <v>11050</v>
          </cell>
          <cell r="F832">
            <v>90315</v>
          </cell>
          <cell r="G832">
            <v>42840</v>
          </cell>
          <cell r="H832">
            <v>0</v>
          </cell>
          <cell r="I832">
            <v>1440</v>
          </cell>
          <cell r="J832">
            <v>0</v>
          </cell>
          <cell r="K832">
            <v>0</v>
          </cell>
          <cell r="L832">
            <v>0</v>
          </cell>
          <cell r="M832">
            <v>0</v>
          </cell>
          <cell r="N832">
            <v>0</v>
          </cell>
          <cell r="O832">
            <v>1906</v>
          </cell>
          <cell r="P832">
            <v>464</v>
          </cell>
          <cell r="Q832">
            <v>104</v>
          </cell>
          <cell r="R832">
            <v>466</v>
          </cell>
          <cell r="S832">
            <v>80</v>
          </cell>
          <cell r="T832">
            <v>0</v>
          </cell>
          <cell r="U832">
            <v>0</v>
          </cell>
          <cell r="V832">
            <v>0</v>
          </cell>
          <cell r="W832">
            <v>0</v>
          </cell>
        </row>
        <row r="833">
          <cell r="C833" t="str">
            <v>2006IL</v>
          </cell>
          <cell r="D833">
            <v>1681</v>
          </cell>
          <cell r="E833">
            <v>1817450</v>
          </cell>
          <cell r="F833">
            <v>60970</v>
          </cell>
          <cell r="G833">
            <v>0</v>
          </cell>
          <cell r="H833">
            <v>6408</v>
          </cell>
          <cell r="I833">
            <v>3080</v>
          </cell>
          <cell r="J833">
            <v>0</v>
          </cell>
          <cell r="K833">
            <v>0</v>
          </cell>
          <cell r="L833">
            <v>0</v>
          </cell>
          <cell r="M833">
            <v>482400</v>
          </cell>
          <cell r="N833">
            <v>0</v>
          </cell>
          <cell r="O833">
            <v>0</v>
          </cell>
          <cell r="P833">
            <v>0</v>
          </cell>
          <cell r="Q833">
            <v>0</v>
          </cell>
          <cell r="R833">
            <v>0</v>
          </cell>
          <cell r="S833">
            <v>0</v>
          </cell>
          <cell r="T833">
            <v>0</v>
          </cell>
          <cell r="U833">
            <v>0</v>
          </cell>
          <cell r="V833">
            <v>0</v>
          </cell>
          <cell r="W833">
            <v>0</v>
          </cell>
        </row>
        <row r="834">
          <cell r="C834" t="str">
            <v>2006IN</v>
          </cell>
          <cell r="D834">
            <v>1394</v>
          </cell>
          <cell r="E834">
            <v>844660</v>
          </cell>
          <cell r="F834">
            <v>31740</v>
          </cell>
          <cell r="G834">
            <v>0</v>
          </cell>
          <cell r="H834">
            <v>0</v>
          </cell>
          <cell r="I834">
            <v>1120</v>
          </cell>
          <cell r="J834">
            <v>0</v>
          </cell>
          <cell r="K834">
            <v>0</v>
          </cell>
          <cell r="L834">
            <v>0</v>
          </cell>
          <cell r="M834">
            <v>284000</v>
          </cell>
          <cell r="N834">
            <v>0</v>
          </cell>
          <cell r="O834">
            <v>0</v>
          </cell>
          <cell r="P834">
            <v>0</v>
          </cell>
          <cell r="Q834">
            <v>0</v>
          </cell>
          <cell r="R834">
            <v>0</v>
          </cell>
          <cell r="S834">
            <v>0</v>
          </cell>
          <cell r="T834">
            <v>0</v>
          </cell>
          <cell r="U834">
            <v>0</v>
          </cell>
          <cell r="V834">
            <v>0</v>
          </cell>
          <cell r="W834">
            <v>0</v>
          </cell>
        </row>
        <row r="835">
          <cell r="C835" t="str">
            <v>2006IA</v>
          </cell>
          <cell r="D835">
            <v>4485</v>
          </cell>
          <cell r="E835">
            <v>2050100</v>
          </cell>
          <cell r="F835">
            <v>1188</v>
          </cell>
          <cell r="G835">
            <v>0</v>
          </cell>
          <cell r="H835">
            <v>0</v>
          </cell>
          <cell r="I835">
            <v>8360</v>
          </cell>
          <cell r="J835">
            <v>0</v>
          </cell>
          <cell r="K835">
            <v>0</v>
          </cell>
          <cell r="L835">
            <v>0</v>
          </cell>
          <cell r="M835">
            <v>510050</v>
          </cell>
          <cell r="N835">
            <v>0</v>
          </cell>
          <cell r="O835">
            <v>0</v>
          </cell>
          <cell r="P835">
            <v>0</v>
          </cell>
          <cell r="Q835">
            <v>0</v>
          </cell>
          <cell r="R835">
            <v>0</v>
          </cell>
          <cell r="S835">
            <v>0</v>
          </cell>
          <cell r="T835">
            <v>0</v>
          </cell>
          <cell r="U835">
            <v>0</v>
          </cell>
          <cell r="V835">
            <v>0</v>
          </cell>
          <cell r="W835">
            <v>0</v>
          </cell>
        </row>
        <row r="836">
          <cell r="C836" t="str">
            <v>2006KS</v>
          </cell>
          <cell r="D836">
            <v>3610</v>
          </cell>
          <cell r="E836">
            <v>345000</v>
          </cell>
          <cell r="F836">
            <v>291200</v>
          </cell>
          <cell r="G836">
            <v>486</v>
          </cell>
          <cell r="H836">
            <v>145000</v>
          </cell>
          <cell r="I836">
            <v>1800</v>
          </cell>
          <cell r="J836">
            <v>0</v>
          </cell>
          <cell r="K836">
            <v>0</v>
          </cell>
          <cell r="L836">
            <v>0</v>
          </cell>
          <cell r="M836">
            <v>98560</v>
          </cell>
          <cell r="N836">
            <v>0</v>
          </cell>
          <cell r="O836">
            <v>210</v>
          </cell>
          <cell r="P836">
            <v>0</v>
          </cell>
          <cell r="Q836">
            <v>0</v>
          </cell>
          <cell r="R836">
            <v>0</v>
          </cell>
          <cell r="S836">
            <v>0</v>
          </cell>
          <cell r="T836">
            <v>0</v>
          </cell>
          <cell r="U836">
            <v>0</v>
          </cell>
          <cell r="V836">
            <v>0</v>
          </cell>
          <cell r="W836">
            <v>0</v>
          </cell>
        </row>
        <row r="837">
          <cell r="C837" t="str">
            <v>2006KY</v>
          </cell>
          <cell r="D837">
            <v>1036</v>
          </cell>
          <cell r="E837">
            <v>151840</v>
          </cell>
          <cell r="F837">
            <v>22720</v>
          </cell>
          <cell r="G837">
            <v>1232</v>
          </cell>
          <cell r="H837">
            <v>1360</v>
          </cell>
          <cell r="I837">
            <v>0</v>
          </cell>
          <cell r="J837">
            <v>0</v>
          </cell>
          <cell r="K837">
            <v>0</v>
          </cell>
          <cell r="L837">
            <v>0</v>
          </cell>
          <cell r="M837">
            <v>60280</v>
          </cell>
          <cell r="N837">
            <v>0</v>
          </cell>
          <cell r="O837">
            <v>0</v>
          </cell>
          <cell r="P837">
            <v>0</v>
          </cell>
          <cell r="Q837">
            <v>0</v>
          </cell>
          <cell r="R837">
            <v>0</v>
          </cell>
          <cell r="S837">
            <v>0</v>
          </cell>
          <cell r="T837">
            <v>0</v>
          </cell>
          <cell r="U837">
            <v>0</v>
          </cell>
          <cell r="V837">
            <v>0</v>
          </cell>
          <cell r="W837">
            <v>0</v>
          </cell>
        </row>
        <row r="838">
          <cell r="C838" t="str">
            <v>2006LA</v>
          </cell>
          <cell r="D838">
            <v>0</v>
          </cell>
          <cell r="E838">
            <v>40600</v>
          </cell>
          <cell r="F838">
            <v>5565</v>
          </cell>
          <cell r="G838">
            <v>0</v>
          </cell>
          <cell r="H838">
            <v>8352</v>
          </cell>
          <cell r="I838">
            <v>0</v>
          </cell>
          <cell r="J838">
            <v>0</v>
          </cell>
          <cell r="K838">
            <v>0</v>
          </cell>
          <cell r="L838">
            <v>20093</v>
          </cell>
          <cell r="M838">
            <v>29400</v>
          </cell>
          <cell r="N838">
            <v>0</v>
          </cell>
          <cell r="O838">
            <v>0</v>
          </cell>
          <cell r="P838">
            <v>0</v>
          </cell>
          <cell r="Q838">
            <v>0</v>
          </cell>
          <cell r="R838">
            <v>0</v>
          </cell>
          <cell r="S838">
            <v>0</v>
          </cell>
          <cell r="T838">
            <v>11876</v>
          </cell>
          <cell r="U838">
            <v>345</v>
          </cell>
          <cell r="V838">
            <v>69</v>
          </cell>
          <cell r="W838">
            <v>0.05</v>
          </cell>
        </row>
        <row r="839">
          <cell r="C839" t="str">
            <v>2006ME</v>
          </cell>
          <cell r="D839">
            <v>19</v>
          </cell>
          <cell r="E839">
            <v>0</v>
          </cell>
          <cell r="F839">
            <v>0</v>
          </cell>
          <cell r="G839">
            <v>850</v>
          </cell>
          <cell r="H839">
            <v>0</v>
          </cell>
          <cell r="I839">
            <v>1650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row>
        <row r="840">
          <cell r="C840" t="str">
            <v>2006MD</v>
          </cell>
          <cell r="D840">
            <v>156</v>
          </cell>
          <cell r="E840">
            <v>60350</v>
          </cell>
          <cell r="F840">
            <v>8500</v>
          </cell>
          <cell r="G840">
            <v>2784</v>
          </cell>
          <cell r="H840">
            <v>0</v>
          </cell>
          <cell r="I840">
            <v>0</v>
          </cell>
          <cell r="J840">
            <v>0</v>
          </cell>
          <cell r="K840">
            <v>0</v>
          </cell>
          <cell r="L840">
            <v>0</v>
          </cell>
          <cell r="M840">
            <v>15810</v>
          </cell>
          <cell r="N840">
            <v>0</v>
          </cell>
          <cell r="O840">
            <v>0</v>
          </cell>
          <cell r="P840">
            <v>0</v>
          </cell>
          <cell r="Q840">
            <v>0</v>
          </cell>
          <cell r="R840">
            <v>0</v>
          </cell>
          <cell r="S840">
            <v>0</v>
          </cell>
          <cell r="T840">
            <v>0</v>
          </cell>
          <cell r="U840">
            <v>0</v>
          </cell>
          <cell r="V840">
            <v>0</v>
          </cell>
          <cell r="W840">
            <v>0</v>
          </cell>
        </row>
        <row r="841">
          <cell r="C841" t="str">
            <v>2006MA</v>
          </cell>
          <cell r="D841">
            <v>18</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row>
        <row r="842">
          <cell r="C842" t="str">
            <v>2006MI</v>
          </cell>
          <cell r="D842">
            <v>2592</v>
          </cell>
          <cell r="E842">
            <v>288120</v>
          </cell>
          <cell r="F842">
            <v>47450</v>
          </cell>
          <cell r="G842">
            <v>686</v>
          </cell>
          <cell r="H842">
            <v>0</v>
          </cell>
          <cell r="I842">
            <v>4030</v>
          </cell>
          <cell r="J842">
            <v>0</v>
          </cell>
          <cell r="K842">
            <v>0</v>
          </cell>
          <cell r="L842">
            <v>0</v>
          </cell>
          <cell r="M842">
            <v>89550</v>
          </cell>
          <cell r="N842">
            <v>0</v>
          </cell>
          <cell r="O842">
            <v>4085</v>
          </cell>
          <cell r="P842">
            <v>0</v>
          </cell>
          <cell r="Q842">
            <v>0</v>
          </cell>
          <cell r="R842">
            <v>0</v>
          </cell>
          <cell r="S842">
            <v>0</v>
          </cell>
          <cell r="T842">
            <v>0</v>
          </cell>
          <cell r="U842">
            <v>0</v>
          </cell>
          <cell r="V842">
            <v>0</v>
          </cell>
          <cell r="W842">
            <v>0</v>
          </cell>
        </row>
        <row r="843">
          <cell r="C843" t="str">
            <v>2006MN</v>
          </cell>
          <cell r="D843">
            <v>4455</v>
          </cell>
          <cell r="E843">
            <v>1102850</v>
          </cell>
          <cell r="F843">
            <v>80340</v>
          </cell>
          <cell r="G843">
            <v>5400</v>
          </cell>
          <cell r="H843">
            <v>0</v>
          </cell>
          <cell r="I843">
            <v>11200</v>
          </cell>
          <cell r="J843">
            <v>0</v>
          </cell>
          <cell r="K843">
            <v>0</v>
          </cell>
          <cell r="L843">
            <v>0</v>
          </cell>
          <cell r="M843">
            <v>319000</v>
          </cell>
          <cell r="N843">
            <v>0</v>
          </cell>
          <cell r="O843">
            <v>2228</v>
          </cell>
          <cell r="P843">
            <v>0</v>
          </cell>
          <cell r="Q843">
            <v>0</v>
          </cell>
          <cell r="R843">
            <v>0</v>
          </cell>
          <cell r="S843">
            <v>0</v>
          </cell>
          <cell r="T843">
            <v>0</v>
          </cell>
          <cell r="U843">
            <v>0</v>
          </cell>
          <cell r="V843">
            <v>0</v>
          </cell>
          <cell r="W843">
            <v>0</v>
          </cell>
        </row>
        <row r="844">
          <cell r="C844" t="str">
            <v>2006MS</v>
          </cell>
          <cell r="D844">
            <v>0</v>
          </cell>
          <cell r="E844">
            <v>35750</v>
          </cell>
          <cell r="F844">
            <v>4307</v>
          </cell>
          <cell r="G844">
            <v>0</v>
          </cell>
          <cell r="H844">
            <v>1040</v>
          </cell>
          <cell r="I844">
            <v>0</v>
          </cell>
          <cell r="J844">
            <v>0</v>
          </cell>
          <cell r="K844">
            <v>0</v>
          </cell>
          <cell r="L844">
            <v>13230</v>
          </cell>
          <cell r="M844">
            <v>42900</v>
          </cell>
          <cell r="N844">
            <v>46400</v>
          </cell>
          <cell r="O844">
            <v>0</v>
          </cell>
          <cell r="P844">
            <v>0</v>
          </cell>
          <cell r="Q844">
            <v>0</v>
          </cell>
          <cell r="R844">
            <v>0</v>
          </cell>
          <cell r="S844">
            <v>0</v>
          </cell>
          <cell r="T844">
            <v>0</v>
          </cell>
          <cell r="U844">
            <v>189</v>
          </cell>
          <cell r="V844">
            <v>0</v>
          </cell>
          <cell r="W844">
            <v>0.25</v>
          </cell>
        </row>
        <row r="845">
          <cell r="C845" t="str">
            <v>2006MO</v>
          </cell>
          <cell r="D845">
            <v>1131</v>
          </cell>
          <cell r="E845">
            <v>362940</v>
          </cell>
          <cell r="F845">
            <v>49140</v>
          </cell>
          <cell r="G845">
            <v>0</v>
          </cell>
          <cell r="H845">
            <v>8075</v>
          </cell>
          <cell r="I845">
            <v>1820</v>
          </cell>
          <cell r="J845">
            <v>0</v>
          </cell>
          <cell r="K845">
            <v>0</v>
          </cell>
          <cell r="L845">
            <v>13696</v>
          </cell>
          <cell r="M845">
            <v>194180</v>
          </cell>
          <cell r="N845">
            <v>0</v>
          </cell>
          <cell r="O845">
            <v>0</v>
          </cell>
          <cell r="P845">
            <v>0</v>
          </cell>
          <cell r="Q845">
            <v>0</v>
          </cell>
          <cell r="R845">
            <v>0</v>
          </cell>
          <cell r="S845">
            <v>0</v>
          </cell>
          <cell r="T845">
            <v>0</v>
          </cell>
          <cell r="U845">
            <v>214</v>
          </cell>
          <cell r="V845">
            <v>0</v>
          </cell>
          <cell r="W845">
            <v>0.03</v>
          </cell>
        </row>
        <row r="846">
          <cell r="C846" t="str">
            <v>2006MT</v>
          </cell>
          <cell r="D846">
            <v>3255</v>
          </cell>
          <cell r="E846">
            <v>2628</v>
          </cell>
          <cell r="F846">
            <v>153075</v>
          </cell>
          <cell r="G846">
            <v>31000</v>
          </cell>
          <cell r="H846">
            <v>0</v>
          </cell>
          <cell r="I846">
            <v>1104</v>
          </cell>
          <cell r="J846">
            <v>0</v>
          </cell>
          <cell r="K846">
            <v>0</v>
          </cell>
          <cell r="L846">
            <v>0</v>
          </cell>
          <cell r="M846">
            <v>0</v>
          </cell>
          <cell r="N846">
            <v>0</v>
          </cell>
          <cell r="O846">
            <v>305</v>
          </cell>
          <cell r="P846">
            <v>2063</v>
          </cell>
          <cell r="Q846">
            <v>110</v>
          </cell>
          <cell r="R846">
            <v>804</v>
          </cell>
          <cell r="S846">
            <v>0</v>
          </cell>
          <cell r="T846">
            <v>0</v>
          </cell>
          <cell r="U846">
            <v>0</v>
          </cell>
          <cell r="V846">
            <v>0</v>
          </cell>
          <cell r="W846">
            <v>0</v>
          </cell>
        </row>
        <row r="847">
          <cell r="C847" t="str">
            <v>2006NE</v>
          </cell>
          <cell r="D847">
            <v>3960</v>
          </cell>
          <cell r="E847">
            <v>1178000</v>
          </cell>
          <cell r="F847">
            <v>61200</v>
          </cell>
          <cell r="G847">
            <v>0</v>
          </cell>
          <cell r="H847">
            <v>19200</v>
          </cell>
          <cell r="I847">
            <v>2025</v>
          </cell>
          <cell r="J847">
            <v>0</v>
          </cell>
          <cell r="K847">
            <v>2420</v>
          </cell>
          <cell r="L847">
            <v>0</v>
          </cell>
          <cell r="M847">
            <v>250500</v>
          </cell>
          <cell r="N847">
            <v>0</v>
          </cell>
          <cell r="O847">
            <v>2728</v>
          </cell>
          <cell r="P847">
            <v>0</v>
          </cell>
          <cell r="Q847">
            <v>0</v>
          </cell>
          <cell r="R847">
            <v>0</v>
          </cell>
          <cell r="S847">
            <v>0</v>
          </cell>
          <cell r="T847">
            <v>0</v>
          </cell>
          <cell r="U847">
            <v>0</v>
          </cell>
          <cell r="V847">
            <v>0</v>
          </cell>
          <cell r="W847">
            <v>0</v>
          </cell>
        </row>
        <row r="848">
          <cell r="C848" t="str">
            <v>2006NV</v>
          </cell>
          <cell r="D848">
            <v>1269</v>
          </cell>
          <cell r="E848">
            <v>0</v>
          </cell>
          <cell r="F848">
            <v>1056</v>
          </cell>
          <cell r="G848">
            <v>200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row>
        <row r="849">
          <cell r="C849" t="str">
            <v>2006NH</v>
          </cell>
          <cell r="D849">
            <v>17</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row>
        <row r="850">
          <cell r="C850" t="str">
            <v>2006NJ</v>
          </cell>
          <cell r="D850">
            <v>63</v>
          </cell>
          <cell r="E850">
            <v>8256</v>
          </cell>
          <cell r="F850">
            <v>1320</v>
          </cell>
          <cell r="G850">
            <v>114</v>
          </cell>
          <cell r="H850">
            <v>0</v>
          </cell>
          <cell r="I850">
            <v>0</v>
          </cell>
          <cell r="J850">
            <v>0</v>
          </cell>
          <cell r="K850">
            <v>0</v>
          </cell>
          <cell r="L850">
            <v>0</v>
          </cell>
          <cell r="M850">
            <v>3010</v>
          </cell>
          <cell r="N850">
            <v>0</v>
          </cell>
          <cell r="O850">
            <v>0</v>
          </cell>
          <cell r="P850">
            <v>0</v>
          </cell>
          <cell r="Q850">
            <v>0</v>
          </cell>
          <cell r="R850">
            <v>0</v>
          </cell>
          <cell r="S850">
            <v>0</v>
          </cell>
          <cell r="T850">
            <v>0</v>
          </cell>
          <cell r="U850">
            <v>0</v>
          </cell>
          <cell r="V850">
            <v>0</v>
          </cell>
          <cell r="W850">
            <v>0</v>
          </cell>
        </row>
        <row r="851">
          <cell r="C851" t="str">
            <v>2006NM</v>
          </cell>
          <cell r="D851">
            <v>1122</v>
          </cell>
          <cell r="E851">
            <v>8325</v>
          </cell>
          <cell r="F851">
            <v>3840</v>
          </cell>
          <cell r="G851">
            <v>0</v>
          </cell>
          <cell r="H851">
            <v>2100</v>
          </cell>
          <cell r="I851">
            <v>0</v>
          </cell>
          <cell r="J851">
            <v>0</v>
          </cell>
          <cell r="K851">
            <v>0</v>
          </cell>
          <cell r="L851">
            <v>0</v>
          </cell>
          <cell r="M851">
            <v>0</v>
          </cell>
          <cell r="N851">
            <v>43200</v>
          </cell>
          <cell r="O851">
            <v>197</v>
          </cell>
          <cell r="P851">
            <v>0</v>
          </cell>
          <cell r="Q851">
            <v>0</v>
          </cell>
          <cell r="R851">
            <v>0</v>
          </cell>
          <cell r="S851">
            <v>0</v>
          </cell>
          <cell r="T851">
            <v>0</v>
          </cell>
          <cell r="U851">
            <v>0</v>
          </cell>
          <cell r="V851">
            <v>0</v>
          </cell>
          <cell r="W851">
            <v>0</v>
          </cell>
        </row>
        <row r="852">
          <cell r="C852" t="str">
            <v>2006NY</v>
          </cell>
          <cell r="D852">
            <v>777</v>
          </cell>
          <cell r="E852">
            <v>61920</v>
          </cell>
          <cell r="F852">
            <v>5795</v>
          </cell>
          <cell r="G852">
            <v>660</v>
          </cell>
          <cell r="H852">
            <v>0</v>
          </cell>
          <cell r="I852">
            <v>4958</v>
          </cell>
          <cell r="J852">
            <v>0</v>
          </cell>
          <cell r="K852">
            <v>0</v>
          </cell>
          <cell r="L852">
            <v>0</v>
          </cell>
          <cell r="M852">
            <v>9108</v>
          </cell>
          <cell r="N852">
            <v>0</v>
          </cell>
          <cell r="O852">
            <v>239</v>
          </cell>
          <cell r="P852">
            <v>0</v>
          </cell>
          <cell r="Q852">
            <v>0</v>
          </cell>
          <cell r="R852">
            <v>0</v>
          </cell>
          <cell r="S852">
            <v>0</v>
          </cell>
          <cell r="T852">
            <v>0</v>
          </cell>
          <cell r="U852">
            <v>0</v>
          </cell>
          <cell r="V852">
            <v>0</v>
          </cell>
          <cell r="W852">
            <v>0</v>
          </cell>
        </row>
        <row r="853">
          <cell r="C853" t="str">
            <v>2006NC</v>
          </cell>
          <cell r="D853">
            <v>31</v>
          </cell>
          <cell r="E853">
            <v>97680</v>
          </cell>
          <cell r="F853">
            <v>24780</v>
          </cell>
          <cell r="G853">
            <v>1360</v>
          </cell>
          <cell r="H853">
            <v>611</v>
          </cell>
          <cell r="I853">
            <v>1690</v>
          </cell>
          <cell r="J853">
            <v>0</v>
          </cell>
          <cell r="K853">
            <v>0</v>
          </cell>
          <cell r="L853">
            <v>0</v>
          </cell>
          <cell r="M853">
            <v>43520</v>
          </cell>
          <cell r="N853">
            <v>268800</v>
          </cell>
          <cell r="O853">
            <v>0</v>
          </cell>
          <cell r="P853">
            <v>0</v>
          </cell>
          <cell r="Q853">
            <v>0</v>
          </cell>
          <cell r="R853">
            <v>0</v>
          </cell>
          <cell r="S853">
            <v>0</v>
          </cell>
          <cell r="T853">
            <v>0</v>
          </cell>
          <cell r="U853">
            <v>0</v>
          </cell>
          <cell r="V853">
            <v>0</v>
          </cell>
          <cell r="W853">
            <v>0</v>
          </cell>
        </row>
        <row r="854">
          <cell r="C854" t="str">
            <v>2006ND</v>
          </cell>
          <cell r="D854">
            <v>1740</v>
          </cell>
          <cell r="E854">
            <v>155400</v>
          </cell>
          <cell r="F854">
            <v>251770</v>
          </cell>
          <cell r="G854">
            <v>48755</v>
          </cell>
          <cell r="H854">
            <v>0</v>
          </cell>
          <cell r="I854">
            <v>4920</v>
          </cell>
          <cell r="J854">
            <v>0</v>
          </cell>
          <cell r="K854">
            <v>0</v>
          </cell>
          <cell r="L854">
            <v>0</v>
          </cell>
          <cell r="M854">
            <v>119970</v>
          </cell>
          <cell r="N854">
            <v>0</v>
          </cell>
          <cell r="O854">
            <v>7680</v>
          </cell>
          <cell r="P854">
            <v>9322</v>
          </cell>
          <cell r="Q854">
            <v>0</v>
          </cell>
          <cell r="R854">
            <v>1214</v>
          </cell>
          <cell r="S854">
            <v>0</v>
          </cell>
          <cell r="T854">
            <v>0</v>
          </cell>
          <cell r="U854">
            <v>0</v>
          </cell>
          <cell r="V854">
            <v>0</v>
          </cell>
          <cell r="W854">
            <v>0</v>
          </cell>
        </row>
        <row r="855">
          <cell r="C855" t="str">
            <v>2006OH</v>
          </cell>
          <cell r="D855">
            <v>1645</v>
          </cell>
          <cell r="E855">
            <v>470640</v>
          </cell>
          <cell r="F855">
            <v>65280</v>
          </cell>
          <cell r="G855">
            <v>272</v>
          </cell>
          <cell r="H855">
            <v>0</v>
          </cell>
          <cell r="I855">
            <v>4125</v>
          </cell>
          <cell r="J855">
            <v>0</v>
          </cell>
          <cell r="K855">
            <v>0</v>
          </cell>
          <cell r="L855">
            <v>0</v>
          </cell>
          <cell r="M855">
            <v>217140</v>
          </cell>
          <cell r="N855">
            <v>0</v>
          </cell>
          <cell r="O855">
            <v>0</v>
          </cell>
          <cell r="P855">
            <v>0</v>
          </cell>
          <cell r="Q855">
            <v>0</v>
          </cell>
          <cell r="R855">
            <v>0</v>
          </cell>
          <cell r="S855">
            <v>0</v>
          </cell>
          <cell r="T855">
            <v>0</v>
          </cell>
          <cell r="U855">
            <v>0</v>
          </cell>
          <cell r="V855">
            <v>0</v>
          </cell>
          <cell r="W855">
            <v>0</v>
          </cell>
        </row>
        <row r="856">
          <cell r="C856" t="str">
            <v>2006OK</v>
          </cell>
          <cell r="D856">
            <v>756</v>
          </cell>
          <cell r="E856">
            <v>23100</v>
          </cell>
          <cell r="F856">
            <v>81600</v>
          </cell>
          <cell r="G856">
            <v>0</v>
          </cell>
          <cell r="H856">
            <v>6800</v>
          </cell>
          <cell r="I856">
            <v>240</v>
          </cell>
          <cell r="J856">
            <v>1040</v>
          </cell>
          <cell r="K856">
            <v>0</v>
          </cell>
          <cell r="L856">
            <v>2.4923095651969351</v>
          </cell>
          <cell r="M856">
            <v>3655</v>
          </cell>
          <cell r="N856">
            <v>62700</v>
          </cell>
          <cell r="O856">
            <v>0</v>
          </cell>
          <cell r="P856">
            <v>0</v>
          </cell>
          <cell r="Q856">
            <v>0</v>
          </cell>
          <cell r="R856">
            <v>0</v>
          </cell>
          <cell r="S856">
            <v>0</v>
          </cell>
          <cell r="T856">
            <v>0</v>
          </cell>
          <cell r="U856">
            <v>4.1750000000000002E-2</v>
          </cell>
          <cell r="V856">
            <v>0</v>
          </cell>
          <cell r="W856">
            <v>0</v>
          </cell>
        </row>
        <row r="857">
          <cell r="C857" t="str">
            <v>2006OR</v>
          </cell>
          <cell r="D857">
            <v>1892</v>
          </cell>
          <cell r="E857">
            <v>5220</v>
          </cell>
          <cell r="F857">
            <v>44440</v>
          </cell>
          <cell r="G857">
            <v>2436</v>
          </cell>
          <cell r="H857">
            <v>0</v>
          </cell>
          <cell r="I857">
            <v>1900</v>
          </cell>
          <cell r="J857">
            <v>0</v>
          </cell>
          <cell r="K857">
            <v>0</v>
          </cell>
          <cell r="L857">
            <v>0</v>
          </cell>
          <cell r="M857">
            <v>0</v>
          </cell>
          <cell r="N857">
            <v>0</v>
          </cell>
          <cell r="O857">
            <v>190</v>
          </cell>
          <cell r="P857">
            <v>166</v>
          </cell>
          <cell r="Q857">
            <v>45</v>
          </cell>
          <cell r="R857">
            <v>0</v>
          </cell>
          <cell r="S857">
            <v>0</v>
          </cell>
          <cell r="T857">
            <v>0</v>
          </cell>
          <cell r="U857">
            <v>0</v>
          </cell>
          <cell r="V857">
            <v>0</v>
          </cell>
          <cell r="W857">
            <v>0</v>
          </cell>
        </row>
        <row r="858">
          <cell r="C858" t="str">
            <v>2006PA</v>
          </cell>
          <cell r="D858">
            <v>1500</v>
          </cell>
          <cell r="E858">
            <v>117120</v>
          </cell>
          <cell r="F858">
            <v>8850</v>
          </cell>
          <cell r="G858">
            <v>3726</v>
          </cell>
          <cell r="H858">
            <v>330</v>
          </cell>
          <cell r="I858">
            <v>7040</v>
          </cell>
          <cell r="J858">
            <v>0</v>
          </cell>
          <cell r="K858">
            <v>0</v>
          </cell>
          <cell r="L858">
            <v>0</v>
          </cell>
          <cell r="M858">
            <v>17000</v>
          </cell>
          <cell r="N858">
            <v>0</v>
          </cell>
          <cell r="O858">
            <v>0</v>
          </cell>
          <cell r="P858">
            <v>0</v>
          </cell>
          <cell r="Q858">
            <v>0</v>
          </cell>
          <cell r="R858">
            <v>0</v>
          </cell>
          <cell r="S858">
            <v>0</v>
          </cell>
          <cell r="T858">
            <v>0</v>
          </cell>
          <cell r="U858">
            <v>0</v>
          </cell>
          <cell r="V858">
            <v>0</v>
          </cell>
          <cell r="W858">
            <v>0</v>
          </cell>
        </row>
        <row r="859">
          <cell r="C859" t="str">
            <v>2006RI</v>
          </cell>
          <cell r="D859">
            <v>3</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row>
        <row r="860">
          <cell r="C860" t="str">
            <v>2006SC</v>
          </cell>
          <cell r="D860">
            <v>0</v>
          </cell>
          <cell r="E860">
            <v>31900</v>
          </cell>
          <cell r="F860">
            <v>6150</v>
          </cell>
          <cell r="G860">
            <v>0</v>
          </cell>
          <cell r="H860">
            <v>357</v>
          </cell>
          <cell r="I860">
            <v>990</v>
          </cell>
          <cell r="J860">
            <v>0</v>
          </cell>
          <cell r="K860">
            <v>0</v>
          </cell>
          <cell r="L860">
            <v>0</v>
          </cell>
          <cell r="M860">
            <v>11310</v>
          </cell>
          <cell r="N860">
            <v>168000</v>
          </cell>
          <cell r="O860">
            <v>0</v>
          </cell>
          <cell r="P860">
            <v>0</v>
          </cell>
          <cell r="Q860">
            <v>0</v>
          </cell>
          <cell r="R860">
            <v>0</v>
          </cell>
          <cell r="S860">
            <v>0</v>
          </cell>
          <cell r="T860">
            <v>0</v>
          </cell>
          <cell r="U860">
            <v>0</v>
          </cell>
          <cell r="V860">
            <v>0</v>
          </cell>
          <cell r="W860">
            <v>0</v>
          </cell>
        </row>
        <row r="861">
          <cell r="C861" t="str">
            <v>2006SD</v>
          </cell>
          <cell r="D861">
            <v>2880</v>
          </cell>
          <cell r="E861">
            <v>312340</v>
          </cell>
          <cell r="F861">
            <v>84090</v>
          </cell>
          <cell r="G861">
            <v>560</v>
          </cell>
          <cell r="H861">
            <v>2880</v>
          </cell>
          <cell r="I861">
            <v>5415</v>
          </cell>
          <cell r="J861">
            <v>0</v>
          </cell>
          <cell r="K861">
            <v>2420</v>
          </cell>
          <cell r="L861">
            <v>0</v>
          </cell>
          <cell r="M861">
            <v>130900</v>
          </cell>
          <cell r="N861">
            <v>0</v>
          </cell>
          <cell r="O861">
            <v>224</v>
          </cell>
          <cell r="P861">
            <v>0</v>
          </cell>
          <cell r="Q861">
            <v>0</v>
          </cell>
          <cell r="R861">
            <v>0</v>
          </cell>
          <cell r="S861">
            <v>0</v>
          </cell>
          <cell r="T861">
            <v>0</v>
          </cell>
          <cell r="U861">
            <v>0</v>
          </cell>
          <cell r="V861">
            <v>0</v>
          </cell>
          <cell r="W861">
            <v>0</v>
          </cell>
        </row>
        <row r="862">
          <cell r="C862" t="str">
            <v>2006TN</v>
          </cell>
          <cell r="D862">
            <v>111</v>
          </cell>
          <cell r="E862">
            <v>62500</v>
          </cell>
          <cell r="F862">
            <v>12160</v>
          </cell>
          <cell r="G862">
            <v>0</v>
          </cell>
          <cell r="H862">
            <v>1045</v>
          </cell>
          <cell r="I862">
            <v>0</v>
          </cell>
          <cell r="J862">
            <v>0</v>
          </cell>
          <cell r="K862">
            <v>0</v>
          </cell>
          <cell r="L862">
            <v>0</v>
          </cell>
          <cell r="M862">
            <v>44070</v>
          </cell>
          <cell r="N862">
            <v>0</v>
          </cell>
          <cell r="O862">
            <v>0</v>
          </cell>
          <cell r="P862">
            <v>0</v>
          </cell>
          <cell r="Q862">
            <v>0</v>
          </cell>
          <cell r="R862">
            <v>0</v>
          </cell>
          <cell r="S862">
            <v>0</v>
          </cell>
          <cell r="T862">
            <v>0</v>
          </cell>
          <cell r="U862">
            <v>0</v>
          </cell>
          <cell r="V862">
            <v>0</v>
          </cell>
          <cell r="W862">
            <v>0</v>
          </cell>
        </row>
        <row r="863">
          <cell r="C863" t="str">
            <v>2006TX</v>
          </cell>
          <cell r="D863">
            <v>675</v>
          </cell>
          <cell r="E863">
            <v>175450</v>
          </cell>
          <cell r="F863">
            <v>33600</v>
          </cell>
          <cell r="G863">
            <v>0</v>
          </cell>
          <cell r="H863">
            <v>62400</v>
          </cell>
          <cell r="I863">
            <v>3700</v>
          </cell>
          <cell r="J863">
            <v>0</v>
          </cell>
          <cell r="K863">
            <v>0</v>
          </cell>
          <cell r="L863">
            <v>10760</v>
          </cell>
          <cell r="M863">
            <v>3720</v>
          </cell>
          <cell r="N863">
            <v>514750</v>
          </cell>
          <cell r="O863">
            <v>238</v>
          </cell>
          <cell r="P863">
            <v>0</v>
          </cell>
          <cell r="Q863">
            <v>0</v>
          </cell>
          <cell r="R863">
            <v>0</v>
          </cell>
          <cell r="S863">
            <v>0</v>
          </cell>
          <cell r="T863">
            <v>1677</v>
          </cell>
          <cell r="U863">
            <v>150</v>
          </cell>
          <cell r="V863">
            <v>58.5</v>
          </cell>
          <cell r="W863">
            <v>0</v>
          </cell>
        </row>
        <row r="864">
          <cell r="C864" t="str">
            <v>2006UT</v>
          </cell>
          <cell r="D864">
            <v>2240</v>
          </cell>
          <cell r="E864">
            <v>2669</v>
          </cell>
          <cell r="F864">
            <v>6120</v>
          </cell>
          <cell r="G864">
            <v>2280</v>
          </cell>
          <cell r="H864">
            <v>0</v>
          </cell>
          <cell r="I864">
            <v>539</v>
          </cell>
          <cell r="J864">
            <v>0</v>
          </cell>
          <cell r="K864">
            <v>0</v>
          </cell>
          <cell r="L864">
            <v>0</v>
          </cell>
          <cell r="M864">
            <v>0</v>
          </cell>
          <cell r="N864">
            <v>0</v>
          </cell>
          <cell r="O864">
            <v>2</v>
          </cell>
          <cell r="P864">
            <v>0</v>
          </cell>
          <cell r="Q864">
            <v>0</v>
          </cell>
          <cell r="R864">
            <v>0</v>
          </cell>
          <cell r="S864">
            <v>0</v>
          </cell>
          <cell r="T864">
            <v>0</v>
          </cell>
          <cell r="U864">
            <v>0</v>
          </cell>
          <cell r="V864">
            <v>0</v>
          </cell>
          <cell r="W864">
            <v>0</v>
          </cell>
        </row>
        <row r="865">
          <cell r="C865" t="str">
            <v>2006VT</v>
          </cell>
          <cell r="D865">
            <v>70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row>
        <row r="866">
          <cell r="C866" t="str">
            <v>2006VA</v>
          </cell>
          <cell r="D866">
            <v>360</v>
          </cell>
          <cell r="E866">
            <v>41400</v>
          </cell>
          <cell r="F866">
            <v>10540</v>
          </cell>
          <cell r="G866">
            <v>3234</v>
          </cell>
          <cell r="H866">
            <v>0</v>
          </cell>
          <cell r="I866">
            <v>220</v>
          </cell>
          <cell r="J866">
            <v>0</v>
          </cell>
          <cell r="K866">
            <v>0</v>
          </cell>
          <cell r="L866">
            <v>0</v>
          </cell>
          <cell r="M866">
            <v>15810</v>
          </cell>
          <cell r="N866">
            <v>54400</v>
          </cell>
          <cell r="O866">
            <v>0</v>
          </cell>
          <cell r="P866">
            <v>0</v>
          </cell>
          <cell r="Q866">
            <v>0</v>
          </cell>
          <cell r="R866">
            <v>0</v>
          </cell>
          <cell r="S866">
            <v>0</v>
          </cell>
          <cell r="T866">
            <v>0</v>
          </cell>
          <cell r="U866">
            <v>0</v>
          </cell>
          <cell r="V866">
            <v>0</v>
          </cell>
          <cell r="W866">
            <v>0</v>
          </cell>
        </row>
        <row r="867">
          <cell r="C867" t="str">
            <v>2006WA</v>
          </cell>
          <cell r="D867">
            <v>2156</v>
          </cell>
          <cell r="E867">
            <v>15750</v>
          </cell>
          <cell r="F867">
            <v>140050</v>
          </cell>
          <cell r="G867">
            <v>11970</v>
          </cell>
          <cell r="H867">
            <v>0</v>
          </cell>
          <cell r="I867">
            <v>688</v>
          </cell>
          <cell r="J867">
            <v>0</v>
          </cell>
          <cell r="K867">
            <v>0</v>
          </cell>
          <cell r="L867">
            <v>0</v>
          </cell>
          <cell r="M867">
            <v>0</v>
          </cell>
          <cell r="N867">
            <v>0</v>
          </cell>
          <cell r="O867">
            <v>968</v>
          </cell>
          <cell r="P867">
            <v>1188</v>
          </cell>
          <cell r="Q867">
            <v>0</v>
          </cell>
          <cell r="R867">
            <v>760</v>
          </cell>
          <cell r="S867">
            <v>510</v>
          </cell>
          <cell r="T867">
            <v>0</v>
          </cell>
          <cell r="U867">
            <v>0</v>
          </cell>
          <cell r="V867">
            <v>0</v>
          </cell>
          <cell r="W867">
            <v>0</v>
          </cell>
        </row>
        <row r="868">
          <cell r="C868" t="str">
            <v>2006WV</v>
          </cell>
          <cell r="D868">
            <v>102</v>
          </cell>
          <cell r="E868">
            <v>3120</v>
          </cell>
          <cell r="F868">
            <v>366</v>
          </cell>
          <cell r="G868">
            <v>0</v>
          </cell>
          <cell r="H868">
            <v>0</v>
          </cell>
          <cell r="I868">
            <v>0</v>
          </cell>
          <cell r="J868">
            <v>0</v>
          </cell>
          <cell r="K868">
            <v>0</v>
          </cell>
          <cell r="L868">
            <v>0</v>
          </cell>
          <cell r="M868">
            <v>672</v>
          </cell>
          <cell r="N868">
            <v>0</v>
          </cell>
          <cell r="O868">
            <v>0</v>
          </cell>
          <cell r="P868">
            <v>0</v>
          </cell>
          <cell r="Q868">
            <v>0</v>
          </cell>
          <cell r="R868">
            <v>0</v>
          </cell>
          <cell r="S868">
            <v>0</v>
          </cell>
          <cell r="T868">
            <v>0</v>
          </cell>
          <cell r="U868">
            <v>0</v>
          </cell>
          <cell r="V868">
            <v>0</v>
          </cell>
          <cell r="W868">
            <v>0</v>
          </cell>
        </row>
        <row r="869">
          <cell r="C869" t="str">
            <v>2006WI</v>
          </cell>
          <cell r="D869">
            <v>4480</v>
          </cell>
          <cell r="E869">
            <v>400400</v>
          </cell>
          <cell r="F869">
            <v>18290</v>
          </cell>
          <cell r="G869">
            <v>1620</v>
          </cell>
          <cell r="H869">
            <v>0</v>
          </cell>
          <cell r="I869">
            <v>14490</v>
          </cell>
          <cell r="J869">
            <v>0</v>
          </cell>
          <cell r="K869">
            <v>0</v>
          </cell>
          <cell r="L869">
            <v>0</v>
          </cell>
          <cell r="M869">
            <v>72160</v>
          </cell>
          <cell r="N869">
            <v>0</v>
          </cell>
          <cell r="O869">
            <v>108</v>
          </cell>
          <cell r="P869">
            <v>0</v>
          </cell>
          <cell r="Q869">
            <v>0</v>
          </cell>
          <cell r="R869">
            <v>0</v>
          </cell>
          <cell r="S869">
            <v>0</v>
          </cell>
          <cell r="T869">
            <v>0</v>
          </cell>
          <cell r="U869">
            <v>0</v>
          </cell>
          <cell r="V869">
            <v>0</v>
          </cell>
          <cell r="W869">
            <v>0</v>
          </cell>
        </row>
        <row r="870">
          <cell r="C870" t="str">
            <v>2006WY</v>
          </cell>
          <cell r="D870">
            <v>1400</v>
          </cell>
          <cell r="E870">
            <v>5805</v>
          </cell>
          <cell r="F870">
            <v>3879</v>
          </cell>
          <cell r="G870">
            <v>4845</v>
          </cell>
          <cell r="H870">
            <v>0</v>
          </cell>
          <cell r="I870">
            <v>684</v>
          </cell>
          <cell r="J870">
            <v>0</v>
          </cell>
          <cell r="K870">
            <v>0</v>
          </cell>
          <cell r="L870">
            <v>0</v>
          </cell>
          <cell r="M870">
            <v>0</v>
          </cell>
          <cell r="N870">
            <v>0</v>
          </cell>
          <cell r="O870">
            <v>590</v>
          </cell>
          <cell r="P870">
            <v>0</v>
          </cell>
          <cell r="Q870">
            <v>0</v>
          </cell>
          <cell r="R870">
            <v>0</v>
          </cell>
          <cell r="S870">
            <v>0</v>
          </cell>
          <cell r="T870">
            <v>0</v>
          </cell>
          <cell r="U870">
            <v>0</v>
          </cell>
          <cell r="V870">
            <v>0</v>
          </cell>
          <cell r="W870">
            <v>0</v>
          </cell>
        </row>
        <row r="871">
          <cell r="C871" t="str">
            <v>2006US</v>
          </cell>
          <cell r="D871">
            <v>70548</v>
          </cell>
          <cell r="E871">
            <v>13073893</v>
          </cell>
          <cell r="F871">
            <v>2066722</v>
          </cell>
          <cell r="G871">
            <v>211825</v>
          </cell>
          <cell r="H871">
            <v>504993</v>
          </cell>
          <cell r="I871">
            <v>91599</v>
          </cell>
          <cell r="J871">
            <v>7914</v>
          </cell>
          <cell r="K871">
            <v>16615</v>
          </cell>
          <cell r="L871">
            <v>194293.55270956518</v>
          </cell>
          <cell r="M871">
            <v>2585207</v>
          </cell>
          <cell r="N871">
            <v>3740650</v>
          </cell>
          <cell r="O871">
            <v>25371</v>
          </cell>
          <cell r="P871">
            <v>15903</v>
          </cell>
          <cell r="Q871">
            <v>127</v>
          </cell>
          <cell r="R871">
            <v>3408</v>
          </cell>
          <cell r="S871">
            <v>590</v>
          </cell>
          <cell r="T871">
            <v>29564</v>
          </cell>
          <cell r="U871">
            <v>2832.3477499999999</v>
          </cell>
          <cell r="V871">
            <v>130.71379999999999</v>
          </cell>
          <cell r="W871">
            <v>0</v>
          </cell>
        </row>
        <row r="872">
          <cell r="C872" t="str">
            <v>2007AL</v>
          </cell>
          <cell r="D872">
            <v>0</v>
          </cell>
          <cell r="E872">
            <v>21840</v>
          </cell>
          <cell r="F872">
            <v>3192</v>
          </cell>
          <cell r="G872">
            <v>0</v>
          </cell>
          <cell r="H872">
            <v>240</v>
          </cell>
          <cell r="I872">
            <v>928</v>
          </cell>
          <cell r="J872">
            <v>0</v>
          </cell>
          <cell r="K872">
            <v>0</v>
          </cell>
          <cell r="L872">
            <v>0</v>
          </cell>
          <cell r="M872">
            <v>3885</v>
          </cell>
          <cell r="N872">
            <v>400350</v>
          </cell>
          <cell r="O872">
            <v>0</v>
          </cell>
          <cell r="P872">
            <v>0</v>
          </cell>
          <cell r="Q872">
            <v>0</v>
          </cell>
          <cell r="R872">
            <v>0</v>
          </cell>
          <cell r="S872">
            <v>0</v>
          </cell>
          <cell r="T872">
            <v>0</v>
          </cell>
          <cell r="U872">
            <v>0</v>
          </cell>
          <cell r="V872">
            <v>0</v>
          </cell>
          <cell r="W872">
            <v>0</v>
          </cell>
        </row>
        <row r="873">
          <cell r="C873" t="str">
            <v>2007AK</v>
          </cell>
          <cell r="D873">
            <v>0</v>
          </cell>
          <cell r="E873">
            <v>0</v>
          </cell>
          <cell r="F873">
            <v>0</v>
          </cell>
          <cell r="G873">
            <v>158</v>
          </cell>
          <cell r="H873">
            <v>0</v>
          </cell>
          <cell r="I873">
            <v>47</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row>
        <row r="874">
          <cell r="C874" t="str">
            <v>2007AZ</v>
          </cell>
          <cell r="D874">
            <v>2040</v>
          </cell>
          <cell r="E874">
            <v>4070</v>
          </cell>
          <cell r="F874">
            <v>8724</v>
          </cell>
          <cell r="G874">
            <v>3410</v>
          </cell>
          <cell r="H874">
            <v>1800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row>
        <row r="875">
          <cell r="C875" t="str">
            <v>2007AR</v>
          </cell>
          <cell r="D875">
            <v>39</v>
          </cell>
          <cell r="E875">
            <v>99710</v>
          </cell>
          <cell r="F875">
            <v>28700</v>
          </cell>
          <cell r="G875">
            <v>0</v>
          </cell>
          <cell r="H875">
            <v>20640</v>
          </cell>
          <cell r="I875">
            <v>0</v>
          </cell>
          <cell r="J875">
            <v>0</v>
          </cell>
          <cell r="K875">
            <v>0</v>
          </cell>
          <cell r="L875">
            <v>94487</v>
          </cell>
          <cell r="M875">
            <v>101520</v>
          </cell>
          <cell r="N875">
            <v>0</v>
          </cell>
          <cell r="O875">
            <v>0</v>
          </cell>
          <cell r="P875">
            <v>0</v>
          </cell>
          <cell r="Q875">
            <v>0</v>
          </cell>
          <cell r="R875">
            <v>0</v>
          </cell>
          <cell r="S875">
            <v>0</v>
          </cell>
          <cell r="T875">
            <v>0</v>
          </cell>
          <cell r="U875">
            <v>1325</v>
          </cell>
          <cell r="V875">
            <v>1.3250000000000001E-2</v>
          </cell>
          <cell r="W875">
            <v>0.26800000000000002</v>
          </cell>
        </row>
        <row r="876">
          <cell r="C876" t="str">
            <v>2007CA</v>
          </cell>
          <cell r="D876">
            <v>7128</v>
          </cell>
          <cell r="E876">
            <v>34580</v>
          </cell>
          <cell r="F876">
            <v>29465</v>
          </cell>
          <cell r="G876">
            <v>2560</v>
          </cell>
          <cell r="H876">
            <v>850</v>
          </cell>
          <cell r="I876">
            <v>2475</v>
          </cell>
          <cell r="J876">
            <v>0</v>
          </cell>
          <cell r="K876">
            <v>0</v>
          </cell>
          <cell r="L876">
            <v>43822</v>
          </cell>
          <cell r="M876">
            <v>0</v>
          </cell>
          <cell r="N876">
            <v>0</v>
          </cell>
          <cell r="O876">
            <v>1212</v>
          </cell>
          <cell r="P876">
            <v>0</v>
          </cell>
          <cell r="Q876">
            <v>0</v>
          </cell>
          <cell r="R876">
            <v>0</v>
          </cell>
          <cell r="S876">
            <v>0</v>
          </cell>
          <cell r="T876">
            <v>0</v>
          </cell>
          <cell r="U876">
            <v>533</v>
          </cell>
          <cell r="V876">
            <v>0</v>
          </cell>
          <cell r="W876">
            <v>0.16263772370685042</v>
          </cell>
        </row>
        <row r="877">
          <cell r="C877" t="str">
            <v>2007CO</v>
          </cell>
          <cell r="D877">
            <v>3034</v>
          </cell>
          <cell r="E877">
            <v>148400</v>
          </cell>
          <cell r="F877">
            <v>92980</v>
          </cell>
          <cell r="G877">
            <v>6960</v>
          </cell>
          <cell r="H877">
            <v>5550</v>
          </cell>
          <cell r="I877">
            <v>550</v>
          </cell>
          <cell r="J877">
            <v>0</v>
          </cell>
          <cell r="K877">
            <v>8580</v>
          </cell>
          <cell r="L877">
            <v>0</v>
          </cell>
          <cell r="M877">
            <v>0</v>
          </cell>
          <cell r="N877">
            <v>0</v>
          </cell>
          <cell r="O877">
            <v>736</v>
          </cell>
          <cell r="P877">
            <v>0</v>
          </cell>
          <cell r="Q877">
            <v>0</v>
          </cell>
          <cell r="R877">
            <v>0</v>
          </cell>
          <cell r="S877">
            <v>0</v>
          </cell>
          <cell r="T877">
            <v>0</v>
          </cell>
          <cell r="U877">
            <v>0</v>
          </cell>
          <cell r="V877">
            <v>0</v>
          </cell>
          <cell r="W877">
            <v>0</v>
          </cell>
        </row>
        <row r="878">
          <cell r="C878" t="str">
            <v>2007CT</v>
          </cell>
          <cell r="D878">
            <v>18</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row>
        <row r="879">
          <cell r="C879" t="str">
            <v>2007DE</v>
          </cell>
          <cell r="D879">
            <v>13</v>
          </cell>
          <cell r="E879">
            <v>18315</v>
          </cell>
          <cell r="F879">
            <v>3740</v>
          </cell>
          <cell r="G879">
            <v>1482</v>
          </cell>
          <cell r="H879">
            <v>0</v>
          </cell>
          <cell r="I879">
            <v>0</v>
          </cell>
          <cell r="J879">
            <v>0</v>
          </cell>
          <cell r="K879">
            <v>0</v>
          </cell>
          <cell r="L879">
            <v>0</v>
          </cell>
          <cell r="M879">
            <v>4030</v>
          </cell>
          <cell r="N879">
            <v>0</v>
          </cell>
          <cell r="O879">
            <v>0</v>
          </cell>
          <cell r="P879">
            <v>0</v>
          </cell>
          <cell r="Q879">
            <v>0</v>
          </cell>
          <cell r="R879">
            <v>0</v>
          </cell>
          <cell r="S879">
            <v>0</v>
          </cell>
          <cell r="T879">
            <v>0</v>
          </cell>
          <cell r="U879">
            <v>0</v>
          </cell>
          <cell r="V879">
            <v>0</v>
          </cell>
          <cell r="W879">
            <v>0</v>
          </cell>
        </row>
        <row r="880">
          <cell r="C880" t="str">
            <v>2007FL</v>
          </cell>
          <cell r="D880">
            <v>0</v>
          </cell>
          <cell r="E880">
            <v>3150</v>
          </cell>
          <cell r="F880">
            <v>495</v>
          </cell>
          <cell r="G880">
            <v>0</v>
          </cell>
          <cell r="H880">
            <v>0</v>
          </cell>
          <cell r="I880">
            <v>0</v>
          </cell>
          <cell r="J880">
            <v>0</v>
          </cell>
          <cell r="K880">
            <v>0</v>
          </cell>
          <cell r="L880">
            <v>493.85</v>
          </cell>
          <cell r="M880">
            <v>288</v>
          </cell>
          <cell r="N880">
            <v>321300</v>
          </cell>
          <cell r="O880">
            <v>0</v>
          </cell>
          <cell r="P880">
            <v>0</v>
          </cell>
          <cell r="Q880">
            <v>0</v>
          </cell>
          <cell r="R880">
            <v>0</v>
          </cell>
          <cell r="S880">
            <v>0</v>
          </cell>
          <cell r="T880">
            <v>14177</v>
          </cell>
          <cell r="U880">
            <v>10.375</v>
          </cell>
          <cell r="V880">
            <v>2.0750000000000002</v>
          </cell>
          <cell r="W880">
            <v>0</v>
          </cell>
        </row>
        <row r="881">
          <cell r="C881" t="str">
            <v>2007GA</v>
          </cell>
          <cell r="D881">
            <v>0</v>
          </cell>
          <cell r="E881">
            <v>57150</v>
          </cell>
          <cell r="F881">
            <v>9200</v>
          </cell>
          <cell r="G881">
            <v>0</v>
          </cell>
          <cell r="H881">
            <v>2070</v>
          </cell>
          <cell r="I881">
            <v>1680</v>
          </cell>
          <cell r="J881">
            <v>800</v>
          </cell>
          <cell r="K881">
            <v>0</v>
          </cell>
          <cell r="L881">
            <v>0</v>
          </cell>
          <cell r="M881">
            <v>8550</v>
          </cell>
          <cell r="N881">
            <v>1622400</v>
          </cell>
          <cell r="O881">
            <v>0</v>
          </cell>
          <cell r="P881">
            <v>0</v>
          </cell>
          <cell r="Q881">
            <v>0</v>
          </cell>
          <cell r="R881">
            <v>0</v>
          </cell>
          <cell r="S881">
            <v>0</v>
          </cell>
          <cell r="T881">
            <v>0</v>
          </cell>
          <cell r="U881">
            <v>0</v>
          </cell>
          <cell r="V881">
            <v>0</v>
          </cell>
          <cell r="W881">
            <v>0</v>
          </cell>
        </row>
        <row r="882">
          <cell r="C882" t="str">
            <v>2007HI</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1564</v>
          </cell>
          <cell r="U882">
            <v>0</v>
          </cell>
          <cell r="V882">
            <v>0</v>
          </cell>
          <cell r="W882">
            <v>0</v>
          </cell>
        </row>
        <row r="883">
          <cell r="C883" t="str">
            <v>2007ID</v>
          </cell>
          <cell r="D883">
            <v>4715</v>
          </cell>
          <cell r="E883">
            <v>17850</v>
          </cell>
          <cell r="F883">
            <v>83645</v>
          </cell>
          <cell r="G883">
            <v>42900</v>
          </cell>
          <cell r="H883">
            <v>0</v>
          </cell>
          <cell r="I883">
            <v>1220</v>
          </cell>
          <cell r="J883">
            <v>0</v>
          </cell>
          <cell r="K883">
            <v>0</v>
          </cell>
          <cell r="L883">
            <v>0</v>
          </cell>
          <cell r="M883">
            <v>0</v>
          </cell>
          <cell r="N883">
            <v>0</v>
          </cell>
          <cell r="O883">
            <v>1602</v>
          </cell>
          <cell r="P883">
            <v>408</v>
          </cell>
          <cell r="Q883">
            <v>65</v>
          </cell>
          <cell r="R883">
            <v>426</v>
          </cell>
          <cell r="S883">
            <v>135</v>
          </cell>
          <cell r="T883">
            <v>0</v>
          </cell>
          <cell r="U883">
            <v>0</v>
          </cell>
          <cell r="V883">
            <v>0</v>
          </cell>
          <cell r="W883">
            <v>0</v>
          </cell>
        </row>
        <row r="884">
          <cell r="C884" t="str">
            <v>2007IL</v>
          </cell>
          <cell r="D884">
            <v>1406</v>
          </cell>
          <cell r="E884">
            <v>2283750</v>
          </cell>
          <cell r="F884">
            <v>48950</v>
          </cell>
          <cell r="G884">
            <v>0</v>
          </cell>
          <cell r="H884">
            <v>6237</v>
          </cell>
          <cell r="I884">
            <v>1488</v>
          </cell>
          <cell r="J884">
            <v>0</v>
          </cell>
          <cell r="K884">
            <v>0</v>
          </cell>
          <cell r="L884">
            <v>0</v>
          </cell>
          <cell r="M884">
            <v>360180</v>
          </cell>
          <cell r="N884">
            <v>0</v>
          </cell>
          <cell r="O884">
            <v>0</v>
          </cell>
          <cell r="P884">
            <v>0</v>
          </cell>
          <cell r="Q884">
            <v>0</v>
          </cell>
          <cell r="R884">
            <v>0</v>
          </cell>
          <cell r="S884">
            <v>0</v>
          </cell>
          <cell r="T884">
            <v>0</v>
          </cell>
          <cell r="U884">
            <v>0</v>
          </cell>
          <cell r="V884">
            <v>0</v>
          </cell>
          <cell r="W884">
            <v>0</v>
          </cell>
        </row>
        <row r="885">
          <cell r="C885" t="str">
            <v>2007IN</v>
          </cell>
          <cell r="D885">
            <v>756</v>
          </cell>
          <cell r="E885">
            <v>980980</v>
          </cell>
          <cell r="F885">
            <v>20720</v>
          </cell>
          <cell r="G885">
            <v>0</v>
          </cell>
          <cell r="H885">
            <v>0</v>
          </cell>
          <cell r="I885">
            <v>424</v>
          </cell>
          <cell r="J885">
            <v>0</v>
          </cell>
          <cell r="K885">
            <v>0</v>
          </cell>
          <cell r="L885">
            <v>0</v>
          </cell>
          <cell r="M885">
            <v>220340</v>
          </cell>
          <cell r="N885">
            <v>0</v>
          </cell>
          <cell r="O885">
            <v>0</v>
          </cell>
          <cell r="P885">
            <v>0</v>
          </cell>
          <cell r="Q885">
            <v>0</v>
          </cell>
          <cell r="R885">
            <v>0</v>
          </cell>
          <cell r="S885">
            <v>0</v>
          </cell>
          <cell r="T885">
            <v>0</v>
          </cell>
          <cell r="U885">
            <v>0</v>
          </cell>
          <cell r="V885">
            <v>0</v>
          </cell>
          <cell r="W885">
            <v>0</v>
          </cell>
        </row>
        <row r="886">
          <cell r="C886" t="str">
            <v>2007IA</v>
          </cell>
          <cell r="D886">
            <v>4240</v>
          </cell>
          <cell r="E886">
            <v>2376900</v>
          </cell>
          <cell r="F886">
            <v>1344</v>
          </cell>
          <cell r="G886">
            <v>0</v>
          </cell>
          <cell r="H886">
            <v>0</v>
          </cell>
          <cell r="I886">
            <v>4757</v>
          </cell>
          <cell r="J886">
            <v>0</v>
          </cell>
          <cell r="K886">
            <v>0</v>
          </cell>
          <cell r="L886">
            <v>0</v>
          </cell>
          <cell r="M886">
            <v>448760</v>
          </cell>
          <cell r="N886">
            <v>0</v>
          </cell>
          <cell r="O886">
            <v>0</v>
          </cell>
          <cell r="P886">
            <v>0</v>
          </cell>
          <cell r="Q886">
            <v>0</v>
          </cell>
          <cell r="R886">
            <v>0</v>
          </cell>
          <cell r="S886">
            <v>0</v>
          </cell>
          <cell r="T886">
            <v>0</v>
          </cell>
          <cell r="U886">
            <v>0</v>
          </cell>
          <cell r="V886">
            <v>0</v>
          </cell>
          <cell r="W886">
            <v>0</v>
          </cell>
        </row>
        <row r="887">
          <cell r="C887" t="str">
            <v>2007KS</v>
          </cell>
          <cell r="D887">
            <v>2960</v>
          </cell>
          <cell r="E887">
            <v>507840</v>
          </cell>
          <cell r="F887">
            <v>283800</v>
          </cell>
          <cell r="G887">
            <v>676</v>
          </cell>
          <cell r="H887">
            <v>209350</v>
          </cell>
          <cell r="I887">
            <v>1575</v>
          </cell>
          <cell r="J887">
            <v>0</v>
          </cell>
          <cell r="K887">
            <v>0</v>
          </cell>
          <cell r="L887">
            <v>0</v>
          </cell>
          <cell r="M887">
            <v>86130</v>
          </cell>
          <cell r="N887">
            <v>0</v>
          </cell>
          <cell r="O887">
            <v>138</v>
          </cell>
          <cell r="P887">
            <v>0</v>
          </cell>
          <cell r="Q887">
            <v>0</v>
          </cell>
          <cell r="R887">
            <v>0</v>
          </cell>
          <cell r="S887">
            <v>0</v>
          </cell>
          <cell r="T887">
            <v>0</v>
          </cell>
          <cell r="U887">
            <v>0</v>
          </cell>
          <cell r="V887">
            <v>0</v>
          </cell>
          <cell r="W887">
            <v>0</v>
          </cell>
        </row>
        <row r="888">
          <cell r="C888" t="str">
            <v>2007KY</v>
          </cell>
          <cell r="D888">
            <v>504</v>
          </cell>
          <cell r="E888">
            <v>171520</v>
          </cell>
          <cell r="F888">
            <v>12000</v>
          </cell>
          <cell r="G888">
            <v>111</v>
          </cell>
          <cell r="H888">
            <v>1080</v>
          </cell>
          <cell r="I888">
            <v>0</v>
          </cell>
          <cell r="J888">
            <v>0</v>
          </cell>
          <cell r="K888">
            <v>0</v>
          </cell>
          <cell r="L888">
            <v>0</v>
          </cell>
          <cell r="M888">
            <v>30250</v>
          </cell>
          <cell r="N888">
            <v>0</v>
          </cell>
          <cell r="O888">
            <v>0</v>
          </cell>
          <cell r="P888">
            <v>0</v>
          </cell>
          <cell r="Q888">
            <v>0</v>
          </cell>
          <cell r="R888">
            <v>0</v>
          </cell>
          <cell r="S888">
            <v>0</v>
          </cell>
          <cell r="T888">
            <v>0</v>
          </cell>
          <cell r="U888">
            <v>0</v>
          </cell>
          <cell r="V888">
            <v>0</v>
          </cell>
          <cell r="W888">
            <v>0</v>
          </cell>
        </row>
        <row r="889">
          <cell r="C889" t="str">
            <v>2007LA</v>
          </cell>
          <cell r="D889">
            <v>0</v>
          </cell>
          <cell r="E889">
            <v>118990</v>
          </cell>
          <cell r="F889">
            <v>11880</v>
          </cell>
          <cell r="G889">
            <v>0</v>
          </cell>
          <cell r="H889">
            <v>23275</v>
          </cell>
          <cell r="I889">
            <v>0</v>
          </cell>
          <cell r="J889">
            <v>0</v>
          </cell>
          <cell r="K889">
            <v>0</v>
          </cell>
          <cell r="L889">
            <v>23222</v>
          </cell>
          <cell r="M889">
            <v>25800</v>
          </cell>
          <cell r="N889">
            <v>0</v>
          </cell>
          <cell r="O889">
            <v>0</v>
          </cell>
          <cell r="P889">
            <v>0</v>
          </cell>
          <cell r="Q889">
            <v>0</v>
          </cell>
          <cell r="R889">
            <v>0</v>
          </cell>
          <cell r="S889">
            <v>0</v>
          </cell>
          <cell r="T889">
            <v>12768</v>
          </cell>
          <cell r="U889">
            <v>378</v>
          </cell>
          <cell r="V889">
            <v>132.30000000000001</v>
          </cell>
          <cell r="W889">
            <v>0.05</v>
          </cell>
        </row>
        <row r="890">
          <cell r="C890" t="str">
            <v>2007ME</v>
          </cell>
          <cell r="D890">
            <v>23</v>
          </cell>
          <cell r="E890">
            <v>0</v>
          </cell>
          <cell r="F890">
            <v>0</v>
          </cell>
          <cell r="G890">
            <v>1105</v>
          </cell>
          <cell r="H890">
            <v>0</v>
          </cell>
          <cell r="I890">
            <v>1960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row>
        <row r="891">
          <cell r="C891" t="str">
            <v>2007MD</v>
          </cell>
          <cell r="D891">
            <v>120</v>
          </cell>
          <cell r="E891">
            <v>46965</v>
          </cell>
          <cell r="F891">
            <v>10560</v>
          </cell>
          <cell r="G891">
            <v>2460</v>
          </cell>
          <cell r="H891">
            <v>0</v>
          </cell>
          <cell r="I891">
            <v>0</v>
          </cell>
          <cell r="J891">
            <v>0</v>
          </cell>
          <cell r="K891">
            <v>0</v>
          </cell>
          <cell r="L891">
            <v>0</v>
          </cell>
          <cell r="M891">
            <v>10725</v>
          </cell>
          <cell r="N891">
            <v>0</v>
          </cell>
          <cell r="O891">
            <v>0</v>
          </cell>
          <cell r="P891">
            <v>0</v>
          </cell>
          <cell r="Q891">
            <v>0</v>
          </cell>
          <cell r="R891">
            <v>0</v>
          </cell>
          <cell r="S891">
            <v>0</v>
          </cell>
          <cell r="T891">
            <v>0</v>
          </cell>
          <cell r="U891">
            <v>0</v>
          </cell>
          <cell r="V891">
            <v>0</v>
          </cell>
          <cell r="W891">
            <v>0</v>
          </cell>
        </row>
        <row r="892">
          <cell r="C892" t="str">
            <v>2007MA</v>
          </cell>
          <cell r="D892">
            <v>22</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row>
        <row r="893">
          <cell r="C893" t="str">
            <v>2007MI</v>
          </cell>
          <cell r="D893">
            <v>1925</v>
          </cell>
          <cell r="E893">
            <v>287820</v>
          </cell>
          <cell r="F893">
            <v>34450</v>
          </cell>
          <cell r="G893">
            <v>663</v>
          </cell>
          <cell r="H893">
            <v>0</v>
          </cell>
          <cell r="I893">
            <v>3080</v>
          </cell>
          <cell r="J893">
            <v>0</v>
          </cell>
          <cell r="K893">
            <v>0</v>
          </cell>
          <cell r="L893">
            <v>0</v>
          </cell>
          <cell r="M893">
            <v>71600</v>
          </cell>
          <cell r="N893">
            <v>0</v>
          </cell>
          <cell r="O893">
            <v>3120</v>
          </cell>
          <cell r="P893">
            <v>0</v>
          </cell>
          <cell r="Q893">
            <v>0</v>
          </cell>
          <cell r="R893">
            <v>0</v>
          </cell>
          <cell r="S893">
            <v>0</v>
          </cell>
          <cell r="T893">
            <v>0</v>
          </cell>
          <cell r="U893">
            <v>0</v>
          </cell>
          <cell r="V893">
            <v>0</v>
          </cell>
          <cell r="W893">
            <v>0</v>
          </cell>
        </row>
        <row r="894">
          <cell r="C894" t="str">
            <v>2007MN</v>
          </cell>
          <cell r="D894">
            <v>3190</v>
          </cell>
          <cell r="E894">
            <v>1146100</v>
          </cell>
          <cell r="F894">
            <v>81900</v>
          </cell>
          <cell r="G894">
            <v>5940</v>
          </cell>
          <cell r="H894">
            <v>0</v>
          </cell>
          <cell r="I894">
            <v>10800</v>
          </cell>
          <cell r="J894">
            <v>0</v>
          </cell>
          <cell r="K894">
            <v>0</v>
          </cell>
          <cell r="L894">
            <v>0</v>
          </cell>
          <cell r="M894">
            <v>267325</v>
          </cell>
          <cell r="N894">
            <v>0</v>
          </cell>
          <cell r="O894">
            <v>2610</v>
          </cell>
          <cell r="P894">
            <v>0</v>
          </cell>
          <cell r="Q894">
            <v>0</v>
          </cell>
          <cell r="R894">
            <v>0</v>
          </cell>
          <cell r="S894">
            <v>0</v>
          </cell>
          <cell r="T894">
            <v>0</v>
          </cell>
          <cell r="U894">
            <v>0</v>
          </cell>
          <cell r="V894">
            <v>0</v>
          </cell>
          <cell r="W894">
            <v>0</v>
          </cell>
        </row>
        <row r="895">
          <cell r="C895" t="str">
            <v>2007MS</v>
          </cell>
          <cell r="D895">
            <v>0</v>
          </cell>
          <cell r="E895">
            <v>134680</v>
          </cell>
          <cell r="F895">
            <v>18480</v>
          </cell>
          <cell r="G895">
            <v>0</v>
          </cell>
          <cell r="H895">
            <v>9775</v>
          </cell>
          <cell r="I895">
            <v>0</v>
          </cell>
          <cell r="J895">
            <v>0</v>
          </cell>
          <cell r="K895">
            <v>0</v>
          </cell>
          <cell r="L895">
            <v>14081</v>
          </cell>
          <cell r="M895">
            <v>58320</v>
          </cell>
          <cell r="N895">
            <v>59400</v>
          </cell>
          <cell r="O895">
            <v>0</v>
          </cell>
          <cell r="P895">
            <v>0</v>
          </cell>
          <cell r="Q895">
            <v>0</v>
          </cell>
          <cell r="R895">
            <v>0</v>
          </cell>
          <cell r="S895">
            <v>0</v>
          </cell>
          <cell r="T895">
            <v>0</v>
          </cell>
          <cell r="U895">
            <v>189</v>
          </cell>
          <cell r="V895">
            <v>0</v>
          </cell>
          <cell r="W895">
            <v>0.23809523809523808</v>
          </cell>
        </row>
        <row r="896">
          <cell r="C896" t="str">
            <v>2007MO</v>
          </cell>
          <cell r="D896">
            <v>1140</v>
          </cell>
          <cell r="E896">
            <v>457800</v>
          </cell>
          <cell r="F896">
            <v>37840</v>
          </cell>
          <cell r="G896">
            <v>0</v>
          </cell>
          <cell r="H896">
            <v>9600</v>
          </cell>
          <cell r="I896">
            <v>400</v>
          </cell>
          <cell r="J896">
            <v>0</v>
          </cell>
          <cell r="K896">
            <v>0</v>
          </cell>
          <cell r="L896">
            <v>12279</v>
          </cell>
          <cell r="M896">
            <v>175125</v>
          </cell>
          <cell r="N896">
            <v>0</v>
          </cell>
          <cell r="O896">
            <v>0</v>
          </cell>
          <cell r="P896">
            <v>0</v>
          </cell>
          <cell r="Q896">
            <v>0</v>
          </cell>
          <cell r="R896">
            <v>0</v>
          </cell>
          <cell r="S896">
            <v>0</v>
          </cell>
          <cell r="T896">
            <v>0</v>
          </cell>
          <cell r="U896">
            <v>178</v>
          </cell>
          <cell r="V896">
            <v>0</v>
          </cell>
          <cell r="W896">
            <v>0.03</v>
          </cell>
        </row>
        <row r="897">
          <cell r="C897" t="str">
            <v>2007MT</v>
          </cell>
          <cell r="D897">
            <v>3740</v>
          </cell>
          <cell r="E897">
            <v>5320</v>
          </cell>
          <cell r="F897">
            <v>149820</v>
          </cell>
          <cell r="G897">
            <v>31680</v>
          </cell>
          <cell r="H897">
            <v>0</v>
          </cell>
          <cell r="I897">
            <v>1750</v>
          </cell>
          <cell r="J897">
            <v>0</v>
          </cell>
          <cell r="K897">
            <v>0</v>
          </cell>
          <cell r="L897">
            <v>0</v>
          </cell>
          <cell r="M897">
            <v>0</v>
          </cell>
          <cell r="N897">
            <v>0</v>
          </cell>
          <cell r="O897">
            <v>278</v>
          </cell>
          <cell r="P897">
            <v>3689</v>
          </cell>
          <cell r="Q897">
            <v>36</v>
          </cell>
          <cell r="R897">
            <v>978</v>
          </cell>
          <cell r="S897">
            <v>0</v>
          </cell>
          <cell r="T897">
            <v>0</v>
          </cell>
          <cell r="U897">
            <v>0</v>
          </cell>
          <cell r="V897">
            <v>0</v>
          </cell>
          <cell r="W897">
            <v>0</v>
          </cell>
        </row>
        <row r="898">
          <cell r="C898" t="str">
            <v>2007NE</v>
          </cell>
          <cell r="D898">
            <v>4015</v>
          </cell>
          <cell r="E898">
            <v>1472000</v>
          </cell>
          <cell r="F898">
            <v>84280</v>
          </cell>
          <cell r="G898">
            <v>0</v>
          </cell>
          <cell r="H898">
            <v>22560</v>
          </cell>
          <cell r="I898">
            <v>2135</v>
          </cell>
          <cell r="J898">
            <v>0</v>
          </cell>
          <cell r="K898">
            <v>4290</v>
          </cell>
          <cell r="L898">
            <v>0</v>
          </cell>
          <cell r="M898">
            <v>196350</v>
          </cell>
          <cell r="N898">
            <v>0</v>
          </cell>
          <cell r="O898">
            <v>2418</v>
          </cell>
          <cell r="P898">
            <v>0</v>
          </cell>
          <cell r="Q898">
            <v>0</v>
          </cell>
          <cell r="R898">
            <v>0</v>
          </cell>
          <cell r="S898">
            <v>0</v>
          </cell>
          <cell r="T898">
            <v>0</v>
          </cell>
          <cell r="U898">
            <v>0</v>
          </cell>
          <cell r="V898">
            <v>0</v>
          </cell>
          <cell r="W898">
            <v>0</v>
          </cell>
        </row>
        <row r="899">
          <cell r="C899" t="str">
            <v>2007NV</v>
          </cell>
          <cell r="D899">
            <v>1193</v>
          </cell>
          <cell r="E899">
            <v>0</v>
          </cell>
          <cell r="F899">
            <v>1290</v>
          </cell>
          <cell r="G899">
            <v>90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row>
        <row r="900">
          <cell r="C900" t="str">
            <v>2007NH</v>
          </cell>
          <cell r="D900">
            <v>12</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row>
        <row r="901">
          <cell r="C901" t="str">
            <v>2007NJ</v>
          </cell>
          <cell r="D901">
            <v>54</v>
          </cell>
          <cell r="E901">
            <v>10168</v>
          </cell>
          <cell r="F901">
            <v>1428</v>
          </cell>
          <cell r="G901">
            <v>136</v>
          </cell>
          <cell r="H901">
            <v>0</v>
          </cell>
          <cell r="I901">
            <v>0</v>
          </cell>
          <cell r="J901">
            <v>0</v>
          </cell>
          <cell r="K901">
            <v>0</v>
          </cell>
          <cell r="L901">
            <v>0</v>
          </cell>
          <cell r="M901">
            <v>2480</v>
          </cell>
          <cell r="N901">
            <v>0</v>
          </cell>
          <cell r="O901">
            <v>0</v>
          </cell>
          <cell r="P901">
            <v>0</v>
          </cell>
          <cell r="Q901">
            <v>0</v>
          </cell>
          <cell r="R901">
            <v>0</v>
          </cell>
          <cell r="S901">
            <v>0</v>
          </cell>
          <cell r="T901">
            <v>0</v>
          </cell>
          <cell r="U901">
            <v>0</v>
          </cell>
          <cell r="V901">
            <v>0</v>
          </cell>
          <cell r="W901">
            <v>0</v>
          </cell>
        </row>
        <row r="902">
          <cell r="C902" t="str">
            <v>2007NM</v>
          </cell>
          <cell r="D902">
            <v>1248</v>
          </cell>
          <cell r="E902">
            <v>9720</v>
          </cell>
          <cell r="F902">
            <v>8400</v>
          </cell>
          <cell r="G902">
            <v>0</v>
          </cell>
          <cell r="H902">
            <v>3000</v>
          </cell>
          <cell r="I902">
            <v>0</v>
          </cell>
          <cell r="J902">
            <v>0</v>
          </cell>
          <cell r="K902">
            <v>0</v>
          </cell>
          <cell r="L902">
            <v>0</v>
          </cell>
          <cell r="M902">
            <v>0</v>
          </cell>
          <cell r="N902">
            <v>32000</v>
          </cell>
          <cell r="O902">
            <v>181</v>
          </cell>
          <cell r="P902">
            <v>0</v>
          </cell>
          <cell r="Q902">
            <v>0</v>
          </cell>
          <cell r="R902">
            <v>0</v>
          </cell>
          <cell r="S902">
            <v>0</v>
          </cell>
          <cell r="T902">
            <v>0</v>
          </cell>
          <cell r="U902">
            <v>0</v>
          </cell>
          <cell r="V902">
            <v>0</v>
          </cell>
          <cell r="W902">
            <v>0</v>
          </cell>
        </row>
        <row r="903">
          <cell r="C903" t="str">
            <v>2007NY</v>
          </cell>
          <cell r="D903">
            <v>1008</v>
          </cell>
          <cell r="E903">
            <v>70400</v>
          </cell>
          <cell r="F903">
            <v>4505</v>
          </cell>
          <cell r="G903">
            <v>539</v>
          </cell>
          <cell r="H903">
            <v>0</v>
          </cell>
          <cell r="I903">
            <v>3480</v>
          </cell>
          <cell r="J903">
            <v>0</v>
          </cell>
          <cell r="K903">
            <v>0</v>
          </cell>
          <cell r="L903">
            <v>0</v>
          </cell>
          <cell r="M903">
            <v>7917</v>
          </cell>
          <cell r="N903">
            <v>0</v>
          </cell>
          <cell r="O903">
            <v>248</v>
          </cell>
          <cell r="P903">
            <v>0</v>
          </cell>
          <cell r="Q903">
            <v>0</v>
          </cell>
          <cell r="R903">
            <v>0</v>
          </cell>
          <cell r="S903">
            <v>0</v>
          </cell>
          <cell r="T903">
            <v>0</v>
          </cell>
          <cell r="U903">
            <v>0</v>
          </cell>
          <cell r="V903">
            <v>0</v>
          </cell>
          <cell r="W903">
            <v>0</v>
          </cell>
        </row>
        <row r="904">
          <cell r="C904" t="str">
            <v>2007NC</v>
          </cell>
          <cell r="D904">
            <v>15</v>
          </cell>
          <cell r="E904">
            <v>101000</v>
          </cell>
          <cell r="F904">
            <v>20000</v>
          </cell>
          <cell r="G904">
            <v>686</v>
          </cell>
          <cell r="H904">
            <v>440</v>
          </cell>
          <cell r="I904">
            <v>825</v>
          </cell>
          <cell r="J904">
            <v>0</v>
          </cell>
          <cell r="K904">
            <v>0</v>
          </cell>
          <cell r="L904">
            <v>0</v>
          </cell>
          <cell r="M904">
            <v>30360</v>
          </cell>
          <cell r="N904">
            <v>261000</v>
          </cell>
          <cell r="O904">
            <v>0</v>
          </cell>
          <cell r="P904">
            <v>0</v>
          </cell>
          <cell r="Q904">
            <v>0</v>
          </cell>
          <cell r="R904">
            <v>0</v>
          </cell>
          <cell r="S904">
            <v>0</v>
          </cell>
          <cell r="T904">
            <v>0</v>
          </cell>
          <cell r="U904">
            <v>0</v>
          </cell>
          <cell r="V904">
            <v>0</v>
          </cell>
          <cell r="W904">
            <v>0</v>
          </cell>
        </row>
        <row r="905">
          <cell r="C905" t="str">
            <v>2007ND</v>
          </cell>
          <cell r="D905">
            <v>3255</v>
          </cell>
          <cell r="E905">
            <v>272600</v>
          </cell>
          <cell r="F905">
            <v>298875</v>
          </cell>
          <cell r="G905">
            <v>77840</v>
          </cell>
          <cell r="H905">
            <v>0</v>
          </cell>
          <cell r="I905">
            <v>15340</v>
          </cell>
          <cell r="J905">
            <v>0</v>
          </cell>
          <cell r="K905">
            <v>0</v>
          </cell>
          <cell r="L905">
            <v>0</v>
          </cell>
          <cell r="M905">
            <v>108630</v>
          </cell>
          <cell r="N905">
            <v>0</v>
          </cell>
          <cell r="O905">
            <v>10773</v>
          </cell>
          <cell r="P905">
            <v>10850</v>
          </cell>
          <cell r="Q905">
            <v>0</v>
          </cell>
          <cell r="R905">
            <v>1442</v>
          </cell>
          <cell r="S905">
            <v>0</v>
          </cell>
          <cell r="T905">
            <v>0</v>
          </cell>
          <cell r="U905">
            <v>0</v>
          </cell>
          <cell r="V905">
            <v>0</v>
          </cell>
          <cell r="W905">
            <v>0</v>
          </cell>
        </row>
        <row r="906">
          <cell r="C906" t="str">
            <v>2007OH</v>
          </cell>
          <cell r="D906">
            <v>1364</v>
          </cell>
          <cell r="E906">
            <v>541500</v>
          </cell>
          <cell r="F906">
            <v>44530</v>
          </cell>
          <cell r="G906">
            <v>159</v>
          </cell>
          <cell r="H906">
            <v>0</v>
          </cell>
          <cell r="I906">
            <v>3100</v>
          </cell>
          <cell r="J906">
            <v>0</v>
          </cell>
          <cell r="K906">
            <v>0</v>
          </cell>
          <cell r="L906">
            <v>0</v>
          </cell>
          <cell r="M906">
            <v>199280</v>
          </cell>
          <cell r="N906">
            <v>0</v>
          </cell>
          <cell r="O906">
            <v>0</v>
          </cell>
          <cell r="P906">
            <v>0</v>
          </cell>
          <cell r="Q906">
            <v>0</v>
          </cell>
          <cell r="R906">
            <v>0</v>
          </cell>
          <cell r="S906">
            <v>0</v>
          </cell>
          <cell r="T906">
            <v>0</v>
          </cell>
          <cell r="U906">
            <v>0</v>
          </cell>
          <cell r="V906">
            <v>0</v>
          </cell>
          <cell r="W906">
            <v>0</v>
          </cell>
        </row>
        <row r="907">
          <cell r="C907" t="str">
            <v>2007OK</v>
          </cell>
          <cell r="D907">
            <v>1258</v>
          </cell>
          <cell r="E907">
            <v>39150</v>
          </cell>
          <cell r="F907">
            <v>98000</v>
          </cell>
          <cell r="G907">
            <v>0</v>
          </cell>
          <cell r="H907">
            <v>12320</v>
          </cell>
          <cell r="I907">
            <v>465</v>
          </cell>
          <cell r="J907">
            <v>1080</v>
          </cell>
          <cell r="K907">
            <v>0</v>
          </cell>
          <cell r="L907">
            <v>0</v>
          </cell>
          <cell r="M907">
            <v>4680</v>
          </cell>
          <cell r="N907">
            <v>57800</v>
          </cell>
          <cell r="O907">
            <v>0</v>
          </cell>
          <cell r="P907">
            <v>0</v>
          </cell>
          <cell r="Q907">
            <v>0</v>
          </cell>
          <cell r="R907">
            <v>0</v>
          </cell>
          <cell r="S907">
            <v>0</v>
          </cell>
          <cell r="T907">
            <v>0</v>
          </cell>
          <cell r="U907">
            <v>0</v>
          </cell>
          <cell r="V907">
            <v>0</v>
          </cell>
          <cell r="W907">
            <v>0</v>
          </cell>
        </row>
        <row r="908">
          <cell r="C908" t="str">
            <v>2007OR</v>
          </cell>
          <cell r="D908">
            <v>1681</v>
          </cell>
          <cell r="E908">
            <v>7000</v>
          </cell>
          <cell r="F908">
            <v>43680</v>
          </cell>
          <cell r="G908">
            <v>2809</v>
          </cell>
          <cell r="H908">
            <v>0</v>
          </cell>
          <cell r="I908">
            <v>1404</v>
          </cell>
          <cell r="J908">
            <v>0</v>
          </cell>
          <cell r="K908">
            <v>0</v>
          </cell>
          <cell r="L908">
            <v>0</v>
          </cell>
          <cell r="M908">
            <v>0</v>
          </cell>
          <cell r="N908">
            <v>0</v>
          </cell>
          <cell r="O908">
            <v>149</v>
          </cell>
          <cell r="P908">
            <v>86</v>
          </cell>
          <cell r="Q908">
            <v>17</v>
          </cell>
          <cell r="R908">
            <v>0</v>
          </cell>
          <cell r="S908">
            <v>0</v>
          </cell>
          <cell r="T908">
            <v>0</v>
          </cell>
          <cell r="U908">
            <v>0</v>
          </cell>
          <cell r="V908">
            <v>0</v>
          </cell>
          <cell r="W908">
            <v>0</v>
          </cell>
        </row>
        <row r="909">
          <cell r="C909" t="str">
            <v>2007PA</v>
          </cell>
          <cell r="D909">
            <v>1800</v>
          </cell>
          <cell r="E909">
            <v>121520</v>
          </cell>
          <cell r="F909">
            <v>8990</v>
          </cell>
          <cell r="G909">
            <v>3066</v>
          </cell>
          <cell r="H909">
            <v>168</v>
          </cell>
          <cell r="I909">
            <v>4480</v>
          </cell>
          <cell r="J909">
            <v>0</v>
          </cell>
          <cell r="K909">
            <v>0</v>
          </cell>
          <cell r="L909">
            <v>0</v>
          </cell>
          <cell r="M909">
            <v>17630</v>
          </cell>
          <cell r="N909">
            <v>0</v>
          </cell>
          <cell r="O909">
            <v>0</v>
          </cell>
          <cell r="P909">
            <v>0</v>
          </cell>
          <cell r="Q909">
            <v>0</v>
          </cell>
          <cell r="R909">
            <v>0</v>
          </cell>
          <cell r="S909">
            <v>0</v>
          </cell>
          <cell r="T909">
            <v>0</v>
          </cell>
          <cell r="U909">
            <v>0</v>
          </cell>
          <cell r="V909">
            <v>0</v>
          </cell>
          <cell r="W909">
            <v>0</v>
          </cell>
        </row>
        <row r="910">
          <cell r="C910" t="str">
            <v>2007RI</v>
          </cell>
          <cell r="D910">
            <v>2</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row>
        <row r="911">
          <cell r="C911" t="str">
            <v>2007SC</v>
          </cell>
          <cell r="D911">
            <v>0</v>
          </cell>
          <cell r="E911">
            <v>35890</v>
          </cell>
          <cell r="F911">
            <v>4050</v>
          </cell>
          <cell r="G911">
            <v>0</v>
          </cell>
          <cell r="H911">
            <v>210</v>
          </cell>
          <cell r="I911">
            <v>588</v>
          </cell>
          <cell r="J911">
            <v>0</v>
          </cell>
          <cell r="K911">
            <v>0</v>
          </cell>
          <cell r="L911">
            <v>0</v>
          </cell>
          <cell r="M911">
            <v>8140</v>
          </cell>
          <cell r="N911">
            <v>173600</v>
          </cell>
          <cell r="O911">
            <v>0</v>
          </cell>
          <cell r="P911">
            <v>0</v>
          </cell>
          <cell r="Q911">
            <v>0</v>
          </cell>
          <cell r="R911">
            <v>0</v>
          </cell>
          <cell r="S911">
            <v>0</v>
          </cell>
          <cell r="T911">
            <v>0</v>
          </cell>
          <cell r="U911">
            <v>0</v>
          </cell>
          <cell r="V911">
            <v>0</v>
          </cell>
          <cell r="W911">
            <v>0</v>
          </cell>
        </row>
        <row r="912">
          <cell r="C912" t="str">
            <v>2007SD</v>
          </cell>
          <cell r="D912">
            <v>4950</v>
          </cell>
          <cell r="E912">
            <v>542080</v>
          </cell>
          <cell r="F912">
            <v>143515</v>
          </cell>
          <cell r="G912">
            <v>1160</v>
          </cell>
          <cell r="H912">
            <v>7800</v>
          </cell>
          <cell r="I912">
            <v>9360</v>
          </cell>
          <cell r="J912">
            <v>0</v>
          </cell>
          <cell r="K912">
            <v>4030</v>
          </cell>
          <cell r="L912">
            <v>0</v>
          </cell>
          <cell r="M912">
            <v>136080</v>
          </cell>
          <cell r="N912">
            <v>0</v>
          </cell>
          <cell r="O912">
            <v>206</v>
          </cell>
          <cell r="P912">
            <v>0</v>
          </cell>
          <cell r="Q912">
            <v>0</v>
          </cell>
          <cell r="R912">
            <v>0</v>
          </cell>
          <cell r="S912">
            <v>0</v>
          </cell>
          <cell r="T912">
            <v>0</v>
          </cell>
          <cell r="U912">
            <v>0</v>
          </cell>
          <cell r="V912">
            <v>0</v>
          </cell>
          <cell r="W912">
            <v>0</v>
          </cell>
        </row>
        <row r="913">
          <cell r="C913" t="str">
            <v>2007TN</v>
          </cell>
          <cell r="D913">
            <v>60</v>
          </cell>
          <cell r="E913">
            <v>83740</v>
          </cell>
          <cell r="F913">
            <v>10660</v>
          </cell>
          <cell r="G913">
            <v>0</v>
          </cell>
          <cell r="H913">
            <v>1230</v>
          </cell>
          <cell r="I913">
            <v>0</v>
          </cell>
          <cell r="J913">
            <v>0</v>
          </cell>
          <cell r="K913">
            <v>0</v>
          </cell>
          <cell r="L913">
            <v>0</v>
          </cell>
          <cell r="M913">
            <v>19190</v>
          </cell>
          <cell r="N913">
            <v>0</v>
          </cell>
          <cell r="O913">
            <v>0</v>
          </cell>
          <cell r="P913">
            <v>0</v>
          </cell>
          <cell r="Q913">
            <v>0</v>
          </cell>
          <cell r="R913">
            <v>0</v>
          </cell>
          <cell r="S913">
            <v>0</v>
          </cell>
          <cell r="T913">
            <v>0</v>
          </cell>
          <cell r="U913">
            <v>0</v>
          </cell>
          <cell r="V913">
            <v>0</v>
          </cell>
          <cell r="W913">
            <v>0</v>
          </cell>
        </row>
        <row r="914">
          <cell r="C914" t="str">
            <v>2007TX</v>
          </cell>
          <cell r="D914">
            <v>700</v>
          </cell>
          <cell r="E914">
            <v>291560</v>
          </cell>
          <cell r="F914">
            <v>140600</v>
          </cell>
          <cell r="G914">
            <v>0</v>
          </cell>
          <cell r="H914">
            <v>159250</v>
          </cell>
          <cell r="I914">
            <v>4000</v>
          </cell>
          <cell r="J914">
            <v>0</v>
          </cell>
          <cell r="K914">
            <v>0</v>
          </cell>
          <cell r="L914">
            <v>9565</v>
          </cell>
          <cell r="M914">
            <v>3450</v>
          </cell>
          <cell r="N914">
            <v>691900</v>
          </cell>
          <cell r="O914">
            <v>243</v>
          </cell>
          <cell r="P914">
            <v>0</v>
          </cell>
          <cell r="Q914">
            <v>0</v>
          </cell>
          <cell r="R914">
            <v>0</v>
          </cell>
          <cell r="S914">
            <v>0</v>
          </cell>
          <cell r="T914">
            <v>1460</v>
          </cell>
          <cell r="U914">
            <v>145</v>
          </cell>
          <cell r="V914">
            <v>52.2</v>
          </cell>
          <cell r="W914">
            <v>0</v>
          </cell>
        </row>
        <row r="915">
          <cell r="C915" t="str">
            <v>2007UT</v>
          </cell>
          <cell r="D915">
            <v>2255</v>
          </cell>
          <cell r="E915">
            <v>3300</v>
          </cell>
          <cell r="F915">
            <v>5656</v>
          </cell>
          <cell r="G915">
            <v>1782</v>
          </cell>
          <cell r="H915">
            <v>0</v>
          </cell>
          <cell r="I915">
            <v>320</v>
          </cell>
          <cell r="J915">
            <v>0</v>
          </cell>
          <cell r="K915">
            <v>0</v>
          </cell>
          <cell r="L915">
            <v>0</v>
          </cell>
          <cell r="M915">
            <v>0</v>
          </cell>
          <cell r="N915">
            <v>0</v>
          </cell>
          <cell r="O915">
            <v>5</v>
          </cell>
          <cell r="P915">
            <v>0</v>
          </cell>
          <cell r="Q915">
            <v>0</v>
          </cell>
          <cell r="R915">
            <v>0</v>
          </cell>
          <cell r="S915">
            <v>0</v>
          </cell>
          <cell r="T915">
            <v>0</v>
          </cell>
          <cell r="U915">
            <v>0</v>
          </cell>
          <cell r="V915">
            <v>0</v>
          </cell>
          <cell r="W915">
            <v>0</v>
          </cell>
        </row>
        <row r="916">
          <cell r="C916" t="str">
            <v>2007VT</v>
          </cell>
          <cell r="D916">
            <v>66</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row>
        <row r="917">
          <cell r="C917" t="str">
            <v>2007VA</v>
          </cell>
          <cell r="D917">
            <v>234</v>
          </cell>
          <cell r="E917">
            <v>34830</v>
          </cell>
          <cell r="F917">
            <v>13120</v>
          </cell>
          <cell r="G917">
            <v>2130</v>
          </cell>
          <cell r="H917">
            <v>0</v>
          </cell>
          <cell r="I917">
            <v>300</v>
          </cell>
          <cell r="J917">
            <v>0</v>
          </cell>
          <cell r="K917">
            <v>0</v>
          </cell>
          <cell r="L917">
            <v>0</v>
          </cell>
          <cell r="M917">
            <v>13750</v>
          </cell>
          <cell r="N917">
            <v>52500</v>
          </cell>
          <cell r="O917">
            <v>0</v>
          </cell>
          <cell r="P917">
            <v>0</v>
          </cell>
          <cell r="Q917">
            <v>0</v>
          </cell>
          <cell r="R917">
            <v>0</v>
          </cell>
          <cell r="S917">
            <v>0</v>
          </cell>
          <cell r="T917">
            <v>0</v>
          </cell>
          <cell r="U917">
            <v>0</v>
          </cell>
          <cell r="V917">
            <v>0</v>
          </cell>
          <cell r="W917">
            <v>0</v>
          </cell>
        </row>
        <row r="918">
          <cell r="C918" t="str">
            <v>2007WA</v>
          </cell>
          <cell r="D918">
            <v>2288</v>
          </cell>
          <cell r="E918">
            <v>24150</v>
          </cell>
          <cell r="F918">
            <v>125342</v>
          </cell>
          <cell r="G918">
            <v>13950</v>
          </cell>
          <cell r="H918">
            <v>0</v>
          </cell>
          <cell r="I918">
            <v>450</v>
          </cell>
          <cell r="J918">
            <v>0</v>
          </cell>
          <cell r="K918">
            <v>0</v>
          </cell>
          <cell r="L918">
            <v>0</v>
          </cell>
          <cell r="M918">
            <v>0</v>
          </cell>
          <cell r="N918">
            <v>0</v>
          </cell>
          <cell r="O918">
            <v>1020</v>
          </cell>
          <cell r="P918">
            <v>1254</v>
          </cell>
          <cell r="Q918">
            <v>0</v>
          </cell>
          <cell r="R918">
            <v>804</v>
          </cell>
          <cell r="S918">
            <v>406</v>
          </cell>
          <cell r="T918">
            <v>0</v>
          </cell>
          <cell r="U918">
            <v>0</v>
          </cell>
          <cell r="V918">
            <v>0</v>
          </cell>
          <cell r="W918">
            <v>0</v>
          </cell>
        </row>
        <row r="919">
          <cell r="C919" t="str">
            <v>2007WV</v>
          </cell>
          <cell r="D919">
            <v>69</v>
          </cell>
          <cell r="E919">
            <v>2997</v>
          </cell>
          <cell r="F919">
            <v>342</v>
          </cell>
          <cell r="G919">
            <v>0</v>
          </cell>
          <cell r="H919">
            <v>0</v>
          </cell>
          <cell r="I919">
            <v>0</v>
          </cell>
          <cell r="J919">
            <v>0</v>
          </cell>
          <cell r="K919">
            <v>0</v>
          </cell>
          <cell r="L919">
            <v>0</v>
          </cell>
          <cell r="M919">
            <v>462</v>
          </cell>
          <cell r="N919">
            <v>0</v>
          </cell>
          <cell r="O919">
            <v>0</v>
          </cell>
          <cell r="P919">
            <v>0</v>
          </cell>
          <cell r="Q919">
            <v>0</v>
          </cell>
          <cell r="R919">
            <v>0</v>
          </cell>
          <cell r="S919">
            <v>0</v>
          </cell>
          <cell r="T919">
            <v>0</v>
          </cell>
          <cell r="U919">
            <v>0</v>
          </cell>
          <cell r="V919">
            <v>0</v>
          </cell>
          <cell r="W919">
            <v>0</v>
          </cell>
        </row>
        <row r="920">
          <cell r="C920" t="str">
            <v>2007WI</v>
          </cell>
          <cell r="D920">
            <v>3720</v>
          </cell>
          <cell r="E920">
            <v>442800</v>
          </cell>
          <cell r="F920">
            <v>18640</v>
          </cell>
          <cell r="G920">
            <v>1311</v>
          </cell>
          <cell r="H920">
            <v>0</v>
          </cell>
          <cell r="I920">
            <v>10720</v>
          </cell>
          <cell r="J920">
            <v>0</v>
          </cell>
          <cell r="K920">
            <v>0</v>
          </cell>
          <cell r="L920">
            <v>0</v>
          </cell>
          <cell r="M920">
            <v>55890</v>
          </cell>
          <cell r="N920">
            <v>0</v>
          </cell>
          <cell r="O920">
            <v>92</v>
          </cell>
          <cell r="P920">
            <v>0</v>
          </cell>
          <cell r="Q920">
            <v>0</v>
          </cell>
          <cell r="R920">
            <v>0</v>
          </cell>
          <cell r="S920">
            <v>0</v>
          </cell>
          <cell r="T920">
            <v>0</v>
          </cell>
          <cell r="U920">
            <v>0</v>
          </cell>
          <cell r="V920">
            <v>0</v>
          </cell>
          <cell r="W920">
            <v>0</v>
          </cell>
        </row>
        <row r="921">
          <cell r="C921" t="str">
            <v>2007WY</v>
          </cell>
          <cell r="D921">
            <v>1620</v>
          </cell>
          <cell r="E921">
            <v>7740</v>
          </cell>
          <cell r="F921">
            <v>3300</v>
          </cell>
          <cell r="G921">
            <v>4505</v>
          </cell>
          <cell r="H921">
            <v>0</v>
          </cell>
          <cell r="I921">
            <v>376</v>
          </cell>
          <cell r="J921">
            <v>0</v>
          </cell>
          <cell r="K921">
            <v>0</v>
          </cell>
          <cell r="L921">
            <v>0</v>
          </cell>
          <cell r="M921">
            <v>0</v>
          </cell>
          <cell r="N921">
            <v>0</v>
          </cell>
          <cell r="O921">
            <v>555</v>
          </cell>
          <cell r="P921">
            <v>0</v>
          </cell>
          <cell r="Q921">
            <v>0</v>
          </cell>
          <cell r="R921">
            <v>0</v>
          </cell>
          <cell r="S921">
            <v>0</v>
          </cell>
          <cell r="T921">
            <v>0</v>
          </cell>
          <cell r="U921">
            <v>0</v>
          </cell>
          <cell r="V921">
            <v>0</v>
          </cell>
          <cell r="W921">
            <v>0</v>
          </cell>
        </row>
        <row r="922">
          <cell r="C922" t="str">
            <v>2007US</v>
          </cell>
          <cell r="D922">
            <v>69880</v>
          </cell>
          <cell r="E922">
            <v>13037875</v>
          </cell>
          <cell r="F922">
            <v>2051088</v>
          </cell>
          <cell r="G922">
            <v>210110</v>
          </cell>
          <cell r="H922">
            <v>497445</v>
          </cell>
          <cell r="I922">
            <v>90430</v>
          </cell>
          <cell r="J922">
            <v>6311</v>
          </cell>
          <cell r="K922">
            <v>16900</v>
          </cell>
          <cell r="L922">
            <v>197949.85</v>
          </cell>
          <cell r="M922">
            <v>2677117</v>
          </cell>
          <cell r="N922">
            <v>3672250</v>
          </cell>
          <cell r="O922">
            <v>25586</v>
          </cell>
          <cell r="P922">
            <v>16287</v>
          </cell>
          <cell r="Q922">
            <v>118</v>
          </cell>
          <cell r="R922">
            <v>3650</v>
          </cell>
          <cell r="S922">
            <v>541</v>
          </cell>
          <cell r="T922">
            <v>29969</v>
          </cell>
          <cell r="U922">
            <v>2758.375</v>
          </cell>
          <cell r="V922">
            <v>186.58824999999996</v>
          </cell>
          <cell r="W922">
            <v>0</v>
          </cell>
        </row>
        <row r="923">
          <cell r="C923" t="str">
            <v>2008AL</v>
          </cell>
        </row>
        <row r="924">
          <cell r="C924" t="str">
            <v>2008AK</v>
          </cell>
        </row>
        <row r="925">
          <cell r="C925" t="str">
            <v>2008AZ</v>
          </cell>
        </row>
        <row r="926">
          <cell r="C926" t="str">
            <v>2008AR</v>
          </cell>
        </row>
        <row r="927">
          <cell r="C927" t="str">
            <v>2008CA</v>
          </cell>
        </row>
        <row r="928">
          <cell r="C928" t="str">
            <v>2008CO</v>
          </cell>
        </row>
        <row r="929">
          <cell r="C929" t="str">
            <v>2008CT</v>
          </cell>
        </row>
        <row r="930">
          <cell r="C930" t="str">
            <v>2008DE</v>
          </cell>
        </row>
        <row r="931">
          <cell r="C931" t="str">
            <v>2008FL</v>
          </cell>
        </row>
        <row r="932">
          <cell r="C932" t="str">
            <v>2008GA</v>
          </cell>
        </row>
        <row r="933">
          <cell r="C933" t="str">
            <v>2008HI</v>
          </cell>
        </row>
        <row r="934">
          <cell r="C934" t="str">
            <v>2008ID</v>
          </cell>
        </row>
        <row r="935">
          <cell r="C935" t="str">
            <v>2008IL</v>
          </cell>
        </row>
        <row r="936">
          <cell r="C936" t="str">
            <v>2008IN</v>
          </cell>
        </row>
        <row r="937">
          <cell r="C937" t="str">
            <v>2008IA</v>
          </cell>
        </row>
        <row r="938">
          <cell r="C938" t="str">
            <v>2008KS</v>
          </cell>
        </row>
        <row r="939">
          <cell r="C939" t="str">
            <v>2008KY</v>
          </cell>
        </row>
        <row r="940">
          <cell r="C940" t="str">
            <v>2008LA</v>
          </cell>
        </row>
        <row r="941">
          <cell r="C941" t="str">
            <v>2008ME</v>
          </cell>
        </row>
        <row r="942">
          <cell r="C942" t="str">
            <v>2008MD</v>
          </cell>
        </row>
        <row r="943">
          <cell r="C943" t="str">
            <v>2008MA</v>
          </cell>
        </row>
        <row r="944">
          <cell r="C944" t="str">
            <v>2008MI</v>
          </cell>
        </row>
        <row r="945">
          <cell r="C945" t="str">
            <v>2008MN</v>
          </cell>
        </row>
        <row r="946">
          <cell r="C946" t="str">
            <v>2008MS</v>
          </cell>
        </row>
        <row r="947">
          <cell r="C947" t="str">
            <v>2008MO</v>
          </cell>
        </row>
        <row r="948">
          <cell r="C948" t="str">
            <v>2008MT</v>
          </cell>
        </row>
        <row r="949">
          <cell r="C949" t="str">
            <v>2008NE</v>
          </cell>
        </row>
        <row r="950">
          <cell r="C950" t="str">
            <v>2008NV</v>
          </cell>
        </row>
        <row r="951">
          <cell r="C951" t="str">
            <v>2008NH</v>
          </cell>
        </row>
        <row r="952">
          <cell r="C952" t="str">
            <v>2008NJ</v>
          </cell>
        </row>
        <row r="953">
          <cell r="C953" t="str">
            <v>2008NM</v>
          </cell>
        </row>
        <row r="954">
          <cell r="C954" t="str">
            <v>2008NY</v>
          </cell>
        </row>
        <row r="955">
          <cell r="C955" t="str">
            <v>2008NC</v>
          </cell>
        </row>
        <row r="956">
          <cell r="C956" t="str">
            <v>2008ND</v>
          </cell>
        </row>
        <row r="957">
          <cell r="C957" t="str">
            <v>2008OH</v>
          </cell>
        </row>
        <row r="958">
          <cell r="C958" t="str">
            <v>2008OK</v>
          </cell>
        </row>
        <row r="959">
          <cell r="C959" t="str">
            <v>2008OR</v>
          </cell>
        </row>
        <row r="960">
          <cell r="C960" t="str">
            <v>2008PA</v>
          </cell>
        </row>
        <row r="961">
          <cell r="C961" t="str">
            <v>2008RI</v>
          </cell>
        </row>
        <row r="962">
          <cell r="C962" t="str">
            <v>2008SC</v>
          </cell>
        </row>
        <row r="963">
          <cell r="C963" t="str">
            <v>2008SD</v>
          </cell>
        </row>
        <row r="964">
          <cell r="C964" t="str">
            <v>2008TN</v>
          </cell>
        </row>
        <row r="965">
          <cell r="C965" t="str">
            <v>2008TX</v>
          </cell>
        </row>
        <row r="966">
          <cell r="C966" t="str">
            <v>2008UT</v>
          </cell>
        </row>
        <row r="967">
          <cell r="C967" t="str">
            <v>2008VT</v>
          </cell>
        </row>
        <row r="968">
          <cell r="C968" t="str">
            <v>2008VA</v>
          </cell>
        </row>
        <row r="969">
          <cell r="C969" t="str">
            <v>2008WA</v>
          </cell>
        </row>
        <row r="970">
          <cell r="C970" t="str">
            <v>2008WV</v>
          </cell>
        </row>
        <row r="971">
          <cell r="C971" t="str">
            <v>2008WI</v>
          </cell>
        </row>
        <row r="972">
          <cell r="C972" t="str">
            <v>2008WY</v>
          </cell>
        </row>
        <row r="973">
          <cell r="C973" t="str">
            <v>2008US</v>
          </cell>
        </row>
        <row r="974">
          <cell r="C974" t="str">
            <v>2009AL</v>
          </cell>
        </row>
        <row r="975">
          <cell r="C975" t="str">
            <v>2009AK</v>
          </cell>
        </row>
        <row r="976">
          <cell r="C976" t="str">
            <v>2009AZ</v>
          </cell>
        </row>
        <row r="977">
          <cell r="C977" t="str">
            <v>2009AR</v>
          </cell>
        </row>
        <row r="978">
          <cell r="C978" t="str">
            <v>2009CA</v>
          </cell>
        </row>
        <row r="979">
          <cell r="C979" t="str">
            <v>2009CO</v>
          </cell>
        </row>
        <row r="980">
          <cell r="C980" t="str">
            <v>2009CT</v>
          </cell>
        </row>
        <row r="981">
          <cell r="C981" t="str">
            <v>2009DE</v>
          </cell>
        </row>
        <row r="982">
          <cell r="C982" t="str">
            <v>2009FL</v>
          </cell>
        </row>
        <row r="983">
          <cell r="C983" t="str">
            <v>2009GA</v>
          </cell>
        </row>
        <row r="984">
          <cell r="C984" t="str">
            <v>2009HI</v>
          </cell>
        </row>
        <row r="985">
          <cell r="C985" t="str">
            <v>2009ID</v>
          </cell>
        </row>
        <row r="986">
          <cell r="C986" t="str">
            <v>2009IL</v>
          </cell>
        </row>
        <row r="987">
          <cell r="C987" t="str">
            <v>2009IN</v>
          </cell>
        </row>
        <row r="988">
          <cell r="C988" t="str">
            <v>2009IA</v>
          </cell>
        </row>
        <row r="989">
          <cell r="C989" t="str">
            <v>2009KS</v>
          </cell>
        </row>
        <row r="990">
          <cell r="C990" t="str">
            <v>2009KY</v>
          </cell>
        </row>
        <row r="991">
          <cell r="C991" t="str">
            <v>2009LA</v>
          </cell>
        </row>
        <row r="992">
          <cell r="C992" t="str">
            <v>2009ME</v>
          </cell>
        </row>
        <row r="993">
          <cell r="C993" t="str">
            <v>2009MD</v>
          </cell>
        </row>
        <row r="994">
          <cell r="C994" t="str">
            <v>2009MA</v>
          </cell>
        </row>
        <row r="995">
          <cell r="C995" t="str">
            <v>2009MI</v>
          </cell>
        </row>
        <row r="996">
          <cell r="C996" t="str">
            <v>2009MN</v>
          </cell>
        </row>
        <row r="997">
          <cell r="C997" t="str">
            <v>2009MS</v>
          </cell>
        </row>
        <row r="998">
          <cell r="C998" t="str">
            <v>2009MO</v>
          </cell>
        </row>
        <row r="999">
          <cell r="C999" t="str">
            <v>2009MT</v>
          </cell>
        </row>
        <row r="1000">
          <cell r="C1000" t="str">
            <v>2009NE</v>
          </cell>
        </row>
        <row r="1001">
          <cell r="C1001" t="str">
            <v>2009NV</v>
          </cell>
        </row>
        <row r="1002">
          <cell r="C1002" t="str">
            <v>2009NH</v>
          </cell>
        </row>
        <row r="1003">
          <cell r="C1003" t="str">
            <v>2009NJ</v>
          </cell>
        </row>
        <row r="1004">
          <cell r="C1004" t="str">
            <v>2009NM</v>
          </cell>
        </row>
        <row r="1005">
          <cell r="C1005" t="str">
            <v>2009NY</v>
          </cell>
        </row>
        <row r="1006">
          <cell r="C1006" t="str">
            <v>2009NC</v>
          </cell>
        </row>
        <row r="1007">
          <cell r="C1007" t="str">
            <v>2009ND</v>
          </cell>
        </row>
        <row r="1008">
          <cell r="C1008" t="str">
            <v>2009OH</v>
          </cell>
        </row>
        <row r="1009">
          <cell r="C1009" t="str">
            <v>2009OK</v>
          </cell>
        </row>
        <row r="1010">
          <cell r="C1010" t="str">
            <v>2009OR</v>
          </cell>
        </row>
        <row r="1011">
          <cell r="C1011" t="str">
            <v>2009PA</v>
          </cell>
        </row>
        <row r="1012">
          <cell r="C1012" t="str">
            <v>2009RI</v>
          </cell>
        </row>
        <row r="1013">
          <cell r="C1013" t="str">
            <v>2009SC</v>
          </cell>
        </row>
        <row r="1014">
          <cell r="C1014" t="str">
            <v>2009SD</v>
          </cell>
        </row>
        <row r="1015">
          <cell r="C1015" t="str">
            <v>2009TN</v>
          </cell>
        </row>
        <row r="1016">
          <cell r="C1016" t="str">
            <v>2009TX</v>
          </cell>
        </row>
        <row r="1017">
          <cell r="C1017" t="str">
            <v>2009UT</v>
          </cell>
        </row>
        <row r="1018">
          <cell r="C1018" t="str">
            <v>2009VT</v>
          </cell>
        </row>
        <row r="1019">
          <cell r="C1019" t="str">
            <v>2009VA</v>
          </cell>
        </row>
        <row r="1020">
          <cell r="C1020" t="str">
            <v>2009WA</v>
          </cell>
        </row>
        <row r="1021">
          <cell r="C1021" t="str">
            <v>2009WV</v>
          </cell>
        </row>
        <row r="1022">
          <cell r="C1022" t="str">
            <v>2009WI</v>
          </cell>
        </row>
        <row r="1023">
          <cell r="C1023" t="str">
            <v>2009WY</v>
          </cell>
        </row>
        <row r="1024">
          <cell r="C1024" t="str">
            <v>2009US</v>
          </cell>
        </row>
        <row r="1025">
          <cell r="C1025" t="str">
            <v>2010AL</v>
          </cell>
        </row>
        <row r="1026">
          <cell r="C1026" t="str">
            <v>2010AK</v>
          </cell>
        </row>
        <row r="1027">
          <cell r="C1027" t="str">
            <v>2010AZ</v>
          </cell>
        </row>
        <row r="1028">
          <cell r="C1028" t="str">
            <v>2010AR</v>
          </cell>
        </row>
        <row r="1029">
          <cell r="C1029" t="str">
            <v>2010CA</v>
          </cell>
        </row>
        <row r="1030">
          <cell r="C1030" t="str">
            <v>2010CO</v>
          </cell>
        </row>
        <row r="1031">
          <cell r="C1031" t="str">
            <v>2010CT</v>
          </cell>
        </row>
        <row r="1032">
          <cell r="C1032" t="str">
            <v>2010DE</v>
          </cell>
        </row>
        <row r="1033">
          <cell r="C1033" t="str">
            <v>2010FL</v>
          </cell>
        </row>
        <row r="1034">
          <cell r="C1034" t="str">
            <v>2010GA</v>
          </cell>
        </row>
        <row r="1035">
          <cell r="C1035" t="str">
            <v>2010HI</v>
          </cell>
        </row>
        <row r="1036">
          <cell r="C1036" t="str">
            <v>2010ID</v>
          </cell>
        </row>
        <row r="1037">
          <cell r="C1037" t="str">
            <v>2010IL</v>
          </cell>
        </row>
        <row r="1038">
          <cell r="C1038" t="str">
            <v>2010IN</v>
          </cell>
        </row>
        <row r="1039">
          <cell r="C1039" t="str">
            <v>2010IA</v>
          </cell>
        </row>
        <row r="1040">
          <cell r="C1040" t="str">
            <v>2010KS</v>
          </cell>
        </row>
        <row r="1041">
          <cell r="C1041" t="str">
            <v>2010KY</v>
          </cell>
        </row>
        <row r="1042">
          <cell r="C1042" t="str">
            <v>2010LA</v>
          </cell>
        </row>
        <row r="1043">
          <cell r="C1043" t="str">
            <v>2010ME</v>
          </cell>
        </row>
        <row r="1044">
          <cell r="C1044" t="str">
            <v>2010MD</v>
          </cell>
        </row>
        <row r="1045">
          <cell r="C1045" t="str">
            <v>2010MA</v>
          </cell>
        </row>
        <row r="1046">
          <cell r="C1046" t="str">
            <v>2010MI</v>
          </cell>
        </row>
        <row r="1047">
          <cell r="C1047" t="str">
            <v>2010MN</v>
          </cell>
        </row>
        <row r="1048">
          <cell r="C1048" t="str">
            <v>2010MS</v>
          </cell>
        </row>
        <row r="1049">
          <cell r="C1049" t="str">
            <v>2010MO</v>
          </cell>
        </row>
        <row r="1050">
          <cell r="C1050" t="str">
            <v>2010MT</v>
          </cell>
        </row>
        <row r="1051">
          <cell r="C1051" t="str">
            <v>2010NE</v>
          </cell>
        </row>
        <row r="1052">
          <cell r="C1052" t="str">
            <v>2010NV</v>
          </cell>
        </row>
        <row r="1053">
          <cell r="C1053" t="str">
            <v>2010NH</v>
          </cell>
        </row>
        <row r="1054">
          <cell r="C1054" t="str">
            <v>2010NJ</v>
          </cell>
        </row>
        <row r="1055">
          <cell r="C1055" t="str">
            <v>2010NM</v>
          </cell>
        </row>
        <row r="1056">
          <cell r="C1056" t="str">
            <v>2010NY</v>
          </cell>
        </row>
        <row r="1057">
          <cell r="C1057" t="str">
            <v>2010NC</v>
          </cell>
        </row>
        <row r="1058">
          <cell r="C1058" t="str">
            <v>2010ND</v>
          </cell>
        </row>
        <row r="1059">
          <cell r="C1059" t="str">
            <v>2010OH</v>
          </cell>
        </row>
        <row r="1060">
          <cell r="C1060" t="str">
            <v>2010OK</v>
          </cell>
        </row>
        <row r="1061">
          <cell r="C1061" t="str">
            <v>2010OR</v>
          </cell>
        </row>
        <row r="1062">
          <cell r="C1062" t="str">
            <v>2010PA</v>
          </cell>
        </row>
        <row r="1063">
          <cell r="C1063" t="str">
            <v>2010RI</v>
          </cell>
        </row>
        <row r="1064">
          <cell r="C1064" t="str">
            <v>2010SC</v>
          </cell>
        </row>
        <row r="1065">
          <cell r="C1065" t="str">
            <v>2010SD</v>
          </cell>
        </row>
        <row r="1066">
          <cell r="C1066" t="str">
            <v>2010TN</v>
          </cell>
        </row>
        <row r="1067">
          <cell r="C1067" t="str">
            <v>2010TX</v>
          </cell>
        </row>
        <row r="1068">
          <cell r="C1068" t="str">
            <v>2010UT</v>
          </cell>
        </row>
        <row r="1069">
          <cell r="C1069" t="str">
            <v>2010VT</v>
          </cell>
        </row>
        <row r="1070">
          <cell r="C1070" t="str">
            <v>2010VA</v>
          </cell>
        </row>
        <row r="1071">
          <cell r="C1071" t="str">
            <v>2010WA</v>
          </cell>
        </row>
        <row r="1072">
          <cell r="C1072" t="str">
            <v>2010WV</v>
          </cell>
        </row>
        <row r="1073">
          <cell r="C1073" t="str">
            <v>2010WI</v>
          </cell>
        </row>
        <row r="1074">
          <cell r="C1074" t="str">
            <v>2010WY</v>
          </cell>
        </row>
        <row r="1075">
          <cell r="C1075" t="str">
            <v>2010US</v>
          </cell>
        </row>
        <row r="1076">
          <cell r="C1076" t="str">
            <v>2011AL</v>
          </cell>
        </row>
        <row r="1077">
          <cell r="C1077" t="str">
            <v>2011AK</v>
          </cell>
        </row>
        <row r="1078">
          <cell r="C1078" t="str">
            <v>2011AZ</v>
          </cell>
        </row>
        <row r="1079">
          <cell r="C1079" t="str">
            <v>2011AR</v>
          </cell>
        </row>
        <row r="1080">
          <cell r="C1080" t="str">
            <v>2011CA</v>
          </cell>
        </row>
        <row r="1081">
          <cell r="C1081" t="str">
            <v>2011CO</v>
          </cell>
        </row>
        <row r="1082">
          <cell r="C1082" t="str">
            <v>2011CT</v>
          </cell>
        </row>
        <row r="1083">
          <cell r="C1083" t="str">
            <v>2011DE</v>
          </cell>
        </row>
        <row r="1084">
          <cell r="C1084" t="str">
            <v>2011FL</v>
          </cell>
        </row>
        <row r="1085">
          <cell r="C1085" t="str">
            <v>2011GA</v>
          </cell>
        </row>
        <row r="1086">
          <cell r="C1086" t="str">
            <v>2011HI</v>
          </cell>
        </row>
        <row r="1087">
          <cell r="C1087" t="str">
            <v>2011ID</v>
          </cell>
        </row>
        <row r="1088">
          <cell r="C1088" t="str">
            <v>2011IL</v>
          </cell>
        </row>
        <row r="1089">
          <cell r="C1089" t="str">
            <v>2011IN</v>
          </cell>
        </row>
        <row r="1090">
          <cell r="C1090" t="str">
            <v>2011IA</v>
          </cell>
        </row>
        <row r="1091">
          <cell r="C1091" t="str">
            <v>2011KS</v>
          </cell>
        </row>
        <row r="1092">
          <cell r="C1092" t="str">
            <v>2011KY</v>
          </cell>
        </row>
        <row r="1093">
          <cell r="C1093" t="str">
            <v>2011LA</v>
          </cell>
        </row>
        <row r="1094">
          <cell r="C1094" t="str">
            <v>2011ME</v>
          </cell>
        </row>
        <row r="1095">
          <cell r="C1095" t="str">
            <v>2011MD</v>
          </cell>
        </row>
        <row r="1096">
          <cell r="C1096" t="str">
            <v>2011MA</v>
          </cell>
        </row>
        <row r="1097">
          <cell r="C1097" t="str">
            <v>2011MI</v>
          </cell>
        </row>
        <row r="1098">
          <cell r="C1098" t="str">
            <v>2011MN</v>
          </cell>
        </row>
        <row r="1099">
          <cell r="C1099" t="str">
            <v>2011MS</v>
          </cell>
        </row>
        <row r="1100">
          <cell r="C1100" t="str">
            <v>2011MO</v>
          </cell>
        </row>
        <row r="1101">
          <cell r="C1101" t="str">
            <v>2011MT</v>
          </cell>
        </row>
        <row r="1102">
          <cell r="C1102" t="str">
            <v>2011NE</v>
          </cell>
        </row>
        <row r="1103">
          <cell r="C1103" t="str">
            <v>2011NV</v>
          </cell>
        </row>
        <row r="1104">
          <cell r="C1104" t="str">
            <v>2011NH</v>
          </cell>
        </row>
        <row r="1105">
          <cell r="C1105" t="str">
            <v>2011NJ</v>
          </cell>
        </row>
        <row r="1106">
          <cell r="C1106" t="str">
            <v>2011NM</v>
          </cell>
        </row>
        <row r="1107">
          <cell r="C1107" t="str">
            <v>2011NY</v>
          </cell>
        </row>
        <row r="1108">
          <cell r="C1108" t="str">
            <v>2011NC</v>
          </cell>
        </row>
        <row r="1109">
          <cell r="C1109" t="str">
            <v>2011ND</v>
          </cell>
        </row>
        <row r="1110">
          <cell r="C1110" t="str">
            <v>2011OH</v>
          </cell>
        </row>
        <row r="1111">
          <cell r="C1111" t="str">
            <v>2011OK</v>
          </cell>
        </row>
        <row r="1112">
          <cell r="C1112" t="str">
            <v>2011OR</v>
          </cell>
        </row>
        <row r="1113">
          <cell r="C1113" t="str">
            <v>2011PA</v>
          </cell>
        </row>
        <row r="1114">
          <cell r="C1114" t="str">
            <v>2011RI</v>
          </cell>
        </row>
        <row r="1115">
          <cell r="C1115" t="str">
            <v>2011SC</v>
          </cell>
        </row>
        <row r="1116">
          <cell r="C1116" t="str">
            <v>2011SD</v>
          </cell>
        </row>
        <row r="1117">
          <cell r="C1117" t="str">
            <v>2011TN</v>
          </cell>
        </row>
        <row r="1118">
          <cell r="C1118" t="str">
            <v>2011TX</v>
          </cell>
        </row>
        <row r="1119">
          <cell r="C1119" t="str">
            <v>2011UT</v>
          </cell>
        </row>
        <row r="1120">
          <cell r="C1120" t="str">
            <v>2011VT</v>
          </cell>
        </row>
        <row r="1121">
          <cell r="C1121" t="str">
            <v>2011VA</v>
          </cell>
        </row>
        <row r="1122">
          <cell r="C1122" t="str">
            <v>2011WA</v>
          </cell>
        </row>
        <row r="1123">
          <cell r="C1123" t="str">
            <v>2011WV</v>
          </cell>
        </row>
        <row r="1124">
          <cell r="C1124" t="str">
            <v>2011WI</v>
          </cell>
        </row>
        <row r="1125">
          <cell r="C1125" t="str">
            <v>2011WY</v>
          </cell>
        </row>
        <row r="1126">
          <cell r="C1126" t="str">
            <v>2011US</v>
          </cell>
        </row>
        <row r="1127">
          <cell r="C1127" t="str">
            <v>2012AL</v>
          </cell>
        </row>
        <row r="1128">
          <cell r="C1128" t="str">
            <v>2012AK</v>
          </cell>
        </row>
        <row r="1129">
          <cell r="C1129" t="str">
            <v>2012AZ</v>
          </cell>
        </row>
        <row r="1130">
          <cell r="C1130" t="str">
            <v>2012AR</v>
          </cell>
        </row>
        <row r="1131">
          <cell r="C1131" t="str">
            <v>2012CA</v>
          </cell>
        </row>
        <row r="1132">
          <cell r="C1132" t="str">
            <v>2012CO</v>
          </cell>
        </row>
        <row r="1133">
          <cell r="C1133" t="str">
            <v>2012CT</v>
          </cell>
        </row>
        <row r="1134">
          <cell r="C1134" t="str">
            <v>2012DE</v>
          </cell>
        </row>
        <row r="1135">
          <cell r="C1135" t="str">
            <v>2012FL</v>
          </cell>
        </row>
        <row r="1136">
          <cell r="C1136" t="str">
            <v>2012GA</v>
          </cell>
        </row>
        <row r="1137">
          <cell r="C1137" t="str">
            <v>2012HI</v>
          </cell>
        </row>
        <row r="1138">
          <cell r="C1138" t="str">
            <v>2012ID</v>
          </cell>
        </row>
        <row r="1139">
          <cell r="C1139" t="str">
            <v>2012IL</v>
          </cell>
        </row>
        <row r="1140">
          <cell r="C1140" t="str">
            <v>2012IN</v>
          </cell>
        </row>
        <row r="1141">
          <cell r="C1141" t="str">
            <v>2012IA</v>
          </cell>
        </row>
        <row r="1142">
          <cell r="C1142" t="str">
            <v>2012KS</v>
          </cell>
        </row>
        <row r="1143">
          <cell r="C1143" t="str">
            <v>2012KY</v>
          </cell>
        </row>
        <row r="1144">
          <cell r="C1144" t="str">
            <v>2012LA</v>
          </cell>
        </row>
        <row r="1145">
          <cell r="C1145" t="str">
            <v>2012ME</v>
          </cell>
        </row>
        <row r="1146">
          <cell r="C1146" t="str">
            <v>2012MD</v>
          </cell>
        </row>
        <row r="1147">
          <cell r="C1147" t="str">
            <v>2012MA</v>
          </cell>
        </row>
        <row r="1148">
          <cell r="C1148" t="str">
            <v>2012MI</v>
          </cell>
        </row>
        <row r="1149">
          <cell r="C1149" t="str">
            <v>2012MN</v>
          </cell>
        </row>
        <row r="1150">
          <cell r="C1150" t="str">
            <v>2012MS</v>
          </cell>
        </row>
        <row r="1151">
          <cell r="C1151" t="str">
            <v>2012MO</v>
          </cell>
        </row>
        <row r="1152">
          <cell r="C1152" t="str">
            <v>2012MT</v>
          </cell>
        </row>
        <row r="1153">
          <cell r="C1153" t="str">
            <v>2012NE</v>
          </cell>
        </row>
        <row r="1154">
          <cell r="C1154" t="str">
            <v>2012NV</v>
          </cell>
        </row>
        <row r="1155">
          <cell r="C1155" t="str">
            <v>2012NH</v>
          </cell>
        </row>
        <row r="1156">
          <cell r="C1156" t="str">
            <v>2012NJ</v>
          </cell>
        </row>
        <row r="1157">
          <cell r="C1157" t="str">
            <v>2012NM</v>
          </cell>
        </row>
        <row r="1158">
          <cell r="C1158" t="str">
            <v>2012NY</v>
          </cell>
        </row>
        <row r="1159">
          <cell r="C1159" t="str">
            <v>2012NC</v>
          </cell>
        </row>
        <row r="1160">
          <cell r="C1160" t="str">
            <v>2012ND</v>
          </cell>
        </row>
        <row r="1161">
          <cell r="C1161" t="str">
            <v>2012OH</v>
          </cell>
        </row>
        <row r="1162">
          <cell r="C1162" t="str">
            <v>2012OK</v>
          </cell>
        </row>
        <row r="1163">
          <cell r="C1163" t="str">
            <v>2012OR</v>
          </cell>
        </row>
        <row r="1164">
          <cell r="C1164" t="str">
            <v>2012PA</v>
          </cell>
        </row>
        <row r="1165">
          <cell r="C1165" t="str">
            <v>2012RI</v>
          </cell>
        </row>
        <row r="1166">
          <cell r="C1166" t="str">
            <v>2012SC</v>
          </cell>
        </row>
        <row r="1167">
          <cell r="C1167" t="str">
            <v>2012SD</v>
          </cell>
        </row>
        <row r="1168">
          <cell r="C1168" t="str">
            <v>2012TN</v>
          </cell>
        </row>
        <row r="1169">
          <cell r="C1169" t="str">
            <v>2012TX</v>
          </cell>
        </row>
        <row r="1170">
          <cell r="C1170" t="str">
            <v>2012UT</v>
          </cell>
        </row>
        <row r="1171">
          <cell r="C1171" t="str">
            <v>2012VT</v>
          </cell>
        </row>
        <row r="1172">
          <cell r="C1172" t="str">
            <v>2012VA</v>
          </cell>
        </row>
        <row r="1173">
          <cell r="C1173" t="str">
            <v>2012WA</v>
          </cell>
        </row>
        <row r="1174">
          <cell r="C1174" t="str">
            <v>2012WV</v>
          </cell>
        </row>
        <row r="1175">
          <cell r="C1175" t="str">
            <v>2012WI</v>
          </cell>
        </row>
        <row r="1176">
          <cell r="C1176" t="str">
            <v>2012WY</v>
          </cell>
        </row>
        <row r="1177">
          <cell r="C1177" t="str">
            <v>2012US</v>
          </cell>
        </row>
        <row r="1178">
          <cell r="C1178" t="str">
            <v>2013AL</v>
          </cell>
        </row>
        <row r="1179">
          <cell r="C1179" t="str">
            <v>2013AK</v>
          </cell>
        </row>
        <row r="1180">
          <cell r="C1180" t="str">
            <v>2013AZ</v>
          </cell>
        </row>
        <row r="1181">
          <cell r="C1181" t="str">
            <v>2013AR</v>
          </cell>
        </row>
        <row r="1182">
          <cell r="C1182" t="str">
            <v>2013CA</v>
          </cell>
        </row>
        <row r="1183">
          <cell r="C1183" t="str">
            <v>2013CO</v>
          </cell>
        </row>
        <row r="1184">
          <cell r="C1184" t="str">
            <v>2013CT</v>
          </cell>
        </row>
        <row r="1185">
          <cell r="C1185" t="str">
            <v>2013DE</v>
          </cell>
        </row>
        <row r="1186">
          <cell r="C1186" t="str">
            <v>2013FL</v>
          </cell>
        </row>
        <row r="1187">
          <cell r="C1187" t="str">
            <v>2013GA</v>
          </cell>
        </row>
        <row r="1188">
          <cell r="C1188" t="str">
            <v>2013HI</v>
          </cell>
        </row>
        <row r="1189">
          <cell r="C1189" t="str">
            <v>2013ID</v>
          </cell>
        </row>
        <row r="1190">
          <cell r="C1190" t="str">
            <v>2013IL</v>
          </cell>
        </row>
        <row r="1191">
          <cell r="C1191" t="str">
            <v>2013IN</v>
          </cell>
        </row>
        <row r="1192">
          <cell r="C1192" t="str">
            <v>2013IA</v>
          </cell>
        </row>
        <row r="1193">
          <cell r="C1193" t="str">
            <v>2013KS</v>
          </cell>
        </row>
        <row r="1194">
          <cell r="C1194" t="str">
            <v>2013KY</v>
          </cell>
        </row>
        <row r="1195">
          <cell r="C1195" t="str">
            <v>2013LA</v>
          </cell>
        </row>
        <row r="1196">
          <cell r="C1196" t="str">
            <v>2013ME</v>
          </cell>
        </row>
        <row r="1197">
          <cell r="C1197" t="str">
            <v>2013MD</v>
          </cell>
        </row>
        <row r="1198">
          <cell r="C1198" t="str">
            <v>2013MA</v>
          </cell>
        </row>
        <row r="1199">
          <cell r="C1199" t="str">
            <v>2013MI</v>
          </cell>
        </row>
        <row r="1200">
          <cell r="C1200" t="str">
            <v>2013MN</v>
          </cell>
        </row>
        <row r="1201">
          <cell r="C1201" t="str">
            <v>2013MS</v>
          </cell>
        </row>
        <row r="1202">
          <cell r="C1202" t="str">
            <v>2013MO</v>
          </cell>
        </row>
        <row r="1203">
          <cell r="C1203" t="str">
            <v>2013MT</v>
          </cell>
        </row>
        <row r="1204">
          <cell r="C1204" t="str">
            <v>2013NE</v>
          </cell>
        </row>
        <row r="1205">
          <cell r="C1205" t="str">
            <v>2013NV</v>
          </cell>
        </row>
        <row r="1206">
          <cell r="C1206" t="str">
            <v>2013NH</v>
          </cell>
        </row>
        <row r="1207">
          <cell r="C1207" t="str">
            <v>2013NJ</v>
          </cell>
        </row>
        <row r="1208">
          <cell r="C1208" t="str">
            <v>2013NM</v>
          </cell>
        </row>
        <row r="1209">
          <cell r="C1209" t="str">
            <v>2013NY</v>
          </cell>
        </row>
        <row r="1210">
          <cell r="C1210" t="str">
            <v>2013NC</v>
          </cell>
        </row>
        <row r="1211">
          <cell r="C1211" t="str">
            <v>2013ND</v>
          </cell>
        </row>
        <row r="1212">
          <cell r="C1212" t="str">
            <v>2013OH</v>
          </cell>
        </row>
        <row r="1213">
          <cell r="C1213" t="str">
            <v>2013OK</v>
          </cell>
        </row>
        <row r="1214">
          <cell r="C1214" t="str">
            <v>2013OR</v>
          </cell>
        </row>
        <row r="1215">
          <cell r="C1215" t="str">
            <v>2013PA</v>
          </cell>
        </row>
        <row r="1216">
          <cell r="C1216" t="str">
            <v>2013RI</v>
          </cell>
        </row>
        <row r="1217">
          <cell r="C1217" t="str">
            <v>2013SC</v>
          </cell>
        </row>
        <row r="1218">
          <cell r="C1218" t="str">
            <v>2013SD</v>
          </cell>
        </row>
        <row r="1219">
          <cell r="C1219" t="str">
            <v>2013TN</v>
          </cell>
        </row>
        <row r="1220">
          <cell r="C1220" t="str">
            <v>2013TX</v>
          </cell>
        </row>
        <row r="1221">
          <cell r="C1221" t="str">
            <v>2013UT</v>
          </cell>
        </row>
        <row r="1222">
          <cell r="C1222" t="str">
            <v>2013VT</v>
          </cell>
        </row>
        <row r="1223">
          <cell r="C1223" t="str">
            <v>2013VA</v>
          </cell>
        </row>
        <row r="1224">
          <cell r="C1224" t="str">
            <v>2013WA</v>
          </cell>
        </row>
        <row r="1225">
          <cell r="C1225" t="str">
            <v>2013WV</v>
          </cell>
        </row>
        <row r="1226">
          <cell r="C1226" t="str">
            <v>2013WI</v>
          </cell>
        </row>
        <row r="1227">
          <cell r="C1227" t="str">
            <v>2013WY</v>
          </cell>
        </row>
        <row r="1228">
          <cell r="C1228" t="str">
            <v>2013US</v>
          </cell>
        </row>
        <row r="1229">
          <cell r="C1229" t="str">
            <v>2014AL</v>
          </cell>
        </row>
        <row r="1230">
          <cell r="C1230" t="str">
            <v>2014AK</v>
          </cell>
        </row>
        <row r="1231">
          <cell r="C1231" t="str">
            <v>2014AZ</v>
          </cell>
        </row>
        <row r="1232">
          <cell r="C1232" t="str">
            <v>2014AR</v>
          </cell>
        </row>
        <row r="1233">
          <cell r="C1233" t="str">
            <v>2014CA</v>
          </cell>
        </row>
        <row r="1234">
          <cell r="C1234" t="str">
            <v>2014CO</v>
          </cell>
        </row>
        <row r="1235">
          <cell r="C1235" t="str">
            <v>2014CT</v>
          </cell>
        </row>
        <row r="1236">
          <cell r="C1236" t="str">
            <v>2014DE</v>
          </cell>
        </row>
        <row r="1237">
          <cell r="C1237" t="str">
            <v>2014FL</v>
          </cell>
        </row>
        <row r="1238">
          <cell r="C1238" t="str">
            <v>2014GA</v>
          </cell>
        </row>
        <row r="1239">
          <cell r="C1239" t="str">
            <v>2014HI</v>
          </cell>
        </row>
        <row r="1240">
          <cell r="C1240" t="str">
            <v>2014ID</v>
          </cell>
        </row>
        <row r="1241">
          <cell r="C1241" t="str">
            <v>2014IL</v>
          </cell>
        </row>
        <row r="1242">
          <cell r="C1242" t="str">
            <v>2014IN</v>
          </cell>
        </row>
        <row r="1243">
          <cell r="C1243" t="str">
            <v>2014IA</v>
          </cell>
        </row>
        <row r="1244">
          <cell r="C1244" t="str">
            <v>2014KS</v>
          </cell>
        </row>
        <row r="1245">
          <cell r="C1245" t="str">
            <v>2014KY</v>
          </cell>
        </row>
        <row r="1246">
          <cell r="C1246" t="str">
            <v>2014LA</v>
          </cell>
        </row>
        <row r="1247">
          <cell r="C1247" t="str">
            <v>2014ME</v>
          </cell>
        </row>
        <row r="1248">
          <cell r="C1248" t="str">
            <v>2014MD</v>
          </cell>
        </row>
        <row r="1249">
          <cell r="C1249" t="str">
            <v>2014MA</v>
          </cell>
        </row>
        <row r="1250">
          <cell r="C1250" t="str">
            <v>2014MI</v>
          </cell>
        </row>
        <row r="1251">
          <cell r="C1251" t="str">
            <v>2014MN</v>
          </cell>
        </row>
        <row r="1252">
          <cell r="C1252" t="str">
            <v>2014MS</v>
          </cell>
        </row>
        <row r="1253">
          <cell r="C1253" t="str">
            <v>2014MO</v>
          </cell>
        </row>
        <row r="1254">
          <cell r="C1254" t="str">
            <v>2014MT</v>
          </cell>
        </row>
        <row r="1255">
          <cell r="C1255" t="str">
            <v>2014NE</v>
          </cell>
        </row>
        <row r="1256">
          <cell r="C1256" t="str">
            <v>2014NV</v>
          </cell>
        </row>
        <row r="1257">
          <cell r="C1257" t="str">
            <v>2014NH</v>
          </cell>
        </row>
        <row r="1258">
          <cell r="C1258" t="str">
            <v>2014NJ</v>
          </cell>
        </row>
        <row r="1259">
          <cell r="C1259" t="str">
            <v>2014NM</v>
          </cell>
        </row>
        <row r="1260">
          <cell r="C1260" t="str">
            <v>2014NY</v>
          </cell>
        </row>
        <row r="1261">
          <cell r="C1261" t="str">
            <v>2014NC</v>
          </cell>
        </row>
        <row r="1262">
          <cell r="C1262" t="str">
            <v>2014ND</v>
          </cell>
        </row>
        <row r="1263">
          <cell r="C1263" t="str">
            <v>2014OH</v>
          </cell>
        </row>
        <row r="1264">
          <cell r="C1264" t="str">
            <v>2014OK</v>
          </cell>
        </row>
        <row r="1265">
          <cell r="C1265" t="str">
            <v>2014OR</v>
          </cell>
        </row>
        <row r="1266">
          <cell r="C1266" t="str">
            <v>2014PA</v>
          </cell>
        </row>
        <row r="1267">
          <cell r="C1267" t="str">
            <v>2014RI</v>
          </cell>
        </row>
        <row r="1268">
          <cell r="C1268" t="str">
            <v>2014SC</v>
          </cell>
        </row>
        <row r="1269">
          <cell r="C1269" t="str">
            <v>2014SD</v>
          </cell>
        </row>
        <row r="1270">
          <cell r="C1270" t="str">
            <v>2014TN</v>
          </cell>
        </row>
        <row r="1271">
          <cell r="C1271" t="str">
            <v>2014TX</v>
          </cell>
        </row>
        <row r="1272">
          <cell r="C1272" t="str">
            <v>2014UT</v>
          </cell>
        </row>
        <row r="1273">
          <cell r="C1273" t="str">
            <v>2014VT</v>
          </cell>
        </row>
        <row r="1274">
          <cell r="C1274" t="str">
            <v>2014VA</v>
          </cell>
        </row>
        <row r="1275">
          <cell r="C1275" t="str">
            <v>2014WA</v>
          </cell>
        </row>
        <row r="1276">
          <cell r="C1276" t="str">
            <v>2014WV</v>
          </cell>
        </row>
        <row r="1277">
          <cell r="C1277" t="str">
            <v>2014WI</v>
          </cell>
        </row>
        <row r="1278">
          <cell r="C1278" t="str">
            <v>2014WY</v>
          </cell>
        </row>
        <row r="1279">
          <cell r="C1279" t="str">
            <v>2014US</v>
          </cell>
        </row>
        <row r="1280">
          <cell r="C1280" t="str">
            <v>2015AL</v>
          </cell>
        </row>
        <row r="1281">
          <cell r="C1281" t="str">
            <v>2015AK</v>
          </cell>
        </row>
        <row r="1282">
          <cell r="C1282" t="str">
            <v>2015AZ</v>
          </cell>
        </row>
        <row r="1283">
          <cell r="C1283" t="str">
            <v>2015AR</v>
          </cell>
        </row>
        <row r="1284">
          <cell r="C1284" t="str">
            <v>2015CA</v>
          </cell>
        </row>
        <row r="1285">
          <cell r="C1285" t="str">
            <v>2015CO</v>
          </cell>
        </row>
        <row r="1286">
          <cell r="C1286" t="str">
            <v>2015CT</v>
          </cell>
        </row>
        <row r="1287">
          <cell r="C1287" t="str">
            <v>2015DE</v>
          </cell>
        </row>
        <row r="1288">
          <cell r="C1288" t="str">
            <v>2015FL</v>
          </cell>
        </row>
        <row r="1289">
          <cell r="C1289" t="str">
            <v>2015GA</v>
          </cell>
        </row>
        <row r="1290">
          <cell r="C1290" t="str">
            <v>2015HI</v>
          </cell>
        </row>
        <row r="1291">
          <cell r="C1291" t="str">
            <v>2015ID</v>
          </cell>
        </row>
        <row r="1292">
          <cell r="C1292" t="str">
            <v>2015IL</v>
          </cell>
        </row>
        <row r="1293">
          <cell r="C1293" t="str">
            <v>2015IN</v>
          </cell>
        </row>
        <row r="1294">
          <cell r="C1294" t="str">
            <v>2015IA</v>
          </cell>
        </row>
        <row r="1295">
          <cell r="C1295" t="str">
            <v>2015KS</v>
          </cell>
        </row>
        <row r="1296">
          <cell r="C1296" t="str">
            <v>2015KY</v>
          </cell>
        </row>
        <row r="1297">
          <cell r="C1297" t="str">
            <v>2015LA</v>
          </cell>
        </row>
        <row r="1298">
          <cell r="C1298" t="str">
            <v>2015ME</v>
          </cell>
        </row>
        <row r="1299">
          <cell r="C1299" t="str">
            <v>2015MD</v>
          </cell>
        </row>
        <row r="1300">
          <cell r="C1300" t="str">
            <v>2015MA</v>
          </cell>
        </row>
        <row r="1301">
          <cell r="C1301" t="str">
            <v>2015MI</v>
          </cell>
        </row>
        <row r="1302">
          <cell r="C1302" t="str">
            <v>2015MN</v>
          </cell>
        </row>
        <row r="1303">
          <cell r="C1303" t="str">
            <v>2015MS</v>
          </cell>
        </row>
        <row r="1304">
          <cell r="C1304" t="str">
            <v>2015MO</v>
          </cell>
        </row>
        <row r="1305">
          <cell r="C1305" t="str">
            <v>2015MT</v>
          </cell>
        </row>
        <row r="1306">
          <cell r="C1306" t="str">
            <v>2015NE</v>
          </cell>
        </row>
        <row r="1307">
          <cell r="C1307" t="str">
            <v>2015NV</v>
          </cell>
        </row>
        <row r="1308">
          <cell r="C1308" t="str">
            <v>2015NH</v>
          </cell>
        </row>
        <row r="1309">
          <cell r="C1309" t="str">
            <v>2015NJ</v>
          </cell>
        </row>
        <row r="1310">
          <cell r="C1310" t="str">
            <v>2015NM</v>
          </cell>
        </row>
        <row r="1311">
          <cell r="C1311" t="str">
            <v>2015NY</v>
          </cell>
        </row>
        <row r="1312">
          <cell r="C1312" t="str">
            <v>2015NC</v>
          </cell>
        </row>
        <row r="1313">
          <cell r="C1313" t="str">
            <v>2015ND</v>
          </cell>
        </row>
        <row r="1314">
          <cell r="C1314" t="str">
            <v>2015OH</v>
          </cell>
        </row>
        <row r="1315">
          <cell r="C1315" t="str">
            <v>2015OK</v>
          </cell>
        </row>
        <row r="1316">
          <cell r="C1316" t="str">
            <v>2015OR</v>
          </cell>
        </row>
        <row r="1317">
          <cell r="C1317" t="str">
            <v>2015PA</v>
          </cell>
        </row>
        <row r="1318">
          <cell r="C1318" t="str">
            <v>2015RI</v>
          </cell>
        </row>
        <row r="1319">
          <cell r="C1319" t="str">
            <v>2015SC</v>
          </cell>
        </row>
        <row r="1320">
          <cell r="C1320" t="str">
            <v>2015SD</v>
          </cell>
        </row>
        <row r="1321">
          <cell r="C1321" t="str">
            <v>2015TN</v>
          </cell>
        </row>
        <row r="1322">
          <cell r="C1322" t="str">
            <v>2015TX</v>
          </cell>
        </row>
        <row r="1323">
          <cell r="C1323" t="str">
            <v>2015UT</v>
          </cell>
        </row>
        <row r="1324">
          <cell r="C1324" t="str">
            <v>2015VT</v>
          </cell>
        </row>
        <row r="1325">
          <cell r="C1325" t="str">
            <v>2015VA</v>
          </cell>
        </row>
        <row r="1326">
          <cell r="C1326" t="str">
            <v>2015WA</v>
          </cell>
        </row>
        <row r="1327">
          <cell r="C1327" t="str">
            <v>2015WV</v>
          </cell>
        </row>
        <row r="1328">
          <cell r="C1328" t="str">
            <v>2015WI</v>
          </cell>
        </row>
        <row r="1329">
          <cell r="C1329" t="str">
            <v>2015WY</v>
          </cell>
        </row>
        <row r="1330">
          <cell r="C1330" t="str">
            <v>2015US</v>
          </cell>
        </row>
        <row r="1331">
          <cell r="C1331" t="str">
            <v>2016AL</v>
          </cell>
        </row>
        <row r="1332">
          <cell r="C1332" t="str">
            <v>2016AK</v>
          </cell>
        </row>
        <row r="1333">
          <cell r="C1333" t="str">
            <v>2016AZ</v>
          </cell>
        </row>
        <row r="1334">
          <cell r="C1334" t="str">
            <v>2016AR</v>
          </cell>
        </row>
        <row r="1335">
          <cell r="C1335" t="str">
            <v>2016CA</v>
          </cell>
        </row>
        <row r="1336">
          <cell r="C1336" t="str">
            <v>2016CO</v>
          </cell>
        </row>
        <row r="1337">
          <cell r="C1337" t="str">
            <v>2016CT</v>
          </cell>
        </row>
        <row r="1338">
          <cell r="C1338" t="str">
            <v>2016DE</v>
          </cell>
        </row>
        <row r="1339">
          <cell r="C1339" t="str">
            <v>2016FL</v>
          </cell>
        </row>
        <row r="1340">
          <cell r="C1340" t="str">
            <v>2016GA</v>
          </cell>
        </row>
        <row r="1341">
          <cell r="C1341" t="str">
            <v>2016HI</v>
          </cell>
        </row>
        <row r="1342">
          <cell r="C1342" t="str">
            <v>2016ID</v>
          </cell>
        </row>
        <row r="1343">
          <cell r="C1343" t="str">
            <v>2016IL</v>
          </cell>
        </row>
        <row r="1344">
          <cell r="C1344" t="str">
            <v>2016IN</v>
          </cell>
        </row>
        <row r="1345">
          <cell r="C1345" t="str">
            <v>2016IA</v>
          </cell>
        </row>
        <row r="1346">
          <cell r="C1346" t="str">
            <v>2016KS</v>
          </cell>
        </row>
        <row r="1347">
          <cell r="C1347" t="str">
            <v>2016KY</v>
          </cell>
        </row>
        <row r="1348">
          <cell r="C1348" t="str">
            <v>2016LA</v>
          </cell>
        </row>
        <row r="1349">
          <cell r="C1349" t="str">
            <v>2016ME</v>
          </cell>
        </row>
        <row r="1350">
          <cell r="C1350" t="str">
            <v>2016MD</v>
          </cell>
        </row>
        <row r="1351">
          <cell r="C1351" t="str">
            <v>2016MA</v>
          </cell>
        </row>
        <row r="1352">
          <cell r="C1352" t="str">
            <v>2016MI</v>
          </cell>
        </row>
        <row r="1353">
          <cell r="C1353" t="str">
            <v>2016MN</v>
          </cell>
        </row>
        <row r="1354">
          <cell r="C1354" t="str">
            <v>2016MS</v>
          </cell>
        </row>
        <row r="1355">
          <cell r="C1355" t="str">
            <v>2016MO</v>
          </cell>
        </row>
        <row r="1356">
          <cell r="C1356" t="str">
            <v>2016MT</v>
          </cell>
        </row>
        <row r="1357">
          <cell r="C1357" t="str">
            <v>2016NE</v>
          </cell>
        </row>
        <row r="1358">
          <cell r="C1358" t="str">
            <v>2016NV</v>
          </cell>
        </row>
        <row r="1359">
          <cell r="C1359" t="str">
            <v>2016NH</v>
          </cell>
        </row>
        <row r="1360">
          <cell r="C1360" t="str">
            <v>2016NJ</v>
          </cell>
        </row>
        <row r="1361">
          <cell r="C1361" t="str">
            <v>2016NM</v>
          </cell>
        </row>
        <row r="1362">
          <cell r="C1362" t="str">
            <v>2016NY</v>
          </cell>
        </row>
        <row r="1363">
          <cell r="C1363" t="str">
            <v>2016NC</v>
          </cell>
        </row>
        <row r="1364">
          <cell r="C1364" t="str">
            <v>2016ND</v>
          </cell>
        </row>
        <row r="1365">
          <cell r="C1365" t="str">
            <v>2016OH</v>
          </cell>
        </row>
        <row r="1366">
          <cell r="C1366" t="str">
            <v>2016OK</v>
          </cell>
        </row>
        <row r="1367">
          <cell r="C1367" t="str">
            <v>2016OR</v>
          </cell>
        </row>
        <row r="1368">
          <cell r="C1368" t="str">
            <v>2016PA</v>
          </cell>
        </row>
        <row r="1369">
          <cell r="C1369" t="str">
            <v>2016RI</v>
          </cell>
        </row>
        <row r="1370">
          <cell r="C1370" t="str">
            <v>2016SC</v>
          </cell>
        </row>
        <row r="1371">
          <cell r="C1371" t="str">
            <v>2016SD</v>
          </cell>
        </row>
        <row r="1372">
          <cell r="C1372" t="str">
            <v>2016TN</v>
          </cell>
        </row>
        <row r="1373">
          <cell r="C1373" t="str">
            <v>2016TX</v>
          </cell>
        </row>
        <row r="1374">
          <cell r="C1374" t="str">
            <v>2016UT</v>
          </cell>
        </row>
        <row r="1375">
          <cell r="C1375" t="str">
            <v>2016VT</v>
          </cell>
        </row>
        <row r="1376">
          <cell r="C1376" t="str">
            <v>2016VA</v>
          </cell>
        </row>
        <row r="1377">
          <cell r="C1377" t="str">
            <v>2016WA</v>
          </cell>
        </row>
        <row r="1378">
          <cell r="C1378" t="str">
            <v>2016WV</v>
          </cell>
        </row>
        <row r="1379">
          <cell r="C1379" t="str">
            <v>2016WI</v>
          </cell>
        </row>
        <row r="1380">
          <cell r="C1380" t="str">
            <v>2016WY</v>
          </cell>
        </row>
        <row r="1381">
          <cell r="C1381" t="str">
            <v>2016US</v>
          </cell>
        </row>
        <row r="1382">
          <cell r="C1382" t="str">
            <v>2017AL</v>
          </cell>
        </row>
        <row r="1383">
          <cell r="C1383" t="str">
            <v>2017AK</v>
          </cell>
        </row>
        <row r="1384">
          <cell r="C1384" t="str">
            <v>2017AZ</v>
          </cell>
        </row>
        <row r="1385">
          <cell r="C1385" t="str">
            <v>2017AR</v>
          </cell>
        </row>
        <row r="1386">
          <cell r="C1386" t="str">
            <v>2017CA</v>
          </cell>
        </row>
        <row r="1387">
          <cell r="C1387" t="str">
            <v>2017CO</v>
          </cell>
        </row>
        <row r="1388">
          <cell r="C1388" t="str">
            <v>2017CT</v>
          </cell>
        </row>
        <row r="1389">
          <cell r="C1389" t="str">
            <v>2017DE</v>
          </cell>
        </row>
        <row r="1390">
          <cell r="C1390" t="str">
            <v>2017FL</v>
          </cell>
        </row>
        <row r="1391">
          <cell r="C1391" t="str">
            <v>2017GA</v>
          </cell>
        </row>
        <row r="1392">
          <cell r="C1392" t="str">
            <v>2017HI</v>
          </cell>
        </row>
        <row r="1393">
          <cell r="C1393" t="str">
            <v>2017ID</v>
          </cell>
        </row>
        <row r="1394">
          <cell r="C1394" t="str">
            <v>2017IL</v>
          </cell>
        </row>
        <row r="1395">
          <cell r="C1395" t="str">
            <v>2017IN</v>
          </cell>
        </row>
        <row r="1396">
          <cell r="C1396" t="str">
            <v>2017IA</v>
          </cell>
        </row>
        <row r="1397">
          <cell r="C1397" t="str">
            <v>2017KS</v>
          </cell>
        </row>
        <row r="1398">
          <cell r="C1398" t="str">
            <v>2017KY</v>
          </cell>
        </row>
        <row r="1399">
          <cell r="C1399" t="str">
            <v>2017LA</v>
          </cell>
        </row>
        <row r="1400">
          <cell r="C1400" t="str">
            <v>2017ME</v>
          </cell>
        </row>
        <row r="1401">
          <cell r="C1401" t="str">
            <v>2017MD</v>
          </cell>
        </row>
        <row r="1402">
          <cell r="C1402" t="str">
            <v>2017MA</v>
          </cell>
        </row>
        <row r="1403">
          <cell r="C1403" t="str">
            <v>2017MI</v>
          </cell>
        </row>
        <row r="1404">
          <cell r="C1404" t="str">
            <v>2017MN</v>
          </cell>
        </row>
        <row r="1405">
          <cell r="C1405" t="str">
            <v>2017MS</v>
          </cell>
        </row>
        <row r="1406">
          <cell r="C1406" t="str">
            <v>2017MO</v>
          </cell>
        </row>
        <row r="1407">
          <cell r="C1407" t="str">
            <v>2017MT</v>
          </cell>
        </row>
        <row r="1408">
          <cell r="C1408" t="str">
            <v>2017NE</v>
          </cell>
        </row>
        <row r="1409">
          <cell r="C1409" t="str">
            <v>2017NV</v>
          </cell>
        </row>
        <row r="1410">
          <cell r="C1410" t="str">
            <v>2017NH</v>
          </cell>
        </row>
        <row r="1411">
          <cell r="C1411" t="str">
            <v>2017NJ</v>
          </cell>
        </row>
        <row r="1412">
          <cell r="C1412" t="str">
            <v>2017NM</v>
          </cell>
        </row>
        <row r="1413">
          <cell r="C1413" t="str">
            <v>2017NY</v>
          </cell>
        </row>
        <row r="1414">
          <cell r="C1414" t="str">
            <v>2017NC</v>
          </cell>
        </row>
        <row r="1415">
          <cell r="C1415" t="str">
            <v>2017ND</v>
          </cell>
        </row>
        <row r="1416">
          <cell r="C1416" t="str">
            <v>2017OH</v>
          </cell>
        </row>
        <row r="1417">
          <cell r="C1417" t="str">
            <v>2017OK</v>
          </cell>
        </row>
        <row r="1418">
          <cell r="C1418" t="str">
            <v>2017OR</v>
          </cell>
        </row>
        <row r="1419">
          <cell r="C1419" t="str">
            <v>2017PA</v>
          </cell>
        </row>
        <row r="1420">
          <cell r="C1420" t="str">
            <v>2017RI</v>
          </cell>
        </row>
        <row r="1421">
          <cell r="C1421" t="str">
            <v>2017SC</v>
          </cell>
        </row>
        <row r="1422">
          <cell r="C1422" t="str">
            <v>2017SD</v>
          </cell>
        </row>
        <row r="1423">
          <cell r="C1423" t="str">
            <v>2017TN</v>
          </cell>
        </row>
        <row r="1424">
          <cell r="C1424" t="str">
            <v>2017TX</v>
          </cell>
        </row>
        <row r="1425">
          <cell r="C1425" t="str">
            <v>2017UT</v>
          </cell>
        </row>
        <row r="1426">
          <cell r="C1426" t="str">
            <v>2017VT</v>
          </cell>
        </row>
        <row r="1427">
          <cell r="C1427" t="str">
            <v>2017VA</v>
          </cell>
        </row>
        <row r="1428">
          <cell r="C1428" t="str">
            <v>2017WA</v>
          </cell>
        </row>
        <row r="1429">
          <cell r="C1429" t="str">
            <v>2017WV</v>
          </cell>
        </row>
        <row r="1430">
          <cell r="C1430" t="str">
            <v>2017WI</v>
          </cell>
        </row>
        <row r="1431">
          <cell r="C1431" t="str">
            <v>2017WY</v>
          </cell>
        </row>
        <row r="1432">
          <cell r="C1432" t="str">
            <v>2017US</v>
          </cell>
        </row>
        <row r="1433">
          <cell r="C1433" t="str">
            <v>2018AL</v>
          </cell>
        </row>
        <row r="1434">
          <cell r="C1434" t="str">
            <v>2018AK</v>
          </cell>
        </row>
        <row r="1435">
          <cell r="C1435" t="str">
            <v>2018AZ</v>
          </cell>
        </row>
        <row r="1436">
          <cell r="C1436" t="str">
            <v>2018AR</v>
          </cell>
        </row>
        <row r="1437">
          <cell r="C1437" t="str">
            <v>2018CA</v>
          </cell>
        </row>
        <row r="1438">
          <cell r="C1438" t="str">
            <v>2018CO</v>
          </cell>
        </row>
        <row r="1439">
          <cell r="C1439" t="str">
            <v>2018CT</v>
          </cell>
        </row>
        <row r="1440">
          <cell r="C1440" t="str">
            <v>2018DE</v>
          </cell>
        </row>
        <row r="1441">
          <cell r="C1441" t="str">
            <v>2018FL</v>
          </cell>
        </row>
        <row r="1442">
          <cell r="C1442" t="str">
            <v>2018GA</v>
          </cell>
        </row>
        <row r="1443">
          <cell r="C1443" t="str">
            <v>2018HI</v>
          </cell>
        </row>
        <row r="1444">
          <cell r="C1444" t="str">
            <v>2018ID</v>
          </cell>
        </row>
        <row r="1445">
          <cell r="C1445" t="str">
            <v>2018IL</v>
          </cell>
        </row>
        <row r="1446">
          <cell r="C1446" t="str">
            <v>2018IN</v>
          </cell>
        </row>
        <row r="1447">
          <cell r="C1447" t="str">
            <v>2018IA</v>
          </cell>
        </row>
        <row r="1448">
          <cell r="C1448" t="str">
            <v>2018KS</v>
          </cell>
        </row>
        <row r="1449">
          <cell r="C1449" t="str">
            <v>2018KY</v>
          </cell>
        </row>
        <row r="1450">
          <cell r="C1450" t="str">
            <v>2018LA</v>
          </cell>
        </row>
        <row r="1451">
          <cell r="C1451" t="str">
            <v>2018ME</v>
          </cell>
        </row>
        <row r="1452">
          <cell r="C1452" t="str">
            <v>2018MD</v>
          </cell>
        </row>
        <row r="1453">
          <cell r="C1453" t="str">
            <v>2018MA</v>
          </cell>
        </row>
        <row r="1454">
          <cell r="C1454" t="str">
            <v>2018MI</v>
          </cell>
        </row>
        <row r="1455">
          <cell r="C1455" t="str">
            <v>2018MN</v>
          </cell>
        </row>
        <row r="1456">
          <cell r="C1456" t="str">
            <v>2018MS</v>
          </cell>
        </row>
        <row r="1457">
          <cell r="C1457" t="str">
            <v>2018MO</v>
          </cell>
        </row>
        <row r="1458">
          <cell r="C1458" t="str">
            <v>2018MT</v>
          </cell>
        </row>
        <row r="1459">
          <cell r="C1459" t="str">
            <v>2018NE</v>
          </cell>
        </row>
        <row r="1460">
          <cell r="C1460" t="str">
            <v>2018NV</v>
          </cell>
        </row>
        <row r="1461">
          <cell r="C1461" t="str">
            <v>2018NH</v>
          </cell>
        </row>
        <row r="1462">
          <cell r="C1462" t="str">
            <v>2018NJ</v>
          </cell>
        </row>
        <row r="1463">
          <cell r="C1463" t="str">
            <v>2018NM</v>
          </cell>
        </row>
        <row r="1464">
          <cell r="C1464" t="str">
            <v>2018NY</v>
          </cell>
        </row>
        <row r="1465">
          <cell r="C1465" t="str">
            <v>2018NC</v>
          </cell>
        </row>
        <row r="1466">
          <cell r="C1466" t="str">
            <v>2018ND</v>
          </cell>
        </row>
        <row r="1467">
          <cell r="C1467" t="str">
            <v>2018OH</v>
          </cell>
        </row>
        <row r="1468">
          <cell r="C1468" t="str">
            <v>2018OK</v>
          </cell>
        </row>
        <row r="1469">
          <cell r="C1469" t="str">
            <v>2018OR</v>
          </cell>
        </row>
        <row r="1470">
          <cell r="C1470" t="str">
            <v>2018PA</v>
          </cell>
        </row>
        <row r="1471">
          <cell r="C1471" t="str">
            <v>2018RI</v>
          </cell>
        </row>
        <row r="1472">
          <cell r="C1472" t="str">
            <v>2018SC</v>
          </cell>
        </row>
        <row r="1473">
          <cell r="C1473" t="str">
            <v>2018SD</v>
          </cell>
        </row>
        <row r="1474">
          <cell r="C1474" t="str">
            <v>2018TN</v>
          </cell>
        </row>
        <row r="1475">
          <cell r="C1475" t="str">
            <v>2018TX</v>
          </cell>
        </row>
        <row r="1476">
          <cell r="C1476" t="str">
            <v>2018UT</v>
          </cell>
        </row>
        <row r="1477">
          <cell r="C1477" t="str">
            <v>2018VT</v>
          </cell>
        </row>
        <row r="1478">
          <cell r="C1478" t="str">
            <v>2018VA</v>
          </cell>
        </row>
        <row r="1479">
          <cell r="C1479" t="str">
            <v>2018WA</v>
          </cell>
        </row>
        <row r="1480">
          <cell r="C1480" t="str">
            <v>2018WV</v>
          </cell>
        </row>
        <row r="1481">
          <cell r="C1481" t="str">
            <v>2018WI</v>
          </cell>
        </row>
        <row r="1482">
          <cell r="C1482" t="str">
            <v>2018WY</v>
          </cell>
        </row>
        <row r="1483">
          <cell r="C1483" t="str">
            <v>2018US</v>
          </cell>
        </row>
        <row r="1484">
          <cell r="C1484" t="str">
            <v>2019AL</v>
          </cell>
        </row>
        <row r="1485">
          <cell r="C1485" t="str">
            <v>2019AK</v>
          </cell>
        </row>
        <row r="1486">
          <cell r="C1486" t="str">
            <v>2019AZ</v>
          </cell>
        </row>
        <row r="1487">
          <cell r="C1487" t="str">
            <v>2019AR</v>
          </cell>
        </row>
        <row r="1488">
          <cell r="C1488" t="str">
            <v>2019CA</v>
          </cell>
        </row>
        <row r="1489">
          <cell r="C1489" t="str">
            <v>2019CO</v>
          </cell>
        </row>
        <row r="1490">
          <cell r="C1490" t="str">
            <v>2019CT</v>
          </cell>
        </row>
        <row r="1491">
          <cell r="C1491" t="str">
            <v>2019DE</v>
          </cell>
        </row>
        <row r="1492">
          <cell r="C1492" t="str">
            <v>2019FL</v>
          </cell>
        </row>
        <row r="1493">
          <cell r="C1493" t="str">
            <v>2019GA</v>
          </cell>
        </row>
        <row r="1494">
          <cell r="C1494" t="str">
            <v>2019HI</v>
          </cell>
        </row>
        <row r="1495">
          <cell r="C1495" t="str">
            <v>2019ID</v>
          </cell>
        </row>
        <row r="1496">
          <cell r="C1496" t="str">
            <v>2019IL</v>
          </cell>
        </row>
        <row r="1497">
          <cell r="C1497" t="str">
            <v>2019IN</v>
          </cell>
        </row>
        <row r="1498">
          <cell r="C1498" t="str">
            <v>2019IA</v>
          </cell>
        </row>
        <row r="1499">
          <cell r="C1499" t="str">
            <v>2019KS</v>
          </cell>
        </row>
        <row r="1500">
          <cell r="C1500" t="str">
            <v>2019KY</v>
          </cell>
        </row>
        <row r="1501">
          <cell r="C1501" t="str">
            <v>2019LA</v>
          </cell>
        </row>
        <row r="1502">
          <cell r="C1502" t="str">
            <v>2019ME</v>
          </cell>
        </row>
        <row r="1503">
          <cell r="C1503" t="str">
            <v>2019MD</v>
          </cell>
        </row>
        <row r="1504">
          <cell r="C1504" t="str">
            <v>2019MA</v>
          </cell>
        </row>
        <row r="1505">
          <cell r="C1505" t="str">
            <v>2019MI</v>
          </cell>
        </row>
        <row r="1506">
          <cell r="C1506" t="str">
            <v>2019MN</v>
          </cell>
        </row>
        <row r="1507">
          <cell r="C1507" t="str">
            <v>2019MS</v>
          </cell>
        </row>
        <row r="1508">
          <cell r="C1508" t="str">
            <v>2019MO</v>
          </cell>
        </row>
        <row r="1509">
          <cell r="C1509" t="str">
            <v>2019MT</v>
          </cell>
        </row>
        <row r="1510">
          <cell r="C1510" t="str">
            <v>2019NE</v>
          </cell>
        </row>
        <row r="1511">
          <cell r="C1511" t="str">
            <v>2019NV</v>
          </cell>
        </row>
        <row r="1512">
          <cell r="C1512" t="str">
            <v>2019NH</v>
          </cell>
        </row>
        <row r="1513">
          <cell r="C1513" t="str">
            <v>2019NJ</v>
          </cell>
        </row>
        <row r="1514">
          <cell r="C1514" t="str">
            <v>2019NM</v>
          </cell>
        </row>
        <row r="1515">
          <cell r="C1515" t="str">
            <v>2019NY</v>
          </cell>
        </row>
        <row r="1516">
          <cell r="C1516" t="str">
            <v>2019NC</v>
          </cell>
        </row>
        <row r="1517">
          <cell r="C1517" t="str">
            <v>2019ND</v>
          </cell>
        </row>
        <row r="1518">
          <cell r="C1518" t="str">
            <v>2019OH</v>
          </cell>
        </row>
        <row r="1519">
          <cell r="C1519" t="str">
            <v>2019OK</v>
          </cell>
        </row>
        <row r="1520">
          <cell r="C1520" t="str">
            <v>2019OR</v>
          </cell>
        </row>
        <row r="1521">
          <cell r="C1521" t="str">
            <v>2019PA</v>
          </cell>
        </row>
        <row r="1522">
          <cell r="C1522" t="str">
            <v>2019RI</v>
          </cell>
        </row>
        <row r="1523">
          <cell r="C1523" t="str">
            <v>2019SC</v>
          </cell>
        </row>
        <row r="1524">
          <cell r="C1524" t="str">
            <v>2019SD</v>
          </cell>
        </row>
        <row r="1525">
          <cell r="C1525" t="str">
            <v>2019TN</v>
          </cell>
        </row>
        <row r="1526">
          <cell r="C1526" t="str">
            <v>2019TX</v>
          </cell>
        </row>
        <row r="1527">
          <cell r="C1527" t="str">
            <v>2019UT</v>
          </cell>
        </row>
        <row r="1528">
          <cell r="C1528" t="str">
            <v>2019VT</v>
          </cell>
        </row>
        <row r="1529">
          <cell r="C1529" t="str">
            <v>2019VA</v>
          </cell>
        </row>
        <row r="1530">
          <cell r="C1530" t="str">
            <v>2019WA</v>
          </cell>
        </row>
        <row r="1531">
          <cell r="C1531" t="str">
            <v>2019WV</v>
          </cell>
        </row>
        <row r="1532">
          <cell r="C1532" t="str">
            <v>2019WI</v>
          </cell>
        </row>
        <row r="1533">
          <cell r="C1533" t="str">
            <v>2019WY</v>
          </cell>
        </row>
        <row r="1534">
          <cell r="C1534" t="str">
            <v>2019US</v>
          </cell>
        </row>
        <row r="1535">
          <cell r="C1535" t="str">
            <v>2020AL</v>
          </cell>
        </row>
        <row r="1536">
          <cell r="C1536" t="str">
            <v>2020AK</v>
          </cell>
        </row>
        <row r="1537">
          <cell r="C1537" t="str">
            <v>2020AZ</v>
          </cell>
        </row>
        <row r="1538">
          <cell r="C1538" t="str">
            <v>2020AR</v>
          </cell>
        </row>
        <row r="1539">
          <cell r="C1539" t="str">
            <v>2020CA</v>
          </cell>
        </row>
        <row r="1540">
          <cell r="C1540" t="str">
            <v>2020CO</v>
          </cell>
        </row>
        <row r="1541">
          <cell r="C1541" t="str">
            <v>2020CT</v>
          </cell>
        </row>
        <row r="1542">
          <cell r="C1542" t="str">
            <v>2020DE</v>
          </cell>
        </row>
        <row r="1543">
          <cell r="C1543" t="str">
            <v>2020FL</v>
          </cell>
        </row>
        <row r="1544">
          <cell r="C1544" t="str">
            <v>2020GA</v>
          </cell>
        </row>
        <row r="1545">
          <cell r="C1545" t="str">
            <v>2020HI</v>
          </cell>
        </row>
        <row r="1546">
          <cell r="C1546" t="str">
            <v>2020ID</v>
          </cell>
        </row>
        <row r="1547">
          <cell r="C1547" t="str">
            <v>2020IL</v>
          </cell>
        </row>
        <row r="1548">
          <cell r="C1548" t="str">
            <v>2020IN</v>
          </cell>
        </row>
        <row r="1549">
          <cell r="C1549" t="str">
            <v>2020IA</v>
          </cell>
        </row>
        <row r="1550">
          <cell r="C1550" t="str">
            <v>2020KS</v>
          </cell>
        </row>
        <row r="1551">
          <cell r="C1551" t="str">
            <v>2020KY</v>
          </cell>
        </row>
        <row r="1552">
          <cell r="C1552" t="str">
            <v>2020LA</v>
          </cell>
        </row>
        <row r="1553">
          <cell r="C1553" t="str">
            <v>2020ME</v>
          </cell>
        </row>
        <row r="1554">
          <cell r="C1554" t="str">
            <v>2020MD</v>
          </cell>
        </row>
        <row r="1555">
          <cell r="C1555" t="str">
            <v>2020MA</v>
          </cell>
        </row>
        <row r="1556">
          <cell r="C1556" t="str">
            <v>2020MI</v>
          </cell>
        </row>
        <row r="1557">
          <cell r="C1557" t="str">
            <v>2020MN</v>
          </cell>
        </row>
        <row r="1558">
          <cell r="C1558" t="str">
            <v>2020MS</v>
          </cell>
        </row>
        <row r="1559">
          <cell r="C1559" t="str">
            <v>2020MO</v>
          </cell>
        </row>
        <row r="1560">
          <cell r="C1560" t="str">
            <v>2020MT</v>
          </cell>
        </row>
        <row r="1561">
          <cell r="C1561" t="str">
            <v>2020NE</v>
          </cell>
        </row>
        <row r="1562">
          <cell r="C1562" t="str">
            <v>2020NV</v>
          </cell>
        </row>
        <row r="1563">
          <cell r="C1563" t="str">
            <v>2020NH</v>
          </cell>
        </row>
        <row r="1564">
          <cell r="C1564" t="str">
            <v>2020NJ</v>
          </cell>
        </row>
        <row r="1565">
          <cell r="C1565" t="str">
            <v>2020NM</v>
          </cell>
        </row>
        <row r="1566">
          <cell r="C1566" t="str">
            <v>2020NY</v>
          </cell>
        </row>
        <row r="1567">
          <cell r="C1567" t="str">
            <v>2020NC</v>
          </cell>
        </row>
        <row r="1568">
          <cell r="C1568" t="str">
            <v>2020ND</v>
          </cell>
        </row>
        <row r="1569">
          <cell r="C1569" t="str">
            <v>2020OH</v>
          </cell>
        </row>
        <row r="1570">
          <cell r="C1570" t="str">
            <v>2020OK</v>
          </cell>
        </row>
        <row r="1571">
          <cell r="C1571" t="str">
            <v>2020OR</v>
          </cell>
        </row>
        <row r="1572">
          <cell r="C1572" t="str">
            <v>2020PA</v>
          </cell>
        </row>
        <row r="1573">
          <cell r="C1573" t="str">
            <v>2020RI</v>
          </cell>
        </row>
        <row r="1574">
          <cell r="C1574" t="str">
            <v>2020SC</v>
          </cell>
        </row>
        <row r="1575">
          <cell r="C1575" t="str">
            <v>2020SD</v>
          </cell>
        </row>
        <row r="1576">
          <cell r="C1576" t="str">
            <v>2020TN</v>
          </cell>
        </row>
        <row r="1577">
          <cell r="C1577" t="str">
            <v>2020TX</v>
          </cell>
        </row>
        <row r="1578">
          <cell r="C1578" t="str">
            <v>2020UT</v>
          </cell>
        </row>
        <row r="1579">
          <cell r="C1579" t="str">
            <v>2020VT</v>
          </cell>
        </row>
        <row r="1580">
          <cell r="C1580" t="str">
            <v>2020VA</v>
          </cell>
        </row>
        <row r="1581">
          <cell r="C1581" t="str">
            <v>2020WA</v>
          </cell>
        </row>
        <row r="1582">
          <cell r="C1582" t="str">
            <v>2020WV</v>
          </cell>
        </row>
        <row r="1583">
          <cell r="C1583" t="str">
            <v>2020WI</v>
          </cell>
        </row>
        <row r="1584">
          <cell r="C1584" t="str">
            <v>2020WY</v>
          </cell>
        </row>
        <row r="1585">
          <cell r="C1585" t="str">
            <v>2020US</v>
          </cell>
        </row>
      </sheetData>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Control"/>
      <sheetName val="Residential"/>
      <sheetName val="Commercial"/>
      <sheetName val="Transportation"/>
      <sheetName val="Electric Power"/>
      <sheetName val="Bunker Fuels"/>
      <sheetName val="Industrial"/>
      <sheetName val="Summary-MMTCO2E"/>
      <sheetName val="Summary-MMTCE"/>
      <sheetName val="Tracker"/>
      <sheetName val="Uncertainty"/>
      <sheetName val="Default State Energy Data Table"/>
      <sheetName val="SED Btu 1990-2005"/>
      <sheetName val="FF Consumption"/>
      <sheetName val="Coal CC"/>
      <sheetName val="Non-Energy Consump."/>
      <sheetName val="Variable CC's"/>
      <sheetName val="Code Key"/>
      <sheetName val="SNG"/>
      <sheetName val="Ethanol"/>
      <sheetName val="Data Sources"/>
      <sheetName val="List Data"/>
      <sheetName val="Notes"/>
      <sheetName val="MD_CO2FFC_Module"/>
    </sheetNames>
    <sheetDataSet>
      <sheetData sheetId="0" refreshError="1">
        <row r="11">
          <cell r="D11">
            <v>1</v>
          </cell>
        </row>
        <row r="12">
          <cell r="D12">
            <v>1</v>
          </cell>
        </row>
        <row r="13">
          <cell r="D13">
            <v>1</v>
          </cell>
        </row>
        <row r="14">
          <cell r="D14">
            <v>1</v>
          </cell>
        </row>
        <row r="20">
          <cell r="D20">
            <v>43.942731277533035</v>
          </cell>
        </row>
        <row r="23">
          <cell r="D23">
            <v>43.436123348017617</v>
          </cell>
        </row>
        <row r="25">
          <cell r="D25" t="str">
            <v>variable by year</v>
          </cell>
        </row>
        <row r="38">
          <cell r="D38" t="str">
            <v>variable by year</v>
          </cell>
        </row>
        <row r="43">
          <cell r="D43">
            <v>31.872246696035241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6">
          <cell r="E6" t="str">
            <v>AL Electric Power Coal CC</v>
          </cell>
          <cell r="F6">
            <v>55.93636363636363</v>
          </cell>
          <cell r="G6">
            <v>55.990909090909092</v>
          </cell>
          <cell r="H6">
            <v>55.990909090909092</v>
          </cell>
          <cell r="I6">
            <v>55.990909090909092</v>
          </cell>
          <cell r="J6">
            <v>55.990909090909092</v>
          </cell>
          <cell r="K6">
            <v>56.127272727272725</v>
          </cell>
          <cell r="L6">
            <v>56.127272727272725</v>
          </cell>
          <cell r="M6">
            <v>56.240653636363632</v>
          </cell>
          <cell r="N6">
            <v>55.390909090909084</v>
          </cell>
          <cell r="O6">
            <v>55.367999999999995</v>
          </cell>
          <cell r="P6">
            <v>55.367999999999995</v>
          </cell>
          <cell r="Q6">
            <v>55.367999999999995</v>
          </cell>
          <cell r="R6">
            <v>55.367999999999995</v>
          </cell>
          <cell r="S6">
            <v>55.367999999999995</v>
          </cell>
          <cell r="T6">
            <v>55.367999999999995</v>
          </cell>
          <cell r="U6">
            <v>55.367999999999995</v>
          </cell>
        </row>
        <row r="7">
          <cell r="E7" t="str">
            <v>AK Electric Power Coal CC</v>
          </cell>
          <cell r="F7">
            <v>58.36363636363636</v>
          </cell>
          <cell r="G7">
            <v>58.36363636363636</v>
          </cell>
          <cell r="H7">
            <v>58.36363636363636</v>
          </cell>
          <cell r="I7">
            <v>58.36363636363636</v>
          </cell>
          <cell r="J7">
            <v>57.825613636363634</v>
          </cell>
          <cell r="K7">
            <v>58.36363636363636</v>
          </cell>
          <cell r="L7">
            <v>58.36363636363636</v>
          </cell>
          <cell r="M7">
            <v>57.825613636363634</v>
          </cell>
          <cell r="N7">
            <v>56.209090909090904</v>
          </cell>
          <cell r="O7">
            <v>56.213999999999992</v>
          </cell>
          <cell r="P7">
            <v>56.213999999999992</v>
          </cell>
          <cell r="Q7">
            <v>56.213999999999992</v>
          </cell>
          <cell r="R7">
            <v>56.213999999999992</v>
          </cell>
          <cell r="S7">
            <v>56.213999999999992</v>
          </cell>
          <cell r="T7">
            <v>56.213999999999992</v>
          </cell>
          <cell r="U7">
            <v>56.213999999999992</v>
          </cell>
        </row>
        <row r="8">
          <cell r="E8" t="str">
            <v>AR Electric Power Coal CC</v>
          </cell>
          <cell r="F8">
            <v>57.54545454545454</v>
          </cell>
          <cell r="G8">
            <v>58.009090909090901</v>
          </cell>
          <cell r="H8">
            <v>58.009090909090901</v>
          </cell>
          <cell r="I8">
            <v>58.009090909090901</v>
          </cell>
          <cell r="J8">
            <v>58.009090909090901</v>
          </cell>
          <cell r="K8">
            <v>58.009090909090901</v>
          </cell>
          <cell r="L8">
            <v>58.009090909090901</v>
          </cell>
          <cell r="M8">
            <v>58.012636363636361</v>
          </cell>
          <cell r="N8">
            <v>56.209090909090904</v>
          </cell>
          <cell r="O8">
            <v>56.213999999999992</v>
          </cell>
          <cell r="P8">
            <v>56.213999999999992</v>
          </cell>
          <cell r="Q8">
            <v>56.213999999999992</v>
          </cell>
          <cell r="R8">
            <v>56.213999999999992</v>
          </cell>
          <cell r="S8">
            <v>56.213999999999992</v>
          </cell>
          <cell r="T8">
            <v>56.213999999999992</v>
          </cell>
          <cell r="U8">
            <v>56.213999999999992</v>
          </cell>
        </row>
        <row r="9">
          <cell r="E9" t="str">
            <v>AZ Electric Power Coal CC</v>
          </cell>
          <cell r="F9">
            <v>56.645454545454541</v>
          </cell>
          <cell r="G9">
            <v>56.645454545454541</v>
          </cell>
          <cell r="H9">
            <v>56.645454545454541</v>
          </cell>
          <cell r="I9">
            <v>56.590909090909086</v>
          </cell>
          <cell r="J9">
            <v>56.590909090909086</v>
          </cell>
          <cell r="K9">
            <v>56.61818181818181</v>
          </cell>
          <cell r="L9">
            <v>56.61818181818181</v>
          </cell>
          <cell r="M9">
            <v>56.582754545454542</v>
          </cell>
          <cell r="N9">
            <v>55.636363636363633</v>
          </cell>
          <cell r="O9">
            <v>56.129727272727266</v>
          </cell>
          <cell r="P9">
            <v>56.129727272727266</v>
          </cell>
          <cell r="Q9">
            <v>56.129727272727266</v>
          </cell>
          <cell r="R9">
            <v>56.129727272727266</v>
          </cell>
          <cell r="S9">
            <v>56.129727272727266</v>
          </cell>
          <cell r="T9">
            <v>56.129727272727266</v>
          </cell>
          <cell r="U9">
            <v>56.129727272727266</v>
          </cell>
        </row>
        <row r="10">
          <cell r="E10" t="str">
            <v>CA Electric Power Coal CC</v>
          </cell>
          <cell r="F10">
            <v>56.820606060606053</v>
          </cell>
          <cell r="G10">
            <v>56.86484848484848</v>
          </cell>
          <cell r="H10">
            <v>56.876363636363621</v>
          </cell>
          <cell r="I10">
            <v>56.9181818181818</v>
          </cell>
          <cell r="J10">
            <v>56.917134848484835</v>
          </cell>
          <cell r="K10">
            <v>56.953939393939393</v>
          </cell>
          <cell r="L10">
            <v>56.943030303030284</v>
          </cell>
          <cell r="M10">
            <v>56.948631515151547</v>
          </cell>
          <cell r="N10">
            <v>55.789090909090909</v>
          </cell>
          <cell r="O10">
            <v>55.837883892255896</v>
          </cell>
          <cell r="P10">
            <v>55.837883892255896</v>
          </cell>
          <cell r="Q10">
            <v>55.837883892255896</v>
          </cell>
          <cell r="R10">
            <v>55.837883892255896</v>
          </cell>
          <cell r="S10">
            <v>55.837883892255896</v>
          </cell>
          <cell r="T10">
            <v>55.837883892255896</v>
          </cell>
          <cell r="U10">
            <v>55.837883892255896</v>
          </cell>
        </row>
        <row r="11">
          <cell r="E11" t="str">
            <v>CO Electric Power Coal CC</v>
          </cell>
          <cell r="F11">
            <v>57.245454545454542</v>
          </cell>
          <cell r="G11">
            <v>57.218181818181819</v>
          </cell>
          <cell r="H11">
            <v>57.218181818181819</v>
          </cell>
          <cell r="I11">
            <v>57.245454545454542</v>
          </cell>
          <cell r="J11">
            <v>57.190909090909081</v>
          </cell>
          <cell r="K11">
            <v>57.218181818181819</v>
          </cell>
          <cell r="L11">
            <v>57.3</v>
          </cell>
          <cell r="M11">
            <v>57.25345636363636</v>
          </cell>
          <cell r="N11">
            <v>55.636363636363633</v>
          </cell>
          <cell r="O11">
            <v>55.858636363636357</v>
          </cell>
          <cell r="P11">
            <v>55.858636363636357</v>
          </cell>
          <cell r="Q11">
            <v>55.858636363636357</v>
          </cell>
          <cell r="R11">
            <v>55.858636363636357</v>
          </cell>
          <cell r="S11">
            <v>55.858636363636357</v>
          </cell>
          <cell r="T11">
            <v>55.858636363636357</v>
          </cell>
          <cell r="U11">
            <v>55.858636363636357</v>
          </cell>
        </row>
        <row r="12">
          <cell r="E12" t="str">
            <v>CT Electric Power Coal CC</v>
          </cell>
          <cell r="F12">
            <v>55.854545454545452</v>
          </cell>
          <cell r="G12">
            <v>55.854545454545452</v>
          </cell>
          <cell r="H12">
            <v>55.881818181818183</v>
          </cell>
          <cell r="I12">
            <v>55.909090909090907</v>
          </cell>
          <cell r="J12">
            <v>55.909090909090907</v>
          </cell>
          <cell r="K12">
            <v>55.854545454545452</v>
          </cell>
          <cell r="L12">
            <v>55.854545454545452</v>
          </cell>
          <cell r="M12">
            <v>55.962976363636358</v>
          </cell>
          <cell r="N12">
            <v>55.390909090909084</v>
          </cell>
          <cell r="O12">
            <v>55.830229696969695</v>
          </cell>
          <cell r="P12">
            <v>55.830229696969695</v>
          </cell>
          <cell r="Q12">
            <v>55.830229696969695</v>
          </cell>
          <cell r="R12">
            <v>55.830229696969695</v>
          </cell>
          <cell r="S12">
            <v>55.830229696969695</v>
          </cell>
          <cell r="T12">
            <v>55.830229696969695</v>
          </cell>
          <cell r="U12">
            <v>55.830229696969695</v>
          </cell>
        </row>
        <row r="13">
          <cell r="E13" t="str">
            <v>DC Electric Power Coal CC</v>
          </cell>
          <cell r="F13">
            <v>56.820606060606053</v>
          </cell>
          <cell r="G13">
            <v>56.86484848484848</v>
          </cell>
          <cell r="H13">
            <v>56.876363636363621</v>
          </cell>
          <cell r="I13">
            <v>56.9181818181818</v>
          </cell>
          <cell r="J13">
            <v>56.917134848484835</v>
          </cell>
          <cell r="K13">
            <v>56.953939393939393</v>
          </cell>
          <cell r="L13">
            <v>56.943030303030284</v>
          </cell>
          <cell r="M13">
            <v>56.948631515151547</v>
          </cell>
          <cell r="N13">
            <v>55.789090909090909</v>
          </cell>
          <cell r="O13">
            <v>55.837883892255896</v>
          </cell>
          <cell r="P13">
            <v>55.837883892255896</v>
          </cell>
          <cell r="Q13">
            <v>55.837883892255896</v>
          </cell>
          <cell r="R13">
            <v>55.837883892255896</v>
          </cell>
          <cell r="S13">
            <v>55.837883892255896</v>
          </cell>
          <cell r="T13">
            <v>55.837883892255896</v>
          </cell>
          <cell r="U13">
            <v>55.837883892255896</v>
          </cell>
        </row>
        <row r="14">
          <cell r="E14" t="str">
            <v>DE Electric Power Coal CC</v>
          </cell>
          <cell r="F14">
            <v>56.372727272727268</v>
          </cell>
          <cell r="G14">
            <v>56.4</v>
          </cell>
          <cell r="H14">
            <v>56.427272727272722</v>
          </cell>
          <cell r="I14">
            <v>56.427272727272722</v>
          </cell>
          <cell r="J14">
            <v>56.481818181818177</v>
          </cell>
          <cell r="K14">
            <v>56.536363636363639</v>
          </cell>
          <cell r="L14">
            <v>56.536363636363639</v>
          </cell>
          <cell r="M14">
            <v>56.422720909090906</v>
          </cell>
          <cell r="N14">
            <v>55.390909090909084</v>
          </cell>
          <cell r="O14">
            <v>55.837909090909086</v>
          </cell>
          <cell r="P14">
            <v>55.837909090909086</v>
          </cell>
          <cell r="Q14">
            <v>55.837909090909086</v>
          </cell>
          <cell r="R14">
            <v>55.837909090909086</v>
          </cell>
          <cell r="S14">
            <v>55.837909090909086</v>
          </cell>
          <cell r="T14">
            <v>55.837909090909086</v>
          </cell>
          <cell r="U14">
            <v>55.837909090909086</v>
          </cell>
        </row>
        <row r="15">
          <cell r="E15" t="str">
            <v>FL Electric Power Coal CC</v>
          </cell>
          <cell r="F15">
            <v>55.772727272727266</v>
          </cell>
          <cell r="G15">
            <v>55.745454545454542</v>
          </cell>
          <cell r="H15">
            <v>55.745454545454542</v>
          </cell>
          <cell r="I15">
            <v>55.772727272727266</v>
          </cell>
          <cell r="J15">
            <v>55.8</v>
          </cell>
          <cell r="K15">
            <v>55.772727272727266</v>
          </cell>
          <cell r="L15">
            <v>55.8</v>
          </cell>
          <cell r="M15">
            <v>55.849617272727265</v>
          </cell>
          <cell r="N15">
            <v>55.554545454545448</v>
          </cell>
          <cell r="O15">
            <v>55.350818181818177</v>
          </cell>
          <cell r="P15">
            <v>55.350818181818177</v>
          </cell>
          <cell r="Q15">
            <v>55.350818181818177</v>
          </cell>
          <cell r="R15">
            <v>55.350818181818177</v>
          </cell>
          <cell r="S15">
            <v>55.350818181818177</v>
          </cell>
          <cell r="T15">
            <v>55.350818181818177</v>
          </cell>
          <cell r="U15">
            <v>55.350818181818177</v>
          </cell>
        </row>
        <row r="16">
          <cell r="E16" t="str">
            <v>GA Electric Power Coal CC</v>
          </cell>
          <cell r="F16">
            <v>55.963636363636354</v>
          </cell>
          <cell r="G16">
            <v>55.963636363636354</v>
          </cell>
          <cell r="H16">
            <v>55.854545454545452</v>
          </cell>
          <cell r="I16">
            <v>55.990909090909092</v>
          </cell>
          <cell r="J16">
            <v>56.236363636363627</v>
          </cell>
          <cell r="K16">
            <v>56.345454545454537</v>
          </cell>
          <cell r="L16">
            <v>56.345454545454537</v>
          </cell>
          <cell r="M16">
            <v>56.289580909090901</v>
          </cell>
          <cell r="N16">
            <v>55.418181818181814</v>
          </cell>
          <cell r="O16">
            <v>55.417363636363632</v>
          </cell>
          <cell r="P16">
            <v>55.417363636363632</v>
          </cell>
          <cell r="Q16">
            <v>55.417363636363632</v>
          </cell>
          <cell r="R16">
            <v>55.417363636363632</v>
          </cell>
          <cell r="S16">
            <v>55.417363636363632</v>
          </cell>
          <cell r="T16">
            <v>55.417363636363632</v>
          </cell>
          <cell r="U16">
            <v>55.417363636363632</v>
          </cell>
        </row>
        <row r="17">
          <cell r="E17" t="str">
            <v>HI Electric Power Coal CC</v>
          </cell>
          <cell r="F17">
            <v>56.820606060606053</v>
          </cell>
          <cell r="G17">
            <v>56.86484848484848</v>
          </cell>
          <cell r="H17">
            <v>56.876363636363621</v>
          </cell>
          <cell r="I17">
            <v>56.9181818181818</v>
          </cell>
          <cell r="J17">
            <v>56.917134848484835</v>
          </cell>
          <cell r="K17">
            <v>56.953939393939393</v>
          </cell>
          <cell r="L17">
            <v>56.943030303030284</v>
          </cell>
          <cell r="M17">
            <v>56.948631515151547</v>
          </cell>
          <cell r="N17">
            <v>55.789090909090909</v>
          </cell>
          <cell r="O17">
            <v>55.837883892255896</v>
          </cell>
          <cell r="P17">
            <v>55.837883892255896</v>
          </cell>
          <cell r="Q17">
            <v>55.837883892255896</v>
          </cell>
          <cell r="R17">
            <v>55.837883892255896</v>
          </cell>
          <cell r="S17">
            <v>55.837883892255896</v>
          </cell>
          <cell r="T17">
            <v>55.837883892255896</v>
          </cell>
          <cell r="U17">
            <v>55.837883892255896</v>
          </cell>
        </row>
        <row r="18">
          <cell r="E18" t="str">
            <v>IA Electric Power Coal CC</v>
          </cell>
          <cell r="F18">
            <v>57.463636363636354</v>
          </cell>
          <cell r="G18">
            <v>57.490909090909092</v>
          </cell>
          <cell r="H18">
            <v>57.572727272727263</v>
          </cell>
          <cell r="I18">
            <v>57.790909090909089</v>
          </cell>
          <cell r="J18">
            <v>57.68181818181818</v>
          </cell>
          <cell r="K18">
            <v>57.790909090909089</v>
          </cell>
          <cell r="L18">
            <v>57.790909090909089</v>
          </cell>
          <cell r="M18">
            <v>57.787319999999994</v>
          </cell>
          <cell r="N18">
            <v>55.909090909090907</v>
          </cell>
          <cell r="O18">
            <v>55.988727272727267</v>
          </cell>
          <cell r="P18">
            <v>55.988727272727267</v>
          </cell>
          <cell r="Q18">
            <v>55.988727272727267</v>
          </cell>
          <cell r="R18">
            <v>55.988727272727267</v>
          </cell>
          <cell r="S18">
            <v>55.988727272727267</v>
          </cell>
          <cell r="T18">
            <v>55.988727272727267</v>
          </cell>
          <cell r="U18">
            <v>55.988727272727267</v>
          </cell>
        </row>
        <row r="19">
          <cell r="E19" t="str">
            <v>ID Electric Power Coal CC</v>
          </cell>
          <cell r="F19">
            <v>56.820606060606053</v>
          </cell>
          <cell r="G19">
            <v>56.86484848484848</v>
          </cell>
          <cell r="H19">
            <v>56.876363636363621</v>
          </cell>
          <cell r="I19">
            <v>56.9181818181818</v>
          </cell>
          <cell r="J19">
            <v>56.917134848484835</v>
          </cell>
          <cell r="K19">
            <v>56.953939393939393</v>
          </cell>
          <cell r="L19">
            <v>56.943030303030284</v>
          </cell>
          <cell r="M19">
            <v>56.948631515151547</v>
          </cell>
          <cell r="N19">
            <v>55.789090909090909</v>
          </cell>
          <cell r="O19">
            <v>55.837883892255896</v>
          </cell>
          <cell r="P19">
            <v>55.837883892255896</v>
          </cell>
          <cell r="Q19">
            <v>55.837883892255896</v>
          </cell>
          <cell r="R19">
            <v>55.837883892255896</v>
          </cell>
          <cell r="S19">
            <v>55.837883892255896</v>
          </cell>
          <cell r="T19">
            <v>55.837883892255896</v>
          </cell>
          <cell r="U19">
            <v>55.837883892255896</v>
          </cell>
        </row>
        <row r="20">
          <cell r="E20" t="str">
            <v>IL Electric Power Coal CC</v>
          </cell>
          <cell r="F20">
            <v>56.072727272727271</v>
          </cell>
          <cell r="G20">
            <v>56.154545454545449</v>
          </cell>
          <cell r="H20">
            <v>56.236363636363627</v>
          </cell>
          <cell r="I20">
            <v>56.427272727272722</v>
          </cell>
          <cell r="J20">
            <v>56.536363636363639</v>
          </cell>
          <cell r="K20">
            <v>56.672727272727272</v>
          </cell>
          <cell r="L20">
            <v>56.7</v>
          </cell>
          <cell r="M20">
            <v>56.732694545454542</v>
          </cell>
          <cell r="N20">
            <v>55.718181818181819</v>
          </cell>
          <cell r="O20">
            <v>55.49945454545454</v>
          </cell>
          <cell r="P20">
            <v>55.49945454545454</v>
          </cell>
          <cell r="Q20">
            <v>55.49945454545454</v>
          </cell>
          <cell r="R20">
            <v>55.49945454545454</v>
          </cell>
          <cell r="S20">
            <v>55.49945454545454</v>
          </cell>
          <cell r="T20">
            <v>55.49945454545454</v>
          </cell>
          <cell r="U20">
            <v>55.49945454545454</v>
          </cell>
        </row>
        <row r="21">
          <cell r="E21" t="str">
            <v>IN Electric Power Coal CC</v>
          </cell>
          <cell r="F21">
            <v>56.018181818181816</v>
          </cell>
          <cell r="G21">
            <v>56.072727272727271</v>
          </cell>
          <cell r="H21">
            <v>56.072727272727271</v>
          </cell>
          <cell r="I21">
            <v>56.127272727272725</v>
          </cell>
          <cell r="J21">
            <v>56.18181818181818</v>
          </cell>
          <cell r="K21">
            <v>56.318181818181813</v>
          </cell>
          <cell r="L21">
            <v>56.318181818181813</v>
          </cell>
          <cell r="M21">
            <v>56.256275454545452</v>
          </cell>
          <cell r="N21">
            <v>55.390909090909084</v>
          </cell>
          <cell r="O21">
            <v>55.168909090909089</v>
          </cell>
          <cell r="P21">
            <v>55.168909090909089</v>
          </cell>
          <cell r="Q21">
            <v>55.168909090909089</v>
          </cell>
          <cell r="R21">
            <v>55.168909090909089</v>
          </cell>
          <cell r="S21">
            <v>55.168909090909089</v>
          </cell>
          <cell r="T21">
            <v>55.168909090909089</v>
          </cell>
          <cell r="U21">
            <v>55.168909090909089</v>
          </cell>
        </row>
        <row r="22">
          <cell r="E22" t="str">
            <v>KS Electric Power Coal CC</v>
          </cell>
          <cell r="F22">
            <v>57.463636363636354</v>
          </cell>
          <cell r="G22">
            <v>57.43636363636363</v>
          </cell>
          <cell r="H22">
            <v>57.518181818181816</v>
          </cell>
          <cell r="I22">
            <v>57.790909090909089</v>
          </cell>
          <cell r="J22">
            <v>57.654545454545449</v>
          </cell>
          <cell r="K22">
            <v>57.68181818181818</v>
          </cell>
          <cell r="L22">
            <v>57.572727272727263</v>
          </cell>
          <cell r="M22">
            <v>57.656702727272716</v>
          </cell>
          <cell r="N22">
            <v>55.881818181818183</v>
          </cell>
          <cell r="O22">
            <v>55.715999999999994</v>
          </cell>
          <cell r="P22">
            <v>55.715999999999994</v>
          </cell>
          <cell r="Q22">
            <v>55.715999999999994</v>
          </cell>
          <cell r="R22">
            <v>55.715999999999994</v>
          </cell>
          <cell r="S22">
            <v>55.715999999999994</v>
          </cell>
          <cell r="T22">
            <v>55.715999999999994</v>
          </cell>
          <cell r="U22">
            <v>55.715999999999994</v>
          </cell>
        </row>
        <row r="23">
          <cell r="E23" t="str">
            <v>KY Electric Power Coal CC</v>
          </cell>
          <cell r="F23">
            <v>55.663636363636357</v>
          </cell>
          <cell r="G23">
            <v>55.718181818181819</v>
          </cell>
          <cell r="H23">
            <v>55.663636363636357</v>
          </cell>
          <cell r="I23">
            <v>55.718181818181819</v>
          </cell>
          <cell r="J23">
            <v>55.718181818181819</v>
          </cell>
          <cell r="K23">
            <v>55.718181818181819</v>
          </cell>
          <cell r="L23">
            <v>55.772727272727266</v>
          </cell>
          <cell r="M23">
            <v>55.789895454545452</v>
          </cell>
          <cell r="N23">
            <v>55.418181818181814</v>
          </cell>
          <cell r="O23">
            <v>55.335272727272717</v>
          </cell>
          <cell r="P23">
            <v>55.335272727272717</v>
          </cell>
          <cell r="Q23">
            <v>55.335272727272717</v>
          </cell>
          <cell r="R23">
            <v>55.335272727272717</v>
          </cell>
          <cell r="S23">
            <v>55.335272727272717</v>
          </cell>
          <cell r="T23">
            <v>55.335272727272717</v>
          </cell>
          <cell r="U23">
            <v>55.335272727272717</v>
          </cell>
        </row>
        <row r="24">
          <cell r="E24" t="str">
            <v>LA Electric Power Coal CC</v>
          </cell>
          <cell r="F24">
            <v>58.009090909090901</v>
          </cell>
          <cell r="G24">
            <v>58.036363636363632</v>
          </cell>
          <cell r="H24">
            <v>58.063636363636363</v>
          </cell>
          <cell r="I24">
            <v>58.063636363636363</v>
          </cell>
          <cell r="J24">
            <v>58.063636363636363</v>
          </cell>
          <cell r="K24">
            <v>58.063636363636363</v>
          </cell>
          <cell r="L24">
            <v>58.063636363636363</v>
          </cell>
          <cell r="M24">
            <v>58.064113636363629</v>
          </cell>
          <cell r="N24">
            <v>56.236363636363627</v>
          </cell>
          <cell r="O24">
            <v>56.478545454545447</v>
          </cell>
          <cell r="P24">
            <v>56.478545454545447</v>
          </cell>
          <cell r="Q24">
            <v>56.478545454545447</v>
          </cell>
          <cell r="R24">
            <v>56.478545454545447</v>
          </cell>
          <cell r="S24">
            <v>56.478545454545447</v>
          </cell>
          <cell r="T24">
            <v>56.478545454545447</v>
          </cell>
          <cell r="U24">
            <v>56.478545454545447</v>
          </cell>
        </row>
        <row r="25">
          <cell r="E25" t="str">
            <v>MA Electric Power Coal CC</v>
          </cell>
          <cell r="F25">
            <v>56.318181818181813</v>
          </cell>
          <cell r="G25">
            <v>56.372727272727268</v>
          </cell>
          <cell r="H25">
            <v>56.4</v>
          </cell>
          <cell r="I25">
            <v>56.4</v>
          </cell>
          <cell r="J25">
            <v>56.372727272727268</v>
          </cell>
          <cell r="K25">
            <v>56.345454545454537</v>
          </cell>
          <cell r="L25">
            <v>56.345454545454537</v>
          </cell>
          <cell r="M25">
            <v>56.299821818181819</v>
          </cell>
          <cell r="N25">
            <v>55.390909090909084</v>
          </cell>
          <cell r="O25">
            <v>55.390909090909084</v>
          </cell>
          <cell r="P25">
            <v>55.390909090909084</v>
          </cell>
          <cell r="Q25">
            <v>55.390909090909084</v>
          </cell>
          <cell r="R25">
            <v>55.390909090909084</v>
          </cell>
          <cell r="S25">
            <v>55.390909090909084</v>
          </cell>
          <cell r="T25">
            <v>55.390909090909084</v>
          </cell>
          <cell r="U25">
            <v>55.390909090909084</v>
          </cell>
        </row>
        <row r="26">
          <cell r="E26" t="str">
            <v>MD Electric Power Coal CC</v>
          </cell>
          <cell r="F26">
            <v>56.509090909090901</v>
          </cell>
          <cell r="G26">
            <v>56.509090909090901</v>
          </cell>
          <cell r="H26">
            <v>56.454545454545453</v>
          </cell>
          <cell r="I26">
            <v>56.4</v>
          </cell>
          <cell r="J26">
            <v>56.454545454545453</v>
          </cell>
          <cell r="K26">
            <v>56.454545454545453</v>
          </cell>
          <cell r="L26">
            <v>56.454545454545453</v>
          </cell>
          <cell r="M26">
            <v>56.440930909090909</v>
          </cell>
          <cell r="N26">
            <v>55.390909090909084</v>
          </cell>
          <cell r="O26">
            <v>55.80081818181818</v>
          </cell>
          <cell r="P26">
            <v>55.80081818181818</v>
          </cell>
          <cell r="Q26">
            <v>55.80081818181818</v>
          </cell>
          <cell r="R26">
            <v>55.80081818181818</v>
          </cell>
          <cell r="S26">
            <v>55.80081818181818</v>
          </cell>
          <cell r="T26">
            <v>55.80081818181818</v>
          </cell>
          <cell r="U26">
            <v>55.80081818181818</v>
          </cell>
        </row>
        <row r="27">
          <cell r="E27" t="str">
            <v>ME Electric Power Coal CC</v>
          </cell>
          <cell r="F27">
            <v>56.820606060606053</v>
          </cell>
          <cell r="G27">
            <v>56.86484848484848</v>
          </cell>
          <cell r="H27">
            <v>56.876363636363621</v>
          </cell>
          <cell r="I27">
            <v>56.9181818181818</v>
          </cell>
          <cell r="J27">
            <v>56.917134848484835</v>
          </cell>
          <cell r="K27">
            <v>56.953939393939393</v>
          </cell>
          <cell r="L27">
            <v>56.943030303030284</v>
          </cell>
          <cell r="M27">
            <v>56.948631515151547</v>
          </cell>
          <cell r="N27">
            <v>55.789090909090909</v>
          </cell>
          <cell r="O27">
            <v>55.837883892255896</v>
          </cell>
          <cell r="P27">
            <v>55.837883892255896</v>
          </cell>
          <cell r="Q27">
            <v>55.837883892255896</v>
          </cell>
          <cell r="R27">
            <v>55.837883892255896</v>
          </cell>
          <cell r="S27">
            <v>55.837883892255896</v>
          </cell>
          <cell r="T27">
            <v>55.837883892255896</v>
          </cell>
          <cell r="U27">
            <v>55.837883892255896</v>
          </cell>
        </row>
        <row r="28">
          <cell r="E28" t="str">
            <v>MI Electric Power Coal CC</v>
          </cell>
          <cell r="F28">
            <v>56.918181818181807</v>
          </cell>
          <cell r="G28">
            <v>56.972727272727269</v>
          </cell>
          <cell r="H28">
            <v>56.972727272727269</v>
          </cell>
          <cell r="I28">
            <v>57.027272727272724</v>
          </cell>
          <cell r="J28">
            <v>57</v>
          </cell>
          <cell r="K28">
            <v>57.109090909090909</v>
          </cell>
          <cell r="L28">
            <v>57.218181818181819</v>
          </cell>
          <cell r="M28">
            <v>57.161498181818182</v>
          </cell>
          <cell r="N28">
            <v>55.5</v>
          </cell>
          <cell r="O28">
            <v>55.658999999999999</v>
          </cell>
          <cell r="P28">
            <v>55.658999999999999</v>
          </cell>
          <cell r="Q28">
            <v>55.658999999999999</v>
          </cell>
          <cell r="R28">
            <v>55.658999999999999</v>
          </cell>
          <cell r="S28">
            <v>55.658999999999999</v>
          </cell>
          <cell r="T28">
            <v>55.658999999999999</v>
          </cell>
          <cell r="U28">
            <v>55.658999999999999</v>
          </cell>
        </row>
        <row r="29">
          <cell r="E29" t="str">
            <v>MN Electric Power Coal CC</v>
          </cell>
          <cell r="F29">
            <v>58.090909090909086</v>
          </cell>
          <cell r="G29">
            <v>58.090909090909086</v>
          </cell>
          <cell r="H29">
            <v>58.090909090909086</v>
          </cell>
          <cell r="I29">
            <v>58.090909090909086</v>
          </cell>
          <cell r="J29">
            <v>58.090909090909086</v>
          </cell>
          <cell r="K29">
            <v>58.090909090909086</v>
          </cell>
          <cell r="L29">
            <v>58.090909090909086</v>
          </cell>
          <cell r="M29">
            <v>58.095711818181812</v>
          </cell>
          <cell r="N29">
            <v>56.209090909090904</v>
          </cell>
          <cell r="O29">
            <v>56.176363636363632</v>
          </cell>
          <cell r="P29">
            <v>56.176363636363632</v>
          </cell>
          <cell r="Q29">
            <v>56.176363636363632</v>
          </cell>
          <cell r="R29">
            <v>56.176363636363632</v>
          </cell>
          <cell r="S29">
            <v>56.176363636363632</v>
          </cell>
          <cell r="T29">
            <v>56.176363636363632</v>
          </cell>
          <cell r="U29">
            <v>56.176363636363632</v>
          </cell>
        </row>
        <row r="30">
          <cell r="E30" t="str">
            <v>MO Electric Power Coal CC</v>
          </cell>
          <cell r="F30">
            <v>56.1</v>
          </cell>
          <cell r="G30">
            <v>56.236363636363627</v>
          </cell>
          <cell r="H30">
            <v>56.236363636363627</v>
          </cell>
          <cell r="I30">
            <v>56.836363636363636</v>
          </cell>
          <cell r="J30">
            <v>56.918181818181807</v>
          </cell>
          <cell r="K30">
            <v>57.43636363636363</v>
          </cell>
          <cell r="L30">
            <v>57.572727272727263</v>
          </cell>
          <cell r="M30">
            <v>57.683727272727268</v>
          </cell>
          <cell r="N30">
            <v>55.854545454545452</v>
          </cell>
          <cell r="O30">
            <v>55.816090909090903</v>
          </cell>
          <cell r="P30">
            <v>55.816090909090903</v>
          </cell>
          <cell r="Q30">
            <v>55.816090909090903</v>
          </cell>
          <cell r="R30">
            <v>55.816090909090903</v>
          </cell>
          <cell r="S30">
            <v>55.816090909090903</v>
          </cell>
          <cell r="T30">
            <v>55.816090909090903</v>
          </cell>
          <cell r="U30">
            <v>55.816090909090903</v>
          </cell>
        </row>
        <row r="31">
          <cell r="E31" t="str">
            <v>MS Electric Power Coal CC</v>
          </cell>
          <cell r="F31">
            <v>55.690909090909081</v>
          </cell>
          <cell r="G31">
            <v>55.772727272727266</v>
          </cell>
          <cell r="H31">
            <v>55.772727272727266</v>
          </cell>
          <cell r="I31">
            <v>55.854545454545452</v>
          </cell>
          <cell r="J31">
            <v>56.427272727272722</v>
          </cell>
          <cell r="K31">
            <v>56.427272727272722</v>
          </cell>
          <cell r="L31">
            <v>56.536363636363639</v>
          </cell>
          <cell r="M31">
            <v>56.984154545454544</v>
          </cell>
          <cell r="N31">
            <v>55.718181818181819</v>
          </cell>
          <cell r="O31">
            <v>55.338272727272724</v>
          </cell>
          <cell r="P31">
            <v>55.338272727272724</v>
          </cell>
          <cell r="Q31">
            <v>55.338272727272724</v>
          </cell>
          <cell r="R31">
            <v>55.338272727272724</v>
          </cell>
          <cell r="S31">
            <v>55.338272727272724</v>
          </cell>
          <cell r="T31">
            <v>55.338272727272724</v>
          </cell>
          <cell r="U31">
            <v>55.338272727272724</v>
          </cell>
        </row>
        <row r="32">
          <cell r="E32" t="str">
            <v>MT Electric Power Coal CC</v>
          </cell>
          <cell r="F32">
            <v>58.22727272727272</v>
          </cell>
          <cell r="G32">
            <v>58.22727272727272</v>
          </cell>
          <cell r="H32">
            <v>58.22727272727272</v>
          </cell>
          <cell r="I32">
            <v>58.25454545454545</v>
          </cell>
          <cell r="J32">
            <v>58.22727272727272</v>
          </cell>
          <cell r="K32">
            <v>58.25454545454545</v>
          </cell>
          <cell r="L32">
            <v>58.22727272727272</v>
          </cell>
          <cell r="M32">
            <v>58.221248181818183</v>
          </cell>
          <cell r="N32">
            <v>56.263636363636365</v>
          </cell>
          <cell r="O32">
            <v>56.270181818181818</v>
          </cell>
          <cell r="P32">
            <v>56.270181818181818</v>
          </cell>
          <cell r="Q32">
            <v>56.270181818181818</v>
          </cell>
          <cell r="R32">
            <v>56.270181818181818</v>
          </cell>
          <cell r="S32">
            <v>56.270181818181818</v>
          </cell>
          <cell r="T32">
            <v>56.270181818181818</v>
          </cell>
          <cell r="U32">
            <v>56.270181818181818</v>
          </cell>
        </row>
        <row r="33">
          <cell r="E33" t="str">
            <v>NC Electric Power Coal CC</v>
          </cell>
          <cell r="F33">
            <v>56.127272727272725</v>
          </cell>
          <cell r="G33">
            <v>56.127272727272725</v>
          </cell>
          <cell r="H33">
            <v>56.127272727272725</v>
          </cell>
          <cell r="I33">
            <v>56.127272727272725</v>
          </cell>
          <cell r="J33">
            <v>56.127272727272725</v>
          </cell>
          <cell r="K33">
            <v>56.127272727272725</v>
          </cell>
          <cell r="L33">
            <v>56.1</v>
          </cell>
          <cell r="M33">
            <v>56.111579999999996</v>
          </cell>
          <cell r="N33">
            <v>55.390909090909084</v>
          </cell>
          <cell r="O33">
            <v>55.514181818181811</v>
          </cell>
          <cell r="P33">
            <v>55.514181818181811</v>
          </cell>
          <cell r="Q33">
            <v>55.514181818181811</v>
          </cell>
          <cell r="R33">
            <v>55.514181818181811</v>
          </cell>
          <cell r="S33">
            <v>55.514181818181811</v>
          </cell>
          <cell r="T33">
            <v>55.514181818181811</v>
          </cell>
          <cell r="U33">
            <v>55.514181818181811</v>
          </cell>
        </row>
        <row r="34">
          <cell r="E34" t="str">
            <v>ND Electric Power Coal CC</v>
          </cell>
          <cell r="F34">
            <v>58.609090909090909</v>
          </cell>
          <cell r="G34">
            <v>59.672727272727272</v>
          </cell>
          <cell r="H34">
            <v>59.672727272727272</v>
          </cell>
          <cell r="I34">
            <v>59.672727272727272</v>
          </cell>
          <cell r="J34">
            <v>59.672727272727272</v>
          </cell>
          <cell r="K34">
            <v>59.672727272727272</v>
          </cell>
          <cell r="L34">
            <v>59.645454545454541</v>
          </cell>
          <cell r="M34">
            <v>59.650810909090907</v>
          </cell>
          <cell r="N34">
            <v>58.11818181818181</v>
          </cell>
          <cell r="O34">
            <v>59.065090909090905</v>
          </cell>
          <cell r="P34">
            <v>59.065090909090905</v>
          </cell>
          <cell r="Q34">
            <v>59.065090909090905</v>
          </cell>
          <cell r="R34">
            <v>59.065090909090905</v>
          </cell>
          <cell r="S34">
            <v>59.065090909090905</v>
          </cell>
          <cell r="T34">
            <v>59.065090909090905</v>
          </cell>
          <cell r="U34">
            <v>59.065090909090905</v>
          </cell>
        </row>
        <row r="35">
          <cell r="E35" t="str">
            <v>NE Electric Power Coal CC</v>
          </cell>
          <cell r="F35">
            <v>58.009090909090901</v>
          </cell>
          <cell r="G35">
            <v>58.009090909090901</v>
          </cell>
          <cell r="H35">
            <v>58.009090909090901</v>
          </cell>
          <cell r="I35">
            <v>58.009090909090901</v>
          </cell>
          <cell r="J35">
            <v>57.981818181818177</v>
          </cell>
          <cell r="K35">
            <v>58.009090909090901</v>
          </cell>
          <cell r="L35">
            <v>58.009090909090901</v>
          </cell>
          <cell r="M35">
            <v>58.005741818181818</v>
          </cell>
          <cell r="N35">
            <v>56.127272727272725</v>
          </cell>
          <cell r="O35">
            <v>56.177454545454545</v>
          </cell>
          <cell r="P35">
            <v>56.177454545454545</v>
          </cell>
          <cell r="Q35">
            <v>56.177454545454545</v>
          </cell>
          <cell r="R35">
            <v>56.177454545454545</v>
          </cell>
          <cell r="S35">
            <v>56.177454545454545</v>
          </cell>
          <cell r="T35">
            <v>56.177454545454545</v>
          </cell>
          <cell r="U35">
            <v>56.177454545454545</v>
          </cell>
        </row>
        <row r="36">
          <cell r="E36" t="str">
            <v>NH Electric Power Coal CC</v>
          </cell>
          <cell r="F36">
            <v>56.372727272727268</v>
          </cell>
          <cell r="G36">
            <v>56.236363636363627</v>
          </cell>
          <cell r="H36">
            <v>56.263636363636365</v>
          </cell>
          <cell r="I36">
            <v>56.263636363636365</v>
          </cell>
          <cell r="J36">
            <v>56.209090909090904</v>
          </cell>
          <cell r="K36">
            <v>56.209090909090904</v>
          </cell>
          <cell r="L36">
            <v>56.236363636363627</v>
          </cell>
          <cell r="M36">
            <v>56.235823636363634</v>
          </cell>
          <cell r="N36">
            <v>55.390909090909084</v>
          </cell>
          <cell r="O36">
            <v>55.580181818181821</v>
          </cell>
          <cell r="P36">
            <v>55.580181818181821</v>
          </cell>
          <cell r="Q36">
            <v>55.580181818181821</v>
          </cell>
          <cell r="R36">
            <v>55.580181818181821</v>
          </cell>
          <cell r="S36">
            <v>55.580181818181821</v>
          </cell>
          <cell r="T36">
            <v>55.580181818181821</v>
          </cell>
          <cell r="U36">
            <v>55.580181818181821</v>
          </cell>
        </row>
        <row r="37">
          <cell r="E37" t="str">
            <v>NJ Electric Power Coal CC</v>
          </cell>
          <cell r="F37">
            <v>56.372727272727268</v>
          </cell>
          <cell r="G37">
            <v>56.372727272727268</v>
          </cell>
          <cell r="H37">
            <v>56.345454545454537</v>
          </cell>
          <cell r="I37">
            <v>56.372727272727268</v>
          </cell>
          <cell r="J37">
            <v>56.318181818181813</v>
          </cell>
          <cell r="K37">
            <v>56.290909090909089</v>
          </cell>
          <cell r="L37">
            <v>56.372727272727268</v>
          </cell>
          <cell r="M37">
            <v>56.345918181818178</v>
          </cell>
          <cell r="N37">
            <v>55.390909090909084</v>
          </cell>
          <cell r="O37">
            <v>55.795363636363632</v>
          </cell>
          <cell r="P37">
            <v>55.795363636363632</v>
          </cell>
          <cell r="Q37">
            <v>55.795363636363632</v>
          </cell>
          <cell r="R37">
            <v>55.795363636363632</v>
          </cell>
          <cell r="S37">
            <v>55.795363636363632</v>
          </cell>
          <cell r="T37">
            <v>55.795363636363632</v>
          </cell>
          <cell r="U37">
            <v>55.795363636363632</v>
          </cell>
        </row>
        <row r="38">
          <cell r="E38" t="str">
            <v>NM Electric Power Coal CC</v>
          </cell>
          <cell r="F38">
            <v>56.154545454545449</v>
          </cell>
          <cell r="G38">
            <v>56.1</v>
          </cell>
          <cell r="H38">
            <v>56.1</v>
          </cell>
          <cell r="I38">
            <v>56.1</v>
          </cell>
          <cell r="J38">
            <v>56.1</v>
          </cell>
          <cell r="K38">
            <v>56.1</v>
          </cell>
          <cell r="L38">
            <v>56.1</v>
          </cell>
          <cell r="M38">
            <v>56.103818181818177</v>
          </cell>
          <cell r="N38">
            <v>56.209090909090904</v>
          </cell>
          <cell r="O38">
            <v>56.213999999999992</v>
          </cell>
          <cell r="P38">
            <v>56.213999999999992</v>
          </cell>
          <cell r="Q38">
            <v>56.213999999999992</v>
          </cell>
          <cell r="R38">
            <v>56.213999999999992</v>
          </cell>
          <cell r="S38">
            <v>56.213999999999992</v>
          </cell>
          <cell r="T38">
            <v>56.213999999999992</v>
          </cell>
          <cell r="U38">
            <v>56.213999999999992</v>
          </cell>
        </row>
        <row r="39">
          <cell r="E39" t="str">
            <v>NV Electric Power Coal CC</v>
          </cell>
          <cell r="F39">
            <v>56.645454545454541</v>
          </cell>
          <cell r="G39">
            <v>56.72727272727272</v>
          </cell>
          <cell r="H39">
            <v>56.836363636363636</v>
          </cell>
          <cell r="I39">
            <v>56.836363636363636</v>
          </cell>
          <cell r="J39">
            <v>56.836363636363636</v>
          </cell>
          <cell r="K39">
            <v>56.75454545454545</v>
          </cell>
          <cell r="L39">
            <v>56.645454545454541</v>
          </cell>
          <cell r="M39">
            <v>56.626778181818175</v>
          </cell>
          <cell r="N39">
            <v>55.390909090909084</v>
          </cell>
          <cell r="O39">
            <v>55.951090909090901</v>
          </cell>
          <cell r="P39">
            <v>55.951090909090901</v>
          </cell>
          <cell r="Q39">
            <v>55.951090909090901</v>
          </cell>
          <cell r="R39">
            <v>55.951090909090901</v>
          </cell>
          <cell r="S39">
            <v>55.951090909090901</v>
          </cell>
          <cell r="T39">
            <v>55.951090909090901</v>
          </cell>
          <cell r="U39">
            <v>55.951090909090901</v>
          </cell>
        </row>
        <row r="40">
          <cell r="E40" t="str">
            <v>NY Electric Power Coal CC</v>
          </cell>
          <cell r="F40">
            <v>56.263636363636365</v>
          </cell>
          <cell r="G40">
            <v>56.236363636363627</v>
          </cell>
          <cell r="H40">
            <v>56.209090909090904</v>
          </cell>
          <cell r="I40">
            <v>56.18181818181818</v>
          </cell>
          <cell r="J40">
            <v>56.18181818181818</v>
          </cell>
          <cell r="K40">
            <v>56.263636363636365</v>
          </cell>
          <cell r="L40">
            <v>56.236363636363627</v>
          </cell>
          <cell r="M40">
            <v>56.28455454545454</v>
          </cell>
          <cell r="N40">
            <v>55.390909090909084</v>
          </cell>
          <cell r="O40">
            <v>55.603090909090902</v>
          </cell>
          <cell r="P40">
            <v>55.603090909090902</v>
          </cell>
          <cell r="Q40">
            <v>55.603090909090902</v>
          </cell>
          <cell r="R40">
            <v>55.603090909090902</v>
          </cell>
          <cell r="S40">
            <v>55.603090909090902</v>
          </cell>
          <cell r="T40">
            <v>55.603090909090902</v>
          </cell>
          <cell r="U40">
            <v>55.603090909090902</v>
          </cell>
        </row>
        <row r="41">
          <cell r="E41" t="str">
            <v>OH Electric Power Coal CC</v>
          </cell>
          <cell r="F41">
            <v>55.772727272727266</v>
          </cell>
          <cell r="G41">
            <v>55.745454545454542</v>
          </cell>
          <cell r="H41">
            <v>55.745454545454542</v>
          </cell>
          <cell r="I41">
            <v>55.772727272727266</v>
          </cell>
          <cell r="J41">
            <v>55.8</v>
          </cell>
          <cell r="K41">
            <v>55.909090909090907</v>
          </cell>
          <cell r="L41">
            <v>55.909090909090907</v>
          </cell>
          <cell r="M41">
            <v>55.908469090909087</v>
          </cell>
          <cell r="N41">
            <v>55.390909090909084</v>
          </cell>
          <cell r="O41">
            <v>55.327090909090906</v>
          </cell>
          <cell r="P41">
            <v>55.327090909090906</v>
          </cell>
          <cell r="Q41">
            <v>55.327090909090906</v>
          </cell>
          <cell r="R41">
            <v>55.327090909090906</v>
          </cell>
          <cell r="S41">
            <v>55.327090909090906</v>
          </cell>
          <cell r="T41">
            <v>55.327090909090906</v>
          </cell>
          <cell r="U41">
            <v>55.327090909090906</v>
          </cell>
        </row>
        <row r="42">
          <cell r="E42" t="str">
            <v>OK Electric Power Coal CC</v>
          </cell>
          <cell r="F42">
            <v>57.845454545454537</v>
          </cell>
          <cell r="G42">
            <v>57.927272727272722</v>
          </cell>
          <cell r="H42">
            <v>57.981818181818177</v>
          </cell>
          <cell r="I42">
            <v>58.009090909090901</v>
          </cell>
          <cell r="J42">
            <v>57.981818181818177</v>
          </cell>
          <cell r="K42">
            <v>57.981818181818177</v>
          </cell>
          <cell r="L42">
            <v>58.009090909090901</v>
          </cell>
          <cell r="M42">
            <v>57.998738181818176</v>
          </cell>
          <cell r="N42">
            <v>56.04545454545454</v>
          </cell>
          <cell r="O42">
            <v>56.083363636363636</v>
          </cell>
          <cell r="P42">
            <v>56.083363636363636</v>
          </cell>
          <cell r="Q42">
            <v>56.083363636363636</v>
          </cell>
          <cell r="R42">
            <v>56.083363636363636</v>
          </cell>
          <cell r="S42">
            <v>56.083363636363636</v>
          </cell>
          <cell r="T42">
            <v>56.083363636363636</v>
          </cell>
          <cell r="U42">
            <v>56.083363636363636</v>
          </cell>
        </row>
        <row r="43">
          <cell r="E43" t="str">
            <v>OR Electric Power Coal CC</v>
          </cell>
          <cell r="F43">
            <v>58.009090909090901</v>
          </cell>
          <cell r="G43">
            <v>58.009090909090901</v>
          </cell>
          <cell r="H43">
            <v>58.063636363636363</v>
          </cell>
          <cell r="I43">
            <v>57.927272727272722</v>
          </cell>
          <cell r="J43">
            <v>57.872727272727268</v>
          </cell>
          <cell r="K43">
            <v>58.009090909090901</v>
          </cell>
          <cell r="L43">
            <v>58.009090909090901</v>
          </cell>
          <cell r="M43">
            <v>58.012636363636361</v>
          </cell>
          <cell r="N43">
            <v>56.209090909090904</v>
          </cell>
          <cell r="O43">
            <v>55.128272727272723</v>
          </cell>
          <cell r="P43">
            <v>55.128272727272723</v>
          </cell>
          <cell r="Q43">
            <v>55.128272727272723</v>
          </cell>
          <cell r="R43">
            <v>55.128272727272723</v>
          </cell>
          <cell r="S43">
            <v>55.128272727272723</v>
          </cell>
          <cell r="T43">
            <v>55.128272727272723</v>
          </cell>
          <cell r="U43">
            <v>55.128272727272723</v>
          </cell>
        </row>
        <row r="44">
          <cell r="E44" t="str">
            <v>PA Electric Power Coal CC</v>
          </cell>
          <cell r="F44">
            <v>56.236363636363627</v>
          </cell>
          <cell r="G44">
            <v>56.236363636363627</v>
          </cell>
          <cell r="H44">
            <v>56.236363636363627</v>
          </cell>
          <cell r="I44">
            <v>56.18181818181818</v>
          </cell>
          <cell r="J44">
            <v>56.18181818181818</v>
          </cell>
          <cell r="K44">
            <v>56.236363636363627</v>
          </cell>
          <cell r="L44">
            <v>56.236363636363627</v>
          </cell>
          <cell r="M44">
            <v>56.23102909090909</v>
          </cell>
          <cell r="N44">
            <v>55.390909090909084</v>
          </cell>
          <cell r="O44">
            <v>55.145999999999994</v>
          </cell>
          <cell r="P44">
            <v>55.145999999999994</v>
          </cell>
          <cell r="Q44">
            <v>55.145999999999994</v>
          </cell>
          <cell r="R44">
            <v>55.145999999999994</v>
          </cell>
          <cell r="S44">
            <v>55.145999999999994</v>
          </cell>
          <cell r="T44">
            <v>55.145999999999994</v>
          </cell>
          <cell r="U44">
            <v>55.145999999999994</v>
          </cell>
        </row>
        <row r="45">
          <cell r="E45" t="str">
            <v>RI Electric Power Coal CC</v>
          </cell>
          <cell r="F45">
            <v>56.820606060606053</v>
          </cell>
          <cell r="G45">
            <v>56.86484848484848</v>
          </cell>
          <cell r="H45">
            <v>56.876363636363621</v>
          </cell>
          <cell r="I45">
            <v>56.9181818181818</v>
          </cell>
          <cell r="J45">
            <v>56.917134848484835</v>
          </cell>
          <cell r="K45">
            <v>56.953939393939393</v>
          </cell>
          <cell r="L45">
            <v>56.943030303030284</v>
          </cell>
          <cell r="M45">
            <v>56.948631515151547</v>
          </cell>
          <cell r="N45">
            <v>55.789090909090909</v>
          </cell>
          <cell r="O45">
            <v>55.837883892255896</v>
          </cell>
          <cell r="P45">
            <v>55.837883892255896</v>
          </cell>
          <cell r="Q45">
            <v>55.837883892255896</v>
          </cell>
          <cell r="R45">
            <v>55.837883892255896</v>
          </cell>
          <cell r="S45">
            <v>55.837883892255896</v>
          </cell>
          <cell r="T45">
            <v>55.837883892255896</v>
          </cell>
          <cell r="U45">
            <v>55.837883892255896</v>
          </cell>
        </row>
        <row r="46">
          <cell r="E46" t="str">
            <v>SC Electric Power Coal CC</v>
          </cell>
          <cell r="F46">
            <v>55.909090909090907</v>
          </cell>
          <cell r="G46">
            <v>55.909090909090907</v>
          </cell>
          <cell r="H46">
            <v>55.909090909090907</v>
          </cell>
          <cell r="I46">
            <v>55.909090909090907</v>
          </cell>
          <cell r="J46">
            <v>55.909090909090907</v>
          </cell>
          <cell r="K46">
            <v>55.909090909090907</v>
          </cell>
          <cell r="L46">
            <v>55.909090909090907</v>
          </cell>
          <cell r="M46">
            <v>55.898939999999996</v>
          </cell>
          <cell r="N46">
            <v>55.418181818181814</v>
          </cell>
          <cell r="O46">
            <v>55.175454545454542</v>
          </cell>
          <cell r="P46">
            <v>55.175454545454542</v>
          </cell>
          <cell r="Q46">
            <v>55.175454545454542</v>
          </cell>
          <cell r="R46">
            <v>55.175454545454542</v>
          </cell>
          <cell r="S46">
            <v>55.175454545454542</v>
          </cell>
          <cell r="T46">
            <v>55.175454545454542</v>
          </cell>
          <cell r="U46">
            <v>55.175454545454542</v>
          </cell>
        </row>
        <row r="47">
          <cell r="E47" t="str">
            <v>SD Electric Power Coal CC</v>
          </cell>
          <cell r="F47">
            <v>59.645454545454541</v>
          </cell>
          <cell r="G47">
            <v>59.672727272727272</v>
          </cell>
          <cell r="H47">
            <v>59.672727272727272</v>
          </cell>
          <cell r="I47">
            <v>59.672727272727272</v>
          </cell>
          <cell r="J47">
            <v>59.672727272727272</v>
          </cell>
          <cell r="K47">
            <v>59.154545454545449</v>
          </cell>
          <cell r="L47">
            <v>58.2</v>
          </cell>
          <cell r="M47">
            <v>58.205727272727266</v>
          </cell>
          <cell r="N47">
            <v>56.209090909090904</v>
          </cell>
          <cell r="O47">
            <v>56.213999999999992</v>
          </cell>
          <cell r="P47">
            <v>56.213999999999992</v>
          </cell>
          <cell r="Q47">
            <v>56.213999999999992</v>
          </cell>
          <cell r="R47">
            <v>56.213999999999992</v>
          </cell>
          <cell r="S47">
            <v>56.213999999999992</v>
          </cell>
          <cell r="T47">
            <v>56.213999999999992</v>
          </cell>
          <cell r="U47">
            <v>56.213999999999992</v>
          </cell>
        </row>
        <row r="48">
          <cell r="E48" t="str">
            <v>TN Electric Power Coal CC</v>
          </cell>
          <cell r="F48">
            <v>55.663636363636357</v>
          </cell>
          <cell r="G48">
            <v>55.636363636363633</v>
          </cell>
          <cell r="H48">
            <v>55.636363636363633</v>
          </cell>
          <cell r="I48">
            <v>55.718181818181819</v>
          </cell>
          <cell r="J48">
            <v>55.663636363636357</v>
          </cell>
          <cell r="K48">
            <v>55.636363636363633</v>
          </cell>
          <cell r="L48">
            <v>55.690909090909081</v>
          </cell>
          <cell r="M48">
            <v>55.823945454545452</v>
          </cell>
          <cell r="N48">
            <v>55.472727272727269</v>
          </cell>
          <cell r="O48">
            <v>55.222363636363632</v>
          </cell>
          <cell r="P48">
            <v>55.222363636363632</v>
          </cell>
          <cell r="Q48">
            <v>55.222363636363632</v>
          </cell>
          <cell r="R48">
            <v>55.222363636363632</v>
          </cell>
          <cell r="S48">
            <v>55.222363636363632</v>
          </cell>
          <cell r="T48">
            <v>55.222363636363632</v>
          </cell>
          <cell r="U48">
            <v>55.222363636363632</v>
          </cell>
        </row>
        <row r="49">
          <cell r="E49" t="str">
            <v>TX Electric Power Coal CC</v>
          </cell>
          <cell r="F49">
            <v>58.063636363636363</v>
          </cell>
          <cell r="G49">
            <v>58.063636363636363</v>
          </cell>
          <cell r="H49">
            <v>58.063636363636363</v>
          </cell>
          <cell r="I49">
            <v>58.063636363636363</v>
          </cell>
          <cell r="J49">
            <v>58.11818181818181</v>
          </cell>
          <cell r="K49">
            <v>58.036363636363632</v>
          </cell>
          <cell r="L49">
            <v>58.063636363636363</v>
          </cell>
          <cell r="M49">
            <v>58.077733636363632</v>
          </cell>
          <cell r="N49">
            <v>57.027272727272724</v>
          </cell>
          <cell r="O49">
            <v>56.822454545454541</v>
          </cell>
          <cell r="P49">
            <v>56.822454545454541</v>
          </cell>
          <cell r="Q49">
            <v>56.822454545454541</v>
          </cell>
          <cell r="R49">
            <v>56.822454545454541</v>
          </cell>
          <cell r="S49">
            <v>56.822454545454541</v>
          </cell>
          <cell r="T49">
            <v>56.822454545454541</v>
          </cell>
          <cell r="U49">
            <v>56.822454545454541</v>
          </cell>
        </row>
        <row r="50">
          <cell r="E50" t="str">
            <v>US Electric Power Coal CC</v>
          </cell>
          <cell r="F50">
            <v>56.61818181818181</v>
          </cell>
          <cell r="G50">
            <v>56.645454545454541</v>
          </cell>
          <cell r="H50">
            <v>56.645454545454541</v>
          </cell>
          <cell r="I50">
            <v>56.672727272727272</v>
          </cell>
          <cell r="J50">
            <v>56.7</v>
          </cell>
          <cell r="K50">
            <v>56.75454545454545</v>
          </cell>
          <cell r="L50">
            <v>56.75454545454545</v>
          </cell>
          <cell r="M50">
            <v>56.781818181818174</v>
          </cell>
          <cell r="N50">
            <v>55.745454545454542</v>
          </cell>
          <cell r="O50">
            <v>55.8</v>
          </cell>
          <cell r="P50">
            <v>55.8</v>
          </cell>
          <cell r="Q50">
            <v>55.8</v>
          </cell>
          <cell r="R50">
            <v>55.8</v>
          </cell>
          <cell r="S50">
            <v>55.8</v>
          </cell>
          <cell r="T50">
            <v>55.8</v>
          </cell>
          <cell r="U50">
            <v>55.8</v>
          </cell>
        </row>
        <row r="51">
          <cell r="E51" t="str">
            <v>UT Electric Power Coal CC</v>
          </cell>
          <cell r="F51">
            <v>55.718181818181819</v>
          </cell>
          <cell r="G51">
            <v>55.718181818181819</v>
          </cell>
          <cell r="H51">
            <v>55.718181818181819</v>
          </cell>
          <cell r="I51">
            <v>55.718181818181819</v>
          </cell>
          <cell r="J51">
            <v>55.718181818181819</v>
          </cell>
          <cell r="K51">
            <v>55.690909090909081</v>
          </cell>
          <cell r="L51">
            <v>55.718181818181819</v>
          </cell>
          <cell r="M51">
            <v>55.746362727272725</v>
          </cell>
          <cell r="N51">
            <v>55.390909090909084</v>
          </cell>
          <cell r="O51">
            <v>55.148181818181818</v>
          </cell>
          <cell r="P51">
            <v>55.148181818181818</v>
          </cell>
          <cell r="Q51">
            <v>55.148181818181818</v>
          </cell>
          <cell r="R51">
            <v>55.148181818181818</v>
          </cell>
          <cell r="S51">
            <v>55.148181818181818</v>
          </cell>
          <cell r="T51">
            <v>55.148181818181818</v>
          </cell>
          <cell r="U51">
            <v>55.148181818181818</v>
          </cell>
        </row>
        <row r="52">
          <cell r="E52" t="str">
            <v>VA Electric Power Coal CC</v>
          </cell>
          <cell r="F52">
            <v>56.18181818181818</v>
          </cell>
          <cell r="G52">
            <v>56.18181818181818</v>
          </cell>
          <cell r="H52">
            <v>56.18181818181818</v>
          </cell>
          <cell r="I52">
            <v>56.154545454545449</v>
          </cell>
          <cell r="J52">
            <v>56.154545454545449</v>
          </cell>
          <cell r="K52">
            <v>56.154545454545449</v>
          </cell>
          <cell r="L52">
            <v>56.18181818181818</v>
          </cell>
          <cell r="M52">
            <v>56.209183636363626</v>
          </cell>
          <cell r="N52">
            <v>55.390909090909084</v>
          </cell>
          <cell r="O52">
            <v>55.578818181818171</v>
          </cell>
          <cell r="P52">
            <v>55.578818181818171</v>
          </cell>
          <cell r="Q52">
            <v>55.578818181818171</v>
          </cell>
          <cell r="R52">
            <v>55.578818181818171</v>
          </cell>
          <cell r="S52">
            <v>55.578818181818171</v>
          </cell>
          <cell r="T52">
            <v>55.578818181818171</v>
          </cell>
          <cell r="U52">
            <v>55.578818181818171</v>
          </cell>
        </row>
        <row r="53">
          <cell r="E53" t="str">
            <v>VT Electric Power Coal CC</v>
          </cell>
          <cell r="F53">
            <v>56.820606060606053</v>
          </cell>
          <cell r="G53">
            <v>56.86484848484848</v>
          </cell>
          <cell r="H53">
            <v>56.876363636363621</v>
          </cell>
          <cell r="I53">
            <v>56.9181818181818</v>
          </cell>
          <cell r="J53">
            <v>56.917134848484835</v>
          </cell>
          <cell r="K53">
            <v>56.953939393939393</v>
          </cell>
          <cell r="L53">
            <v>56.943030303030284</v>
          </cell>
          <cell r="M53">
            <v>56.948631515151547</v>
          </cell>
          <cell r="N53">
            <v>55.789090909090909</v>
          </cell>
          <cell r="O53">
            <v>55.837883892255896</v>
          </cell>
          <cell r="P53">
            <v>55.837883892255896</v>
          </cell>
          <cell r="Q53">
            <v>55.837883892255896</v>
          </cell>
          <cell r="R53">
            <v>55.837883892255896</v>
          </cell>
          <cell r="S53">
            <v>55.837883892255896</v>
          </cell>
          <cell r="T53">
            <v>55.837883892255896</v>
          </cell>
          <cell r="U53">
            <v>55.837883892255896</v>
          </cell>
        </row>
        <row r="54">
          <cell r="E54" t="str">
            <v>WA Electric Power Coal CC</v>
          </cell>
          <cell r="F54">
            <v>57</v>
          </cell>
          <cell r="G54">
            <v>56.918181818181807</v>
          </cell>
          <cell r="H54">
            <v>57.081818181818178</v>
          </cell>
          <cell r="I54">
            <v>57.109090909090909</v>
          </cell>
          <cell r="J54">
            <v>57.054545454545448</v>
          </cell>
          <cell r="K54">
            <v>57.054545454545448</v>
          </cell>
          <cell r="L54">
            <v>56.945454545454545</v>
          </cell>
          <cell r="M54">
            <v>57.026637272727264</v>
          </cell>
          <cell r="N54">
            <v>56.209090909090904</v>
          </cell>
          <cell r="O54">
            <v>56.213999999999992</v>
          </cell>
          <cell r="P54">
            <v>56.213999999999992</v>
          </cell>
          <cell r="Q54">
            <v>56.213999999999992</v>
          </cell>
          <cell r="R54">
            <v>56.213999999999992</v>
          </cell>
          <cell r="S54">
            <v>56.213999999999992</v>
          </cell>
          <cell r="T54">
            <v>56.213999999999992</v>
          </cell>
          <cell r="U54">
            <v>56.213999999999992</v>
          </cell>
        </row>
        <row r="55">
          <cell r="E55" t="str">
            <v>WI Electric Power Coal CC</v>
          </cell>
          <cell r="F55">
            <v>57.218181818181819</v>
          </cell>
          <cell r="G55">
            <v>57.190909090909081</v>
          </cell>
          <cell r="H55">
            <v>57.245454545454542</v>
          </cell>
          <cell r="I55">
            <v>57.463636363636354</v>
          </cell>
          <cell r="J55">
            <v>57.381818181818176</v>
          </cell>
          <cell r="K55">
            <v>57.490909090909092</v>
          </cell>
          <cell r="L55">
            <v>57.6</v>
          </cell>
          <cell r="M55">
            <v>57.529715454545453</v>
          </cell>
          <cell r="N55">
            <v>55.963636363636354</v>
          </cell>
          <cell r="O55">
            <v>56.030999999999999</v>
          </cell>
          <cell r="P55">
            <v>56.030999999999999</v>
          </cell>
          <cell r="Q55">
            <v>56.030999999999999</v>
          </cell>
          <cell r="R55">
            <v>56.030999999999999</v>
          </cell>
          <cell r="S55">
            <v>56.030999999999999</v>
          </cell>
          <cell r="T55">
            <v>56.030999999999999</v>
          </cell>
          <cell r="U55">
            <v>56.030999999999999</v>
          </cell>
        </row>
        <row r="56">
          <cell r="E56" t="str">
            <v>WV Electric Power Coal CC</v>
          </cell>
          <cell r="F56">
            <v>56.427272727272722</v>
          </cell>
          <cell r="G56">
            <v>56.481818181818177</v>
          </cell>
          <cell r="H56">
            <v>56.454545454545453</v>
          </cell>
          <cell r="I56">
            <v>56.481818181818177</v>
          </cell>
          <cell r="J56">
            <v>56.481818181818177</v>
          </cell>
          <cell r="K56">
            <v>56.481818181818177</v>
          </cell>
          <cell r="L56">
            <v>56.454545454545453</v>
          </cell>
          <cell r="M56">
            <v>56.46218727272727</v>
          </cell>
          <cell r="N56">
            <v>55.390909090909084</v>
          </cell>
          <cell r="O56">
            <v>55.891636363636358</v>
          </cell>
          <cell r="P56">
            <v>55.891636363636358</v>
          </cell>
          <cell r="Q56">
            <v>55.891636363636358</v>
          </cell>
          <cell r="R56">
            <v>55.891636363636358</v>
          </cell>
          <cell r="S56">
            <v>55.891636363636358</v>
          </cell>
          <cell r="T56">
            <v>55.891636363636358</v>
          </cell>
          <cell r="U56">
            <v>55.891636363636358</v>
          </cell>
        </row>
        <row r="57">
          <cell r="E57" t="str">
            <v>WY Electric Power Coal CC</v>
          </cell>
          <cell r="F57">
            <v>57.818181818181813</v>
          </cell>
          <cell r="G57">
            <v>57.818181818181813</v>
          </cell>
          <cell r="H57">
            <v>57.818181818181813</v>
          </cell>
          <cell r="I57">
            <v>57.818181818181813</v>
          </cell>
          <cell r="J57">
            <v>57.790909090909089</v>
          </cell>
          <cell r="K57">
            <v>57.790909090909089</v>
          </cell>
          <cell r="L57">
            <v>57.790909090909089</v>
          </cell>
          <cell r="M57">
            <v>57.796164545454545</v>
          </cell>
          <cell r="N57">
            <v>56.127272727272725</v>
          </cell>
          <cell r="O57">
            <v>56.162454545454544</v>
          </cell>
          <cell r="P57">
            <v>56.162454545454544</v>
          </cell>
          <cell r="Q57">
            <v>56.162454545454544</v>
          </cell>
          <cell r="R57">
            <v>56.162454545454544</v>
          </cell>
          <cell r="S57">
            <v>56.162454545454544</v>
          </cell>
          <cell r="T57">
            <v>56.162454545454544</v>
          </cell>
          <cell r="U57">
            <v>56.162454545454544</v>
          </cell>
        </row>
        <row r="58">
          <cell r="E58" t="str">
            <v>AL Res + Comm Coal CC</v>
          </cell>
          <cell r="F58">
            <v>56.18181818181818</v>
          </cell>
          <cell r="G58">
            <v>56.072727272727271</v>
          </cell>
          <cell r="H58">
            <v>56.04545454545454</v>
          </cell>
          <cell r="I58">
            <v>56.1</v>
          </cell>
          <cell r="J58">
            <v>56.1</v>
          </cell>
          <cell r="K58">
            <v>56.1</v>
          </cell>
          <cell r="L58">
            <v>56.04545454545454</v>
          </cell>
          <cell r="M58">
            <v>55.998670909090905</v>
          </cell>
          <cell r="N58">
            <v>56.034545454545452</v>
          </cell>
          <cell r="O58">
            <v>56.04545454545454</v>
          </cell>
          <cell r="P58">
            <v>56.04545454545454</v>
          </cell>
          <cell r="Q58">
            <v>56.04545454545454</v>
          </cell>
          <cell r="R58">
            <v>56.04545454545454</v>
          </cell>
          <cell r="S58">
            <v>56.04545454545454</v>
          </cell>
          <cell r="T58">
            <v>56.04545454545454</v>
          </cell>
          <cell r="U58">
            <v>56.04545454545454</v>
          </cell>
        </row>
        <row r="59">
          <cell r="E59" t="str">
            <v>AK Res + Comm Coal CC</v>
          </cell>
          <cell r="F59">
            <v>58.36363636363636</v>
          </cell>
          <cell r="G59">
            <v>58.36363636363636</v>
          </cell>
          <cell r="H59">
            <v>58.36363636363636</v>
          </cell>
          <cell r="I59">
            <v>58.36363636363636</v>
          </cell>
          <cell r="J59">
            <v>58.36363636363636</v>
          </cell>
          <cell r="K59">
            <v>58.36363636363636</v>
          </cell>
          <cell r="L59">
            <v>58.36363636363636</v>
          </cell>
          <cell r="M59">
            <v>58.36363636363636</v>
          </cell>
          <cell r="N59">
            <v>58.36363636363636</v>
          </cell>
          <cell r="O59">
            <v>58.36363636363636</v>
          </cell>
          <cell r="P59">
            <v>58.36363636363636</v>
          </cell>
          <cell r="Q59">
            <v>58.36363636363636</v>
          </cell>
          <cell r="R59">
            <v>58.36363636363636</v>
          </cell>
          <cell r="S59">
            <v>58.36363636363636</v>
          </cell>
          <cell r="T59">
            <v>58.36363636363636</v>
          </cell>
          <cell r="U59">
            <v>58.36363636363636</v>
          </cell>
        </row>
        <row r="60">
          <cell r="E60" t="str">
            <v>AR Res + Comm Coal CC</v>
          </cell>
          <cell r="F60">
            <v>56.154545454545449</v>
          </cell>
          <cell r="G60">
            <v>56.154545454545449</v>
          </cell>
          <cell r="H60">
            <v>60.627272727272725</v>
          </cell>
          <cell r="I60">
            <v>57.245454545454542</v>
          </cell>
          <cell r="J60">
            <v>56.509090909090901</v>
          </cell>
          <cell r="K60">
            <v>58.675210129870131</v>
          </cell>
          <cell r="L60">
            <v>58.675210129870131</v>
          </cell>
          <cell r="M60">
            <v>62.017379999999996</v>
          </cell>
          <cell r="N60">
            <v>58.675210129870131</v>
          </cell>
          <cell r="O60">
            <v>62.018181818181816</v>
          </cell>
          <cell r="P60">
            <v>62.018181818181816</v>
          </cell>
          <cell r="Q60">
            <v>62.018181818181816</v>
          </cell>
          <cell r="R60">
            <v>62.018181818181816</v>
          </cell>
          <cell r="S60">
            <v>62.018181818181816</v>
          </cell>
          <cell r="T60">
            <v>62.018181818181816</v>
          </cell>
          <cell r="U60">
            <v>62.018181818181816</v>
          </cell>
        </row>
        <row r="61">
          <cell r="E61" t="str">
            <v>AZ Res + Comm Coal CC</v>
          </cell>
          <cell r="F61">
            <v>56.809090909090905</v>
          </cell>
          <cell r="G61">
            <v>59.536363636363632</v>
          </cell>
          <cell r="H61">
            <v>56.890909090909084</v>
          </cell>
          <cell r="I61">
            <v>57.818181818181813</v>
          </cell>
          <cell r="J61">
            <v>62.018181818181816</v>
          </cell>
          <cell r="K61">
            <v>58.009090909090901</v>
          </cell>
          <cell r="L61">
            <v>56.427272727272722</v>
          </cell>
          <cell r="M61">
            <v>56.393391818181811</v>
          </cell>
          <cell r="N61">
            <v>57.332727272727269</v>
          </cell>
          <cell r="O61">
            <v>58.009090909090901</v>
          </cell>
          <cell r="P61">
            <v>58.009090909090901</v>
          </cell>
          <cell r="Q61">
            <v>58.009090909090901</v>
          </cell>
          <cell r="R61">
            <v>58.009090909090901</v>
          </cell>
          <cell r="S61">
            <v>58.009090909090901</v>
          </cell>
          <cell r="T61">
            <v>58.009090909090901</v>
          </cell>
          <cell r="U61">
            <v>58.009090909090901</v>
          </cell>
        </row>
        <row r="62">
          <cell r="E62" t="str">
            <v>CA Res + Comm Coal CC</v>
          </cell>
          <cell r="F62">
            <v>55.663636363636357</v>
          </cell>
          <cell r="G62">
            <v>55.690909090909081</v>
          </cell>
          <cell r="H62">
            <v>55.663636363636357</v>
          </cell>
          <cell r="I62">
            <v>55.663636363636357</v>
          </cell>
          <cell r="J62">
            <v>55.663636363636357</v>
          </cell>
          <cell r="K62">
            <v>55.663636363636357</v>
          </cell>
          <cell r="L62">
            <v>55.663636363636357</v>
          </cell>
          <cell r="M62">
            <v>55.659324545454545</v>
          </cell>
          <cell r="N62">
            <v>55.666363636363634</v>
          </cell>
          <cell r="O62">
            <v>55.663636363636357</v>
          </cell>
          <cell r="P62">
            <v>55.663636363636357</v>
          </cell>
          <cell r="Q62">
            <v>55.663636363636357</v>
          </cell>
          <cell r="R62">
            <v>55.663636363636357</v>
          </cell>
          <cell r="S62">
            <v>55.663636363636357</v>
          </cell>
          <cell r="T62">
            <v>55.663636363636357</v>
          </cell>
          <cell r="U62">
            <v>55.663636363636357</v>
          </cell>
        </row>
        <row r="63">
          <cell r="E63" t="str">
            <v>CO Res + Comm Coal CC</v>
          </cell>
          <cell r="F63">
            <v>57.927272727272722</v>
          </cell>
          <cell r="G63">
            <v>57.927272727272722</v>
          </cell>
          <cell r="H63">
            <v>57.54545454545454</v>
          </cell>
          <cell r="I63">
            <v>57.818181818181813</v>
          </cell>
          <cell r="J63">
            <v>57.6</v>
          </cell>
          <cell r="K63">
            <v>57.709090909090904</v>
          </cell>
          <cell r="L63">
            <v>57.763636363636365</v>
          </cell>
          <cell r="M63">
            <v>57.876354545454539</v>
          </cell>
          <cell r="N63">
            <v>57.54818181818181</v>
          </cell>
          <cell r="O63">
            <v>56.225454545454539</v>
          </cell>
          <cell r="P63">
            <v>56.225454545454539</v>
          </cell>
          <cell r="Q63">
            <v>56.225454545454539</v>
          </cell>
          <cell r="R63">
            <v>56.225454545454539</v>
          </cell>
          <cell r="S63">
            <v>56.225454545454539</v>
          </cell>
          <cell r="T63">
            <v>56.225454545454539</v>
          </cell>
          <cell r="U63">
            <v>56.225454545454539</v>
          </cell>
        </row>
        <row r="64">
          <cell r="E64" t="str">
            <v>CT Res + Comm Coal CC</v>
          </cell>
          <cell r="F64">
            <v>61.827272727272721</v>
          </cell>
          <cell r="G64">
            <v>61.990909090909092</v>
          </cell>
          <cell r="H64">
            <v>60.054545454545448</v>
          </cell>
          <cell r="I64">
            <v>61.881818181818176</v>
          </cell>
          <cell r="J64">
            <v>61.718181818181819</v>
          </cell>
          <cell r="K64">
            <v>57.790909090909089</v>
          </cell>
          <cell r="L64">
            <v>61.745454545454542</v>
          </cell>
          <cell r="M64">
            <v>61.787187272727266</v>
          </cell>
          <cell r="N64">
            <v>61.08</v>
          </cell>
          <cell r="O64">
            <v>61.892727272727271</v>
          </cell>
          <cell r="P64">
            <v>61.892727272727271</v>
          </cell>
          <cell r="Q64">
            <v>61.892727272727271</v>
          </cell>
          <cell r="R64">
            <v>61.892727272727271</v>
          </cell>
          <cell r="S64">
            <v>61.892727272727271</v>
          </cell>
          <cell r="T64">
            <v>61.892727272727271</v>
          </cell>
          <cell r="U64">
            <v>61.892727272727271</v>
          </cell>
        </row>
        <row r="65">
          <cell r="E65" t="str">
            <v>DC Res + Comm Coal CC</v>
          </cell>
          <cell r="F65">
            <v>56.290909090909089</v>
          </cell>
          <cell r="G65">
            <v>56.04545454545454</v>
          </cell>
          <cell r="H65">
            <v>56.263636363636365</v>
          </cell>
          <cell r="I65">
            <v>56.290909090909089</v>
          </cell>
          <cell r="J65">
            <v>56.318181818181813</v>
          </cell>
          <cell r="K65">
            <v>56.672727272727272</v>
          </cell>
          <cell r="L65">
            <v>56.509090909090901</v>
          </cell>
          <cell r="M65">
            <v>56.497767272727266</v>
          </cell>
          <cell r="N65">
            <v>56.569090909090903</v>
          </cell>
          <cell r="O65">
            <v>56.225454545454539</v>
          </cell>
          <cell r="P65">
            <v>56.225454545454539</v>
          </cell>
          <cell r="Q65">
            <v>56.225454545454539</v>
          </cell>
          <cell r="R65">
            <v>56.225454545454539</v>
          </cell>
          <cell r="S65">
            <v>56.225454545454539</v>
          </cell>
          <cell r="T65">
            <v>56.225454545454539</v>
          </cell>
          <cell r="U65">
            <v>56.225454545454539</v>
          </cell>
        </row>
        <row r="66">
          <cell r="E66" t="str">
            <v>DE Res + Comm Coal CC</v>
          </cell>
          <cell r="F66">
            <v>56.372727272727268</v>
          </cell>
          <cell r="G66">
            <v>56.18181818181818</v>
          </cell>
          <cell r="H66">
            <v>60.3</v>
          </cell>
          <cell r="I66">
            <v>55.36363636363636</v>
          </cell>
          <cell r="J66">
            <v>55.472727272727269</v>
          </cell>
          <cell r="K66">
            <v>62.018181818181816</v>
          </cell>
          <cell r="L66">
            <v>57.190909090909081</v>
          </cell>
          <cell r="M66">
            <v>57.045962727272723</v>
          </cell>
          <cell r="N66">
            <v>56.858181818181812</v>
          </cell>
          <cell r="O66">
            <v>59.479090909090907</v>
          </cell>
          <cell r="P66">
            <v>59.479090909090907</v>
          </cell>
          <cell r="Q66">
            <v>59.479090909090907</v>
          </cell>
          <cell r="R66">
            <v>59.479090909090907</v>
          </cell>
          <cell r="S66">
            <v>59.479090909090907</v>
          </cell>
          <cell r="T66">
            <v>59.479090909090907</v>
          </cell>
          <cell r="U66">
            <v>59.479090909090907</v>
          </cell>
        </row>
        <row r="67">
          <cell r="E67" t="str">
            <v>FL Res + Comm Coal CC</v>
          </cell>
          <cell r="F67">
            <v>56.590909090909086</v>
          </cell>
          <cell r="G67">
            <v>62.018181818181816</v>
          </cell>
          <cell r="H67">
            <v>56.1</v>
          </cell>
          <cell r="I67">
            <v>55.93636363636363</v>
          </cell>
          <cell r="J67">
            <v>55.909090909090907</v>
          </cell>
          <cell r="K67">
            <v>56.672727272727272</v>
          </cell>
          <cell r="L67">
            <v>55.854545454545452</v>
          </cell>
          <cell r="M67">
            <v>56.758787878787878</v>
          </cell>
          <cell r="N67">
            <v>55.854545454545452</v>
          </cell>
          <cell r="O67">
            <v>55.892727272727271</v>
          </cell>
          <cell r="P67">
            <v>55.892727272727271</v>
          </cell>
          <cell r="Q67">
            <v>55.892727272727271</v>
          </cell>
          <cell r="R67">
            <v>55.892727272727271</v>
          </cell>
          <cell r="S67">
            <v>55.892727272727271</v>
          </cell>
          <cell r="T67">
            <v>55.892727272727271</v>
          </cell>
          <cell r="U67">
            <v>55.892727272727271</v>
          </cell>
        </row>
        <row r="68">
          <cell r="E68" t="str">
            <v>GA Res + Comm Coal CC</v>
          </cell>
          <cell r="F68">
            <v>55.93636363636363</v>
          </cell>
          <cell r="G68">
            <v>56.263636363636365</v>
          </cell>
          <cell r="H68">
            <v>55.881818181818183</v>
          </cell>
          <cell r="I68">
            <v>55.93636363636363</v>
          </cell>
          <cell r="J68">
            <v>56.18181818181818</v>
          </cell>
          <cell r="K68">
            <v>56.154545454545449</v>
          </cell>
          <cell r="L68">
            <v>55.854545454545452</v>
          </cell>
          <cell r="M68">
            <v>56.244545454545445</v>
          </cell>
          <cell r="N68">
            <v>56.236363636363627</v>
          </cell>
          <cell r="O68">
            <v>56.11090909090909</v>
          </cell>
          <cell r="P68">
            <v>56.11090909090909</v>
          </cell>
          <cell r="Q68">
            <v>56.11090909090909</v>
          </cell>
          <cell r="R68">
            <v>56.11090909090909</v>
          </cell>
          <cell r="S68">
            <v>56.11090909090909</v>
          </cell>
          <cell r="T68">
            <v>56.11090909090909</v>
          </cell>
          <cell r="U68">
            <v>56.11090909090909</v>
          </cell>
        </row>
        <row r="69">
          <cell r="E69" t="str">
            <v>HI Res + Comm Coal CC</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row>
        <row r="70">
          <cell r="E70" t="str">
            <v>IA Res + Comm Coal CC</v>
          </cell>
          <cell r="F70">
            <v>55.663636363636357</v>
          </cell>
          <cell r="G70">
            <v>55.554545454545448</v>
          </cell>
          <cell r="H70">
            <v>55.690909090909081</v>
          </cell>
          <cell r="I70">
            <v>55.772727272727266</v>
          </cell>
          <cell r="J70">
            <v>55.8</v>
          </cell>
          <cell r="K70">
            <v>55.854545454545452</v>
          </cell>
          <cell r="L70">
            <v>55.7279803030303</v>
          </cell>
          <cell r="M70">
            <v>55.596368181818178</v>
          </cell>
          <cell r="N70">
            <v>55.86545454545454</v>
          </cell>
          <cell r="O70">
            <v>55.75363636363636</v>
          </cell>
          <cell r="P70">
            <v>55.75363636363636</v>
          </cell>
          <cell r="Q70">
            <v>55.75363636363636</v>
          </cell>
          <cell r="R70">
            <v>55.75363636363636</v>
          </cell>
          <cell r="S70">
            <v>55.75363636363636</v>
          </cell>
          <cell r="T70">
            <v>55.75363636363636</v>
          </cell>
          <cell r="U70">
            <v>55.75363636363636</v>
          </cell>
        </row>
        <row r="71">
          <cell r="E71" t="str">
            <v>ID Res + Comm Coal CC</v>
          </cell>
          <cell r="F71">
            <v>55.881818181818183</v>
          </cell>
          <cell r="G71">
            <v>55.827272727272721</v>
          </cell>
          <cell r="H71">
            <v>55.909090909090907</v>
          </cell>
          <cell r="I71">
            <v>55.881818181818183</v>
          </cell>
          <cell r="J71">
            <v>55.909090909090907</v>
          </cell>
          <cell r="K71">
            <v>56.18181818181818</v>
          </cell>
          <cell r="L71">
            <v>56.154545454545449</v>
          </cell>
          <cell r="M71">
            <v>55.787007272727266</v>
          </cell>
          <cell r="N71">
            <v>56.544545454545457</v>
          </cell>
          <cell r="O71">
            <v>55.674545454545445</v>
          </cell>
          <cell r="P71">
            <v>55.674545454545445</v>
          </cell>
          <cell r="Q71">
            <v>55.674545454545445</v>
          </cell>
          <cell r="R71">
            <v>55.674545454545445</v>
          </cell>
          <cell r="S71">
            <v>55.674545454545445</v>
          </cell>
          <cell r="T71">
            <v>55.674545454545445</v>
          </cell>
          <cell r="U71">
            <v>55.674545454545445</v>
          </cell>
        </row>
        <row r="72">
          <cell r="E72" t="str">
            <v>IL Res + Comm Coal CC</v>
          </cell>
          <cell r="F72">
            <v>55.5</v>
          </cell>
          <cell r="G72">
            <v>55.609090909090909</v>
          </cell>
          <cell r="H72">
            <v>55.609090909090909</v>
          </cell>
          <cell r="I72">
            <v>55.527272727272724</v>
          </cell>
          <cell r="J72">
            <v>55.527272727272724</v>
          </cell>
          <cell r="K72">
            <v>55.527272727272724</v>
          </cell>
          <cell r="L72">
            <v>55.581818181818178</v>
          </cell>
          <cell r="M72">
            <v>55.663679999999992</v>
          </cell>
          <cell r="N72">
            <v>55.540909090909089</v>
          </cell>
          <cell r="O72">
            <v>55.56</v>
          </cell>
          <cell r="P72">
            <v>55.56</v>
          </cell>
          <cell r="Q72">
            <v>55.56</v>
          </cell>
          <cell r="R72">
            <v>55.56</v>
          </cell>
          <cell r="S72">
            <v>55.56</v>
          </cell>
          <cell r="T72">
            <v>55.56</v>
          </cell>
          <cell r="U72">
            <v>55.56</v>
          </cell>
        </row>
        <row r="73">
          <cell r="E73" t="str">
            <v>IN Res + Comm Coal CC</v>
          </cell>
          <cell r="F73">
            <v>55.554545454545448</v>
          </cell>
          <cell r="G73">
            <v>55.581818181818178</v>
          </cell>
          <cell r="H73">
            <v>55.581818181818178</v>
          </cell>
          <cell r="I73">
            <v>55.663636363636357</v>
          </cell>
          <cell r="J73">
            <v>55.663636363636357</v>
          </cell>
          <cell r="K73">
            <v>55.663636363636357</v>
          </cell>
          <cell r="L73">
            <v>55.663636363636357</v>
          </cell>
          <cell r="M73">
            <v>55.672783636363633</v>
          </cell>
          <cell r="N73">
            <v>55.701818181818183</v>
          </cell>
          <cell r="O73">
            <v>55.669090909090905</v>
          </cell>
          <cell r="P73">
            <v>55.669090909090905</v>
          </cell>
          <cell r="Q73">
            <v>55.669090909090905</v>
          </cell>
          <cell r="R73">
            <v>55.669090909090905</v>
          </cell>
          <cell r="S73">
            <v>55.669090909090905</v>
          </cell>
          <cell r="T73">
            <v>55.669090909090905</v>
          </cell>
          <cell r="U73">
            <v>55.669090909090905</v>
          </cell>
        </row>
        <row r="74">
          <cell r="E74" t="str">
            <v>KS Res + Comm Coal CC</v>
          </cell>
          <cell r="F74">
            <v>55.418181818181814</v>
          </cell>
          <cell r="G74">
            <v>55.581818181818178</v>
          </cell>
          <cell r="H74">
            <v>55.336363636363636</v>
          </cell>
          <cell r="I74">
            <v>55.609090909090909</v>
          </cell>
          <cell r="J74">
            <v>55.527272727272724</v>
          </cell>
          <cell r="K74">
            <v>55.309090909090905</v>
          </cell>
          <cell r="L74">
            <v>55.309090909090905</v>
          </cell>
          <cell r="M74">
            <v>55.306322727272722</v>
          </cell>
          <cell r="N74">
            <v>55.663636363636357</v>
          </cell>
          <cell r="O74">
            <v>55.879090909090898</v>
          </cell>
          <cell r="P74">
            <v>55.879090909090898</v>
          </cell>
          <cell r="Q74">
            <v>55.879090909090898</v>
          </cell>
          <cell r="R74">
            <v>55.879090909090898</v>
          </cell>
          <cell r="S74">
            <v>55.879090909090898</v>
          </cell>
          <cell r="T74">
            <v>55.879090909090898</v>
          </cell>
          <cell r="U74">
            <v>55.879090909090898</v>
          </cell>
        </row>
        <row r="75">
          <cell r="E75" t="str">
            <v>KY Res + Comm Coal CC</v>
          </cell>
          <cell r="F75">
            <v>55.718181818181819</v>
          </cell>
          <cell r="G75">
            <v>55.718181818181819</v>
          </cell>
          <cell r="H75">
            <v>55.8</v>
          </cell>
          <cell r="I75">
            <v>55.93636363636363</v>
          </cell>
          <cell r="J75">
            <v>55.909090909090907</v>
          </cell>
          <cell r="K75">
            <v>55.827272727272721</v>
          </cell>
          <cell r="L75">
            <v>55.909090909090907</v>
          </cell>
          <cell r="M75">
            <v>55.408382727272723</v>
          </cell>
          <cell r="N75">
            <v>55.903636363636359</v>
          </cell>
          <cell r="O75">
            <v>55.952727272727266</v>
          </cell>
          <cell r="P75">
            <v>55.952727272727266</v>
          </cell>
          <cell r="Q75">
            <v>55.952727272727266</v>
          </cell>
          <cell r="R75">
            <v>55.952727272727266</v>
          </cell>
          <cell r="S75">
            <v>55.952727272727266</v>
          </cell>
          <cell r="T75">
            <v>55.952727272727266</v>
          </cell>
          <cell r="U75">
            <v>55.952727272727266</v>
          </cell>
        </row>
        <row r="76">
          <cell r="E76" t="str">
            <v>LA Res + Comm Coal CC</v>
          </cell>
          <cell r="F76">
            <v>59.67781963636363</v>
          </cell>
          <cell r="G76">
            <v>62.018181818181816</v>
          </cell>
          <cell r="H76">
            <v>59.67781963636363</v>
          </cell>
          <cell r="I76">
            <v>62.018181818181816</v>
          </cell>
          <cell r="J76">
            <v>59.67781963636363</v>
          </cell>
          <cell r="K76">
            <v>55.854545454545452</v>
          </cell>
          <cell r="L76">
            <v>59.67781963636363</v>
          </cell>
          <cell r="M76">
            <v>56.480007272727264</v>
          </cell>
          <cell r="N76">
            <v>59.67781963636363</v>
          </cell>
          <cell r="O76">
            <v>62.018181818181816</v>
          </cell>
          <cell r="P76">
            <v>62.018181818181816</v>
          </cell>
          <cell r="Q76">
            <v>62.018181818181816</v>
          </cell>
          <cell r="R76">
            <v>62.018181818181816</v>
          </cell>
          <cell r="S76">
            <v>62.018181818181816</v>
          </cell>
          <cell r="T76">
            <v>62.018181818181816</v>
          </cell>
          <cell r="U76">
            <v>62.018181818181816</v>
          </cell>
        </row>
        <row r="77">
          <cell r="E77" t="str">
            <v>MA Res + Comm Coal CC</v>
          </cell>
          <cell r="F77">
            <v>58.309090909090905</v>
          </cell>
          <cell r="G77">
            <v>60.409090909090907</v>
          </cell>
          <cell r="H77">
            <v>58.390909090909084</v>
          </cell>
          <cell r="I77">
            <v>59.18181818181818</v>
          </cell>
          <cell r="J77">
            <v>61.581818181818178</v>
          </cell>
          <cell r="K77">
            <v>59.372727272727268</v>
          </cell>
          <cell r="L77">
            <v>58.418181818181807</v>
          </cell>
          <cell r="M77">
            <v>58.876611818181814</v>
          </cell>
          <cell r="N77">
            <v>58.172727272727272</v>
          </cell>
          <cell r="O77">
            <v>57.447272727272718</v>
          </cell>
          <cell r="P77">
            <v>57.447272727272718</v>
          </cell>
          <cell r="Q77">
            <v>57.447272727272718</v>
          </cell>
          <cell r="R77">
            <v>57.447272727272718</v>
          </cell>
          <cell r="S77">
            <v>57.447272727272718</v>
          </cell>
          <cell r="T77">
            <v>57.447272727272718</v>
          </cell>
          <cell r="U77">
            <v>57.447272727272718</v>
          </cell>
        </row>
        <row r="78">
          <cell r="E78" t="str">
            <v>MD Res + Comm Coal CC</v>
          </cell>
          <cell r="F78">
            <v>56.672727272727272</v>
          </cell>
          <cell r="G78">
            <v>56.75454545454545</v>
          </cell>
          <cell r="H78">
            <v>57.736363636363627</v>
          </cell>
          <cell r="I78">
            <v>57.845454545454537</v>
          </cell>
          <cell r="J78">
            <v>56.890909090909084</v>
          </cell>
          <cell r="K78">
            <v>56.7</v>
          </cell>
          <cell r="L78">
            <v>56.672727272727272</v>
          </cell>
          <cell r="M78">
            <v>56.794251818181813</v>
          </cell>
          <cell r="N78">
            <v>56.626363636363628</v>
          </cell>
          <cell r="O78">
            <v>56.792727272727269</v>
          </cell>
          <cell r="P78">
            <v>56.792727272727269</v>
          </cell>
          <cell r="Q78">
            <v>56.792727272727269</v>
          </cell>
          <cell r="R78">
            <v>56.792727272727269</v>
          </cell>
          <cell r="S78">
            <v>56.792727272727269</v>
          </cell>
          <cell r="T78">
            <v>56.792727272727269</v>
          </cell>
          <cell r="U78">
            <v>56.792727272727269</v>
          </cell>
        </row>
        <row r="79">
          <cell r="E79" t="str">
            <v>ME Res + Comm Coal CC</v>
          </cell>
          <cell r="F79">
            <v>57.818181818181813</v>
          </cell>
          <cell r="G79">
            <v>61.063636363636363</v>
          </cell>
          <cell r="H79">
            <v>58.090909090909086</v>
          </cell>
          <cell r="I79">
            <v>57.872727272727268</v>
          </cell>
          <cell r="J79">
            <v>61.854545454545452</v>
          </cell>
          <cell r="K79">
            <v>61.827272727272721</v>
          </cell>
          <cell r="L79">
            <v>62.018181818181816</v>
          </cell>
          <cell r="M79">
            <v>61.692471818181808</v>
          </cell>
          <cell r="N79">
            <v>62.018181818181816</v>
          </cell>
          <cell r="O79">
            <v>61.960909090909084</v>
          </cell>
          <cell r="P79">
            <v>61.960909090909084</v>
          </cell>
          <cell r="Q79">
            <v>61.960909090909084</v>
          </cell>
          <cell r="R79">
            <v>61.960909090909084</v>
          </cell>
          <cell r="S79">
            <v>61.960909090909084</v>
          </cell>
          <cell r="T79">
            <v>61.960909090909084</v>
          </cell>
          <cell r="U79">
            <v>61.960909090909084</v>
          </cell>
        </row>
        <row r="80">
          <cell r="E80" t="str">
            <v>MI Res + Comm Coal CC</v>
          </cell>
          <cell r="F80">
            <v>55.881818181818183</v>
          </cell>
          <cell r="G80">
            <v>55.881818181818183</v>
          </cell>
          <cell r="H80">
            <v>55.909090909090907</v>
          </cell>
          <cell r="I80">
            <v>55.8</v>
          </cell>
          <cell r="J80">
            <v>55.718181818181819</v>
          </cell>
          <cell r="K80">
            <v>55.718181818181819</v>
          </cell>
          <cell r="L80">
            <v>55.854545454545452</v>
          </cell>
          <cell r="M80">
            <v>55.802948181818174</v>
          </cell>
          <cell r="N80">
            <v>55.876363636363628</v>
          </cell>
          <cell r="O80">
            <v>56.165454545454544</v>
          </cell>
          <cell r="P80">
            <v>56.165454545454544</v>
          </cell>
          <cell r="Q80">
            <v>56.165454545454544</v>
          </cell>
          <cell r="R80">
            <v>56.165454545454544</v>
          </cell>
          <cell r="S80">
            <v>56.165454545454544</v>
          </cell>
          <cell r="T80">
            <v>56.165454545454544</v>
          </cell>
          <cell r="U80">
            <v>56.165454545454544</v>
          </cell>
        </row>
        <row r="81">
          <cell r="E81" t="str">
            <v>MN Res + Comm Coal CC</v>
          </cell>
          <cell r="F81">
            <v>57.818181818181813</v>
          </cell>
          <cell r="G81">
            <v>57.872727272727268</v>
          </cell>
          <cell r="H81">
            <v>57.9</v>
          </cell>
          <cell r="I81">
            <v>57.736363636363627</v>
          </cell>
          <cell r="J81">
            <v>57.109090909090909</v>
          </cell>
          <cell r="K81">
            <v>56.890909090909084</v>
          </cell>
          <cell r="L81">
            <v>57.954545454545453</v>
          </cell>
          <cell r="M81">
            <v>57.55217727272727</v>
          </cell>
          <cell r="N81">
            <v>56.121818181818178</v>
          </cell>
          <cell r="O81">
            <v>56.79818181818181</v>
          </cell>
          <cell r="P81">
            <v>56.79818181818181</v>
          </cell>
          <cell r="Q81">
            <v>56.79818181818181</v>
          </cell>
          <cell r="R81">
            <v>56.79818181818181</v>
          </cell>
          <cell r="S81">
            <v>56.79818181818181</v>
          </cell>
          <cell r="T81">
            <v>56.79818181818181</v>
          </cell>
          <cell r="U81">
            <v>56.79818181818181</v>
          </cell>
        </row>
        <row r="82">
          <cell r="E82" t="str">
            <v>MO Res + Comm Coal CC</v>
          </cell>
          <cell r="F82">
            <v>55.281818181818174</v>
          </cell>
          <cell r="G82">
            <v>55.309090909090905</v>
          </cell>
          <cell r="H82">
            <v>55.472727272727269</v>
          </cell>
          <cell r="I82">
            <v>55.663636363636357</v>
          </cell>
          <cell r="J82">
            <v>55.5</v>
          </cell>
          <cell r="K82">
            <v>55.390909090909084</v>
          </cell>
          <cell r="L82">
            <v>55.445454545454545</v>
          </cell>
          <cell r="M82">
            <v>55.577631818181814</v>
          </cell>
          <cell r="N82">
            <v>55.510909090909088</v>
          </cell>
          <cell r="O82">
            <v>55.780909090909084</v>
          </cell>
          <cell r="P82">
            <v>55.780909090909084</v>
          </cell>
          <cell r="Q82">
            <v>55.780909090909084</v>
          </cell>
          <cell r="R82">
            <v>55.780909090909084</v>
          </cell>
          <cell r="S82">
            <v>55.780909090909084</v>
          </cell>
          <cell r="T82">
            <v>55.780909090909084</v>
          </cell>
          <cell r="U82">
            <v>55.780909090909084</v>
          </cell>
        </row>
        <row r="83">
          <cell r="E83" t="str">
            <v>MS Res + Comm Coal CC</v>
          </cell>
          <cell r="F83">
            <v>56.836363636363636</v>
          </cell>
          <cell r="G83">
            <v>62.018181818181816</v>
          </cell>
          <cell r="H83">
            <v>62.018181818181816</v>
          </cell>
          <cell r="I83">
            <v>62.018181818181816</v>
          </cell>
          <cell r="J83">
            <v>60.981657818181816</v>
          </cell>
          <cell r="K83">
            <v>60.981657818181816</v>
          </cell>
          <cell r="L83">
            <v>60.981657818181816</v>
          </cell>
          <cell r="M83">
            <v>62.017379999999996</v>
          </cell>
          <cell r="N83">
            <v>60.981657818181816</v>
          </cell>
          <cell r="O83">
            <v>60.981657818181816</v>
          </cell>
          <cell r="P83">
            <v>60.981657818181816</v>
          </cell>
          <cell r="Q83">
            <v>60.981657818181816</v>
          </cell>
          <cell r="R83">
            <v>60.981657818181816</v>
          </cell>
          <cell r="S83">
            <v>60.981657818181816</v>
          </cell>
          <cell r="T83">
            <v>60.981657818181816</v>
          </cell>
          <cell r="U83">
            <v>60.981657818181816</v>
          </cell>
        </row>
        <row r="84">
          <cell r="E84" t="str">
            <v>MT Res + Comm Coal CC</v>
          </cell>
          <cell r="F84">
            <v>57.736363636363627</v>
          </cell>
          <cell r="G84">
            <v>58.2</v>
          </cell>
          <cell r="H84">
            <v>58.172727272727272</v>
          </cell>
          <cell r="I84">
            <v>57.627272727272725</v>
          </cell>
          <cell r="J84">
            <v>58.2</v>
          </cell>
          <cell r="K84">
            <v>56.509090909090901</v>
          </cell>
          <cell r="L84">
            <v>58.2</v>
          </cell>
          <cell r="M84">
            <v>57.760194545454546</v>
          </cell>
          <cell r="N84">
            <v>57.051818181818177</v>
          </cell>
          <cell r="O84">
            <v>57.09</v>
          </cell>
          <cell r="P84">
            <v>57.09</v>
          </cell>
          <cell r="Q84">
            <v>57.09</v>
          </cell>
          <cell r="R84">
            <v>57.09</v>
          </cell>
          <cell r="S84">
            <v>57.09</v>
          </cell>
          <cell r="T84">
            <v>57.09</v>
          </cell>
          <cell r="U84">
            <v>57.09</v>
          </cell>
        </row>
        <row r="85">
          <cell r="E85" t="str">
            <v>NC Res + Comm Coal CC</v>
          </cell>
          <cell r="F85">
            <v>56.372727272727268</v>
          </cell>
          <cell r="G85">
            <v>56.209090909090904</v>
          </cell>
          <cell r="H85">
            <v>56.236363636363627</v>
          </cell>
          <cell r="I85">
            <v>56.154545454545449</v>
          </cell>
          <cell r="J85">
            <v>56.18181818181818</v>
          </cell>
          <cell r="K85">
            <v>56.290909090909089</v>
          </cell>
          <cell r="L85">
            <v>56.18181818181818</v>
          </cell>
          <cell r="M85">
            <v>56.080044545454548</v>
          </cell>
          <cell r="N85">
            <v>56.165454545454544</v>
          </cell>
          <cell r="O85">
            <v>56.140909090909084</v>
          </cell>
          <cell r="P85">
            <v>56.140909090909084</v>
          </cell>
          <cell r="Q85">
            <v>56.140909090909084</v>
          </cell>
          <cell r="R85">
            <v>56.140909090909084</v>
          </cell>
          <cell r="S85">
            <v>56.140909090909084</v>
          </cell>
          <cell r="T85">
            <v>56.140909090909084</v>
          </cell>
          <cell r="U85">
            <v>56.140909090909084</v>
          </cell>
        </row>
        <row r="86">
          <cell r="E86" t="str">
            <v>ND Res + Comm Coal CC</v>
          </cell>
          <cell r="F86">
            <v>59.345454545454537</v>
          </cell>
          <cell r="G86">
            <v>59.345454545454537</v>
          </cell>
          <cell r="H86">
            <v>59.127272727272725</v>
          </cell>
          <cell r="I86">
            <v>59.04545454545454</v>
          </cell>
          <cell r="J86">
            <v>59.018181818181816</v>
          </cell>
          <cell r="K86">
            <v>58.827272727272721</v>
          </cell>
          <cell r="L86">
            <v>59.154545454545449</v>
          </cell>
          <cell r="M86">
            <v>59.006416363636362</v>
          </cell>
          <cell r="N86">
            <v>58.955454545454536</v>
          </cell>
          <cell r="O86">
            <v>58.622727272727268</v>
          </cell>
          <cell r="P86">
            <v>58.622727272727268</v>
          </cell>
          <cell r="Q86">
            <v>58.622727272727268</v>
          </cell>
          <cell r="R86">
            <v>58.622727272727268</v>
          </cell>
          <cell r="S86">
            <v>58.622727272727268</v>
          </cell>
          <cell r="T86">
            <v>58.622727272727268</v>
          </cell>
          <cell r="U86">
            <v>58.622727272727268</v>
          </cell>
        </row>
        <row r="87">
          <cell r="E87" t="str">
            <v>NE Res + Comm Coal CC</v>
          </cell>
          <cell r="F87">
            <v>58.009090909090901</v>
          </cell>
          <cell r="G87">
            <v>59.290909090909089</v>
          </cell>
          <cell r="H87">
            <v>59.781818181818174</v>
          </cell>
          <cell r="I87">
            <v>58.009090909090901</v>
          </cell>
          <cell r="J87">
            <v>58.009090909090901</v>
          </cell>
          <cell r="K87">
            <v>57.3</v>
          </cell>
          <cell r="L87">
            <v>61.909090909090907</v>
          </cell>
          <cell r="M87">
            <v>58.011818181818178</v>
          </cell>
          <cell r="N87">
            <v>58.009090909090901</v>
          </cell>
          <cell r="O87">
            <v>58.009090909090901</v>
          </cell>
          <cell r="P87">
            <v>58.009090909090901</v>
          </cell>
          <cell r="Q87">
            <v>58.009090909090901</v>
          </cell>
          <cell r="R87">
            <v>58.009090909090901</v>
          </cell>
          <cell r="S87">
            <v>58.009090909090901</v>
          </cell>
          <cell r="T87">
            <v>58.009090909090901</v>
          </cell>
          <cell r="U87">
            <v>58.009090909090901</v>
          </cell>
        </row>
        <row r="88">
          <cell r="E88" t="str">
            <v>NH Res + Comm Coal CC</v>
          </cell>
          <cell r="F88">
            <v>61.745454545454542</v>
          </cell>
          <cell r="G88">
            <v>61.881818181818176</v>
          </cell>
          <cell r="H88">
            <v>61.472727272727269</v>
          </cell>
          <cell r="I88">
            <v>62.018181818181816</v>
          </cell>
          <cell r="J88">
            <v>62.018181818181816</v>
          </cell>
          <cell r="K88">
            <v>59.372727272727268</v>
          </cell>
          <cell r="L88">
            <v>58.772727272727266</v>
          </cell>
          <cell r="M88">
            <v>60.941563636363632</v>
          </cell>
          <cell r="N88">
            <v>60.640909090909084</v>
          </cell>
          <cell r="O88">
            <v>62.018181818181816</v>
          </cell>
          <cell r="P88">
            <v>62.018181818181816</v>
          </cell>
          <cell r="Q88">
            <v>62.018181818181816</v>
          </cell>
          <cell r="R88">
            <v>62.018181818181816</v>
          </cell>
          <cell r="S88">
            <v>62.018181818181816</v>
          </cell>
          <cell r="T88">
            <v>62.018181818181816</v>
          </cell>
          <cell r="U88">
            <v>62.018181818181816</v>
          </cell>
        </row>
        <row r="89">
          <cell r="E89" t="str">
            <v>NJ Res + Comm Coal CC</v>
          </cell>
          <cell r="F89">
            <v>61.963636363636354</v>
          </cell>
          <cell r="G89">
            <v>61.881818181818176</v>
          </cell>
          <cell r="H89">
            <v>61.93636363636363</v>
          </cell>
          <cell r="I89">
            <v>61.990909090909092</v>
          </cell>
          <cell r="J89">
            <v>61.909090909090907</v>
          </cell>
          <cell r="K89">
            <v>61.990909090909092</v>
          </cell>
          <cell r="L89">
            <v>61.963636363636354</v>
          </cell>
          <cell r="M89">
            <v>61.942292727272722</v>
          </cell>
          <cell r="N89">
            <v>62.018181818181816</v>
          </cell>
          <cell r="O89">
            <v>62.018181818181816</v>
          </cell>
          <cell r="P89">
            <v>62.018181818181816</v>
          </cell>
          <cell r="Q89">
            <v>62.018181818181816</v>
          </cell>
          <cell r="R89">
            <v>62.018181818181816</v>
          </cell>
          <cell r="S89">
            <v>62.018181818181816</v>
          </cell>
          <cell r="T89">
            <v>62.018181818181816</v>
          </cell>
          <cell r="U89">
            <v>62.018181818181816</v>
          </cell>
        </row>
        <row r="90">
          <cell r="E90" t="str">
            <v>NM Res + Comm Coal CC</v>
          </cell>
          <cell r="F90">
            <v>56.1</v>
          </cell>
          <cell r="G90">
            <v>56.127272727272725</v>
          </cell>
          <cell r="H90">
            <v>56.263636363636365</v>
          </cell>
          <cell r="I90">
            <v>56.318181818181813</v>
          </cell>
          <cell r="J90">
            <v>56.345454545454537</v>
          </cell>
          <cell r="K90">
            <v>56.345454545454537</v>
          </cell>
          <cell r="L90">
            <v>56.481818181818177</v>
          </cell>
          <cell r="M90">
            <v>56.267217272727272</v>
          </cell>
          <cell r="N90">
            <v>57.002727272727263</v>
          </cell>
          <cell r="O90">
            <v>56.11090909090909</v>
          </cell>
          <cell r="P90">
            <v>56.11090909090909</v>
          </cell>
          <cell r="Q90">
            <v>56.11090909090909</v>
          </cell>
          <cell r="R90">
            <v>56.11090909090909</v>
          </cell>
          <cell r="S90">
            <v>56.11090909090909</v>
          </cell>
          <cell r="T90">
            <v>56.11090909090909</v>
          </cell>
          <cell r="U90">
            <v>56.11090909090909</v>
          </cell>
        </row>
        <row r="91">
          <cell r="E91" t="str">
            <v>NV Res + Comm Coal CC</v>
          </cell>
          <cell r="F91">
            <v>57.9</v>
          </cell>
          <cell r="G91">
            <v>55.663636363636357</v>
          </cell>
          <cell r="H91">
            <v>55.663636363636357</v>
          </cell>
          <cell r="I91">
            <v>55.663636363636357</v>
          </cell>
          <cell r="J91">
            <v>55.663636363636357</v>
          </cell>
          <cell r="K91">
            <v>55.718181818181819</v>
          </cell>
          <cell r="L91">
            <v>55.663636363636357</v>
          </cell>
          <cell r="M91">
            <v>55.658249999999995</v>
          </cell>
          <cell r="N91">
            <v>55.663636363636357</v>
          </cell>
          <cell r="O91">
            <v>55.68</v>
          </cell>
          <cell r="P91">
            <v>55.68</v>
          </cell>
          <cell r="Q91">
            <v>55.68</v>
          </cell>
          <cell r="R91">
            <v>55.68</v>
          </cell>
          <cell r="S91">
            <v>55.68</v>
          </cell>
          <cell r="T91">
            <v>55.68</v>
          </cell>
          <cell r="U91">
            <v>55.68</v>
          </cell>
        </row>
        <row r="92">
          <cell r="E92" t="str">
            <v>NY Res + Comm Coal CC</v>
          </cell>
          <cell r="F92">
            <v>58.36363636363636</v>
          </cell>
          <cell r="G92">
            <v>58.745454545454542</v>
          </cell>
          <cell r="H92">
            <v>59.454545454545453</v>
          </cell>
          <cell r="I92">
            <v>59.672727272727272</v>
          </cell>
          <cell r="J92">
            <v>58.581818181818178</v>
          </cell>
          <cell r="K92">
            <v>58.909090909090907</v>
          </cell>
          <cell r="L92">
            <v>58.390909090909084</v>
          </cell>
          <cell r="M92">
            <v>58.275777272727268</v>
          </cell>
          <cell r="N92">
            <v>57.883636363636363</v>
          </cell>
          <cell r="O92">
            <v>57.256363636363631</v>
          </cell>
          <cell r="P92">
            <v>57.256363636363631</v>
          </cell>
          <cell r="Q92">
            <v>57.256363636363631</v>
          </cell>
          <cell r="R92">
            <v>57.256363636363631</v>
          </cell>
          <cell r="S92">
            <v>57.256363636363631</v>
          </cell>
          <cell r="T92">
            <v>57.256363636363631</v>
          </cell>
          <cell r="U92">
            <v>57.256363636363631</v>
          </cell>
        </row>
        <row r="93">
          <cell r="E93" t="str">
            <v>OH Res + Comm Coal CC</v>
          </cell>
          <cell r="F93">
            <v>55.690909090909081</v>
          </cell>
          <cell r="G93">
            <v>55.745454545454542</v>
          </cell>
          <cell r="H93">
            <v>56.04545454545454</v>
          </cell>
          <cell r="I93">
            <v>55.690909090909081</v>
          </cell>
          <cell r="J93">
            <v>55.772727272727266</v>
          </cell>
          <cell r="K93">
            <v>55.745454545454542</v>
          </cell>
          <cell r="L93">
            <v>55.472727272727269</v>
          </cell>
          <cell r="M93">
            <v>55.670018181818179</v>
          </cell>
          <cell r="N93">
            <v>56.056363636363628</v>
          </cell>
          <cell r="O93">
            <v>55.748181818181813</v>
          </cell>
          <cell r="P93">
            <v>55.748181818181813</v>
          </cell>
          <cell r="Q93">
            <v>55.748181818181813</v>
          </cell>
          <cell r="R93">
            <v>55.748181818181813</v>
          </cell>
          <cell r="S93">
            <v>55.748181818181813</v>
          </cell>
          <cell r="T93">
            <v>55.748181818181813</v>
          </cell>
          <cell r="U93">
            <v>55.748181818181813</v>
          </cell>
        </row>
        <row r="94">
          <cell r="E94" t="str">
            <v>OK Res + Comm Coal CC</v>
          </cell>
          <cell r="F94">
            <v>56.236363636363627</v>
          </cell>
          <cell r="G94">
            <v>56.154545454545449</v>
          </cell>
          <cell r="H94">
            <v>56.454545454545453</v>
          </cell>
          <cell r="I94">
            <v>56.154545454545449</v>
          </cell>
          <cell r="J94">
            <v>56.427272727272722</v>
          </cell>
          <cell r="K94">
            <v>56.154545454545449</v>
          </cell>
          <cell r="L94">
            <v>56.154545454545449</v>
          </cell>
          <cell r="M94">
            <v>58.00442454545454</v>
          </cell>
          <cell r="N94">
            <v>56.154545454545449</v>
          </cell>
          <cell r="O94">
            <v>56.157272727272719</v>
          </cell>
          <cell r="P94">
            <v>56.157272727272719</v>
          </cell>
          <cell r="Q94">
            <v>56.157272727272719</v>
          </cell>
          <cell r="R94">
            <v>56.157272727272719</v>
          </cell>
          <cell r="S94">
            <v>56.157272727272719</v>
          </cell>
          <cell r="T94">
            <v>56.157272727272719</v>
          </cell>
          <cell r="U94">
            <v>56.157272727272719</v>
          </cell>
        </row>
        <row r="95">
          <cell r="E95" t="str">
            <v>OR Res + Comm Coal CC</v>
          </cell>
          <cell r="F95">
            <v>55.663636363636357</v>
          </cell>
          <cell r="G95">
            <v>55.663636363636357</v>
          </cell>
          <cell r="H95">
            <v>55.663636363636357</v>
          </cell>
          <cell r="I95">
            <v>58.418181818181807</v>
          </cell>
          <cell r="J95">
            <v>58.25454545454545</v>
          </cell>
          <cell r="K95">
            <v>55.663636363636357</v>
          </cell>
          <cell r="L95">
            <v>55.663636363636357</v>
          </cell>
          <cell r="M95">
            <v>55.658217272727271</v>
          </cell>
          <cell r="N95">
            <v>56.481818181818177</v>
          </cell>
          <cell r="O95">
            <v>55.663636363636357</v>
          </cell>
          <cell r="P95">
            <v>55.663636363636357</v>
          </cell>
          <cell r="Q95">
            <v>55.663636363636357</v>
          </cell>
          <cell r="R95">
            <v>55.663636363636357</v>
          </cell>
          <cell r="S95">
            <v>55.663636363636357</v>
          </cell>
          <cell r="T95">
            <v>55.663636363636357</v>
          </cell>
          <cell r="U95">
            <v>55.663636363636357</v>
          </cell>
        </row>
        <row r="96">
          <cell r="E96" t="str">
            <v>PA Res + Comm Coal CC</v>
          </cell>
          <cell r="F96">
            <v>59.72727272727272</v>
          </cell>
          <cell r="G96">
            <v>59.509090909090901</v>
          </cell>
          <cell r="H96">
            <v>59.918181818181807</v>
          </cell>
          <cell r="I96">
            <v>59.61818181818181</v>
          </cell>
          <cell r="J96">
            <v>60.027272727272724</v>
          </cell>
          <cell r="K96">
            <v>60.109090909090909</v>
          </cell>
          <cell r="L96">
            <v>60.081818181818178</v>
          </cell>
          <cell r="M96">
            <v>60.450444545454545</v>
          </cell>
          <cell r="N96">
            <v>60.36272727272727</v>
          </cell>
          <cell r="O96">
            <v>60.27</v>
          </cell>
          <cell r="P96">
            <v>60.27</v>
          </cell>
          <cell r="Q96">
            <v>60.27</v>
          </cell>
          <cell r="R96">
            <v>60.27</v>
          </cell>
          <cell r="S96">
            <v>60.27</v>
          </cell>
          <cell r="T96">
            <v>60.27</v>
          </cell>
          <cell r="U96">
            <v>60.27</v>
          </cell>
        </row>
        <row r="97">
          <cell r="E97" t="str">
            <v>RI Res + Comm Coal CC</v>
          </cell>
          <cell r="F97">
            <v>61.990909090909092</v>
          </cell>
          <cell r="G97">
            <v>62.018181818181816</v>
          </cell>
          <cell r="H97">
            <v>62.018181818181816</v>
          </cell>
          <cell r="I97">
            <v>61.963636363636354</v>
          </cell>
          <cell r="J97">
            <v>62.018181818181816</v>
          </cell>
          <cell r="K97">
            <v>62.018181818181816</v>
          </cell>
          <cell r="L97">
            <v>62.018181818181816</v>
          </cell>
          <cell r="M97">
            <v>61.969047272727266</v>
          </cell>
          <cell r="N97">
            <v>62.018181818181816</v>
          </cell>
          <cell r="O97">
            <v>62.018181818181816</v>
          </cell>
          <cell r="P97">
            <v>62.018181818181816</v>
          </cell>
          <cell r="Q97">
            <v>62.018181818181816</v>
          </cell>
          <cell r="R97">
            <v>62.018181818181816</v>
          </cell>
          <cell r="S97">
            <v>62.018181818181816</v>
          </cell>
          <cell r="T97">
            <v>62.018181818181816</v>
          </cell>
          <cell r="U97">
            <v>62.018181818181816</v>
          </cell>
        </row>
        <row r="98">
          <cell r="E98" t="str">
            <v>SC Res + Comm Coal CC</v>
          </cell>
          <cell r="F98">
            <v>55.881818181818183</v>
          </cell>
          <cell r="G98">
            <v>55.93636363636363</v>
          </cell>
          <cell r="H98">
            <v>55.990909090909092</v>
          </cell>
          <cell r="I98">
            <v>56.454545454545453</v>
          </cell>
          <cell r="J98">
            <v>56.454545454545453</v>
          </cell>
          <cell r="K98">
            <v>57.136363636363633</v>
          </cell>
          <cell r="L98">
            <v>56.4</v>
          </cell>
          <cell r="M98">
            <v>55.854447272727271</v>
          </cell>
          <cell r="N98">
            <v>56.236363636363627</v>
          </cell>
          <cell r="O98">
            <v>56.470909090909089</v>
          </cell>
          <cell r="P98">
            <v>56.470909090909089</v>
          </cell>
          <cell r="Q98">
            <v>56.470909090909089</v>
          </cell>
          <cell r="R98">
            <v>56.470909090909089</v>
          </cell>
          <cell r="S98">
            <v>56.470909090909089</v>
          </cell>
          <cell r="T98">
            <v>56.470909090909089</v>
          </cell>
          <cell r="U98">
            <v>56.470909090909089</v>
          </cell>
        </row>
        <row r="99">
          <cell r="E99" t="str">
            <v>SD Res + Comm Coal CC</v>
          </cell>
          <cell r="F99">
            <v>57.709090909090904</v>
          </cell>
          <cell r="G99">
            <v>58.036363636363632</v>
          </cell>
          <cell r="H99">
            <v>58.036363636363632</v>
          </cell>
          <cell r="I99">
            <v>58.009090909090901</v>
          </cell>
          <cell r="J99">
            <v>57.245454545454542</v>
          </cell>
          <cell r="K99">
            <v>57.872727272727268</v>
          </cell>
          <cell r="L99">
            <v>56.972727272727269</v>
          </cell>
          <cell r="M99">
            <v>58.011673636363632</v>
          </cell>
          <cell r="N99">
            <v>58.009090909090901</v>
          </cell>
          <cell r="O99">
            <v>58.009090909090901</v>
          </cell>
          <cell r="P99">
            <v>58.009090909090901</v>
          </cell>
          <cell r="Q99">
            <v>58.009090909090901</v>
          </cell>
          <cell r="R99">
            <v>58.009090909090901</v>
          </cell>
          <cell r="S99">
            <v>58.009090909090901</v>
          </cell>
          <cell r="T99">
            <v>58.009090909090901</v>
          </cell>
          <cell r="U99">
            <v>58.009090909090901</v>
          </cell>
        </row>
        <row r="100">
          <cell r="E100" t="str">
            <v>TN Res + Comm Coal CC</v>
          </cell>
          <cell r="F100">
            <v>56.018181818181816</v>
          </cell>
          <cell r="G100">
            <v>56.263636363636365</v>
          </cell>
          <cell r="H100">
            <v>55.8</v>
          </cell>
          <cell r="I100">
            <v>55.93636363636363</v>
          </cell>
          <cell r="J100">
            <v>55.909090909090907</v>
          </cell>
          <cell r="K100">
            <v>56.04545454545454</v>
          </cell>
          <cell r="L100">
            <v>55.854545454545452</v>
          </cell>
          <cell r="M100">
            <v>55.887823636363635</v>
          </cell>
          <cell r="N100">
            <v>55.775454545454537</v>
          </cell>
          <cell r="O100">
            <v>55.802727272727275</v>
          </cell>
          <cell r="P100">
            <v>55.802727272727275</v>
          </cell>
          <cell r="Q100">
            <v>55.802727272727275</v>
          </cell>
          <cell r="R100">
            <v>55.802727272727275</v>
          </cell>
          <cell r="S100">
            <v>55.802727272727275</v>
          </cell>
          <cell r="T100">
            <v>55.802727272727275</v>
          </cell>
          <cell r="U100">
            <v>55.802727272727275</v>
          </cell>
        </row>
        <row r="101">
          <cell r="E101" t="str">
            <v>TX Res + Comm Coal CC</v>
          </cell>
          <cell r="F101">
            <v>56.4</v>
          </cell>
          <cell r="G101">
            <v>56.481818181818177</v>
          </cell>
          <cell r="H101">
            <v>57.54545454545454</v>
          </cell>
          <cell r="I101">
            <v>58.172727272727272</v>
          </cell>
          <cell r="J101">
            <v>61.909090909090907</v>
          </cell>
          <cell r="K101">
            <v>57.471418787878783</v>
          </cell>
          <cell r="L101">
            <v>58.090909090909086</v>
          </cell>
          <cell r="M101">
            <v>56.153678181818172</v>
          </cell>
          <cell r="N101">
            <v>56.236363636363627</v>
          </cell>
          <cell r="O101">
            <v>56.252727272727263</v>
          </cell>
          <cell r="P101">
            <v>56.252727272727263</v>
          </cell>
          <cell r="Q101">
            <v>56.252727272727263</v>
          </cell>
          <cell r="R101">
            <v>56.252727272727263</v>
          </cell>
          <cell r="S101">
            <v>56.252727272727263</v>
          </cell>
          <cell r="T101">
            <v>56.252727272727263</v>
          </cell>
          <cell r="U101">
            <v>56.252727272727263</v>
          </cell>
        </row>
        <row r="102">
          <cell r="E102" t="str">
            <v>US Res + Comm Coal CC</v>
          </cell>
          <cell r="F102">
            <v>57.136363636363633</v>
          </cell>
          <cell r="G102">
            <v>57.327272727272721</v>
          </cell>
          <cell r="H102">
            <v>57.6</v>
          </cell>
          <cell r="I102">
            <v>57.245454545454542</v>
          </cell>
          <cell r="J102">
            <v>57.218181818181819</v>
          </cell>
          <cell r="K102">
            <v>57.327272727272721</v>
          </cell>
          <cell r="L102">
            <v>57.136363636363633</v>
          </cell>
          <cell r="M102">
            <v>57.327283636363632</v>
          </cell>
          <cell r="N102">
            <v>57.199090909090899</v>
          </cell>
          <cell r="O102">
            <v>56.950909090909086</v>
          </cell>
          <cell r="P102">
            <v>56.950909090909086</v>
          </cell>
          <cell r="Q102">
            <v>56.950909090909086</v>
          </cell>
          <cell r="R102">
            <v>56.950909090909086</v>
          </cell>
          <cell r="S102">
            <v>56.950909090909086</v>
          </cell>
          <cell r="T102">
            <v>56.950909090909086</v>
          </cell>
          <cell r="U102">
            <v>56.950909090909086</v>
          </cell>
        </row>
        <row r="103">
          <cell r="E103" t="str">
            <v>UT Res + Comm Coal CC</v>
          </cell>
          <cell r="F103">
            <v>55.663636363636357</v>
          </cell>
          <cell r="G103">
            <v>55.663636363636357</v>
          </cell>
          <cell r="H103">
            <v>55.663636363636357</v>
          </cell>
          <cell r="I103">
            <v>55.663636363636357</v>
          </cell>
          <cell r="J103">
            <v>55.663636363636357</v>
          </cell>
          <cell r="K103">
            <v>55.663636363636357</v>
          </cell>
          <cell r="L103">
            <v>55.663636363636357</v>
          </cell>
          <cell r="M103">
            <v>55.658972727272719</v>
          </cell>
          <cell r="N103">
            <v>55.663636363636357</v>
          </cell>
          <cell r="O103">
            <v>55.663636363636357</v>
          </cell>
          <cell r="P103">
            <v>55.663636363636357</v>
          </cell>
          <cell r="Q103">
            <v>55.663636363636357</v>
          </cell>
          <cell r="R103">
            <v>55.663636363636357</v>
          </cell>
          <cell r="S103">
            <v>55.663636363636357</v>
          </cell>
          <cell r="T103">
            <v>55.663636363636357</v>
          </cell>
          <cell r="U103">
            <v>55.663636363636357</v>
          </cell>
        </row>
        <row r="104">
          <cell r="E104" t="str">
            <v>VA Res + Comm Coal CC</v>
          </cell>
          <cell r="F104">
            <v>56.154545454545449</v>
          </cell>
          <cell r="G104">
            <v>56.236363636363627</v>
          </cell>
          <cell r="H104">
            <v>56.263636363636365</v>
          </cell>
          <cell r="I104">
            <v>56.18181818181818</v>
          </cell>
          <cell r="J104">
            <v>56.290909090909089</v>
          </cell>
          <cell r="K104">
            <v>56.372727272727268</v>
          </cell>
          <cell r="L104">
            <v>56.318181818181813</v>
          </cell>
          <cell r="M104">
            <v>56.151272727272726</v>
          </cell>
          <cell r="N104">
            <v>56.168181818181814</v>
          </cell>
          <cell r="O104">
            <v>56.097272727272724</v>
          </cell>
          <cell r="P104">
            <v>56.097272727272724</v>
          </cell>
          <cell r="Q104">
            <v>56.097272727272724</v>
          </cell>
          <cell r="R104">
            <v>56.097272727272724</v>
          </cell>
          <cell r="S104">
            <v>56.097272727272724</v>
          </cell>
          <cell r="T104">
            <v>56.097272727272724</v>
          </cell>
          <cell r="U104">
            <v>56.097272727272724</v>
          </cell>
        </row>
        <row r="105">
          <cell r="E105" t="str">
            <v>VT Res + Comm Coal CC</v>
          </cell>
          <cell r="F105">
            <v>61.963636363636354</v>
          </cell>
          <cell r="G105">
            <v>61.93636363636363</v>
          </cell>
          <cell r="H105">
            <v>62.018181818181816</v>
          </cell>
          <cell r="I105">
            <v>61.990909090909092</v>
          </cell>
          <cell r="J105">
            <v>61.963636363636354</v>
          </cell>
          <cell r="K105">
            <v>62.018181818181816</v>
          </cell>
          <cell r="L105">
            <v>61.93636363636363</v>
          </cell>
          <cell r="M105">
            <v>61.956624545454545</v>
          </cell>
          <cell r="N105">
            <v>62.018181818181816</v>
          </cell>
          <cell r="O105">
            <v>62.018181818181816</v>
          </cell>
          <cell r="P105">
            <v>62.018181818181816</v>
          </cell>
          <cell r="Q105">
            <v>62.018181818181816</v>
          </cell>
          <cell r="R105">
            <v>62.018181818181816</v>
          </cell>
          <cell r="S105">
            <v>62.018181818181816</v>
          </cell>
          <cell r="T105">
            <v>62.018181818181816</v>
          </cell>
          <cell r="U105">
            <v>62.018181818181816</v>
          </cell>
        </row>
        <row r="106">
          <cell r="E106" t="str">
            <v>WA Res + Comm Coal CC</v>
          </cell>
          <cell r="F106">
            <v>56.4</v>
          </cell>
          <cell r="G106">
            <v>56.590909090909086</v>
          </cell>
          <cell r="H106">
            <v>56.427272727272722</v>
          </cell>
          <cell r="I106">
            <v>56.61818181818181</v>
          </cell>
          <cell r="J106">
            <v>57.054545454545448</v>
          </cell>
          <cell r="K106">
            <v>56.75454545454545</v>
          </cell>
          <cell r="L106">
            <v>55.745454545454542</v>
          </cell>
          <cell r="M106">
            <v>55.732739999999993</v>
          </cell>
          <cell r="N106">
            <v>55.690909090909081</v>
          </cell>
          <cell r="O106">
            <v>55.674545454545445</v>
          </cell>
          <cell r="P106">
            <v>55.674545454545445</v>
          </cell>
          <cell r="Q106">
            <v>55.674545454545445</v>
          </cell>
          <cell r="R106">
            <v>55.674545454545445</v>
          </cell>
          <cell r="S106">
            <v>55.674545454545445</v>
          </cell>
          <cell r="T106">
            <v>55.674545454545445</v>
          </cell>
          <cell r="U106">
            <v>55.674545454545445</v>
          </cell>
        </row>
        <row r="107">
          <cell r="E107" t="str">
            <v>WI Res + Comm Coal CC</v>
          </cell>
          <cell r="F107">
            <v>57.763636363636365</v>
          </cell>
          <cell r="G107">
            <v>55.909090909090907</v>
          </cell>
          <cell r="H107">
            <v>55.881818181818183</v>
          </cell>
          <cell r="I107">
            <v>55.881818181818183</v>
          </cell>
          <cell r="J107">
            <v>55.881818181818183</v>
          </cell>
          <cell r="K107">
            <v>55.881818181818183</v>
          </cell>
          <cell r="L107">
            <v>55.881818181818183</v>
          </cell>
          <cell r="M107">
            <v>55.933933636363633</v>
          </cell>
          <cell r="N107">
            <v>55.857272727272722</v>
          </cell>
          <cell r="O107">
            <v>55.857272727272722</v>
          </cell>
          <cell r="P107">
            <v>55.857272727272722</v>
          </cell>
          <cell r="Q107">
            <v>55.857272727272722</v>
          </cell>
          <cell r="R107">
            <v>55.857272727272722</v>
          </cell>
          <cell r="S107">
            <v>55.857272727272722</v>
          </cell>
          <cell r="T107">
            <v>55.857272727272722</v>
          </cell>
          <cell r="U107">
            <v>55.857272727272722</v>
          </cell>
        </row>
        <row r="108">
          <cell r="E108" t="str">
            <v>WV Res + Comm Coal CC</v>
          </cell>
          <cell r="F108">
            <v>56.236363636363627</v>
          </cell>
          <cell r="G108">
            <v>56.454545454545453</v>
          </cell>
          <cell r="H108">
            <v>57.327272727272721</v>
          </cell>
          <cell r="I108">
            <v>56.809090909090905</v>
          </cell>
          <cell r="J108">
            <v>56.454545454545453</v>
          </cell>
          <cell r="K108">
            <v>56.836363636363636</v>
          </cell>
          <cell r="L108">
            <v>56.481818181818177</v>
          </cell>
          <cell r="M108">
            <v>56.567890909090906</v>
          </cell>
          <cell r="N108">
            <v>56.495454545454542</v>
          </cell>
          <cell r="O108">
            <v>56.495454545454542</v>
          </cell>
          <cell r="P108">
            <v>56.495454545454542</v>
          </cell>
          <cell r="Q108">
            <v>56.495454545454542</v>
          </cell>
          <cell r="R108">
            <v>56.495454545454542</v>
          </cell>
          <cell r="S108">
            <v>56.495454545454542</v>
          </cell>
          <cell r="T108">
            <v>56.495454545454542</v>
          </cell>
          <cell r="U108">
            <v>56.495454545454542</v>
          </cell>
        </row>
        <row r="109">
          <cell r="E109" t="str">
            <v>WY Res + Comm Coal CC</v>
          </cell>
          <cell r="F109">
            <v>58.009090909090901</v>
          </cell>
          <cell r="G109">
            <v>58.009090909090901</v>
          </cell>
          <cell r="H109">
            <v>58.009090909090901</v>
          </cell>
          <cell r="I109">
            <v>58.036363636363632</v>
          </cell>
          <cell r="J109">
            <v>58.036363636363632</v>
          </cell>
          <cell r="K109">
            <v>58.090909090909086</v>
          </cell>
          <cell r="L109">
            <v>58.063636363636363</v>
          </cell>
          <cell r="M109">
            <v>58.048535454545451</v>
          </cell>
          <cell r="N109">
            <v>58.08</v>
          </cell>
          <cell r="O109">
            <v>58.009090909090901</v>
          </cell>
          <cell r="P109">
            <v>58.009090909090901</v>
          </cell>
          <cell r="Q109">
            <v>58.009090909090901</v>
          </cell>
          <cell r="R109">
            <v>58.009090909090901</v>
          </cell>
          <cell r="S109">
            <v>58.009090909090901</v>
          </cell>
          <cell r="T109">
            <v>58.009090909090901</v>
          </cell>
          <cell r="U109">
            <v>58.009090909090901</v>
          </cell>
        </row>
        <row r="110">
          <cell r="E110" t="str">
            <v>AL Coking Coal CC</v>
          </cell>
          <cell r="F110">
            <v>56.18181818181818</v>
          </cell>
          <cell r="G110">
            <v>56.236363636363627</v>
          </cell>
          <cell r="H110">
            <v>56.209090909090904</v>
          </cell>
          <cell r="I110">
            <v>56.236363636363627</v>
          </cell>
          <cell r="J110">
            <v>56.236363636363627</v>
          </cell>
          <cell r="K110">
            <v>56.236363636363627</v>
          </cell>
          <cell r="L110">
            <v>56.209090909090904</v>
          </cell>
          <cell r="M110">
            <v>56.243697272727267</v>
          </cell>
          <cell r="N110">
            <v>56.290909090909089</v>
          </cell>
          <cell r="O110">
            <v>56.318181818181813</v>
          </cell>
          <cell r="P110">
            <v>56.318181818181813</v>
          </cell>
          <cell r="Q110">
            <v>56.318181818181813</v>
          </cell>
          <cell r="R110">
            <v>56.318181818181813</v>
          </cell>
          <cell r="S110">
            <v>56.318181818181813</v>
          </cell>
          <cell r="T110">
            <v>56.318181818181813</v>
          </cell>
          <cell r="U110">
            <v>56.318181818181813</v>
          </cell>
        </row>
        <row r="111">
          <cell r="E111" t="str">
            <v>AK Coking Coal CC</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row>
        <row r="112">
          <cell r="E112" t="str">
            <v>AR Coking Coal CC</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row>
        <row r="113">
          <cell r="E113" t="str">
            <v>AZ Coking Coal CC</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row>
        <row r="114">
          <cell r="E114" t="str">
            <v>CA Coking Coal CC</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row>
        <row r="115">
          <cell r="E115" t="str">
            <v>CO Coking Coal CC</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row>
        <row r="116">
          <cell r="E116" t="str">
            <v>CT Coking Coal CC</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row>
        <row r="117">
          <cell r="E117" t="str">
            <v>DC Coking Coal CC</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row>
        <row r="118">
          <cell r="E118" t="str">
            <v>DE Coking Coal CC</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row>
        <row r="119">
          <cell r="E119" t="str">
            <v>FL Coking Coal CC</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row>
        <row r="120">
          <cell r="E120" t="str">
            <v>GA Coking Coal CC</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row>
        <row r="121">
          <cell r="E121" t="str">
            <v>HI Coking Coal CC</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row>
        <row r="122">
          <cell r="E122" t="str">
            <v>IA Coking Coal CC</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row>
        <row r="123">
          <cell r="E123" t="str">
            <v>ID Coking Coal CC</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row>
        <row r="124">
          <cell r="E124" t="str">
            <v>IL Coking Coal CC</v>
          </cell>
          <cell r="F124">
            <v>56.127272727272725</v>
          </cell>
          <cell r="G124">
            <v>56.290909090909089</v>
          </cell>
          <cell r="H124">
            <v>56.318181818181813</v>
          </cell>
          <cell r="I124">
            <v>56.290909090909089</v>
          </cell>
          <cell r="J124">
            <v>56.4</v>
          </cell>
          <cell r="K124">
            <v>56.345454545454537</v>
          </cell>
          <cell r="L124">
            <v>56.345454545454537</v>
          </cell>
          <cell r="M124">
            <v>56.367098181818179</v>
          </cell>
          <cell r="N124">
            <v>56.4</v>
          </cell>
          <cell r="O124">
            <v>56.372727272727268</v>
          </cell>
          <cell r="P124">
            <v>56.372727272727268</v>
          </cell>
          <cell r="Q124">
            <v>56.372727272727268</v>
          </cell>
          <cell r="R124">
            <v>56.372727272727268</v>
          </cell>
          <cell r="S124">
            <v>56.372727272727268</v>
          </cell>
          <cell r="T124">
            <v>56.372727272727268</v>
          </cell>
          <cell r="U124">
            <v>56.372727272727268</v>
          </cell>
        </row>
        <row r="125">
          <cell r="E125" t="str">
            <v>IN Coking Coal CC</v>
          </cell>
          <cell r="F125">
            <v>56.127272727272725</v>
          </cell>
          <cell r="G125">
            <v>56.18181818181818</v>
          </cell>
          <cell r="H125">
            <v>56.18181818181818</v>
          </cell>
          <cell r="I125">
            <v>56.209090909090904</v>
          </cell>
          <cell r="J125">
            <v>56.263636363636365</v>
          </cell>
          <cell r="K125">
            <v>56.290909090909089</v>
          </cell>
          <cell r="L125">
            <v>56.263636363636365</v>
          </cell>
          <cell r="M125">
            <v>56.422797272727266</v>
          </cell>
          <cell r="N125">
            <v>56.4</v>
          </cell>
          <cell r="O125">
            <v>56.4</v>
          </cell>
          <cell r="P125">
            <v>56.4</v>
          </cell>
          <cell r="Q125">
            <v>56.4</v>
          </cell>
          <cell r="R125">
            <v>56.4</v>
          </cell>
          <cell r="S125">
            <v>56.4</v>
          </cell>
          <cell r="T125">
            <v>56.4</v>
          </cell>
          <cell r="U125">
            <v>56.4</v>
          </cell>
        </row>
        <row r="126">
          <cell r="E126" t="str">
            <v>KS Coking Coal CC</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row>
        <row r="127">
          <cell r="E127" t="str">
            <v>KY Coking Coal CC</v>
          </cell>
          <cell r="F127">
            <v>56.372727272727268</v>
          </cell>
          <cell r="G127">
            <v>56.4</v>
          </cell>
          <cell r="H127">
            <v>56.263636363636365</v>
          </cell>
          <cell r="I127">
            <v>56.290909090909089</v>
          </cell>
          <cell r="J127">
            <v>56.372727272727268</v>
          </cell>
          <cell r="K127">
            <v>56.4</v>
          </cell>
          <cell r="L127">
            <v>56.318181818181813</v>
          </cell>
          <cell r="M127">
            <v>56.292785454545452</v>
          </cell>
          <cell r="N127">
            <v>56.345454545454537</v>
          </cell>
          <cell r="O127">
            <v>56.318181818181813</v>
          </cell>
          <cell r="P127">
            <v>56.318181818181813</v>
          </cell>
          <cell r="Q127">
            <v>56.318181818181813</v>
          </cell>
          <cell r="R127">
            <v>56.318181818181813</v>
          </cell>
          <cell r="S127">
            <v>56.318181818181813</v>
          </cell>
          <cell r="T127">
            <v>56.318181818181813</v>
          </cell>
          <cell r="U127">
            <v>56.318181818181813</v>
          </cell>
        </row>
        <row r="128">
          <cell r="E128" t="str">
            <v>LA Coking Coal CC</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row>
        <row r="129">
          <cell r="E129" t="str">
            <v>MA Coking Coal CC</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row>
        <row r="130">
          <cell r="E130" t="str">
            <v>MD Coking Coal CC</v>
          </cell>
          <cell r="F130">
            <v>56.236363636363627</v>
          </cell>
          <cell r="G130">
            <v>56.154545454545449</v>
          </cell>
          <cell r="H130">
            <v>56.195454545454538</v>
          </cell>
          <cell r="I130">
            <v>56.195454545454538</v>
          </cell>
          <cell r="J130">
            <v>56.195454545454538</v>
          </cell>
          <cell r="K130">
            <v>56.195454545454538</v>
          </cell>
          <cell r="L130">
            <v>56.195454545454538</v>
          </cell>
          <cell r="M130">
            <v>56.195454545454538</v>
          </cell>
          <cell r="N130">
            <v>56.195454545454538</v>
          </cell>
          <cell r="O130">
            <v>56.195454545454538</v>
          </cell>
          <cell r="P130">
            <v>56.195454545454538</v>
          </cell>
          <cell r="Q130">
            <v>56.195454545454538</v>
          </cell>
          <cell r="R130">
            <v>56.195454545454538</v>
          </cell>
          <cell r="S130">
            <v>56.195454545454538</v>
          </cell>
          <cell r="T130">
            <v>56.195454545454538</v>
          </cell>
          <cell r="U130">
            <v>56.195454545454538</v>
          </cell>
        </row>
        <row r="131">
          <cell r="E131" t="str">
            <v>ME Coking Coal CC</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row>
        <row r="132">
          <cell r="E132" t="str">
            <v>MI Coking Coal CC</v>
          </cell>
          <cell r="F132">
            <v>56.290909090909089</v>
          </cell>
          <cell r="G132">
            <v>56.372727272727268</v>
          </cell>
          <cell r="H132">
            <v>56.672727272727272</v>
          </cell>
          <cell r="I132">
            <v>56.61818181818181</v>
          </cell>
          <cell r="J132">
            <v>56.1</v>
          </cell>
          <cell r="K132">
            <v>56.18181818181818</v>
          </cell>
          <cell r="L132">
            <v>56.290909090909089</v>
          </cell>
          <cell r="M132">
            <v>56.211529090909082</v>
          </cell>
          <cell r="N132">
            <v>56.209090909090904</v>
          </cell>
          <cell r="O132">
            <v>56.236363636363627</v>
          </cell>
          <cell r="P132">
            <v>56.236363636363627</v>
          </cell>
          <cell r="Q132">
            <v>56.236363636363627</v>
          </cell>
          <cell r="R132">
            <v>56.236363636363627</v>
          </cell>
          <cell r="S132">
            <v>56.236363636363627</v>
          </cell>
          <cell r="T132">
            <v>56.236363636363627</v>
          </cell>
          <cell r="U132">
            <v>56.236363636363627</v>
          </cell>
        </row>
        <row r="133">
          <cell r="E133" t="str">
            <v>MN Coking Coal CC</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row>
        <row r="134">
          <cell r="E134" t="str">
            <v>MO Coking Coal CC</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row>
        <row r="135">
          <cell r="E135" t="str">
            <v>MS Coking Coal CC</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row>
        <row r="136">
          <cell r="E136" t="str">
            <v>MT Coking Coal CC</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row>
        <row r="137">
          <cell r="E137" t="str">
            <v>NC Coking Coal CC</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row>
        <row r="138">
          <cell r="E138" t="str">
            <v>ND Coking Coal CC</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row>
        <row r="139">
          <cell r="E139" t="str">
            <v>NE Coking Coal CC</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row>
        <row r="140">
          <cell r="E140" t="str">
            <v>NH Coking Coal CC</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row>
        <row r="141">
          <cell r="E141" t="str">
            <v>NJ Coking Coal CC</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row>
        <row r="142">
          <cell r="E142" t="str">
            <v>NM Coking Coal CC</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row>
        <row r="143">
          <cell r="E143" t="str">
            <v>NV Coking Coal CC</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row>
        <row r="144">
          <cell r="E144" t="str">
            <v>NY Coking Coal CC</v>
          </cell>
          <cell r="F144">
            <v>56.236363636363627</v>
          </cell>
          <cell r="G144">
            <v>56.209090909090904</v>
          </cell>
          <cell r="H144">
            <v>56.209090909090904</v>
          </cell>
          <cell r="I144">
            <v>56.4</v>
          </cell>
          <cell r="J144">
            <v>56.372727272727268</v>
          </cell>
          <cell r="K144">
            <v>56.372727272727268</v>
          </cell>
          <cell r="L144">
            <v>56.372727272727268</v>
          </cell>
          <cell r="M144">
            <v>56.203614545454535</v>
          </cell>
          <cell r="N144">
            <v>56.454545454545453</v>
          </cell>
          <cell r="O144">
            <v>56.4</v>
          </cell>
          <cell r="P144">
            <v>56.4</v>
          </cell>
          <cell r="Q144">
            <v>56.4</v>
          </cell>
          <cell r="R144">
            <v>56.4</v>
          </cell>
          <cell r="S144">
            <v>56.4</v>
          </cell>
          <cell r="T144">
            <v>56.4</v>
          </cell>
          <cell r="U144">
            <v>56.4</v>
          </cell>
        </row>
        <row r="145">
          <cell r="E145" t="str">
            <v>OH Coking Coal CC</v>
          </cell>
          <cell r="F145">
            <v>56.345454545454537</v>
          </cell>
          <cell r="G145">
            <v>56.290909090909089</v>
          </cell>
          <cell r="H145">
            <v>56.290909090909089</v>
          </cell>
          <cell r="I145">
            <v>56.18181818181818</v>
          </cell>
          <cell r="J145">
            <v>56.290909090909089</v>
          </cell>
          <cell r="K145">
            <v>56.345454545454537</v>
          </cell>
          <cell r="L145">
            <v>56.345454545454537</v>
          </cell>
          <cell r="M145">
            <v>56.292469090909087</v>
          </cell>
          <cell r="N145">
            <v>56.345454545454537</v>
          </cell>
          <cell r="O145">
            <v>56.345454545454537</v>
          </cell>
          <cell r="P145">
            <v>56.345454545454537</v>
          </cell>
          <cell r="Q145">
            <v>56.345454545454537</v>
          </cell>
          <cell r="R145">
            <v>56.345454545454537</v>
          </cell>
          <cell r="S145">
            <v>56.345454545454537</v>
          </cell>
          <cell r="T145">
            <v>56.345454545454537</v>
          </cell>
          <cell r="U145">
            <v>56.345454545454537</v>
          </cell>
        </row>
        <row r="146">
          <cell r="E146" t="str">
            <v>OK Coking Coal CC</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row>
        <row r="147">
          <cell r="E147" t="str">
            <v>OR Coking Coal CC</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row>
        <row r="148">
          <cell r="E148" t="str">
            <v>PA Coking Coal CC</v>
          </cell>
          <cell r="F148">
            <v>56.236363636363627</v>
          </cell>
          <cell r="G148">
            <v>56.236363636363627</v>
          </cell>
          <cell r="H148">
            <v>56.209090909090904</v>
          </cell>
          <cell r="I148">
            <v>56.236363636363627</v>
          </cell>
          <cell r="J148">
            <v>56.236363636363627</v>
          </cell>
          <cell r="K148">
            <v>56.236363636363627</v>
          </cell>
          <cell r="L148">
            <v>56.263636363636365</v>
          </cell>
          <cell r="M148">
            <v>56.325559090909088</v>
          </cell>
          <cell r="N148">
            <v>56.345454545454537</v>
          </cell>
          <cell r="O148">
            <v>56.372727272727268</v>
          </cell>
          <cell r="P148">
            <v>56.372727272727268</v>
          </cell>
          <cell r="Q148">
            <v>56.372727272727268</v>
          </cell>
          <cell r="R148">
            <v>56.372727272727268</v>
          </cell>
          <cell r="S148">
            <v>56.372727272727268</v>
          </cell>
          <cell r="T148">
            <v>56.372727272727268</v>
          </cell>
          <cell r="U148">
            <v>56.372727272727268</v>
          </cell>
        </row>
        <row r="149">
          <cell r="E149" t="str">
            <v>RI Coking Coal CC</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row>
        <row r="150">
          <cell r="E150" t="str">
            <v>SC Coking Coal CC</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row>
        <row r="151">
          <cell r="E151" t="str">
            <v>SD Coking Coal CC</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row>
        <row r="152">
          <cell r="E152" t="str">
            <v>TN Coking Coal CC</v>
          </cell>
          <cell r="F152">
            <v>56.61818181818181</v>
          </cell>
          <cell r="G152">
            <v>56.61818181818181</v>
          </cell>
          <cell r="H152">
            <v>56.236363636363627</v>
          </cell>
          <cell r="I152">
            <v>56.331818181818171</v>
          </cell>
          <cell r="J152">
            <v>55.854545454545452</v>
          </cell>
          <cell r="K152">
            <v>56.331818181818171</v>
          </cell>
          <cell r="L152">
            <v>56.331818181818171</v>
          </cell>
          <cell r="M152">
            <v>56.331818181818171</v>
          </cell>
          <cell r="N152">
            <v>56.331818181818171</v>
          </cell>
          <cell r="O152">
            <v>56.331818181818171</v>
          </cell>
          <cell r="P152">
            <v>56.331818181818171</v>
          </cell>
          <cell r="Q152">
            <v>56.331818181818171</v>
          </cell>
          <cell r="R152">
            <v>56.331818181818171</v>
          </cell>
          <cell r="S152">
            <v>56.331818181818171</v>
          </cell>
          <cell r="T152">
            <v>56.331818181818171</v>
          </cell>
          <cell r="U152">
            <v>56.331818181818171</v>
          </cell>
        </row>
        <row r="153">
          <cell r="E153" t="str">
            <v>TX Coking Coal CC</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row>
        <row r="154">
          <cell r="E154" t="str">
            <v>US Coking Coal CC</v>
          </cell>
          <cell r="F154">
            <v>56.236363636363627</v>
          </cell>
          <cell r="G154">
            <v>56.236363636363627</v>
          </cell>
          <cell r="H154">
            <v>56.236363636363627</v>
          </cell>
          <cell r="I154">
            <v>56.236363636363627</v>
          </cell>
          <cell r="J154">
            <v>56.263636363636365</v>
          </cell>
          <cell r="K154">
            <v>56.290909090909089</v>
          </cell>
          <cell r="L154">
            <v>56.318181818181813</v>
          </cell>
          <cell r="M154">
            <v>56.347456363636361</v>
          </cell>
          <cell r="N154">
            <v>56.372727272727268</v>
          </cell>
          <cell r="O154">
            <v>56.372727272727268</v>
          </cell>
          <cell r="P154">
            <v>56.372727272727268</v>
          </cell>
          <cell r="Q154">
            <v>56.372727272727268</v>
          </cell>
          <cell r="R154">
            <v>56.372727272727268</v>
          </cell>
          <cell r="S154">
            <v>56.372727272727268</v>
          </cell>
          <cell r="T154">
            <v>56.372727272727268</v>
          </cell>
          <cell r="U154">
            <v>56.372727272727268</v>
          </cell>
        </row>
        <row r="155">
          <cell r="E155" t="str">
            <v>UT Coking Coal CC</v>
          </cell>
          <cell r="F155">
            <v>56.781818181818174</v>
          </cell>
          <cell r="G155">
            <v>56.18181818181818</v>
          </cell>
          <cell r="H155">
            <v>56.072727272727271</v>
          </cell>
          <cell r="I155">
            <v>56.04545454545454</v>
          </cell>
          <cell r="J155">
            <v>56.127272727272725</v>
          </cell>
          <cell r="K155">
            <v>56.536363636363639</v>
          </cell>
          <cell r="L155">
            <v>56.836363636363636</v>
          </cell>
          <cell r="M155">
            <v>56.999814545454541</v>
          </cell>
          <cell r="N155">
            <v>56.290909090909089</v>
          </cell>
          <cell r="O155">
            <v>56.290909090909089</v>
          </cell>
          <cell r="P155">
            <v>56.290909090909089</v>
          </cell>
          <cell r="Q155">
            <v>56.290909090909089</v>
          </cell>
          <cell r="R155">
            <v>56.290909090909089</v>
          </cell>
          <cell r="S155">
            <v>56.290909090909089</v>
          </cell>
          <cell r="T155">
            <v>56.290909090909089</v>
          </cell>
          <cell r="U155">
            <v>56.290909090909089</v>
          </cell>
        </row>
        <row r="156">
          <cell r="E156" t="str">
            <v>VA Coking Coal CC</v>
          </cell>
          <cell r="F156">
            <v>56.236363636363627</v>
          </cell>
          <cell r="G156">
            <v>56.236363636363627</v>
          </cell>
          <cell r="H156">
            <v>56.236363636363627</v>
          </cell>
          <cell r="I156">
            <v>56.236363636363627</v>
          </cell>
          <cell r="J156">
            <v>56.236363636363627</v>
          </cell>
          <cell r="K156">
            <v>56.236363636363627</v>
          </cell>
          <cell r="L156">
            <v>56.236363636363627</v>
          </cell>
          <cell r="M156">
            <v>56.244520909090902</v>
          </cell>
          <cell r="N156">
            <v>56.236363636363627</v>
          </cell>
          <cell r="O156">
            <v>56.236363636363627</v>
          </cell>
          <cell r="P156">
            <v>56.236363636363627</v>
          </cell>
          <cell r="Q156">
            <v>56.236363636363627</v>
          </cell>
          <cell r="R156">
            <v>56.236363636363627</v>
          </cell>
          <cell r="S156">
            <v>56.236363636363627</v>
          </cell>
          <cell r="T156">
            <v>56.236363636363627</v>
          </cell>
          <cell r="U156">
            <v>56.236363636363627</v>
          </cell>
        </row>
        <row r="157">
          <cell r="E157" t="str">
            <v>VT Coking Coal CC</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row>
        <row r="158">
          <cell r="E158" t="str">
            <v>WA Coking Coal CC</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row>
        <row r="159">
          <cell r="E159" t="str">
            <v>WI Coking Coal CC</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row>
        <row r="160">
          <cell r="E160" t="str">
            <v>WV Coking Coal CC</v>
          </cell>
          <cell r="F160">
            <v>56.372727272727268</v>
          </cell>
          <cell r="G160">
            <v>56.4</v>
          </cell>
          <cell r="H160">
            <v>56.372727272727268</v>
          </cell>
          <cell r="I160">
            <v>56.4</v>
          </cell>
          <cell r="J160">
            <v>56.4</v>
          </cell>
          <cell r="K160">
            <v>56.454545454545453</v>
          </cell>
          <cell r="L160">
            <v>56.4</v>
          </cell>
          <cell r="M160">
            <v>56.392947272727262</v>
          </cell>
          <cell r="N160">
            <v>56.481818181818177</v>
          </cell>
          <cell r="O160">
            <v>56.481818181818177</v>
          </cell>
          <cell r="P160">
            <v>56.481818181818177</v>
          </cell>
          <cell r="Q160">
            <v>56.481818181818177</v>
          </cell>
          <cell r="R160">
            <v>56.481818181818177</v>
          </cell>
          <cell r="S160">
            <v>56.481818181818177</v>
          </cell>
          <cell r="T160">
            <v>56.481818181818177</v>
          </cell>
          <cell r="U160">
            <v>56.481818181818177</v>
          </cell>
        </row>
        <row r="161">
          <cell r="E161" t="str">
            <v>WY Coking Coal CC</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row>
        <row r="162">
          <cell r="E162" t="str">
            <v>AL Other Coal CC</v>
          </cell>
          <cell r="F162">
            <v>56.04545454545454</v>
          </cell>
          <cell r="G162">
            <v>56.072727272727271</v>
          </cell>
          <cell r="H162">
            <v>56.1</v>
          </cell>
          <cell r="I162">
            <v>56.018181818181816</v>
          </cell>
          <cell r="J162">
            <v>56.018181818181816</v>
          </cell>
          <cell r="K162">
            <v>56.018181818181816</v>
          </cell>
          <cell r="L162">
            <v>56.018181818181816</v>
          </cell>
          <cell r="M162">
            <v>56.054487272727265</v>
          </cell>
          <cell r="N162">
            <v>56.026363636363634</v>
          </cell>
          <cell r="O162">
            <v>56.029090909090904</v>
          </cell>
          <cell r="P162">
            <v>56.029090909090904</v>
          </cell>
          <cell r="Q162">
            <v>56.029090909090904</v>
          </cell>
          <cell r="R162">
            <v>56.029090909090904</v>
          </cell>
          <cell r="S162">
            <v>56.029090909090904</v>
          </cell>
          <cell r="T162">
            <v>56.029090909090904</v>
          </cell>
          <cell r="U162">
            <v>56.029090909090904</v>
          </cell>
        </row>
        <row r="163">
          <cell r="E163" t="str">
            <v>AK Other Coal CC</v>
          </cell>
          <cell r="F163">
            <v>62.018181818181816</v>
          </cell>
          <cell r="G163">
            <v>62.018181818181816</v>
          </cell>
          <cell r="H163">
            <v>62.018181818181816</v>
          </cell>
          <cell r="I163">
            <v>62.018181818181816</v>
          </cell>
          <cell r="J163">
            <v>62.018181818181816</v>
          </cell>
          <cell r="K163">
            <v>62.018181818181816</v>
          </cell>
          <cell r="L163">
            <v>62.018181818181816</v>
          </cell>
          <cell r="M163">
            <v>62.018181818181816</v>
          </cell>
          <cell r="N163">
            <v>62.018181818181816</v>
          </cell>
          <cell r="O163">
            <v>62.018181818181816</v>
          </cell>
          <cell r="P163">
            <v>62.018181818181816</v>
          </cell>
          <cell r="Q163">
            <v>62.018181818181816</v>
          </cell>
          <cell r="R163">
            <v>62.018181818181816</v>
          </cell>
          <cell r="S163">
            <v>62.018181818181816</v>
          </cell>
          <cell r="T163">
            <v>62.018181818181816</v>
          </cell>
          <cell r="U163">
            <v>62.018181818181816</v>
          </cell>
        </row>
        <row r="164">
          <cell r="E164" t="str">
            <v>AR Other Coal CC</v>
          </cell>
          <cell r="F164">
            <v>55.990909090909092</v>
          </cell>
          <cell r="G164">
            <v>55.93636363636363</v>
          </cell>
          <cell r="H164">
            <v>55.963636363636354</v>
          </cell>
          <cell r="I164">
            <v>56.18181818181818</v>
          </cell>
          <cell r="J164">
            <v>56.263636363636365</v>
          </cell>
          <cell r="K164">
            <v>56.154545454545449</v>
          </cell>
          <cell r="L164">
            <v>56.18181818181818</v>
          </cell>
          <cell r="M164">
            <v>56.12492727272727</v>
          </cell>
          <cell r="N164">
            <v>56.173636363636362</v>
          </cell>
          <cell r="O164">
            <v>56.1</v>
          </cell>
          <cell r="P164">
            <v>56.1</v>
          </cell>
          <cell r="Q164">
            <v>56.1</v>
          </cell>
          <cell r="R164">
            <v>56.1</v>
          </cell>
          <cell r="S164">
            <v>56.1</v>
          </cell>
          <cell r="T164">
            <v>56.1</v>
          </cell>
          <cell r="U164">
            <v>56.1</v>
          </cell>
        </row>
        <row r="165">
          <cell r="E165" t="str">
            <v>AZ Other Coal CC</v>
          </cell>
          <cell r="F165">
            <v>56.590909090909086</v>
          </cell>
          <cell r="G165">
            <v>56.454545454545453</v>
          </cell>
          <cell r="H165">
            <v>56.372727272727268</v>
          </cell>
          <cell r="I165">
            <v>56.427272727272722</v>
          </cell>
          <cell r="J165">
            <v>56.509090909090901</v>
          </cell>
          <cell r="K165">
            <v>56.372727272727268</v>
          </cell>
          <cell r="L165">
            <v>56.454545454545453</v>
          </cell>
          <cell r="M165">
            <v>56.300904545454536</v>
          </cell>
          <cell r="N165">
            <v>56.740909090909092</v>
          </cell>
          <cell r="O165">
            <v>56.75454545454545</v>
          </cell>
          <cell r="P165">
            <v>56.75454545454545</v>
          </cell>
          <cell r="Q165">
            <v>56.75454545454545</v>
          </cell>
          <cell r="R165">
            <v>56.75454545454545</v>
          </cell>
          <cell r="S165">
            <v>56.75454545454545</v>
          </cell>
          <cell r="T165">
            <v>56.75454545454545</v>
          </cell>
          <cell r="U165">
            <v>56.75454545454545</v>
          </cell>
        </row>
        <row r="166">
          <cell r="E166" t="str">
            <v>CA Other Coal CC</v>
          </cell>
          <cell r="F166">
            <v>55.8</v>
          </cell>
          <cell r="G166">
            <v>55.8</v>
          </cell>
          <cell r="H166">
            <v>55.690909090909081</v>
          </cell>
          <cell r="I166">
            <v>55.663636363636357</v>
          </cell>
          <cell r="J166">
            <v>55.663636363636357</v>
          </cell>
          <cell r="K166">
            <v>55.663636363636357</v>
          </cell>
          <cell r="L166">
            <v>55.663636363636357</v>
          </cell>
          <cell r="M166">
            <v>55.707501818181818</v>
          </cell>
          <cell r="N166">
            <v>55.794545454545457</v>
          </cell>
          <cell r="O166">
            <v>55.797272727272727</v>
          </cell>
          <cell r="P166">
            <v>55.797272727272727</v>
          </cell>
          <cell r="Q166">
            <v>55.797272727272727</v>
          </cell>
          <cell r="R166">
            <v>55.797272727272727</v>
          </cell>
          <cell r="S166">
            <v>55.797272727272727</v>
          </cell>
          <cell r="T166">
            <v>55.797272727272727</v>
          </cell>
          <cell r="U166">
            <v>55.797272727272727</v>
          </cell>
        </row>
        <row r="167">
          <cell r="E167" t="str">
            <v>CO Other Coal CC</v>
          </cell>
          <cell r="F167">
            <v>57.818181818181813</v>
          </cell>
          <cell r="G167">
            <v>57.981818181818177</v>
          </cell>
          <cell r="H167">
            <v>57.954545454545453</v>
          </cell>
          <cell r="I167">
            <v>58.009090909090901</v>
          </cell>
          <cell r="J167">
            <v>58.11818181818181</v>
          </cell>
          <cell r="K167">
            <v>58.090909090909086</v>
          </cell>
          <cell r="L167">
            <v>58.11818181818181</v>
          </cell>
          <cell r="M167">
            <v>58.141167272727266</v>
          </cell>
          <cell r="N167">
            <v>56.252727272727263</v>
          </cell>
          <cell r="O167">
            <v>56.25</v>
          </cell>
          <cell r="P167">
            <v>56.25</v>
          </cell>
          <cell r="Q167">
            <v>56.25</v>
          </cell>
          <cell r="R167">
            <v>56.25</v>
          </cell>
          <cell r="S167">
            <v>56.25</v>
          </cell>
          <cell r="T167">
            <v>56.25</v>
          </cell>
          <cell r="U167">
            <v>56.25</v>
          </cell>
        </row>
        <row r="168">
          <cell r="E168" t="str">
            <v>CT Other Coal CC</v>
          </cell>
          <cell r="F168">
            <v>62.018181818181816</v>
          </cell>
          <cell r="G168">
            <v>56.154545454545449</v>
          </cell>
          <cell r="H168">
            <v>55.827272727272721</v>
          </cell>
          <cell r="I168">
            <v>56.481818181818177</v>
          </cell>
          <cell r="J168">
            <v>56.481818181818177</v>
          </cell>
          <cell r="K168">
            <v>62.018181818181816</v>
          </cell>
          <cell r="L168">
            <v>56.481818181818177</v>
          </cell>
          <cell r="M168">
            <v>57.540303030303029</v>
          </cell>
          <cell r="N168">
            <v>56.481818181818177</v>
          </cell>
          <cell r="O168">
            <v>55.917272727272724</v>
          </cell>
          <cell r="P168">
            <v>55.917272727272724</v>
          </cell>
          <cell r="Q168">
            <v>55.917272727272724</v>
          </cell>
          <cell r="R168">
            <v>55.917272727272724</v>
          </cell>
          <cell r="S168">
            <v>55.917272727272724</v>
          </cell>
          <cell r="T168">
            <v>55.917272727272724</v>
          </cell>
          <cell r="U168">
            <v>55.917272727272724</v>
          </cell>
        </row>
        <row r="169">
          <cell r="E169" t="str">
            <v>DC Other Coal CC</v>
          </cell>
          <cell r="F169">
            <v>58.569090909090903</v>
          </cell>
          <cell r="G169">
            <v>58.569090909090903</v>
          </cell>
          <cell r="H169">
            <v>58.569090909090903</v>
          </cell>
          <cell r="I169">
            <v>58.569090909090903</v>
          </cell>
          <cell r="J169">
            <v>58.569090909090903</v>
          </cell>
          <cell r="K169">
            <v>58.569090909090903</v>
          </cell>
          <cell r="L169">
            <v>62.018181818181816</v>
          </cell>
          <cell r="M169">
            <v>58.569090909090903</v>
          </cell>
          <cell r="N169">
            <v>56.836363636363636</v>
          </cell>
          <cell r="O169">
            <v>56.852727272727272</v>
          </cell>
          <cell r="P169">
            <v>56.852727272727272</v>
          </cell>
          <cell r="Q169">
            <v>56.852727272727272</v>
          </cell>
          <cell r="R169">
            <v>56.852727272727272</v>
          </cell>
          <cell r="S169">
            <v>56.852727272727272</v>
          </cell>
          <cell r="T169">
            <v>56.852727272727272</v>
          </cell>
          <cell r="U169">
            <v>56.852727272727272</v>
          </cell>
        </row>
        <row r="170">
          <cell r="E170" t="str">
            <v>DE Other Coal CC</v>
          </cell>
          <cell r="F170">
            <v>56.209090909090904</v>
          </cell>
          <cell r="G170">
            <v>56.18181818181818</v>
          </cell>
          <cell r="H170">
            <v>56.563636363636363</v>
          </cell>
          <cell r="I170">
            <v>56.72727272727272</v>
          </cell>
          <cell r="J170">
            <v>56.645454545454541</v>
          </cell>
          <cell r="K170">
            <v>56.61818181818181</v>
          </cell>
          <cell r="L170">
            <v>56.72727272727272</v>
          </cell>
          <cell r="M170">
            <v>56.740058181818171</v>
          </cell>
          <cell r="N170">
            <v>55.952727272727266</v>
          </cell>
          <cell r="O170">
            <v>56.1</v>
          </cell>
          <cell r="P170">
            <v>56.1</v>
          </cell>
          <cell r="Q170">
            <v>56.1</v>
          </cell>
          <cell r="R170">
            <v>56.1</v>
          </cell>
          <cell r="S170">
            <v>56.1</v>
          </cell>
          <cell r="T170">
            <v>56.1</v>
          </cell>
          <cell r="U170">
            <v>56.1</v>
          </cell>
        </row>
        <row r="171">
          <cell r="E171" t="str">
            <v>FL Other Coal CC</v>
          </cell>
          <cell r="F171">
            <v>56.018181818181816</v>
          </cell>
          <cell r="G171">
            <v>55.963636363636354</v>
          </cell>
          <cell r="H171">
            <v>55.93636363636363</v>
          </cell>
          <cell r="I171">
            <v>55.963636363636354</v>
          </cell>
          <cell r="J171">
            <v>55.93636363636363</v>
          </cell>
          <cell r="K171">
            <v>56.018181818181816</v>
          </cell>
          <cell r="L171">
            <v>55.990909090909092</v>
          </cell>
          <cell r="M171">
            <v>55.954314545454544</v>
          </cell>
          <cell r="N171">
            <v>55.873636363636358</v>
          </cell>
          <cell r="O171">
            <v>55.849090909090904</v>
          </cell>
          <cell r="P171">
            <v>55.849090909090904</v>
          </cell>
          <cell r="Q171">
            <v>55.849090909090904</v>
          </cell>
          <cell r="R171">
            <v>55.849090909090904</v>
          </cell>
          <cell r="S171">
            <v>55.849090909090904</v>
          </cell>
          <cell r="T171">
            <v>55.849090909090904</v>
          </cell>
          <cell r="U171">
            <v>55.849090909090904</v>
          </cell>
        </row>
        <row r="172">
          <cell r="E172" t="str">
            <v>GA Other Coal CC</v>
          </cell>
          <cell r="F172">
            <v>55.93636363636363</v>
          </cell>
          <cell r="G172">
            <v>55.909090909090907</v>
          </cell>
          <cell r="H172">
            <v>55.881818181818183</v>
          </cell>
          <cell r="I172">
            <v>55.881818181818183</v>
          </cell>
          <cell r="J172">
            <v>55.909090909090907</v>
          </cell>
          <cell r="K172">
            <v>55.909090909090907</v>
          </cell>
          <cell r="L172">
            <v>55.909090909090907</v>
          </cell>
          <cell r="M172">
            <v>55.932449999999996</v>
          </cell>
          <cell r="N172">
            <v>55.881818181818183</v>
          </cell>
          <cell r="O172">
            <v>55.947272727272718</v>
          </cell>
          <cell r="P172">
            <v>55.947272727272718</v>
          </cell>
          <cell r="Q172">
            <v>55.947272727272718</v>
          </cell>
          <cell r="R172">
            <v>55.947272727272718</v>
          </cell>
          <cell r="S172">
            <v>55.947272727272718</v>
          </cell>
          <cell r="T172">
            <v>55.947272727272718</v>
          </cell>
          <cell r="U172">
            <v>55.947272727272718</v>
          </cell>
        </row>
        <row r="173">
          <cell r="E173" t="str">
            <v>HI Other Coal CC</v>
          </cell>
          <cell r="F173">
            <v>55.745454545454542</v>
          </cell>
          <cell r="G173">
            <v>55.745454545454542</v>
          </cell>
          <cell r="H173">
            <v>55.745454545454542</v>
          </cell>
          <cell r="I173">
            <v>55.745454545454542</v>
          </cell>
          <cell r="J173">
            <v>55.745454545454542</v>
          </cell>
          <cell r="K173">
            <v>55.745454545454542</v>
          </cell>
          <cell r="L173">
            <v>55.745454545454542</v>
          </cell>
          <cell r="M173">
            <v>55.73157545454545</v>
          </cell>
          <cell r="N173">
            <v>55.663636363636357</v>
          </cell>
          <cell r="O173">
            <v>55.734821515151516</v>
          </cell>
          <cell r="P173">
            <v>55.734821515151516</v>
          </cell>
          <cell r="Q173">
            <v>55.734821515151516</v>
          </cell>
          <cell r="R173">
            <v>55.734821515151516</v>
          </cell>
          <cell r="S173">
            <v>55.734821515151516</v>
          </cell>
          <cell r="T173">
            <v>55.734821515151516</v>
          </cell>
          <cell r="U173">
            <v>55.734821515151516</v>
          </cell>
        </row>
        <row r="174">
          <cell r="E174" t="str">
            <v>IA Other Coal CC</v>
          </cell>
          <cell r="F174">
            <v>55.909090909090907</v>
          </cell>
          <cell r="G174">
            <v>56.209090909090904</v>
          </cell>
          <cell r="H174">
            <v>56.809090909090905</v>
          </cell>
          <cell r="I174">
            <v>56.781818181818174</v>
          </cell>
          <cell r="J174">
            <v>56.890909090909084</v>
          </cell>
          <cell r="K174">
            <v>56.672727272727272</v>
          </cell>
          <cell r="L174">
            <v>55.745454545454542</v>
          </cell>
          <cell r="M174">
            <v>56.800022727272726</v>
          </cell>
          <cell r="N174">
            <v>56.637272727272723</v>
          </cell>
          <cell r="O174">
            <v>56.653636363636359</v>
          </cell>
          <cell r="P174">
            <v>56.653636363636359</v>
          </cell>
          <cell r="Q174">
            <v>56.653636363636359</v>
          </cell>
          <cell r="R174">
            <v>56.653636363636359</v>
          </cell>
          <cell r="S174">
            <v>56.653636363636359</v>
          </cell>
          <cell r="T174">
            <v>56.653636363636359</v>
          </cell>
          <cell r="U174">
            <v>56.653636363636359</v>
          </cell>
        </row>
        <row r="175">
          <cell r="E175" t="str">
            <v>ID Other Coal CC</v>
          </cell>
          <cell r="F175">
            <v>57.845454545454537</v>
          </cell>
          <cell r="G175">
            <v>57.845454545454537</v>
          </cell>
          <cell r="H175">
            <v>57.872727272727268</v>
          </cell>
          <cell r="I175">
            <v>57.572727272727263</v>
          </cell>
          <cell r="J175">
            <v>57.845454545454537</v>
          </cell>
          <cell r="K175">
            <v>57.190909090909081</v>
          </cell>
          <cell r="L175">
            <v>57.572727272727263</v>
          </cell>
          <cell r="M175">
            <v>58.011818181818178</v>
          </cell>
          <cell r="N175">
            <v>57.883636363636363</v>
          </cell>
          <cell r="O175">
            <v>56.702727272727266</v>
          </cell>
          <cell r="P175">
            <v>56.702727272727266</v>
          </cell>
          <cell r="Q175">
            <v>56.702727272727266</v>
          </cell>
          <cell r="R175">
            <v>56.702727272727266</v>
          </cell>
          <cell r="S175">
            <v>56.702727272727266</v>
          </cell>
          <cell r="T175">
            <v>56.702727272727266</v>
          </cell>
          <cell r="U175">
            <v>56.702727272727266</v>
          </cell>
        </row>
        <row r="176">
          <cell r="E176" t="str">
            <v>IL Other Coal CC</v>
          </cell>
          <cell r="F176">
            <v>55.609090909090909</v>
          </cell>
          <cell r="G176">
            <v>55.93636363636363</v>
          </cell>
          <cell r="H176">
            <v>55.554545454545448</v>
          </cell>
          <cell r="I176">
            <v>55.609090909090909</v>
          </cell>
          <cell r="J176">
            <v>55.609090909090909</v>
          </cell>
          <cell r="K176">
            <v>55.636363636363633</v>
          </cell>
          <cell r="L176">
            <v>55.718181818181819</v>
          </cell>
          <cell r="M176">
            <v>55.781702727272723</v>
          </cell>
          <cell r="N176">
            <v>55.65</v>
          </cell>
          <cell r="O176">
            <v>55.65</v>
          </cell>
          <cell r="P176">
            <v>55.65</v>
          </cell>
          <cell r="Q176">
            <v>55.65</v>
          </cell>
          <cell r="R176">
            <v>55.65</v>
          </cell>
          <cell r="S176">
            <v>55.65</v>
          </cell>
          <cell r="T176">
            <v>55.65</v>
          </cell>
          <cell r="U176">
            <v>55.65</v>
          </cell>
        </row>
        <row r="177">
          <cell r="E177" t="str">
            <v>IN Other Coal CC</v>
          </cell>
          <cell r="F177">
            <v>55.690909090909081</v>
          </cell>
          <cell r="G177">
            <v>55.745454545454542</v>
          </cell>
          <cell r="H177">
            <v>55.772727272727266</v>
          </cell>
          <cell r="I177">
            <v>55.690909090909081</v>
          </cell>
          <cell r="J177">
            <v>55.663636363636357</v>
          </cell>
          <cell r="K177">
            <v>55.718181818181819</v>
          </cell>
          <cell r="L177">
            <v>55.663636363636357</v>
          </cell>
          <cell r="M177">
            <v>55.73511818181818</v>
          </cell>
          <cell r="N177">
            <v>55.742727272727265</v>
          </cell>
          <cell r="O177">
            <v>55.789090909090909</v>
          </cell>
          <cell r="P177">
            <v>55.789090909090909</v>
          </cell>
          <cell r="Q177">
            <v>55.789090909090909</v>
          </cell>
          <cell r="R177">
            <v>55.789090909090909</v>
          </cell>
          <cell r="S177">
            <v>55.789090909090909</v>
          </cell>
          <cell r="T177">
            <v>55.789090909090909</v>
          </cell>
          <cell r="U177">
            <v>55.789090909090909</v>
          </cell>
        </row>
        <row r="178">
          <cell r="E178" t="str">
            <v>KS Other Coal CC</v>
          </cell>
          <cell r="F178">
            <v>55.472727272727269</v>
          </cell>
          <cell r="G178">
            <v>55.963636363636354</v>
          </cell>
          <cell r="H178">
            <v>55.990909090909092</v>
          </cell>
          <cell r="I178">
            <v>55.445454545454545</v>
          </cell>
          <cell r="J178">
            <v>55.418181818181814</v>
          </cell>
          <cell r="K178">
            <v>55.527272727272724</v>
          </cell>
          <cell r="L178">
            <v>55.990909090909092</v>
          </cell>
          <cell r="M178">
            <v>56.017404545454546</v>
          </cell>
          <cell r="N178">
            <v>55.41</v>
          </cell>
          <cell r="O178">
            <v>55.371818181818178</v>
          </cell>
          <cell r="P178">
            <v>55.371818181818178</v>
          </cell>
          <cell r="Q178">
            <v>55.371818181818178</v>
          </cell>
          <cell r="R178">
            <v>55.371818181818178</v>
          </cell>
          <cell r="S178">
            <v>55.371818181818178</v>
          </cell>
          <cell r="T178">
            <v>55.371818181818178</v>
          </cell>
          <cell r="U178">
            <v>55.371818181818178</v>
          </cell>
        </row>
        <row r="179">
          <cell r="E179" t="str">
            <v>KY Other Coal CC</v>
          </cell>
          <cell r="F179">
            <v>56.04545454545454</v>
          </cell>
          <cell r="G179">
            <v>56.072727272727271</v>
          </cell>
          <cell r="H179">
            <v>56.018181818181816</v>
          </cell>
          <cell r="I179">
            <v>55.990909090909092</v>
          </cell>
          <cell r="J179">
            <v>55.93636363636363</v>
          </cell>
          <cell r="K179">
            <v>55.93636363636363</v>
          </cell>
          <cell r="L179">
            <v>55.909090909090907</v>
          </cell>
          <cell r="M179">
            <v>56.052040909090906</v>
          </cell>
          <cell r="N179">
            <v>55.939090909090908</v>
          </cell>
          <cell r="O179">
            <v>55.95</v>
          </cell>
          <cell r="P179">
            <v>55.95</v>
          </cell>
          <cell r="Q179">
            <v>55.95</v>
          </cell>
          <cell r="R179">
            <v>55.95</v>
          </cell>
          <cell r="S179">
            <v>55.95</v>
          </cell>
          <cell r="T179">
            <v>55.95</v>
          </cell>
          <cell r="U179">
            <v>55.95</v>
          </cell>
        </row>
        <row r="180">
          <cell r="E180" t="str">
            <v>LA Other Coal CC</v>
          </cell>
          <cell r="F180">
            <v>56.72727272727272</v>
          </cell>
          <cell r="G180">
            <v>57.627272727272725</v>
          </cell>
          <cell r="H180">
            <v>57.518181818181816</v>
          </cell>
          <cell r="I180">
            <v>57.68181818181818</v>
          </cell>
          <cell r="J180">
            <v>57.627272727272725</v>
          </cell>
          <cell r="K180">
            <v>57.9</v>
          </cell>
          <cell r="L180">
            <v>56.645454545454541</v>
          </cell>
          <cell r="M180">
            <v>56.422900909090906</v>
          </cell>
          <cell r="N180">
            <v>55.854545454545452</v>
          </cell>
          <cell r="O180">
            <v>55.854545454545452</v>
          </cell>
          <cell r="P180">
            <v>55.854545454545452</v>
          </cell>
          <cell r="Q180">
            <v>55.854545454545452</v>
          </cell>
          <cell r="R180">
            <v>55.854545454545452</v>
          </cell>
          <cell r="S180">
            <v>55.854545454545452</v>
          </cell>
          <cell r="T180">
            <v>55.854545454545452</v>
          </cell>
          <cell r="U180">
            <v>55.854545454545452</v>
          </cell>
        </row>
        <row r="181">
          <cell r="E181" t="str">
            <v>MA Other Coal CC</v>
          </cell>
          <cell r="F181">
            <v>56.72727272727272</v>
          </cell>
          <cell r="G181">
            <v>56.372727272727268</v>
          </cell>
          <cell r="H181">
            <v>56.454545454545453</v>
          </cell>
          <cell r="I181">
            <v>56.372727272727268</v>
          </cell>
          <cell r="J181">
            <v>56.345454545454537</v>
          </cell>
          <cell r="K181">
            <v>56.4</v>
          </cell>
          <cell r="L181">
            <v>56.372727272727268</v>
          </cell>
          <cell r="M181">
            <v>56.419805454545454</v>
          </cell>
          <cell r="N181">
            <v>56.481818181818177</v>
          </cell>
          <cell r="O181">
            <v>55.917272727272724</v>
          </cell>
          <cell r="P181">
            <v>55.917272727272724</v>
          </cell>
          <cell r="Q181">
            <v>55.917272727272724</v>
          </cell>
          <cell r="R181">
            <v>55.917272727272724</v>
          </cell>
          <cell r="S181">
            <v>55.917272727272724</v>
          </cell>
          <cell r="T181">
            <v>55.917272727272724</v>
          </cell>
          <cell r="U181">
            <v>55.917272727272724</v>
          </cell>
        </row>
        <row r="182">
          <cell r="E182" t="str">
            <v>MD Other Coal CC</v>
          </cell>
          <cell r="F182">
            <v>56.672727272727272</v>
          </cell>
          <cell r="G182">
            <v>56.672727272727272</v>
          </cell>
          <cell r="H182">
            <v>56.836363636363636</v>
          </cell>
          <cell r="I182">
            <v>56.918181818181807</v>
          </cell>
          <cell r="J182">
            <v>56.781818181818174</v>
          </cell>
          <cell r="K182">
            <v>56.890909090909084</v>
          </cell>
          <cell r="L182">
            <v>56.809090909090905</v>
          </cell>
          <cell r="M182">
            <v>56.722767272727268</v>
          </cell>
          <cell r="N182">
            <v>56.833636363636359</v>
          </cell>
          <cell r="O182">
            <v>56.852727272727272</v>
          </cell>
          <cell r="P182">
            <v>56.852727272727272</v>
          </cell>
          <cell r="Q182">
            <v>56.852727272727272</v>
          </cell>
          <cell r="R182">
            <v>56.852727272727272</v>
          </cell>
          <cell r="S182">
            <v>56.852727272727272</v>
          </cell>
          <cell r="T182">
            <v>56.852727272727272</v>
          </cell>
          <cell r="U182">
            <v>56.852727272727272</v>
          </cell>
        </row>
        <row r="183">
          <cell r="E183" t="str">
            <v>ME Other Coal CC</v>
          </cell>
          <cell r="F183">
            <v>56.454545454545453</v>
          </cell>
          <cell r="G183">
            <v>55.881818181818183</v>
          </cell>
          <cell r="H183">
            <v>55.881818181818183</v>
          </cell>
          <cell r="I183">
            <v>55.881818181818183</v>
          </cell>
          <cell r="J183">
            <v>55.854545454545452</v>
          </cell>
          <cell r="K183">
            <v>55.909090909090907</v>
          </cell>
          <cell r="L183">
            <v>55.909090909090907</v>
          </cell>
          <cell r="M183">
            <v>55.862492727272723</v>
          </cell>
          <cell r="N183">
            <v>55.879090909090898</v>
          </cell>
          <cell r="O183">
            <v>55.911818181818177</v>
          </cell>
          <cell r="P183">
            <v>55.911818181818177</v>
          </cell>
          <cell r="Q183">
            <v>55.911818181818177</v>
          </cell>
          <cell r="R183">
            <v>55.911818181818177</v>
          </cell>
          <cell r="S183">
            <v>55.911818181818177</v>
          </cell>
          <cell r="T183">
            <v>55.911818181818177</v>
          </cell>
          <cell r="U183">
            <v>55.911818181818177</v>
          </cell>
        </row>
        <row r="184">
          <cell r="E184" t="str">
            <v>MI Other Coal CC</v>
          </cell>
          <cell r="F184">
            <v>55.881818181818183</v>
          </cell>
          <cell r="G184">
            <v>55.881818181818183</v>
          </cell>
          <cell r="H184">
            <v>55.990909090909092</v>
          </cell>
          <cell r="I184">
            <v>56.072727272727271</v>
          </cell>
          <cell r="J184">
            <v>56.072727272727271</v>
          </cell>
          <cell r="K184">
            <v>56.154545454545449</v>
          </cell>
          <cell r="L184">
            <v>55.990909090909092</v>
          </cell>
          <cell r="M184">
            <v>55.96732636363636</v>
          </cell>
          <cell r="N184">
            <v>55.996363636363633</v>
          </cell>
          <cell r="O184">
            <v>56.04545454545454</v>
          </cell>
          <cell r="P184">
            <v>56.04545454545454</v>
          </cell>
          <cell r="Q184">
            <v>56.04545454545454</v>
          </cell>
          <cell r="R184">
            <v>56.04545454545454</v>
          </cell>
          <cell r="S184">
            <v>56.04545454545454</v>
          </cell>
          <cell r="T184">
            <v>56.04545454545454</v>
          </cell>
          <cell r="U184">
            <v>56.04545454545454</v>
          </cell>
        </row>
        <row r="185">
          <cell r="E185" t="str">
            <v>MN Other Coal CC</v>
          </cell>
          <cell r="F185">
            <v>57.709090909090904</v>
          </cell>
          <cell r="G185">
            <v>57.572727272727263</v>
          </cell>
          <cell r="H185">
            <v>57.763636363636365</v>
          </cell>
          <cell r="I185">
            <v>57.845454545454537</v>
          </cell>
          <cell r="J185">
            <v>57.736363636363627</v>
          </cell>
          <cell r="K185">
            <v>57.6</v>
          </cell>
          <cell r="L185">
            <v>57.6</v>
          </cell>
          <cell r="M185">
            <v>57.669564545454541</v>
          </cell>
          <cell r="N185">
            <v>57.087272727272719</v>
          </cell>
          <cell r="O185">
            <v>57.18818181818181</v>
          </cell>
          <cell r="P185">
            <v>57.18818181818181</v>
          </cell>
          <cell r="Q185">
            <v>57.18818181818181</v>
          </cell>
          <cell r="R185">
            <v>57.18818181818181</v>
          </cell>
          <cell r="S185">
            <v>57.18818181818181</v>
          </cell>
          <cell r="T185">
            <v>57.18818181818181</v>
          </cell>
          <cell r="U185">
            <v>57.18818181818181</v>
          </cell>
        </row>
        <row r="186">
          <cell r="E186" t="str">
            <v>MO Other Coal CC</v>
          </cell>
          <cell r="F186">
            <v>55.663636363636357</v>
          </cell>
          <cell r="G186">
            <v>55.663636363636357</v>
          </cell>
          <cell r="H186">
            <v>55.772727272727266</v>
          </cell>
          <cell r="I186">
            <v>55.8</v>
          </cell>
          <cell r="J186">
            <v>55.690909090909081</v>
          </cell>
          <cell r="K186">
            <v>55.745454545454542</v>
          </cell>
          <cell r="L186">
            <v>55.609090909090909</v>
          </cell>
          <cell r="M186">
            <v>55.542430909090903</v>
          </cell>
          <cell r="N186">
            <v>55.671818181818175</v>
          </cell>
          <cell r="O186">
            <v>55.630909090909086</v>
          </cell>
          <cell r="P186">
            <v>55.630909090909086</v>
          </cell>
          <cell r="Q186">
            <v>55.630909090909086</v>
          </cell>
          <cell r="R186">
            <v>55.630909090909086</v>
          </cell>
          <cell r="S186">
            <v>55.630909090909086</v>
          </cell>
          <cell r="T186">
            <v>55.630909090909086</v>
          </cell>
          <cell r="U186">
            <v>55.630909090909086</v>
          </cell>
        </row>
        <row r="187">
          <cell r="E187" t="str">
            <v>MS Other Coal CC</v>
          </cell>
          <cell r="F187">
            <v>55.554545454545448</v>
          </cell>
          <cell r="G187">
            <v>55.690909090909081</v>
          </cell>
          <cell r="H187">
            <v>55.8</v>
          </cell>
          <cell r="I187">
            <v>55.963636363636354</v>
          </cell>
          <cell r="J187">
            <v>55.963636363636354</v>
          </cell>
          <cell r="K187">
            <v>55.963636363636354</v>
          </cell>
          <cell r="L187">
            <v>55.881818181818183</v>
          </cell>
          <cell r="M187">
            <v>55.85426727272727</v>
          </cell>
          <cell r="N187">
            <v>55.843636363636357</v>
          </cell>
          <cell r="O187">
            <v>55.707272727272724</v>
          </cell>
          <cell r="P187">
            <v>55.707272727272724</v>
          </cell>
          <cell r="Q187">
            <v>55.707272727272724</v>
          </cell>
          <cell r="R187">
            <v>55.707272727272724</v>
          </cell>
          <cell r="S187">
            <v>55.707272727272724</v>
          </cell>
          <cell r="T187">
            <v>55.707272727272724</v>
          </cell>
          <cell r="U187">
            <v>55.707272727272724</v>
          </cell>
        </row>
        <row r="188">
          <cell r="E188" t="str">
            <v>MT Other Coal CC</v>
          </cell>
          <cell r="F188">
            <v>57.736363636363627</v>
          </cell>
          <cell r="G188">
            <v>57.709090909090904</v>
          </cell>
          <cell r="H188">
            <v>57.654545454545449</v>
          </cell>
          <cell r="I188">
            <v>57.845454545454537</v>
          </cell>
          <cell r="J188">
            <v>58.036363636363632</v>
          </cell>
          <cell r="K188">
            <v>58.2</v>
          </cell>
          <cell r="L188">
            <v>58.2</v>
          </cell>
          <cell r="M188">
            <v>58.068927272727265</v>
          </cell>
          <cell r="N188">
            <v>58.764545454545448</v>
          </cell>
          <cell r="O188">
            <v>58.570909090909083</v>
          </cell>
          <cell r="P188">
            <v>58.570909090909083</v>
          </cell>
          <cell r="Q188">
            <v>58.570909090909083</v>
          </cell>
          <cell r="R188">
            <v>58.570909090909083</v>
          </cell>
          <cell r="S188">
            <v>58.570909090909083</v>
          </cell>
          <cell r="T188">
            <v>58.570909090909083</v>
          </cell>
          <cell r="U188">
            <v>58.570909090909083</v>
          </cell>
        </row>
        <row r="189">
          <cell r="E189" t="str">
            <v>NC Other Coal CC</v>
          </cell>
          <cell r="F189">
            <v>56.1</v>
          </cell>
          <cell r="G189">
            <v>56.018181818181816</v>
          </cell>
          <cell r="H189">
            <v>56.1</v>
          </cell>
          <cell r="I189">
            <v>56.018181818181816</v>
          </cell>
          <cell r="J189">
            <v>56.072727272727271</v>
          </cell>
          <cell r="K189">
            <v>56.04545454545454</v>
          </cell>
          <cell r="L189">
            <v>56.018181818181816</v>
          </cell>
          <cell r="M189">
            <v>56.030440909090906</v>
          </cell>
          <cell r="N189">
            <v>56.020909090909086</v>
          </cell>
          <cell r="O189">
            <v>56.050909090909087</v>
          </cell>
          <cell r="P189">
            <v>56.050909090909087</v>
          </cell>
          <cell r="Q189">
            <v>56.050909090909087</v>
          </cell>
          <cell r="R189">
            <v>56.050909090909087</v>
          </cell>
          <cell r="S189">
            <v>56.050909090909087</v>
          </cell>
          <cell r="T189">
            <v>56.050909090909087</v>
          </cell>
          <cell r="U189">
            <v>56.050909090909087</v>
          </cell>
        </row>
        <row r="190">
          <cell r="E190" t="str">
            <v>ND Other Coal CC</v>
          </cell>
          <cell r="F190">
            <v>59.536363636363632</v>
          </cell>
          <cell r="G190">
            <v>59.536363636363632</v>
          </cell>
          <cell r="H190">
            <v>59.536363636363632</v>
          </cell>
          <cell r="I190">
            <v>59.563636363636363</v>
          </cell>
          <cell r="J190">
            <v>59.509090909090901</v>
          </cell>
          <cell r="K190">
            <v>59.563636363636363</v>
          </cell>
          <cell r="L190">
            <v>59.590909090909086</v>
          </cell>
          <cell r="M190">
            <v>59.586998181818174</v>
          </cell>
          <cell r="N190">
            <v>59.555454545454545</v>
          </cell>
          <cell r="O190">
            <v>59.536363636363632</v>
          </cell>
          <cell r="P190">
            <v>59.536363636363632</v>
          </cell>
          <cell r="Q190">
            <v>59.536363636363632</v>
          </cell>
          <cell r="R190">
            <v>59.536363636363632</v>
          </cell>
          <cell r="S190">
            <v>59.536363636363632</v>
          </cell>
          <cell r="T190">
            <v>59.536363636363632</v>
          </cell>
          <cell r="U190">
            <v>59.536363636363632</v>
          </cell>
        </row>
        <row r="191">
          <cell r="E191" t="str">
            <v>NE Other Coal CC</v>
          </cell>
          <cell r="F191">
            <v>58.172727272727272</v>
          </cell>
          <cell r="G191">
            <v>58.172727272727272</v>
          </cell>
          <cell r="H191">
            <v>58.11818181818181</v>
          </cell>
          <cell r="I191">
            <v>58.145454545454541</v>
          </cell>
          <cell r="J191">
            <v>58.063636363636363</v>
          </cell>
          <cell r="K191">
            <v>58.145454545454541</v>
          </cell>
          <cell r="L191">
            <v>57.518181818181816</v>
          </cell>
          <cell r="M191">
            <v>57.580229999999993</v>
          </cell>
          <cell r="N191">
            <v>57.081818181818178</v>
          </cell>
          <cell r="O191">
            <v>57.182727272727263</v>
          </cell>
          <cell r="P191">
            <v>57.182727272727263</v>
          </cell>
          <cell r="Q191">
            <v>57.182727272727263</v>
          </cell>
          <cell r="R191">
            <v>57.182727272727263</v>
          </cell>
          <cell r="S191">
            <v>57.182727272727263</v>
          </cell>
          <cell r="T191">
            <v>57.182727272727263</v>
          </cell>
          <cell r="U191">
            <v>57.182727272727263</v>
          </cell>
        </row>
        <row r="192">
          <cell r="E192" t="str">
            <v>NH Other Coal CC</v>
          </cell>
          <cell r="F192">
            <v>58.963636363636354</v>
          </cell>
          <cell r="G192">
            <v>56.4</v>
          </cell>
          <cell r="H192">
            <v>56.481818181818177</v>
          </cell>
          <cell r="I192">
            <v>55.854545454545452</v>
          </cell>
          <cell r="J192">
            <v>58.016931818181817</v>
          </cell>
          <cell r="K192">
            <v>62.018181818181816</v>
          </cell>
          <cell r="L192">
            <v>62.018181818181816</v>
          </cell>
          <cell r="M192">
            <v>58.016931818181817</v>
          </cell>
          <cell r="N192">
            <v>56.481818181818177</v>
          </cell>
          <cell r="O192">
            <v>55.917272727272724</v>
          </cell>
          <cell r="P192">
            <v>55.917272727272724</v>
          </cell>
          <cell r="Q192">
            <v>55.917272727272724</v>
          </cell>
          <cell r="R192">
            <v>55.917272727272724</v>
          </cell>
          <cell r="S192">
            <v>55.917272727272724</v>
          </cell>
          <cell r="T192">
            <v>55.917272727272724</v>
          </cell>
          <cell r="U192">
            <v>55.917272727272724</v>
          </cell>
        </row>
        <row r="193">
          <cell r="E193" t="str">
            <v>NJ Other Coal CC</v>
          </cell>
          <cell r="F193">
            <v>56.7</v>
          </cell>
          <cell r="G193">
            <v>56.645454545454541</v>
          </cell>
          <cell r="H193">
            <v>56.536363636363639</v>
          </cell>
          <cell r="I193">
            <v>56.72727272727272</v>
          </cell>
          <cell r="J193">
            <v>57.354545454545452</v>
          </cell>
          <cell r="K193">
            <v>61.990909090909092</v>
          </cell>
          <cell r="L193">
            <v>62.018181818181816</v>
          </cell>
          <cell r="M193">
            <v>62.01273272727272</v>
          </cell>
          <cell r="N193">
            <v>60.335454545454539</v>
          </cell>
          <cell r="O193">
            <v>60.024545454545454</v>
          </cell>
          <cell r="P193">
            <v>60.024545454545454</v>
          </cell>
          <cell r="Q193">
            <v>60.024545454545454</v>
          </cell>
          <cell r="R193">
            <v>60.024545454545454</v>
          </cell>
          <cell r="S193">
            <v>60.024545454545454</v>
          </cell>
          <cell r="T193">
            <v>60.024545454545454</v>
          </cell>
          <cell r="U193">
            <v>60.024545454545454</v>
          </cell>
        </row>
        <row r="194">
          <cell r="E194" t="str">
            <v>NM Other Coal CC</v>
          </cell>
          <cell r="F194">
            <v>58.009090909090901</v>
          </cell>
          <cell r="G194">
            <v>58.009090909090901</v>
          </cell>
          <cell r="H194">
            <v>58.009090909090901</v>
          </cell>
          <cell r="I194">
            <v>58.009090909090901</v>
          </cell>
          <cell r="J194">
            <v>58.009090909090901</v>
          </cell>
          <cell r="K194">
            <v>58.009090909090901</v>
          </cell>
          <cell r="L194">
            <v>58.009090909090901</v>
          </cell>
          <cell r="M194">
            <v>58.014545454545448</v>
          </cell>
          <cell r="N194">
            <v>56.236363636363627</v>
          </cell>
          <cell r="O194">
            <v>56.236363636363627</v>
          </cell>
          <cell r="P194">
            <v>56.236363636363627</v>
          </cell>
          <cell r="Q194">
            <v>56.236363636363627</v>
          </cell>
          <cell r="R194">
            <v>56.236363636363627</v>
          </cell>
          <cell r="S194">
            <v>56.236363636363627</v>
          </cell>
          <cell r="T194">
            <v>56.236363636363627</v>
          </cell>
          <cell r="U194">
            <v>56.236363636363627</v>
          </cell>
        </row>
        <row r="195">
          <cell r="E195" t="str">
            <v>NV Other Coal CC</v>
          </cell>
          <cell r="F195">
            <v>55.663636363636357</v>
          </cell>
          <cell r="G195">
            <v>55.663636363636357</v>
          </cell>
          <cell r="H195">
            <v>55.663636363636357</v>
          </cell>
          <cell r="I195">
            <v>55.663636363636357</v>
          </cell>
          <cell r="J195">
            <v>55.663636363636357</v>
          </cell>
          <cell r="K195">
            <v>56.781818181818174</v>
          </cell>
          <cell r="L195">
            <v>56.809090909090905</v>
          </cell>
          <cell r="M195">
            <v>55.855047272727269</v>
          </cell>
          <cell r="N195">
            <v>56.018181818181816</v>
          </cell>
          <cell r="O195">
            <v>55.742727272727265</v>
          </cell>
          <cell r="P195">
            <v>55.742727272727265</v>
          </cell>
          <cell r="Q195">
            <v>55.742727272727265</v>
          </cell>
          <cell r="R195">
            <v>55.742727272727265</v>
          </cell>
          <cell r="S195">
            <v>55.742727272727265</v>
          </cell>
          <cell r="T195">
            <v>55.742727272727265</v>
          </cell>
          <cell r="U195">
            <v>55.742727272727265</v>
          </cell>
        </row>
        <row r="196">
          <cell r="E196" t="str">
            <v>NY Other Coal CC</v>
          </cell>
          <cell r="F196">
            <v>56.427272727272722</v>
          </cell>
          <cell r="G196">
            <v>56.427272727272722</v>
          </cell>
          <cell r="H196">
            <v>56.454545454545453</v>
          </cell>
          <cell r="I196">
            <v>56.4</v>
          </cell>
          <cell r="J196">
            <v>56.454545454545453</v>
          </cell>
          <cell r="K196">
            <v>56.509090909090901</v>
          </cell>
          <cell r="L196">
            <v>56.536363636363639</v>
          </cell>
          <cell r="M196">
            <v>56.496261818181814</v>
          </cell>
          <cell r="N196">
            <v>56.345454545454537</v>
          </cell>
          <cell r="O196">
            <v>56.211818181818181</v>
          </cell>
          <cell r="P196">
            <v>56.211818181818181</v>
          </cell>
          <cell r="Q196">
            <v>56.211818181818181</v>
          </cell>
          <cell r="R196">
            <v>56.211818181818181</v>
          </cell>
          <cell r="S196">
            <v>56.211818181818181</v>
          </cell>
          <cell r="T196">
            <v>56.211818181818181</v>
          </cell>
          <cell r="U196">
            <v>56.211818181818181</v>
          </cell>
        </row>
        <row r="197">
          <cell r="E197" t="str">
            <v>OH Other Coal CC</v>
          </cell>
          <cell r="F197">
            <v>55.8</v>
          </cell>
          <cell r="G197">
            <v>55.827272727272721</v>
          </cell>
          <cell r="H197">
            <v>55.772727272727266</v>
          </cell>
          <cell r="I197">
            <v>55.854545454545452</v>
          </cell>
          <cell r="J197">
            <v>55.881818181818183</v>
          </cell>
          <cell r="K197">
            <v>55.772727272727266</v>
          </cell>
          <cell r="L197">
            <v>55.827272727272721</v>
          </cell>
          <cell r="M197">
            <v>55.779823636363631</v>
          </cell>
          <cell r="N197">
            <v>55.540909090909089</v>
          </cell>
          <cell r="O197">
            <v>55.570909090909083</v>
          </cell>
          <cell r="P197">
            <v>55.570909090909083</v>
          </cell>
          <cell r="Q197">
            <v>55.570909090909083</v>
          </cell>
          <cell r="R197">
            <v>55.570909090909083</v>
          </cell>
          <cell r="S197">
            <v>55.570909090909083</v>
          </cell>
          <cell r="T197">
            <v>55.570909090909083</v>
          </cell>
          <cell r="U197">
            <v>55.570909090909083</v>
          </cell>
        </row>
        <row r="198">
          <cell r="E198" t="str">
            <v>OK Other Coal CC</v>
          </cell>
          <cell r="F198">
            <v>56.672727272727272</v>
          </cell>
          <cell r="G198">
            <v>56.590909090909086</v>
          </cell>
          <cell r="H198">
            <v>56.590909090909086</v>
          </cell>
          <cell r="I198">
            <v>56.590909090909086</v>
          </cell>
          <cell r="J198">
            <v>57.027272727272724</v>
          </cell>
          <cell r="K198">
            <v>56.672727272727272</v>
          </cell>
          <cell r="L198">
            <v>56.75454545454545</v>
          </cell>
          <cell r="M198">
            <v>56.733059999999995</v>
          </cell>
          <cell r="N198">
            <v>55.461818181818181</v>
          </cell>
          <cell r="O198">
            <v>56.176363636363632</v>
          </cell>
          <cell r="P198">
            <v>56.176363636363632</v>
          </cell>
          <cell r="Q198">
            <v>56.176363636363632</v>
          </cell>
          <cell r="R198">
            <v>56.176363636363632</v>
          </cell>
          <cell r="S198">
            <v>56.176363636363632</v>
          </cell>
          <cell r="T198">
            <v>56.176363636363632</v>
          </cell>
          <cell r="U198">
            <v>56.176363636363632</v>
          </cell>
        </row>
        <row r="199">
          <cell r="E199" t="str">
            <v>OR Other Coal CC</v>
          </cell>
          <cell r="F199">
            <v>58.009090909090901</v>
          </cell>
          <cell r="G199">
            <v>58.009090909090901</v>
          </cell>
          <cell r="H199">
            <v>57.68181818181818</v>
          </cell>
          <cell r="I199">
            <v>58.036363636363632</v>
          </cell>
          <cell r="J199">
            <v>57.381818181818176</v>
          </cell>
          <cell r="K199">
            <v>58.090909090909086</v>
          </cell>
          <cell r="L199">
            <v>57.954545454545453</v>
          </cell>
          <cell r="M199">
            <v>57.946145454545452</v>
          </cell>
          <cell r="N199">
            <v>58.009090909090901</v>
          </cell>
          <cell r="O199">
            <v>55.835454545454539</v>
          </cell>
          <cell r="P199">
            <v>55.835454545454539</v>
          </cell>
          <cell r="Q199">
            <v>55.835454545454539</v>
          </cell>
          <cell r="R199">
            <v>55.835454545454539</v>
          </cell>
          <cell r="S199">
            <v>55.835454545454539</v>
          </cell>
          <cell r="T199">
            <v>55.835454545454539</v>
          </cell>
          <cell r="U199">
            <v>55.835454545454539</v>
          </cell>
        </row>
        <row r="200">
          <cell r="E200" t="str">
            <v>PA Other Coal CC</v>
          </cell>
          <cell r="F200">
            <v>56.672727272727272</v>
          </cell>
          <cell r="G200">
            <v>56.836363636363636</v>
          </cell>
          <cell r="H200">
            <v>56.86363636363636</v>
          </cell>
          <cell r="I200">
            <v>56.290909090909089</v>
          </cell>
          <cell r="J200">
            <v>56.427272727272722</v>
          </cell>
          <cell r="K200">
            <v>56.481818181818177</v>
          </cell>
          <cell r="L200">
            <v>56.454545454545453</v>
          </cell>
          <cell r="M200">
            <v>56.547714545454546</v>
          </cell>
          <cell r="N200">
            <v>56.79</v>
          </cell>
          <cell r="O200">
            <v>56.746363636363633</v>
          </cell>
          <cell r="P200">
            <v>56.746363636363633</v>
          </cell>
          <cell r="Q200">
            <v>56.746363636363633</v>
          </cell>
          <cell r="R200">
            <v>56.746363636363633</v>
          </cell>
          <cell r="S200">
            <v>56.746363636363633</v>
          </cell>
          <cell r="T200">
            <v>56.746363636363633</v>
          </cell>
          <cell r="U200">
            <v>56.746363636363633</v>
          </cell>
        </row>
        <row r="201">
          <cell r="E201" t="str">
            <v>RI Other Coal CC</v>
          </cell>
          <cell r="F201">
            <v>62.018181818181816</v>
          </cell>
          <cell r="G201">
            <v>59.10886363636363</v>
          </cell>
          <cell r="H201">
            <v>59.10886363636363</v>
          </cell>
          <cell r="I201">
            <v>62.018181818181816</v>
          </cell>
          <cell r="J201">
            <v>59.10886363636363</v>
          </cell>
          <cell r="K201">
            <v>59.10886363636363</v>
          </cell>
          <cell r="L201">
            <v>59.10886363636363</v>
          </cell>
          <cell r="M201">
            <v>59.10886363636363</v>
          </cell>
          <cell r="N201">
            <v>56.481818181818177</v>
          </cell>
          <cell r="O201">
            <v>55.917272727272724</v>
          </cell>
          <cell r="P201">
            <v>55.917272727272724</v>
          </cell>
          <cell r="Q201">
            <v>55.917272727272724</v>
          </cell>
          <cell r="R201">
            <v>55.917272727272724</v>
          </cell>
          <cell r="S201">
            <v>55.917272727272724</v>
          </cell>
          <cell r="T201">
            <v>55.917272727272724</v>
          </cell>
          <cell r="U201">
            <v>55.917272727272724</v>
          </cell>
        </row>
        <row r="202">
          <cell r="E202" t="str">
            <v>SC Other Coal CC</v>
          </cell>
          <cell r="F202">
            <v>55.990909090909092</v>
          </cell>
          <cell r="G202">
            <v>55.990909090909092</v>
          </cell>
          <cell r="H202">
            <v>55.990909090909092</v>
          </cell>
          <cell r="I202">
            <v>55.990909090909092</v>
          </cell>
          <cell r="J202">
            <v>56.04545454545454</v>
          </cell>
          <cell r="K202">
            <v>56.018181818181816</v>
          </cell>
          <cell r="L202">
            <v>56.018181818181816</v>
          </cell>
          <cell r="M202">
            <v>56.032516363636361</v>
          </cell>
          <cell r="N202">
            <v>56.056363636363628</v>
          </cell>
          <cell r="O202">
            <v>56.04</v>
          </cell>
          <cell r="P202">
            <v>56.04</v>
          </cell>
          <cell r="Q202">
            <v>56.04</v>
          </cell>
          <cell r="R202">
            <v>56.04</v>
          </cell>
          <cell r="S202">
            <v>56.04</v>
          </cell>
          <cell r="T202">
            <v>56.04</v>
          </cell>
          <cell r="U202">
            <v>56.04</v>
          </cell>
        </row>
        <row r="203">
          <cell r="E203" t="str">
            <v>SD Other Coal CC</v>
          </cell>
          <cell r="F203">
            <v>58.009090909090901</v>
          </cell>
          <cell r="G203">
            <v>57.981818181818177</v>
          </cell>
          <cell r="H203">
            <v>58.009090909090901</v>
          </cell>
          <cell r="I203">
            <v>58.009090909090901</v>
          </cell>
          <cell r="J203">
            <v>58.009090909090901</v>
          </cell>
          <cell r="K203">
            <v>58.009090909090901</v>
          </cell>
          <cell r="L203">
            <v>58.009090909090901</v>
          </cell>
          <cell r="M203">
            <v>57.976783636363628</v>
          </cell>
          <cell r="N203">
            <v>57.272727272727266</v>
          </cell>
          <cell r="O203">
            <v>56.97</v>
          </cell>
          <cell r="P203">
            <v>56.97</v>
          </cell>
          <cell r="Q203">
            <v>56.97</v>
          </cell>
          <cell r="R203">
            <v>56.97</v>
          </cell>
          <cell r="S203">
            <v>56.97</v>
          </cell>
          <cell r="T203">
            <v>56.97</v>
          </cell>
          <cell r="U203">
            <v>56.97</v>
          </cell>
        </row>
        <row r="204">
          <cell r="E204" t="str">
            <v>TN Other Coal CC</v>
          </cell>
          <cell r="F204">
            <v>55.963636363636354</v>
          </cell>
          <cell r="G204">
            <v>55.963636363636354</v>
          </cell>
          <cell r="H204">
            <v>56.04545454545454</v>
          </cell>
          <cell r="I204">
            <v>56.018181818181816</v>
          </cell>
          <cell r="J204">
            <v>55.963636363636354</v>
          </cell>
          <cell r="K204">
            <v>55.990909090909092</v>
          </cell>
          <cell r="L204">
            <v>55.990909090909092</v>
          </cell>
          <cell r="M204">
            <v>55.945210909090903</v>
          </cell>
          <cell r="N204">
            <v>55.958181818181814</v>
          </cell>
          <cell r="O204">
            <v>55.982727272727274</v>
          </cell>
          <cell r="P204">
            <v>55.982727272727274</v>
          </cell>
          <cell r="Q204">
            <v>55.982727272727274</v>
          </cell>
          <cell r="R204">
            <v>55.982727272727274</v>
          </cell>
          <cell r="S204">
            <v>55.982727272727274</v>
          </cell>
          <cell r="T204">
            <v>55.982727272727274</v>
          </cell>
          <cell r="U204">
            <v>55.982727272727274</v>
          </cell>
        </row>
        <row r="205">
          <cell r="E205" t="str">
            <v>TX Other Coal CC</v>
          </cell>
          <cell r="F205">
            <v>57.954545454545453</v>
          </cell>
          <cell r="G205">
            <v>57.845454545454537</v>
          </cell>
          <cell r="H205">
            <v>57.9</v>
          </cell>
          <cell r="I205">
            <v>57.845454545454537</v>
          </cell>
          <cell r="J205">
            <v>57.845454545454537</v>
          </cell>
          <cell r="K205">
            <v>57.954545454545453</v>
          </cell>
          <cell r="L205">
            <v>57.818181818181813</v>
          </cell>
          <cell r="M205">
            <v>57.81509181818182</v>
          </cell>
          <cell r="N205">
            <v>57.36272727272727</v>
          </cell>
          <cell r="O205">
            <v>57.376363636363628</v>
          </cell>
          <cell r="P205">
            <v>57.376363636363628</v>
          </cell>
          <cell r="Q205">
            <v>57.376363636363628</v>
          </cell>
          <cell r="R205">
            <v>57.376363636363628</v>
          </cell>
          <cell r="S205">
            <v>57.376363636363628</v>
          </cell>
          <cell r="T205">
            <v>57.376363636363628</v>
          </cell>
          <cell r="U205">
            <v>57.376363636363628</v>
          </cell>
        </row>
        <row r="206">
          <cell r="E206" t="str">
            <v>US Other Coal CC</v>
          </cell>
          <cell r="F206">
            <v>56.4</v>
          </cell>
          <cell r="G206">
            <v>56.427272727272722</v>
          </cell>
          <cell r="H206">
            <v>56.481818181818177</v>
          </cell>
          <cell r="I206">
            <v>56.454545454545453</v>
          </cell>
          <cell r="J206">
            <v>56.509090909090901</v>
          </cell>
          <cell r="K206">
            <v>56.509090909090901</v>
          </cell>
          <cell r="L206">
            <v>56.454545454545453</v>
          </cell>
          <cell r="M206">
            <v>56.499981818181809</v>
          </cell>
          <cell r="N206">
            <v>56.43545454545454</v>
          </cell>
          <cell r="O206">
            <v>56.451818181818183</v>
          </cell>
          <cell r="P206">
            <v>56.451818181818183</v>
          </cell>
          <cell r="Q206">
            <v>56.451818181818183</v>
          </cell>
          <cell r="R206">
            <v>56.451818181818183</v>
          </cell>
          <cell r="S206">
            <v>56.451818181818183</v>
          </cell>
          <cell r="T206">
            <v>56.451818181818183</v>
          </cell>
          <cell r="U206">
            <v>56.451818181818183</v>
          </cell>
        </row>
        <row r="207">
          <cell r="E207" t="str">
            <v>UT Other Coal CC</v>
          </cell>
          <cell r="F207">
            <v>55.690909090909081</v>
          </cell>
          <cell r="G207">
            <v>55.663636363636357</v>
          </cell>
          <cell r="H207">
            <v>55.663636363636357</v>
          </cell>
          <cell r="I207">
            <v>55.8</v>
          </cell>
          <cell r="J207">
            <v>56.209090909090904</v>
          </cell>
          <cell r="K207">
            <v>56.18181818181818</v>
          </cell>
          <cell r="L207">
            <v>55.663636363636357</v>
          </cell>
          <cell r="M207">
            <v>55.817601818181814</v>
          </cell>
          <cell r="N207">
            <v>55.742727272727265</v>
          </cell>
          <cell r="O207">
            <v>55.75363636363636</v>
          </cell>
          <cell r="P207">
            <v>55.75363636363636</v>
          </cell>
          <cell r="Q207">
            <v>55.75363636363636</v>
          </cell>
          <cell r="R207">
            <v>55.75363636363636</v>
          </cell>
          <cell r="S207">
            <v>55.75363636363636</v>
          </cell>
          <cell r="T207">
            <v>55.75363636363636</v>
          </cell>
          <cell r="U207">
            <v>55.75363636363636</v>
          </cell>
        </row>
        <row r="208">
          <cell r="E208" t="str">
            <v>VA Other Coal CC</v>
          </cell>
          <cell r="F208">
            <v>56.154545454545449</v>
          </cell>
          <cell r="G208">
            <v>56.154545454545449</v>
          </cell>
          <cell r="H208">
            <v>56.236363636363627</v>
          </cell>
          <cell r="I208">
            <v>56.154545454545449</v>
          </cell>
          <cell r="J208">
            <v>56.18181818181818</v>
          </cell>
          <cell r="K208">
            <v>56.18181818181818</v>
          </cell>
          <cell r="L208">
            <v>56.154545454545449</v>
          </cell>
          <cell r="M208">
            <v>56.141822727272725</v>
          </cell>
          <cell r="N208">
            <v>56.19</v>
          </cell>
          <cell r="O208">
            <v>56.315454545454543</v>
          </cell>
          <cell r="P208">
            <v>56.315454545454543</v>
          </cell>
          <cell r="Q208">
            <v>56.315454545454543</v>
          </cell>
          <cell r="R208">
            <v>56.315454545454543</v>
          </cell>
          <cell r="S208">
            <v>56.315454545454543</v>
          </cell>
          <cell r="T208">
            <v>56.315454545454543</v>
          </cell>
          <cell r="U208">
            <v>56.315454545454543</v>
          </cell>
        </row>
        <row r="209">
          <cell r="E209" t="str">
            <v>VT Other Coal CC</v>
          </cell>
          <cell r="F209">
            <v>61.718181818181819</v>
          </cell>
          <cell r="G209">
            <v>56.236363636363627</v>
          </cell>
          <cell r="H209">
            <v>57.872727272727268</v>
          </cell>
          <cell r="I209">
            <v>56.1</v>
          </cell>
          <cell r="J209">
            <v>57.387727272727268</v>
          </cell>
          <cell r="K209">
            <v>57.387727272727268</v>
          </cell>
          <cell r="L209">
            <v>57.387727272727268</v>
          </cell>
          <cell r="M209">
            <v>57.387727272727268</v>
          </cell>
          <cell r="N209">
            <v>56.481818181818177</v>
          </cell>
          <cell r="O209">
            <v>55.917272727272724</v>
          </cell>
          <cell r="P209">
            <v>55.917272727272724</v>
          </cell>
          <cell r="Q209">
            <v>55.917272727272724</v>
          </cell>
          <cell r="R209">
            <v>55.917272727272724</v>
          </cell>
          <cell r="S209">
            <v>55.917272727272724</v>
          </cell>
          <cell r="T209">
            <v>55.917272727272724</v>
          </cell>
          <cell r="U209">
            <v>55.917272727272724</v>
          </cell>
        </row>
        <row r="210">
          <cell r="E210" t="str">
            <v>WA Other Coal CC</v>
          </cell>
          <cell r="F210">
            <v>56.7</v>
          </cell>
          <cell r="G210">
            <v>56.345454545454537</v>
          </cell>
          <cell r="H210">
            <v>56.127272727272725</v>
          </cell>
          <cell r="I210">
            <v>56.04545454545454</v>
          </cell>
          <cell r="J210">
            <v>56.209090909090904</v>
          </cell>
          <cell r="K210">
            <v>56.290909090909089</v>
          </cell>
          <cell r="L210">
            <v>56.263636363636365</v>
          </cell>
          <cell r="M210">
            <v>55.985942727272722</v>
          </cell>
          <cell r="N210">
            <v>55.68</v>
          </cell>
          <cell r="O210">
            <v>55.723636363636359</v>
          </cell>
          <cell r="P210">
            <v>55.723636363636359</v>
          </cell>
          <cell r="Q210">
            <v>55.723636363636359</v>
          </cell>
          <cell r="R210">
            <v>55.723636363636359</v>
          </cell>
          <cell r="S210">
            <v>55.723636363636359</v>
          </cell>
          <cell r="T210">
            <v>55.723636363636359</v>
          </cell>
          <cell r="U210">
            <v>55.723636363636359</v>
          </cell>
        </row>
        <row r="211">
          <cell r="E211" t="str">
            <v>WI Other Coal CC</v>
          </cell>
          <cell r="F211">
            <v>56.209090909090904</v>
          </cell>
          <cell r="G211">
            <v>56.154545454545449</v>
          </cell>
          <cell r="H211">
            <v>56.209090909090904</v>
          </cell>
          <cell r="I211">
            <v>56.318181818181813</v>
          </cell>
          <cell r="J211">
            <v>56.18181818181818</v>
          </cell>
          <cell r="K211">
            <v>56.154545454545449</v>
          </cell>
          <cell r="L211">
            <v>56.236363636363627</v>
          </cell>
          <cell r="M211">
            <v>57.185757272727265</v>
          </cell>
          <cell r="N211">
            <v>56.053636363636357</v>
          </cell>
          <cell r="O211">
            <v>56.018181818181816</v>
          </cell>
          <cell r="P211">
            <v>56.018181818181816</v>
          </cell>
          <cell r="Q211">
            <v>56.018181818181816</v>
          </cell>
          <cell r="R211">
            <v>56.018181818181816</v>
          </cell>
          <cell r="S211">
            <v>56.018181818181816</v>
          </cell>
          <cell r="T211">
            <v>56.018181818181816</v>
          </cell>
          <cell r="U211">
            <v>56.018181818181816</v>
          </cell>
        </row>
        <row r="212">
          <cell r="E212" t="str">
            <v>WV Other Coal CC</v>
          </cell>
          <cell r="F212">
            <v>56.290909090909089</v>
          </cell>
          <cell r="G212">
            <v>56.318181818181813</v>
          </cell>
          <cell r="H212">
            <v>56.345454545454537</v>
          </cell>
          <cell r="I212">
            <v>56.318181818181813</v>
          </cell>
          <cell r="J212">
            <v>56.4</v>
          </cell>
          <cell r="K212">
            <v>56.427272727272722</v>
          </cell>
          <cell r="L212">
            <v>56.454545454545453</v>
          </cell>
          <cell r="M212">
            <v>56.468269090909089</v>
          </cell>
          <cell r="N212">
            <v>56.34</v>
          </cell>
          <cell r="O212">
            <v>56.34</v>
          </cell>
          <cell r="P212">
            <v>56.34</v>
          </cell>
          <cell r="Q212">
            <v>56.34</v>
          </cell>
          <cell r="R212">
            <v>56.34</v>
          </cell>
          <cell r="S212">
            <v>56.34</v>
          </cell>
          <cell r="T212">
            <v>56.34</v>
          </cell>
          <cell r="U212">
            <v>56.34</v>
          </cell>
        </row>
        <row r="213">
          <cell r="E213" t="str">
            <v>WY Other Coal CC</v>
          </cell>
          <cell r="F213">
            <v>57.872727272727268</v>
          </cell>
          <cell r="G213">
            <v>57.9</v>
          </cell>
          <cell r="H213">
            <v>57.954545454545453</v>
          </cell>
          <cell r="I213">
            <v>57.981818181818177</v>
          </cell>
          <cell r="J213">
            <v>57.981818181818177</v>
          </cell>
          <cell r="K213">
            <v>57.954545454545453</v>
          </cell>
          <cell r="L213">
            <v>58.009090909090901</v>
          </cell>
          <cell r="M213">
            <v>58.017479999999999</v>
          </cell>
          <cell r="N213">
            <v>57.883636363636363</v>
          </cell>
          <cell r="O213">
            <v>57.889090909090903</v>
          </cell>
          <cell r="P213">
            <v>57.889090909090903</v>
          </cell>
          <cell r="Q213">
            <v>57.889090909090903</v>
          </cell>
          <cell r="R213">
            <v>57.889090909090903</v>
          </cell>
          <cell r="S213">
            <v>57.889090909090903</v>
          </cell>
          <cell r="T213">
            <v>57.889090909090903</v>
          </cell>
          <cell r="U213">
            <v>57.889090909090903</v>
          </cell>
        </row>
        <row r="214">
          <cell r="E214" t="str">
            <v>AL Total Consumption Coal CC</v>
          </cell>
          <cell r="F214">
            <v>55.990909090909092</v>
          </cell>
          <cell r="G214">
            <v>56.018181818181816</v>
          </cell>
          <cell r="H214">
            <v>56.018181818181816</v>
          </cell>
          <cell r="I214">
            <v>56.018181818181816</v>
          </cell>
          <cell r="J214">
            <v>56.018181818181816</v>
          </cell>
          <cell r="K214">
            <v>56.154545454545449</v>
          </cell>
          <cell r="L214">
            <v>56.127272727272725</v>
          </cell>
          <cell r="M214">
            <v>56.22670909090909</v>
          </cell>
          <cell r="N214">
            <v>56.018181818181816</v>
          </cell>
          <cell r="O214">
            <v>55.472727272727269</v>
          </cell>
          <cell r="P214">
            <v>55.472727272727269</v>
          </cell>
          <cell r="Q214">
            <v>55.472727272727269</v>
          </cell>
          <cell r="R214">
            <v>55.472727272727269</v>
          </cell>
          <cell r="S214">
            <v>55.472727272727269</v>
          </cell>
          <cell r="T214">
            <v>55.472727272727269</v>
          </cell>
          <cell r="U214">
            <v>55.472727272727269</v>
          </cell>
        </row>
        <row r="215">
          <cell r="E215" t="str">
            <v>AK Total Consumption Coal CC</v>
          </cell>
          <cell r="F215">
            <v>58.36363636363636</v>
          </cell>
          <cell r="G215">
            <v>58.36363636363636</v>
          </cell>
          <cell r="H215">
            <v>58.36363636363636</v>
          </cell>
          <cell r="I215">
            <v>58.36363636363636</v>
          </cell>
          <cell r="J215">
            <v>58.390909090909084</v>
          </cell>
          <cell r="K215">
            <v>58.36363636363636</v>
          </cell>
          <cell r="L215">
            <v>58.36363636363636</v>
          </cell>
          <cell r="M215">
            <v>58.36363636363636</v>
          </cell>
          <cell r="N215">
            <v>57.845454545454537</v>
          </cell>
          <cell r="O215">
            <v>57.818181818181813</v>
          </cell>
          <cell r="P215">
            <v>57.818181818181813</v>
          </cell>
          <cell r="Q215">
            <v>57.818181818181813</v>
          </cell>
          <cell r="R215">
            <v>57.818181818181813</v>
          </cell>
          <cell r="S215">
            <v>57.818181818181813</v>
          </cell>
          <cell r="T215">
            <v>57.818181818181813</v>
          </cell>
          <cell r="U215">
            <v>57.818181818181813</v>
          </cell>
        </row>
        <row r="216">
          <cell r="E216" t="str">
            <v>AR Total Consumption Coal CC</v>
          </cell>
          <cell r="F216">
            <v>57.954545454545453</v>
          </cell>
          <cell r="G216">
            <v>57.954545454545453</v>
          </cell>
          <cell r="H216">
            <v>57.954545454545453</v>
          </cell>
          <cell r="I216">
            <v>57.954545454545453</v>
          </cell>
          <cell r="J216">
            <v>57.954545454545453</v>
          </cell>
          <cell r="K216">
            <v>57.954545454545453</v>
          </cell>
          <cell r="L216">
            <v>57.954545454545453</v>
          </cell>
          <cell r="M216">
            <v>57.959105454545451</v>
          </cell>
          <cell r="N216">
            <v>56.18181818181818</v>
          </cell>
          <cell r="O216">
            <v>56.209090909090904</v>
          </cell>
          <cell r="P216">
            <v>56.209090909090904</v>
          </cell>
          <cell r="Q216">
            <v>56.209090909090904</v>
          </cell>
          <cell r="R216">
            <v>56.209090909090904</v>
          </cell>
          <cell r="S216">
            <v>56.209090909090904</v>
          </cell>
          <cell r="T216">
            <v>56.209090909090904</v>
          </cell>
          <cell r="U216">
            <v>56.209090909090904</v>
          </cell>
        </row>
        <row r="217">
          <cell r="E217" t="str">
            <v>AZ Total Consumption Coal CC</v>
          </cell>
          <cell r="F217">
            <v>56.645454545454541</v>
          </cell>
          <cell r="G217">
            <v>56.645454545454541</v>
          </cell>
          <cell r="H217">
            <v>56.61818181818181</v>
          </cell>
          <cell r="I217">
            <v>56.563636363636363</v>
          </cell>
          <cell r="J217">
            <v>56.590909090909086</v>
          </cell>
          <cell r="K217">
            <v>56.61818181818181</v>
          </cell>
          <cell r="L217">
            <v>56.590909090909086</v>
          </cell>
          <cell r="M217">
            <v>56.572281818181814</v>
          </cell>
          <cell r="N217">
            <v>56.72727272727272</v>
          </cell>
          <cell r="O217">
            <v>56.154545454545449</v>
          </cell>
          <cell r="P217">
            <v>56.154545454545449</v>
          </cell>
          <cell r="Q217">
            <v>56.154545454545449</v>
          </cell>
          <cell r="R217">
            <v>56.154545454545449</v>
          </cell>
          <cell r="S217">
            <v>56.154545454545449</v>
          </cell>
          <cell r="T217">
            <v>56.154545454545449</v>
          </cell>
          <cell r="U217">
            <v>56.154545454545449</v>
          </cell>
        </row>
        <row r="218">
          <cell r="E218" t="str">
            <v>CA Total Consumption Coal CC</v>
          </cell>
          <cell r="F218">
            <v>55.8</v>
          </cell>
          <cell r="G218">
            <v>55.8</v>
          </cell>
          <cell r="H218">
            <v>55.663636363636357</v>
          </cell>
          <cell r="I218">
            <v>55.663636363636357</v>
          </cell>
          <cell r="J218">
            <v>55.663636363636357</v>
          </cell>
          <cell r="K218">
            <v>55.663636363636357</v>
          </cell>
          <cell r="L218">
            <v>55.663636363636357</v>
          </cell>
          <cell r="M218">
            <v>55.705047272727263</v>
          </cell>
          <cell r="N218">
            <v>55.8</v>
          </cell>
          <cell r="O218">
            <v>55.8</v>
          </cell>
          <cell r="P218">
            <v>55.8</v>
          </cell>
          <cell r="Q218">
            <v>55.8</v>
          </cell>
          <cell r="R218">
            <v>55.8</v>
          </cell>
          <cell r="S218">
            <v>55.8</v>
          </cell>
          <cell r="T218">
            <v>55.8</v>
          </cell>
          <cell r="U218">
            <v>55.8</v>
          </cell>
        </row>
        <row r="219">
          <cell r="E219" t="str">
            <v>CO Total Consumption Coal CC</v>
          </cell>
          <cell r="F219">
            <v>57.272727272727266</v>
          </cell>
          <cell r="G219">
            <v>57.272727272727266</v>
          </cell>
          <cell r="H219">
            <v>57.245454545454542</v>
          </cell>
          <cell r="I219">
            <v>57.272727272727266</v>
          </cell>
          <cell r="J219">
            <v>57.245454545454542</v>
          </cell>
          <cell r="K219">
            <v>57.272727272727266</v>
          </cell>
          <cell r="L219">
            <v>57.3</v>
          </cell>
          <cell r="M219">
            <v>57.297605454545447</v>
          </cell>
          <cell r="N219">
            <v>56.236363636363627</v>
          </cell>
          <cell r="O219">
            <v>55.881818181818183</v>
          </cell>
          <cell r="P219">
            <v>55.881818181818183</v>
          </cell>
          <cell r="Q219">
            <v>55.881818181818183</v>
          </cell>
          <cell r="R219">
            <v>55.881818181818183</v>
          </cell>
          <cell r="S219">
            <v>55.881818181818183</v>
          </cell>
          <cell r="T219">
            <v>55.881818181818183</v>
          </cell>
          <cell r="U219">
            <v>55.881818181818183</v>
          </cell>
        </row>
        <row r="220">
          <cell r="E220" t="str">
            <v>CT Total Consumption Coal CC</v>
          </cell>
          <cell r="F220">
            <v>55.93636363636363</v>
          </cell>
          <cell r="G220">
            <v>55.93636363636363</v>
          </cell>
          <cell r="H220">
            <v>55.963636363636354</v>
          </cell>
          <cell r="I220">
            <v>56.04545454545454</v>
          </cell>
          <cell r="J220">
            <v>55.990909090909092</v>
          </cell>
          <cell r="K220">
            <v>55.909090909090907</v>
          </cell>
          <cell r="L220">
            <v>55.881818181818183</v>
          </cell>
          <cell r="M220">
            <v>56.000708181818176</v>
          </cell>
          <cell r="N220">
            <v>55.445454545454545</v>
          </cell>
          <cell r="O220">
            <v>61.881818181818176</v>
          </cell>
          <cell r="P220">
            <v>61.881818181818176</v>
          </cell>
          <cell r="Q220">
            <v>61.881818181818176</v>
          </cell>
          <cell r="R220">
            <v>61.881818181818176</v>
          </cell>
          <cell r="S220">
            <v>61.881818181818176</v>
          </cell>
          <cell r="T220">
            <v>61.881818181818176</v>
          </cell>
          <cell r="U220">
            <v>61.881818181818176</v>
          </cell>
        </row>
        <row r="221">
          <cell r="E221" t="str">
            <v>DC Total Consumption Coal CC</v>
          </cell>
          <cell r="F221">
            <v>56.290909090909089</v>
          </cell>
          <cell r="G221">
            <v>56.04545454545454</v>
          </cell>
          <cell r="H221">
            <v>56.263636363636365</v>
          </cell>
          <cell r="I221">
            <v>56.290909090909089</v>
          </cell>
          <cell r="J221">
            <v>56.318181818181813</v>
          </cell>
          <cell r="K221">
            <v>56.672727272727272</v>
          </cell>
          <cell r="L221">
            <v>56.509090909090901</v>
          </cell>
          <cell r="M221">
            <v>56.497767272727266</v>
          </cell>
          <cell r="N221">
            <v>56.361084545454545</v>
          </cell>
          <cell r="O221">
            <v>56.361084545454545</v>
          </cell>
          <cell r="P221">
            <v>56.361084545454545</v>
          </cell>
          <cell r="Q221">
            <v>56.361084545454545</v>
          </cell>
          <cell r="R221">
            <v>56.361084545454545</v>
          </cell>
          <cell r="S221">
            <v>56.361084545454545</v>
          </cell>
          <cell r="T221">
            <v>56.361084545454545</v>
          </cell>
          <cell r="U221">
            <v>56.361084545454545</v>
          </cell>
        </row>
        <row r="222">
          <cell r="E222" t="str">
            <v>DE Total Consumption Coal CC</v>
          </cell>
          <cell r="F222">
            <v>56.345454545454537</v>
          </cell>
          <cell r="G222">
            <v>56.372727272727268</v>
          </cell>
          <cell r="H222">
            <v>56.454545454545453</v>
          </cell>
          <cell r="I222">
            <v>56.427272727272722</v>
          </cell>
          <cell r="J222">
            <v>56.481818181818177</v>
          </cell>
          <cell r="K222">
            <v>56.536363636363639</v>
          </cell>
          <cell r="L222">
            <v>56.536363636363639</v>
          </cell>
          <cell r="M222">
            <v>56.453397272727265</v>
          </cell>
          <cell r="N222">
            <v>56.563636363636363</v>
          </cell>
          <cell r="O222">
            <v>56.236363636363627</v>
          </cell>
          <cell r="P222">
            <v>56.236363636363627</v>
          </cell>
          <cell r="Q222">
            <v>56.236363636363627</v>
          </cell>
          <cell r="R222">
            <v>56.236363636363627</v>
          </cell>
          <cell r="S222">
            <v>56.236363636363627</v>
          </cell>
          <cell r="T222">
            <v>56.236363636363627</v>
          </cell>
          <cell r="U222">
            <v>56.236363636363627</v>
          </cell>
        </row>
        <row r="223">
          <cell r="E223" t="str">
            <v>FL Total Consumption Coal CC</v>
          </cell>
          <cell r="F223">
            <v>55.772727272727266</v>
          </cell>
          <cell r="G223">
            <v>55.772727272727266</v>
          </cell>
          <cell r="H223">
            <v>55.772727272727266</v>
          </cell>
          <cell r="I223">
            <v>55.772727272727266</v>
          </cell>
          <cell r="J223">
            <v>55.8</v>
          </cell>
          <cell r="K223">
            <v>55.8</v>
          </cell>
          <cell r="L223">
            <v>55.8</v>
          </cell>
          <cell r="M223">
            <v>55.854649090909085</v>
          </cell>
          <cell r="N223">
            <v>55.854545454545452</v>
          </cell>
          <cell r="O223">
            <v>55.36363636363636</v>
          </cell>
          <cell r="P223">
            <v>55.36363636363636</v>
          </cell>
          <cell r="Q223">
            <v>55.36363636363636</v>
          </cell>
          <cell r="R223">
            <v>55.36363636363636</v>
          </cell>
          <cell r="S223">
            <v>55.36363636363636</v>
          </cell>
          <cell r="T223">
            <v>55.36363636363636</v>
          </cell>
          <cell r="U223">
            <v>55.36363636363636</v>
          </cell>
        </row>
        <row r="224">
          <cell r="E224" t="str">
            <v>GA Total Consumption Coal CC</v>
          </cell>
          <cell r="F224">
            <v>55.963636363636354</v>
          </cell>
          <cell r="G224">
            <v>55.963636363636354</v>
          </cell>
          <cell r="H224">
            <v>55.854545454545452</v>
          </cell>
          <cell r="I224">
            <v>55.990909090909092</v>
          </cell>
          <cell r="J224">
            <v>56.209090909090904</v>
          </cell>
          <cell r="K224">
            <v>56.209090909090904</v>
          </cell>
          <cell r="L224">
            <v>56.318181818181813</v>
          </cell>
          <cell r="M224">
            <v>56.265807272727272</v>
          </cell>
          <cell r="N224">
            <v>55.881818181818183</v>
          </cell>
          <cell r="O224">
            <v>55.445454545454545</v>
          </cell>
          <cell r="P224">
            <v>55.445454545454545</v>
          </cell>
          <cell r="Q224">
            <v>55.445454545454545</v>
          </cell>
          <cell r="R224">
            <v>55.445454545454545</v>
          </cell>
          <cell r="S224">
            <v>55.445454545454545</v>
          </cell>
          <cell r="T224">
            <v>55.445454545454545</v>
          </cell>
          <cell r="U224">
            <v>55.445454545454545</v>
          </cell>
        </row>
        <row r="225">
          <cell r="E225" t="str">
            <v>HI Total Consumption Coal CC</v>
          </cell>
          <cell r="F225">
            <v>55.745454545454542</v>
          </cell>
          <cell r="G225">
            <v>55.745454545454542</v>
          </cell>
          <cell r="H225">
            <v>55.745454545454542</v>
          </cell>
          <cell r="I225">
            <v>55.745454545454542</v>
          </cell>
          <cell r="J225">
            <v>55.745454545454542</v>
          </cell>
          <cell r="K225">
            <v>55.745454545454542</v>
          </cell>
          <cell r="L225">
            <v>55.745454545454542</v>
          </cell>
          <cell r="M225">
            <v>55.73157545454545</v>
          </cell>
          <cell r="N225">
            <v>55.663636363636357</v>
          </cell>
          <cell r="O225">
            <v>55.663636363636357</v>
          </cell>
          <cell r="P225">
            <v>55.663636363636357</v>
          </cell>
          <cell r="Q225">
            <v>55.663636363636357</v>
          </cell>
          <cell r="R225">
            <v>55.663636363636357</v>
          </cell>
          <cell r="S225">
            <v>55.663636363636357</v>
          </cell>
          <cell r="T225">
            <v>55.663636363636357</v>
          </cell>
          <cell r="U225">
            <v>55.663636363636357</v>
          </cell>
        </row>
        <row r="226">
          <cell r="E226" t="str">
            <v>IA Total Consumption Coal CC</v>
          </cell>
          <cell r="F226">
            <v>57.190909090909081</v>
          </cell>
          <cell r="G226">
            <v>57.245454545454542</v>
          </cell>
          <cell r="H226">
            <v>57.463636363636354</v>
          </cell>
          <cell r="I226">
            <v>57.627272727272725</v>
          </cell>
          <cell r="J226">
            <v>57.54545454545454</v>
          </cell>
          <cell r="K226">
            <v>57.6</v>
          </cell>
          <cell r="L226">
            <v>57.572727272727263</v>
          </cell>
          <cell r="M226">
            <v>57.570602727272721</v>
          </cell>
          <cell r="N226">
            <v>56.645454545454541</v>
          </cell>
          <cell r="O226">
            <v>56.072727272727271</v>
          </cell>
          <cell r="P226">
            <v>56.072727272727271</v>
          </cell>
          <cell r="Q226">
            <v>56.072727272727271</v>
          </cell>
          <cell r="R226">
            <v>56.072727272727271</v>
          </cell>
          <cell r="S226">
            <v>56.072727272727271</v>
          </cell>
          <cell r="T226">
            <v>56.072727272727271</v>
          </cell>
          <cell r="U226">
            <v>56.072727272727271</v>
          </cell>
        </row>
        <row r="227">
          <cell r="E227" t="str">
            <v>ID Total Consumption Coal CC</v>
          </cell>
          <cell r="F227">
            <v>57.572727272727263</v>
          </cell>
          <cell r="G227">
            <v>57.572727272727263</v>
          </cell>
          <cell r="H227">
            <v>57.627272727272725</v>
          </cell>
          <cell r="I227">
            <v>57.409090909090907</v>
          </cell>
          <cell r="J227">
            <v>57.654545454545449</v>
          </cell>
          <cell r="K227">
            <v>57.081818181818178</v>
          </cell>
          <cell r="L227">
            <v>57.463636363636354</v>
          </cell>
          <cell r="M227">
            <v>57.77441454545454</v>
          </cell>
          <cell r="N227">
            <v>57.872727272727268</v>
          </cell>
          <cell r="O227">
            <v>56.563636363636363</v>
          </cell>
          <cell r="P227">
            <v>56.563636363636363</v>
          </cell>
          <cell r="Q227">
            <v>56.563636363636363</v>
          </cell>
          <cell r="R227">
            <v>56.563636363636363</v>
          </cell>
          <cell r="S227">
            <v>56.563636363636363</v>
          </cell>
          <cell r="T227">
            <v>56.563636363636363</v>
          </cell>
          <cell r="U227">
            <v>56.563636363636363</v>
          </cell>
        </row>
        <row r="228">
          <cell r="E228" t="str">
            <v>IL Total Consumption Coal CC</v>
          </cell>
          <cell r="F228">
            <v>56.018181818181816</v>
          </cell>
          <cell r="G228">
            <v>56.127272727272725</v>
          </cell>
          <cell r="H228">
            <v>56.154545454545449</v>
          </cell>
          <cell r="I228">
            <v>56.318181818181813</v>
          </cell>
          <cell r="J228">
            <v>56.427272727272722</v>
          </cell>
          <cell r="K228">
            <v>56.536363636363639</v>
          </cell>
          <cell r="L228">
            <v>56.563636363636363</v>
          </cell>
          <cell r="M228">
            <v>56.612080909090906</v>
          </cell>
          <cell r="N228">
            <v>55.663636363636357</v>
          </cell>
          <cell r="O228">
            <v>55.581818181818178</v>
          </cell>
          <cell r="P228">
            <v>55.581818181818178</v>
          </cell>
          <cell r="Q228">
            <v>55.581818181818178</v>
          </cell>
          <cell r="R228">
            <v>55.581818181818178</v>
          </cell>
          <cell r="S228">
            <v>55.581818181818178</v>
          </cell>
          <cell r="T228">
            <v>55.581818181818178</v>
          </cell>
          <cell r="U228">
            <v>55.581818181818178</v>
          </cell>
        </row>
        <row r="229">
          <cell r="E229" t="str">
            <v>IN Total Consumption Coal CC</v>
          </cell>
          <cell r="F229">
            <v>56.018181818181816</v>
          </cell>
          <cell r="G229">
            <v>56.04545454545454</v>
          </cell>
          <cell r="H229">
            <v>56.04545454545454</v>
          </cell>
          <cell r="I229">
            <v>56.1</v>
          </cell>
          <cell r="J229">
            <v>56.154545454545449</v>
          </cell>
          <cell r="K229">
            <v>56.263636363636365</v>
          </cell>
          <cell r="L229">
            <v>56.263636363636365</v>
          </cell>
          <cell r="M229">
            <v>56.227510909090903</v>
          </cell>
          <cell r="N229">
            <v>55.745454545454542</v>
          </cell>
          <cell r="O229">
            <v>55.390909090909084</v>
          </cell>
          <cell r="P229">
            <v>55.390909090909084</v>
          </cell>
          <cell r="Q229">
            <v>55.390909090909084</v>
          </cell>
          <cell r="R229">
            <v>55.390909090909084</v>
          </cell>
          <cell r="S229">
            <v>55.390909090909084</v>
          </cell>
          <cell r="T229">
            <v>55.390909090909084</v>
          </cell>
          <cell r="U229">
            <v>55.390909090909084</v>
          </cell>
        </row>
        <row r="230">
          <cell r="E230" t="str">
            <v>KS Total Consumption Coal CC</v>
          </cell>
          <cell r="F230">
            <v>57.43636363636363</v>
          </cell>
          <cell r="G230">
            <v>57.409090909090907</v>
          </cell>
          <cell r="H230">
            <v>57.490909090909092</v>
          </cell>
          <cell r="I230">
            <v>57.763636363636365</v>
          </cell>
          <cell r="J230">
            <v>57.627272727272725</v>
          </cell>
          <cell r="K230">
            <v>57.654545454545449</v>
          </cell>
          <cell r="L230">
            <v>57.54545454545454</v>
          </cell>
          <cell r="M230">
            <v>57.63859363636363</v>
          </cell>
          <cell r="N230">
            <v>55.445454545454545</v>
          </cell>
          <cell r="O230">
            <v>55.718181818181819</v>
          </cell>
          <cell r="P230">
            <v>55.718181818181819</v>
          </cell>
          <cell r="Q230">
            <v>55.718181818181819</v>
          </cell>
          <cell r="R230">
            <v>55.718181818181819</v>
          </cell>
          <cell r="S230">
            <v>55.718181818181819</v>
          </cell>
          <cell r="T230">
            <v>55.718181818181819</v>
          </cell>
          <cell r="U230">
            <v>55.718181818181819</v>
          </cell>
        </row>
        <row r="231">
          <cell r="E231" t="str">
            <v>KY Total Consumption Coal CC</v>
          </cell>
          <cell r="F231">
            <v>55.718181818181819</v>
          </cell>
          <cell r="G231">
            <v>55.745454545454542</v>
          </cell>
          <cell r="H231">
            <v>55.690909090909081</v>
          </cell>
          <cell r="I231">
            <v>55.745454545454542</v>
          </cell>
          <cell r="J231">
            <v>55.745454545454542</v>
          </cell>
          <cell r="K231">
            <v>55.772727272727266</v>
          </cell>
          <cell r="L231">
            <v>55.8</v>
          </cell>
          <cell r="M231">
            <v>55.819734545454544</v>
          </cell>
          <cell r="N231">
            <v>55.93636363636363</v>
          </cell>
          <cell r="O231">
            <v>55.390909090909084</v>
          </cell>
          <cell r="P231">
            <v>55.390909090909084</v>
          </cell>
          <cell r="Q231">
            <v>55.390909090909084</v>
          </cell>
          <cell r="R231">
            <v>55.390909090909084</v>
          </cell>
          <cell r="S231">
            <v>55.390909090909084</v>
          </cell>
          <cell r="T231">
            <v>55.390909090909084</v>
          </cell>
          <cell r="U231">
            <v>55.390909090909084</v>
          </cell>
        </row>
        <row r="232">
          <cell r="E232" t="str">
            <v>LA Total Consumption Coal CC</v>
          </cell>
          <cell r="F232">
            <v>57.927272727272722</v>
          </cell>
          <cell r="G232">
            <v>58.009090909090901</v>
          </cell>
          <cell r="H232">
            <v>58.036363636363632</v>
          </cell>
          <cell r="I232">
            <v>58.036363636363632</v>
          </cell>
          <cell r="J232">
            <v>58.036363636363632</v>
          </cell>
          <cell r="K232">
            <v>58.063636363636363</v>
          </cell>
          <cell r="L232">
            <v>58.036363636363632</v>
          </cell>
          <cell r="M232">
            <v>58.051993636363633</v>
          </cell>
          <cell r="N232">
            <v>55.909090909090907</v>
          </cell>
          <cell r="O232">
            <v>56.481818181818177</v>
          </cell>
          <cell r="P232">
            <v>56.481818181818177</v>
          </cell>
          <cell r="Q232">
            <v>56.481818181818177</v>
          </cell>
          <cell r="R232">
            <v>56.481818181818177</v>
          </cell>
          <cell r="S232">
            <v>56.481818181818177</v>
          </cell>
          <cell r="T232">
            <v>56.481818181818177</v>
          </cell>
          <cell r="U232">
            <v>56.481818181818177</v>
          </cell>
        </row>
        <row r="233">
          <cell r="E233" t="str">
            <v>MA Total Consumption Coal CC</v>
          </cell>
          <cell r="F233">
            <v>56.345454545454537</v>
          </cell>
          <cell r="G233">
            <v>56.4</v>
          </cell>
          <cell r="H233">
            <v>56.427272727272722</v>
          </cell>
          <cell r="I233">
            <v>56.427272727272722</v>
          </cell>
          <cell r="J233">
            <v>56.4</v>
          </cell>
          <cell r="K233">
            <v>56.345454545454537</v>
          </cell>
          <cell r="L233">
            <v>56.372727272727268</v>
          </cell>
          <cell r="M233">
            <v>56.315729999999995</v>
          </cell>
          <cell r="N233">
            <v>56.4</v>
          </cell>
          <cell r="O233">
            <v>55.581818181818178</v>
          </cell>
          <cell r="P233">
            <v>55.581818181818178</v>
          </cell>
          <cell r="Q233">
            <v>55.581818181818178</v>
          </cell>
          <cell r="R233">
            <v>55.581818181818178</v>
          </cell>
          <cell r="S233">
            <v>55.581818181818178</v>
          </cell>
          <cell r="T233">
            <v>55.581818181818178</v>
          </cell>
          <cell r="U233">
            <v>55.581818181818178</v>
          </cell>
        </row>
        <row r="234">
          <cell r="E234" t="str">
            <v>MD Total Consumption Coal CC</v>
          </cell>
          <cell r="F234">
            <v>56.481818181818177</v>
          </cell>
          <cell r="G234">
            <v>56.481818181818177</v>
          </cell>
          <cell r="H234">
            <v>56.481818181818177</v>
          </cell>
          <cell r="I234">
            <v>56.454545454545453</v>
          </cell>
          <cell r="J234">
            <v>56.481818181818177</v>
          </cell>
          <cell r="K234">
            <v>56.509090909090901</v>
          </cell>
          <cell r="L234">
            <v>56.481818181818177</v>
          </cell>
          <cell r="M234">
            <v>56.461868181818176</v>
          </cell>
          <cell r="N234">
            <v>56.809090909090905</v>
          </cell>
          <cell r="O234">
            <v>55.881818181818183</v>
          </cell>
          <cell r="P234">
            <v>55.881818181818183</v>
          </cell>
          <cell r="Q234">
            <v>55.881818181818183</v>
          </cell>
          <cell r="R234">
            <v>55.881818181818183</v>
          </cell>
          <cell r="S234">
            <v>55.881818181818183</v>
          </cell>
          <cell r="T234">
            <v>55.881818181818183</v>
          </cell>
          <cell r="U234">
            <v>55.881818181818183</v>
          </cell>
        </row>
        <row r="235">
          <cell r="E235" t="str">
            <v>ME Total Consumption Coal CC</v>
          </cell>
          <cell r="F235">
            <v>56.672727272727272</v>
          </cell>
          <cell r="G235">
            <v>56.072727272727271</v>
          </cell>
          <cell r="H235">
            <v>55.990909090909092</v>
          </cell>
          <cell r="I235">
            <v>55.990909090909092</v>
          </cell>
          <cell r="J235">
            <v>55.93636363636363</v>
          </cell>
          <cell r="K235">
            <v>55.963636363636354</v>
          </cell>
          <cell r="L235">
            <v>55.990909090909092</v>
          </cell>
          <cell r="M235">
            <v>55.974878181818177</v>
          </cell>
          <cell r="N235">
            <v>55.881818181818183</v>
          </cell>
          <cell r="O235">
            <v>56.236363636363627</v>
          </cell>
          <cell r="P235">
            <v>56.236363636363627</v>
          </cell>
          <cell r="Q235">
            <v>56.236363636363627</v>
          </cell>
          <cell r="R235">
            <v>56.236363636363627</v>
          </cell>
          <cell r="S235">
            <v>56.236363636363627</v>
          </cell>
          <cell r="T235">
            <v>56.236363636363627</v>
          </cell>
          <cell r="U235">
            <v>56.236363636363627</v>
          </cell>
        </row>
        <row r="236">
          <cell r="E236" t="str">
            <v>MI Total Consumption Coal CC</v>
          </cell>
          <cell r="F236">
            <v>56.781818181818174</v>
          </cell>
          <cell r="G236">
            <v>56.86363636363636</v>
          </cell>
          <cell r="H236">
            <v>56.86363636363636</v>
          </cell>
          <cell r="I236">
            <v>56.918181818181807</v>
          </cell>
          <cell r="J236">
            <v>56.86363636363636</v>
          </cell>
          <cell r="K236">
            <v>56.945454545454545</v>
          </cell>
          <cell r="L236">
            <v>57.054545454545448</v>
          </cell>
          <cell r="M236">
            <v>57.018092727272723</v>
          </cell>
          <cell r="N236">
            <v>55.990909090909092</v>
          </cell>
          <cell r="O236">
            <v>55.690909090909081</v>
          </cell>
          <cell r="P236">
            <v>55.690909090909081</v>
          </cell>
          <cell r="Q236">
            <v>55.690909090909081</v>
          </cell>
          <cell r="R236">
            <v>55.690909090909081</v>
          </cell>
          <cell r="S236">
            <v>55.690909090909081</v>
          </cell>
          <cell r="T236">
            <v>55.690909090909081</v>
          </cell>
          <cell r="U236">
            <v>55.690909090909081</v>
          </cell>
        </row>
        <row r="237">
          <cell r="E237" t="str">
            <v>MN Total Consumption Coal CC</v>
          </cell>
          <cell r="F237">
            <v>58.063636363636363</v>
          </cell>
          <cell r="G237">
            <v>58.063636363636363</v>
          </cell>
          <cell r="H237">
            <v>58.063636363636363</v>
          </cell>
          <cell r="I237">
            <v>58.063636363636363</v>
          </cell>
          <cell r="J237">
            <v>58.036363636363632</v>
          </cell>
          <cell r="K237">
            <v>58.063636363636363</v>
          </cell>
          <cell r="L237">
            <v>58.063636363636363</v>
          </cell>
          <cell r="M237">
            <v>58.057483636363635</v>
          </cell>
          <cell r="N237">
            <v>57.081818181818178</v>
          </cell>
          <cell r="O237">
            <v>56.236363636363627</v>
          </cell>
          <cell r="P237">
            <v>56.236363636363627</v>
          </cell>
          <cell r="Q237">
            <v>56.236363636363627</v>
          </cell>
          <cell r="R237">
            <v>56.236363636363627</v>
          </cell>
          <cell r="S237">
            <v>56.236363636363627</v>
          </cell>
          <cell r="T237">
            <v>56.236363636363627</v>
          </cell>
          <cell r="U237">
            <v>56.236363636363627</v>
          </cell>
        </row>
        <row r="238">
          <cell r="E238" t="str">
            <v>MO Total Consumption Coal CC</v>
          </cell>
          <cell r="F238">
            <v>56.072727272727271</v>
          </cell>
          <cell r="G238">
            <v>56.18181818181818</v>
          </cell>
          <cell r="H238">
            <v>56.209090909090904</v>
          </cell>
          <cell r="I238">
            <v>56.75454545454545</v>
          </cell>
          <cell r="J238">
            <v>56.86363636363636</v>
          </cell>
          <cell r="K238">
            <v>57.354545454545452</v>
          </cell>
          <cell r="L238">
            <v>57.463636363636354</v>
          </cell>
          <cell r="M238">
            <v>57.57614181818181</v>
          </cell>
          <cell r="N238">
            <v>55.663636363636357</v>
          </cell>
          <cell r="O238">
            <v>55.8</v>
          </cell>
          <cell r="P238">
            <v>55.8</v>
          </cell>
          <cell r="Q238">
            <v>55.8</v>
          </cell>
          <cell r="R238">
            <v>55.8</v>
          </cell>
          <cell r="S238">
            <v>55.8</v>
          </cell>
          <cell r="T238">
            <v>55.8</v>
          </cell>
          <cell r="U238">
            <v>55.8</v>
          </cell>
        </row>
        <row r="239">
          <cell r="E239" t="str">
            <v>MS Total Consumption Coal CC</v>
          </cell>
          <cell r="F239">
            <v>55.690909090909081</v>
          </cell>
          <cell r="G239">
            <v>55.745454545454542</v>
          </cell>
          <cell r="H239">
            <v>55.772727272727266</v>
          </cell>
          <cell r="I239">
            <v>55.854545454545452</v>
          </cell>
          <cell r="J239">
            <v>56.372727272727268</v>
          </cell>
          <cell r="K239">
            <v>56.372727272727268</v>
          </cell>
          <cell r="L239">
            <v>56.509090909090901</v>
          </cell>
          <cell r="M239">
            <v>56.936004545454544</v>
          </cell>
          <cell r="N239">
            <v>55.827272727272721</v>
          </cell>
          <cell r="O239">
            <v>55.336363636363636</v>
          </cell>
          <cell r="P239">
            <v>55.336363636363636</v>
          </cell>
          <cell r="Q239">
            <v>55.336363636363636</v>
          </cell>
          <cell r="R239">
            <v>55.336363636363636</v>
          </cell>
          <cell r="S239">
            <v>55.336363636363636</v>
          </cell>
          <cell r="T239">
            <v>55.336363636363636</v>
          </cell>
          <cell r="U239">
            <v>55.336363636363636</v>
          </cell>
        </row>
        <row r="240">
          <cell r="E240" t="str">
            <v>MT Total Consumption Coal CC</v>
          </cell>
          <cell r="F240">
            <v>58.22727272727272</v>
          </cell>
          <cell r="G240">
            <v>58.22727272727272</v>
          </cell>
          <cell r="H240">
            <v>58.22727272727272</v>
          </cell>
          <cell r="I240">
            <v>58.22727272727272</v>
          </cell>
          <cell r="J240">
            <v>58.22727272727272</v>
          </cell>
          <cell r="K240">
            <v>58.22727272727272</v>
          </cell>
          <cell r="L240">
            <v>58.22727272727272</v>
          </cell>
          <cell r="M240">
            <v>58.214421818181812</v>
          </cell>
          <cell r="N240">
            <v>58.581818181818178</v>
          </cell>
          <cell r="O240">
            <v>56.290909090909089</v>
          </cell>
          <cell r="P240">
            <v>56.290909090909089</v>
          </cell>
          <cell r="Q240">
            <v>56.290909090909089</v>
          </cell>
          <cell r="R240">
            <v>56.290909090909089</v>
          </cell>
          <cell r="S240">
            <v>56.290909090909089</v>
          </cell>
          <cell r="T240">
            <v>56.290909090909089</v>
          </cell>
          <cell r="U240">
            <v>56.290909090909089</v>
          </cell>
        </row>
        <row r="241">
          <cell r="E241" t="str">
            <v>NC Total Consumption Coal CC</v>
          </cell>
          <cell r="F241">
            <v>56.127272727272725</v>
          </cell>
          <cell r="G241">
            <v>56.127272727272725</v>
          </cell>
          <cell r="H241">
            <v>56.127272727272725</v>
          </cell>
          <cell r="I241">
            <v>56.1</v>
          </cell>
          <cell r="J241">
            <v>56.127272727272725</v>
          </cell>
          <cell r="K241">
            <v>56.1</v>
          </cell>
          <cell r="L241">
            <v>56.1</v>
          </cell>
          <cell r="M241">
            <v>56.105244545454546</v>
          </cell>
          <cell r="N241">
            <v>56.018181818181816</v>
          </cell>
          <cell r="O241">
            <v>55.554545454545448</v>
          </cell>
          <cell r="P241">
            <v>55.554545454545448</v>
          </cell>
          <cell r="Q241">
            <v>55.554545454545448</v>
          </cell>
          <cell r="R241">
            <v>55.554545454545448</v>
          </cell>
          <cell r="S241">
            <v>55.554545454545448</v>
          </cell>
          <cell r="T241">
            <v>55.554545454545448</v>
          </cell>
          <cell r="U241">
            <v>55.554545454545448</v>
          </cell>
        </row>
        <row r="242">
          <cell r="E242" t="str">
            <v>ND Total Consumption Coal CC</v>
          </cell>
          <cell r="F242">
            <v>59.61818181818181</v>
          </cell>
          <cell r="G242">
            <v>59.61818181818181</v>
          </cell>
          <cell r="H242">
            <v>59.61818181818181</v>
          </cell>
          <cell r="I242">
            <v>59.645454545454541</v>
          </cell>
          <cell r="J242">
            <v>59.61818181818181</v>
          </cell>
          <cell r="K242">
            <v>59.645454545454541</v>
          </cell>
          <cell r="L242">
            <v>59.645454545454541</v>
          </cell>
          <cell r="M242">
            <v>59.633149090909086</v>
          </cell>
          <cell r="N242">
            <v>59.563636363636363</v>
          </cell>
          <cell r="O242">
            <v>59.18181818181818</v>
          </cell>
          <cell r="P242">
            <v>59.18181818181818</v>
          </cell>
          <cell r="Q242">
            <v>59.18181818181818</v>
          </cell>
          <cell r="R242">
            <v>59.18181818181818</v>
          </cell>
          <cell r="S242">
            <v>59.18181818181818</v>
          </cell>
          <cell r="T242">
            <v>59.18181818181818</v>
          </cell>
          <cell r="U242">
            <v>59.18181818181818</v>
          </cell>
        </row>
        <row r="243">
          <cell r="E243" t="str">
            <v>NE Total Consumption Coal CC</v>
          </cell>
          <cell r="F243">
            <v>58.009090909090901</v>
          </cell>
          <cell r="G243">
            <v>58.009090909090901</v>
          </cell>
          <cell r="H243">
            <v>58.009090909090901</v>
          </cell>
          <cell r="I243">
            <v>58.009090909090901</v>
          </cell>
          <cell r="J243">
            <v>57.981818181818177</v>
          </cell>
          <cell r="K243">
            <v>58.009090909090901</v>
          </cell>
          <cell r="L243">
            <v>58.009090909090901</v>
          </cell>
          <cell r="M243">
            <v>57.993316363636353</v>
          </cell>
          <cell r="N243">
            <v>57.054545454545448</v>
          </cell>
          <cell r="O243">
            <v>56.209090909090904</v>
          </cell>
          <cell r="P243">
            <v>56.209090909090904</v>
          </cell>
          <cell r="Q243">
            <v>56.209090909090904</v>
          </cell>
          <cell r="R243">
            <v>56.209090909090904</v>
          </cell>
          <cell r="S243">
            <v>56.209090909090904</v>
          </cell>
          <cell r="T243">
            <v>56.209090909090904</v>
          </cell>
          <cell r="U243">
            <v>56.209090909090904</v>
          </cell>
        </row>
        <row r="244">
          <cell r="E244" t="str">
            <v>NH Total Consumption Coal CC</v>
          </cell>
          <cell r="F244">
            <v>56.481818181818177</v>
          </cell>
          <cell r="G244">
            <v>56.318181818181813</v>
          </cell>
          <cell r="H244">
            <v>56.318181818181813</v>
          </cell>
          <cell r="I244">
            <v>56.263636363636365</v>
          </cell>
          <cell r="J244">
            <v>56.236363636363627</v>
          </cell>
          <cell r="K244">
            <v>56.236363636363627</v>
          </cell>
          <cell r="L244">
            <v>56.236363636363627</v>
          </cell>
          <cell r="M244">
            <v>56.250807272727272</v>
          </cell>
          <cell r="N244">
            <v>55.418181818181814</v>
          </cell>
          <cell r="O244">
            <v>55.609090909090909</v>
          </cell>
          <cell r="P244">
            <v>55.609090909090909</v>
          </cell>
          <cell r="Q244">
            <v>55.609090909090909</v>
          </cell>
          <cell r="R244">
            <v>55.609090909090909</v>
          </cell>
          <cell r="S244">
            <v>55.609090909090909</v>
          </cell>
          <cell r="T244">
            <v>55.609090909090909</v>
          </cell>
          <cell r="U244">
            <v>55.609090909090909</v>
          </cell>
        </row>
        <row r="245">
          <cell r="E245" t="str">
            <v>NJ Total Consumption Coal CC</v>
          </cell>
          <cell r="F245">
            <v>56.427272727272722</v>
          </cell>
          <cell r="G245">
            <v>56.427272727272722</v>
          </cell>
          <cell r="H245">
            <v>56.4</v>
          </cell>
          <cell r="I245">
            <v>56.4</v>
          </cell>
          <cell r="J245">
            <v>56.372727272727268</v>
          </cell>
          <cell r="K245">
            <v>56.318181818181813</v>
          </cell>
          <cell r="L245">
            <v>56.4</v>
          </cell>
          <cell r="M245">
            <v>56.376059999999995</v>
          </cell>
          <cell r="N245">
            <v>59.4</v>
          </cell>
          <cell r="O245">
            <v>55.827272727272721</v>
          </cell>
          <cell r="P245">
            <v>55.827272727272721</v>
          </cell>
          <cell r="Q245">
            <v>55.827272727272721</v>
          </cell>
          <cell r="R245">
            <v>55.827272727272721</v>
          </cell>
          <cell r="S245">
            <v>55.827272727272721</v>
          </cell>
          <cell r="T245">
            <v>55.827272727272721</v>
          </cell>
          <cell r="U245">
            <v>55.827272727272721</v>
          </cell>
        </row>
        <row r="246">
          <cell r="E246" t="str">
            <v>NM Total Consumption Coal CC</v>
          </cell>
          <cell r="F246">
            <v>56.1</v>
          </cell>
          <cell r="G246">
            <v>56.1</v>
          </cell>
          <cell r="H246">
            <v>56.1</v>
          </cell>
          <cell r="I246">
            <v>56.1</v>
          </cell>
          <cell r="J246">
            <v>56.127272727272725</v>
          </cell>
          <cell r="K246">
            <v>56.127272727272725</v>
          </cell>
          <cell r="L246">
            <v>56.127272727272725</v>
          </cell>
          <cell r="M246">
            <v>56.114899090909084</v>
          </cell>
          <cell r="N246">
            <v>56.236363636363627</v>
          </cell>
          <cell r="O246">
            <v>56.209090909090904</v>
          </cell>
          <cell r="P246">
            <v>56.209090909090904</v>
          </cell>
          <cell r="Q246">
            <v>56.209090909090904</v>
          </cell>
          <cell r="R246">
            <v>56.209090909090904</v>
          </cell>
          <cell r="S246">
            <v>56.209090909090904</v>
          </cell>
          <cell r="T246">
            <v>56.209090909090904</v>
          </cell>
          <cell r="U246">
            <v>56.209090909090904</v>
          </cell>
        </row>
        <row r="247">
          <cell r="E247" t="str">
            <v>NV Total Consumption Coal CC</v>
          </cell>
          <cell r="F247">
            <v>56.61818181818181</v>
          </cell>
          <cell r="G247">
            <v>56.7</v>
          </cell>
          <cell r="H247">
            <v>56.809090909090905</v>
          </cell>
          <cell r="I247">
            <v>56.809090909090905</v>
          </cell>
          <cell r="J247">
            <v>56.809090909090905</v>
          </cell>
          <cell r="K247">
            <v>56.75454545454545</v>
          </cell>
          <cell r="L247">
            <v>56.645454545454541</v>
          </cell>
          <cell r="M247">
            <v>56.607586363636358</v>
          </cell>
          <cell r="N247">
            <v>55.990909090909092</v>
          </cell>
          <cell r="O247">
            <v>55.93636363636363</v>
          </cell>
          <cell r="P247">
            <v>55.93636363636363</v>
          </cell>
          <cell r="Q247">
            <v>55.93636363636363</v>
          </cell>
          <cell r="R247">
            <v>55.93636363636363</v>
          </cell>
          <cell r="S247">
            <v>55.93636363636363</v>
          </cell>
          <cell r="T247">
            <v>55.93636363636363</v>
          </cell>
          <cell r="U247">
            <v>55.93636363636363</v>
          </cell>
        </row>
        <row r="248">
          <cell r="E248" t="str">
            <v>NY Total Consumption Coal CC</v>
          </cell>
          <cell r="F248">
            <v>56.318181818181813</v>
          </cell>
          <cell r="G248">
            <v>56.318181818181813</v>
          </cell>
          <cell r="H248">
            <v>56.318181818181813</v>
          </cell>
          <cell r="I248">
            <v>56.318181818181813</v>
          </cell>
          <cell r="J248">
            <v>56.290909090909089</v>
          </cell>
          <cell r="K248">
            <v>56.345454545454537</v>
          </cell>
          <cell r="L248">
            <v>56.345454545454537</v>
          </cell>
          <cell r="M248">
            <v>56.341030909090904</v>
          </cell>
          <cell r="N248">
            <v>56.345454545454537</v>
          </cell>
          <cell r="O248">
            <v>55.909090909090907</v>
          </cell>
          <cell r="P248">
            <v>55.909090909090907</v>
          </cell>
          <cell r="Q248">
            <v>55.909090909090907</v>
          </cell>
          <cell r="R248">
            <v>55.909090909090907</v>
          </cell>
          <cell r="S248">
            <v>55.909090909090907</v>
          </cell>
          <cell r="T248">
            <v>55.909090909090907</v>
          </cell>
          <cell r="U248">
            <v>55.909090909090907</v>
          </cell>
        </row>
        <row r="249">
          <cell r="E249" t="str">
            <v>OH Total Consumption Coal CC</v>
          </cell>
          <cell r="F249">
            <v>55.827272727272721</v>
          </cell>
          <cell r="G249">
            <v>55.8</v>
          </cell>
          <cell r="H249">
            <v>55.8</v>
          </cell>
          <cell r="I249">
            <v>55.8</v>
          </cell>
          <cell r="J249">
            <v>55.854545454545452</v>
          </cell>
          <cell r="K249">
            <v>55.909090909090907</v>
          </cell>
          <cell r="L249">
            <v>55.909090909090907</v>
          </cell>
          <cell r="M249">
            <v>55.912019999999998</v>
          </cell>
          <cell r="N249">
            <v>55.527272727272724</v>
          </cell>
          <cell r="O249">
            <v>55.390909090909084</v>
          </cell>
          <cell r="P249">
            <v>55.390909090909084</v>
          </cell>
          <cell r="Q249">
            <v>55.390909090909084</v>
          </cell>
          <cell r="R249">
            <v>55.390909090909084</v>
          </cell>
          <cell r="S249">
            <v>55.390909090909084</v>
          </cell>
          <cell r="T249">
            <v>55.390909090909084</v>
          </cell>
          <cell r="U249">
            <v>55.390909090909084</v>
          </cell>
        </row>
        <row r="250">
          <cell r="E250" t="str">
            <v>OK Total Consumption Coal CC</v>
          </cell>
          <cell r="F250">
            <v>57.790909090909089</v>
          </cell>
          <cell r="G250">
            <v>57.845454545454537</v>
          </cell>
          <cell r="H250">
            <v>57.9</v>
          </cell>
          <cell r="I250">
            <v>57.9</v>
          </cell>
          <cell r="J250">
            <v>57.954545454545453</v>
          </cell>
          <cell r="K250">
            <v>57.872727272727268</v>
          </cell>
          <cell r="L250">
            <v>57.927272727272722</v>
          </cell>
          <cell r="M250">
            <v>57.947266363636359</v>
          </cell>
          <cell r="N250">
            <v>56.263636363636365</v>
          </cell>
          <cell r="O250">
            <v>56.1</v>
          </cell>
          <cell r="P250">
            <v>56.1</v>
          </cell>
          <cell r="Q250">
            <v>56.1</v>
          </cell>
          <cell r="R250">
            <v>56.1</v>
          </cell>
          <cell r="S250">
            <v>56.1</v>
          </cell>
          <cell r="T250">
            <v>56.1</v>
          </cell>
          <cell r="U250">
            <v>56.1</v>
          </cell>
        </row>
        <row r="251">
          <cell r="E251" t="str">
            <v>OR Total Consumption Coal CC</v>
          </cell>
          <cell r="F251">
            <v>58.009090909090901</v>
          </cell>
          <cell r="G251">
            <v>58.009090909090901</v>
          </cell>
          <cell r="H251">
            <v>58.036363636363632</v>
          </cell>
          <cell r="I251">
            <v>57.927272727272722</v>
          </cell>
          <cell r="J251">
            <v>57.845454545454537</v>
          </cell>
          <cell r="K251">
            <v>58.036363636363632</v>
          </cell>
          <cell r="L251">
            <v>58.009090909090901</v>
          </cell>
          <cell r="M251">
            <v>58.002117272727268</v>
          </cell>
          <cell r="N251">
            <v>57.927272727272722</v>
          </cell>
          <cell r="O251">
            <v>55.145454545454541</v>
          </cell>
          <cell r="P251">
            <v>55.145454545454541</v>
          </cell>
          <cell r="Q251">
            <v>55.145454545454541</v>
          </cell>
          <cell r="R251">
            <v>55.145454545454541</v>
          </cell>
          <cell r="S251">
            <v>55.145454545454541</v>
          </cell>
          <cell r="T251">
            <v>55.145454545454541</v>
          </cell>
          <cell r="U251">
            <v>55.145454545454541</v>
          </cell>
        </row>
        <row r="252">
          <cell r="E252" t="str">
            <v>PA Total Consumption Coal CC</v>
          </cell>
          <cell r="F252">
            <v>56.345454545454537</v>
          </cell>
          <cell r="G252">
            <v>56.372727272727268</v>
          </cell>
          <cell r="H252">
            <v>56.372727272727268</v>
          </cell>
          <cell r="I252">
            <v>56.290909090909089</v>
          </cell>
          <cell r="J252">
            <v>56.290909090909089</v>
          </cell>
          <cell r="K252">
            <v>56.345454545454537</v>
          </cell>
          <cell r="L252">
            <v>56.318181818181813</v>
          </cell>
          <cell r="M252">
            <v>56.361779999999996</v>
          </cell>
          <cell r="N252">
            <v>56.781818181818174</v>
          </cell>
          <cell r="O252">
            <v>55.527272727272724</v>
          </cell>
          <cell r="P252">
            <v>55.527272727272724</v>
          </cell>
          <cell r="Q252">
            <v>55.527272727272724</v>
          </cell>
          <cell r="R252">
            <v>55.527272727272724</v>
          </cell>
          <cell r="S252">
            <v>55.527272727272724</v>
          </cell>
          <cell r="T252">
            <v>55.527272727272724</v>
          </cell>
          <cell r="U252">
            <v>55.527272727272724</v>
          </cell>
        </row>
        <row r="253">
          <cell r="E253" t="str">
            <v>RI Total Consumption Coal CC</v>
          </cell>
          <cell r="F253">
            <v>61.990909090909092</v>
          </cell>
          <cell r="G253">
            <v>62.018181818181816</v>
          </cell>
          <cell r="H253">
            <v>62.018181818181816</v>
          </cell>
          <cell r="I253">
            <v>61.990909090909092</v>
          </cell>
          <cell r="J253">
            <v>62.018181818181816</v>
          </cell>
          <cell r="K253">
            <v>62.018181818181816</v>
          </cell>
          <cell r="L253">
            <v>62.018181818181816</v>
          </cell>
          <cell r="M253">
            <v>61.969047272727266</v>
          </cell>
          <cell r="N253">
            <v>62.018181818181816</v>
          </cell>
          <cell r="O253">
            <v>62.018181818181816</v>
          </cell>
          <cell r="P253">
            <v>62.018181818181816</v>
          </cell>
          <cell r="Q253">
            <v>62.018181818181816</v>
          </cell>
          <cell r="R253">
            <v>62.018181818181816</v>
          </cell>
          <cell r="S253">
            <v>62.018181818181816</v>
          </cell>
          <cell r="T253">
            <v>62.018181818181816</v>
          </cell>
          <cell r="U253">
            <v>62.018181818181816</v>
          </cell>
        </row>
        <row r="254">
          <cell r="E254" t="str">
            <v>SC Total Consumption Coal CC</v>
          </cell>
          <cell r="F254">
            <v>55.909090909090907</v>
          </cell>
          <cell r="G254">
            <v>55.909090909090907</v>
          </cell>
          <cell r="H254">
            <v>55.909090909090907</v>
          </cell>
          <cell r="I254">
            <v>55.93636363636363</v>
          </cell>
          <cell r="J254">
            <v>55.93636363636363</v>
          </cell>
          <cell r="K254">
            <v>55.93636363636363</v>
          </cell>
          <cell r="L254">
            <v>55.909090909090907</v>
          </cell>
          <cell r="M254">
            <v>55.917605454545445</v>
          </cell>
          <cell r="N254">
            <v>56.04545454545454</v>
          </cell>
          <cell r="O254">
            <v>55.309090909090905</v>
          </cell>
          <cell r="P254">
            <v>55.309090909090905</v>
          </cell>
          <cell r="Q254">
            <v>55.309090909090905</v>
          </cell>
          <cell r="R254">
            <v>55.309090909090905</v>
          </cell>
          <cell r="S254">
            <v>55.309090909090905</v>
          </cell>
          <cell r="T254">
            <v>55.309090909090905</v>
          </cell>
          <cell r="U254">
            <v>55.309090909090905</v>
          </cell>
        </row>
        <row r="255">
          <cell r="E255" t="str">
            <v>SD Total Consumption Coal CC</v>
          </cell>
          <cell r="F255">
            <v>59.454545454545453</v>
          </cell>
          <cell r="G255">
            <v>59.427272727272722</v>
          </cell>
          <cell r="H255">
            <v>59.427272727272722</v>
          </cell>
          <cell r="I255">
            <v>59.372727272727268</v>
          </cell>
          <cell r="J255">
            <v>59.318181818181813</v>
          </cell>
          <cell r="K255">
            <v>58.93636363636363</v>
          </cell>
          <cell r="L255">
            <v>58.172727272727272</v>
          </cell>
          <cell r="M255">
            <v>58.164711818181814</v>
          </cell>
          <cell r="N255">
            <v>57.272727272727266</v>
          </cell>
          <cell r="O255">
            <v>56.372727272727268</v>
          </cell>
          <cell r="P255">
            <v>56.372727272727268</v>
          </cell>
          <cell r="Q255">
            <v>56.372727272727268</v>
          </cell>
          <cell r="R255">
            <v>56.372727272727268</v>
          </cell>
          <cell r="S255">
            <v>56.372727272727268</v>
          </cell>
          <cell r="T255">
            <v>56.372727272727268</v>
          </cell>
          <cell r="U255">
            <v>56.372727272727268</v>
          </cell>
        </row>
        <row r="256">
          <cell r="E256" t="str">
            <v>TN Total Consumption Coal CC</v>
          </cell>
          <cell r="F256">
            <v>55.718181818181819</v>
          </cell>
          <cell r="G256">
            <v>55.690909090909081</v>
          </cell>
          <cell r="H256">
            <v>55.690909090909081</v>
          </cell>
          <cell r="I256">
            <v>55.772727272727266</v>
          </cell>
          <cell r="J256">
            <v>55.718181818181819</v>
          </cell>
          <cell r="K256">
            <v>55.690909090909081</v>
          </cell>
          <cell r="L256">
            <v>55.718181818181819</v>
          </cell>
          <cell r="M256">
            <v>55.840497272727269</v>
          </cell>
          <cell r="N256">
            <v>55.963636363636354</v>
          </cell>
          <cell r="O256">
            <v>55.336363636363636</v>
          </cell>
          <cell r="P256">
            <v>55.336363636363636</v>
          </cell>
          <cell r="Q256">
            <v>55.336363636363636</v>
          </cell>
          <cell r="R256">
            <v>55.336363636363636</v>
          </cell>
          <cell r="S256">
            <v>55.336363636363636</v>
          </cell>
          <cell r="T256">
            <v>55.336363636363636</v>
          </cell>
          <cell r="U256">
            <v>55.336363636363636</v>
          </cell>
        </row>
        <row r="257">
          <cell r="E257" t="str">
            <v>TX Total Consumption Coal CC</v>
          </cell>
          <cell r="F257">
            <v>58.063636363636363</v>
          </cell>
          <cell r="G257">
            <v>58.063636363636363</v>
          </cell>
          <cell r="H257">
            <v>58.063636363636363</v>
          </cell>
          <cell r="I257">
            <v>58.063636363636363</v>
          </cell>
          <cell r="J257">
            <v>58.090909090909086</v>
          </cell>
          <cell r="K257">
            <v>58.036363636363632</v>
          </cell>
          <cell r="L257">
            <v>58.063636363636363</v>
          </cell>
          <cell r="M257">
            <v>58.06482272727272</v>
          </cell>
          <cell r="N257">
            <v>57.354545454545452</v>
          </cell>
          <cell r="O257">
            <v>56.836363636363636</v>
          </cell>
          <cell r="P257">
            <v>56.836363636363636</v>
          </cell>
          <cell r="Q257">
            <v>56.836363636363636</v>
          </cell>
          <cell r="R257">
            <v>56.836363636363636</v>
          </cell>
          <cell r="S257">
            <v>56.836363636363636</v>
          </cell>
          <cell r="T257">
            <v>56.836363636363636</v>
          </cell>
          <cell r="U257">
            <v>56.836363636363636</v>
          </cell>
        </row>
        <row r="258">
          <cell r="E258" t="str">
            <v>US Total Consumption Coal CC</v>
          </cell>
          <cell r="F258">
            <v>56.563636363636363</v>
          </cell>
          <cell r="G258">
            <v>56.590909090909086</v>
          </cell>
          <cell r="H258">
            <v>56.61818181818181</v>
          </cell>
          <cell r="I258">
            <v>56.645454545454541</v>
          </cell>
          <cell r="J258">
            <v>56.672727272727272</v>
          </cell>
          <cell r="K258">
            <v>56.7</v>
          </cell>
          <cell r="L258">
            <v>56.72727272727272</v>
          </cell>
          <cell r="M258">
            <v>56.736305454545452</v>
          </cell>
          <cell r="N258">
            <v>56.427272727272722</v>
          </cell>
          <cell r="O258">
            <v>55.854545454545452</v>
          </cell>
          <cell r="P258">
            <v>55.854545454545452</v>
          </cell>
          <cell r="Q258">
            <v>55.854545454545452</v>
          </cell>
          <cell r="R258">
            <v>55.854545454545452</v>
          </cell>
          <cell r="S258">
            <v>55.854545454545452</v>
          </cell>
          <cell r="T258">
            <v>55.854545454545452</v>
          </cell>
          <cell r="U258">
            <v>55.854545454545452</v>
          </cell>
        </row>
        <row r="259">
          <cell r="E259" t="str">
            <v>UT Total Consumption Coal CC</v>
          </cell>
          <cell r="F259">
            <v>55.8</v>
          </cell>
          <cell r="G259">
            <v>55.745454545454542</v>
          </cell>
          <cell r="H259">
            <v>55.745454545454542</v>
          </cell>
          <cell r="I259">
            <v>55.745454545454542</v>
          </cell>
          <cell r="J259">
            <v>55.772727272727266</v>
          </cell>
          <cell r="K259">
            <v>55.772727272727266</v>
          </cell>
          <cell r="L259">
            <v>55.8</v>
          </cell>
          <cell r="M259">
            <v>55.841830909090902</v>
          </cell>
          <cell r="N259">
            <v>55.745454545454542</v>
          </cell>
          <cell r="O259">
            <v>55.227272727272727</v>
          </cell>
          <cell r="P259">
            <v>55.227272727272727</v>
          </cell>
          <cell r="Q259">
            <v>55.227272727272727</v>
          </cell>
          <cell r="R259">
            <v>55.227272727272727</v>
          </cell>
          <cell r="S259">
            <v>55.227272727272727</v>
          </cell>
          <cell r="T259">
            <v>55.227272727272727</v>
          </cell>
          <cell r="U259">
            <v>55.227272727272727</v>
          </cell>
        </row>
        <row r="260">
          <cell r="E260" t="str">
            <v>VA Total Consumption Coal CC</v>
          </cell>
          <cell r="F260">
            <v>56.18181818181818</v>
          </cell>
          <cell r="G260">
            <v>56.18181818181818</v>
          </cell>
          <cell r="H260">
            <v>56.209090909090904</v>
          </cell>
          <cell r="I260">
            <v>56.154545454545449</v>
          </cell>
          <cell r="J260">
            <v>56.154545454545449</v>
          </cell>
          <cell r="K260">
            <v>56.18181818181818</v>
          </cell>
          <cell r="L260">
            <v>56.18181818181818</v>
          </cell>
          <cell r="M260">
            <v>56.199998181818181</v>
          </cell>
          <cell r="N260">
            <v>56.18181818181818</v>
          </cell>
          <cell r="O260">
            <v>55.745454545454542</v>
          </cell>
          <cell r="P260">
            <v>55.745454545454542</v>
          </cell>
          <cell r="Q260">
            <v>55.745454545454542</v>
          </cell>
          <cell r="R260">
            <v>55.745454545454542</v>
          </cell>
          <cell r="S260">
            <v>55.745454545454542</v>
          </cell>
          <cell r="T260">
            <v>55.745454545454542</v>
          </cell>
          <cell r="U260">
            <v>55.745454545454542</v>
          </cell>
        </row>
        <row r="261">
          <cell r="E261" t="str">
            <v>VT Total Consumption Coal CC</v>
          </cell>
          <cell r="F261">
            <v>61.93636363636363</v>
          </cell>
          <cell r="G261">
            <v>58.690909090909081</v>
          </cell>
          <cell r="H261">
            <v>59.127272727272725</v>
          </cell>
          <cell r="I261">
            <v>61.881818181818176</v>
          </cell>
          <cell r="J261">
            <v>61.963636363636354</v>
          </cell>
          <cell r="K261">
            <v>62.018181818181816</v>
          </cell>
          <cell r="L261">
            <v>61.93636363636363</v>
          </cell>
          <cell r="M261">
            <v>61.956624545454545</v>
          </cell>
          <cell r="N261">
            <v>62.018181818181816</v>
          </cell>
          <cell r="O261">
            <v>62.018181818181816</v>
          </cell>
          <cell r="P261">
            <v>62.018181818181816</v>
          </cell>
          <cell r="Q261">
            <v>62.018181818181816</v>
          </cell>
          <cell r="R261">
            <v>62.018181818181816</v>
          </cell>
          <cell r="S261">
            <v>62.018181818181816</v>
          </cell>
          <cell r="T261">
            <v>62.018181818181816</v>
          </cell>
          <cell r="U261">
            <v>62.018181818181816</v>
          </cell>
        </row>
        <row r="262">
          <cell r="E262" t="str">
            <v>WA Total Consumption Coal CC</v>
          </cell>
          <cell r="F262">
            <v>56.972727272727269</v>
          </cell>
          <cell r="G262">
            <v>56.890909090909084</v>
          </cell>
          <cell r="H262">
            <v>57.027272727272724</v>
          </cell>
          <cell r="I262">
            <v>57.081818181818178</v>
          </cell>
          <cell r="J262">
            <v>57.027272727272724</v>
          </cell>
          <cell r="K262">
            <v>57</v>
          </cell>
          <cell r="L262">
            <v>56.918181818181807</v>
          </cell>
          <cell r="M262">
            <v>56.977033636363629</v>
          </cell>
          <cell r="N262">
            <v>55.718181818181819</v>
          </cell>
          <cell r="O262">
            <v>56.209090909090904</v>
          </cell>
          <cell r="P262">
            <v>56.209090909090904</v>
          </cell>
          <cell r="Q262">
            <v>56.209090909090904</v>
          </cell>
          <cell r="R262">
            <v>56.209090909090904</v>
          </cell>
          <cell r="S262">
            <v>56.209090909090904</v>
          </cell>
          <cell r="T262">
            <v>56.209090909090904</v>
          </cell>
          <cell r="U262">
            <v>56.209090909090904</v>
          </cell>
        </row>
        <row r="263">
          <cell r="E263" t="str">
            <v>WI Total Consumption Coal CC</v>
          </cell>
          <cell r="F263">
            <v>57.109090909090909</v>
          </cell>
          <cell r="G263">
            <v>57.081818181818178</v>
          </cell>
          <cell r="H263">
            <v>57.136363636363633</v>
          </cell>
          <cell r="I263">
            <v>57.354545454545452</v>
          </cell>
          <cell r="J263">
            <v>57.245454545454542</v>
          </cell>
          <cell r="K263">
            <v>57.354545454545452</v>
          </cell>
          <cell r="L263">
            <v>57.490909090909092</v>
          </cell>
          <cell r="M263">
            <v>57.491697272727265</v>
          </cell>
          <cell r="N263">
            <v>56.04545454545454</v>
          </cell>
          <cell r="O263">
            <v>56.018181818181816</v>
          </cell>
          <cell r="P263">
            <v>56.018181818181816</v>
          </cell>
          <cell r="Q263">
            <v>56.018181818181816</v>
          </cell>
          <cell r="R263">
            <v>56.018181818181816</v>
          </cell>
          <cell r="S263">
            <v>56.018181818181816</v>
          </cell>
          <cell r="T263">
            <v>56.018181818181816</v>
          </cell>
          <cell r="U263">
            <v>56.018181818181816</v>
          </cell>
        </row>
        <row r="264">
          <cell r="E264" t="str">
            <v>WV Total Consumption Coal CC</v>
          </cell>
          <cell r="F264">
            <v>56.427272727272722</v>
          </cell>
          <cell r="G264">
            <v>56.454545454545453</v>
          </cell>
          <cell r="H264">
            <v>56.454545454545453</v>
          </cell>
          <cell r="I264">
            <v>56.454545454545453</v>
          </cell>
          <cell r="J264">
            <v>56.481818181818177</v>
          </cell>
          <cell r="K264">
            <v>56.454545454545453</v>
          </cell>
          <cell r="L264">
            <v>56.454545454545453</v>
          </cell>
          <cell r="M264">
            <v>56.460984545454536</v>
          </cell>
          <cell r="N264">
            <v>56.318181818181813</v>
          </cell>
          <cell r="O264">
            <v>55.93636363636363</v>
          </cell>
          <cell r="P264">
            <v>55.93636363636363</v>
          </cell>
          <cell r="Q264">
            <v>55.93636363636363</v>
          </cell>
          <cell r="R264">
            <v>55.93636363636363</v>
          </cell>
          <cell r="S264">
            <v>55.93636363636363</v>
          </cell>
          <cell r="T264">
            <v>55.93636363636363</v>
          </cell>
          <cell r="U264">
            <v>55.93636363636363</v>
          </cell>
        </row>
        <row r="265">
          <cell r="E265" t="str">
            <v>WY Total Consumption Coal CC</v>
          </cell>
          <cell r="F265">
            <v>57.818181818181813</v>
          </cell>
          <cell r="G265">
            <v>57.845454545454537</v>
          </cell>
          <cell r="H265">
            <v>57.845454545454537</v>
          </cell>
          <cell r="I265">
            <v>57.845454545454537</v>
          </cell>
          <cell r="J265">
            <v>57.818181818181813</v>
          </cell>
          <cell r="K265">
            <v>57.818181818181813</v>
          </cell>
          <cell r="L265">
            <v>57.818181818181813</v>
          </cell>
          <cell r="M265">
            <v>57.814189090909082</v>
          </cell>
          <cell r="N265">
            <v>57.872727272727268</v>
          </cell>
          <cell r="O265">
            <v>56.290909090909089</v>
          </cell>
          <cell r="P265">
            <v>56.290909090909089</v>
          </cell>
          <cell r="Q265">
            <v>56.290909090909089</v>
          </cell>
          <cell r="R265">
            <v>56.290909090909089</v>
          </cell>
          <cell r="S265">
            <v>56.290909090909089</v>
          </cell>
          <cell r="T265">
            <v>56.290909090909089</v>
          </cell>
          <cell r="U265">
            <v>56.290909090909089</v>
          </cell>
        </row>
        <row r="268">
          <cell r="E268" t="str">
            <v>Electric Power Sector National Average</v>
          </cell>
          <cell r="F268">
            <v>56.820606060606053</v>
          </cell>
          <cell r="G268">
            <v>56.86484848484848</v>
          </cell>
          <cell r="H268">
            <v>56.876363636363621</v>
          </cell>
          <cell r="I268">
            <v>56.9181818181818</v>
          </cell>
          <cell r="J268">
            <v>56.917134848484835</v>
          </cell>
          <cell r="K268">
            <v>56.953939393939393</v>
          </cell>
          <cell r="L268">
            <v>56.943030303030284</v>
          </cell>
          <cell r="M268">
            <v>56.948631515151547</v>
          </cell>
          <cell r="N268">
            <v>55.789090909090909</v>
          </cell>
          <cell r="O268">
            <v>55.837883892255896</v>
          </cell>
          <cell r="P268">
            <v>55.837883892255896</v>
          </cell>
          <cell r="Q268">
            <v>55.837883892255896</v>
          </cell>
          <cell r="R268">
            <v>55.837883892255896</v>
          </cell>
          <cell r="S268">
            <v>55.837883892255896</v>
          </cell>
          <cell r="T268">
            <v>55.837883892255896</v>
          </cell>
          <cell r="U268">
            <v>55.837883892255896</v>
          </cell>
        </row>
      </sheetData>
      <sheetData sheetId="15" refreshError="1"/>
      <sheetData sheetId="16" refreshError="1">
        <row r="8">
          <cell r="A8" t="str">
            <v>Fuel Type</v>
          </cell>
          <cell r="B8">
            <v>1990</v>
          </cell>
          <cell r="C8">
            <v>1991</v>
          </cell>
          <cell r="D8">
            <v>1992</v>
          </cell>
          <cell r="E8">
            <v>1993</v>
          </cell>
          <cell r="F8">
            <v>1994</v>
          </cell>
          <cell r="G8">
            <v>1995</v>
          </cell>
          <cell r="H8">
            <v>1996</v>
          </cell>
          <cell r="I8">
            <v>1997</v>
          </cell>
          <cell r="J8">
            <v>1998</v>
          </cell>
          <cell r="K8">
            <v>1999</v>
          </cell>
          <cell r="L8">
            <v>2000</v>
          </cell>
          <cell r="M8">
            <v>2001</v>
          </cell>
          <cell r="N8">
            <v>2002</v>
          </cell>
          <cell r="O8">
            <v>2003</v>
          </cell>
          <cell r="P8">
            <v>2004</v>
          </cell>
          <cell r="Q8">
            <v>2005</v>
          </cell>
        </row>
        <row r="9">
          <cell r="A9" t="str">
            <v>LPG</v>
          </cell>
          <cell r="B9">
            <v>37.459183442557688</v>
          </cell>
          <cell r="C9">
            <v>37.44237751769208</v>
          </cell>
          <cell r="D9">
            <v>37.465559134770238</v>
          </cell>
          <cell r="E9">
            <v>37.426074978408074</v>
          </cell>
          <cell r="F9">
            <v>37.512290812079797</v>
          </cell>
          <cell r="G9">
            <v>37.477716550112021</v>
          </cell>
          <cell r="H9">
            <v>37.458610124258023</v>
          </cell>
          <cell r="I9">
            <v>37.470729393144573</v>
          </cell>
          <cell r="J9">
            <v>37.467979745660536</v>
          </cell>
          <cell r="K9">
            <v>37.469330844262053</v>
          </cell>
          <cell r="L9">
            <v>37.449919874099493</v>
          </cell>
          <cell r="M9">
            <v>37.466252276680748</v>
          </cell>
          <cell r="N9">
            <v>37.454057213788957</v>
          </cell>
          <cell r="O9">
            <v>37.454057213788957</v>
          </cell>
          <cell r="P9">
            <v>37.454057213788957</v>
          </cell>
          <cell r="Q9">
            <v>37.454057213788957</v>
          </cell>
        </row>
        <row r="10">
          <cell r="A10" t="str">
            <v>LPG (energy use)</v>
          </cell>
          <cell r="B10">
            <v>37.957018597645295</v>
          </cell>
          <cell r="C10">
            <v>37.948465205742153</v>
          </cell>
          <cell r="D10">
            <v>37.955621868175989</v>
          </cell>
          <cell r="E10">
            <v>37.964405666262742</v>
          </cell>
          <cell r="F10">
            <v>37.961214893574535</v>
          </cell>
          <cell r="G10">
            <v>37.931250110434547</v>
          </cell>
          <cell r="H10">
            <v>37.921876654345148</v>
          </cell>
          <cell r="I10">
            <v>37.882675955687155</v>
          </cell>
          <cell r="J10">
            <v>37.98764448187498</v>
          </cell>
          <cell r="K10">
            <v>38.037514646602453</v>
          </cell>
          <cell r="L10">
            <v>37.927772998862025</v>
          </cell>
          <cell r="M10">
            <v>37.941790547502812</v>
          </cell>
          <cell r="N10">
            <v>37.929199211051589</v>
          </cell>
          <cell r="O10">
            <v>37.939754205272507</v>
          </cell>
          <cell r="P10">
            <v>37.916627000311884</v>
          </cell>
          <cell r="Q10">
            <v>37.914823416404261</v>
          </cell>
        </row>
        <row r="11">
          <cell r="A11" t="str">
            <v>LPG (non-energy use)</v>
          </cell>
          <cell r="B11">
            <v>37.100888217629311</v>
          </cell>
          <cell r="C11">
            <v>37.123234020688948</v>
          </cell>
          <cell r="D11">
            <v>37.130667899562944</v>
          </cell>
          <cell r="E11">
            <v>37.04854520130781</v>
          </cell>
          <cell r="F11">
            <v>37.230926411021564</v>
          </cell>
          <cell r="G11">
            <v>37.207112513952332</v>
          </cell>
          <cell r="H11">
            <v>37.166272468233018</v>
          </cell>
          <cell r="I11">
            <v>37.210314727437819</v>
          </cell>
          <cell r="J11">
            <v>37.211133609774372</v>
          </cell>
          <cell r="K11">
            <v>37.12386242208477</v>
          </cell>
          <cell r="L11">
            <v>37.072200093491034</v>
          </cell>
          <cell r="M11">
            <v>37.106237593017177</v>
          </cell>
          <cell r="N11">
            <v>37.084447490755089</v>
          </cell>
          <cell r="O11">
            <v>37.138166451022613</v>
          </cell>
          <cell r="P11">
            <v>37.063915370414101</v>
          </cell>
          <cell r="Q11">
            <v>37.066433466384936</v>
          </cell>
        </row>
        <row r="12">
          <cell r="A12" t="str">
            <v>Motor Gasoline</v>
          </cell>
          <cell r="B12">
            <v>42.799050000000001</v>
          </cell>
          <cell r="C12">
            <v>42.799050000000001</v>
          </cell>
          <cell r="D12">
            <v>42.821100000000008</v>
          </cell>
          <cell r="E12">
            <v>42.843150000000001</v>
          </cell>
          <cell r="F12">
            <v>42.887250000000002</v>
          </cell>
          <cell r="G12">
            <v>42.732900000000001</v>
          </cell>
          <cell r="H12">
            <v>42.688800000000001</v>
          </cell>
          <cell r="I12">
            <v>42.666750000000008</v>
          </cell>
          <cell r="J12">
            <v>42.62265</v>
          </cell>
          <cell r="K12">
            <v>42.62265</v>
          </cell>
          <cell r="L12">
            <v>42.6447</v>
          </cell>
          <cell r="M12">
            <v>42.6447</v>
          </cell>
          <cell r="N12">
            <v>42.666750000000008</v>
          </cell>
          <cell r="O12">
            <v>42.62265</v>
          </cell>
          <cell r="P12">
            <v>42.62265</v>
          </cell>
          <cell r="Q12">
            <v>42.62265</v>
          </cell>
        </row>
        <row r="13">
          <cell r="A13" t="str">
            <v>Jet Fuel, Kerosene</v>
          </cell>
          <cell r="B13">
            <v>42.778009996798417</v>
          </cell>
          <cell r="C13">
            <v>42.777967293251422</v>
          </cell>
          <cell r="D13">
            <v>42.751553999700022</v>
          </cell>
          <cell r="E13">
            <v>42.721391375126991</v>
          </cell>
          <cell r="F13">
            <v>42.662497365314884</v>
          </cell>
          <cell r="G13">
            <v>42.637279043246416</v>
          </cell>
          <cell r="H13">
            <v>42.625219031567866</v>
          </cell>
          <cell r="I13">
            <v>42.625219031514924</v>
          </cell>
          <cell r="J13">
            <v>42.625219031514924</v>
          </cell>
          <cell r="K13">
            <v>42.625219031514924</v>
          </cell>
          <cell r="L13">
            <v>42.625219031514924</v>
          </cell>
          <cell r="M13">
            <v>42.625219031514924</v>
          </cell>
          <cell r="N13">
            <v>42.625219031514924</v>
          </cell>
          <cell r="O13">
            <v>42.625219031514924</v>
          </cell>
          <cell r="P13">
            <v>42.625219031514924</v>
          </cell>
          <cell r="Q13">
            <v>42.625219031514924</v>
          </cell>
        </row>
        <row r="14">
          <cell r="A14" t="str">
            <v>Motor Gasoline Blending Components</v>
          </cell>
          <cell r="B14">
            <v>42.799050000000001</v>
          </cell>
          <cell r="C14">
            <v>42.799050000000001</v>
          </cell>
          <cell r="D14">
            <v>42.821100000000008</v>
          </cell>
          <cell r="E14">
            <v>42.843150000000001</v>
          </cell>
          <cell r="F14">
            <v>42.887250000000002</v>
          </cell>
          <cell r="G14">
            <v>42.732900000000001</v>
          </cell>
          <cell r="H14">
            <v>42.688800000000001</v>
          </cell>
          <cell r="I14">
            <v>42.666750000000008</v>
          </cell>
          <cell r="J14">
            <v>42.62265</v>
          </cell>
          <cell r="K14">
            <v>42.62265</v>
          </cell>
          <cell r="L14">
            <v>42.6447</v>
          </cell>
          <cell r="M14">
            <v>42.6447</v>
          </cell>
          <cell r="N14">
            <v>42.666750000000008</v>
          </cell>
          <cell r="O14">
            <v>42.62265</v>
          </cell>
          <cell r="P14">
            <v>42.62265</v>
          </cell>
          <cell r="Q14">
            <v>42.62265</v>
          </cell>
        </row>
        <row r="15">
          <cell r="A15" t="str">
            <v>Misc. Petro Products</v>
          </cell>
          <cell r="B15">
            <v>44.445690726197292</v>
          </cell>
          <cell r="C15">
            <v>44.499920226505992</v>
          </cell>
          <cell r="D15">
            <v>44.584529508726142</v>
          </cell>
          <cell r="E15">
            <v>44.594566232689765</v>
          </cell>
          <cell r="F15">
            <v>44.571346423760282</v>
          </cell>
          <cell r="G15">
            <v>44.602543344267779</v>
          </cell>
          <cell r="H15">
            <v>44.646045568706967</v>
          </cell>
          <cell r="I15">
            <v>44.624300894013814</v>
          </cell>
          <cell r="J15">
            <v>44.627623853298616</v>
          </cell>
          <cell r="K15">
            <v>44.519752105822008</v>
          </cell>
          <cell r="L15">
            <v>44.612601706793875</v>
          </cell>
          <cell r="M15">
            <v>44.732681638116368</v>
          </cell>
          <cell r="N15">
            <v>44.758060824274736</v>
          </cell>
          <cell r="O15">
            <v>44.710374465440154</v>
          </cell>
          <cell r="P15">
            <v>44.823453232864388</v>
          </cell>
          <cell r="Q15">
            <v>44.823453232864388</v>
          </cell>
        </row>
        <row r="16">
          <cell r="A16" t="str">
            <v>Unfinished Oils</v>
          </cell>
          <cell r="B16">
            <v>44.445690726197292</v>
          </cell>
          <cell r="C16">
            <v>44.499920226505992</v>
          </cell>
          <cell r="D16">
            <v>44.584529508726142</v>
          </cell>
          <cell r="E16">
            <v>44.594566232689765</v>
          </cell>
          <cell r="F16">
            <v>44.571346423760282</v>
          </cell>
          <cell r="G16">
            <v>44.602543344267779</v>
          </cell>
          <cell r="H16">
            <v>44.646045568706967</v>
          </cell>
          <cell r="I16">
            <v>44.624300894013814</v>
          </cell>
          <cell r="J16">
            <v>44.627623853298616</v>
          </cell>
          <cell r="K16">
            <v>44.519752105822008</v>
          </cell>
          <cell r="L16">
            <v>44.612601706793875</v>
          </cell>
          <cell r="M16">
            <v>44.732681638116368</v>
          </cell>
          <cell r="N16">
            <v>44.758060824274736</v>
          </cell>
          <cell r="O16">
            <v>44.710374465440154</v>
          </cell>
          <cell r="P16">
            <v>44.823453232864388</v>
          </cell>
          <cell r="Q16">
            <v>44.823453232864388</v>
          </cell>
        </row>
        <row r="17">
          <cell r="A17" t="str">
            <v>Crude Oil</v>
          </cell>
          <cell r="B17">
            <v>44.445690726197292</v>
          </cell>
          <cell r="C17">
            <v>44.499920226505992</v>
          </cell>
          <cell r="D17">
            <v>44.584529508726142</v>
          </cell>
          <cell r="E17">
            <v>44.594566232689765</v>
          </cell>
          <cell r="F17">
            <v>44.571346423760282</v>
          </cell>
          <cell r="G17">
            <v>44.602543344267779</v>
          </cell>
          <cell r="H17">
            <v>44.646045568706967</v>
          </cell>
          <cell r="I17">
            <v>44.624300894013814</v>
          </cell>
          <cell r="J17">
            <v>44.627623853298616</v>
          </cell>
          <cell r="K17">
            <v>44.519752105822008</v>
          </cell>
          <cell r="L17">
            <v>44.612601706793875</v>
          </cell>
          <cell r="M17">
            <v>44.732681638116368</v>
          </cell>
          <cell r="N17">
            <v>44.758060824274736</v>
          </cell>
          <cell r="O17">
            <v>44.710374465440154</v>
          </cell>
          <cell r="P17">
            <v>44.823453232864388</v>
          </cell>
          <cell r="Q17">
            <v>44.823453232864388</v>
          </cell>
        </row>
      </sheetData>
      <sheetData sheetId="17" refreshError="1">
        <row r="4">
          <cell r="A4" t="str">
            <v>AC</v>
          </cell>
          <cell r="B4" t="str">
            <v>Transportation</v>
          </cell>
        </row>
        <row r="5">
          <cell r="A5" t="str">
            <v>CC</v>
          </cell>
          <cell r="B5" t="str">
            <v>Commercial</v>
          </cell>
        </row>
        <row r="6">
          <cell r="A6" t="str">
            <v>EI</v>
          </cell>
          <cell r="B6" t="str">
            <v>Electric Power</v>
          </cell>
          <cell r="E6" t="str">
            <v>AB</v>
          </cell>
          <cell r="F6" t="str">
            <v>Aviation Gasoline Blending Components</v>
          </cell>
        </row>
        <row r="7">
          <cell r="A7" t="str">
            <v>ET</v>
          </cell>
          <cell r="B7" t="str">
            <v>total energy output</v>
          </cell>
          <cell r="E7" t="str">
            <v>AC</v>
          </cell>
          <cell r="F7" t="str">
            <v>Anthracite Coal</v>
          </cell>
        </row>
        <row r="8">
          <cell r="A8" t="str">
            <v>HC</v>
          </cell>
          <cell r="B8" t="str">
            <v>Res + Comm</v>
          </cell>
          <cell r="E8" t="str">
            <v>AR</v>
          </cell>
          <cell r="F8" t="str">
            <v>Asphalt and Road Oil</v>
          </cell>
        </row>
        <row r="9">
          <cell r="A9" t="str">
            <v>KC</v>
          </cell>
          <cell r="B9" t="str">
            <v>Coking</v>
          </cell>
          <cell r="E9" t="str">
            <v>AV</v>
          </cell>
          <cell r="F9" t="str">
            <v>Aviation Gasoline</v>
          </cell>
        </row>
        <row r="10">
          <cell r="A10" t="str">
            <v>OC</v>
          </cell>
          <cell r="B10" t="str">
            <v>Other</v>
          </cell>
          <cell r="E10" t="str">
            <v>BC</v>
          </cell>
          <cell r="F10" t="str">
            <v>Bituminous Coal and Lignite</v>
          </cell>
        </row>
        <row r="11">
          <cell r="A11" t="str">
            <v>IC</v>
          </cell>
          <cell r="B11" t="str">
            <v>Industrial</v>
          </cell>
          <cell r="E11" t="str">
            <v>BM</v>
          </cell>
          <cell r="F11" t="str">
            <v>Biomass</v>
          </cell>
        </row>
        <row r="12">
          <cell r="A12" t="str">
            <v>RC</v>
          </cell>
          <cell r="B12" t="str">
            <v>Residential</v>
          </cell>
          <cell r="E12" t="str">
            <v>CC</v>
          </cell>
          <cell r="F12" t="str">
            <v>Coal Coke</v>
          </cell>
        </row>
        <row r="13">
          <cell r="A13" t="str">
            <v>TC</v>
          </cell>
          <cell r="B13" t="str">
            <v>Total Consumption</v>
          </cell>
          <cell r="E13" t="str">
            <v>CD</v>
          </cell>
          <cell r="F13" t="str">
            <v>Coal CC</v>
          </cell>
        </row>
        <row r="14">
          <cell r="A14" t="str">
            <v>BF</v>
          </cell>
          <cell r="B14" t="str">
            <v>Bunker Fuels</v>
          </cell>
          <cell r="E14" t="str">
            <v>CL</v>
          </cell>
          <cell r="F14" t="str">
            <v>Coal</v>
          </cell>
        </row>
        <row r="15">
          <cell r="E15" t="str">
            <v>CO</v>
          </cell>
          <cell r="F15" t="str">
            <v>Crude Oil</v>
          </cell>
        </row>
        <row r="16">
          <cell r="E16" t="str">
            <v>DF</v>
          </cell>
          <cell r="F16" t="str">
            <v>Distillate Fuel</v>
          </cell>
        </row>
        <row r="17">
          <cell r="E17" t="str">
            <v>DK</v>
          </cell>
          <cell r="F17" t="str">
            <v>Distillate Fuel</v>
          </cell>
        </row>
        <row r="18">
          <cell r="E18" t="str">
            <v>EN</v>
          </cell>
          <cell r="F18" t="str">
            <v>Ethanol</v>
          </cell>
        </row>
        <row r="19">
          <cell r="E19" t="str">
            <v>ES</v>
          </cell>
          <cell r="F19" t="str">
            <v>Electricity Sales</v>
          </cell>
        </row>
        <row r="20">
          <cell r="E20" t="str">
            <v>EX</v>
          </cell>
          <cell r="F20" t="str">
            <v>Non-Renewable Energy</v>
          </cell>
        </row>
        <row r="21">
          <cell r="E21" t="str">
            <v>FF</v>
          </cell>
          <cell r="F21" t="str">
            <v>Fossil Fuels</v>
          </cell>
        </row>
        <row r="22">
          <cell r="E22" t="str">
            <v>FN</v>
          </cell>
          <cell r="F22" t="str">
            <v>Feedstocks, Naphtha less than 401 F</v>
          </cell>
        </row>
        <row r="23">
          <cell r="E23" t="str">
            <v>FO</v>
          </cell>
          <cell r="F23" t="str">
            <v>Feedstocks, Other Oils greater than 401 F</v>
          </cell>
        </row>
        <row r="24">
          <cell r="E24" t="str">
            <v>FS</v>
          </cell>
          <cell r="F24" t="str">
            <v>Feedstocks, Still Gas</v>
          </cell>
        </row>
        <row r="25">
          <cell r="E25" t="str">
            <v>GE</v>
          </cell>
          <cell r="F25" t="str">
            <v>Geothermal</v>
          </cell>
        </row>
        <row r="26">
          <cell r="E26" t="str">
            <v>GO</v>
          </cell>
          <cell r="F26" t="str">
            <v>Geothermal, Wind, Solar Thermal, and Photovoltaic</v>
          </cell>
        </row>
        <row r="27">
          <cell r="E27" t="str">
            <v>HY</v>
          </cell>
          <cell r="F27" t="str">
            <v>Hydroelectric</v>
          </cell>
        </row>
        <row r="28">
          <cell r="E28" t="str">
            <v>JF</v>
          </cell>
          <cell r="F28" t="str">
            <v>Jet Fuel, Total</v>
          </cell>
        </row>
        <row r="29">
          <cell r="E29" t="str">
            <v>JK</v>
          </cell>
          <cell r="F29" t="str">
            <v>Jet Fuel, Kerosene</v>
          </cell>
        </row>
        <row r="30">
          <cell r="E30" t="str">
            <v>JN</v>
          </cell>
          <cell r="F30" t="str">
            <v>Jet Fuel, Naphtha</v>
          </cell>
        </row>
        <row r="31">
          <cell r="E31" t="str">
            <v>KS</v>
          </cell>
          <cell r="F31" t="str">
            <v>Kerosene</v>
          </cell>
        </row>
        <row r="32">
          <cell r="E32" t="str">
            <v>LG</v>
          </cell>
          <cell r="F32" t="str">
            <v>LPG</v>
          </cell>
        </row>
        <row r="33">
          <cell r="E33" t="str">
            <v>LO</v>
          </cell>
          <cell r="F33" t="str">
            <v>Electrical System Losses</v>
          </cell>
        </row>
        <row r="34">
          <cell r="E34" t="str">
            <v>LU</v>
          </cell>
          <cell r="F34" t="str">
            <v>Lubricants</v>
          </cell>
        </row>
        <row r="35">
          <cell r="E35" t="str">
            <v>MB</v>
          </cell>
          <cell r="F35" t="str">
            <v>Motor Gasoline Blending Components</v>
          </cell>
        </row>
        <row r="36">
          <cell r="E36" t="str">
            <v>MG</v>
          </cell>
          <cell r="F36" t="str">
            <v>Motor Gasoline</v>
          </cell>
        </row>
        <row r="37">
          <cell r="E37" t="str">
            <v>MS</v>
          </cell>
          <cell r="F37" t="str">
            <v>Misc. Petro Products</v>
          </cell>
        </row>
        <row r="38">
          <cell r="E38" t="str">
            <v>NA</v>
          </cell>
          <cell r="F38" t="str">
            <v>Natural Gasoline</v>
          </cell>
        </row>
        <row r="39">
          <cell r="E39" t="str">
            <v>NG</v>
          </cell>
          <cell r="F39" t="str">
            <v>Natural Gas</v>
          </cell>
        </row>
        <row r="40">
          <cell r="E40" t="str">
            <v>NU</v>
          </cell>
          <cell r="F40" t="str">
            <v>Nuclear</v>
          </cell>
        </row>
        <row r="41">
          <cell r="E41" t="str">
            <v>PA</v>
          </cell>
          <cell r="F41" t="str">
            <v>Petro Total</v>
          </cell>
        </row>
        <row r="42">
          <cell r="E42" t="str">
            <v>PC</v>
          </cell>
          <cell r="F42" t="str">
            <v>Petroleum Coke</v>
          </cell>
        </row>
        <row r="43">
          <cell r="E43" t="str">
            <v>PL</v>
          </cell>
          <cell r="F43" t="str">
            <v>Plant Condensate</v>
          </cell>
        </row>
        <row r="44">
          <cell r="E44" t="str">
            <v>PO</v>
          </cell>
          <cell r="F44" t="str">
            <v>Other Petro Products, Total</v>
          </cell>
        </row>
        <row r="45">
          <cell r="E45" t="str">
            <v>PP</v>
          </cell>
          <cell r="F45" t="str">
            <v>Pentanes Plus</v>
          </cell>
        </row>
        <row r="46">
          <cell r="E46" t="str">
            <v>RF</v>
          </cell>
          <cell r="F46" t="str">
            <v>Residual Fuel</v>
          </cell>
        </row>
        <row r="47">
          <cell r="E47" t="str">
            <v>SG</v>
          </cell>
          <cell r="F47" t="str">
            <v>Still Gas</v>
          </cell>
        </row>
        <row r="48">
          <cell r="E48" t="str">
            <v>SN</v>
          </cell>
          <cell r="F48" t="str">
            <v>Special Naphthas</v>
          </cell>
        </row>
        <row r="49">
          <cell r="E49" t="str">
            <v>SO</v>
          </cell>
          <cell r="F49" t="str">
            <v>Solar Thermal and Photovoltaic</v>
          </cell>
        </row>
        <row r="50">
          <cell r="E50" t="str">
            <v>TE</v>
          </cell>
          <cell r="F50" t="str">
            <v>Total Energy</v>
          </cell>
        </row>
        <row r="51">
          <cell r="E51" t="str">
            <v>TN</v>
          </cell>
          <cell r="F51" t="str">
            <v>Total Net Energy</v>
          </cell>
        </row>
        <row r="52">
          <cell r="E52" t="str">
            <v>TP</v>
          </cell>
          <cell r="F52" t="str">
            <v>Resident Population</v>
          </cell>
        </row>
        <row r="53">
          <cell r="E53" t="str">
            <v>UO</v>
          </cell>
          <cell r="F53" t="str">
            <v>Unfinished Oils</v>
          </cell>
        </row>
        <row r="54">
          <cell r="E54" t="str">
            <v>US</v>
          </cell>
          <cell r="F54" t="str">
            <v>Unfractionated Steam</v>
          </cell>
        </row>
        <row r="55">
          <cell r="E55" t="str">
            <v>WD</v>
          </cell>
          <cell r="F55" t="str">
            <v>Wood</v>
          </cell>
        </row>
        <row r="56">
          <cell r="E56" t="str">
            <v>WW</v>
          </cell>
          <cell r="F56" t="str">
            <v>Wood and Waste</v>
          </cell>
        </row>
        <row r="57">
          <cell r="E57" t="str">
            <v>WX</v>
          </cell>
          <cell r="F57" t="str">
            <v>Waxes</v>
          </cell>
        </row>
        <row r="58">
          <cell r="E58" t="str">
            <v>WY</v>
          </cell>
          <cell r="F58" t="str">
            <v>Wind</v>
          </cell>
        </row>
      </sheetData>
      <sheetData sheetId="18" refreshError="1"/>
      <sheetData sheetId="19" refreshError="1"/>
      <sheetData sheetId="20" refreshError="1"/>
      <sheetData sheetId="21" refreshError="1">
        <row r="6">
          <cell r="K6">
            <v>3.6666666666666665</v>
          </cell>
        </row>
      </sheetData>
      <sheetData sheetId="22" refreshError="1"/>
      <sheetData sheetId="23"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Control"/>
      <sheetName val="Enteric Fermentation"/>
      <sheetName val="CH4 from Manure Management"/>
      <sheetName val="N2O from Manure Management"/>
      <sheetName val="Ag Soils-Plant-Residues&amp;Legumes"/>
      <sheetName val="Ag Soils-Plant-Fertilizers"/>
      <sheetName val="Ag Soils-Animals"/>
      <sheetName val="Rice Cultivation"/>
      <sheetName val="Ag. Residue Burning-CH4"/>
      <sheetName val="Ag. Residue Burning-N2O"/>
      <sheetName val="Summary"/>
      <sheetName val="Default Livestock_Crop Data "/>
      <sheetName val="Summary Figures"/>
      <sheetName val="National Adjustment"/>
      <sheetName val="Uncertainty"/>
      <sheetName val="constants"/>
      <sheetName val="FertilizerData"/>
      <sheetName val="enteric EFsNEW"/>
      <sheetName val="enteric EFs"/>
      <sheetName val="VS-CattleNEW"/>
      <sheetName val="VS-Cattle"/>
      <sheetName val="MCF"/>
      <sheetName val="manure%"/>
      <sheetName val="Documentation"/>
      <sheetName val="Data Sources"/>
      <sheetName val="Notes"/>
      <sheetName val="ListData"/>
      <sheetName val="animal data"/>
      <sheetName val="crop 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2">
          <cell r="B12">
            <v>21</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Control"/>
      <sheetName val="Natural Gas - Production"/>
      <sheetName val="Natural Gas - Transmission"/>
      <sheetName val="Natural Gas - Distribution"/>
      <sheetName val="Natural Gas - Venting_Flaring"/>
      <sheetName val="Petroleum Systems"/>
      <sheetName val="Summary"/>
      <sheetName val="Tracker"/>
      <sheetName val="Uncertainty"/>
      <sheetName val="Gas Data Sources"/>
      <sheetName val="Oil Data Sources"/>
      <sheetName val="Emission Factors"/>
      <sheetName val="Production Data"/>
      <sheetName val="Number of Wells"/>
      <sheetName val="Data"/>
      <sheetName val="ListData"/>
      <sheetName val="Notes"/>
      <sheetName val="MD_Natural_Gas_and_Oil_Modu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s://www.eia.gov/state/seds/seds-data-complete.php?sid=US" TargetMode="External"/><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8.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9.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7.xml"/><Relationship Id="rId1" Type="http://schemas.openxmlformats.org/officeDocument/2006/relationships/printerSettings" Target="../printerSettings/printerSettings17.bin"/><Relationship Id="rId4" Type="http://schemas.openxmlformats.org/officeDocument/2006/relationships/comments" Target="../comments10.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9.xml"/><Relationship Id="rId1" Type="http://schemas.openxmlformats.org/officeDocument/2006/relationships/printerSettings" Target="../printerSettings/printerSettings19.bin"/><Relationship Id="rId4" Type="http://schemas.openxmlformats.org/officeDocument/2006/relationships/comments" Target="../comments1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hyperlink" Target="https://www.eia.gov/dnav/ng/NG_PROD_WELLS_S1_A.htm" TargetMode="External"/><Relationship Id="rId1" Type="http://schemas.openxmlformats.org/officeDocument/2006/relationships/hyperlink" Target="https://www.phmsa.dot.gov/data-and-statistics/pipeline/gas-distribution-gas-gathering-gas-transmission-hazardous-liquids" TargetMode="External"/><Relationship Id="rId6" Type="http://schemas.openxmlformats.org/officeDocument/2006/relationships/comments" Target="../comments12.xml"/><Relationship Id="rId5" Type="http://schemas.openxmlformats.org/officeDocument/2006/relationships/vmlDrawing" Target="../drawings/vmlDrawing12.vml"/><Relationship Id="rId4"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2.bin"/><Relationship Id="rId1" Type="http://schemas.openxmlformats.org/officeDocument/2006/relationships/hyperlink" Target="https://mde.maryland.gov/programs/land/mining/pages/bureauofminesannualreports.aspx" TargetMode="External"/><Relationship Id="rId5" Type="http://schemas.openxmlformats.org/officeDocument/2006/relationships/comments" Target="../comments13.xml"/><Relationship Id="rId4" Type="http://schemas.openxmlformats.org/officeDocument/2006/relationships/vmlDrawing" Target="../drawings/vmlDrawing13.v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3.xml"/><Relationship Id="rId1" Type="http://schemas.openxmlformats.org/officeDocument/2006/relationships/printerSettings" Target="../printerSettings/printerSettings23.bin"/><Relationship Id="rId5" Type="http://schemas.openxmlformats.org/officeDocument/2006/relationships/comments" Target="../comments14.xml"/><Relationship Id="rId4" Type="http://schemas.openxmlformats.org/officeDocument/2006/relationships/control" Target="../activeX/activeX1.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4.xml"/><Relationship Id="rId1" Type="http://schemas.openxmlformats.org/officeDocument/2006/relationships/printerSettings" Target="../printerSettings/printerSettings24.bin"/><Relationship Id="rId4" Type="http://schemas.openxmlformats.org/officeDocument/2006/relationships/comments" Target="../comments15.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H185"/>
  <sheetViews>
    <sheetView tabSelected="1" zoomScaleNormal="100" workbookViewId="0">
      <selection activeCell="G21" sqref="G21"/>
    </sheetView>
  </sheetViews>
  <sheetFormatPr defaultRowHeight="11.25"/>
  <cols>
    <col min="1" max="1" width="4.5" style="2319" customWidth="1"/>
    <col min="2" max="2" width="8" customWidth="1"/>
    <col min="3" max="3" width="79" customWidth="1"/>
    <col min="4" max="4" width="16.6640625" style="413" customWidth="1"/>
    <col min="5" max="5" width="15" customWidth="1"/>
    <col min="6" max="6" width="14.1640625" customWidth="1"/>
    <col min="7" max="7" width="16.1640625" customWidth="1"/>
    <col min="8" max="8" width="12.1640625" customWidth="1"/>
  </cols>
  <sheetData>
    <row r="1" spans="2:8" ht="33">
      <c r="B1" s="481" t="s">
        <v>556</v>
      </c>
      <c r="C1" s="480"/>
      <c r="D1" s="3385" t="s">
        <v>1759</v>
      </c>
    </row>
    <row r="2" spans="2:8" ht="15.75" thickBot="1">
      <c r="B2" s="404"/>
      <c r="C2" s="403"/>
    </row>
    <row r="3" spans="2:8" ht="18.75" thickBot="1">
      <c r="B3" s="3493" t="s">
        <v>1394</v>
      </c>
      <c r="C3" s="3494"/>
      <c r="D3" s="1376">
        <v>2017</v>
      </c>
      <c r="E3" s="1227"/>
      <c r="F3" s="4"/>
      <c r="G3" s="4"/>
      <c r="H3" s="4"/>
    </row>
    <row r="4" spans="2:8" ht="18">
      <c r="B4" s="3495" t="s">
        <v>681</v>
      </c>
      <c r="C4" s="3496"/>
      <c r="D4" s="3067">
        <f>D5+D25+D42+D75</f>
        <v>70.531286819713188</v>
      </c>
      <c r="E4" s="2439"/>
      <c r="F4" s="4"/>
      <c r="G4" s="4"/>
      <c r="H4" s="4"/>
    </row>
    <row r="5" spans="2:8" ht="17.25">
      <c r="B5" s="2318" t="s">
        <v>682</v>
      </c>
      <c r="C5" s="2320"/>
      <c r="D5" s="3068">
        <f>D6+D24</f>
        <v>24.307108610107157</v>
      </c>
      <c r="E5" s="2446"/>
      <c r="F5" s="4"/>
      <c r="G5" s="4"/>
      <c r="H5" s="4"/>
    </row>
    <row r="6" spans="2:8" ht="15">
      <c r="B6" s="2321"/>
      <c r="C6" s="2322" t="s">
        <v>683</v>
      </c>
      <c r="D6" s="3067">
        <f>D7+D11+D15+D19</f>
        <v>12.278151833130424</v>
      </c>
      <c r="E6" s="1227"/>
      <c r="F6" s="4"/>
      <c r="G6" s="4"/>
      <c r="H6" s="4"/>
    </row>
    <row r="7" spans="2:8" ht="15">
      <c r="B7" s="405"/>
      <c r="C7" s="2323" t="s">
        <v>684</v>
      </c>
      <c r="D7" s="3069">
        <f>SUM(D8:D10)</f>
        <v>9.2366343189188793</v>
      </c>
      <c r="E7" s="1227"/>
      <c r="F7" s="4"/>
      <c r="G7" s="2440"/>
      <c r="H7" s="2445"/>
    </row>
    <row r="8" spans="2:8" ht="18">
      <c r="B8" s="405"/>
      <c r="C8" s="2324" t="s">
        <v>685</v>
      </c>
      <c r="D8" s="3070">
        <f>EGU_By_Fuel_Type!F424</f>
        <v>9.1659274190770965</v>
      </c>
      <c r="E8" s="1227"/>
      <c r="F8" s="4"/>
      <c r="G8" s="2440"/>
      <c r="H8" s="4"/>
    </row>
    <row r="9" spans="2:8" ht="18">
      <c r="B9" s="405"/>
      <c r="C9" s="2324" t="s">
        <v>686</v>
      </c>
      <c r="D9" s="3070">
        <f>EGU_By_Fuel_Type!G437</f>
        <v>2.2021824663217691E-2</v>
      </c>
      <c r="E9" s="1227"/>
      <c r="F9" s="4"/>
      <c r="G9" s="2440"/>
      <c r="H9" s="4"/>
    </row>
    <row r="10" spans="2:8" ht="18">
      <c r="B10" s="405"/>
      <c r="C10" s="2324" t="s">
        <v>687</v>
      </c>
      <c r="D10" s="3070">
        <f>EGU_By_Fuel_Type!G449</f>
        <v>4.8685075178564893E-2</v>
      </c>
      <c r="E10" s="1227"/>
      <c r="F10" s="4"/>
      <c r="G10" s="2440"/>
      <c r="H10" s="4"/>
    </row>
    <row r="11" spans="2:8" ht="15">
      <c r="B11" s="405"/>
      <c r="C11" s="2323" t="s">
        <v>688</v>
      </c>
      <c r="D11" s="3069">
        <f>SUM(D12:D14)</f>
        <v>2.8925053485062895</v>
      </c>
      <c r="E11" s="1227"/>
      <c r="F11" s="4"/>
      <c r="G11" s="2440"/>
      <c r="H11" s="4"/>
    </row>
    <row r="12" spans="2:8" ht="18">
      <c r="B12" s="405"/>
      <c r="C12" s="2324" t="s">
        <v>685</v>
      </c>
      <c r="D12" s="3070">
        <f>EGU_By_Fuel_Type!F427</f>
        <v>2.8873315134390842</v>
      </c>
      <c r="E12" s="1227"/>
      <c r="F12" s="4"/>
      <c r="G12" s="404"/>
      <c r="H12" s="4"/>
    </row>
    <row r="13" spans="2:8" ht="18">
      <c r="B13" s="405"/>
      <c r="C13" s="2324" t="s">
        <v>686</v>
      </c>
      <c r="D13" s="3070">
        <f>EGU_By_Fuel_Type!G440</f>
        <v>1.0135073528887827E-3</v>
      </c>
      <c r="E13" s="1227"/>
      <c r="F13" s="4"/>
      <c r="G13" s="404"/>
      <c r="H13" s="4"/>
    </row>
    <row r="14" spans="2:8" ht="18">
      <c r="B14" s="405"/>
      <c r="C14" s="2324" t="s">
        <v>687</v>
      </c>
      <c r="D14" s="3070">
        <f>EGU_By_Fuel_Type!G452</f>
        <v>4.1603277143163631E-3</v>
      </c>
      <c r="E14" s="1227"/>
      <c r="F14" s="4"/>
      <c r="G14" s="404"/>
      <c r="H14" s="4"/>
    </row>
    <row r="15" spans="2:8" ht="15">
      <c r="B15" s="405"/>
      <c r="C15" s="2323" t="s">
        <v>689</v>
      </c>
      <c r="D15" s="3069">
        <f>SUM(D16:D18)</f>
        <v>0.14901216570525722</v>
      </c>
      <c r="E15" s="1227"/>
      <c r="F15" s="4"/>
      <c r="G15" s="404"/>
      <c r="H15" s="4"/>
    </row>
    <row r="16" spans="2:8" ht="18">
      <c r="B16" s="405"/>
      <c r="C16" s="2324" t="s">
        <v>685</v>
      </c>
      <c r="D16" s="3070">
        <f>EGU_By_Fuel_Type!F425+EGU_By_Fuel_Type!F426</f>
        <v>0.14825408094325135</v>
      </c>
      <c r="E16" s="1227"/>
      <c r="F16" s="4"/>
      <c r="G16" s="404"/>
      <c r="H16" s="4"/>
    </row>
    <row r="17" spans="2:8" ht="18">
      <c r="B17" s="405"/>
      <c r="C17" s="2324" t="s">
        <v>686</v>
      </c>
      <c r="D17" s="3070">
        <f>EGU_By_Fuel_Type!G438+EGU_By_Fuel_Type!G439</f>
        <v>3.7997279852848331E-4</v>
      </c>
      <c r="E17" s="1227"/>
      <c r="F17" s="4"/>
      <c r="G17" s="404"/>
      <c r="H17" s="4"/>
    </row>
    <row r="18" spans="2:8" ht="18">
      <c r="B18" s="405"/>
      <c r="C18" s="2324" t="s">
        <v>687</v>
      </c>
      <c r="D18" s="3070">
        <f>EGU_By_Fuel_Type!G450+EGU_By_Fuel_Type!G451</f>
        <v>3.7811196347740369E-4</v>
      </c>
      <c r="E18" s="1227"/>
      <c r="F18" s="4"/>
      <c r="G18" s="4"/>
      <c r="H18" s="4"/>
    </row>
    <row r="19" spans="2:8" ht="15">
      <c r="B19" s="405"/>
      <c r="C19" s="2323" t="s">
        <v>690</v>
      </c>
      <c r="D19" s="3069">
        <f>SUM(D20:D22)</f>
        <v>0</v>
      </c>
      <c r="E19" s="1227"/>
      <c r="F19" s="4"/>
      <c r="G19" s="4"/>
      <c r="H19" s="4"/>
    </row>
    <row r="20" spans="2:8" ht="18">
      <c r="B20" s="405"/>
      <c r="C20" s="2324" t="s">
        <v>685</v>
      </c>
      <c r="D20" s="3071">
        <v>0</v>
      </c>
      <c r="E20" s="1227"/>
      <c r="F20" s="4"/>
      <c r="G20" s="4"/>
      <c r="H20" s="4"/>
    </row>
    <row r="21" spans="2:8" ht="18">
      <c r="B21" s="405"/>
      <c r="C21" s="2324" t="s">
        <v>686</v>
      </c>
      <c r="D21" s="3071">
        <v>0</v>
      </c>
      <c r="E21" s="1227"/>
      <c r="F21" s="4"/>
      <c r="G21" s="4"/>
      <c r="H21" s="4"/>
    </row>
    <row r="22" spans="2:8" ht="18">
      <c r="B22" s="405"/>
      <c r="C22" s="2324" t="s">
        <v>687</v>
      </c>
      <c r="D22" s="3071">
        <v>0</v>
      </c>
      <c r="E22" s="1227"/>
      <c r="F22" s="4"/>
      <c r="G22" s="4"/>
      <c r="H22" s="4"/>
    </row>
    <row r="23" spans="2:8" ht="15">
      <c r="B23" s="405"/>
      <c r="C23" s="2323" t="s">
        <v>691</v>
      </c>
      <c r="D23" s="3070">
        <v>0</v>
      </c>
      <c r="E23" s="1227"/>
      <c r="F23" s="4"/>
      <c r="G23" s="4"/>
      <c r="H23" s="4"/>
    </row>
    <row r="24" spans="2:8" ht="15">
      <c r="B24" s="406"/>
      <c r="C24" s="2325" t="s">
        <v>692</v>
      </c>
      <c r="D24" s="3070">
        <f>'Imported Electricity '!N76</f>
        <v>12.028956776976731</v>
      </c>
      <c r="E24" s="1227"/>
      <c r="F24" s="4"/>
      <c r="G24" s="4"/>
      <c r="H24" s="4"/>
    </row>
    <row r="25" spans="2:8" ht="15">
      <c r="B25" s="2318" t="s">
        <v>693</v>
      </c>
      <c r="C25" s="2320"/>
      <c r="D25" s="3072">
        <f>D26+D30+D34+D38</f>
        <v>13.870725914627787</v>
      </c>
      <c r="E25" s="2446"/>
      <c r="F25" s="4"/>
      <c r="G25" s="4"/>
      <c r="H25" s="4"/>
    </row>
    <row r="26" spans="2:8" ht="15">
      <c r="B26" s="2321"/>
      <c r="C26" s="2326" t="s">
        <v>197</v>
      </c>
      <c r="D26" s="3069">
        <f>SUM(D27:D29)</f>
        <v>1.1691697325990493</v>
      </c>
      <c r="E26" s="1227"/>
      <c r="F26" s="4"/>
      <c r="G26" s="4"/>
      <c r="H26" s="4"/>
    </row>
    <row r="27" spans="2:8" ht="18">
      <c r="B27" s="405"/>
      <c r="C27" s="2324" t="s">
        <v>685</v>
      </c>
      <c r="D27" s="3070">
        <f>Residential!C46+Commercial!D54+Industrial!F102</f>
        <v>1.1610011134032501</v>
      </c>
      <c r="E27" s="1227"/>
      <c r="F27" s="4"/>
      <c r="G27" s="4"/>
      <c r="H27" s="4"/>
    </row>
    <row r="28" spans="2:8" ht="18">
      <c r="B28" s="405"/>
      <c r="C28" s="2324" t="s">
        <v>686</v>
      </c>
      <c r="D28" s="3073">
        <f>Residential!E46+Commercial!E54+Industrial!G102</f>
        <v>2.5413481942486251E-3</v>
      </c>
      <c r="E28" s="1227"/>
      <c r="F28" s="4"/>
      <c r="G28" s="4"/>
      <c r="H28" s="4"/>
    </row>
    <row r="29" spans="2:8" ht="18">
      <c r="B29" s="405"/>
      <c r="C29" s="2324" t="s">
        <v>687</v>
      </c>
      <c r="D29" s="3070">
        <f>Residential!D46+Commercial!F54+Industrial!H102</f>
        <v>5.6272710015505276E-3</v>
      </c>
      <c r="E29" s="1227"/>
      <c r="F29" s="4"/>
      <c r="G29" s="4"/>
      <c r="H29" s="4"/>
    </row>
    <row r="30" spans="2:8" ht="15">
      <c r="B30" s="405"/>
      <c r="C30" s="2327" t="s">
        <v>694</v>
      </c>
      <c r="D30" s="3069">
        <f>SUM(D31:D33)</f>
        <v>9.7352698053817974</v>
      </c>
      <c r="E30" s="1227"/>
      <c r="F30" s="4"/>
      <c r="G30" s="4"/>
      <c r="H30" s="4"/>
    </row>
    <row r="31" spans="2:8" ht="18">
      <c r="B31" s="405"/>
      <c r="C31" s="2324" t="s">
        <v>685</v>
      </c>
      <c r="D31" s="3070">
        <f>Residential!C49+Residential!C50+Commercial!D57+Commercial!D60+Industrial!F110+Industrial!F122</f>
        <v>9.7106761021483976</v>
      </c>
      <c r="E31" s="1227"/>
      <c r="F31" s="4"/>
      <c r="G31" s="4"/>
      <c r="H31" s="4"/>
    </row>
    <row r="32" spans="2:8" ht="18">
      <c r="B32" s="405"/>
      <c r="C32" s="2324" t="s">
        <v>686</v>
      </c>
      <c r="D32" s="3070">
        <f>Residential!E49+Residential!E50+Commercial!E57+Commercial!E60+Industrial!G110+Industrial!G122</f>
        <v>1.7765713172751857E-2</v>
      </c>
      <c r="E32" s="1227"/>
      <c r="F32" s="4"/>
      <c r="G32" s="4"/>
      <c r="H32" s="4"/>
    </row>
    <row r="33" spans="2:8" ht="18">
      <c r="B33" s="405"/>
      <c r="C33" s="2324" t="s">
        <v>687</v>
      </c>
      <c r="D33" s="3070">
        <f>Residential!D49+Residential!D50+Commercial!F57+Commercial!F60+Industrial!H110+Industrial!H122</f>
        <v>6.8279900606473317E-3</v>
      </c>
      <c r="E33" s="1227"/>
      <c r="F33" s="4"/>
      <c r="G33" s="4"/>
      <c r="H33" s="4"/>
    </row>
    <row r="34" spans="2:8" ht="15">
      <c r="B34" s="405"/>
      <c r="C34" s="2327" t="s">
        <v>695</v>
      </c>
      <c r="D34" s="3069">
        <f>SUM(D35:D37)</f>
        <v>2.9102990792425008</v>
      </c>
      <c r="E34" s="1227"/>
      <c r="F34" s="4"/>
      <c r="G34" s="4"/>
      <c r="H34" s="4"/>
    </row>
    <row r="35" spans="2:8" ht="18">
      <c r="B35" s="405"/>
      <c r="C35" s="2328" t="s">
        <v>685</v>
      </c>
      <c r="D35" s="3070">
        <f>Residential!C47+Residential!C48+Commercial!D55+Commercial!D56+Commercial!D57+Commercial!D58+Commercial!D59+Industrial!F106+Industrial!F107+Industrial!F108+Industrial!F109+Industrial!F111+Industrial!F112+Industrial!F114+Industrial!F116+Industrial!F117+Industrial!F119+Industrial!F121</f>
        <v>2.8990608521540699</v>
      </c>
      <c r="E35" s="1227"/>
      <c r="F35" s="4"/>
      <c r="G35" s="4"/>
      <c r="H35" s="4"/>
    </row>
    <row r="36" spans="2:8" ht="18">
      <c r="B36" s="405"/>
      <c r="C36" s="2328" t="s">
        <v>686</v>
      </c>
      <c r="D36" s="3070">
        <f>Residential!E47+Residential!E48+Commercial!E55+Commercial!E56+Commercial!E58+Commercial!E59+Industrial!G106+Industrial!G107+Industrial!G108+Industrial!G109+Industrial!G112+Industrial!G116+Industrial!G117+Industrial!G119</f>
        <v>5.584344120807507E-3</v>
      </c>
      <c r="E36" s="1227"/>
      <c r="F36" s="4"/>
      <c r="G36" s="4"/>
      <c r="H36" s="4"/>
    </row>
    <row r="37" spans="2:8" ht="18">
      <c r="B37" s="405"/>
      <c r="C37" s="2328" t="s">
        <v>687</v>
      </c>
      <c r="D37" s="3070">
        <f>Residential!D47+Residential!D48+Commercial!F55+Commercial!F56+Commercial!F58+Commercial!F59+Industrial!H106+Industrial!H107+Industrial!H108+Industrial!H109+Industrial!H112+Industrial!H116+Industrial!H117+Industrial!H119</f>
        <v>5.6538829676233684E-3</v>
      </c>
      <c r="E37" s="1227"/>
      <c r="F37" s="4"/>
      <c r="G37" s="4"/>
      <c r="H37" s="4"/>
    </row>
    <row r="38" spans="2:8" ht="15">
      <c r="B38" s="405"/>
      <c r="C38" s="2327" t="s">
        <v>696</v>
      </c>
      <c r="D38" s="3069">
        <f>SUM(D39:D41)</f>
        <v>5.5987297404438342E-2</v>
      </c>
      <c r="E38" s="1227"/>
      <c r="F38" s="4"/>
      <c r="G38" s="4"/>
      <c r="H38" s="4"/>
    </row>
    <row r="39" spans="2:8" ht="18">
      <c r="B39" s="405"/>
      <c r="C39" s="2328" t="s">
        <v>685</v>
      </c>
      <c r="D39" s="3071">
        <f>Residential!C51+Commercial!D61+Industrial!F123</f>
        <v>0</v>
      </c>
      <c r="E39" s="1227"/>
      <c r="F39" s="4"/>
      <c r="G39" s="4"/>
      <c r="H39" s="4"/>
    </row>
    <row r="40" spans="2:8" ht="18">
      <c r="B40" s="405"/>
      <c r="C40" s="2328" t="s">
        <v>686</v>
      </c>
      <c r="D40" s="3070">
        <f>Residential!E51+Commercial!E61+Industrial!G123</f>
        <v>4.0607545670072895E-2</v>
      </c>
      <c r="E40" s="1227"/>
      <c r="F40" s="4"/>
      <c r="G40" s="4"/>
      <c r="H40" s="4"/>
    </row>
    <row r="41" spans="2:8" ht="18">
      <c r="B41" s="406"/>
      <c r="C41" s="2329" t="s">
        <v>687</v>
      </c>
      <c r="D41" s="3070">
        <f>Residential!D51+Commercial!F61+Industrial!H123</f>
        <v>1.5379751734365446E-2</v>
      </c>
      <c r="E41" s="1227"/>
      <c r="F41" s="4"/>
      <c r="G41" s="4"/>
      <c r="H41" s="4"/>
    </row>
    <row r="42" spans="2:8" ht="15">
      <c r="B42" s="2318" t="s">
        <v>186</v>
      </c>
      <c r="C42" s="2320"/>
      <c r="D42" s="3072">
        <f>D43+D47+D51+D55+D59+D63+D67+D71</f>
        <v>31.804334968610512</v>
      </c>
      <c r="E42" s="2446"/>
      <c r="F42" s="4"/>
      <c r="G42" s="4"/>
      <c r="H42" s="4"/>
    </row>
    <row r="43" spans="2:8" ht="15">
      <c r="B43" s="2321"/>
      <c r="C43" s="2326" t="s">
        <v>697</v>
      </c>
      <c r="D43" s="3069">
        <f>SUM(D44:D46)</f>
        <v>22.400028506859559</v>
      </c>
      <c r="E43" s="1227"/>
      <c r="F43" s="4"/>
      <c r="G43" s="4"/>
      <c r="H43" s="4"/>
    </row>
    <row r="44" spans="2:8" ht="18">
      <c r="B44" s="405"/>
      <c r="C44" s="2328" t="s">
        <v>685</v>
      </c>
      <c r="D44" s="3070">
        <f>On_Road_Transportation!C34+On_Road_Transportation!F34</f>
        <v>22.322882906572659</v>
      </c>
      <c r="E44" s="1227"/>
      <c r="F44" s="4"/>
      <c r="G44" s="3384"/>
      <c r="H44" s="4"/>
    </row>
    <row r="45" spans="2:8" ht="18">
      <c r="B45" s="405"/>
      <c r="C45" s="2328" t="s">
        <v>686</v>
      </c>
      <c r="D45" s="3070">
        <f>On_Road_Transportation!R55</f>
        <v>6.3789405797424039E-3</v>
      </c>
      <c r="E45" s="1227"/>
      <c r="F45" s="4"/>
      <c r="G45" s="4"/>
      <c r="H45" s="4"/>
    </row>
    <row r="46" spans="2:8" ht="18">
      <c r="B46" s="405"/>
      <c r="C46" s="2328" t="s">
        <v>687</v>
      </c>
      <c r="D46" s="3070">
        <f>On_Road_Transportation!K55</f>
        <v>7.0766659707156704E-2</v>
      </c>
      <c r="E46" s="1227"/>
      <c r="F46" s="4"/>
      <c r="G46" s="4"/>
      <c r="H46" s="4"/>
    </row>
    <row r="47" spans="2:8" ht="15">
      <c r="B47" s="405"/>
      <c r="C47" s="2327" t="s">
        <v>705</v>
      </c>
      <c r="D47" s="3069">
        <f>SUM(D48:D50)</f>
        <v>0.95970733650058326</v>
      </c>
      <c r="E47" s="1227"/>
      <c r="F47" s="4"/>
      <c r="G47" s="4"/>
      <c r="H47" s="4"/>
    </row>
    <row r="48" spans="2:8" ht="18">
      <c r="B48" s="405"/>
      <c r="C48" s="2328" t="s">
        <v>685</v>
      </c>
      <c r="D48" s="3070">
        <f>Non_Road_Transportation!F9</f>
        <v>0.942400995562513</v>
      </c>
      <c r="E48" s="1227"/>
      <c r="F48" s="4"/>
      <c r="G48" s="4"/>
      <c r="H48" s="4"/>
    </row>
    <row r="49" spans="2:8" ht="18">
      <c r="B49" s="405"/>
      <c r="C49" s="2328" t="s">
        <v>686</v>
      </c>
      <c r="D49" s="3070">
        <f>Non_Road_Transportation!E9</f>
        <v>1.7306340938070281E-2</v>
      </c>
      <c r="E49" s="1227"/>
      <c r="F49" s="4"/>
      <c r="G49" s="4"/>
      <c r="H49" s="4"/>
    </row>
    <row r="50" spans="2:8" ht="18">
      <c r="B50" s="405"/>
      <c r="C50" s="2328" t="s">
        <v>687</v>
      </c>
      <c r="D50" s="3070">
        <v>0</v>
      </c>
      <c r="E50" s="1227"/>
      <c r="F50" s="4"/>
      <c r="G50" s="4"/>
      <c r="H50" s="4"/>
    </row>
    <row r="51" spans="2:8" ht="15">
      <c r="B51" s="405"/>
      <c r="C51" s="2327" t="s">
        <v>706</v>
      </c>
      <c r="D51" s="3069">
        <f>SUM(D52:D54)</f>
        <v>6.1758767755436379</v>
      </c>
      <c r="E51" s="1227"/>
      <c r="F51" s="4"/>
      <c r="G51" s="4"/>
      <c r="H51" s="4"/>
    </row>
    <row r="52" spans="2:8" ht="18">
      <c r="B52" s="405"/>
      <c r="C52" s="2328" t="s">
        <v>685</v>
      </c>
      <c r="D52" s="3070">
        <f>On_Road_Transportation!D34</f>
        <v>6.1566240090815114</v>
      </c>
      <c r="E52" s="1227"/>
      <c r="F52" s="4"/>
      <c r="G52" s="4"/>
      <c r="H52" s="4"/>
    </row>
    <row r="53" spans="2:8" ht="18">
      <c r="B53" s="405"/>
      <c r="C53" s="2328" t="s">
        <v>686</v>
      </c>
      <c r="D53" s="3070">
        <f>On_Road_Transportation!R54</f>
        <v>8.8294173836008636E-5</v>
      </c>
      <c r="E53" s="1227"/>
      <c r="F53" s="4"/>
      <c r="G53" s="4"/>
      <c r="H53" s="4"/>
    </row>
    <row r="54" spans="2:8" ht="18">
      <c r="B54" s="405"/>
      <c r="C54" s="2328" t="s">
        <v>687</v>
      </c>
      <c r="D54" s="3070">
        <f>On_Road_Transportation!K54</f>
        <v>1.9164472288290074E-2</v>
      </c>
      <c r="E54" s="1227"/>
      <c r="F54" s="4"/>
      <c r="G54" s="4"/>
      <c r="H54" s="4"/>
    </row>
    <row r="55" spans="2:8" ht="15">
      <c r="B55" s="405"/>
      <c r="C55" s="2327" t="s">
        <v>707</v>
      </c>
      <c r="D55" s="3069">
        <f>SUM(D56:D58)</f>
        <v>0.95496448873375517</v>
      </c>
      <c r="E55" s="1227"/>
      <c r="F55" s="4"/>
      <c r="G55" s="4"/>
      <c r="H55" s="4"/>
    </row>
    <row r="56" spans="2:8" ht="18">
      <c r="B56" s="405"/>
      <c r="C56" s="2328" t="s">
        <v>685</v>
      </c>
      <c r="D56" s="3070">
        <f>Non_Road_Transportation!F12</f>
        <v>0.95449847141605249</v>
      </c>
      <c r="E56" s="1227"/>
      <c r="F56" s="4"/>
      <c r="G56" s="4"/>
      <c r="H56" s="4"/>
    </row>
    <row r="57" spans="2:8" ht="18">
      <c r="B57" s="405"/>
      <c r="C57" s="2328" t="s">
        <v>686</v>
      </c>
      <c r="D57" s="3070">
        <f>Non_Road_Transportation!E12</f>
        <v>4.6601731770265519E-4</v>
      </c>
      <c r="E57" s="1227"/>
      <c r="F57" s="4"/>
      <c r="G57" s="4"/>
      <c r="H57" s="4"/>
    </row>
    <row r="58" spans="2:8" ht="18">
      <c r="B58" s="405"/>
      <c r="C58" s="2328" t="s">
        <v>687</v>
      </c>
      <c r="D58" s="3070">
        <v>0</v>
      </c>
      <c r="E58" s="1227"/>
      <c r="F58" s="4"/>
      <c r="G58" s="4"/>
      <c r="H58" s="4"/>
    </row>
    <row r="59" spans="2:8" ht="15">
      <c r="B59" s="405"/>
      <c r="C59" s="2327" t="s">
        <v>708</v>
      </c>
      <c r="D59" s="3069">
        <f>SUM(D60:D62)</f>
        <v>0.16703553807279134</v>
      </c>
      <c r="E59" s="2993"/>
      <c r="F59" s="4"/>
      <c r="G59" s="4"/>
      <c r="H59" s="4"/>
    </row>
    <row r="60" spans="2:8" ht="18">
      <c r="B60" s="405"/>
      <c r="C60" s="2328" t="s">
        <v>685</v>
      </c>
      <c r="D60" s="3070">
        <f>Others_Transportation!C55</f>
        <v>0.16547344479848894</v>
      </c>
    </row>
    <row r="61" spans="2:8" ht="18">
      <c r="B61" s="405"/>
      <c r="C61" s="2328" t="s">
        <v>686</v>
      </c>
      <c r="D61" s="3070">
        <f>Others_Transportation!E55</f>
        <v>2.7291147055199996E-4</v>
      </c>
    </row>
    <row r="62" spans="2:8" ht="18">
      <c r="B62" s="405"/>
      <c r="C62" s="2328" t="s">
        <v>687</v>
      </c>
      <c r="D62" s="3070">
        <f>Others_Transportation!G55</f>
        <v>1.2891818037503999E-3</v>
      </c>
    </row>
    <row r="63" spans="2:8" ht="15">
      <c r="B63" s="405"/>
      <c r="C63" s="2327" t="s">
        <v>709</v>
      </c>
      <c r="D63" s="3069">
        <f>SUM(D64:D66)</f>
        <v>0.11507360317026404</v>
      </c>
    </row>
    <row r="64" spans="2:8" ht="18">
      <c r="B64" s="405"/>
      <c r="C64" s="2328" t="s">
        <v>685</v>
      </c>
      <c r="D64" s="3070">
        <f>Non_Road_Transportation!F11+Others_Transportation!C56+Others_Transportation!C57</f>
        <v>0.11444207129168907</v>
      </c>
    </row>
    <row r="65" spans="2:5" ht="18">
      <c r="B65" s="405"/>
      <c r="C65" s="2328" t="s">
        <v>686</v>
      </c>
      <c r="D65" s="3070">
        <f>Non_Road_Transportation!E11+Others_Transportation!E56+Others_Transportation!E57</f>
        <v>1.3184094417496723E-4</v>
      </c>
    </row>
    <row r="66" spans="2:5" ht="18">
      <c r="B66" s="405"/>
      <c r="C66" s="2328" t="s">
        <v>687</v>
      </c>
      <c r="D66" s="3070">
        <f>Others_Transportation!G56+Others_Transportation!G57</f>
        <v>4.9969093439999998E-4</v>
      </c>
    </row>
    <row r="67" spans="2:5" ht="15">
      <c r="B67" s="405"/>
      <c r="C67" s="2327" t="s">
        <v>710</v>
      </c>
      <c r="D67" s="3069">
        <f>SUM(D68:D70)</f>
        <v>0.33332386347015613</v>
      </c>
    </row>
    <row r="68" spans="2:5" ht="18">
      <c r="B68" s="405"/>
      <c r="C68" s="2328" t="s">
        <v>685</v>
      </c>
      <c r="D68" s="3070">
        <f>On_Road_Transportation!E34+Non_Road_Transportation!F8+Non_Road_Transportation!F10+Others_Transportation!C58</f>
        <v>0.33028463091085447</v>
      </c>
    </row>
    <row r="69" spans="2:5" ht="18">
      <c r="B69" s="405"/>
      <c r="C69" s="2328" t="s">
        <v>686</v>
      </c>
      <c r="D69" s="3071">
        <f>Non_Road_Transportation!E8+Non_Road_Transportation!E10+Others_Transportation!E58</f>
        <v>3.0392325593016837E-3</v>
      </c>
    </row>
    <row r="70" spans="2:5" ht="18">
      <c r="B70" s="405"/>
      <c r="C70" s="2328" t="s">
        <v>687</v>
      </c>
      <c r="D70" s="3071">
        <f>Others_Transportation!G58</f>
        <v>0</v>
      </c>
    </row>
    <row r="71" spans="2:5" ht="15">
      <c r="B71" s="405"/>
      <c r="C71" s="2327" t="s">
        <v>711</v>
      </c>
      <c r="D71" s="3069">
        <f>SUM(D72:D74)</f>
        <v>0.69832485625976637</v>
      </c>
      <c r="E71" s="2884"/>
    </row>
    <row r="72" spans="2:5" ht="18">
      <c r="B72" s="405"/>
      <c r="C72" s="2328" t="s">
        <v>685</v>
      </c>
      <c r="D72" s="3070">
        <f>Others_Transportation!C53+Others_Transportation!C54</f>
        <v>0.69118008971176637</v>
      </c>
    </row>
    <row r="73" spans="2:5" ht="18">
      <c r="B73" s="405"/>
      <c r="C73" s="2328" t="s">
        <v>686</v>
      </c>
      <c r="D73" s="3070">
        <f>Others_Transportation!E53+Others_Transportation!E54</f>
        <v>6.2303406480000007E-4</v>
      </c>
    </row>
    <row r="74" spans="2:5" ht="18">
      <c r="B74" s="406"/>
      <c r="C74" s="2329" t="s">
        <v>687</v>
      </c>
      <c r="D74" s="3070">
        <f>Others_Transportation!G53+Others_Transportation!G54</f>
        <v>6.5217324831999997E-3</v>
      </c>
    </row>
    <row r="75" spans="2:5" ht="15">
      <c r="B75" s="2318" t="s">
        <v>187</v>
      </c>
      <c r="C75" s="2320"/>
      <c r="D75" s="3376">
        <f>D76+D80+D84</f>
        <v>0.54911732636773136</v>
      </c>
      <c r="E75" s="2447"/>
    </row>
    <row r="76" spans="2:5" ht="15">
      <c r="B76" s="2321"/>
      <c r="C76" s="2326" t="s">
        <v>712</v>
      </c>
      <c r="D76" s="3377">
        <f>SUM(D77:D79)</f>
        <v>0.45828346997893132</v>
      </c>
    </row>
    <row r="77" spans="2:5" ht="18">
      <c r="B77" s="405"/>
      <c r="C77" s="2328" t="s">
        <v>685</v>
      </c>
      <c r="D77" s="3378">
        <f>'Natural Gas and Oil'!H69</f>
        <v>4.4219643968929149E-4</v>
      </c>
    </row>
    <row r="78" spans="2:5" ht="18">
      <c r="B78" s="405"/>
      <c r="C78" s="2328" t="s">
        <v>686</v>
      </c>
      <c r="D78" s="3378">
        <f>'Natural Gas and Oil'!J69+'Natural Gas and Oil'!F50+'Natural Gas and Oil'!F33+'Natural Gas and Oil'!F10</f>
        <v>0.45759570334071781</v>
      </c>
    </row>
    <row r="79" spans="2:5" ht="18">
      <c r="B79" s="405"/>
      <c r="C79" s="2328" t="s">
        <v>687</v>
      </c>
      <c r="D79" s="3378">
        <f>'Natural Gas and Oil'!I69</f>
        <v>2.4557019852422443E-4</v>
      </c>
    </row>
    <row r="80" spans="2:5" ht="15">
      <c r="B80" s="405"/>
      <c r="C80" s="2327" t="s">
        <v>713</v>
      </c>
      <c r="D80" s="3377">
        <f>SUM(D81:D83)</f>
        <v>0</v>
      </c>
    </row>
    <row r="81" spans="2:5" ht="18">
      <c r="B81" s="405"/>
      <c r="C81" s="2328" t="s">
        <v>685</v>
      </c>
      <c r="D81" s="3378">
        <v>0</v>
      </c>
    </row>
    <row r="82" spans="2:5" ht="18">
      <c r="B82" s="405"/>
      <c r="C82" s="2328" t="s">
        <v>686</v>
      </c>
      <c r="D82" s="3378">
        <v>0</v>
      </c>
    </row>
    <row r="83" spans="2:5" ht="18">
      <c r="B83" s="405"/>
      <c r="C83" s="2328" t="s">
        <v>687</v>
      </c>
      <c r="D83" s="3378">
        <v>0</v>
      </c>
    </row>
    <row r="84" spans="2:5" ht="15">
      <c r="B84" s="405"/>
      <c r="C84" s="2327" t="s">
        <v>714</v>
      </c>
      <c r="D84" s="3377">
        <f>SUM(D85:D87)</f>
        <v>9.0833856388800011E-2</v>
      </c>
      <c r="E84" s="2884"/>
    </row>
    <row r="85" spans="2:5" ht="18">
      <c r="B85" s="405"/>
      <c r="C85" s="2328" t="s">
        <v>685</v>
      </c>
      <c r="D85" s="3378">
        <v>0</v>
      </c>
    </row>
    <row r="86" spans="2:5" ht="18">
      <c r="B86" s="405"/>
      <c r="C86" s="2328" t="s">
        <v>686</v>
      </c>
      <c r="D86" s="3378">
        <f>Mining!C35+Mining!C36</f>
        <v>9.0833856388800011E-2</v>
      </c>
    </row>
    <row r="87" spans="2:5" ht="18">
      <c r="B87" s="406"/>
      <c r="C87" s="2329" t="s">
        <v>687</v>
      </c>
      <c r="D87" s="3378">
        <v>0</v>
      </c>
    </row>
    <row r="88" spans="2:5" ht="15">
      <c r="B88" s="407" t="s">
        <v>194</v>
      </c>
      <c r="C88" s="2330"/>
      <c r="D88" s="3074">
        <f>D89+D93+D97+D101+D105+D109+D113+D117+D121</f>
        <v>4.6957737583019155</v>
      </c>
      <c r="E88" s="2447"/>
    </row>
    <row r="89" spans="2:5" ht="15">
      <c r="B89" s="2321"/>
      <c r="C89" s="2322" t="s">
        <v>715</v>
      </c>
      <c r="D89" s="3069">
        <f>SUM(D90:D92)</f>
        <v>1.5118397266608463</v>
      </c>
    </row>
    <row r="90" spans="2:5" ht="18">
      <c r="B90" s="405"/>
      <c r="C90" s="2328" t="s">
        <v>685</v>
      </c>
      <c r="D90" s="3070">
        <f>Cement!G84</f>
        <v>1.5118397266608463</v>
      </c>
    </row>
    <row r="91" spans="2:5" ht="18">
      <c r="B91" s="405"/>
      <c r="C91" s="2328" t="s">
        <v>686</v>
      </c>
      <c r="D91" s="3070">
        <v>0</v>
      </c>
    </row>
    <row r="92" spans="2:5" ht="18">
      <c r="B92" s="405"/>
      <c r="C92" s="2328" t="s">
        <v>687</v>
      </c>
      <c r="D92" s="3070">
        <v>0</v>
      </c>
    </row>
    <row r="93" spans="2:5" ht="15">
      <c r="B93" s="405"/>
      <c r="C93" s="2331" t="s">
        <v>716</v>
      </c>
      <c r="D93" s="3069">
        <f>SUM(D94:D96)</f>
        <v>0.14589123999999998</v>
      </c>
      <c r="E93" s="2992"/>
    </row>
    <row r="94" spans="2:5" ht="18">
      <c r="B94" s="405"/>
      <c r="C94" s="2328" t="s">
        <v>685</v>
      </c>
      <c r="D94" s="3070">
        <f>'LimeT&amp;DSodaODS'!D44/1000000</f>
        <v>0.14589123999999998</v>
      </c>
    </row>
    <row r="95" spans="2:5" ht="18">
      <c r="B95" s="405"/>
      <c r="C95" s="2328" t="s">
        <v>686</v>
      </c>
      <c r="D95" s="3070">
        <v>0</v>
      </c>
    </row>
    <row r="96" spans="2:5" ht="18">
      <c r="B96" s="405"/>
      <c r="C96" s="2328" t="s">
        <v>687</v>
      </c>
      <c r="D96" s="3070">
        <v>0</v>
      </c>
    </row>
    <row r="97" spans="2:5" ht="15">
      <c r="B97" s="405"/>
      <c r="C97" s="2331" t="s">
        <v>717</v>
      </c>
      <c r="D97" s="3069">
        <f>SUM(D98:D100)</f>
        <v>3.9567759999999993E-2</v>
      </c>
      <c r="E97" s="2992"/>
    </row>
    <row r="98" spans="2:5" ht="18">
      <c r="B98" s="405"/>
      <c r="C98" s="2328" t="s">
        <v>685</v>
      </c>
      <c r="D98" s="3070">
        <f>'LimeT&amp;DSodaODS'!D45/1000000</f>
        <v>3.9567759999999993E-2</v>
      </c>
    </row>
    <row r="99" spans="2:5" ht="18">
      <c r="B99" s="405"/>
      <c r="C99" s="2328" t="s">
        <v>686</v>
      </c>
      <c r="D99" s="3070">
        <v>0</v>
      </c>
    </row>
    <row r="100" spans="2:5" ht="18">
      <c r="B100" s="405"/>
      <c r="C100" s="2328" t="s">
        <v>687</v>
      </c>
      <c r="D100" s="3070">
        <v>0</v>
      </c>
    </row>
    <row r="101" spans="2:5" ht="15">
      <c r="B101" s="405"/>
      <c r="C101" s="2331" t="s">
        <v>718</v>
      </c>
      <c r="D101" s="3069">
        <f>SUM(D102:D104)</f>
        <v>0</v>
      </c>
    </row>
    <row r="102" spans="2:5" ht="18">
      <c r="B102" s="405"/>
      <c r="C102" s="2328" t="s">
        <v>685</v>
      </c>
      <c r="D102" s="3070">
        <f>'Iron And Steel'!F18/1000000</f>
        <v>0</v>
      </c>
    </row>
    <row r="103" spans="2:5" ht="18">
      <c r="B103" s="405"/>
      <c r="C103" s="2328" t="s">
        <v>686</v>
      </c>
      <c r="D103" s="3070">
        <v>0</v>
      </c>
    </row>
    <row r="104" spans="2:5" ht="18">
      <c r="B104" s="405"/>
      <c r="C104" s="2328" t="s">
        <v>687</v>
      </c>
      <c r="D104" s="3070">
        <v>0</v>
      </c>
    </row>
    <row r="105" spans="2:5" ht="15">
      <c r="B105" s="405"/>
      <c r="C105" s="2331" t="s">
        <v>719</v>
      </c>
      <c r="D105" s="3069">
        <f>SUM(D106:D108)</f>
        <v>2.9566384416410689</v>
      </c>
      <c r="E105" s="2992"/>
    </row>
    <row r="106" spans="2:5" ht="18">
      <c r="B106" s="405"/>
      <c r="C106" s="2328" t="s">
        <v>685</v>
      </c>
      <c r="D106" s="3070">
        <v>0</v>
      </c>
    </row>
    <row r="107" spans="2:5" ht="18">
      <c r="B107" s="405"/>
      <c r="C107" s="2328" t="s">
        <v>686</v>
      </c>
      <c r="D107" s="3070">
        <v>0</v>
      </c>
    </row>
    <row r="108" spans="2:5" ht="18">
      <c r="B108" s="405"/>
      <c r="C108" s="2328" t="s">
        <v>720</v>
      </c>
      <c r="D108" s="3070">
        <f>'LimeT&amp;DSodaODS'!D52/1000000</f>
        <v>2.9566384416410689</v>
      </c>
    </row>
    <row r="109" spans="2:5" ht="15">
      <c r="B109" s="405"/>
      <c r="C109" s="2331" t="s">
        <v>721</v>
      </c>
      <c r="D109" s="3069">
        <f>SUM(D110:D112)</f>
        <v>4.0367099999999996E-2</v>
      </c>
      <c r="E109" s="2992"/>
    </row>
    <row r="110" spans="2:5" ht="18">
      <c r="B110" s="405"/>
      <c r="C110" s="2328" t="s">
        <v>685</v>
      </c>
      <c r="D110" s="3070">
        <v>0</v>
      </c>
    </row>
    <row r="111" spans="2:5" ht="18">
      <c r="B111" s="405"/>
      <c r="C111" s="2328" t="s">
        <v>686</v>
      </c>
      <c r="D111" s="3070">
        <v>0</v>
      </c>
    </row>
    <row r="112" spans="2:5" ht="18">
      <c r="B112" s="405"/>
      <c r="C112" s="2328" t="s">
        <v>720</v>
      </c>
      <c r="D112" s="3070">
        <f>'LimeT&amp;DSodaODS'!D55/1000000</f>
        <v>4.0367099999999996E-2</v>
      </c>
    </row>
    <row r="113" spans="2:5" ht="15">
      <c r="B113" s="405"/>
      <c r="C113" s="2331" t="s">
        <v>722</v>
      </c>
      <c r="D113" s="3069">
        <f>SUM(D114:D116)</f>
        <v>0</v>
      </c>
      <c r="E113" s="2992"/>
    </row>
    <row r="114" spans="2:5" ht="18">
      <c r="B114" s="405"/>
      <c r="C114" s="2328" t="s">
        <v>685</v>
      </c>
      <c r="D114" s="3070">
        <v>0</v>
      </c>
    </row>
    <row r="115" spans="2:5" ht="18">
      <c r="B115" s="405"/>
      <c r="C115" s="2328" t="s">
        <v>686</v>
      </c>
      <c r="D115" s="3070">
        <v>0</v>
      </c>
    </row>
    <row r="116" spans="2:5" ht="18">
      <c r="B116" s="405"/>
      <c r="C116" s="2328" t="s">
        <v>720</v>
      </c>
      <c r="D116" s="3070">
        <v>0</v>
      </c>
    </row>
    <row r="117" spans="2:5" ht="15">
      <c r="B117" s="405"/>
      <c r="C117" s="2331" t="s">
        <v>723</v>
      </c>
      <c r="D117" s="3069">
        <f>SUM(D118:D120)</f>
        <v>1.4694899999999999E-3</v>
      </c>
      <c r="E117" s="2992"/>
    </row>
    <row r="118" spans="2:5" ht="18">
      <c r="B118" s="405"/>
      <c r="C118" s="2328" t="s">
        <v>685</v>
      </c>
      <c r="D118" s="3070">
        <f>'LimeT&amp;DSodaODS'!D46/1000000</f>
        <v>1.4694899999999999E-3</v>
      </c>
    </row>
    <row r="119" spans="2:5" ht="18">
      <c r="B119" s="405"/>
      <c r="C119" s="2328" t="s">
        <v>686</v>
      </c>
      <c r="D119" s="3070">
        <v>0</v>
      </c>
    </row>
    <row r="120" spans="2:5" ht="18">
      <c r="B120" s="405"/>
      <c r="C120" s="2328" t="s">
        <v>720</v>
      </c>
      <c r="D120" s="3070">
        <v>0</v>
      </c>
    </row>
    <row r="121" spans="2:5" ht="15">
      <c r="B121" s="405"/>
      <c r="C121" s="2331" t="s">
        <v>724</v>
      </c>
      <c r="D121" s="3069">
        <f>SUM(D122:D124)</f>
        <v>0</v>
      </c>
    </row>
    <row r="122" spans="2:5" ht="18">
      <c r="B122" s="405"/>
      <c r="C122" s="2328" t="s">
        <v>685</v>
      </c>
      <c r="D122" s="3070">
        <v>0</v>
      </c>
    </row>
    <row r="123" spans="2:5" ht="18">
      <c r="B123" s="405"/>
      <c r="C123" s="2328" t="s">
        <v>686</v>
      </c>
      <c r="D123" s="3070">
        <v>0</v>
      </c>
    </row>
    <row r="124" spans="2:5" ht="18">
      <c r="B124" s="406"/>
      <c r="C124" s="2329" t="s">
        <v>720</v>
      </c>
      <c r="D124" s="3070">
        <v>0</v>
      </c>
    </row>
    <row r="125" spans="2:5" ht="15">
      <c r="B125" s="407" t="s">
        <v>193</v>
      </c>
      <c r="C125" s="2330"/>
      <c r="D125" s="3072">
        <f>D126+D130+D134+D138+D142</f>
        <v>1.6142810260154288</v>
      </c>
      <c r="E125" s="2447"/>
    </row>
    <row r="126" spans="2:5" ht="15">
      <c r="B126" s="2321"/>
      <c r="C126" s="2322" t="s">
        <v>198</v>
      </c>
      <c r="D126" s="3069">
        <f>SUM(D127:D129)</f>
        <v>0.38194985639999995</v>
      </c>
    </row>
    <row r="127" spans="2:5" ht="18">
      <c r="B127" s="405"/>
      <c r="C127" s="2328" t="s">
        <v>685</v>
      </c>
      <c r="D127" s="3070">
        <v>0</v>
      </c>
    </row>
    <row r="128" spans="2:5" ht="18">
      <c r="B128" s="405"/>
      <c r="C128" s="2328" t="s">
        <v>686</v>
      </c>
      <c r="D128" s="3070">
        <f>Agricultural!M25</f>
        <v>0.38194985639999995</v>
      </c>
    </row>
    <row r="129" spans="2:5" ht="18">
      <c r="B129" s="405"/>
      <c r="C129" s="2328" t="s">
        <v>687</v>
      </c>
      <c r="D129" s="3070">
        <v>0</v>
      </c>
    </row>
    <row r="130" spans="2:5" ht="15">
      <c r="B130" s="405"/>
      <c r="C130" s="2331" t="s">
        <v>199</v>
      </c>
      <c r="D130" s="3069">
        <f>SUM(D131:D133)</f>
        <v>0.30721002280613202</v>
      </c>
    </row>
    <row r="131" spans="2:5" ht="18">
      <c r="B131" s="405"/>
      <c r="C131" s="2328" t="s">
        <v>685</v>
      </c>
      <c r="D131" s="3070">
        <v>0</v>
      </c>
    </row>
    <row r="132" spans="2:5" ht="18">
      <c r="B132" s="405"/>
      <c r="C132" s="2328" t="s">
        <v>686</v>
      </c>
      <c r="D132" s="3070">
        <f>Agricultural!W61</f>
        <v>9.3867402806131983E-2</v>
      </c>
    </row>
    <row r="133" spans="2:5" ht="18">
      <c r="B133" s="405"/>
      <c r="C133" s="2328" t="s">
        <v>687</v>
      </c>
      <c r="D133" s="3070">
        <f>Agricultural!U89</f>
        <v>0.21334262000000004</v>
      </c>
    </row>
    <row r="134" spans="2:5" ht="15">
      <c r="B134" s="405"/>
      <c r="C134" s="2331" t="s">
        <v>212</v>
      </c>
      <c r="D134" s="3069">
        <f>SUM(D135:D137)</f>
        <v>0.90817120778712146</v>
      </c>
    </row>
    <row r="135" spans="2:5" ht="18">
      <c r="B135" s="405"/>
      <c r="C135" s="2328" t="s">
        <v>685</v>
      </c>
      <c r="D135" s="3070">
        <v>0</v>
      </c>
    </row>
    <row r="136" spans="2:5" ht="18">
      <c r="B136" s="405"/>
      <c r="C136" s="2328" t="s">
        <v>686</v>
      </c>
      <c r="D136" s="3070">
        <v>0</v>
      </c>
    </row>
    <row r="137" spans="2:5" ht="18">
      <c r="B137" s="405"/>
      <c r="C137" s="2328" t="s">
        <v>687</v>
      </c>
      <c r="D137" s="3070">
        <f>Agricultural!E233</f>
        <v>0.90817120778712146</v>
      </c>
    </row>
    <row r="138" spans="2:5" ht="15">
      <c r="B138" s="405"/>
      <c r="C138" s="2331" t="s">
        <v>192</v>
      </c>
      <c r="D138" s="3069">
        <f>SUM(D139:D141)</f>
        <v>6.2799390221752816E-3</v>
      </c>
    </row>
    <row r="139" spans="2:5" ht="18">
      <c r="B139" s="405"/>
      <c r="C139" s="2328" t="s">
        <v>685</v>
      </c>
      <c r="D139" s="3070">
        <v>0</v>
      </c>
    </row>
    <row r="140" spans="2:5" ht="18">
      <c r="B140" s="405"/>
      <c r="C140" s="2328" t="s">
        <v>686</v>
      </c>
      <c r="D140" s="3070">
        <f>Agricultural!E243</f>
        <v>3.7803964061275518E-3</v>
      </c>
    </row>
    <row r="141" spans="2:5" ht="18">
      <c r="B141" s="405"/>
      <c r="C141" s="2328" t="s">
        <v>687</v>
      </c>
      <c r="D141" s="3070">
        <f>Agricultural!E247</f>
        <v>2.4995426160477298E-3</v>
      </c>
    </row>
    <row r="142" spans="2:5" ht="15">
      <c r="B142" s="405"/>
      <c r="C142" s="2332" t="s">
        <v>725</v>
      </c>
      <c r="D142" s="3069">
        <f>SUM(D143:D145)</f>
        <v>1.0670000000000001E-2</v>
      </c>
      <c r="E142" s="2884"/>
    </row>
    <row r="143" spans="2:5" ht="18">
      <c r="B143" s="405"/>
      <c r="C143" s="2328" t="s">
        <v>685</v>
      </c>
      <c r="D143" s="3070">
        <f>'Land Use'!AE17</f>
        <v>1.0670000000000001E-2</v>
      </c>
    </row>
    <row r="144" spans="2:5" ht="18">
      <c r="B144" s="405"/>
      <c r="C144" s="2328" t="s">
        <v>686</v>
      </c>
      <c r="D144" s="3070">
        <v>0</v>
      </c>
    </row>
    <row r="145" spans="2:5" ht="18">
      <c r="B145" s="406"/>
      <c r="C145" s="2329" t="s">
        <v>687</v>
      </c>
      <c r="D145" s="3070">
        <v>0</v>
      </c>
    </row>
    <row r="146" spans="2:5" ht="15">
      <c r="B146" s="407" t="s">
        <v>195</v>
      </c>
      <c r="C146" s="2330"/>
      <c r="D146" s="3074">
        <f>D147+D151+D155+D159</f>
        <v>2.2785933941217293</v>
      </c>
      <c r="E146" s="2447"/>
    </row>
    <row r="147" spans="2:5" ht="15">
      <c r="B147" s="2321"/>
      <c r="C147" s="2322" t="s">
        <v>904</v>
      </c>
      <c r="D147" s="3067">
        <f>SUM(D148:D150)</f>
        <v>1.1877770288353324</v>
      </c>
    </row>
    <row r="148" spans="2:5" ht="18">
      <c r="B148" s="405"/>
      <c r="C148" s="2328" t="s">
        <v>685</v>
      </c>
      <c r="D148" s="3070">
        <f>(Incinerators!AC23*0.9072)/1000000</f>
        <v>1.1874930861931199</v>
      </c>
    </row>
    <row r="149" spans="2:5" ht="18">
      <c r="B149" s="405"/>
      <c r="C149" s="2328" t="s">
        <v>686</v>
      </c>
      <c r="D149" s="3070">
        <f>(Incinerators!AC29*0.9072)/1000000</f>
        <v>2.51156449480608E-4</v>
      </c>
    </row>
    <row r="150" spans="2:5" ht="18">
      <c r="B150" s="405"/>
      <c r="C150" s="2328" t="s">
        <v>687</v>
      </c>
      <c r="D150" s="3070">
        <f>Incinerators!AC35*0.9072/1000000</f>
        <v>3.2786192731823997E-5</v>
      </c>
    </row>
    <row r="151" spans="2:5" ht="15">
      <c r="B151" s="405"/>
      <c r="C151" s="2331" t="s">
        <v>905</v>
      </c>
      <c r="D151" s="3067">
        <f>SUM(D152:D154)</f>
        <v>0.45721270201182351</v>
      </c>
    </row>
    <row r="152" spans="2:5" ht="18">
      <c r="B152" s="405"/>
      <c r="C152" s="2328" t="s">
        <v>685</v>
      </c>
      <c r="D152" s="3070">
        <f>Landfills!U94</f>
        <v>0.12295760900581183</v>
      </c>
    </row>
    <row r="153" spans="2:5" ht="18">
      <c r="B153" s="405"/>
      <c r="C153" s="2328" t="s">
        <v>686</v>
      </c>
      <c r="D153" s="3070">
        <f>Landfills!U98</f>
        <v>0.33425509300601169</v>
      </c>
    </row>
    <row r="154" spans="2:5" ht="18">
      <c r="B154" s="405"/>
      <c r="C154" s="2328" t="s">
        <v>687</v>
      </c>
      <c r="D154" s="3070">
        <v>0</v>
      </c>
    </row>
    <row r="155" spans="2:5" ht="15">
      <c r="B155" s="405"/>
      <c r="C155" s="2331" t="s">
        <v>196</v>
      </c>
      <c r="D155" s="3067">
        <f>SUM(D156:D158)</f>
        <v>0.60060366327457326</v>
      </c>
    </row>
    <row r="156" spans="2:5" ht="18">
      <c r="B156" s="405"/>
      <c r="C156" s="2328" t="s">
        <v>685</v>
      </c>
      <c r="D156" s="3070">
        <v>0</v>
      </c>
    </row>
    <row r="157" spans="2:5" ht="18">
      <c r="B157" s="405"/>
      <c r="C157" s="2328" t="s">
        <v>686</v>
      </c>
      <c r="D157" s="3070">
        <f>Wastewater!C31+Wastewater!C33</f>
        <v>0.40799313192689096</v>
      </c>
    </row>
    <row r="158" spans="2:5" ht="18">
      <c r="B158" s="405"/>
      <c r="C158" s="2328" t="s">
        <v>687</v>
      </c>
      <c r="D158" s="3070">
        <f>Wastewater!C32</f>
        <v>0.19261053134768236</v>
      </c>
    </row>
    <row r="159" spans="2:5" ht="15">
      <c r="B159" s="405"/>
      <c r="C159" s="2331" t="s">
        <v>1109</v>
      </c>
      <c r="D159" s="3067">
        <f>SUM(D160:D162)</f>
        <v>3.3000000000000002E-2</v>
      </c>
    </row>
    <row r="160" spans="2:5" ht="18">
      <c r="B160" s="405"/>
      <c r="C160" s="2328" t="s">
        <v>685</v>
      </c>
      <c r="D160" s="3070">
        <f>OpenBurn!D7</f>
        <v>3.3000000000000002E-2</v>
      </c>
    </row>
    <row r="161" spans="2:7" ht="18">
      <c r="B161" s="405"/>
      <c r="C161" s="2328" t="s">
        <v>686</v>
      </c>
      <c r="D161" s="3070">
        <v>0</v>
      </c>
    </row>
    <row r="162" spans="2:7" ht="18">
      <c r="B162" s="406"/>
      <c r="C162" s="2329" t="s">
        <v>687</v>
      </c>
      <c r="D162" s="3070">
        <v>0</v>
      </c>
    </row>
    <row r="163" spans="2:7" ht="15">
      <c r="B163" s="3491" t="s">
        <v>726</v>
      </c>
      <c r="C163" s="3492"/>
      <c r="D163" s="3075">
        <f>D146+D125+D88+D75+D42+D25+D5</f>
        <v>79.119934998152246</v>
      </c>
      <c r="G163" s="3256"/>
    </row>
    <row r="164" spans="2:7" ht="15">
      <c r="B164" s="408"/>
      <c r="C164" s="2333" t="s">
        <v>1758</v>
      </c>
      <c r="D164" s="3070"/>
      <c r="E164" s="3278"/>
    </row>
    <row r="165" spans="2:7" ht="15">
      <c r="B165" s="3491" t="s">
        <v>727</v>
      </c>
      <c r="C165" s="3492"/>
      <c r="D165" s="3076">
        <f>SUM(D166:D169)</f>
        <v>-11.722059064726198</v>
      </c>
    </row>
    <row r="166" spans="2:7" ht="15">
      <c r="B166" s="2334"/>
      <c r="C166" s="2322" t="s">
        <v>1110</v>
      </c>
      <c r="D166" s="3070">
        <f>'Land Use'!AE8+'Land Use'!AE9+'Land Use'!AE10+'Land Use'!AE11+'Land Use'!AE13</f>
        <v>-10.446577825333891</v>
      </c>
    </row>
    <row r="167" spans="2:7" ht="15">
      <c r="B167" s="409"/>
      <c r="C167" s="2331" t="s">
        <v>1107</v>
      </c>
      <c r="D167" s="3070">
        <f>'Land Use'!AE18+'Land Use'!AE19+'Land Use'!AE27</f>
        <v>-1.240562775202442</v>
      </c>
    </row>
    <row r="168" spans="2:7" ht="15">
      <c r="B168" s="409"/>
      <c r="C168" s="2331" t="s">
        <v>728</v>
      </c>
      <c r="D168" s="3070">
        <f>'Land Use'!AE12</f>
        <v>-5.1420444948206523E-2</v>
      </c>
    </row>
    <row r="169" spans="2:7" ht="15">
      <c r="B169" s="409"/>
      <c r="C169" s="2331" t="s">
        <v>1106</v>
      </c>
      <c r="D169" s="3070">
        <f>SUM(D170:D171)</f>
        <v>1.6501980758342395E-2</v>
      </c>
    </row>
    <row r="170" spans="2:7" ht="18">
      <c r="B170" s="409"/>
      <c r="C170" s="2328" t="s">
        <v>686</v>
      </c>
      <c r="D170" s="3070">
        <f>'Land Use'!AE25</f>
        <v>1.3746263109667197E-2</v>
      </c>
    </row>
    <row r="171" spans="2:7" ht="18">
      <c r="B171" s="410"/>
      <c r="C171" s="2329" t="s">
        <v>687</v>
      </c>
      <c r="D171" s="3070">
        <f>'Land Use'!AE26</f>
        <v>2.7557176486751999E-3</v>
      </c>
    </row>
    <row r="172" spans="2:7" ht="15">
      <c r="B172" s="3491" t="s">
        <v>729</v>
      </c>
      <c r="C172" s="3492"/>
      <c r="D172" s="3072">
        <f>D163+D165</f>
        <v>67.39787593342605</v>
      </c>
      <c r="G172" s="3256"/>
    </row>
    <row r="173" spans="2:7" ht="15.75" thickBot="1">
      <c r="B173" s="2441"/>
      <c r="C173" s="2442"/>
      <c r="D173" s="3077"/>
    </row>
    <row r="174" spans="2:7" ht="15">
      <c r="B174" s="1732"/>
      <c r="C174" s="1732"/>
      <c r="D174" s="2443"/>
    </row>
    <row r="175" spans="2:7" ht="15.75" thickBot="1">
      <c r="B175" s="404"/>
      <c r="C175" s="412"/>
      <c r="D175" s="2444"/>
    </row>
    <row r="176" spans="2:7" ht="15.75" thickBot="1">
      <c r="B176" s="404"/>
      <c r="C176" s="3017"/>
      <c r="D176" s="3018">
        <v>2017</v>
      </c>
      <c r="E176" s="2438"/>
    </row>
    <row r="177" spans="2:5" ht="15.75" thickBot="1">
      <c r="B177" s="411"/>
      <c r="C177" s="3017" t="s">
        <v>730</v>
      </c>
      <c r="D177" s="3019">
        <f>D5</f>
        <v>24.307108610107157</v>
      </c>
      <c r="E177" s="2437"/>
    </row>
    <row r="178" spans="2:5" ht="15.75" thickBot="1">
      <c r="B178" s="411"/>
      <c r="C178" s="3017" t="s">
        <v>731</v>
      </c>
      <c r="D178" s="3019">
        <f>D25</f>
        <v>13.870725914627787</v>
      </c>
      <c r="E178" s="2437"/>
    </row>
    <row r="179" spans="2:5" ht="15.75" thickBot="1">
      <c r="B179" s="411"/>
      <c r="C179" s="3017" t="s">
        <v>732</v>
      </c>
      <c r="D179" s="3019">
        <f>D43+D51</f>
        <v>28.575905282403198</v>
      </c>
      <c r="E179" s="2437"/>
    </row>
    <row r="180" spans="2:5" ht="15.75" thickBot="1">
      <c r="B180" s="411"/>
      <c r="C180" s="3017" t="s">
        <v>733</v>
      </c>
      <c r="D180" s="3019">
        <f>D47+D55+D59+D63+D67+D71</f>
        <v>3.228429686207317</v>
      </c>
      <c r="E180" s="2437"/>
    </row>
    <row r="181" spans="2:5" ht="15.75" thickBot="1">
      <c r="B181" s="411"/>
      <c r="C181" s="3017" t="str">
        <f>B75</f>
        <v>Fossil Fuel Industry</v>
      </c>
      <c r="D181" s="3019">
        <f>D75</f>
        <v>0.54911732636773136</v>
      </c>
      <c r="E181" s="2437"/>
    </row>
    <row r="182" spans="2:5" ht="15.75" thickBot="1">
      <c r="B182" s="411"/>
      <c r="C182" s="3017" t="str">
        <f>B88</f>
        <v>Industrial Processes</v>
      </c>
      <c r="D182" s="3019">
        <f>D88</f>
        <v>4.6957737583019155</v>
      </c>
      <c r="E182" s="2437"/>
    </row>
    <row r="183" spans="2:5" ht="15.75" thickBot="1">
      <c r="B183" s="411"/>
      <c r="C183" s="3017" t="str">
        <f>B125</f>
        <v>Agriculture</v>
      </c>
      <c r="D183" s="3019">
        <f>D125</f>
        <v>1.6142810260154288</v>
      </c>
      <c r="E183" s="2437"/>
    </row>
    <row r="184" spans="2:5" ht="15.75" thickBot="1">
      <c r="B184" s="404"/>
      <c r="C184" s="3017" t="str">
        <f>B146</f>
        <v>Waste Management</v>
      </c>
      <c r="D184" s="3019">
        <f>D146</f>
        <v>2.2785933941217293</v>
      </c>
      <c r="E184" s="2437"/>
    </row>
    <row r="185" spans="2:5" ht="12" thickBot="1">
      <c r="C185" s="171"/>
      <c r="D185" s="3020">
        <f>SUM(D177:D184)</f>
        <v>79.119934998152274</v>
      </c>
      <c r="E185" s="4"/>
    </row>
  </sheetData>
  <sheetProtection password="CD58" sheet="1" objects="1" scenarios="1"/>
  <mergeCells count="5">
    <mergeCell ref="B172:C172"/>
    <mergeCell ref="B3:C3"/>
    <mergeCell ref="B4:C4"/>
    <mergeCell ref="B163:C163"/>
    <mergeCell ref="B165:C165"/>
  </mergeCells>
  <phoneticPr fontId="0" type="noConversion"/>
  <printOptions gridLines="1"/>
  <pageMargins left="0.25" right="0.26" top="0.17" bottom="0.2" header="0.5" footer="0.2"/>
  <pageSetup orientation="portrait" r:id="rId1"/>
  <headerFooter alignWithMargins="0"/>
  <rowBreaks count="4" manualBreakCount="4">
    <brk id="41" max="3" man="1"/>
    <brk id="87" max="16383" man="1"/>
    <brk id="124" max="3" man="1"/>
    <brk id="173" max="3" man="1"/>
  </rowBreaks>
  <drawing r:id="rId2"/>
</worksheet>
</file>

<file path=xl/worksheets/sheet10.xml><?xml version="1.0" encoding="utf-8"?>
<worksheet xmlns="http://schemas.openxmlformats.org/spreadsheetml/2006/main" xmlns:r="http://schemas.openxmlformats.org/officeDocument/2006/relationships">
  <sheetPr codeName="Sheet1"/>
  <dimension ref="A1:M53"/>
  <sheetViews>
    <sheetView workbookViewId="0">
      <selection activeCell="G1" sqref="G1"/>
    </sheetView>
  </sheetViews>
  <sheetFormatPr defaultRowHeight="11.25"/>
  <cols>
    <col min="1" max="1" width="4.33203125" customWidth="1"/>
    <col min="2" max="2" width="15.5" customWidth="1"/>
    <col min="3" max="3" width="16.83203125" customWidth="1"/>
    <col min="4" max="4" width="23.5" customWidth="1"/>
    <col min="5" max="6" width="17.83203125" customWidth="1"/>
    <col min="7" max="7" width="15.1640625" customWidth="1"/>
  </cols>
  <sheetData>
    <row r="1" spans="1:13" ht="33">
      <c r="A1" s="482" t="s">
        <v>268</v>
      </c>
      <c r="B1" s="229"/>
      <c r="F1" s="1"/>
      <c r="G1" s="479" t="s">
        <v>1760</v>
      </c>
      <c r="H1" s="1"/>
    </row>
    <row r="2" spans="1:13" ht="123.75" customHeight="1"/>
    <row r="3" spans="1:13" ht="21">
      <c r="B3" s="53" t="s">
        <v>939</v>
      </c>
      <c r="C3" s="54"/>
      <c r="D3" s="53"/>
      <c r="E3" s="44">
        <v>2017</v>
      </c>
      <c r="F3" s="18"/>
      <c r="G3" s="18"/>
      <c r="H3" s="18"/>
      <c r="I3" s="18"/>
      <c r="J3" s="18"/>
      <c r="K3" s="18"/>
      <c r="L3" s="18"/>
      <c r="M3" s="18"/>
    </row>
    <row r="4" spans="1:13" ht="13.5" thickBot="1">
      <c r="B4" s="45"/>
      <c r="C4" s="18"/>
      <c r="D4" s="43"/>
      <c r="E4" s="45"/>
      <c r="F4" s="18"/>
      <c r="G4" s="18"/>
      <c r="H4" s="18"/>
      <c r="I4" s="18"/>
      <c r="J4" s="18"/>
      <c r="K4" s="18"/>
      <c r="L4" s="1"/>
      <c r="M4" s="1"/>
    </row>
    <row r="5" spans="1:13" ht="15" thickTop="1">
      <c r="B5" s="55"/>
      <c r="C5" s="2344" t="s">
        <v>106</v>
      </c>
      <c r="D5" s="2344" t="s">
        <v>107</v>
      </c>
      <c r="E5" s="2344" t="s">
        <v>152</v>
      </c>
      <c r="F5" s="2344" t="s">
        <v>108</v>
      </c>
      <c r="G5" s="2345" t="s">
        <v>108</v>
      </c>
      <c r="H5" s="12"/>
      <c r="I5" s="4"/>
      <c r="J5" s="5"/>
      <c r="K5" s="46"/>
      <c r="L5" s="4"/>
      <c r="M5" s="46"/>
    </row>
    <row r="6" spans="1:13" ht="15" thickBot="1">
      <c r="B6" s="2350" t="s">
        <v>1120</v>
      </c>
      <c r="C6" s="2348" t="s">
        <v>110</v>
      </c>
      <c r="D6" s="2348" t="s">
        <v>153</v>
      </c>
      <c r="E6" s="2348" t="s">
        <v>154</v>
      </c>
      <c r="F6" s="2348" t="s">
        <v>155</v>
      </c>
      <c r="G6" s="2349" t="s">
        <v>1395</v>
      </c>
      <c r="H6" s="46"/>
      <c r="I6" s="4"/>
      <c r="J6" s="46"/>
      <c r="K6" s="46"/>
      <c r="L6" s="4"/>
      <c r="M6" s="46"/>
    </row>
    <row r="7" spans="1:13" ht="12.75">
      <c r="B7" s="2346" t="s">
        <v>1112</v>
      </c>
      <c r="C7" s="3279">
        <v>0</v>
      </c>
      <c r="D7" s="2347">
        <v>56.79</v>
      </c>
      <c r="E7" s="2386">
        <v>1</v>
      </c>
      <c r="F7" s="2392">
        <f>C7*1000*D7*E7/2000</f>
        <v>0</v>
      </c>
      <c r="G7" s="2389">
        <f>F7*(44/12)*0.907441/1000000</f>
        <v>0</v>
      </c>
      <c r="H7" s="56"/>
      <c r="I7" s="4"/>
      <c r="J7" s="56"/>
      <c r="K7" s="57"/>
      <c r="L7" s="56"/>
      <c r="M7" s="57"/>
    </row>
    <row r="8" spans="1:13" ht="12.75">
      <c r="B8" s="2338" t="s">
        <v>897</v>
      </c>
      <c r="C8" s="2341">
        <v>10426</v>
      </c>
      <c r="D8" s="2342">
        <v>44.47</v>
      </c>
      <c r="E8" s="2387">
        <v>1</v>
      </c>
      <c r="F8" s="2393">
        <f>C8*1000*D8*E8/2000</f>
        <v>231822.11</v>
      </c>
      <c r="G8" s="2390">
        <f>F8*(44/12)*0.907441/1000000</f>
        <v>0.7713379201752032</v>
      </c>
      <c r="H8" s="56"/>
      <c r="I8" s="4"/>
      <c r="J8" s="56"/>
      <c r="K8" s="57"/>
      <c r="L8" s="56"/>
      <c r="M8" s="57"/>
    </row>
    <row r="9" spans="1:13" ht="12.75">
      <c r="B9" s="2338" t="s">
        <v>922</v>
      </c>
      <c r="C9" s="2341">
        <v>149</v>
      </c>
      <c r="D9" s="2342">
        <v>44.01</v>
      </c>
      <c r="E9" s="2387">
        <v>1</v>
      </c>
      <c r="F9" s="2393">
        <f>C9*1000*D9*E9/2000</f>
        <v>3278.7449999999999</v>
      </c>
      <c r="G9" s="2390">
        <f>F9*(44/12)*0.907441/1000000</f>
        <v>1.0909314685665E-2</v>
      </c>
      <c r="H9" s="56"/>
      <c r="I9" s="4"/>
      <c r="J9" s="56"/>
      <c r="K9" s="57"/>
      <c r="L9" s="56"/>
      <c r="M9" s="57"/>
    </row>
    <row r="10" spans="1:13" ht="12.75">
      <c r="B10" s="2338" t="s">
        <v>899</v>
      </c>
      <c r="C10" s="2341">
        <v>6277</v>
      </c>
      <c r="D10" s="2342">
        <v>37.110283550140529</v>
      </c>
      <c r="E10" s="2387">
        <v>1</v>
      </c>
      <c r="F10" s="2393">
        <f>C10*1000*D10*E10/2000</f>
        <v>116470.62492211605</v>
      </c>
      <c r="G10" s="2390">
        <f>F10*(44/12)*0.907441/1000000</f>
        <v>0.38753080794981637</v>
      </c>
      <c r="H10" s="56"/>
      <c r="I10" s="4"/>
      <c r="J10" s="56"/>
      <c r="K10" s="57"/>
      <c r="L10" s="56"/>
      <c r="M10" s="57"/>
    </row>
    <row r="11" spans="1:13" ht="13.5" thickBot="1">
      <c r="B11" s="2376" t="s">
        <v>1114</v>
      </c>
      <c r="C11" s="2377">
        <v>79376</v>
      </c>
      <c r="D11" s="2378">
        <v>31.9</v>
      </c>
      <c r="E11" s="2388">
        <v>1</v>
      </c>
      <c r="F11" s="2394">
        <f>C11*1000*D11*E11/2000</f>
        <v>1266047.2</v>
      </c>
      <c r="G11" s="2391">
        <f>F11*(44/12)*0.907441/1000000</f>
        <v>4.2124981697890664</v>
      </c>
      <c r="H11" s="56"/>
      <c r="I11" s="4"/>
      <c r="J11" s="56"/>
      <c r="K11" s="57"/>
      <c r="L11" s="56"/>
      <c r="M11" s="57"/>
    </row>
    <row r="12" spans="1:13" ht="12" thickBot="1">
      <c r="B12" s="81"/>
      <c r="C12" s="83"/>
      <c r="D12" s="83"/>
      <c r="E12" s="2343"/>
      <c r="F12" s="2670" t="s">
        <v>190</v>
      </c>
      <c r="G12" s="2671">
        <f>SUM(G7:G11)</f>
        <v>5.3822762125997512</v>
      </c>
      <c r="H12" s="4"/>
      <c r="I12" s="4"/>
      <c r="J12" s="4"/>
      <c r="K12" s="4"/>
      <c r="L12" s="4"/>
      <c r="M12" s="4"/>
    </row>
    <row r="13" spans="1:13" ht="12" thickTop="1"/>
    <row r="14" spans="1:13" ht="21">
      <c r="B14" s="53" t="s">
        <v>940</v>
      </c>
      <c r="C14" s="58"/>
      <c r="D14" s="59"/>
      <c r="E14" s="44">
        <v>2017</v>
      </c>
      <c r="F14" s="16"/>
      <c r="G14" s="18"/>
      <c r="H14" s="18"/>
      <c r="I14" s="18"/>
      <c r="J14" s="16"/>
      <c r="K14" s="16"/>
      <c r="L14" s="16"/>
      <c r="M14" s="16"/>
    </row>
    <row r="15" spans="1:13" ht="13.5" thickBot="1">
      <c r="B15" s="45"/>
      <c r="C15" s="18"/>
      <c r="D15" s="43"/>
      <c r="E15" s="45"/>
      <c r="F15" s="18"/>
      <c r="G15" s="18"/>
      <c r="H15" s="12"/>
      <c r="I15" s="12"/>
      <c r="J15" s="12"/>
      <c r="K15" s="12"/>
      <c r="L15" s="12"/>
      <c r="M15" s="12"/>
    </row>
    <row r="16" spans="1:13" ht="15" thickTop="1">
      <c r="B16" s="2359"/>
      <c r="C16" s="2344" t="s">
        <v>106</v>
      </c>
      <c r="D16" s="2344" t="s">
        <v>107</v>
      </c>
      <c r="E16" s="2344" t="s">
        <v>108</v>
      </c>
      <c r="F16" s="2344" t="s">
        <v>109</v>
      </c>
      <c r="G16" s="2345" t="s">
        <v>108</v>
      </c>
      <c r="H16" s="46"/>
      <c r="I16" s="5"/>
      <c r="J16" s="5"/>
      <c r="K16" s="46"/>
      <c r="L16" s="5"/>
      <c r="M16" s="46"/>
    </row>
    <row r="17" spans="2:13" ht="15" thickBot="1">
      <c r="B17" s="2350" t="s">
        <v>1120</v>
      </c>
      <c r="C17" s="2348" t="s">
        <v>110</v>
      </c>
      <c r="D17" s="2348" t="s">
        <v>1397</v>
      </c>
      <c r="E17" s="2348" t="s">
        <v>1398</v>
      </c>
      <c r="F17" s="2348"/>
      <c r="G17" s="2349" t="s">
        <v>1395</v>
      </c>
      <c r="H17" s="46"/>
      <c r="I17" s="5"/>
      <c r="J17" s="46"/>
      <c r="K17" s="46"/>
      <c r="L17" s="5"/>
      <c r="M17" s="46"/>
    </row>
    <row r="18" spans="2:13" ht="12.75">
      <c r="B18" s="2357" t="s">
        <v>1112</v>
      </c>
      <c r="C18" s="3283">
        <v>0</v>
      </c>
      <c r="D18" s="2358">
        <v>1.5034545899835E-3</v>
      </c>
      <c r="E18" s="2373">
        <f t="shared" ref="E18:E23" si="0">C18*D18</f>
        <v>0</v>
      </c>
      <c r="F18" s="2371">
        <v>310</v>
      </c>
      <c r="G18" s="3281">
        <f t="shared" ref="G18:G23" si="1">E18*F18/1000000</f>
        <v>0</v>
      </c>
      <c r="H18" s="61"/>
      <c r="I18" s="5"/>
      <c r="J18" s="56"/>
      <c r="K18" s="62"/>
      <c r="L18" s="56"/>
      <c r="M18" s="62"/>
    </row>
    <row r="19" spans="2:13" ht="12.75">
      <c r="B19" s="2338" t="s">
        <v>897</v>
      </c>
      <c r="C19" s="2341">
        <v>10426</v>
      </c>
      <c r="D19" s="2352">
        <v>6.0138183599339984E-4</v>
      </c>
      <c r="E19" s="2374">
        <f t="shared" si="0"/>
        <v>6.2700070220671869</v>
      </c>
      <c r="F19" s="2372">
        <v>310</v>
      </c>
      <c r="G19" s="2375">
        <f t="shared" si="1"/>
        <v>1.9437021768408278E-3</v>
      </c>
      <c r="H19" s="61"/>
      <c r="I19" s="5"/>
      <c r="J19" s="56"/>
      <c r="K19" s="62"/>
      <c r="L19" s="56"/>
      <c r="M19" s="62"/>
    </row>
    <row r="20" spans="2:13" ht="12.75">
      <c r="B20" s="2338" t="s">
        <v>922</v>
      </c>
      <c r="C20" s="2341">
        <v>149</v>
      </c>
      <c r="D20" s="2352">
        <v>6.0138183599339984E-4</v>
      </c>
      <c r="E20" s="2374">
        <f t="shared" si="0"/>
        <v>8.960589356301657E-2</v>
      </c>
      <c r="F20" s="2372">
        <v>310</v>
      </c>
      <c r="G20" s="2375">
        <f t="shared" si="1"/>
        <v>2.7777827004535137E-5</v>
      </c>
      <c r="H20" s="61"/>
      <c r="I20" s="5"/>
      <c r="J20" s="56"/>
      <c r="K20" s="62"/>
      <c r="L20" s="56"/>
      <c r="M20" s="62"/>
    </row>
    <row r="21" spans="2:13" ht="12.75">
      <c r="B21" s="2338" t="s">
        <v>899</v>
      </c>
      <c r="C21" s="2341">
        <v>6277</v>
      </c>
      <c r="D21" s="2352">
        <v>6.0138183599339984E-4</v>
      </c>
      <c r="E21" s="2374">
        <f t="shared" si="0"/>
        <v>3.7748737845305707</v>
      </c>
      <c r="F21" s="2372">
        <v>310</v>
      </c>
      <c r="G21" s="2375">
        <f t="shared" si="1"/>
        <v>1.1702108732044769E-3</v>
      </c>
      <c r="H21" s="61"/>
      <c r="I21" s="5"/>
      <c r="J21" s="56"/>
      <c r="K21" s="62"/>
      <c r="L21" s="56"/>
      <c r="M21" s="62"/>
    </row>
    <row r="22" spans="2:13" ht="12.75">
      <c r="B22" s="2338" t="s">
        <v>1114</v>
      </c>
      <c r="C22" s="2341">
        <v>79376</v>
      </c>
      <c r="D22" s="2352">
        <v>9.4955026735800017E-5</v>
      </c>
      <c r="E22" s="2374">
        <f t="shared" si="0"/>
        <v>7.5371502021808618</v>
      </c>
      <c r="F22" s="2372">
        <v>310</v>
      </c>
      <c r="G22" s="2375">
        <f t="shared" si="1"/>
        <v>2.3365165626760671E-3</v>
      </c>
      <c r="H22" s="61"/>
      <c r="I22" s="5"/>
      <c r="J22" s="56"/>
      <c r="K22" s="62"/>
      <c r="L22" s="56"/>
      <c r="M22" s="62"/>
    </row>
    <row r="23" spans="2:13" ht="13.5" thickBot="1">
      <c r="B23" s="2376" t="s">
        <v>182</v>
      </c>
      <c r="C23" s="2377">
        <v>4790</v>
      </c>
      <c r="D23" s="2379">
        <v>3.7982010694320003E-3</v>
      </c>
      <c r="E23" s="2380">
        <f t="shared" si="0"/>
        <v>18.193383122579281</v>
      </c>
      <c r="F23" s="2381">
        <v>310</v>
      </c>
      <c r="G23" s="2382">
        <f t="shared" si="1"/>
        <v>5.6399487679995777E-3</v>
      </c>
      <c r="H23" s="61"/>
      <c r="I23" s="5"/>
      <c r="J23" s="56"/>
      <c r="K23" s="62"/>
      <c r="L23" s="56"/>
      <c r="M23" s="62"/>
    </row>
    <row r="24" spans="2:13" ht="12" thickBot="1">
      <c r="B24" s="2353"/>
      <c r="C24" s="2354"/>
      <c r="D24" s="2354"/>
      <c r="E24" s="2354"/>
      <c r="F24" s="2670" t="s">
        <v>190</v>
      </c>
      <c r="G24" s="2672">
        <f>SUM(G18:G23)</f>
        <v>1.1118156207725485E-2</v>
      </c>
      <c r="H24" s="12"/>
      <c r="I24" s="46"/>
      <c r="J24" s="63"/>
      <c r="K24" s="64"/>
      <c r="L24" s="63"/>
      <c r="M24" s="65"/>
    </row>
    <row r="25" spans="2:13" ht="12" thickTop="1">
      <c r="H25" s="5"/>
      <c r="I25" s="5"/>
      <c r="J25" s="5"/>
      <c r="K25" s="5"/>
      <c r="L25" s="5"/>
      <c r="M25" s="5"/>
    </row>
    <row r="26" spans="2:13">
      <c r="H26" s="16"/>
      <c r="I26" s="16"/>
      <c r="J26" s="16"/>
      <c r="K26" s="16"/>
      <c r="L26" s="16"/>
      <c r="M26" s="16"/>
    </row>
    <row r="27" spans="2:13" ht="21">
      <c r="B27" s="53" t="s">
        <v>941</v>
      </c>
      <c r="C27" s="58"/>
      <c r="D27" s="59"/>
      <c r="E27" s="44">
        <v>2017</v>
      </c>
      <c r="F27" s="16"/>
      <c r="G27" s="18"/>
      <c r="H27" s="18"/>
      <c r="I27" s="18"/>
      <c r="J27" s="16"/>
      <c r="K27" s="16"/>
      <c r="L27" s="16"/>
      <c r="M27" s="16"/>
    </row>
    <row r="28" spans="2:13" ht="13.5" thickBot="1">
      <c r="B28" s="45"/>
      <c r="C28" s="18"/>
      <c r="D28" s="43"/>
      <c r="E28" s="45"/>
      <c r="F28" s="18"/>
      <c r="G28" s="18"/>
      <c r="H28" s="12"/>
      <c r="I28" s="12"/>
      <c r="J28" s="12"/>
      <c r="K28" s="12"/>
      <c r="L28" s="12"/>
      <c r="M28" s="12"/>
    </row>
    <row r="29" spans="2:13" ht="15" thickTop="1">
      <c r="B29" s="55"/>
      <c r="C29" s="2344" t="s">
        <v>106</v>
      </c>
      <c r="D29" s="2344" t="s">
        <v>107</v>
      </c>
      <c r="E29" s="2344" t="s">
        <v>108</v>
      </c>
      <c r="F29" s="2344" t="s">
        <v>109</v>
      </c>
      <c r="G29" s="2345" t="s">
        <v>108</v>
      </c>
      <c r="H29" s="46"/>
      <c r="I29" s="4"/>
      <c r="J29" s="5"/>
      <c r="K29" s="46"/>
      <c r="L29" s="4"/>
      <c r="M29" s="4"/>
    </row>
    <row r="30" spans="2:13" ht="15" thickBot="1">
      <c r="B30" s="2350" t="s">
        <v>1120</v>
      </c>
      <c r="C30" s="2348" t="s">
        <v>110</v>
      </c>
      <c r="D30" s="2348" t="s">
        <v>111</v>
      </c>
      <c r="E30" s="2348" t="s">
        <v>1396</v>
      </c>
      <c r="F30" s="2348"/>
      <c r="G30" s="2349" t="s">
        <v>942</v>
      </c>
      <c r="H30" s="46"/>
      <c r="I30" s="4"/>
      <c r="J30" s="46"/>
      <c r="K30" s="46"/>
      <c r="L30" s="4"/>
      <c r="M30" s="4"/>
    </row>
    <row r="31" spans="2:13" ht="12.75">
      <c r="B31" s="2346" t="s">
        <v>1112</v>
      </c>
      <c r="C31" s="3282">
        <v>0</v>
      </c>
      <c r="D31" s="2355">
        <v>0.3006909179967</v>
      </c>
      <c r="E31" s="3285">
        <f t="shared" ref="E31:E36" si="2">C31*D31</f>
        <v>0</v>
      </c>
      <c r="F31" s="2371">
        <v>21</v>
      </c>
      <c r="G31" s="3284">
        <f t="shared" ref="G31:G36" si="3">E31*F31/1000000</f>
        <v>0</v>
      </c>
      <c r="H31" s="61"/>
      <c r="I31" s="4"/>
      <c r="J31" s="56"/>
      <c r="K31" s="57"/>
      <c r="L31" s="56"/>
      <c r="M31" s="62"/>
    </row>
    <row r="32" spans="2:13" ht="12.75">
      <c r="B32" s="2338" t="s">
        <v>897</v>
      </c>
      <c r="C32" s="2351">
        <v>10426</v>
      </c>
      <c r="D32" s="2352">
        <v>1.0023030599889999E-2</v>
      </c>
      <c r="E32" s="2369">
        <f t="shared" si="2"/>
        <v>104.50011703445313</v>
      </c>
      <c r="F32" s="2372">
        <v>21</v>
      </c>
      <c r="G32" s="2370">
        <f t="shared" si="3"/>
        <v>2.1945024577235159E-3</v>
      </c>
      <c r="H32" s="61"/>
      <c r="I32" s="4"/>
      <c r="J32" s="56"/>
      <c r="K32" s="57"/>
      <c r="L32" s="56"/>
      <c r="M32" s="62"/>
    </row>
    <row r="33" spans="2:13" ht="12.75">
      <c r="B33" s="2338" t="s">
        <v>922</v>
      </c>
      <c r="C33" s="2351">
        <v>149</v>
      </c>
      <c r="D33" s="2352">
        <v>1.0023030599889999E-2</v>
      </c>
      <c r="E33" s="2369">
        <f t="shared" si="2"/>
        <v>1.4934315593836098</v>
      </c>
      <c r="F33" s="2372">
        <v>21</v>
      </c>
      <c r="G33" s="2370">
        <f t="shared" si="3"/>
        <v>3.1362062747055804E-5</v>
      </c>
      <c r="H33" s="61"/>
      <c r="I33" s="4"/>
      <c r="J33" s="56"/>
      <c r="K33" s="57"/>
      <c r="L33" s="56"/>
      <c r="M33" s="62"/>
    </row>
    <row r="34" spans="2:13" ht="12.75">
      <c r="B34" s="2338" t="s">
        <v>899</v>
      </c>
      <c r="C34" s="2351">
        <v>6277</v>
      </c>
      <c r="D34" s="2352">
        <v>1.0023030599889999E-2</v>
      </c>
      <c r="E34" s="2369">
        <f t="shared" si="2"/>
        <v>62.914563075509527</v>
      </c>
      <c r="F34" s="2372">
        <v>21</v>
      </c>
      <c r="G34" s="2370">
        <f t="shared" si="3"/>
        <v>1.3212058245857001E-3</v>
      </c>
      <c r="H34" s="61"/>
      <c r="I34" s="4"/>
      <c r="J34" s="56"/>
      <c r="K34" s="57"/>
      <c r="L34" s="56"/>
      <c r="M34" s="62"/>
    </row>
    <row r="35" spans="2:13" ht="12.75">
      <c r="B35" s="2338" t="s">
        <v>1114</v>
      </c>
      <c r="C35" s="2351">
        <v>79376</v>
      </c>
      <c r="D35" s="2352">
        <v>4.7477513367900001E-3</v>
      </c>
      <c r="E35" s="2369">
        <f t="shared" si="2"/>
        <v>376.85751010904306</v>
      </c>
      <c r="F35" s="2372">
        <v>21</v>
      </c>
      <c r="G35" s="2370">
        <f t="shared" si="3"/>
        <v>7.9140077122899048E-3</v>
      </c>
      <c r="H35" s="61"/>
      <c r="I35" s="4"/>
      <c r="J35" s="56"/>
      <c r="K35" s="57"/>
      <c r="L35" s="56"/>
      <c r="M35" s="62"/>
    </row>
    <row r="36" spans="2:13" ht="13.5" thickBot="1">
      <c r="B36" s="2376" t="s">
        <v>182</v>
      </c>
      <c r="C36" s="2383">
        <v>4790</v>
      </c>
      <c r="D36" s="2379">
        <v>0.28486508020740003</v>
      </c>
      <c r="E36" s="2384">
        <f t="shared" si="2"/>
        <v>1364.5037341934462</v>
      </c>
      <c r="F36" s="2381">
        <v>21</v>
      </c>
      <c r="G36" s="2385">
        <f t="shared" si="3"/>
        <v>2.8654578418062369E-2</v>
      </c>
      <c r="H36" s="61"/>
      <c r="I36" s="4"/>
      <c r="J36" s="63"/>
      <c r="K36" s="57"/>
      <c r="L36" s="56"/>
      <c r="M36" s="62"/>
    </row>
    <row r="37" spans="2:13" ht="15" thickBot="1">
      <c r="B37" s="2353"/>
      <c r="C37" s="2354"/>
      <c r="D37" s="2354"/>
      <c r="E37" s="2354"/>
      <c r="F37" s="2673" t="s">
        <v>190</v>
      </c>
      <c r="G37" s="2674">
        <f>SUM(G31:G36)</f>
        <v>4.0115656475408545E-2</v>
      </c>
      <c r="H37" s="12"/>
      <c r="I37" s="4"/>
      <c r="J37" s="63"/>
      <c r="K37" s="64"/>
      <c r="L37" s="5"/>
      <c r="M37" s="65"/>
    </row>
    <row r="38" spans="2:13" ht="12" thickTop="1"/>
    <row r="41" spans="2:13" ht="21">
      <c r="B41" s="66" t="s">
        <v>1373</v>
      </c>
      <c r="C41" s="19"/>
      <c r="D41" s="67"/>
      <c r="E41" s="66"/>
      <c r="F41" s="16"/>
      <c r="G41" s="18"/>
    </row>
    <row r="42" spans="2:13" ht="13.5" thickBot="1">
      <c r="B42" s="45"/>
      <c r="C42" s="18"/>
      <c r="D42" s="43"/>
      <c r="E42" s="45"/>
      <c r="F42" s="18"/>
      <c r="G42" s="18"/>
    </row>
    <row r="43" spans="2:13" ht="12" thickTop="1">
      <c r="B43" s="429"/>
      <c r="C43" s="433" t="s">
        <v>108</v>
      </c>
      <c r="D43" s="433" t="s">
        <v>108</v>
      </c>
      <c r="E43" s="433" t="s">
        <v>108</v>
      </c>
      <c r="F43" s="433" t="s">
        <v>108</v>
      </c>
      <c r="G43" s="46"/>
    </row>
    <row r="44" spans="2:13">
      <c r="B44" s="430"/>
      <c r="C44" s="434" t="s">
        <v>547</v>
      </c>
      <c r="D44" s="434" t="s">
        <v>548</v>
      </c>
      <c r="E44" s="434" t="s">
        <v>549</v>
      </c>
      <c r="F44" s="434" t="s">
        <v>190</v>
      </c>
      <c r="G44" s="46"/>
    </row>
    <row r="45" spans="2:13" ht="15" thickBot="1">
      <c r="B45" s="2350" t="s">
        <v>1120</v>
      </c>
      <c r="C45" s="2368" t="s">
        <v>551</v>
      </c>
      <c r="D45" s="2368" t="s">
        <v>551</v>
      </c>
      <c r="E45" s="2368" t="s">
        <v>551</v>
      </c>
      <c r="F45" s="2368" t="s">
        <v>551</v>
      </c>
      <c r="G45" s="46"/>
    </row>
    <row r="46" spans="2:13" ht="12.75">
      <c r="B46" s="2346" t="s">
        <v>1112</v>
      </c>
      <c r="C46" s="2364">
        <f>G7</f>
        <v>0</v>
      </c>
      <c r="D46" s="2365">
        <f t="shared" ref="D46:D51" si="4">G18</f>
        <v>0</v>
      </c>
      <c r="E46" s="2366">
        <f>G31</f>
        <v>0</v>
      </c>
      <c r="F46" s="2367">
        <f>C46+D46+E46</f>
        <v>0</v>
      </c>
      <c r="G46" s="68"/>
    </row>
    <row r="47" spans="2:13" ht="12.75">
      <c r="B47" s="2338" t="s">
        <v>897</v>
      </c>
      <c r="C47" s="2360">
        <f>G8</f>
        <v>0.7713379201752032</v>
      </c>
      <c r="D47" s="2361">
        <f t="shared" si="4"/>
        <v>1.9437021768408278E-3</v>
      </c>
      <c r="E47" s="2362">
        <f t="shared" ref="E47:E51" si="5">G32</f>
        <v>2.1945024577235159E-3</v>
      </c>
      <c r="F47" s="2363">
        <f t="shared" ref="F47:F51" si="6">C47+D47+E47</f>
        <v>0.77547612480976758</v>
      </c>
      <c r="G47" s="68"/>
    </row>
    <row r="48" spans="2:13" ht="12.75">
      <c r="B48" s="2338" t="s">
        <v>922</v>
      </c>
      <c r="C48" s="2360">
        <f>G9</f>
        <v>1.0909314685665E-2</v>
      </c>
      <c r="D48" s="2361">
        <f t="shared" si="4"/>
        <v>2.7777827004535137E-5</v>
      </c>
      <c r="E48" s="2362">
        <f t="shared" si="5"/>
        <v>3.1362062747055804E-5</v>
      </c>
      <c r="F48" s="2363">
        <f t="shared" si="6"/>
        <v>1.0968454575416592E-2</v>
      </c>
      <c r="G48" s="68"/>
    </row>
    <row r="49" spans="2:7" ht="12.75">
      <c r="B49" s="2338" t="s">
        <v>899</v>
      </c>
      <c r="C49" s="2360">
        <f>G10</f>
        <v>0.38753080794981637</v>
      </c>
      <c r="D49" s="2361">
        <f t="shared" si="4"/>
        <v>1.1702108732044769E-3</v>
      </c>
      <c r="E49" s="2362">
        <f t="shared" si="5"/>
        <v>1.3212058245857001E-3</v>
      </c>
      <c r="F49" s="2363">
        <f t="shared" si="6"/>
        <v>0.39002222464760655</v>
      </c>
      <c r="G49" s="68"/>
    </row>
    <row r="50" spans="2:7" ht="12.75">
      <c r="B50" s="2338" t="s">
        <v>1114</v>
      </c>
      <c r="C50" s="2360">
        <f>G11</f>
        <v>4.2124981697890664</v>
      </c>
      <c r="D50" s="2361">
        <f t="shared" si="4"/>
        <v>2.3365165626760671E-3</v>
      </c>
      <c r="E50" s="2362">
        <f t="shared" si="5"/>
        <v>7.9140077122899048E-3</v>
      </c>
      <c r="F50" s="2363">
        <f t="shared" si="6"/>
        <v>4.2227486940640322</v>
      </c>
      <c r="G50" s="68"/>
    </row>
    <row r="51" spans="2:7" ht="13.5" thickBot="1">
      <c r="B51" s="2376" t="s">
        <v>182</v>
      </c>
      <c r="C51" s="3286">
        <v>0</v>
      </c>
      <c r="D51" s="2395">
        <f t="shared" si="4"/>
        <v>5.6399487679995777E-3</v>
      </c>
      <c r="E51" s="2396">
        <f t="shared" si="5"/>
        <v>2.8654578418062369E-2</v>
      </c>
      <c r="F51" s="2397">
        <f t="shared" si="6"/>
        <v>3.4294527186061949E-2</v>
      </c>
      <c r="G51" s="68"/>
    </row>
    <row r="52" spans="2:7" ht="12" thickBot="1">
      <c r="B52" s="431"/>
      <c r="C52" s="432"/>
      <c r="D52" s="432"/>
      <c r="E52" s="2675" t="s">
        <v>190</v>
      </c>
      <c r="F52" s="2676">
        <f>SUM(F46:F51)</f>
        <v>5.4335100252828852</v>
      </c>
      <c r="G52" s="69"/>
    </row>
    <row r="53" spans="2:7" ht="12" thickTop="1"/>
  </sheetData>
  <sheetProtection password="CD58" sheet="1" objects="1" scenarios="1"/>
  <phoneticPr fontId="0" type="noConversion"/>
  <dataValidations count="1">
    <dataValidation allowBlank="1" showErrorMessage="1" promptTitle="Residential Sector:" prompt="Enter fuel consumption data here.  It will then automatically be entered into the methane emissions calculations." sqref="C18:C23"/>
  </dataValidations>
  <pageMargins left="0.75" right="0.75" top="1" bottom="1" header="0.5" footer="0.5"/>
  <pageSetup orientation="portrait"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sheetPr codeName="Sheet6"/>
  <dimension ref="A1:N63"/>
  <sheetViews>
    <sheetView zoomScaleNormal="100" workbookViewId="0">
      <selection activeCell="F1" sqref="F1"/>
    </sheetView>
  </sheetViews>
  <sheetFormatPr defaultRowHeight="11.25"/>
  <cols>
    <col min="1" max="1" width="4.33203125" customWidth="1"/>
    <col min="2" max="2" width="23.1640625" customWidth="1"/>
    <col min="3" max="3" width="19.6640625" customWidth="1"/>
    <col min="4" max="4" width="23.1640625" customWidth="1"/>
    <col min="5" max="5" width="18.6640625" customWidth="1"/>
    <col min="6" max="6" width="18.5" customWidth="1"/>
    <col min="7" max="7" width="17.83203125" customWidth="1"/>
  </cols>
  <sheetData>
    <row r="1" spans="1:14" s="1" customFormat="1" ht="33">
      <c r="A1" s="482" t="s">
        <v>269</v>
      </c>
      <c r="B1" s="229"/>
      <c r="F1" s="479" t="s">
        <v>1760</v>
      </c>
    </row>
    <row r="2" spans="1:14" ht="66.75" customHeight="1"/>
    <row r="3" spans="1:14" ht="12" thickBot="1"/>
    <row r="4" spans="1:14" ht="21.75" thickTop="1">
      <c r="B4" s="70" t="s">
        <v>944</v>
      </c>
      <c r="C4" s="71"/>
      <c r="D4" s="72"/>
      <c r="E4" s="73">
        <v>2017</v>
      </c>
      <c r="F4" s="74"/>
      <c r="G4" s="75"/>
      <c r="H4" s="18"/>
      <c r="I4" s="18"/>
      <c r="J4" s="18"/>
      <c r="K4" s="18"/>
      <c r="L4" s="18"/>
      <c r="M4" s="18"/>
    </row>
    <row r="5" spans="1:14" ht="12" thickBot="1">
      <c r="B5" s="76"/>
      <c r="C5" s="17"/>
      <c r="D5" s="17"/>
      <c r="E5" s="17"/>
      <c r="F5" s="17"/>
      <c r="G5" s="77"/>
      <c r="H5" s="1"/>
      <c r="I5" s="1"/>
      <c r="J5" s="1"/>
      <c r="K5" s="1"/>
      <c r="L5" s="12"/>
      <c r="M5" s="46"/>
    </row>
    <row r="6" spans="1:14" ht="14.25">
      <c r="B6" s="78"/>
      <c r="C6" s="2412" t="s">
        <v>106</v>
      </c>
      <c r="D6" s="2412" t="s">
        <v>107</v>
      </c>
      <c r="E6" s="2413" t="s">
        <v>152</v>
      </c>
      <c r="F6" s="2414" t="s">
        <v>108</v>
      </c>
      <c r="G6" s="2415" t="s">
        <v>108</v>
      </c>
      <c r="H6" s="12"/>
      <c r="I6" s="4"/>
      <c r="J6" s="17"/>
      <c r="K6" s="46"/>
      <c r="L6" s="17"/>
      <c r="M6" s="46"/>
      <c r="N6" s="4"/>
    </row>
    <row r="7" spans="1:14" ht="15" thickBot="1">
      <c r="B7" s="2350" t="s">
        <v>1120</v>
      </c>
      <c r="C7" s="2348" t="s">
        <v>110</v>
      </c>
      <c r="D7" s="2348" t="s">
        <v>153</v>
      </c>
      <c r="E7" s="2406" t="s">
        <v>154</v>
      </c>
      <c r="F7" s="2407" t="s">
        <v>155</v>
      </c>
      <c r="G7" s="2408" t="s">
        <v>1395</v>
      </c>
      <c r="H7" s="46"/>
      <c r="I7" s="4"/>
      <c r="J7" s="17"/>
      <c r="K7" s="46"/>
      <c r="L7" s="17"/>
      <c r="M7" s="46"/>
      <c r="N7" s="4"/>
    </row>
    <row r="8" spans="1:14" ht="12.75">
      <c r="B8" s="2357" t="s">
        <v>1112</v>
      </c>
      <c r="C8" s="3279">
        <v>0</v>
      </c>
      <c r="D8" s="2342">
        <v>56.792727272727269</v>
      </c>
      <c r="E8" s="2386">
        <v>1</v>
      </c>
      <c r="F8" s="3287">
        <f>C8*1000*D8*E8/2000</f>
        <v>0</v>
      </c>
      <c r="G8" s="2398">
        <f t="shared" ref="G8:G14" si="0">F8*(44/12)*0.907441/1000000</f>
        <v>0</v>
      </c>
      <c r="H8" s="56"/>
      <c r="I8" s="4"/>
      <c r="J8" s="56"/>
      <c r="K8" s="57"/>
      <c r="L8" s="56"/>
      <c r="M8" s="57"/>
      <c r="N8" s="4"/>
    </row>
    <row r="9" spans="1:14" ht="12.75">
      <c r="B9" s="2338" t="s">
        <v>897</v>
      </c>
      <c r="C9" s="2341">
        <v>5563</v>
      </c>
      <c r="D9" s="2342">
        <v>44.47</v>
      </c>
      <c r="E9" s="2387">
        <v>1</v>
      </c>
      <c r="F9" s="2400">
        <f t="shared" ref="F9:F14" si="1">C9*1000*D9*E9/2000</f>
        <v>123693.30499999999</v>
      </c>
      <c r="G9" s="87">
        <f t="shared" si="0"/>
        <v>0.41156271340251832</v>
      </c>
      <c r="H9" s="56"/>
      <c r="I9" s="4"/>
      <c r="J9" s="56"/>
      <c r="K9" s="57"/>
      <c r="L9" s="56"/>
      <c r="M9" s="57"/>
      <c r="N9" s="4"/>
    </row>
    <row r="10" spans="1:14" ht="12.75">
      <c r="B10" s="2338" t="s">
        <v>922</v>
      </c>
      <c r="C10" s="2341">
        <v>47</v>
      </c>
      <c r="D10" s="2342">
        <v>44.01</v>
      </c>
      <c r="E10" s="2387">
        <v>1</v>
      </c>
      <c r="F10" s="2400">
        <f t="shared" si="1"/>
        <v>1034.2349999999999</v>
      </c>
      <c r="G10" s="87">
        <f t="shared" si="0"/>
        <v>3.4411932229949991E-3</v>
      </c>
      <c r="H10" s="56"/>
      <c r="I10" s="4"/>
      <c r="J10" s="56"/>
      <c r="K10" s="57"/>
      <c r="L10" s="56"/>
      <c r="M10" s="57"/>
      <c r="N10" s="4"/>
    </row>
    <row r="11" spans="1:14" ht="12.75">
      <c r="B11" s="2338" t="s">
        <v>899</v>
      </c>
      <c r="C11" s="2341">
        <v>3078</v>
      </c>
      <c r="D11" s="2342">
        <v>37.110283550140529</v>
      </c>
      <c r="E11" s="2387">
        <v>1</v>
      </c>
      <c r="F11" s="2400">
        <f t="shared" si="1"/>
        <v>57112.726383666275</v>
      </c>
      <c r="G11" s="87">
        <f t="shared" si="0"/>
        <v>0.19003024165517521</v>
      </c>
      <c r="H11" s="56"/>
      <c r="I11" s="4"/>
      <c r="J11" s="56"/>
      <c r="K11" s="57"/>
      <c r="L11" s="56"/>
      <c r="M11" s="57"/>
      <c r="N11" s="4"/>
    </row>
    <row r="12" spans="1:14" ht="12.75">
      <c r="B12" s="2338" t="s">
        <v>900</v>
      </c>
      <c r="C12" s="2341">
        <v>8686</v>
      </c>
      <c r="D12" s="2342">
        <v>42.900741155457617</v>
      </c>
      <c r="E12" s="2387">
        <v>1</v>
      </c>
      <c r="F12" s="2400">
        <f t="shared" si="1"/>
        <v>186317.91883815243</v>
      </c>
      <c r="G12" s="87">
        <f t="shared" si="0"/>
        <v>0.6199325681575103</v>
      </c>
      <c r="H12" s="56"/>
      <c r="I12" s="4"/>
      <c r="J12" s="56"/>
      <c r="K12" s="57"/>
      <c r="L12" s="56"/>
      <c r="M12" s="57"/>
      <c r="N12" s="4"/>
    </row>
    <row r="13" spans="1:14" ht="12.75">
      <c r="B13" s="2338" t="s">
        <v>901</v>
      </c>
      <c r="C13" s="2341">
        <v>33</v>
      </c>
      <c r="D13" s="2342">
        <v>45.11</v>
      </c>
      <c r="E13" s="2387">
        <v>1</v>
      </c>
      <c r="F13" s="2400">
        <f t="shared" si="1"/>
        <v>744.31500000000005</v>
      </c>
      <c r="G13" s="87">
        <f t="shared" si="0"/>
        <v>2.4765471423550001E-3</v>
      </c>
      <c r="H13" s="56"/>
      <c r="I13" s="4"/>
      <c r="J13" s="56"/>
      <c r="K13" s="57"/>
      <c r="L13" s="56"/>
      <c r="M13" s="57"/>
      <c r="N13" s="4"/>
    </row>
    <row r="14" spans="1:14" ht="13.5" thickBot="1">
      <c r="B14" s="2376" t="s">
        <v>1114</v>
      </c>
      <c r="C14" s="2356">
        <v>75700</v>
      </c>
      <c r="D14" s="2342">
        <v>31.9</v>
      </c>
      <c r="E14" s="2409">
        <v>1</v>
      </c>
      <c r="F14" s="2401">
        <f t="shared" si="1"/>
        <v>1207415</v>
      </c>
      <c r="G14" s="2399">
        <f t="shared" si="0"/>
        <v>4.0174122083883335</v>
      </c>
      <c r="H14" s="56"/>
      <c r="I14" s="4"/>
      <c r="J14" s="56"/>
      <c r="K14" s="57"/>
      <c r="L14" s="56"/>
      <c r="M14" s="57"/>
      <c r="N14" s="4"/>
    </row>
    <row r="15" spans="1:14" ht="15" thickBot="1">
      <c r="B15" s="2410"/>
      <c r="C15" s="2411"/>
      <c r="D15" s="2411"/>
      <c r="E15" s="2411"/>
      <c r="F15" s="2677" t="s">
        <v>190</v>
      </c>
      <c r="G15" s="2678">
        <f>SUM(G8:G14)</f>
        <v>5.2448554719688874</v>
      </c>
      <c r="H15" s="4"/>
      <c r="I15" s="4"/>
      <c r="J15" s="4"/>
      <c r="K15" s="4"/>
      <c r="L15" s="4"/>
      <c r="M15" s="4"/>
      <c r="N15" s="4"/>
    </row>
    <row r="17" spans="2:13" ht="12" thickBot="1"/>
    <row r="18" spans="2:13" ht="21.75" thickTop="1">
      <c r="B18" s="70" t="s">
        <v>945</v>
      </c>
      <c r="C18" s="71"/>
      <c r="D18" s="71"/>
      <c r="E18" s="73">
        <v>2017</v>
      </c>
      <c r="F18" s="74"/>
      <c r="G18" s="75"/>
      <c r="H18" s="18"/>
      <c r="I18" s="18"/>
      <c r="J18" s="18"/>
      <c r="K18" s="18"/>
      <c r="L18" s="18"/>
      <c r="M18" s="18"/>
    </row>
    <row r="19" spans="2:13" ht="12" thickBot="1">
      <c r="B19" s="76"/>
      <c r="C19" s="17"/>
      <c r="D19" s="17"/>
      <c r="E19" s="17"/>
      <c r="F19" s="17"/>
      <c r="G19" s="77"/>
      <c r="H19" s="1"/>
      <c r="I19" s="1"/>
      <c r="J19" s="17"/>
      <c r="K19" s="17"/>
      <c r="L19" s="17"/>
      <c r="M19" s="46"/>
    </row>
    <row r="20" spans="2:13" ht="14.25">
      <c r="B20" s="78"/>
      <c r="C20" s="2412" t="s">
        <v>106</v>
      </c>
      <c r="D20" s="2412" t="s">
        <v>107</v>
      </c>
      <c r="E20" s="2412" t="s">
        <v>114</v>
      </c>
      <c r="F20" s="2412" t="s">
        <v>109</v>
      </c>
      <c r="G20" s="2418" t="s">
        <v>108</v>
      </c>
      <c r="H20" s="18"/>
      <c r="J20" s="17"/>
      <c r="K20" s="46"/>
      <c r="L20" s="4"/>
      <c r="M20" s="46"/>
    </row>
    <row r="21" spans="2:13" ht="15" thickBot="1">
      <c r="B21" s="2350" t="s">
        <v>1120</v>
      </c>
      <c r="C21" s="2348" t="s">
        <v>110</v>
      </c>
      <c r="D21" s="2348" t="s">
        <v>1397</v>
      </c>
      <c r="E21" s="2348" t="s">
        <v>1398</v>
      </c>
      <c r="F21" s="2348"/>
      <c r="G21" s="2349" t="s">
        <v>942</v>
      </c>
      <c r="H21" s="79"/>
      <c r="J21" s="17"/>
      <c r="K21" s="46"/>
      <c r="L21" s="4"/>
      <c r="M21" s="46"/>
    </row>
    <row r="22" spans="2:13" ht="12.75">
      <c r="B22" s="2357" t="s">
        <v>1112</v>
      </c>
      <c r="C22" s="3279">
        <v>0</v>
      </c>
      <c r="D22" s="2355">
        <v>1.5034545899835E-3</v>
      </c>
      <c r="E22" s="2416">
        <f t="shared" ref="E22:E29" si="2">C22*D22</f>
        <v>0</v>
      </c>
      <c r="F22" s="2371">
        <v>310</v>
      </c>
      <c r="G22" s="2398">
        <f t="shared" ref="G22:G29" si="3">E22*F22/1000000</f>
        <v>0</v>
      </c>
      <c r="H22" s="80"/>
      <c r="J22" s="56"/>
      <c r="K22" s="57"/>
      <c r="L22" s="56"/>
      <c r="M22" s="62"/>
    </row>
    <row r="23" spans="2:13" ht="12.75">
      <c r="B23" s="2338" t="s">
        <v>897</v>
      </c>
      <c r="C23" s="2341">
        <v>5563</v>
      </c>
      <c r="D23" s="2352">
        <v>6.0138183599339984E-4</v>
      </c>
      <c r="E23" s="2417">
        <f t="shared" si="2"/>
        <v>3.3454871536312831</v>
      </c>
      <c r="F23" s="2372">
        <v>310</v>
      </c>
      <c r="G23" s="87">
        <f t="shared" si="3"/>
        <v>1.0371010176256977E-3</v>
      </c>
      <c r="H23" s="80"/>
      <c r="J23" s="56"/>
      <c r="K23" s="57"/>
      <c r="L23" s="56"/>
      <c r="M23" s="62"/>
    </row>
    <row r="24" spans="2:13" ht="12.75">
      <c r="B24" s="2338" t="s">
        <v>922</v>
      </c>
      <c r="C24" s="2341">
        <v>47</v>
      </c>
      <c r="D24" s="2352">
        <v>6.0138183599339984E-4</v>
      </c>
      <c r="E24" s="2417">
        <f t="shared" si="2"/>
        <v>2.8264946291689793E-2</v>
      </c>
      <c r="F24" s="2372">
        <v>310</v>
      </c>
      <c r="G24" s="87">
        <f t="shared" si="3"/>
        <v>8.7621333504238362E-6</v>
      </c>
      <c r="H24" s="80"/>
      <c r="J24" s="56"/>
      <c r="K24" s="57"/>
      <c r="L24" s="56"/>
      <c r="M24" s="62"/>
    </row>
    <row r="25" spans="2:13" ht="12.75">
      <c r="B25" s="2338" t="s">
        <v>899</v>
      </c>
      <c r="C25" s="2341">
        <v>3078</v>
      </c>
      <c r="D25" s="2352">
        <v>6.0138183599339984E-4</v>
      </c>
      <c r="E25" s="2417">
        <f t="shared" si="2"/>
        <v>1.8510532911876847</v>
      </c>
      <c r="F25" s="2372">
        <v>310</v>
      </c>
      <c r="G25" s="87">
        <f t="shared" si="3"/>
        <v>5.7382652026818221E-4</v>
      </c>
      <c r="H25" s="80"/>
      <c r="J25" s="56"/>
      <c r="K25" s="57"/>
      <c r="L25" s="56"/>
      <c r="M25" s="62"/>
    </row>
    <row r="26" spans="2:13" ht="12.75">
      <c r="B26" s="2338" t="s">
        <v>900</v>
      </c>
      <c r="C26" s="2341">
        <v>8686</v>
      </c>
      <c r="D26" s="2352">
        <v>6.0138183599339984E-4</v>
      </c>
      <c r="E26" s="2417">
        <f t="shared" si="2"/>
        <v>5.2236026274386713</v>
      </c>
      <c r="F26" s="2372">
        <v>310</v>
      </c>
      <c r="G26" s="87">
        <f t="shared" si="3"/>
        <v>1.619316814505988E-3</v>
      </c>
      <c r="H26" s="80"/>
      <c r="J26" s="56"/>
      <c r="K26" s="57"/>
      <c r="L26" s="56"/>
      <c r="M26" s="62"/>
    </row>
    <row r="27" spans="2:13" ht="12.75">
      <c r="B27" s="2338" t="s">
        <v>901</v>
      </c>
      <c r="C27" s="2341">
        <v>33</v>
      </c>
      <c r="D27" s="2352">
        <v>6.0138183599339984E-4</v>
      </c>
      <c r="E27" s="2417">
        <f t="shared" si="2"/>
        <v>1.9845600587782196E-2</v>
      </c>
      <c r="F27" s="2372">
        <v>310</v>
      </c>
      <c r="G27" s="87">
        <f t="shared" si="3"/>
        <v>6.1521361822124809E-6</v>
      </c>
      <c r="H27" s="80"/>
      <c r="J27" s="56"/>
      <c r="K27" s="57"/>
      <c r="L27" s="56"/>
      <c r="M27" s="62"/>
    </row>
    <row r="28" spans="2:13" ht="12.75">
      <c r="B28" s="2338" t="s">
        <v>1114</v>
      </c>
      <c r="C28" s="2341">
        <v>75700</v>
      </c>
      <c r="D28" s="2352">
        <v>9.4955026735800017E-5</v>
      </c>
      <c r="E28" s="2417">
        <f t="shared" si="2"/>
        <v>7.1880955239000617</v>
      </c>
      <c r="F28" s="2372">
        <v>310</v>
      </c>
      <c r="G28" s="87">
        <f t="shared" si="3"/>
        <v>2.2283096124090193E-3</v>
      </c>
      <c r="H28" s="80"/>
      <c r="J28" s="56"/>
      <c r="K28" s="57"/>
      <c r="L28" s="56"/>
      <c r="M28" s="62"/>
    </row>
    <row r="29" spans="2:13" ht="12.75">
      <c r="B29" s="2338" t="s">
        <v>182</v>
      </c>
      <c r="C29" s="2341">
        <v>1301</v>
      </c>
      <c r="D29" s="2352">
        <v>3.7982010694320003E-3</v>
      </c>
      <c r="E29" s="2417">
        <f t="shared" si="2"/>
        <v>4.9414595913310322</v>
      </c>
      <c r="F29" s="2372">
        <v>310</v>
      </c>
      <c r="G29" s="87">
        <f t="shared" si="3"/>
        <v>1.53185247331262E-3</v>
      </c>
      <c r="H29" s="80"/>
      <c r="J29" s="63"/>
      <c r="K29" s="57"/>
      <c r="L29" s="56"/>
      <c r="M29" s="62"/>
    </row>
    <row r="30" spans="2:13" ht="15" thickBot="1">
      <c r="B30" s="81"/>
      <c r="C30" s="82"/>
      <c r="D30" s="83"/>
      <c r="E30" s="83"/>
      <c r="F30" s="2679" t="s">
        <v>190</v>
      </c>
      <c r="G30" s="2680">
        <f>SUM(G22:G29)</f>
        <v>7.0053207076541434E-3</v>
      </c>
      <c r="H30" s="1"/>
      <c r="J30" s="63"/>
      <c r="K30" s="64"/>
      <c r="L30" s="56"/>
      <c r="M30" s="65"/>
    </row>
    <row r="31" spans="2:13" ht="12" thickTop="1">
      <c r="J31" s="4"/>
      <c r="K31" s="4"/>
      <c r="L31" s="4"/>
      <c r="M31" s="4"/>
    </row>
    <row r="32" spans="2:13" ht="12" thickBot="1"/>
    <row r="33" spans="2:13" ht="21.75" thickTop="1">
      <c r="B33" s="70" t="s">
        <v>946</v>
      </c>
      <c r="C33" s="71"/>
      <c r="D33" s="71"/>
      <c r="E33" s="73">
        <v>2017</v>
      </c>
      <c r="F33" s="74"/>
      <c r="G33" s="75"/>
      <c r="H33" s="18"/>
      <c r="I33" s="18"/>
      <c r="J33" s="18"/>
      <c r="K33" s="18"/>
      <c r="L33" s="18"/>
      <c r="M33" s="18"/>
    </row>
    <row r="34" spans="2:13" ht="12" thickBot="1">
      <c r="B34" s="76"/>
      <c r="C34" s="17"/>
      <c r="D34" s="17"/>
      <c r="E34" s="17"/>
      <c r="F34" s="17"/>
      <c r="G34" s="77"/>
      <c r="H34" s="1"/>
      <c r="I34" s="1"/>
      <c r="J34" s="1"/>
      <c r="K34" s="1"/>
      <c r="L34" s="1"/>
      <c r="M34" s="46"/>
    </row>
    <row r="35" spans="2:13" ht="14.25">
      <c r="B35" s="84"/>
      <c r="C35" s="2426" t="s">
        <v>106</v>
      </c>
      <c r="D35" s="2426" t="s">
        <v>107</v>
      </c>
      <c r="E35" s="2426" t="s">
        <v>108</v>
      </c>
      <c r="F35" s="2426" t="s">
        <v>109</v>
      </c>
      <c r="G35" s="2427" t="s">
        <v>108</v>
      </c>
      <c r="H35" s="12"/>
      <c r="I35" s="4"/>
      <c r="J35" s="17"/>
      <c r="K35" s="46"/>
      <c r="L35" s="4"/>
      <c r="M35" s="4"/>
    </row>
    <row r="36" spans="2:13" ht="15" thickBot="1">
      <c r="B36" s="2419" t="s">
        <v>1120</v>
      </c>
      <c r="C36" s="2420" t="s">
        <v>110</v>
      </c>
      <c r="D36" s="2420" t="s">
        <v>1399</v>
      </c>
      <c r="E36" s="2420" t="s">
        <v>1396</v>
      </c>
      <c r="F36" s="2420"/>
      <c r="G36" s="2421" t="s">
        <v>1395</v>
      </c>
      <c r="H36" s="46"/>
      <c r="I36" s="4"/>
      <c r="J36" s="17"/>
      <c r="K36" s="46"/>
      <c r="L36" s="4"/>
      <c r="M36" s="4"/>
    </row>
    <row r="37" spans="2:13" ht="12.75">
      <c r="B37" s="2357" t="s">
        <v>1112</v>
      </c>
      <c r="C37" s="3282">
        <v>0</v>
      </c>
      <c r="D37" s="2355">
        <v>1.0023030599889999E-2</v>
      </c>
      <c r="E37" s="2422">
        <f t="shared" ref="E37:E44" si="4">C37*D37</f>
        <v>0</v>
      </c>
      <c r="F37" s="2371">
        <v>21</v>
      </c>
      <c r="G37" s="2402">
        <f t="shared" ref="G37:G44" si="5">E37*F37/1000000</f>
        <v>0</v>
      </c>
      <c r="H37" s="85"/>
      <c r="I37" s="4"/>
      <c r="J37" s="56"/>
      <c r="K37" s="57"/>
      <c r="L37" s="56"/>
      <c r="M37" s="62"/>
    </row>
    <row r="38" spans="2:13" ht="12.75">
      <c r="B38" s="2338" t="s">
        <v>897</v>
      </c>
      <c r="C38" s="2351">
        <v>5563</v>
      </c>
      <c r="D38" s="2352">
        <v>1.0023030599889999E-2</v>
      </c>
      <c r="E38" s="2423">
        <f t="shared" si="4"/>
        <v>55.758119227188068</v>
      </c>
      <c r="F38" s="2372">
        <v>21</v>
      </c>
      <c r="G38" s="2403">
        <f t="shared" si="5"/>
        <v>1.1709205037709494E-3</v>
      </c>
      <c r="H38" s="85"/>
      <c r="I38" s="4"/>
      <c r="J38" s="56"/>
      <c r="K38" s="57"/>
      <c r="L38" s="56"/>
      <c r="M38" s="62"/>
    </row>
    <row r="39" spans="2:13" ht="12.75">
      <c r="B39" s="2338" t="s">
        <v>922</v>
      </c>
      <c r="C39" s="2351">
        <v>47</v>
      </c>
      <c r="D39" s="2352">
        <v>1.0023030599889999E-2</v>
      </c>
      <c r="E39" s="2423">
        <f t="shared" si="4"/>
        <v>0.47108243819482998</v>
      </c>
      <c r="F39" s="2372">
        <v>21</v>
      </c>
      <c r="G39" s="2403">
        <f t="shared" si="5"/>
        <v>9.8927312020914301E-6</v>
      </c>
      <c r="H39" s="85"/>
      <c r="I39" s="4"/>
      <c r="J39" s="56"/>
      <c r="K39" s="57"/>
      <c r="L39" s="56"/>
      <c r="M39" s="62"/>
    </row>
    <row r="40" spans="2:13" ht="12.75">
      <c r="B40" s="2338" t="s">
        <v>899</v>
      </c>
      <c r="C40" s="2351">
        <v>3078</v>
      </c>
      <c r="D40" s="2352">
        <v>1.0023030599889999E-2</v>
      </c>
      <c r="E40" s="2423">
        <f t="shared" si="4"/>
        <v>30.850888186461418</v>
      </c>
      <c r="F40" s="2372">
        <v>21</v>
      </c>
      <c r="G40" s="2403">
        <f t="shared" si="5"/>
        <v>6.4786865191568974E-4</v>
      </c>
      <c r="H40" s="85"/>
      <c r="I40" s="4"/>
      <c r="J40" s="56"/>
      <c r="K40" s="57"/>
      <c r="L40" s="56"/>
      <c r="M40" s="62"/>
    </row>
    <row r="41" spans="2:13" ht="12.75">
      <c r="B41" s="2338" t="s">
        <v>900</v>
      </c>
      <c r="C41" s="2351">
        <v>8686</v>
      </c>
      <c r="D41" s="2352">
        <v>1.0023030599889999E-2</v>
      </c>
      <c r="E41" s="2423">
        <f t="shared" si="4"/>
        <v>87.060043790644528</v>
      </c>
      <c r="F41" s="2372">
        <v>21</v>
      </c>
      <c r="G41" s="2403">
        <f t="shared" si="5"/>
        <v>1.828260919603535E-3</v>
      </c>
      <c r="H41" s="85"/>
      <c r="I41" s="4"/>
      <c r="J41" s="56"/>
      <c r="K41" s="57"/>
      <c r="L41" s="56"/>
      <c r="M41" s="62"/>
    </row>
    <row r="42" spans="2:13" ht="12.75">
      <c r="B42" s="2338" t="s">
        <v>901</v>
      </c>
      <c r="C42" s="2351">
        <v>33</v>
      </c>
      <c r="D42" s="2352">
        <v>1.0023030599889999E-2</v>
      </c>
      <c r="E42" s="2423">
        <f t="shared" si="4"/>
        <v>0.33076000979636999</v>
      </c>
      <c r="F42" s="2372">
        <v>21</v>
      </c>
      <c r="G42" s="2403">
        <f t="shared" si="5"/>
        <v>6.9459602057237698E-6</v>
      </c>
      <c r="H42" s="85"/>
      <c r="I42" s="4"/>
      <c r="J42" s="56"/>
      <c r="K42" s="57"/>
      <c r="L42" s="56"/>
      <c r="M42" s="62"/>
    </row>
    <row r="43" spans="2:13" ht="12.75">
      <c r="B43" s="2338" t="s">
        <v>1114</v>
      </c>
      <c r="C43" s="2351">
        <v>75700</v>
      </c>
      <c r="D43" s="2352">
        <v>4.7477513367900001E-3</v>
      </c>
      <c r="E43" s="2423">
        <f t="shared" si="4"/>
        <v>359.40477619500302</v>
      </c>
      <c r="F43" s="2372">
        <v>21</v>
      </c>
      <c r="G43" s="2403">
        <f t="shared" si="5"/>
        <v>7.5475003000950638E-3</v>
      </c>
      <c r="H43" s="85"/>
      <c r="I43" s="4"/>
      <c r="J43" s="56"/>
      <c r="K43" s="57"/>
      <c r="L43" s="56"/>
      <c r="M43" s="62"/>
    </row>
    <row r="44" spans="2:13" ht="13.5" thickBot="1">
      <c r="B44" s="2338" t="s">
        <v>182</v>
      </c>
      <c r="C44" s="2351">
        <v>1301</v>
      </c>
      <c r="D44" s="2352">
        <v>0.28486508020740003</v>
      </c>
      <c r="E44" s="2423">
        <f t="shared" si="4"/>
        <v>370.60946934982746</v>
      </c>
      <c r="F44" s="2424">
        <v>21</v>
      </c>
      <c r="G44" s="2404">
        <f t="shared" si="5"/>
        <v>7.7827988563463771E-3</v>
      </c>
      <c r="H44" s="85"/>
      <c r="I44" s="4"/>
      <c r="J44" s="63"/>
      <c r="K44" s="57"/>
      <c r="L44" s="56"/>
      <c r="M44" s="62"/>
    </row>
    <row r="45" spans="2:13" ht="15" thickBot="1">
      <c r="B45" s="81"/>
      <c r="C45" s="83"/>
      <c r="D45" s="83"/>
      <c r="E45" s="83"/>
      <c r="F45" s="2681" t="s">
        <v>190</v>
      </c>
      <c r="G45" s="2682">
        <f>SUM(G37:G44)</f>
        <v>1.8994187923139429E-2</v>
      </c>
      <c r="H45" s="17"/>
      <c r="I45" s="4"/>
      <c r="J45" s="63"/>
      <c r="K45" s="64"/>
      <c r="L45" s="56"/>
      <c r="M45" s="65"/>
    </row>
    <row r="46" spans="2:13" ht="12" thickTop="1"/>
    <row r="47" spans="2:13" ht="12" thickBot="1"/>
    <row r="48" spans="2:13" ht="22.5" thickTop="1" thickBot="1">
      <c r="B48" s="771" t="s">
        <v>1374</v>
      </c>
      <c r="C48" s="772"/>
      <c r="D48" s="772"/>
      <c r="E48" s="773"/>
    </row>
    <row r="49" spans="2:7" ht="12" thickTop="1"/>
    <row r="50" spans="2:7" ht="12" thickBot="1"/>
    <row r="51" spans="2:7" ht="12" thickTop="1">
      <c r="B51" s="2431"/>
      <c r="C51" s="2434"/>
      <c r="D51" s="2432" t="s">
        <v>547</v>
      </c>
      <c r="E51" s="2432" t="s">
        <v>549</v>
      </c>
      <c r="F51" s="2432" t="s">
        <v>548</v>
      </c>
      <c r="G51" s="2433" t="s">
        <v>947</v>
      </c>
    </row>
    <row r="52" spans="2:7" ht="14.25">
      <c r="B52" s="86"/>
      <c r="C52" s="2435" t="s">
        <v>106</v>
      </c>
      <c r="D52" s="2339" t="s">
        <v>108</v>
      </c>
      <c r="E52" s="2339" t="s">
        <v>108</v>
      </c>
      <c r="F52" s="2339" t="s">
        <v>108</v>
      </c>
      <c r="G52" s="2340" t="s">
        <v>108</v>
      </c>
    </row>
    <row r="53" spans="2:7" ht="15" thickBot="1">
      <c r="B53" s="2687" t="s">
        <v>1120</v>
      </c>
      <c r="C53" s="2688" t="s">
        <v>110</v>
      </c>
      <c r="D53" s="2348" t="s">
        <v>1395</v>
      </c>
      <c r="E53" s="2348" t="s">
        <v>1395</v>
      </c>
      <c r="F53" s="2348" t="s">
        <v>1395</v>
      </c>
      <c r="G53" s="2349" t="s">
        <v>1395</v>
      </c>
    </row>
    <row r="54" spans="2:7" ht="12.75">
      <c r="B54" s="2683" t="s">
        <v>1112</v>
      </c>
      <c r="C54" s="3282">
        <v>0</v>
      </c>
      <c r="D54" s="2684">
        <f>G8</f>
        <v>0</v>
      </c>
      <c r="E54" s="3288">
        <f t="shared" ref="E54:E61" si="6">G37</f>
        <v>0</v>
      </c>
      <c r="F54" s="2685">
        <f>G22</f>
        <v>0</v>
      </c>
      <c r="G54" s="2686">
        <f>D54+E54+F54</f>
        <v>0</v>
      </c>
    </row>
    <row r="55" spans="2:7" ht="12.75">
      <c r="B55" s="112" t="s">
        <v>897</v>
      </c>
      <c r="C55" s="2436">
        <v>5563</v>
      </c>
      <c r="D55" s="2428">
        <f>G9</f>
        <v>0.41156271340251832</v>
      </c>
      <c r="E55" s="3289">
        <f t="shared" si="6"/>
        <v>1.1709205037709494E-3</v>
      </c>
      <c r="F55" s="2429">
        <f t="shared" ref="F55:F61" si="7">G23</f>
        <v>1.0371010176256977E-3</v>
      </c>
      <c r="G55" s="87">
        <f>D55+E55+F55</f>
        <v>0.41377073492391497</v>
      </c>
    </row>
    <row r="56" spans="2:7" ht="12.75">
      <c r="B56" s="112" t="s">
        <v>922</v>
      </c>
      <c r="C56" s="2436">
        <v>47</v>
      </c>
      <c r="D56" s="2428">
        <f>G10</f>
        <v>3.4411932229949991E-3</v>
      </c>
      <c r="E56" s="3289">
        <f t="shared" si="6"/>
        <v>9.8927312020914301E-6</v>
      </c>
      <c r="F56" s="2429">
        <f t="shared" si="7"/>
        <v>8.7621333504238362E-6</v>
      </c>
      <c r="G56" s="87">
        <f>D56+E56+F56</f>
        <v>3.4598480875475146E-3</v>
      </c>
    </row>
    <row r="57" spans="2:7" ht="12.75">
      <c r="B57" s="112" t="s">
        <v>899</v>
      </c>
      <c r="C57" s="2436">
        <v>3078</v>
      </c>
      <c r="D57" s="2428">
        <f t="shared" ref="D57:D60" si="8">G11</f>
        <v>0.19003024165517521</v>
      </c>
      <c r="E57" s="3289">
        <f t="shared" si="6"/>
        <v>6.4786865191568974E-4</v>
      </c>
      <c r="F57" s="2429">
        <f t="shared" si="7"/>
        <v>5.7382652026818221E-4</v>
      </c>
      <c r="G57" s="87">
        <f>D57+E57+F57</f>
        <v>0.19125193682735908</v>
      </c>
    </row>
    <row r="58" spans="2:7" ht="12.75">
      <c r="B58" s="112" t="s">
        <v>900</v>
      </c>
      <c r="C58" s="2436">
        <v>8686</v>
      </c>
      <c r="D58" s="2428">
        <f t="shared" si="8"/>
        <v>0.6199325681575103</v>
      </c>
      <c r="E58" s="3289">
        <f t="shared" si="6"/>
        <v>1.828260919603535E-3</v>
      </c>
      <c r="F58" s="2429">
        <f t="shared" si="7"/>
        <v>1.619316814505988E-3</v>
      </c>
      <c r="G58" s="87">
        <f t="shared" ref="G58:G60" si="9">D58+E58+F58</f>
        <v>0.62338014589161983</v>
      </c>
    </row>
    <row r="59" spans="2:7" ht="12.75">
      <c r="B59" s="112" t="s">
        <v>901</v>
      </c>
      <c r="C59" s="2436">
        <v>33</v>
      </c>
      <c r="D59" s="2428">
        <f t="shared" si="8"/>
        <v>2.4765471423550001E-3</v>
      </c>
      <c r="E59" s="3289">
        <f t="shared" si="6"/>
        <v>6.9459602057237698E-6</v>
      </c>
      <c r="F59" s="2429">
        <f t="shared" si="7"/>
        <v>6.1521361822124809E-6</v>
      </c>
      <c r="G59" s="87">
        <f t="shared" si="9"/>
        <v>2.4896452387429364E-3</v>
      </c>
    </row>
    <row r="60" spans="2:7" ht="12.75">
      <c r="B60" s="112" t="s">
        <v>1114</v>
      </c>
      <c r="C60" s="2436">
        <v>75700</v>
      </c>
      <c r="D60" s="2428">
        <f t="shared" si="8"/>
        <v>4.0174122083883335</v>
      </c>
      <c r="E60" s="3289">
        <f t="shared" si="6"/>
        <v>7.5475003000950638E-3</v>
      </c>
      <c r="F60" s="2429">
        <f t="shared" si="7"/>
        <v>2.2283096124090193E-3</v>
      </c>
      <c r="G60" s="87">
        <f t="shared" si="9"/>
        <v>4.0271880183008379</v>
      </c>
    </row>
    <row r="61" spans="2:7" ht="13.5" thickBot="1">
      <c r="B61" s="112" t="s">
        <v>182</v>
      </c>
      <c r="C61" s="2436">
        <v>1301</v>
      </c>
      <c r="D61" s="2430">
        <v>0</v>
      </c>
      <c r="E61" s="3289">
        <f t="shared" si="6"/>
        <v>7.7827988563463771E-3</v>
      </c>
      <c r="F61" s="2429">
        <f t="shared" si="7"/>
        <v>1.53185247331262E-3</v>
      </c>
      <c r="G61" s="88">
        <f>D61+E61+F61</f>
        <v>9.3146513296589965E-3</v>
      </c>
    </row>
    <row r="62" spans="2:7" ht="15" thickBot="1">
      <c r="B62" s="89"/>
      <c r="C62" s="90"/>
      <c r="D62" s="90"/>
      <c r="E62" s="90"/>
      <c r="F62" s="2425" t="s">
        <v>190</v>
      </c>
      <c r="G62" s="2405">
        <f>SUM(G54:G61)</f>
        <v>5.2708549805996814</v>
      </c>
    </row>
    <row r="63" spans="2:7" ht="12" thickTop="1"/>
  </sheetData>
  <sheetProtection password="CD58" sheet="1" objects="1" scenarios="1"/>
  <phoneticPr fontId="0" type="noConversion"/>
  <dataValidations count="2">
    <dataValidation allowBlank="1" showInputMessage="1" showErrorMessage="1" prompt="To avoid double-counting, default data for &quot;Motor Gasoline&quot; is adjusted by subtracting ethanol used in motor gasoline, which is not included in state inventories. If not using the default data, account for ethanol included in motor gasoline if possible." sqref="C12"/>
    <dataValidation allowBlank="1" showErrorMessage="1" promptTitle="Commercial Sector" prompt="Enter fuel consumption data here.  It will then automatically be entered into the methane emissions calculations." sqref="C22:C29"/>
  </dataValidations>
  <pageMargins left="0.17" right="0.3" top="1" bottom="1" header="0.5" footer="0.5"/>
  <pageSetup scale="92" orientation="portrait" r:id="rId1"/>
  <headerFooter alignWithMargins="0"/>
  <colBreaks count="1" manualBreakCount="1">
    <brk id="7" max="1048575" man="1"/>
  </colBreaks>
  <drawing r:id="rId2"/>
  <legacyDrawing r:id="rId3"/>
</worksheet>
</file>

<file path=xl/worksheets/sheet12.xml><?xml version="1.0" encoding="utf-8"?>
<worksheet xmlns="http://schemas.openxmlformats.org/spreadsheetml/2006/main" xmlns:r="http://schemas.openxmlformats.org/officeDocument/2006/relationships">
  <sheetPr codeName="Sheet8"/>
  <dimension ref="A1:Q129"/>
  <sheetViews>
    <sheetView zoomScaleNormal="100" workbookViewId="0">
      <selection activeCell="G1" sqref="G1"/>
    </sheetView>
  </sheetViews>
  <sheetFormatPr defaultRowHeight="11.25"/>
  <cols>
    <col min="1" max="1" width="5" style="1" customWidth="1"/>
    <col min="2" max="2" width="36.83203125" style="1" customWidth="1"/>
    <col min="3" max="3" width="13.33203125" style="1" customWidth="1"/>
    <col min="4" max="4" width="15.6640625" style="1" customWidth="1"/>
    <col min="5" max="5" width="13.6640625" style="1" customWidth="1"/>
    <col min="6" max="6" width="22" style="1" customWidth="1"/>
    <col min="7" max="7" width="17.83203125" style="1" customWidth="1"/>
    <col min="8" max="8" width="20.33203125" style="1" customWidth="1"/>
    <col min="9" max="9" width="15.1640625" style="1" customWidth="1"/>
    <col min="10" max="10" width="19.33203125" style="1" customWidth="1"/>
    <col min="11" max="11" width="17.1640625" style="1" customWidth="1"/>
    <col min="12" max="16384" width="9.33203125" style="1"/>
  </cols>
  <sheetData>
    <row r="1" spans="1:17" s="3300" customFormat="1" ht="36" customHeight="1">
      <c r="A1" s="131" t="s">
        <v>270</v>
      </c>
      <c r="B1" s="3298"/>
      <c r="C1" s="1844"/>
      <c r="D1" s="1844"/>
      <c r="E1" s="1844"/>
      <c r="F1" s="1844"/>
      <c r="G1" s="3299" t="s">
        <v>1760</v>
      </c>
      <c r="H1" s="1844"/>
      <c r="I1" s="1844"/>
      <c r="J1" s="1844"/>
      <c r="K1" s="1844"/>
      <c r="L1" s="1844"/>
      <c r="M1" s="1844"/>
      <c r="N1" s="1844"/>
      <c r="O1" s="1844"/>
      <c r="P1" s="1844"/>
      <c r="Q1" s="1844"/>
    </row>
    <row r="2" spans="1:17" s="3300" customFormat="1" ht="80.25" customHeight="1">
      <c r="A2" s="3526"/>
      <c r="B2" s="3526"/>
      <c r="C2" s="3526"/>
      <c r="D2" s="3526"/>
      <c r="E2" s="3526"/>
      <c r="F2" s="3526"/>
      <c r="G2" s="3526"/>
      <c r="H2" s="3526"/>
      <c r="I2" s="3526"/>
      <c r="J2" s="3526"/>
      <c r="K2" s="3526"/>
      <c r="L2" s="1844"/>
      <c r="M2" s="1844"/>
      <c r="N2" s="1844"/>
      <c r="O2" s="1844"/>
      <c r="P2" s="1844"/>
      <c r="Q2" s="1844"/>
    </row>
    <row r="4" spans="1:17" ht="13.5" thickBot="1">
      <c r="B4" s="3301" t="s">
        <v>1755</v>
      </c>
      <c r="C4" s="3302"/>
      <c r="D4" s="3302"/>
      <c r="E4" s="3301">
        <v>2017</v>
      </c>
      <c r="F4" s="2007"/>
      <c r="G4" s="2007"/>
      <c r="H4" s="2007"/>
      <c r="I4" s="2007"/>
      <c r="J4" s="2007"/>
      <c r="K4" s="2007"/>
      <c r="L4" s="3303"/>
      <c r="M4" s="3303"/>
      <c r="N4" s="3303"/>
      <c r="O4" s="3303"/>
      <c r="P4" s="3303"/>
      <c r="Q4" s="12"/>
    </row>
    <row r="5" spans="1:17" ht="15" thickTop="1">
      <c r="B5" s="3304"/>
      <c r="C5" s="3305" t="s">
        <v>955</v>
      </c>
      <c r="D5" s="3305" t="s">
        <v>1752</v>
      </c>
      <c r="E5" s="3305" t="s">
        <v>956</v>
      </c>
      <c r="F5" s="3306"/>
      <c r="G5" s="3305" t="s">
        <v>957</v>
      </c>
      <c r="H5" s="3306"/>
      <c r="I5" s="3306"/>
      <c r="J5" s="3306"/>
      <c r="K5" s="3307"/>
      <c r="L5" s="3303"/>
      <c r="M5" s="3303"/>
      <c r="N5" s="2017"/>
      <c r="O5" s="2017"/>
      <c r="P5" s="3308"/>
      <c r="Q5" s="17"/>
    </row>
    <row r="6" spans="1:17" ht="14.25">
      <c r="B6" s="3309"/>
      <c r="C6" s="3310" t="s">
        <v>106</v>
      </c>
      <c r="D6" s="3310" t="s">
        <v>1753</v>
      </c>
      <c r="E6" s="3310" t="s">
        <v>106</v>
      </c>
      <c r="F6" s="3311"/>
      <c r="G6" s="3310" t="s">
        <v>106</v>
      </c>
      <c r="H6" s="3310" t="s">
        <v>107</v>
      </c>
      <c r="I6" s="3310" t="s">
        <v>152</v>
      </c>
      <c r="J6" s="3312" t="s">
        <v>108</v>
      </c>
      <c r="K6" s="3313" t="s">
        <v>108</v>
      </c>
      <c r="L6" s="2017"/>
      <c r="M6" s="17"/>
      <c r="N6" s="2017"/>
      <c r="O6" s="3314"/>
      <c r="P6" s="3308"/>
      <c r="Q6" s="17"/>
    </row>
    <row r="7" spans="1:17" ht="15" thickBot="1">
      <c r="B7" s="2693" t="s">
        <v>1120</v>
      </c>
      <c r="C7" s="3315" t="s">
        <v>110</v>
      </c>
      <c r="D7" s="3315" t="s">
        <v>1754</v>
      </c>
      <c r="E7" s="3315" t="s">
        <v>110</v>
      </c>
      <c r="F7" s="3315" t="s">
        <v>958</v>
      </c>
      <c r="G7" s="3315" t="s">
        <v>110</v>
      </c>
      <c r="H7" s="3315" t="s">
        <v>153</v>
      </c>
      <c r="I7" s="3315" t="s">
        <v>154</v>
      </c>
      <c r="J7" s="3315" t="s">
        <v>155</v>
      </c>
      <c r="K7" s="3316" t="s">
        <v>1395</v>
      </c>
      <c r="L7" s="3317"/>
      <c r="M7" s="17"/>
      <c r="N7" s="2017"/>
      <c r="O7" s="3317"/>
      <c r="P7" s="3308"/>
      <c r="Q7" s="17"/>
    </row>
    <row r="8" spans="1:17" ht="12.75">
      <c r="B8" s="2689" t="s">
        <v>923</v>
      </c>
      <c r="C8" s="3292">
        <v>0</v>
      </c>
      <c r="D8" s="3318"/>
      <c r="E8" s="3371">
        <v>0</v>
      </c>
      <c r="F8" s="2690">
        <v>0.1</v>
      </c>
      <c r="G8" s="3358">
        <f>C8-(E8*F8)</f>
        <v>0</v>
      </c>
      <c r="H8" s="2691">
        <v>56.195454545454538</v>
      </c>
      <c r="I8" s="2692">
        <v>1</v>
      </c>
      <c r="J8" s="3360">
        <f>(G8*1000*H8*I8)/2000</f>
        <v>0</v>
      </c>
      <c r="K8" s="3290">
        <f>J8*(44/12)*0.90718/1000000</f>
        <v>0</v>
      </c>
      <c r="L8" s="3319"/>
      <c r="M8" s="17"/>
      <c r="N8" s="3320"/>
      <c r="O8" s="3321"/>
      <c r="P8" s="3320"/>
      <c r="Q8" s="17"/>
    </row>
    <row r="9" spans="1:17" ht="12.75">
      <c r="B9" s="2336" t="s">
        <v>924</v>
      </c>
      <c r="C9" s="719">
        <v>12275</v>
      </c>
      <c r="D9" s="3322">
        <v>1.6386862395834579E-2</v>
      </c>
      <c r="E9" s="3372">
        <f>C9*D9</f>
        <v>201.14873590886947</v>
      </c>
      <c r="F9" s="92">
        <v>0</v>
      </c>
      <c r="G9" s="3359">
        <f>C9-(E9*F9)</f>
        <v>12275</v>
      </c>
      <c r="H9" s="93">
        <v>56.852727272727272</v>
      </c>
      <c r="I9" s="94">
        <v>1</v>
      </c>
      <c r="J9" s="3361">
        <f>(G9*1000*H9*I9)/2000</f>
        <v>348933.61363636365</v>
      </c>
      <c r="K9" s="100">
        <f t="shared" ref="K9:K29" si="0">J9*(44/12)*0.907441/1000000</f>
        <v>1.1610011134032501</v>
      </c>
      <c r="L9" s="3319"/>
      <c r="M9" s="17"/>
      <c r="N9" s="3320"/>
      <c r="O9" s="3321"/>
      <c r="P9" s="3320"/>
      <c r="Q9" s="17"/>
    </row>
    <row r="10" spans="1:17" ht="12.75">
      <c r="B10" s="2336" t="s">
        <v>925</v>
      </c>
      <c r="C10" s="719">
        <v>16869</v>
      </c>
      <c r="D10" s="3322">
        <v>1</v>
      </c>
      <c r="E10" s="3372">
        <f>C10*D10</f>
        <v>16869</v>
      </c>
      <c r="F10" s="92">
        <v>1</v>
      </c>
      <c r="G10" s="3359">
        <f t="shared" ref="G10:G29" si="1">C10-(E10*F10)</f>
        <v>0</v>
      </c>
      <c r="H10" s="93">
        <v>45.31</v>
      </c>
      <c r="I10" s="94">
        <v>1</v>
      </c>
      <c r="J10" s="3361">
        <f>(G10*1000*H10*I10/2000)</f>
        <v>0</v>
      </c>
      <c r="K10" s="100">
        <f t="shared" si="0"/>
        <v>0</v>
      </c>
      <c r="L10" s="3319"/>
      <c r="M10" s="17"/>
      <c r="N10" s="3320"/>
      <c r="O10" s="3321"/>
      <c r="P10" s="3320"/>
      <c r="Q10" s="17"/>
    </row>
    <row r="11" spans="1:17" ht="13.5" customHeight="1">
      <c r="B11" s="2337" t="s">
        <v>926</v>
      </c>
      <c r="C11" s="3293">
        <v>0</v>
      </c>
      <c r="D11" s="3318"/>
      <c r="E11" s="3372">
        <v>0</v>
      </c>
      <c r="F11" s="92">
        <v>0</v>
      </c>
      <c r="G11" s="3359">
        <f t="shared" si="1"/>
        <v>0</v>
      </c>
      <c r="H11" s="93">
        <v>41.57</v>
      </c>
      <c r="I11" s="94">
        <v>1</v>
      </c>
      <c r="J11" s="3361">
        <f>G11*H11*I11/2000</f>
        <v>0</v>
      </c>
      <c r="K11" s="3291">
        <f t="shared" si="0"/>
        <v>0</v>
      </c>
      <c r="L11" s="3319"/>
      <c r="M11" s="17"/>
      <c r="N11" s="3320"/>
      <c r="O11" s="3321"/>
      <c r="P11" s="3320"/>
      <c r="Q11" s="17"/>
    </row>
    <row r="12" spans="1:17" ht="12.75">
      <c r="B12" s="2337" t="s">
        <v>927</v>
      </c>
      <c r="C12" s="3293">
        <v>0</v>
      </c>
      <c r="D12" s="3318"/>
      <c r="E12" s="3372">
        <v>0</v>
      </c>
      <c r="F12" s="92">
        <v>0</v>
      </c>
      <c r="G12" s="3359">
        <f t="shared" si="1"/>
        <v>0</v>
      </c>
      <c r="H12" s="3323">
        <v>44.77366188659483</v>
      </c>
      <c r="I12" s="94">
        <v>1</v>
      </c>
      <c r="J12" s="3361">
        <f>G12*H12*I12/2000</f>
        <v>0</v>
      </c>
      <c r="K12" s="3291">
        <f t="shared" si="0"/>
        <v>0</v>
      </c>
      <c r="L12" s="3319"/>
      <c r="M12" s="17"/>
      <c r="N12" s="3320"/>
      <c r="O12" s="3321"/>
      <c r="P12" s="3320"/>
      <c r="Q12" s="17"/>
    </row>
    <row r="13" spans="1:17" ht="12.75">
      <c r="B13" s="2336" t="s">
        <v>897</v>
      </c>
      <c r="C13" s="719">
        <v>5309</v>
      </c>
      <c r="D13" s="3322">
        <v>5.9993813799243175E-3</v>
      </c>
      <c r="E13" s="3372">
        <f>C13*D13</f>
        <v>31.850715746018203</v>
      </c>
      <c r="F13" s="92">
        <v>0.5</v>
      </c>
      <c r="G13" s="3359">
        <f t="shared" si="1"/>
        <v>5293.0746421269905</v>
      </c>
      <c r="H13" s="93">
        <v>44.47</v>
      </c>
      <c r="I13" s="94">
        <v>1</v>
      </c>
      <c r="J13" s="3361">
        <f t="shared" ref="J13:J19" si="2">(G13*1000*H13*I13)/2000</f>
        <v>117691.51466769363</v>
      </c>
      <c r="K13" s="100">
        <f t="shared" si="0"/>
        <v>0.39159305445907744</v>
      </c>
      <c r="L13" s="3319"/>
      <c r="M13" s="17"/>
      <c r="N13" s="3320"/>
      <c r="O13" s="3321"/>
      <c r="P13" s="3320"/>
      <c r="Q13" s="17"/>
    </row>
    <row r="14" spans="1:17" ht="14.25" customHeight="1">
      <c r="B14" s="2337" t="s">
        <v>928</v>
      </c>
      <c r="C14" s="3294">
        <v>0</v>
      </c>
      <c r="D14" s="3318"/>
      <c r="E14" s="3372"/>
      <c r="F14" s="92">
        <v>0.61918625610433442</v>
      </c>
      <c r="G14" s="3359">
        <f t="shared" si="1"/>
        <v>0</v>
      </c>
      <c r="H14" s="93">
        <v>40.86</v>
      </c>
      <c r="I14" s="94">
        <v>1</v>
      </c>
      <c r="J14" s="3361">
        <f t="shared" si="2"/>
        <v>0</v>
      </c>
      <c r="K14" s="3291">
        <f t="shared" si="0"/>
        <v>0</v>
      </c>
      <c r="L14" s="3319"/>
      <c r="M14" s="17"/>
      <c r="N14" s="3320"/>
      <c r="O14" s="3321"/>
      <c r="P14" s="3320"/>
      <c r="Q14" s="17"/>
    </row>
    <row r="15" spans="1:17" ht="13.5" customHeight="1">
      <c r="B15" s="2337" t="s">
        <v>929</v>
      </c>
      <c r="C15" s="3294">
        <v>0</v>
      </c>
      <c r="D15" s="3318"/>
      <c r="E15" s="3372"/>
      <c r="F15" s="92">
        <v>0.61918625610433442</v>
      </c>
      <c r="G15" s="3359">
        <f t="shared" si="1"/>
        <v>0</v>
      </c>
      <c r="H15" s="93">
        <v>44.43</v>
      </c>
      <c r="I15" s="94">
        <v>1</v>
      </c>
      <c r="J15" s="3361">
        <f t="shared" si="2"/>
        <v>0</v>
      </c>
      <c r="K15" s="3291">
        <f t="shared" si="0"/>
        <v>0</v>
      </c>
      <c r="L15" s="3319"/>
      <c r="M15" s="17"/>
      <c r="N15" s="3320"/>
      <c r="O15" s="3321"/>
      <c r="P15" s="3320"/>
      <c r="Q15" s="17"/>
    </row>
    <row r="16" spans="1:17" ht="12.75">
      <c r="B16" s="2336" t="s">
        <v>922</v>
      </c>
      <c r="C16" s="719">
        <v>7</v>
      </c>
      <c r="D16" s="3322">
        <v>1</v>
      </c>
      <c r="E16" s="3372">
        <f>C16*D16</f>
        <v>7</v>
      </c>
      <c r="F16" s="92">
        <v>0</v>
      </c>
      <c r="G16" s="3359">
        <f t="shared" si="1"/>
        <v>7</v>
      </c>
      <c r="H16" s="93">
        <v>43.97</v>
      </c>
      <c r="I16" s="94">
        <v>1</v>
      </c>
      <c r="J16" s="3361">
        <f t="shared" si="2"/>
        <v>153.89500000000001</v>
      </c>
      <c r="K16" s="100">
        <f t="shared" si="0"/>
        <v>5.1205231988166666E-4</v>
      </c>
      <c r="L16" s="3319"/>
      <c r="M16" s="17"/>
      <c r="N16" s="3320"/>
      <c r="O16" s="3321"/>
      <c r="P16" s="3320"/>
      <c r="Q16" s="17"/>
    </row>
    <row r="17" spans="2:17" ht="12.75">
      <c r="B17" s="2336" t="s">
        <v>899</v>
      </c>
      <c r="C17" s="719">
        <v>1486</v>
      </c>
      <c r="D17" s="3322">
        <v>0.82377689762912898</v>
      </c>
      <c r="E17" s="3372">
        <f>C17*D17</f>
        <v>1224.1324698768856</v>
      </c>
      <c r="F17" s="92">
        <v>0.61918625610433442</v>
      </c>
      <c r="G17" s="3359">
        <f t="shared" si="1"/>
        <v>728.03399900117927</v>
      </c>
      <c r="H17" s="3323">
        <v>37.11</v>
      </c>
      <c r="I17" s="94">
        <v>1</v>
      </c>
      <c r="J17" s="3361">
        <f t="shared" si="2"/>
        <v>13508.670851466881</v>
      </c>
      <c r="K17" s="100">
        <f t="shared" si="0"/>
        <v>4.4947179882461843E-2</v>
      </c>
      <c r="L17" s="3319"/>
      <c r="M17" s="17"/>
      <c r="N17" s="3320"/>
      <c r="O17" s="3321"/>
      <c r="P17" s="3320"/>
      <c r="Q17" s="17"/>
    </row>
    <row r="18" spans="2:17" ht="12.75">
      <c r="B18" s="2336" t="s">
        <v>902</v>
      </c>
      <c r="C18" s="719">
        <v>946</v>
      </c>
      <c r="D18" s="3322">
        <v>1</v>
      </c>
      <c r="E18" s="3372">
        <f>C18*D18</f>
        <v>946</v>
      </c>
      <c r="F18" s="92">
        <v>9.2393732597307904E-2</v>
      </c>
      <c r="G18" s="3359">
        <f t="shared" si="1"/>
        <v>858.59552896294667</v>
      </c>
      <c r="H18" s="93">
        <v>43.53</v>
      </c>
      <c r="I18" s="94">
        <v>1</v>
      </c>
      <c r="J18" s="3361">
        <f>(G18*1000*H18*I18)/2000</f>
        <v>18687.331687878534</v>
      </c>
      <c r="K18" s="100">
        <f t="shared" si="0"/>
        <v>6.2178053498660672E-2</v>
      </c>
      <c r="L18" s="3319"/>
      <c r="M18" s="17"/>
      <c r="N18" s="3320"/>
      <c r="O18" s="3321"/>
      <c r="P18" s="3320"/>
      <c r="Q18" s="17"/>
    </row>
    <row r="19" spans="2:17" ht="12.75">
      <c r="B19" s="2336" t="s">
        <v>900</v>
      </c>
      <c r="C19" s="719">
        <v>2865</v>
      </c>
      <c r="D19" s="3322">
        <v>1</v>
      </c>
      <c r="E19" s="3372">
        <f>C19*D19</f>
        <v>2865</v>
      </c>
      <c r="F19" s="92">
        <v>0</v>
      </c>
      <c r="G19" s="3359">
        <f t="shared" si="1"/>
        <v>2865</v>
      </c>
      <c r="H19" s="3323">
        <v>42.900741155457617</v>
      </c>
      <c r="I19" s="94">
        <v>1</v>
      </c>
      <c r="J19" s="3361">
        <f t="shared" si="2"/>
        <v>61455.311705193039</v>
      </c>
      <c r="K19" s="100">
        <f t="shared" si="0"/>
        <v>0.20447925486659763</v>
      </c>
      <c r="L19" s="3319"/>
      <c r="M19" s="17"/>
      <c r="N19" s="3320"/>
      <c r="O19" s="3321"/>
      <c r="P19" s="3320"/>
      <c r="Q19" s="17"/>
    </row>
    <row r="20" spans="2:17" ht="16.5" customHeight="1">
      <c r="B20" s="2337" t="s">
        <v>930</v>
      </c>
      <c r="C20" s="3293">
        <v>0</v>
      </c>
      <c r="D20" s="3318"/>
      <c r="E20" s="3372">
        <v>0</v>
      </c>
      <c r="F20" s="92">
        <v>0</v>
      </c>
      <c r="G20" s="3359">
        <f t="shared" si="1"/>
        <v>0</v>
      </c>
      <c r="H20" s="3323">
        <v>42.900741155457617</v>
      </c>
      <c r="I20" s="94">
        <v>1</v>
      </c>
      <c r="J20" s="3361">
        <f>G20*H20*I20/2000</f>
        <v>0</v>
      </c>
      <c r="K20" s="3291">
        <f t="shared" si="0"/>
        <v>0</v>
      </c>
      <c r="L20" s="3319"/>
      <c r="M20" s="17"/>
      <c r="N20" s="3320"/>
      <c r="O20" s="3321"/>
      <c r="P20" s="3320"/>
      <c r="Q20" s="17"/>
    </row>
    <row r="21" spans="2:17" ht="12.75">
      <c r="B21" s="2336" t="s">
        <v>931</v>
      </c>
      <c r="C21" s="719">
        <v>293</v>
      </c>
      <c r="D21" s="3322">
        <v>1</v>
      </c>
      <c r="E21" s="3372">
        <f>C21*D21</f>
        <v>293</v>
      </c>
      <c r="F21" s="92">
        <v>0</v>
      </c>
      <c r="G21" s="3359">
        <f t="shared" si="1"/>
        <v>293</v>
      </c>
      <c r="H21" s="3323">
        <v>44.77366188659483</v>
      </c>
      <c r="I21" s="94">
        <v>1</v>
      </c>
      <c r="J21" s="3361">
        <f>(G21*1000*H21*I21)/2000</f>
        <v>6559.3414663861422</v>
      </c>
      <c r="K21" s="100">
        <f t="shared" si="0"/>
        <v>2.1824789725195994E-2</v>
      </c>
      <c r="L21" s="3319"/>
      <c r="M21" s="17"/>
      <c r="N21" s="3320"/>
      <c r="O21" s="3321"/>
      <c r="P21" s="3320"/>
      <c r="Q21" s="17"/>
    </row>
    <row r="22" spans="2:17" ht="12.75">
      <c r="B22" s="2336" t="s">
        <v>932</v>
      </c>
      <c r="C22" s="3293">
        <v>0</v>
      </c>
      <c r="D22" s="3318"/>
      <c r="E22" s="3372">
        <v>0</v>
      </c>
      <c r="F22" s="92">
        <v>0.3</v>
      </c>
      <c r="G22" s="3359">
        <f t="shared" si="1"/>
        <v>0</v>
      </c>
      <c r="H22" s="93">
        <v>61.34</v>
      </c>
      <c r="I22" s="94">
        <v>1</v>
      </c>
      <c r="J22" s="3361">
        <f>G22*H22*I22/2000</f>
        <v>0</v>
      </c>
      <c r="K22" s="3291">
        <f t="shared" si="0"/>
        <v>0</v>
      </c>
      <c r="L22" s="3319"/>
      <c r="M22" s="17"/>
      <c r="N22" s="3320"/>
      <c r="O22" s="3321"/>
      <c r="P22" s="3320"/>
      <c r="Q22" s="17"/>
    </row>
    <row r="23" spans="2:17" ht="12.75">
      <c r="B23" s="2336" t="s">
        <v>933</v>
      </c>
      <c r="C23" s="91"/>
      <c r="D23" s="3318"/>
      <c r="E23" s="3372"/>
      <c r="F23" s="92">
        <v>0.61918625610433442</v>
      </c>
      <c r="G23" s="3359">
        <f t="shared" si="1"/>
        <v>0</v>
      </c>
      <c r="H23" s="93">
        <v>42.06</v>
      </c>
      <c r="I23" s="94">
        <v>1</v>
      </c>
      <c r="J23" s="3361">
        <f>(G23*1000*H23*I23)/2000</f>
        <v>0</v>
      </c>
      <c r="K23" s="3291">
        <f t="shared" si="0"/>
        <v>0</v>
      </c>
      <c r="L23" s="3319"/>
      <c r="M23" s="17"/>
      <c r="N23" s="3320"/>
      <c r="O23" s="3321"/>
      <c r="P23" s="3320"/>
      <c r="Q23" s="17"/>
    </row>
    <row r="24" spans="2:17" ht="12.75">
      <c r="B24" s="2336" t="s">
        <v>901</v>
      </c>
      <c r="C24" s="719">
        <v>91</v>
      </c>
      <c r="D24" s="3322">
        <v>1</v>
      </c>
      <c r="E24" s="3372">
        <f>C24*D24</f>
        <v>91</v>
      </c>
      <c r="F24" s="92">
        <v>0.5</v>
      </c>
      <c r="G24" s="3359">
        <f t="shared" si="1"/>
        <v>45.5</v>
      </c>
      <c r="H24" s="93">
        <v>45.15</v>
      </c>
      <c r="I24" s="94">
        <v>1</v>
      </c>
      <c r="J24" s="3361">
        <f>(G24*1000*H24*I24)/2000</f>
        <v>1027.1624999999999</v>
      </c>
      <c r="K24" s="100">
        <f t="shared" si="0"/>
        <v>3.4176610092624998E-3</v>
      </c>
      <c r="L24" s="3319"/>
      <c r="M24" s="17"/>
      <c r="N24" s="3320"/>
      <c r="O24" s="3321"/>
      <c r="P24" s="3320"/>
      <c r="Q24" s="17"/>
    </row>
    <row r="25" spans="2:17" ht="12.75">
      <c r="B25" s="2336" t="s">
        <v>934</v>
      </c>
      <c r="C25" s="3293">
        <v>0</v>
      </c>
      <c r="D25" s="3318"/>
      <c r="E25" s="3372">
        <v>0</v>
      </c>
      <c r="F25" s="92">
        <v>0.7</v>
      </c>
      <c r="G25" s="3359">
        <f t="shared" si="1"/>
        <v>0</v>
      </c>
      <c r="H25" s="93">
        <v>40.11</v>
      </c>
      <c r="I25" s="94">
        <v>1</v>
      </c>
      <c r="J25" s="3361">
        <f>G25*H25*I25/2000</f>
        <v>0</v>
      </c>
      <c r="K25" s="3291">
        <f t="shared" si="0"/>
        <v>0</v>
      </c>
      <c r="L25" s="3319"/>
      <c r="M25" s="17"/>
      <c r="N25" s="3320"/>
      <c r="O25" s="3321"/>
      <c r="P25" s="3320"/>
      <c r="Q25" s="17"/>
    </row>
    <row r="26" spans="2:17" ht="12.75">
      <c r="B26" s="2336" t="s">
        <v>935</v>
      </c>
      <c r="C26" s="719">
        <v>2795</v>
      </c>
      <c r="D26" s="3322">
        <v>0.94768328836537974</v>
      </c>
      <c r="E26" s="3372">
        <f>C26*D26</f>
        <v>2648.7747909812365</v>
      </c>
      <c r="F26" s="92">
        <v>0</v>
      </c>
      <c r="G26" s="3359">
        <f t="shared" si="1"/>
        <v>2795</v>
      </c>
      <c r="H26" s="93">
        <v>43.51</v>
      </c>
      <c r="I26" s="94">
        <v>1</v>
      </c>
      <c r="J26" s="3361">
        <f>(G26*1000*H26*I26)/2000</f>
        <v>60805.224999999999</v>
      </c>
      <c r="K26" s="100">
        <f t="shared" si="0"/>
        <v>0.20231623199049165</v>
      </c>
      <c r="L26" s="3319"/>
      <c r="M26" s="17"/>
      <c r="N26" s="3320"/>
      <c r="O26" s="3321"/>
      <c r="P26" s="3320"/>
      <c r="Q26" s="17"/>
    </row>
    <row r="27" spans="2:17" ht="12.75">
      <c r="B27" s="2336" t="s">
        <v>936</v>
      </c>
      <c r="C27" s="3293">
        <v>0</v>
      </c>
      <c r="D27" s="3318"/>
      <c r="E27" s="3372">
        <v>0</v>
      </c>
      <c r="F27" s="92">
        <v>0</v>
      </c>
      <c r="G27" s="3359">
        <f t="shared" si="1"/>
        <v>0</v>
      </c>
      <c r="H27" s="3323">
        <v>44.77366188659483</v>
      </c>
      <c r="I27" s="94">
        <v>1</v>
      </c>
      <c r="J27" s="3361">
        <f>G27*H27*I27/2000</f>
        <v>0</v>
      </c>
      <c r="K27" s="3291">
        <f t="shared" si="0"/>
        <v>0</v>
      </c>
      <c r="L27" s="3319"/>
      <c r="M27" s="17"/>
      <c r="N27" s="3320"/>
      <c r="O27" s="3321"/>
      <c r="P27" s="3320"/>
      <c r="Q27" s="17"/>
    </row>
    <row r="28" spans="2:17" ht="12.75">
      <c r="B28" s="2336" t="s">
        <v>937</v>
      </c>
      <c r="C28" s="719">
        <v>100</v>
      </c>
      <c r="D28" s="3322">
        <v>1</v>
      </c>
      <c r="E28" s="3372">
        <f>C28*D28</f>
        <v>100</v>
      </c>
      <c r="F28" s="92">
        <v>0.57999999999999996</v>
      </c>
      <c r="G28" s="3359">
        <f t="shared" si="1"/>
        <v>42.000000000000007</v>
      </c>
      <c r="H28" s="93">
        <v>43.64</v>
      </c>
      <c r="I28" s="94">
        <v>1</v>
      </c>
      <c r="J28" s="3361">
        <f>(G28*1000*H28*I28)/2000</f>
        <v>916.44000000000017</v>
      </c>
      <c r="K28" s="100">
        <f t="shared" si="0"/>
        <v>3.0492558434800005E-3</v>
      </c>
      <c r="L28" s="3319"/>
      <c r="M28" s="17"/>
      <c r="N28" s="3320"/>
      <c r="O28" s="3321"/>
      <c r="P28" s="3320"/>
      <c r="Q28" s="17"/>
    </row>
    <row r="29" spans="2:17" ht="12.75">
      <c r="B29" s="2336" t="s">
        <v>1114</v>
      </c>
      <c r="C29" s="719">
        <v>16489</v>
      </c>
      <c r="D29" s="3322">
        <v>3.1036474108728018E-2</v>
      </c>
      <c r="E29" s="3372">
        <f>C29*D29</f>
        <v>511.76042157881631</v>
      </c>
      <c r="F29" s="92">
        <v>0.61918625610433442</v>
      </c>
      <c r="G29" s="3359">
        <f t="shared" si="1"/>
        <v>16172.124980540237</v>
      </c>
      <c r="H29" s="93">
        <v>31.9</v>
      </c>
      <c r="I29" s="94">
        <v>1</v>
      </c>
      <c r="J29" s="3362">
        <f>(G29*1000*H29*I29)/2000</f>
        <v>257945.39343961678</v>
      </c>
      <c r="K29" s="3324">
        <f t="shared" si="0"/>
        <v>0.85825749448354405</v>
      </c>
      <c r="L29" s="3319"/>
      <c r="M29" s="17"/>
      <c r="N29" s="3320"/>
      <c r="O29" s="3321"/>
      <c r="P29" s="3320"/>
      <c r="Q29" s="17"/>
    </row>
    <row r="30" spans="2:17" ht="13.5" thickBot="1">
      <c r="B30" s="2338" t="s">
        <v>182</v>
      </c>
      <c r="C30" s="3259"/>
      <c r="D30" s="3318"/>
      <c r="E30" s="3260"/>
      <c r="F30" s="3261"/>
      <c r="G30" s="3262"/>
      <c r="H30" s="3263"/>
      <c r="I30" s="3264"/>
      <c r="J30" s="3325"/>
      <c r="K30" s="3326"/>
      <c r="L30" s="3319"/>
      <c r="M30" s="17"/>
      <c r="N30" s="3320"/>
      <c r="O30" s="3321"/>
      <c r="P30" s="3320"/>
      <c r="Q30" s="17"/>
    </row>
    <row r="31" spans="2:17" ht="13.5" thickBot="1">
      <c r="B31" s="3327"/>
      <c r="C31" s="3328"/>
      <c r="D31" s="3363"/>
      <c r="E31" s="3328"/>
      <c r="F31" s="3328"/>
      <c r="G31" s="3328"/>
      <c r="H31" s="3328"/>
      <c r="I31" s="2694" t="s">
        <v>190</v>
      </c>
      <c r="J31" s="3329">
        <f>SUM(J8:J29)</f>
        <v>887683.89995459851</v>
      </c>
      <c r="K31" s="2695">
        <f>SUM(K8:K29)</f>
        <v>2.9535761414819035</v>
      </c>
      <c r="L31" s="1844"/>
      <c r="M31" s="1844"/>
      <c r="N31" s="1844"/>
      <c r="O31" s="1844"/>
      <c r="P31" s="3300"/>
    </row>
    <row r="32" spans="2:17" ht="12" thickBot="1">
      <c r="B32" s="3330"/>
      <c r="C32" s="3331"/>
      <c r="D32" s="3332"/>
      <c r="E32" s="3331"/>
      <c r="F32" s="3331"/>
      <c r="G32" s="3331"/>
      <c r="H32" s="3331"/>
      <c r="I32" s="3332"/>
      <c r="J32" s="3332"/>
      <c r="K32" s="3333"/>
    </row>
    <row r="33" spans="2:14" ht="12" thickTop="1"/>
    <row r="35" spans="2:14" ht="13.5" thickBot="1">
      <c r="B35" s="3334" t="s">
        <v>1756</v>
      </c>
      <c r="C35" s="3302"/>
      <c r="D35" s="3302"/>
      <c r="E35" s="3301">
        <v>2017</v>
      </c>
      <c r="F35" s="2007"/>
      <c r="G35" s="2007"/>
      <c r="H35" s="2007"/>
      <c r="I35" s="2007"/>
      <c r="J35" s="2007"/>
      <c r="K35" s="2007"/>
      <c r="L35" s="2007"/>
      <c r="M35" s="2007"/>
      <c r="N35" s="2007"/>
    </row>
    <row r="36" spans="2:14" ht="15" thickTop="1">
      <c r="B36" s="2996"/>
      <c r="C36" s="3305" t="s">
        <v>955</v>
      </c>
      <c r="D36" s="3305" t="s">
        <v>1752</v>
      </c>
      <c r="E36" s="3305" t="s">
        <v>956</v>
      </c>
      <c r="F36" s="3306"/>
      <c r="G36" s="3306"/>
      <c r="H36" s="3306"/>
      <c r="I36" s="3307"/>
      <c r="J36" s="1844"/>
      <c r="K36" s="1844"/>
      <c r="L36" s="1844"/>
      <c r="M36" s="1844"/>
      <c r="N36" s="1844"/>
    </row>
    <row r="37" spans="2:14" ht="14.25">
      <c r="B37" s="2697"/>
      <c r="C37" s="3310" t="s">
        <v>106</v>
      </c>
      <c r="D37" s="3310" t="s">
        <v>1753</v>
      </c>
      <c r="E37" s="3310" t="s">
        <v>106</v>
      </c>
      <c r="F37" s="3312" t="s">
        <v>107</v>
      </c>
      <c r="G37" s="3312" t="s">
        <v>114</v>
      </c>
      <c r="H37" s="3310" t="s">
        <v>109</v>
      </c>
      <c r="I37" s="3313" t="s">
        <v>108</v>
      </c>
      <c r="J37" s="2017"/>
      <c r="K37" s="3314"/>
      <c r="L37" s="2017"/>
      <c r="M37" s="3314"/>
      <c r="N37" s="1844"/>
    </row>
    <row r="38" spans="2:14" ht="15" thickBot="1">
      <c r="B38" s="2700" t="s">
        <v>1120</v>
      </c>
      <c r="C38" s="3315" t="s">
        <v>110</v>
      </c>
      <c r="D38" s="3315" t="s">
        <v>1754</v>
      </c>
      <c r="E38" s="3315" t="s">
        <v>110</v>
      </c>
      <c r="F38" s="3335" t="s">
        <v>1397</v>
      </c>
      <c r="G38" s="3335" t="s">
        <v>1398</v>
      </c>
      <c r="H38" s="3315"/>
      <c r="I38" s="3316" t="s">
        <v>1395</v>
      </c>
      <c r="J38" s="2017"/>
      <c r="K38" s="3317"/>
      <c r="L38" s="2017"/>
      <c r="M38" s="3314"/>
      <c r="N38" s="1844"/>
    </row>
    <row r="39" spans="2:14" ht="12.75">
      <c r="B39" s="2689" t="s">
        <v>923</v>
      </c>
      <c r="C39" s="3292">
        <v>0</v>
      </c>
      <c r="D39" s="3318"/>
      <c r="E39" s="3366">
        <v>0</v>
      </c>
      <c r="F39" s="2698">
        <v>1.5034545899835E-3</v>
      </c>
      <c r="G39" s="3364">
        <f>(C39-E39)*F39</f>
        <v>0</v>
      </c>
      <c r="H39" s="2699">
        <v>310</v>
      </c>
      <c r="I39" s="3368">
        <f>G39*H39/1000000</f>
        <v>0</v>
      </c>
      <c r="J39" s="3320"/>
      <c r="K39" s="3321"/>
      <c r="L39" s="3320"/>
      <c r="M39" s="3321"/>
      <c r="N39" s="1844"/>
    </row>
    <row r="40" spans="2:14" ht="12.75">
      <c r="B40" s="2336" t="s">
        <v>924</v>
      </c>
      <c r="C40" s="719">
        <v>12275</v>
      </c>
      <c r="D40" s="3322">
        <v>1.6386862395834579E-2</v>
      </c>
      <c r="E40" s="3367">
        <f>C40*D40</f>
        <v>201.14873590886947</v>
      </c>
      <c r="F40" s="98">
        <v>1.5034545899835E-3</v>
      </c>
      <c r="G40" s="3365">
        <f>(C40-E40)*F40</f>
        <v>18.152487101775893</v>
      </c>
      <c r="H40" s="99">
        <v>310</v>
      </c>
      <c r="I40" s="3369">
        <f>G40*H40/1000000</f>
        <v>5.6272710015505276E-3</v>
      </c>
      <c r="J40" s="3320"/>
      <c r="K40" s="3321"/>
      <c r="L40" s="3320"/>
      <c r="M40" s="3321"/>
      <c r="N40" s="1844"/>
    </row>
    <row r="41" spans="2:14" ht="12.75">
      <c r="B41" s="2336" t="s">
        <v>925</v>
      </c>
      <c r="C41" s="719">
        <v>16869</v>
      </c>
      <c r="D41" s="3322">
        <v>1</v>
      </c>
      <c r="E41" s="3367">
        <f>C41*D41</f>
        <v>16869</v>
      </c>
      <c r="F41" s="98">
        <v>6.0138183599339984E-4</v>
      </c>
      <c r="G41" s="3365">
        <f>(C41-E41)*F41</f>
        <v>0</v>
      </c>
      <c r="H41" s="99">
        <v>310</v>
      </c>
      <c r="I41" s="3369">
        <f>G41*H41/1000000</f>
        <v>0</v>
      </c>
      <c r="J41" s="3320"/>
      <c r="K41" s="3321"/>
      <c r="L41" s="3320"/>
      <c r="M41" s="3321"/>
      <c r="N41" s="1844"/>
    </row>
    <row r="42" spans="2:14" ht="12.75">
      <c r="B42" s="2337" t="s">
        <v>926</v>
      </c>
      <c r="C42" s="3293">
        <v>0</v>
      </c>
      <c r="D42" s="3318"/>
      <c r="E42" s="3367">
        <v>0</v>
      </c>
      <c r="F42" s="98">
        <v>6.0138183599339984E-4</v>
      </c>
      <c r="G42" s="3365">
        <f t="shared" ref="G42:G60" si="3">(C42-E42)*F42</f>
        <v>0</v>
      </c>
      <c r="H42" s="99">
        <v>310</v>
      </c>
      <c r="I42" s="3369">
        <f t="shared" ref="I42:I61" si="4">G42*H42/1000000</f>
        <v>0</v>
      </c>
      <c r="J42" s="3320"/>
      <c r="K42" s="3321"/>
      <c r="L42" s="3320"/>
      <c r="M42" s="3321"/>
      <c r="N42" s="1844"/>
    </row>
    <row r="43" spans="2:14" ht="12.75">
      <c r="B43" s="2337" t="s">
        <v>927</v>
      </c>
      <c r="C43" s="3293">
        <v>0</v>
      </c>
      <c r="D43" s="3318"/>
      <c r="E43" s="3367">
        <v>0</v>
      </c>
      <c r="F43" s="98">
        <v>6.0138183599339984E-4</v>
      </c>
      <c r="G43" s="3365">
        <f t="shared" si="3"/>
        <v>0</v>
      </c>
      <c r="H43" s="99">
        <v>310</v>
      </c>
      <c r="I43" s="3369">
        <f t="shared" si="4"/>
        <v>0</v>
      </c>
      <c r="J43" s="3320"/>
      <c r="K43" s="3321"/>
      <c r="L43" s="3320"/>
      <c r="M43" s="3321"/>
      <c r="N43" s="1844"/>
    </row>
    <row r="44" spans="2:14" ht="12.75">
      <c r="B44" s="2336" t="s">
        <v>897</v>
      </c>
      <c r="C44" s="719">
        <v>5309</v>
      </c>
      <c r="D44" s="3322">
        <v>5.9993813799243175E-3</v>
      </c>
      <c r="E44" s="3367">
        <f>C44*D44</f>
        <v>31.850715746018203</v>
      </c>
      <c r="F44" s="98">
        <v>6.0138183599339984E-4</v>
      </c>
      <c r="G44" s="3365">
        <f t="shared" si="3"/>
        <v>3.1735817253759153</v>
      </c>
      <c r="H44" s="99">
        <v>310</v>
      </c>
      <c r="I44" s="3369">
        <f t="shared" si="4"/>
        <v>9.838103348665337E-4</v>
      </c>
      <c r="J44" s="3320"/>
      <c r="K44" s="3321"/>
      <c r="L44" s="3320"/>
      <c r="M44" s="3321"/>
      <c r="N44" s="1844"/>
    </row>
    <row r="45" spans="2:14" ht="12.75">
      <c r="B45" s="2337" t="s">
        <v>928</v>
      </c>
      <c r="C45" s="3294">
        <v>0</v>
      </c>
      <c r="D45" s="3318"/>
      <c r="E45" s="3367"/>
      <c r="F45" s="98">
        <v>6.0138183599339984E-4</v>
      </c>
      <c r="G45" s="3365">
        <f t="shared" si="3"/>
        <v>0</v>
      </c>
      <c r="H45" s="99">
        <v>310</v>
      </c>
      <c r="I45" s="3369">
        <f t="shared" si="4"/>
        <v>0</v>
      </c>
      <c r="J45" s="3320"/>
      <c r="K45" s="3321"/>
      <c r="L45" s="3320"/>
      <c r="M45" s="3321"/>
      <c r="N45" s="1844"/>
    </row>
    <row r="46" spans="2:14" ht="15.75" customHeight="1">
      <c r="B46" s="2337" t="s">
        <v>929</v>
      </c>
      <c r="C46" s="3294">
        <v>0</v>
      </c>
      <c r="D46" s="3318"/>
      <c r="E46" s="3367"/>
      <c r="F46" s="98">
        <v>6.0138183599339984E-4</v>
      </c>
      <c r="G46" s="3365">
        <f t="shared" si="3"/>
        <v>0</v>
      </c>
      <c r="H46" s="99">
        <v>310</v>
      </c>
      <c r="I46" s="3369">
        <f t="shared" si="4"/>
        <v>0</v>
      </c>
      <c r="J46" s="3320"/>
      <c r="K46" s="3321"/>
      <c r="L46" s="3320"/>
      <c r="M46" s="3321"/>
      <c r="N46" s="1844"/>
    </row>
    <row r="47" spans="2:14" ht="12.75">
      <c r="B47" s="2336" t="s">
        <v>922</v>
      </c>
      <c r="C47" s="719">
        <v>7</v>
      </c>
      <c r="D47" s="3322">
        <v>1</v>
      </c>
      <c r="E47" s="3367">
        <f>C47*D47</f>
        <v>7</v>
      </c>
      <c r="F47" s="98">
        <v>6.0138183599339984E-4</v>
      </c>
      <c r="G47" s="3365">
        <f t="shared" si="3"/>
        <v>0</v>
      </c>
      <c r="H47" s="99">
        <v>310</v>
      </c>
      <c r="I47" s="3369">
        <f t="shared" si="4"/>
        <v>0</v>
      </c>
      <c r="J47" s="3320"/>
      <c r="K47" s="3321"/>
      <c r="L47" s="3320"/>
      <c r="M47" s="3321"/>
      <c r="N47" s="1844"/>
    </row>
    <row r="48" spans="2:14" ht="12.75">
      <c r="B48" s="2336" t="s">
        <v>899</v>
      </c>
      <c r="C48" s="719">
        <v>1486</v>
      </c>
      <c r="D48" s="3322">
        <v>0.82377689762912898</v>
      </c>
      <c r="E48" s="3367">
        <f>C48*D48</f>
        <v>1224.1324698768856</v>
      </c>
      <c r="F48" s="98">
        <v>6.0138183599339984E-4</v>
      </c>
      <c r="G48" s="3365">
        <f t="shared" si="3"/>
        <v>0.15748237605249549</v>
      </c>
      <c r="H48" s="99">
        <v>310</v>
      </c>
      <c r="I48" s="3369">
        <f t="shared" si="4"/>
        <v>4.8819536576273601E-5</v>
      </c>
      <c r="J48" s="3320"/>
      <c r="K48" s="3321"/>
      <c r="L48" s="3320"/>
      <c r="M48" s="3321"/>
      <c r="N48" s="1844"/>
    </row>
    <row r="49" spans="2:14" ht="12.75">
      <c r="B49" s="2336" t="s">
        <v>902</v>
      </c>
      <c r="C49" s="719">
        <v>946</v>
      </c>
      <c r="D49" s="3322">
        <v>1</v>
      </c>
      <c r="E49" s="3367">
        <f>C49*D49</f>
        <v>946</v>
      </c>
      <c r="F49" s="98">
        <v>6.0138183599339984E-4</v>
      </c>
      <c r="G49" s="3365">
        <f t="shared" si="3"/>
        <v>0</v>
      </c>
      <c r="H49" s="99">
        <v>310</v>
      </c>
      <c r="I49" s="3369">
        <f t="shared" si="4"/>
        <v>0</v>
      </c>
      <c r="J49" s="3320"/>
      <c r="K49" s="3321"/>
      <c r="L49" s="3320"/>
      <c r="M49" s="3321"/>
      <c r="N49" s="1844"/>
    </row>
    <row r="50" spans="2:14" ht="12.75">
      <c r="B50" s="2336" t="s">
        <v>900</v>
      </c>
      <c r="C50" s="719">
        <v>2865</v>
      </c>
      <c r="D50" s="3322">
        <v>1</v>
      </c>
      <c r="E50" s="3367">
        <f>C50*D50</f>
        <v>2865</v>
      </c>
      <c r="F50" s="98">
        <v>6.0138183599339984E-4</v>
      </c>
      <c r="G50" s="3365">
        <f t="shared" si="3"/>
        <v>0</v>
      </c>
      <c r="H50" s="99">
        <v>310</v>
      </c>
      <c r="I50" s="3369">
        <f t="shared" si="4"/>
        <v>0</v>
      </c>
      <c r="J50" s="3320"/>
      <c r="K50" s="3321"/>
      <c r="L50" s="3320"/>
      <c r="M50" s="3321"/>
      <c r="N50" s="1844"/>
    </row>
    <row r="51" spans="2:14" ht="12.75">
      <c r="B51" s="2337" t="s">
        <v>930</v>
      </c>
      <c r="C51" s="3293">
        <v>0</v>
      </c>
      <c r="D51" s="3318"/>
      <c r="E51" s="3367">
        <v>0</v>
      </c>
      <c r="F51" s="98">
        <v>6.0138183599339984E-4</v>
      </c>
      <c r="G51" s="3365">
        <f t="shared" si="3"/>
        <v>0</v>
      </c>
      <c r="H51" s="99">
        <v>310</v>
      </c>
      <c r="I51" s="3369">
        <f t="shared" si="4"/>
        <v>0</v>
      </c>
      <c r="J51" s="3320"/>
      <c r="K51" s="3321"/>
      <c r="L51" s="3320"/>
      <c r="M51" s="3321"/>
      <c r="N51" s="1844"/>
    </row>
    <row r="52" spans="2:14" ht="12.75">
      <c r="B52" s="2336" t="s">
        <v>931</v>
      </c>
      <c r="C52" s="719">
        <v>293</v>
      </c>
      <c r="D52" s="3322">
        <v>1</v>
      </c>
      <c r="E52" s="3367">
        <f>C52*D52</f>
        <v>293</v>
      </c>
      <c r="F52" s="98">
        <v>6.0138183599339984E-4</v>
      </c>
      <c r="G52" s="3365">
        <f t="shared" si="3"/>
        <v>0</v>
      </c>
      <c r="H52" s="99">
        <v>310</v>
      </c>
      <c r="I52" s="3369">
        <f t="shared" si="4"/>
        <v>0</v>
      </c>
      <c r="J52" s="3320"/>
      <c r="K52" s="3321"/>
      <c r="L52" s="3320"/>
      <c r="M52" s="3321"/>
      <c r="N52" s="1844"/>
    </row>
    <row r="53" spans="2:14" ht="12.75">
      <c r="B53" s="2336" t="s">
        <v>932</v>
      </c>
      <c r="C53" s="3293">
        <v>0</v>
      </c>
      <c r="D53" s="3318"/>
      <c r="E53" s="3367">
        <v>0</v>
      </c>
      <c r="F53" s="98">
        <v>6.0138183599339984E-4</v>
      </c>
      <c r="G53" s="3365">
        <f t="shared" si="3"/>
        <v>0</v>
      </c>
      <c r="H53" s="99">
        <v>310</v>
      </c>
      <c r="I53" s="3369">
        <f t="shared" si="4"/>
        <v>0</v>
      </c>
      <c r="J53" s="3320"/>
      <c r="K53" s="3321"/>
      <c r="L53" s="3320"/>
      <c r="M53" s="3321"/>
      <c r="N53" s="1844"/>
    </row>
    <row r="54" spans="2:14" ht="12.75">
      <c r="B54" s="2336" t="s">
        <v>933</v>
      </c>
      <c r="C54" s="91"/>
      <c r="D54" s="3318"/>
      <c r="E54" s="3367"/>
      <c r="F54" s="98">
        <v>6.0138183599339984E-4</v>
      </c>
      <c r="G54" s="3365">
        <f t="shared" si="3"/>
        <v>0</v>
      </c>
      <c r="H54" s="99">
        <v>310</v>
      </c>
      <c r="I54" s="3369">
        <f t="shared" si="4"/>
        <v>0</v>
      </c>
      <c r="J54" s="3320"/>
      <c r="K54" s="3321"/>
      <c r="L54" s="3320"/>
      <c r="M54" s="3321"/>
      <c r="N54" s="1844"/>
    </row>
    <row r="55" spans="2:14" ht="12.75">
      <c r="B55" s="2336" t="s">
        <v>901</v>
      </c>
      <c r="C55" s="719">
        <v>91</v>
      </c>
      <c r="D55" s="3322">
        <v>1</v>
      </c>
      <c r="E55" s="3367">
        <f>C55*D55</f>
        <v>91</v>
      </c>
      <c r="F55" s="98">
        <v>6.0138183599339984E-4</v>
      </c>
      <c r="G55" s="3365">
        <f t="shared" si="3"/>
        <v>0</v>
      </c>
      <c r="H55" s="99">
        <v>310</v>
      </c>
      <c r="I55" s="3369">
        <f t="shared" si="4"/>
        <v>0</v>
      </c>
      <c r="J55" s="3320"/>
      <c r="K55" s="3321"/>
      <c r="L55" s="3320"/>
      <c r="M55" s="3321"/>
      <c r="N55" s="1844"/>
    </row>
    <row r="56" spans="2:14" ht="12.75">
      <c r="B56" s="2336" t="s">
        <v>934</v>
      </c>
      <c r="C56" s="3293">
        <v>0</v>
      </c>
      <c r="D56" s="3318"/>
      <c r="E56" s="3367">
        <v>0</v>
      </c>
      <c r="F56" s="98">
        <v>6.0138183599339984E-4</v>
      </c>
      <c r="G56" s="3365">
        <f t="shared" si="3"/>
        <v>0</v>
      </c>
      <c r="H56" s="99">
        <v>310</v>
      </c>
      <c r="I56" s="3369">
        <f t="shared" si="4"/>
        <v>0</v>
      </c>
      <c r="J56" s="3320"/>
      <c r="K56" s="3321"/>
      <c r="L56" s="3320"/>
      <c r="M56" s="3321"/>
      <c r="N56" s="1844"/>
    </row>
    <row r="57" spans="2:14" ht="12.75">
      <c r="B57" s="2336" t="s">
        <v>935</v>
      </c>
      <c r="C57" s="719">
        <v>2795</v>
      </c>
      <c r="D57" s="3322">
        <v>0.94768328836537974</v>
      </c>
      <c r="E57" s="3367">
        <f>C57*D57</f>
        <v>2648.7747909812365</v>
      </c>
      <c r="F57" s="98">
        <v>6.0138183599339984E-4</v>
      </c>
      <c r="G57" s="3365">
        <f t="shared" si="3"/>
        <v>8.7937184668222645E-2</v>
      </c>
      <c r="H57" s="99">
        <v>310</v>
      </c>
      <c r="I57" s="3369">
        <f t="shared" si="4"/>
        <v>2.726052724714902E-5</v>
      </c>
      <c r="J57" s="3320"/>
      <c r="K57" s="3321"/>
      <c r="L57" s="3320"/>
      <c r="M57" s="3321"/>
      <c r="N57" s="1844"/>
    </row>
    <row r="58" spans="2:14" ht="12.75">
      <c r="B58" s="2336" t="s">
        <v>936</v>
      </c>
      <c r="C58" s="3293">
        <v>0</v>
      </c>
      <c r="D58" s="3318"/>
      <c r="E58" s="3367">
        <v>0</v>
      </c>
      <c r="F58" s="98">
        <v>6.0138183599339984E-4</v>
      </c>
      <c r="G58" s="3365">
        <f t="shared" si="3"/>
        <v>0</v>
      </c>
      <c r="H58" s="99">
        <v>310</v>
      </c>
      <c r="I58" s="3369">
        <f t="shared" si="4"/>
        <v>0</v>
      </c>
      <c r="J58" s="3320"/>
      <c r="K58" s="3321"/>
      <c r="L58" s="3320"/>
      <c r="M58" s="3321"/>
      <c r="N58" s="1844"/>
    </row>
    <row r="59" spans="2:14" ht="12.75">
      <c r="B59" s="2336" t="s">
        <v>937</v>
      </c>
      <c r="C59" s="719">
        <v>100</v>
      </c>
      <c r="D59" s="3322">
        <v>1</v>
      </c>
      <c r="E59" s="3367">
        <f>C59*D59</f>
        <v>100</v>
      </c>
      <c r="F59" s="98">
        <v>6.0138183599339984E-4</v>
      </c>
      <c r="G59" s="3365">
        <f t="shared" si="3"/>
        <v>0</v>
      </c>
      <c r="H59" s="99">
        <v>310</v>
      </c>
      <c r="I59" s="3369">
        <f t="shared" si="4"/>
        <v>0</v>
      </c>
      <c r="J59" s="3320"/>
      <c r="K59" s="3321"/>
      <c r="L59" s="3320"/>
      <c r="M59" s="3321"/>
      <c r="N59" s="1844"/>
    </row>
    <row r="60" spans="2:14" ht="12.75">
      <c r="B60" s="2336" t="s">
        <v>1114</v>
      </c>
      <c r="C60" s="719">
        <v>16489</v>
      </c>
      <c r="D60" s="3322">
        <v>3.1036474108728018E-2</v>
      </c>
      <c r="E60" s="3367">
        <f>C60*D60</f>
        <v>511.76042157881631</v>
      </c>
      <c r="F60" s="98">
        <v>9.4955026735800017E-5</v>
      </c>
      <c r="G60" s="3365">
        <f t="shared" si="3"/>
        <v>1.5171192113332657</v>
      </c>
      <c r="H60" s="99">
        <v>310</v>
      </c>
      <c r="I60" s="3369">
        <f t="shared" si="4"/>
        <v>4.7030695551331233E-4</v>
      </c>
      <c r="J60" s="3320"/>
      <c r="K60" s="3321"/>
      <c r="L60" s="3320"/>
      <c r="M60" s="3321"/>
      <c r="N60" s="1844"/>
    </row>
    <row r="61" spans="2:14" ht="12.75">
      <c r="B61" s="2338" t="s">
        <v>182</v>
      </c>
      <c r="C61" s="91">
        <v>6971</v>
      </c>
      <c r="D61" s="3318"/>
      <c r="E61" s="101" t="s">
        <v>959</v>
      </c>
      <c r="F61" s="98">
        <v>3.7982010694320003E-3</v>
      </c>
      <c r="G61" s="3365">
        <f>C61*F61</f>
        <v>26.477259655010474</v>
      </c>
      <c r="H61" s="99">
        <v>310</v>
      </c>
      <c r="I61" s="3369">
        <f t="shared" si="4"/>
        <v>8.2079504930532479E-3</v>
      </c>
      <c r="J61" s="3336"/>
      <c r="K61" s="3321"/>
      <c r="L61" s="3336"/>
      <c r="M61" s="3321"/>
      <c r="N61" s="1844"/>
    </row>
    <row r="62" spans="2:14" ht="14.25">
      <c r="B62" s="102"/>
      <c r="C62" s="3328"/>
      <c r="D62" s="3337"/>
      <c r="E62" s="3328"/>
      <c r="F62" s="3328"/>
      <c r="G62" s="3328"/>
      <c r="H62" s="2696" t="s">
        <v>190</v>
      </c>
      <c r="I62" s="3370">
        <f>SUM(I39:I61)</f>
        <v>1.5365418848807044E-2</v>
      </c>
      <c r="J62" s="63"/>
      <c r="K62" s="3338"/>
      <c r="L62" s="63"/>
      <c r="M62" s="3338"/>
      <c r="N62" s="1844"/>
    </row>
    <row r="63" spans="2:14" ht="12" thickBot="1">
      <c r="B63" s="3330"/>
      <c r="C63" s="3331"/>
      <c r="D63" s="3331"/>
      <c r="E63" s="3331"/>
      <c r="F63" s="3331"/>
      <c r="G63" s="3331"/>
      <c r="H63" s="3331"/>
      <c r="I63" s="3339"/>
    </row>
    <row r="64" spans="2:14" ht="12" thickTop="1"/>
    <row r="66" spans="2:14" ht="13.5" thickBot="1">
      <c r="B66" s="3301" t="s">
        <v>1757</v>
      </c>
      <c r="C66" s="3302"/>
      <c r="D66" s="3302"/>
      <c r="E66" s="3301">
        <v>2017</v>
      </c>
      <c r="F66" s="2007"/>
      <c r="G66" s="2007"/>
      <c r="H66" s="2007"/>
      <c r="I66" s="2007"/>
      <c r="J66" s="2007"/>
      <c r="K66" s="2007"/>
      <c r="L66" s="2007"/>
      <c r="M66" s="2007"/>
      <c r="N66" s="2007"/>
    </row>
    <row r="67" spans="2:14" ht="15" thickTop="1">
      <c r="B67" s="3304"/>
      <c r="C67" s="3305" t="s">
        <v>955</v>
      </c>
      <c r="D67" s="3305" t="s">
        <v>1752</v>
      </c>
      <c r="E67" s="3305" t="s">
        <v>956</v>
      </c>
      <c r="F67" s="3306"/>
      <c r="G67" s="3306"/>
      <c r="H67" s="3306"/>
      <c r="I67" s="3307"/>
      <c r="J67" s="1844"/>
      <c r="K67" s="1844"/>
      <c r="L67" s="1844"/>
      <c r="M67" s="1844"/>
      <c r="N67" s="1844"/>
    </row>
    <row r="68" spans="2:14" ht="14.25">
      <c r="B68" s="3309"/>
      <c r="C68" s="3310" t="s">
        <v>106</v>
      </c>
      <c r="D68" s="3310" t="s">
        <v>1753</v>
      </c>
      <c r="E68" s="3310" t="s">
        <v>106</v>
      </c>
      <c r="F68" s="3312" t="s">
        <v>107</v>
      </c>
      <c r="G68" s="3312" t="s">
        <v>108</v>
      </c>
      <c r="H68" s="3310" t="s">
        <v>109</v>
      </c>
      <c r="I68" s="3313" t="s">
        <v>108</v>
      </c>
      <c r="J68" s="2017"/>
      <c r="K68" s="3314"/>
      <c r="L68" s="2017"/>
      <c r="M68" s="3314"/>
      <c r="N68" s="2017"/>
    </row>
    <row r="69" spans="2:14" ht="15" thickBot="1">
      <c r="B69" s="2693" t="s">
        <v>1120</v>
      </c>
      <c r="C69" s="3315" t="s">
        <v>110</v>
      </c>
      <c r="D69" s="3315" t="s">
        <v>1754</v>
      </c>
      <c r="E69" s="3315" t="s">
        <v>110</v>
      </c>
      <c r="F69" s="3335" t="s">
        <v>111</v>
      </c>
      <c r="G69" s="3335" t="s">
        <v>112</v>
      </c>
      <c r="H69" s="3315"/>
      <c r="I69" s="3316" t="s">
        <v>942</v>
      </c>
      <c r="J69" s="2017"/>
      <c r="K69" s="3317"/>
      <c r="L69" s="2017"/>
      <c r="M69" s="3314"/>
      <c r="N69" s="2017"/>
    </row>
    <row r="70" spans="2:14" ht="12.75">
      <c r="B70" s="103" t="s">
        <v>923</v>
      </c>
      <c r="C70" s="3293">
        <v>0</v>
      </c>
      <c r="D70" s="3318"/>
      <c r="E70" s="3373">
        <v>0</v>
      </c>
      <c r="F70" s="105">
        <v>1.0023030599889999E-2</v>
      </c>
      <c r="G70" s="106">
        <f t="shared" ref="G70:G91" si="5">(C70-E70)*F70</f>
        <v>0</v>
      </c>
      <c r="H70" s="104">
        <v>21</v>
      </c>
      <c r="I70" s="3296">
        <f>G70*H70/1000000</f>
        <v>0</v>
      </c>
      <c r="J70" s="3320"/>
      <c r="K70" s="3321"/>
      <c r="L70" s="3320"/>
      <c r="M70" s="3321"/>
      <c r="N70" s="2017"/>
    </row>
    <row r="71" spans="2:14" ht="12.75">
      <c r="B71" s="107" t="s">
        <v>924</v>
      </c>
      <c r="C71" s="719">
        <v>12275</v>
      </c>
      <c r="D71" s="3322">
        <v>1.6386862395834579E-2</v>
      </c>
      <c r="E71" s="3374">
        <f>C71*D71</f>
        <v>201.14873590886947</v>
      </c>
      <c r="F71" s="98">
        <v>1.0023030599889999E-2</v>
      </c>
      <c r="G71" s="109">
        <f t="shared" si="5"/>
        <v>121.01658067850595</v>
      </c>
      <c r="H71" s="99">
        <v>21</v>
      </c>
      <c r="I71" s="110">
        <f>G71*H71/1000000</f>
        <v>2.5413481942486251E-3</v>
      </c>
      <c r="J71" s="3320"/>
      <c r="K71" s="3321"/>
      <c r="L71" s="3320"/>
      <c r="M71" s="3321"/>
      <c r="N71" s="2017"/>
    </row>
    <row r="72" spans="2:14" ht="12.75">
      <c r="B72" s="107" t="s">
        <v>925</v>
      </c>
      <c r="C72" s="719">
        <v>16869</v>
      </c>
      <c r="D72" s="3322">
        <v>1</v>
      </c>
      <c r="E72" s="3374">
        <f>C72*D72</f>
        <v>16869</v>
      </c>
      <c r="F72" s="98">
        <v>3.006909179967E-3</v>
      </c>
      <c r="G72" s="109">
        <f t="shared" si="5"/>
        <v>0</v>
      </c>
      <c r="H72" s="99">
        <v>21</v>
      </c>
      <c r="I72" s="110">
        <f>G72*H72/1000000</f>
        <v>0</v>
      </c>
      <c r="J72" s="3320"/>
      <c r="K72" s="3321"/>
      <c r="L72" s="3320"/>
      <c r="M72" s="3321"/>
      <c r="N72" s="2017"/>
    </row>
    <row r="73" spans="2:14" ht="15.75" customHeight="1">
      <c r="B73" s="111" t="s">
        <v>926</v>
      </c>
      <c r="C73" s="3293">
        <v>0</v>
      </c>
      <c r="D73" s="3318"/>
      <c r="E73" s="3374">
        <v>0</v>
      </c>
      <c r="F73" s="98">
        <v>3.006909179967E-3</v>
      </c>
      <c r="G73" s="109">
        <f t="shared" si="5"/>
        <v>0</v>
      </c>
      <c r="H73" s="99">
        <v>21</v>
      </c>
      <c r="I73" s="3297">
        <f t="shared" ref="I73:I92" si="6">G73*H73/1000000</f>
        <v>0</v>
      </c>
      <c r="J73" s="3320"/>
      <c r="K73" s="3321"/>
      <c r="L73" s="3320"/>
      <c r="M73" s="3321"/>
      <c r="N73" s="2017"/>
    </row>
    <row r="74" spans="2:14" ht="12.75">
      <c r="B74" s="111" t="s">
        <v>927</v>
      </c>
      <c r="C74" s="3293">
        <v>0</v>
      </c>
      <c r="D74" s="3318"/>
      <c r="E74" s="3374">
        <v>0</v>
      </c>
      <c r="F74" s="98">
        <v>3.006909179967E-3</v>
      </c>
      <c r="G74" s="109">
        <f t="shared" si="5"/>
        <v>0</v>
      </c>
      <c r="H74" s="99">
        <v>21</v>
      </c>
      <c r="I74" s="3297">
        <f t="shared" si="6"/>
        <v>0</v>
      </c>
      <c r="J74" s="3320"/>
      <c r="K74" s="3321"/>
      <c r="L74" s="3320"/>
      <c r="M74" s="3321"/>
      <c r="N74" s="2017"/>
    </row>
    <row r="75" spans="2:14" ht="12.75">
      <c r="B75" s="107" t="s">
        <v>897</v>
      </c>
      <c r="C75" s="719">
        <v>5309</v>
      </c>
      <c r="D75" s="3322">
        <v>5.9993813799243175E-3</v>
      </c>
      <c r="E75" s="3374">
        <f>C75*D75</f>
        <v>31.850715746018203</v>
      </c>
      <c r="F75" s="98">
        <v>3.006909179967E-3</v>
      </c>
      <c r="G75" s="109">
        <f t="shared" si="5"/>
        <v>15.867908626879581</v>
      </c>
      <c r="H75" s="99">
        <v>21</v>
      </c>
      <c r="I75" s="110">
        <f t="shared" si="6"/>
        <v>3.3322608116447125E-4</v>
      </c>
      <c r="J75" s="3320"/>
      <c r="K75" s="3321"/>
      <c r="L75" s="3320"/>
      <c r="M75" s="3321"/>
      <c r="N75" s="2017"/>
    </row>
    <row r="76" spans="2:14" ht="12.75" customHeight="1">
      <c r="B76" s="111" t="s">
        <v>928</v>
      </c>
      <c r="C76" s="3294">
        <v>0</v>
      </c>
      <c r="D76" s="3318"/>
      <c r="E76" s="3374"/>
      <c r="F76" s="98">
        <v>3.006909179967E-3</v>
      </c>
      <c r="G76" s="109">
        <f t="shared" si="5"/>
        <v>0</v>
      </c>
      <c r="H76" s="99">
        <v>21</v>
      </c>
      <c r="I76" s="3297">
        <f t="shared" si="6"/>
        <v>0</v>
      </c>
      <c r="J76" s="3320"/>
      <c r="K76" s="3321"/>
      <c r="L76" s="3320"/>
      <c r="M76" s="3321"/>
      <c r="N76" s="2017"/>
    </row>
    <row r="77" spans="2:14" ht="14.25" customHeight="1">
      <c r="B77" s="111" t="s">
        <v>929</v>
      </c>
      <c r="C77" s="3294">
        <v>0</v>
      </c>
      <c r="D77" s="3318"/>
      <c r="E77" s="3374"/>
      <c r="F77" s="98">
        <v>3.006909179967E-3</v>
      </c>
      <c r="G77" s="109">
        <f t="shared" si="5"/>
        <v>0</v>
      </c>
      <c r="H77" s="99">
        <v>21</v>
      </c>
      <c r="I77" s="3297">
        <f t="shared" si="6"/>
        <v>0</v>
      </c>
      <c r="J77" s="3320"/>
      <c r="K77" s="3321"/>
      <c r="L77" s="3320"/>
      <c r="M77" s="3321"/>
      <c r="N77" s="2017"/>
    </row>
    <row r="78" spans="2:14" ht="12.75">
      <c r="B78" s="107" t="s">
        <v>922</v>
      </c>
      <c r="C78" s="719">
        <v>7</v>
      </c>
      <c r="D78" s="3322">
        <v>1</v>
      </c>
      <c r="E78" s="3374">
        <f>C78*D78</f>
        <v>7</v>
      </c>
      <c r="F78" s="98">
        <v>3.006909179967E-3</v>
      </c>
      <c r="G78" s="109">
        <f t="shared" si="5"/>
        <v>0</v>
      </c>
      <c r="H78" s="99">
        <v>21</v>
      </c>
      <c r="I78" s="110">
        <f t="shared" si="6"/>
        <v>0</v>
      </c>
      <c r="J78" s="3320"/>
      <c r="K78" s="3321"/>
      <c r="L78" s="3320"/>
      <c r="M78" s="3321"/>
      <c r="N78" s="2017"/>
    </row>
    <row r="79" spans="2:14" ht="12.75">
      <c r="B79" s="107" t="s">
        <v>899</v>
      </c>
      <c r="C79" s="719">
        <v>1486</v>
      </c>
      <c r="D79" s="3322">
        <v>0.82377689762912898</v>
      </c>
      <c r="E79" s="3374">
        <f>C79*D79</f>
        <v>1224.1324698768856</v>
      </c>
      <c r="F79" s="98">
        <v>3.006909179967E-3</v>
      </c>
      <c r="G79" s="109">
        <f t="shared" si="5"/>
        <v>0.78741188026247766</v>
      </c>
      <c r="H79" s="99">
        <v>21</v>
      </c>
      <c r="I79" s="110">
        <f t="shared" si="6"/>
        <v>1.653564948551203E-5</v>
      </c>
      <c r="J79" s="3320"/>
      <c r="K79" s="3321"/>
      <c r="L79" s="3320"/>
      <c r="M79" s="3321"/>
      <c r="N79" s="2017"/>
    </row>
    <row r="80" spans="2:14" ht="12.75">
      <c r="B80" s="107" t="s">
        <v>902</v>
      </c>
      <c r="C80" s="719">
        <v>946</v>
      </c>
      <c r="D80" s="3322">
        <v>1</v>
      </c>
      <c r="E80" s="3374">
        <f>C80*D80</f>
        <v>946</v>
      </c>
      <c r="F80" s="98">
        <v>3.006909179967E-3</v>
      </c>
      <c r="G80" s="109">
        <f t="shared" si="5"/>
        <v>0</v>
      </c>
      <c r="H80" s="99">
        <v>21</v>
      </c>
      <c r="I80" s="110">
        <f t="shared" si="6"/>
        <v>0</v>
      </c>
      <c r="J80" s="3320"/>
      <c r="K80" s="3321"/>
      <c r="L80" s="3320"/>
      <c r="M80" s="3321"/>
      <c r="N80" s="2017"/>
    </row>
    <row r="81" spans="2:14" ht="12.75">
      <c r="B81" s="107" t="s">
        <v>900</v>
      </c>
      <c r="C81" s="719">
        <v>2865</v>
      </c>
      <c r="D81" s="3322">
        <v>1</v>
      </c>
      <c r="E81" s="3374">
        <f>C81*D81</f>
        <v>2865</v>
      </c>
      <c r="F81" s="98">
        <v>3.006909179967E-3</v>
      </c>
      <c r="G81" s="109">
        <f t="shared" si="5"/>
        <v>0</v>
      </c>
      <c r="H81" s="99">
        <v>21</v>
      </c>
      <c r="I81" s="110">
        <f t="shared" si="6"/>
        <v>0</v>
      </c>
      <c r="J81" s="3320"/>
      <c r="K81" s="3321"/>
      <c r="L81" s="3320"/>
      <c r="M81" s="3321"/>
      <c r="N81" s="2017"/>
    </row>
    <row r="82" spans="2:14" ht="16.5" customHeight="1">
      <c r="B82" s="111" t="s">
        <v>930</v>
      </c>
      <c r="C82" s="3293">
        <v>0</v>
      </c>
      <c r="D82" s="3318"/>
      <c r="E82" s="3374">
        <v>0</v>
      </c>
      <c r="F82" s="98">
        <v>3.006909179967E-3</v>
      </c>
      <c r="G82" s="109">
        <f t="shared" si="5"/>
        <v>0</v>
      </c>
      <c r="H82" s="99">
        <v>21</v>
      </c>
      <c r="I82" s="3297">
        <f t="shared" si="6"/>
        <v>0</v>
      </c>
      <c r="J82" s="3320"/>
      <c r="K82" s="3321"/>
      <c r="L82" s="3320"/>
      <c r="M82" s="3321"/>
      <c r="N82" s="2017"/>
    </row>
    <row r="83" spans="2:14" ht="12.75">
      <c r="B83" s="107" t="s">
        <v>931</v>
      </c>
      <c r="C83" s="719">
        <v>293</v>
      </c>
      <c r="D83" s="3322">
        <v>1</v>
      </c>
      <c r="E83" s="3374">
        <f>C83*D83</f>
        <v>293</v>
      </c>
      <c r="F83" s="98">
        <v>3.006909179967E-3</v>
      </c>
      <c r="G83" s="109">
        <f t="shared" si="5"/>
        <v>0</v>
      </c>
      <c r="H83" s="99">
        <v>21</v>
      </c>
      <c r="I83" s="110">
        <f t="shared" si="6"/>
        <v>0</v>
      </c>
      <c r="J83" s="3320"/>
      <c r="K83" s="3321"/>
      <c r="L83" s="3320"/>
      <c r="M83" s="3321"/>
      <c r="N83" s="2017"/>
    </row>
    <row r="84" spans="2:14" ht="12.75">
      <c r="B84" s="107" t="s">
        <v>932</v>
      </c>
      <c r="C84" s="3293">
        <v>0</v>
      </c>
      <c r="D84" s="3318"/>
      <c r="E84" s="3374">
        <v>0</v>
      </c>
      <c r="F84" s="98">
        <v>3.006909179967E-3</v>
      </c>
      <c r="G84" s="109">
        <f t="shared" si="5"/>
        <v>0</v>
      </c>
      <c r="H84" s="99">
        <v>21</v>
      </c>
      <c r="I84" s="3297">
        <f t="shared" si="6"/>
        <v>0</v>
      </c>
      <c r="J84" s="3320"/>
      <c r="K84" s="3321"/>
      <c r="L84" s="3320"/>
      <c r="M84" s="3321"/>
      <c r="N84" s="2017"/>
    </row>
    <row r="85" spans="2:14" ht="12.75">
      <c r="B85" s="107" t="s">
        <v>933</v>
      </c>
      <c r="C85" s="91"/>
      <c r="D85" s="3318"/>
      <c r="E85" s="3374"/>
      <c r="F85" s="98">
        <v>3.006909179967E-3</v>
      </c>
      <c r="G85" s="109">
        <f t="shared" si="5"/>
        <v>0</v>
      </c>
      <c r="H85" s="99">
        <v>21</v>
      </c>
      <c r="I85" s="3297">
        <f t="shared" si="6"/>
        <v>0</v>
      </c>
      <c r="J85" s="3320"/>
      <c r="K85" s="3321"/>
      <c r="L85" s="3320"/>
      <c r="M85" s="3321"/>
      <c r="N85" s="2017"/>
    </row>
    <row r="86" spans="2:14" ht="12.75">
      <c r="B86" s="107" t="s">
        <v>901</v>
      </c>
      <c r="C86" s="719">
        <v>91</v>
      </c>
      <c r="D86" s="3322">
        <v>1</v>
      </c>
      <c r="E86" s="3374">
        <f>C86*D86</f>
        <v>91</v>
      </c>
      <c r="F86" s="98">
        <v>3.006909179967E-3</v>
      </c>
      <c r="G86" s="109">
        <f t="shared" si="5"/>
        <v>0</v>
      </c>
      <c r="H86" s="99">
        <v>21</v>
      </c>
      <c r="I86" s="110">
        <f t="shared" si="6"/>
        <v>0</v>
      </c>
      <c r="J86" s="3320"/>
      <c r="K86" s="3321"/>
      <c r="L86" s="3320"/>
      <c r="M86" s="3321"/>
      <c r="N86" s="2017"/>
    </row>
    <row r="87" spans="2:14" ht="12.75">
      <c r="B87" s="107" t="s">
        <v>934</v>
      </c>
      <c r="C87" s="3293">
        <v>0</v>
      </c>
      <c r="D87" s="3318"/>
      <c r="E87" s="3374">
        <v>0</v>
      </c>
      <c r="F87" s="98">
        <v>3.006909179967E-3</v>
      </c>
      <c r="G87" s="109">
        <f t="shared" si="5"/>
        <v>0</v>
      </c>
      <c r="H87" s="99">
        <v>21</v>
      </c>
      <c r="I87" s="3297">
        <f t="shared" si="6"/>
        <v>0</v>
      </c>
      <c r="J87" s="3320"/>
      <c r="K87" s="3321"/>
      <c r="L87" s="3320"/>
      <c r="M87" s="3321"/>
      <c r="N87" s="2017"/>
    </row>
    <row r="88" spans="2:14" ht="12.75">
      <c r="B88" s="107" t="s">
        <v>935</v>
      </c>
      <c r="C88" s="719">
        <v>2795</v>
      </c>
      <c r="D88" s="3322">
        <v>0.94768328836537974</v>
      </c>
      <c r="E88" s="3374">
        <f>C88*D88</f>
        <v>2648.7747909812365</v>
      </c>
      <c r="F88" s="98">
        <v>3.006909179967E-3</v>
      </c>
      <c r="G88" s="109">
        <f t="shared" si="5"/>
        <v>0.43968592334111334</v>
      </c>
      <c r="H88" s="99">
        <v>21</v>
      </c>
      <c r="I88" s="110">
        <f t="shared" si="6"/>
        <v>9.2334043901633804E-6</v>
      </c>
      <c r="J88" s="3320"/>
      <c r="K88" s="3321"/>
      <c r="L88" s="3320"/>
      <c r="M88" s="3321"/>
      <c r="N88" s="2017"/>
    </row>
    <row r="89" spans="2:14" ht="12.75">
      <c r="B89" s="107" t="s">
        <v>936</v>
      </c>
      <c r="C89" s="3293">
        <v>0</v>
      </c>
      <c r="D89" s="3318"/>
      <c r="E89" s="3374">
        <v>0</v>
      </c>
      <c r="F89" s="98">
        <v>3.006909179967E-3</v>
      </c>
      <c r="G89" s="109">
        <f t="shared" si="5"/>
        <v>0</v>
      </c>
      <c r="H89" s="99">
        <v>21</v>
      </c>
      <c r="I89" s="3297">
        <f t="shared" si="6"/>
        <v>0</v>
      </c>
      <c r="J89" s="3320"/>
      <c r="K89" s="3321"/>
      <c r="L89" s="3320"/>
      <c r="M89" s="3321"/>
      <c r="N89" s="2017"/>
    </row>
    <row r="90" spans="2:14" ht="12.75">
      <c r="B90" s="107" t="s">
        <v>937</v>
      </c>
      <c r="C90" s="719">
        <v>100</v>
      </c>
      <c r="D90" s="3322">
        <v>1</v>
      </c>
      <c r="E90" s="3374">
        <f>C90*D90</f>
        <v>100</v>
      </c>
      <c r="F90" s="98">
        <v>3.006909179967E-3</v>
      </c>
      <c r="G90" s="109">
        <f t="shared" si="5"/>
        <v>0</v>
      </c>
      <c r="H90" s="99">
        <v>21</v>
      </c>
      <c r="I90" s="110">
        <f t="shared" si="6"/>
        <v>0</v>
      </c>
      <c r="J90" s="3320"/>
      <c r="K90" s="3321"/>
      <c r="L90" s="3320"/>
      <c r="M90" s="3321"/>
      <c r="N90" s="2017"/>
    </row>
    <row r="91" spans="2:14" ht="12.75">
      <c r="B91" s="107" t="s">
        <v>1114</v>
      </c>
      <c r="C91" s="719">
        <v>16489</v>
      </c>
      <c r="D91" s="3322">
        <v>3.1036474108728018E-2</v>
      </c>
      <c r="E91" s="3374">
        <f>C91*D91</f>
        <v>511.76042157881631</v>
      </c>
      <c r="F91" s="98">
        <v>9.4955026735800007E-4</v>
      </c>
      <c r="G91" s="109">
        <f t="shared" si="5"/>
        <v>15.171192113332655</v>
      </c>
      <c r="H91" s="99">
        <v>21</v>
      </c>
      <c r="I91" s="110">
        <f t="shared" si="6"/>
        <v>3.1859503437998575E-4</v>
      </c>
      <c r="J91" s="3320"/>
      <c r="K91" s="3321"/>
      <c r="L91" s="3320"/>
      <c r="M91" s="3321"/>
      <c r="N91" s="2017"/>
    </row>
    <row r="92" spans="2:14" ht="12.75">
      <c r="B92" s="112" t="s">
        <v>182</v>
      </c>
      <c r="C92" s="91">
        <v>6971</v>
      </c>
      <c r="D92" s="3318"/>
      <c r="E92" s="108" t="s">
        <v>959</v>
      </c>
      <c r="F92" s="98">
        <v>2.8486508020740004E-2</v>
      </c>
      <c r="G92" s="109">
        <f>C92*F92</f>
        <v>198.57944741257856</v>
      </c>
      <c r="H92" s="99">
        <v>21</v>
      </c>
      <c r="I92" s="110">
        <f t="shared" si="6"/>
        <v>4.17016839566415E-3</v>
      </c>
      <c r="J92" s="3336"/>
      <c r="K92" s="3321"/>
      <c r="L92" s="3336"/>
      <c r="M92" s="3321"/>
      <c r="N92" s="2017"/>
    </row>
    <row r="93" spans="2:14" ht="14.25">
      <c r="B93" s="3340"/>
      <c r="C93" s="3328"/>
      <c r="D93" s="3341"/>
      <c r="E93" s="3342"/>
      <c r="F93" s="3342"/>
      <c r="G93" s="3342"/>
      <c r="H93" s="2701" t="s">
        <v>190</v>
      </c>
      <c r="I93" s="2702">
        <f>SUM(I70:I92)</f>
        <v>7.3891067593329076E-3</v>
      </c>
      <c r="J93" s="63"/>
      <c r="K93" s="3338"/>
      <c r="L93" s="63"/>
      <c r="M93" s="3338"/>
      <c r="N93" s="2017"/>
    </row>
    <row r="94" spans="2:14" ht="12" thickBot="1">
      <c r="B94" s="3343"/>
      <c r="C94" s="3344"/>
      <c r="D94" s="3344"/>
      <c r="E94" s="3344"/>
      <c r="F94" s="3344"/>
      <c r="G94" s="3344"/>
      <c r="H94" s="3344"/>
      <c r="I94" s="3345"/>
      <c r="J94" s="1844"/>
      <c r="K94" s="1844"/>
      <c r="L94" s="1844"/>
      <c r="M94" s="1844"/>
      <c r="N94" s="1844"/>
    </row>
    <row r="95" spans="2:14" ht="12" thickTop="1"/>
    <row r="97" spans="2:9" ht="13.5" thickBot="1">
      <c r="B97" s="3346" t="s">
        <v>960</v>
      </c>
      <c r="C97" s="3347"/>
      <c r="D97" s="3347"/>
      <c r="E97" s="3346">
        <v>2017</v>
      </c>
      <c r="F97" s="2007"/>
      <c r="G97" s="2007"/>
      <c r="H97" s="2007"/>
      <c r="I97" s="2007"/>
    </row>
    <row r="98" spans="2:9" ht="15" thickTop="1">
      <c r="B98" s="3348"/>
      <c r="C98" s="3349" t="s">
        <v>955</v>
      </c>
      <c r="D98" s="3305" t="s">
        <v>1752</v>
      </c>
      <c r="E98" s="3349" t="s">
        <v>956</v>
      </c>
      <c r="F98" s="3270" t="s">
        <v>961</v>
      </c>
      <c r="G98" s="3270" t="s">
        <v>962</v>
      </c>
      <c r="H98" s="3270" t="s">
        <v>963</v>
      </c>
      <c r="I98" s="3271" t="s">
        <v>947</v>
      </c>
    </row>
    <row r="99" spans="2:9" ht="14.25">
      <c r="B99" s="3350"/>
      <c r="C99" s="3351" t="s">
        <v>106</v>
      </c>
      <c r="D99" s="3310" t="s">
        <v>1753</v>
      </c>
      <c r="E99" s="3351" t="s">
        <v>106</v>
      </c>
      <c r="F99" s="3352" t="s">
        <v>108</v>
      </c>
      <c r="G99" s="3352" t="s">
        <v>108</v>
      </c>
      <c r="H99" s="3352" t="s">
        <v>108</v>
      </c>
      <c r="I99" s="3353" t="s">
        <v>108</v>
      </c>
    </row>
    <row r="100" spans="2:9" ht="15" thickBot="1">
      <c r="B100" s="3354" t="s">
        <v>1120</v>
      </c>
      <c r="C100" s="3351" t="s">
        <v>110</v>
      </c>
      <c r="D100" s="3315" t="s">
        <v>1754</v>
      </c>
      <c r="E100" s="3351" t="s">
        <v>110</v>
      </c>
      <c r="F100" s="3352" t="s">
        <v>1395</v>
      </c>
      <c r="G100" s="3352" t="s">
        <v>1395</v>
      </c>
      <c r="H100" s="3352" t="s">
        <v>1395</v>
      </c>
      <c r="I100" s="3353" t="s">
        <v>1395</v>
      </c>
    </row>
    <row r="101" spans="2:9" ht="12.75">
      <c r="B101" s="3272" t="s">
        <v>923</v>
      </c>
      <c r="C101" s="3295">
        <v>0</v>
      </c>
      <c r="D101" s="3318"/>
      <c r="E101" s="3375">
        <v>0</v>
      </c>
      <c r="F101" s="3266">
        <f>K8</f>
        <v>0</v>
      </c>
      <c r="G101" s="3267">
        <f>I70</f>
        <v>0</v>
      </c>
      <c r="H101" s="3268">
        <f>I39</f>
        <v>0</v>
      </c>
      <c r="I101" s="3273">
        <f>SUM(F101:H101)</f>
        <v>0</v>
      </c>
    </row>
    <row r="102" spans="2:9" ht="12.75">
      <c r="B102" s="2336" t="s">
        <v>924</v>
      </c>
      <c r="C102" s="3259">
        <v>12275</v>
      </c>
      <c r="D102" s="3322">
        <v>1.6386862395834579E-2</v>
      </c>
      <c r="E102" s="3375">
        <f>C102*D102</f>
        <v>201.14873590886947</v>
      </c>
      <c r="F102" s="3266">
        <f>K9</f>
        <v>1.1610011134032501</v>
      </c>
      <c r="G102" s="3267">
        <f>I71</f>
        <v>2.5413481942486251E-3</v>
      </c>
      <c r="H102" s="3268">
        <f>I40</f>
        <v>5.6272710015505276E-3</v>
      </c>
      <c r="I102" s="3273">
        <f>SUM(F102:H102)</f>
        <v>1.1691697325990493</v>
      </c>
    </row>
    <row r="103" spans="2:9" ht="12.75">
      <c r="B103" s="2336" t="s">
        <v>925</v>
      </c>
      <c r="C103" s="3259">
        <v>16869</v>
      </c>
      <c r="D103" s="3322">
        <v>1</v>
      </c>
      <c r="E103" s="3375">
        <f>C103*D103</f>
        <v>16869</v>
      </c>
      <c r="F103" s="3266">
        <f>K10</f>
        <v>0</v>
      </c>
      <c r="G103" s="3267">
        <f>I72</f>
        <v>0</v>
      </c>
      <c r="H103" s="3268">
        <f>I41</f>
        <v>0</v>
      </c>
      <c r="I103" s="3273">
        <f t="shared" ref="I103:I123" si="7">SUM(F103:H103)</f>
        <v>0</v>
      </c>
    </row>
    <row r="104" spans="2:9" ht="12.75">
      <c r="B104" s="2337" t="s">
        <v>926</v>
      </c>
      <c r="C104" s="3260">
        <v>0</v>
      </c>
      <c r="D104" s="3318"/>
      <c r="E104" s="3375">
        <v>0</v>
      </c>
      <c r="F104" s="3266">
        <f>K11</f>
        <v>0</v>
      </c>
      <c r="G104" s="3267">
        <f>I73</f>
        <v>0</v>
      </c>
      <c r="H104" s="3268">
        <f>I42</f>
        <v>0</v>
      </c>
      <c r="I104" s="3273">
        <f t="shared" si="7"/>
        <v>0</v>
      </c>
    </row>
    <row r="105" spans="2:9" ht="12.75">
      <c r="B105" s="2337" t="s">
        <v>927</v>
      </c>
      <c r="C105" s="3260">
        <v>0</v>
      </c>
      <c r="D105" s="3318"/>
      <c r="E105" s="3375">
        <v>0</v>
      </c>
      <c r="F105" s="3266">
        <f t="shared" ref="F105:F123" si="8">K12</f>
        <v>0</v>
      </c>
      <c r="G105" s="3267">
        <f t="shared" ref="G105:G123" si="9">I74</f>
        <v>0</v>
      </c>
      <c r="H105" s="3268">
        <f t="shared" ref="H105:H123" si="10">I43</f>
        <v>0</v>
      </c>
      <c r="I105" s="3273">
        <f t="shared" si="7"/>
        <v>0</v>
      </c>
    </row>
    <row r="106" spans="2:9" ht="12.75">
      <c r="B106" s="2336" t="s">
        <v>897</v>
      </c>
      <c r="C106" s="3259">
        <v>5309</v>
      </c>
      <c r="D106" s="3322">
        <v>5.9993813799243175E-3</v>
      </c>
      <c r="E106" s="3375">
        <f>C106*D106</f>
        <v>31.850715746018203</v>
      </c>
      <c r="F106" s="3266">
        <f t="shared" si="8"/>
        <v>0.39159305445907744</v>
      </c>
      <c r="G106" s="3267">
        <f t="shared" si="9"/>
        <v>3.3322608116447125E-4</v>
      </c>
      <c r="H106" s="3268">
        <f t="shared" si="10"/>
        <v>9.838103348665337E-4</v>
      </c>
      <c r="I106" s="3273">
        <f t="shared" si="7"/>
        <v>0.39291009087510848</v>
      </c>
    </row>
    <row r="107" spans="2:9" ht="12.75">
      <c r="B107" s="2337" t="s">
        <v>928</v>
      </c>
      <c r="C107" s="3269">
        <v>0</v>
      </c>
      <c r="D107" s="3318"/>
      <c r="E107" s="3375"/>
      <c r="F107" s="3266">
        <f t="shared" si="8"/>
        <v>0</v>
      </c>
      <c r="G107" s="3267">
        <f t="shared" si="9"/>
        <v>0</v>
      </c>
      <c r="H107" s="3268">
        <f t="shared" si="10"/>
        <v>0</v>
      </c>
      <c r="I107" s="3273">
        <f t="shared" si="7"/>
        <v>0</v>
      </c>
    </row>
    <row r="108" spans="2:9" ht="14.25" customHeight="1">
      <c r="B108" s="2337" t="s">
        <v>929</v>
      </c>
      <c r="C108" s="3269">
        <v>0</v>
      </c>
      <c r="D108" s="3318"/>
      <c r="E108" s="3375"/>
      <c r="F108" s="3266">
        <f t="shared" si="8"/>
        <v>0</v>
      </c>
      <c r="G108" s="3267">
        <f t="shared" si="9"/>
        <v>0</v>
      </c>
      <c r="H108" s="3268">
        <f t="shared" si="10"/>
        <v>0</v>
      </c>
      <c r="I108" s="3273">
        <f t="shared" si="7"/>
        <v>0</v>
      </c>
    </row>
    <row r="109" spans="2:9" ht="12.75">
      <c r="B109" s="2336" t="s">
        <v>922</v>
      </c>
      <c r="C109" s="3259">
        <v>7</v>
      </c>
      <c r="D109" s="3322">
        <v>1</v>
      </c>
      <c r="E109" s="3375">
        <f>C109*D109</f>
        <v>7</v>
      </c>
      <c r="F109" s="3266">
        <f t="shared" si="8"/>
        <v>5.1205231988166666E-4</v>
      </c>
      <c r="G109" s="3267">
        <f t="shared" si="9"/>
        <v>0</v>
      </c>
      <c r="H109" s="3268">
        <f t="shared" si="10"/>
        <v>0</v>
      </c>
      <c r="I109" s="3273">
        <f t="shared" si="7"/>
        <v>5.1205231988166666E-4</v>
      </c>
    </row>
    <row r="110" spans="2:9" ht="12.75">
      <c r="B110" s="2336" t="s">
        <v>899</v>
      </c>
      <c r="C110" s="3259">
        <v>1486</v>
      </c>
      <c r="D110" s="3322">
        <v>0.82377689762912898</v>
      </c>
      <c r="E110" s="3375">
        <f>C110*D110</f>
        <v>1224.1324698768856</v>
      </c>
      <c r="F110" s="3266">
        <f t="shared" si="8"/>
        <v>4.4947179882461843E-2</v>
      </c>
      <c r="G110" s="3267">
        <f t="shared" si="9"/>
        <v>1.653564948551203E-5</v>
      </c>
      <c r="H110" s="3268">
        <f t="shared" si="10"/>
        <v>4.8819536576273601E-5</v>
      </c>
      <c r="I110" s="3273">
        <f t="shared" si="7"/>
        <v>4.5012535068523631E-2</v>
      </c>
    </row>
    <row r="111" spans="2:9" ht="12.75">
      <c r="B111" s="2336" t="s">
        <v>902</v>
      </c>
      <c r="C111" s="3259">
        <v>946</v>
      </c>
      <c r="D111" s="3322">
        <v>1</v>
      </c>
      <c r="E111" s="3375">
        <f>C111*D111</f>
        <v>946</v>
      </c>
      <c r="F111" s="3266">
        <f t="shared" si="8"/>
        <v>6.2178053498660672E-2</v>
      </c>
      <c r="G111" s="3267">
        <f t="shared" si="9"/>
        <v>0</v>
      </c>
      <c r="H111" s="3268">
        <f t="shared" si="10"/>
        <v>0</v>
      </c>
      <c r="I111" s="3273">
        <f t="shared" si="7"/>
        <v>6.2178053498660672E-2</v>
      </c>
    </row>
    <row r="112" spans="2:9" ht="12.75">
      <c r="B112" s="2336" t="s">
        <v>900</v>
      </c>
      <c r="C112" s="3259">
        <v>2865</v>
      </c>
      <c r="D112" s="3322">
        <v>1</v>
      </c>
      <c r="E112" s="3375">
        <f>C112*D112</f>
        <v>2865</v>
      </c>
      <c r="F112" s="3266">
        <f t="shared" si="8"/>
        <v>0.20447925486659763</v>
      </c>
      <c r="G112" s="3267">
        <f t="shared" si="9"/>
        <v>0</v>
      </c>
      <c r="H112" s="3268">
        <f t="shared" si="10"/>
        <v>0</v>
      </c>
      <c r="I112" s="3273">
        <f t="shared" si="7"/>
        <v>0.20447925486659763</v>
      </c>
    </row>
    <row r="113" spans="2:9" ht="12.75">
      <c r="B113" s="2337" t="s">
        <v>930</v>
      </c>
      <c r="C113" s="3260">
        <v>0</v>
      </c>
      <c r="D113" s="3318"/>
      <c r="E113" s="3375">
        <v>0</v>
      </c>
      <c r="F113" s="3266">
        <f t="shared" si="8"/>
        <v>0</v>
      </c>
      <c r="G113" s="3267">
        <f t="shared" si="9"/>
        <v>0</v>
      </c>
      <c r="H113" s="3268">
        <f t="shared" si="10"/>
        <v>0</v>
      </c>
      <c r="I113" s="3273">
        <f t="shared" si="7"/>
        <v>0</v>
      </c>
    </row>
    <row r="114" spans="2:9" ht="12.75">
      <c r="B114" s="2336" t="s">
        <v>931</v>
      </c>
      <c r="C114" s="3259">
        <v>293</v>
      </c>
      <c r="D114" s="3322">
        <v>1</v>
      </c>
      <c r="E114" s="3375">
        <f>C114*D114</f>
        <v>293</v>
      </c>
      <c r="F114" s="3266">
        <f t="shared" si="8"/>
        <v>2.1824789725195994E-2</v>
      </c>
      <c r="G114" s="3267">
        <f t="shared" si="9"/>
        <v>0</v>
      </c>
      <c r="H114" s="3268">
        <f t="shared" si="10"/>
        <v>0</v>
      </c>
      <c r="I114" s="3273">
        <f t="shared" si="7"/>
        <v>2.1824789725195994E-2</v>
      </c>
    </row>
    <row r="115" spans="2:9" ht="12.75">
      <c r="B115" s="2336" t="s">
        <v>932</v>
      </c>
      <c r="C115" s="3260">
        <v>0</v>
      </c>
      <c r="D115" s="3318"/>
      <c r="E115" s="3375">
        <v>0</v>
      </c>
      <c r="F115" s="3266">
        <f t="shared" si="8"/>
        <v>0</v>
      </c>
      <c r="G115" s="3267">
        <f t="shared" si="9"/>
        <v>0</v>
      </c>
      <c r="H115" s="3268">
        <f t="shared" si="10"/>
        <v>0</v>
      </c>
      <c r="I115" s="3273">
        <f t="shared" si="7"/>
        <v>0</v>
      </c>
    </row>
    <row r="116" spans="2:9" ht="12.75">
      <c r="B116" s="2336" t="s">
        <v>933</v>
      </c>
      <c r="C116" s="3260"/>
      <c r="D116" s="3318"/>
      <c r="E116" s="3375">
        <v>122.04430006839266</v>
      </c>
      <c r="F116" s="3266">
        <f t="shared" si="8"/>
        <v>0</v>
      </c>
      <c r="G116" s="3267">
        <f t="shared" si="9"/>
        <v>0</v>
      </c>
      <c r="H116" s="3268">
        <f t="shared" si="10"/>
        <v>0</v>
      </c>
      <c r="I116" s="3273">
        <f t="shared" si="7"/>
        <v>0</v>
      </c>
    </row>
    <row r="117" spans="2:9" ht="12.75">
      <c r="B117" s="2336" t="s">
        <v>901</v>
      </c>
      <c r="C117" s="3259">
        <v>91</v>
      </c>
      <c r="D117" s="3322">
        <v>1</v>
      </c>
      <c r="E117" s="3375">
        <f>C117*D117</f>
        <v>91</v>
      </c>
      <c r="F117" s="3266">
        <f t="shared" si="8"/>
        <v>3.4176610092624998E-3</v>
      </c>
      <c r="G117" s="3267">
        <f t="shared" si="9"/>
        <v>0</v>
      </c>
      <c r="H117" s="3268">
        <f t="shared" si="10"/>
        <v>0</v>
      </c>
      <c r="I117" s="3273">
        <f t="shared" si="7"/>
        <v>3.4176610092624998E-3</v>
      </c>
    </row>
    <row r="118" spans="2:9" ht="12.75">
      <c r="B118" s="2336" t="s">
        <v>934</v>
      </c>
      <c r="C118" s="3260">
        <v>0</v>
      </c>
      <c r="D118" s="3318"/>
      <c r="E118" s="3375">
        <v>0</v>
      </c>
      <c r="F118" s="3266">
        <f t="shared" si="8"/>
        <v>0</v>
      </c>
      <c r="G118" s="3267">
        <f t="shared" si="9"/>
        <v>0</v>
      </c>
      <c r="H118" s="3268">
        <f t="shared" si="10"/>
        <v>0</v>
      </c>
      <c r="I118" s="3273">
        <f t="shared" si="7"/>
        <v>0</v>
      </c>
    </row>
    <row r="119" spans="2:9" ht="12.75">
      <c r="B119" s="2336" t="s">
        <v>935</v>
      </c>
      <c r="C119" s="3259">
        <v>2795</v>
      </c>
      <c r="D119" s="3322">
        <v>0.94768328836537974</v>
      </c>
      <c r="E119" s="3375">
        <f>C119*D119</f>
        <v>2648.7747909812365</v>
      </c>
      <c r="F119" s="3266">
        <f t="shared" si="8"/>
        <v>0.20231623199049165</v>
      </c>
      <c r="G119" s="3267">
        <f t="shared" si="9"/>
        <v>9.2334043901633804E-6</v>
      </c>
      <c r="H119" s="3268">
        <f t="shared" si="10"/>
        <v>2.726052724714902E-5</v>
      </c>
      <c r="I119" s="3273">
        <f t="shared" si="7"/>
        <v>0.20235272592212894</v>
      </c>
    </row>
    <row r="120" spans="2:9" ht="12.75">
      <c r="B120" s="2336" t="s">
        <v>936</v>
      </c>
      <c r="C120" s="3260">
        <v>0</v>
      </c>
      <c r="D120" s="3318"/>
      <c r="E120" s="3375">
        <v>0</v>
      </c>
      <c r="F120" s="3266">
        <f t="shared" si="8"/>
        <v>0</v>
      </c>
      <c r="G120" s="3267">
        <f t="shared" si="9"/>
        <v>0</v>
      </c>
      <c r="H120" s="3268">
        <f t="shared" si="10"/>
        <v>0</v>
      </c>
      <c r="I120" s="3273">
        <f t="shared" si="7"/>
        <v>0</v>
      </c>
    </row>
    <row r="121" spans="2:9" ht="12.75">
      <c r="B121" s="2336" t="s">
        <v>937</v>
      </c>
      <c r="C121" s="3259">
        <v>100</v>
      </c>
      <c r="D121" s="3322">
        <v>1</v>
      </c>
      <c r="E121" s="3375">
        <f>C121*D121</f>
        <v>100</v>
      </c>
      <c r="F121" s="3266">
        <f t="shared" si="8"/>
        <v>3.0492558434800005E-3</v>
      </c>
      <c r="G121" s="3267">
        <f t="shared" si="9"/>
        <v>0</v>
      </c>
      <c r="H121" s="3268">
        <f t="shared" si="10"/>
        <v>0</v>
      </c>
      <c r="I121" s="3273">
        <f t="shared" si="7"/>
        <v>3.0492558434800005E-3</v>
      </c>
    </row>
    <row r="122" spans="2:9" ht="12.75">
      <c r="B122" s="2336" t="s">
        <v>1114</v>
      </c>
      <c r="C122" s="3259">
        <v>16489</v>
      </c>
      <c r="D122" s="3322">
        <v>3.1036474108728018E-2</v>
      </c>
      <c r="E122" s="3375">
        <f>C122*D122</f>
        <v>511.76042157881631</v>
      </c>
      <c r="F122" s="3266">
        <f t="shared" si="8"/>
        <v>0.85825749448354405</v>
      </c>
      <c r="G122" s="3267">
        <f t="shared" si="9"/>
        <v>3.1859503437998575E-4</v>
      </c>
      <c r="H122" s="3268">
        <f t="shared" si="10"/>
        <v>4.7030695551331233E-4</v>
      </c>
      <c r="I122" s="3273">
        <f t="shared" si="7"/>
        <v>0.85904639647343739</v>
      </c>
    </row>
    <row r="123" spans="2:9" ht="12.75">
      <c r="B123" s="2338" t="s">
        <v>182</v>
      </c>
      <c r="C123" s="3260">
        <v>6971</v>
      </c>
      <c r="D123" s="3318"/>
      <c r="E123" s="3265" t="s">
        <v>959</v>
      </c>
      <c r="F123" s="3266">
        <f t="shared" si="8"/>
        <v>0</v>
      </c>
      <c r="G123" s="3267">
        <f t="shared" si="9"/>
        <v>4.17016839566415E-3</v>
      </c>
      <c r="H123" s="3268">
        <f t="shared" si="10"/>
        <v>8.2079504930532479E-3</v>
      </c>
      <c r="I123" s="3273">
        <f t="shared" si="7"/>
        <v>1.2378118888717399E-2</v>
      </c>
    </row>
    <row r="124" spans="2:9" ht="12" thickBot="1">
      <c r="B124" s="3355"/>
      <c r="C124" s="3356"/>
      <c r="D124" s="3356"/>
      <c r="E124" s="3356"/>
      <c r="F124" s="3274">
        <f>SUM(F101:F123)</f>
        <v>2.9535761414819035</v>
      </c>
      <c r="G124" s="3275">
        <f>SUM(G101:G123)</f>
        <v>7.3891067593329076E-3</v>
      </c>
      <c r="H124" s="3276">
        <f>SUM(H101:H123)</f>
        <v>1.5365418848807044E-2</v>
      </c>
      <c r="I124" s="3277">
        <f>SUM(F124:H124)</f>
        <v>2.9763306670900436</v>
      </c>
    </row>
    <row r="125" spans="2:9" ht="12" thickTop="1"/>
    <row r="127" spans="2:9">
      <c r="B127" s="1" t="s">
        <v>943</v>
      </c>
    </row>
    <row r="129" spans="3:4">
      <c r="C129" s="3357" t="s">
        <v>1751</v>
      </c>
      <c r="D129" s="3357"/>
    </row>
  </sheetData>
  <sheetProtection password="CD58" sheet="1" objects="1" scenarios="1"/>
  <mergeCells count="1">
    <mergeCell ref="A2:K2"/>
  </mergeCells>
  <phoneticPr fontId="0" type="noConversion"/>
  <dataValidations count="2">
    <dataValidation allowBlank="1" showInputMessage="1" showErrorMessage="1" prompt="To avoid double-counting, default data for &quot;Motor Gasoline&quot; is adjusted by subtracting ethanol used in motor gasoline, which is not included in state inventories. If not using the default data, account for ethanol included in motor gasoline if possible." sqref="C81 C19 C50 C112"/>
    <dataValidation allowBlank="1" showInputMessage="1" showErrorMessage="1" prompt="To avoid double-counting, the default data for &quot;Other Coal&quot; is adjusted by subtracting coal used in the production of synthetic natural gas. If you are not using the default data, account for coal used to produce synthetic natural gas if applicable." sqref="C71 C9 C40 C102"/>
  </dataValidations>
  <hyperlinks>
    <hyperlink ref="C129" r:id="rId1"/>
  </hyperlinks>
  <printOptions gridLines="1"/>
  <pageMargins left="0.16" right="0.16" top="0.28000000000000003" bottom="0.2" header="0.24" footer="0.22"/>
  <pageSetup scale="70" orientation="landscape" r:id="rId2"/>
  <headerFooter alignWithMargins="0"/>
  <colBreaks count="1" manualBreakCount="1">
    <brk id="11" max="1048575" man="1"/>
  </colBreaks>
  <drawing r:id="rId3"/>
  <legacyDrawing r:id="rId4"/>
</worksheet>
</file>

<file path=xl/worksheets/sheet13.xml><?xml version="1.0" encoding="utf-8"?>
<worksheet xmlns="http://schemas.openxmlformats.org/spreadsheetml/2006/main" xmlns:r="http://schemas.openxmlformats.org/officeDocument/2006/relationships">
  <sheetPr codeName="Sheet7"/>
  <dimension ref="A1:N59"/>
  <sheetViews>
    <sheetView zoomScaleNormal="100" workbookViewId="0">
      <selection activeCell="N1" sqref="N1"/>
    </sheetView>
  </sheetViews>
  <sheetFormatPr defaultRowHeight="11.25"/>
  <cols>
    <col min="3" max="3" width="35.33203125" customWidth="1"/>
    <col min="4" max="4" width="19.6640625" customWidth="1"/>
    <col min="5" max="5" width="3.83203125" customWidth="1"/>
    <col min="6" max="6" width="15.83203125" customWidth="1"/>
    <col min="7" max="7" width="3.83203125" customWidth="1"/>
    <col min="8" max="8" width="16.6640625" customWidth="1"/>
    <col min="9" max="9" width="3.83203125" customWidth="1"/>
    <col min="10" max="10" width="15" customWidth="1"/>
    <col min="12" max="12" width="13.1640625" customWidth="1"/>
  </cols>
  <sheetData>
    <row r="1" spans="1:14" ht="33">
      <c r="A1" s="483" t="s">
        <v>982</v>
      </c>
      <c r="N1" s="479" t="s">
        <v>1760</v>
      </c>
    </row>
    <row r="2" spans="1:14" s="279" customFormat="1" ht="213.75" customHeight="1">
      <c r="B2" s="136"/>
      <c r="C2" s="786"/>
      <c r="D2" s="786"/>
      <c r="E2" s="786"/>
      <c r="F2" s="786"/>
      <c r="G2" s="786"/>
      <c r="H2" s="786"/>
      <c r="I2" s="786"/>
      <c r="J2" s="786"/>
      <c r="K2" s="786"/>
      <c r="L2" s="786"/>
    </row>
    <row r="3" spans="1:14" s="279" customFormat="1" ht="24.75" customHeight="1" thickBot="1">
      <c r="B3" s="136"/>
      <c r="C3" s="309"/>
      <c r="D3" s="309"/>
      <c r="E3" s="309"/>
      <c r="F3" s="309"/>
      <c r="G3" s="309"/>
      <c r="H3" s="309"/>
      <c r="I3" s="309"/>
      <c r="J3" s="309"/>
      <c r="K3" s="309"/>
      <c r="L3" s="309"/>
    </row>
    <row r="4" spans="1:14" s="279" customFormat="1" ht="21.75" thickBot="1">
      <c r="C4" s="2909" t="s">
        <v>218</v>
      </c>
      <c r="D4" s="2910"/>
      <c r="E4" s="2910"/>
      <c r="F4" s="2910"/>
      <c r="G4" s="2910"/>
      <c r="H4" s="2910"/>
      <c r="I4" s="2910"/>
      <c r="J4" s="2910"/>
      <c r="K4" s="2910"/>
      <c r="L4" s="2911"/>
    </row>
    <row r="5" spans="1:14" s="416" customFormat="1" ht="38.25">
      <c r="C5" s="774"/>
      <c r="D5" s="775" t="s">
        <v>534</v>
      </c>
      <c r="E5" s="776"/>
      <c r="F5" s="777" t="s">
        <v>1131</v>
      </c>
      <c r="G5" s="778"/>
      <c r="H5" s="777" t="s">
        <v>463</v>
      </c>
      <c r="I5" s="778"/>
      <c r="J5" s="777" t="s">
        <v>1132</v>
      </c>
      <c r="K5" s="417"/>
      <c r="L5" s="779"/>
    </row>
    <row r="6" spans="1:14" s="416" customFormat="1" ht="12">
      <c r="C6" s="774" t="s">
        <v>908</v>
      </c>
      <c r="D6" s="424">
        <f>331571</f>
        <v>331571</v>
      </c>
      <c r="E6" s="780" t="s">
        <v>965</v>
      </c>
      <c r="F6" s="418">
        <v>0.44</v>
      </c>
      <c r="G6" s="781" t="s">
        <v>966</v>
      </c>
      <c r="H6" s="419">
        <f>J6*12/44</f>
        <v>39788.519999999997</v>
      </c>
      <c r="I6" s="781" t="s">
        <v>966</v>
      </c>
      <c r="J6" s="419">
        <f>IF(ISERROR(D6*F6),0,D6*F6)</f>
        <v>145891.24</v>
      </c>
      <c r="K6" s="782"/>
      <c r="L6" s="783"/>
      <c r="M6" s="420"/>
      <c r="N6" s="2984"/>
    </row>
    <row r="7" spans="1:14" s="416" customFormat="1" ht="12">
      <c r="C7" s="774" t="s">
        <v>909</v>
      </c>
      <c r="D7" s="424">
        <v>0</v>
      </c>
      <c r="E7" s="780" t="s">
        <v>965</v>
      </c>
      <c r="F7" s="418">
        <v>0.48400000000000004</v>
      </c>
      <c r="G7" s="781" t="s">
        <v>966</v>
      </c>
      <c r="H7" s="419">
        <f>J7*12/44</f>
        <v>0</v>
      </c>
      <c r="I7" s="781" t="s">
        <v>966</v>
      </c>
      <c r="J7" s="419">
        <f>IF(ISERROR(D7*F7),0,D7*F7)</f>
        <v>0</v>
      </c>
      <c r="K7" s="782"/>
      <c r="L7" s="783"/>
      <c r="M7" s="420"/>
    </row>
    <row r="8" spans="1:14" s="416" customFormat="1" ht="12">
      <c r="C8" s="774" t="s">
        <v>529</v>
      </c>
      <c r="D8" s="425"/>
      <c r="E8" s="780" t="s">
        <v>965</v>
      </c>
      <c r="F8" s="418">
        <v>1.7966666666666669</v>
      </c>
      <c r="G8" s="781" t="s">
        <v>966</v>
      </c>
      <c r="H8" s="419">
        <f>J8*12/44</f>
        <v>0</v>
      </c>
      <c r="I8" s="781" t="s">
        <v>966</v>
      </c>
      <c r="J8" s="419">
        <f>IF(ISERROR(D8*F8),0,D8*F8)</f>
        <v>0</v>
      </c>
      <c r="K8" s="782"/>
      <c r="L8" s="783"/>
      <c r="M8" s="420"/>
    </row>
    <row r="9" spans="1:14" s="279" customFormat="1" ht="15" thickBot="1">
      <c r="B9" s="136"/>
      <c r="C9" s="784"/>
      <c r="D9" s="309"/>
      <c r="E9" s="309"/>
      <c r="F9" s="309"/>
      <c r="G9" s="309"/>
      <c r="H9" s="309"/>
      <c r="I9" s="309"/>
      <c r="J9" s="309"/>
      <c r="K9" s="309"/>
      <c r="L9" s="785"/>
    </row>
    <row r="10" spans="1:14" s="279" customFormat="1" ht="21.75" thickBot="1">
      <c r="B10" s="136"/>
      <c r="C10" s="2909" t="s">
        <v>530</v>
      </c>
      <c r="D10" s="2910"/>
      <c r="E10" s="2910"/>
      <c r="F10" s="2910"/>
      <c r="G10" s="2910"/>
      <c r="H10" s="2910"/>
      <c r="I10" s="2910"/>
      <c r="J10" s="2910"/>
      <c r="K10" s="2910"/>
      <c r="L10" s="2911"/>
    </row>
    <row r="11" spans="1:14" s="416" customFormat="1" ht="38.25">
      <c r="B11" s="421"/>
      <c r="C11" s="787"/>
      <c r="D11" s="777" t="s">
        <v>535</v>
      </c>
      <c r="E11" s="776"/>
      <c r="F11" s="777" t="s">
        <v>1131</v>
      </c>
      <c r="G11" s="778"/>
      <c r="H11" s="777" t="s">
        <v>463</v>
      </c>
      <c r="I11" s="778"/>
      <c r="J11" s="777" t="s">
        <v>1132</v>
      </c>
      <c r="K11" s="417"/>
      <c r="L11" s="779"/>
    </row>
    <row r="12" spans="1:14" s="416" customFormat="1" ht="12">
      <c r="B12" s="421"/>
      <c r="C12" s="774" t="s">
        <v>531</v>
      </c>
      <c r="D12" s="424">
        <v>0</v>
      </c>
      <c r="E12" s="780" t="s">
        <v>965</v>
      </c>
      <c r="F12" s="418">
        <v>9.74E-2</v>
      </c>
      <c r="G12" s="781" t="s">
        <v>966</v>
      </c>
      <c r="H12" s="419">
        <f>J12*12/44</f>
        <v>0</v>
      </c>
      <c r="I12" s="781" t="s">
        <v>966</v>
      </c>
      <c r="J12" s="419">
        <f>IF(ISERROR(D12*F12),0,D12*F12)</f>
        <v>0</v>
      </c>
      <c r="K12" s="417"/>
      <c r="L12" s="779"/>
    </row>
    <row r="13" spans="1:14" s="416" customFormat="1" ht="12">
      <c r="B13" s="421"/>
      <c r="C13" s="774" t="s">
        <v>106</v>
      </c>
      <c r="D13" s="424">
        <f>95344</f>
        <v>95344</v>
      </c>
      <c r="E13" s="780" t="s">
        <v>965</v>
      </c>
      <c r="F13" s="418">
        <v>0.41499999999999998</v>
      </c>
      <c r="G13" s="781" t="s">
        <v>966</v>
      </c>
      <c r="H13" s="419">
        <f>J13*12/44</f>
        <v>10791.207272727272</v>
      </c>
      <c r="I13" s="781" t="s">
        <v>966</v>
      </c>
      <c r="J13" s="419">
        <f>IF(ISERROR(D13*F13),0,D13*F13)</f>
        <v>39567.759999999995</v>
      </c>
      <c r="K13" s="417"/>
      <c r="L13" s="779"/>
    </row>
    <row r="14" spans="1:14" s="279" customFormat="1" ht="15" thickBot="1">
      <c r="B14" s="136"/>
      <c r="C14" s="784"/>
      <c r="D14" s="309"/>
      <c r="E14" s="309"/>
      <c r="F14" s="309"/>
      <c r="G14" s="309"/>
      <c r="H14" s="309"/>
      <c r="I14" s="309"/>
      <c r="J14" s="309"/>
      <c r="K14" s="309"/>
      <c r="L14" s="785"/>
    </row>
    <row r="15" spans="1:14" s="279" customFormat="1" ht="21.75" thickBot="1">
      <c r="B15" s="136"/>
      <c r="C15" s="2909" t="s">
        <v>533</v>
      </c>
      <c r="D15" s="2910"/>
      <c r="E15" s="2910"/>
      <c r="F15" s="2910"/>
      <c r="G15" s="2910"/>
      <c r="H15" s="2910"/>
      <c r="I15" s="2910"/>
      <c r="J15" s="2910"/>
      <c r="K15" s="2910"/>
      <c r="L15" s="2911"/>
    </row>
    <row r="16" spans="1:14" s="416" customFormat="1" ht="38.25">
      <c r="B16" s="421"/>
      <c r="C16" s="787"/>
      <c r="D16" s="777" t="s">
        <v>536</v>
      </c>
      <c r="E16" s="776"/>
      <c r="F16" s="777" t="s">
        <v>1133</v>
      </c>
      <c r="G16" s="778"/>
      <c r="H16" s="777" t="s">
        <v>537</v>
      </c>
      <c r="I16" s="782"/>
      <c r="J16" s="777" t="s">
        <v>463</v>
      </c>
      <c r="K16" s="778"/>
      <c r="L16" s="788" t="s">
        <v>1132</v>
      </c>
    </row>
    <row r="17" spans="2:12" s="416" customFormat="1" ht="12">
      <c r="B17" s="421"/>
      <c r="C17" s="789" t="s">
        <v>262</v>
      </c>
      <c r="D17" s="424">
        <v>0</v>
      </c>
      <c r="E17" s="780" t="s">
        <v>965</v>
      </c>
      <c r="F17" s="422">
        <v>1.2</v>
      </c>
      <c r="G17" s="781" t="s">
        <v>1073</v>
      </c>
      <c r="H17" s="419">
        <f>D18*F18</f>
        <v>1469.49</v>
      </c>
      <c r="I17" s="780" t="s">
        <v>1074</v>
      </c>
      <c r="J17" s="419">
        <f>L17*12/44</f>
        <v>0</v>
      </c>
      <c r="K17" s="781" t="s">
        <v>966</v>
      </c>
      <c r="L17" s="790">
        <f>IF(D17&gt;0,D17*F17-(H17),0)</f>
        <v>0</v>
      </c>
    </row>
    <row r="18" spans="2:12" s="416" customFormat="1" ht="12">
      <c r="B18" s="421"/>
      <c r="C18" s="789" t="s">
        <v>263</v>
      </c>
      <c r="D18" s="424">
        <v>2013</v>
      </c>
      <c r="E18" s="780"/>
      <c r="F18" s="423">
        <v>0.73</v>
      </c>
      <c r="G18" s="781"/>
      <c r="H18" s="780"/>
      <c r="I18" s="781" t="s">
        <v>532</v>
      </c>
      <c r="J18" s="419">
        <f>L18*12/44</f>
        <v>400.77000000000004</v>
      </c>
      <c r="K18" s="780" t="s">
        <v>966</v>
      </c>
      <c r="L18" s="790">
        <f>D18*F18</f>
        <v>1469.49</v>
      </c>
    </row>
    <row r="19" spans="2:12" s="279" customFormat="1" ht="15" thickBot="1">
      <c r="B19" s="136"/>
      <c r="C19" s="784"/>
      <c r="D19" s="309"/>
      <c r="E19" s="309"/>
      <c r="F19" s="309"/>
      <c r="G19" s="309"/>
      <c r="H19" s="309"/>
      <c r="I19" s="309"/>
      <c r="J19" s="309"/>
      <c r="K19" s="309"/>
      <c r="L19" s="785"/>
    </row>
    <row r="20" spans="2:12" s="279" customFormat="1" ht="15" thickBot="1">
      <c r="B20" s="136"/>
      <c r="C20" s="784"/>
      <c r="D20" s="309"/>
      <c r="E20" s="309"/>
      <c r="F20" s="309"/>
      <c r="G20" s="309"/>
      <c r="H20" s="309"/>
      <c r="I20" s="309"/>
      <c r="J20" s="309"/>
      <c r="K20" s="309"/>
      <c r="L20" s="785"/>
    </row>
    <row r="21" spans="2:12" s="279" customFormat="1" ht="21.75" thickBot="1">
      <c r="B21" s="136"/>
      <c r="C21" s="2909" t="s">
        <v>538</v>
      </c>
      <c r="D21" s="2910"/>
      <c r="E21" s="2910"/>
      <c r="F21" s="2910"/>
      <c r="G21" s="2910"/>
      <c r="H21" s="2910"/>
      <c r="I21" s="2910"/>
      <c r="J21" s="2910"/>
      <c r="K21" s="2910"/>
      <c r="L21" s="2911"/>
    </row>
    <row r="22" spans="2:12" s="416" customFormat="1" ht="47.25" customHeight="1">
      <c r="B22" s="421"/>
      <c r="C22" s="787"/>
      <c r="D22" s="777" t="s">
        <v>983</v>
      </c>
      <c r="E22" s="776"/>
      <c r="F22" s="777" t="s">
        <v>476</v>
      </c>
      <c r="G22" s="791"/>
      <c r="H22" s="777" t="s">
        <v>540</v>
      </c>
      <c r="I22" s="778"/>
      <c r="J22" s="777" t="s">
        <v>541</v>
      </c>
      <c r="K22" s="782"/>
      <c r="L22" s="788" t="s">
        <v>1134</v>
      </c>
    </row>
    <row r="23" spans="2:12" s="416" customFormat="1" ht="12">
      <c r="B23" s="421"/>
      <c r="C23" s="792">
        <v>2017</v>
      </c>
      <c r="D23" s="419">
        <f>159121890</f>
        <v>159121890</v>
      </c>
      <c r="E23" s="780" t="s">
        <v>965</v>
      </c>
      <c r="F23" s="419">
        <v>6052177</v>
      </c>
      <c r="G23" s="781" t="s">
        <v>542</v>
      </c>
      <c r="H23" s="419">
        <v>325719178</v>
      </c>
      <c r="I23" s="781" t="s">
        <v>966</v>
      </c>
      <c r="J23" s="419">
        <f>L23*12/44</f>
        <v>806355.93862938241</v>
      </c>
      <c r="K23" s="781" t="s">
        <v>966</v>
      </c>
      <c r="L23" s="790">
        <f>D23*F23/H23</f>
        <v>2956638.441641069</v>
      </c>
    </row>
    <row r="24" spans="2:12" s="279" customFormat="1" ht="15" thickBot="1">
      <c r="B24" s="136"/>
      <c r="C24" s="784"/>
      <c r="D24" s="309"/>
      <c r="E24" s="309"/>
      <c r="F24" s="309"/>
      <c r="G24" s="309"/>
      <c r="H24" s="309"/>
      <c r="I24" s="309"/>
      <c r="J24" s="309"/>
      <c r="K24" s="309"/>
      <c r="L24" s="785"/>
    </row>
    <row r="25" spans="2:12" s="279" customFormat="1" ht="15" thickBot="1">
      <c r="B25" s="136"/>
      <c r="C25" s="784"/>
      <c r="D25" s="309"/>
      <c r="E25" s="309"/>
      <c r="F25" s="309"/>
      <c r="G25" s="309"/>
      <c r="H25" s="309"/>
      <c r="I25" s="309"/>
      <c r="J25" s="309"/>
      <c r="K25" s="309"/>
      <c r="L25" s="785"/>
    </row>
    <row r="26" spans="2:12" s="279" customFormat="1" ht="21.75" thickBot="1">
      <c r="B26" s="136"/>
      <c r="C26" s="2909" t="s">
        <v>539</v>
      </c>
      <c r="D26" s="2910"/>
      <c r="E26" s="2910"/>
      <c r="F26" s="2910"/>
      <c r="G26" s="2910"/>
      <c r="H26" s="2910"/>
      <c r="I26" s="2910"/>
      <c r="J26" s="2910"/>
      <c r="K26" s="2910"/>
      <c r="L26" s="2911"/>
    </row>
    <row r="27" spans="2:12" s="416" customFormat="1" ht="37.5">
      <c r="B27" s="421"/>
      <c r="C27" s="787"/>
      <c r="D27" s="775" t="s">
        <v>543</v>
      </c>
      <c r="E27" s="793"/>
      <c r="F27" s="775" t="s">
        <v>1135</v>
      </c>
      <c r="G27" s="794"/>
      <c r="H27" s="775" t="s">
        <v>1136</v>
      </c>
      <c r="I27" s="794"/>
      <c r="J27" s="793" t="s">
        <v>1068</v>
      </c>
      <c r="K27" s="795"/>
      <c r="L27" s="796" t="s">
        <v>1132</v>
      </c>
    </row>
    <row r="28" spans="2:12" s="416" customFormat="1" ht="12">
      <c r="B28" s="421"/>
      <c r="C28" s="792">
        <v>2017</v>
      </c>
      <c r="D28" s="425">
        <v>1.6890000000000001</v>
      </c>
      <c r="E28" s="780" t="s">
        <v>965</v>
      </c>
      <c r="F28" s="422">
        <v>1</v>
      </c>
      <c r="G28" s="781" t="s">
        <v>966</v>
      </c>
      <c r="H28" s="3257">
        <f>IF(ISERROR(D28*F28),,D28*F28)</f>
        <v>1.6890000000000001</v>
      </c>
      <c r="I28" s="781" t="s">
        <v>966</v>
      </c>
      <c r="J28" s="419">
        <f>H28*23900*12/44</f>
        <v>11009.209090909089</v>
      </c>
      <c r="K28" s="781" t="s">
        <v>966</v>
      </c>
      <c r="L28" s="790">
        <f>J28/(12/44)</f>
        <v>40367.1</v>
      </c>
    </row>
    <row r="29" spans="2:12" s="279" customFormat="1" ht="15" thickBot="1">
      <c r="B29" s="136"/>
      <c r="C29" s="784"/>
      <c r="D29" s="309"/>
      <c r="E29" s="309"/>
      <c r="F29" s="309"/>
      <c r="G29" s="309"/>
      <c r="H29" s="309"/>
      <c r="I29" s="309"/>
      <c r="J29" s="309"/>
      <c r="K29" s="309"/>
      <c r="L29" s="785"/>
    </row>
    <row r="30" spans="2:12" s="279" customFormat="1" ht="15" thickBot="1">
      <c r="B30" s="136"/>
      <c r="C30" s="784"/>
      <c r="D30" s="309"/>
      <c r="E30" s="309"/>
      <c r="F30" s="309"/>
      <c r="G30" s="309"/>
      <c r="H30" s="309"/>
      <c r="I30" s="309"/>
      <c r="J30" s="309"/>
      <c r="K30" s="309"/>
      <c r="L30" s="785"/>
    </row>
    <row r="31" spans="2:12" s="279" customFormat="1" ht="21.75" thickBot="1">
      <c r="B31" s="426"/>
      <c r="C31" s="2909" t="s">
        <v>546</v>
      </c>
      <c r="D31" s="2910"/>
      <c r="E31" s="2910"/>
      <c r="F31" s="2910"/>
      <c r="G31" s="2910"/>
      <c r="H31" s="2910"/>
      <c r="I31" s="2910"/>
      <c r="J31" s="2910"/>
      <c r="K31" s="2910"/>
      <c r="L31" s="2911"/>
    </row>
    <row r="32" spans="2:12" s="416" customFormat="1" ht="36">
      <c r="B32" s="427"/>
      <c r="C32" s="797"/>
      <c r="D32" s="775" t="s">
        <v>544</v>
      </c>
      <c r="E32" s="793"/>
      <c r="F32" s="775" t="s">
        <v>545</v>
      </c>
      <c r="G32" s="794"/>
      <c r="H32" s="798"/>
      <c r="I32" s="798"/>
      <c r="J32" s="775" t="s">
        <v>463</v>
      </c>
      <c r="K32" s="794"/>
      <c r="L32" s="796" t="s">
        <v>1132</v>
      </c>
    </row>
    <row r="33" spans="2:12" s="416" customFormat="1" ht="12">
      <c r="B33" s="427"/>
      <c r="C33" s="792">
        <v>2017</v>
      </c>
      <c r="D33" s="2985">
        <v>0</v>
      </c>
      <c r="E33" s="271" t="s">
        <v>965</v>
      </c>
      <c r="F33" s="113">
        <v>0.42545454545454542</v>
      </c>
      <c r="G33" s="799" t="s">
        <v>966</v>
      </c>
      <c r="H33" s="798"/>
      <c r="I33" s="798"/>
      <c r="J33" s="60">
        <f>IF(ISERROR(D33*F33),0,D33*F33)</f>
        <v>0</v>
      </c>
      <c r="K33" s="799" t="s">
        <v>966</v>
      </c>
      <c r="L33" s="800">
        <f>J33/(12/44)</f>
        <v>0</v>
      </c>
    </row>
    <row r="34" spans="2:12" s="279" customFormat="1" ht="15" thickBot="1">
      <c r="B34" s="426"/>
      <c r="C34" s="801"/>
      <c r="D34" s="428"/>
      <c r="E34" s="428"/>
      <c r="F34" s="428"/>
      <c r="G34" s="428"/>
      <c r="H34" s="428"/>
      <c r="I34" s="428"/>
      <c r="J34" s="428"/>
      <c r="K34" s="428"/>
      <c r="L34" s="802"/>
    </row>
    <row r="35" spans="2:12" s="279" customFormat="1" ht="14.25">
      <c r="B35" s="136"/>
    </row>
    <row r="36" spans="2:12" s="279" customFormat="1" ht="14.25">
      <c r="B36" s="136"/>
    </row>
    <row r="37" spans="2:12" s="279" customFormat="1" ht="14.25">
      <c r="B37" s="136"/>
      <c r="C37" s="131"/>
    </row>
    <row r="38" spans="2:12" s="279" customFormat="1" ht="14.25">
      <c r="B38" s="136"/>
      <c r="C38" s="131"/>
    </row>
    <row r="39" spans="2:12" s="279" customFormat="1" ht="15" thickBot="1">
      <c r="B39" s="136"/>
      <c r="C39" s="131"/>
    </row>
    <row r="40" spans="2:12" ht="15" thickTop="1">
      <c r="B40" s="131"/>
      <c r="C40" s="803"/>
      <c r="D40" s="2200">
        <v>2017</v>
      </c>
    </row>
    <row r="41" spans="2:12" ht="12.75">
      <c r="B41" s="131"/>
      <c r="C41" s="804" t="s">
        <v>1734</v>
      </c>
      <c r="D41" s="2986">
        <f>D42+D43+D44+D45+D46+D47</f>
        <v>186928.49</v>
      </c>
    </row>
    <row r="42" spans="2:12" ht="12.75">
      <c r="B42" s="131"/>
      <c r="C42" s="805" t="s">
        <v>216</v>
      </c>
      <c r="D42" s="2987">
        <v>0</v>
      </c>
    </row>
    <row r="43" spans="2:12" ht="12.75">
      <c r="B43" s="131"/>
      <c r="C43" s="805" t="s">
        <v>217</v>
      </c>
      <c r="D43" s="2987">
        <v>0</v>
      </c>
    </row>
    <row r="44" spans="2:12" ht="12.75">
      <c r="B44" s="131"/>
      <c r="C44" s="805" t="s">
        <v>218</v>
      </c>
      <c r="D44" s="2988">
        <f>J6</f>
        <v>145891.24</v>
      </c>
    </row>
    <row r="45" spans="2:12" ht="12.75">
      <c r="B45" s="131"/>
      <c r="C45" s="805" t="s">
        <v>219</v>
      </c>
      <c r="D45" s="2988">
        <f>J13</f>
        <v>39567.759999999995</v>
      </c>
    </row>
    <row r="46" spans="2:12" ht="12.75">
      <c r="B46" s="131"/>
      <c r="C46" s="805" t="s">
        <v>220</v>
      </c>
      <c r="D46" s="2988">
        <f>L18</f>
        <v>1469.49</v>
      </c>
    </row>
    <row r="47" spans="2:12" ht="12.75">
      <c r="B47" s="131"/>
      <c r="C47" s="805" t="s">
        <v>221</v>
      </c>
      <c r="D47" s="2987">
        <v>0</v>
      </c>
    </row>
    <row r="48" spans="2:12" ht="12.75">
      <c r="B48" s="131"/>
      <c r="C48" s="806" t="s">
        <v>1736</v>
      </c>
      <c r="D48" s="2989">
        <f>D49+D50</f>
        <v>0</v>
      </c>
    </row>
    <row r="49" spans="2:4" ht="12.75">
      <c r="B49" s="131"/>
      <c r="C49" s="805" t="s">
        <v>222</v>
      </c>
      <c r="D49" s="2987">
        <v>0</v>
      </c>
    </row>
    <row r="50" spans="2:4" ht="12.75">
      <c r="B50" s="131"/>
      <c r="C50" s="805" t="s">
        <v>223</v>
      </c>
      <c r="D50" s="2987">
        <v>0</v>
      </c>
    </row>
    <row r="51" spans="2:4" ht="12.75">
      <c r="B51" s="131"/>
      <c r="C51" s="807" t="s">
        <v>1735</v>
      </c>
      <c r="D51" s="2990">
        <f>D52+D53+D54+D55+D56+D57</f>
        <v>2997005.5416410691</v>
      </c>
    </row>
    <row r="52" spans="2:4" ht="12.75">
      <c r="B52" s="131"/>
      <c r="C52" s="805" t="s">
        <v>224</v>
      </c>
      <c r="D52" s="2988">
        <f>L23</f>
        <v>2956638.441641069</v>
      </c>
    </row>
    <row r="53" spans="2:4" ht="12.75">
      <c r="B53" s="131"/>
      <c r="C53" s="805" t="s">
        <v>225</v>
      </c>
      <c r="D53" s="2987">
        <v>0</v>
      </c>
    </row>
    <row r="54" spans="2:4" ht="12.75">
      <c r="B54" s="131"/>
      <c r="C54" s="805" t="s">
        <v>226</v>
      </c>
      <c r="D54" s="2987">
        <v>0</v>
      </c>
    </row>
    <row r="55" spans="2:4" ht="25.5">
      <c r="B55" s="131"/>
      <c r="C55" s="808" t="s">
        <v>227</v>
      </c>
      <c r="D55" s="2988">
        <f>L28</f>
        <v>40367.1</v>
      </c>
    </row>
    <row r="56" spans="2:4" ht="12.75">
      <c r="B56" s="131"/>
      <c r="C56" s="805" t="s">
        <v>228</v>
      </c>
      <c r="D56" s="2987">
        <v>0</v>
      </c>
    </row>
    <row r="57" spans="2:4" ht="12.75">
      <c r="B57" s="131"/>
      <c r="C57" s="805" t="s">
        <v>229</v>
      </c>
      <c r="D57" s="2987">
        <f>L33</f>
        <v>0</v>
      </c>
    </row>
    <row r="58" spans="2:4" ht="15" thickBot="1">
      <c r="B58" s="131"/>
      <c r="C58" s="809" t="s">
        <v>1737</v>
      </c>
      <c r="D58" s="2991">
        <f>D41+D48+D51</f>
        <v>3183934.0316410689</v>
      </c>
    </row>
    <row r="59" spans="2:4" ht="12" thickTop="1"/>
  </sheetData>
  <sheetProtection password="CD58" sheet="1" objects="1" scenarios="1"/>
  <phoneticPr fontId="0" type="noConversion"/>
  <printOptions gridLines="1"/>
  <pageMargins left="0.28000000000000003" right="0.17" top="1" bottom="0.46" header="0.5" footer="0.5"/>
  <pageSetup scale="85" orientation="portrait" r:id="rId1"/>
  <headerFooter alignWithMargins="0"/>
  <colBreaks count="1" manualBreakCount="1">
    <brk id="12" max="1048575" man="1"/>
  </colBreaks>
  <drawing r:id="rId2"/>
  <legacyDrawing r:id="rId3"/>
</worksheet>
</file>

<file path=xl/worksheets/sheet14.xml><?xml version="1.0" encoding="utf-8"?>
<worksheet xmlns="http://schemas.openxmlformats.org/spreadsheetml/2006/main" xmlns:r="http://schemas.openxmlformats.org/officeDocument/2006/relationships">
  <sheetPr codeName="Sheet9"/>
  <dimension ref="A1:K87"/>
  <sheetViews>
    <sheetView zoomScaleNormal="100" workbookViewId="0">
      <selection activeCell="K23" sqref="K23"/>
    </sheetView>
  </sheetViews>
  <sheetFormatPr defaultRowHeight="11.25"/>
  <cols>
    <col min="1" max="1" width="3" customWidth="1"/>
    <col min="2" max="2" width="5.6640625" customWidth="1"/>
    <col min="3" max="3" width="59.1640625" customWidth="1"/>
    <col min="4" max="4" width="18.6640625" customWidth="1"/>
    <col min="5" max="5" width="12.33203125" customWidth="1"/>
    <col min="6" max="6" width="17.83203125" customWidth="1"/>
    <col min="7" max="7" width="14.1640625" customWidth="1"/>
    <col min="8" max="8" width="16.5" customWidth="1"/>
    <col min="9" max="9" width="19" customWidth="1"/>
    <col min="11" max="11" width="13" bestFit="1" customWidth="1"/>
    <col min="13" max="13" width="18.83203125" customWidth="1"/>
  </cols>
  <sheetData>
    <row r="1" spans="1:11" ht="33">
      <c r="A1" s="482" t="s">
        <v>554</v>
      </c>
      <c r="B1" s="229"/>
      <c r="D1" s="479" t="s">
        <v>1760</v>
      </c>
      <c r="G1" s="1"/>
      <c r="H1" s="1"/>
    </row>
    <row r="2" spans="1:11" ht="80.25" customHeight="1"/>
    <row r="3" spans="1:11">
      <c r="D3" t="s">
        <v>339</v>
      </c>
    </row>
    <row r="5" spans="1:11" ht="12" thickBot="1"/>
    <row r="6" spans="1:11" ht="12" thickTop="1">
      <c r="C6" s="23"/>
      <c r="D6" s="561"/>
      <c r="E6" s="561"/>
      <c r="F6" s="561" t="s">
        <v>340</v>
      </c>
      <c r="G6" s="561"/>
      <c r="H6" s="561"/>
      <c r="I6" s="562"/>
    </row>
    <row r="7" spans="1:11" ht="34.5" thickBot="1">
      <c r="C7" s="563"/>
      <c r="D7" s="1496" t="s">
        <v>106</v>
      </c>
      <c r="E7" s="1496" t="s">
        <v>1123</v>
      </c>
      <c r="F7" s="1496"/>
      <c r="G7" s="1496" t="s">
        <v>341</v>
      </c>
      <c r="H7" s="1496" t="s">
        <v>342</v>
      </c>
      <c r="I7" s="1497" t="s">
        <v>343</v>
      </c>
    </row>
    <row r="8" spans="1:11" ht="16.5" thickTop="1">
      <c r="B8" s="923" t="s">
        <v>607</v>
      </c>
      <c r="C8" s="565" t="s">
        <v>344</v>
      </c>
      <c r="D8" s="1498"/>
      <c r="E8" s="1498"/>
      <c r="F8" s="1498"/>
      <c r="G8" s="1498"/>
      <c r="H8" s="1498"/>
      <c r="I8" s="1499"/>
    </row>
    <row r="9" spans="1:11" ht="15.75">
      <c r="B9" s="923"/>
      <c r="C9" s="1624"/>
      <c r="D9" s="1625"/>
      <c r="E9" s="1625"/>
      <c r="F9" s="1625"/>
      <c r="G9" s="1625"/>
      <c r="H9" s="1625"/>
      <c r="I9" s="1626"/>
    </row>
    <row r="10" spans="1:11">
      <c r="C10" s="566" t="s">
        <v>345</v>
      </c>
      <c r="D10" s="519">
        <v>270533</v>
      </c>
      <c r="E10" s="517" t="s">
        <v>346</v>
      </c>
      <c r="F10" s="520"/>
      <c r="G10" s="519">
        <v>587726.29</v>
      </c>
      <c r="H10" s="521">
        <f>H20-H12-H14-H16</f>
        <v>66.710000000000008</v>
      </c>
      <c r="I10" s="1910">
        <f>I20-I12-I14-I16</f>
        <v>9.740000000000002</v>
      </c>
    </row>
    <row r="11" spans="1:11">
      <c r="C11" s="566"/>
      <c r="D11" s="519"/>
      <c r="E11" s="519"/>
      <c r="F11" s="521"/>
      <c r="G11" s="519"/>
      <c r="H11" s="520"/>
      <c r="I11" s="567"/>
    </row>
    <row r="12" spans="1:11">
      <c r="C12" s="568" t="s">
        <v>347</v>
      </c>
      <c r="D12" s="519">
        <v>6850</v>
      </c>
      <c r="E12" s="517" t="s">
        <v>346</v>
      </c>
      <c r="F12" s="1912">
        <v>0.01</v>
      </c>
      <c r="G12" s="1913">
        <f>G20*F12</f>
        <v>19292.39</v>
      </c>
      <c r="H12" s="1914">
        <v>2.67</v>
      </c>
      <c r="I12" s="1915">
        <v>0.35</v>
      </c>
      <c r="K12" s="1793"/>
    </row>
    <row r="13" spans="1:11">
      <c r="C13" s="566"/>
      <c r="D13" s="519"/>
      <c r="E13" s="519"/>
      <c r="F13" s="521"/>
      <c r="G13" s="519"/>
      <c r="H13" s="520"/>
      <c r="I13" s="567"/>
    </row>
    <row r="14" spans="1:11">
      <c r="C14" s="566" t="s">
        <v>348</v>
      </c>
      <c r="D14" s="519">
        <v>315658.3884</v>
      </c>
      <c r="E14" s="519" t="s">
        <v>349</v>
      </c>
      <c r="F14" s="520"/>
      <c r="G14" s="519">
        <v>4778.3350808639998</v>
      </c>
      <c r="H14" s="1911">
        <v>0.13</v>
      </c>
      <c r="I14" s="1910">
        <v>0.03</v>
      </c>
      <c r="K14" s="14"/>
    </row>
    <row r="15" spans="1:11">
      <c r="C15" s="566"/>
      <c r="D15" s="519"/>
      <c r="E15" s="519"/>
      <c r="F15" s="520"/>
      <c r="G15" s="522"/>
      <c r="H15" s="522"/>
      <c r="I15" s="569"/>
    </row>
    <row r="16" spans="1:11" ht="12.75">
      <c r="C16" s="566" t="s">
        <v>350</v>
      </c>
      <c r="D16" s="519">
        <v>4335</v>
      </c>
      <c r="E16" s="519" t="s">
        <v>643</v>
      </c>
      <c r="F16" s="520"/>
      <c r="G16" s="523">
        <v>33967.650235176814</v>
      </c>
      <c r="H16" s="521">
        <v>7.0000000000000007E-2</v>
      </c>
      <c r="I16" s="591">
        <v>0.01</v>
      </c>
    </row>
    <row r="17" spans="3:11" ht="13.5" thickBot="1">
      <c r="C17" s="570"/>
      <c r="D17" s="524"/>
      <c r="E17" s="524"/>
      <c r="F17" s="525"/>
      <c r="G17" s="526"/>
      <c r="H17" s="527"/>
      <c r="I17" s="571"/>
    </row>
    <row r="18" spans="3:11" ht="14.25" thickTop="1" thickBot="1">
      <c r="C18" s="1478" t="s">
        <v>351</v>
      </c>
      <c r="D18" s="1479"/>
      <c r="E18" s="1479"/>
      <c r="F18" s="1480"/>
      <c r="G18" s="1481">
        <f>G10+G12+G14+G16</f>
        <v>645764.66531604086</v>
      </c>
      <c r="H18" s="1482">
        <f>H10+H12+H14+H16</f>
        <v>69.58</v>
      </c>
      <c r="I18" s="1483">
        <f>I10+I12+I14+I16</f>
        <v>10.130000000000001</v>
      </c>
    </row>
    <row r="19" spans="3:11" ht="14.25" thickTop="1" thickBot="1">
      <c r="C19" s="572"/>
      <c r="D19" s="528"/>
      <c r="E19" s="528"/>
      <c r="F19" s="529"/>
      <c r="G19" s="530"/>
      <c r="H19" s="531"/>
      <c r="I19" s="573"/>
    </row>
    <row r="20" spans="3:11" ht="12" thickBot="1">
      <c r="C20" s="574" t="s">
        <v>352</v>
      </c>
      <c r="D20" s="532"/>
      <c r="E20" s="532"/>
      <c r="F20" s="533"/>
      <c r="G20" s="1907">
        <v>1929239</v>
      </c>
      <c r="H20" s="1908">
        <v>69.58</v>
      </c>
      <c r="I20" s="1909">
        <v>10.130000000000001</v>
      </c>
      <c r="K20" s="14"/>
    </row>
    <row r="21" spans="3:11" ht="12" thickBot="1">
      <c r="C21" s="572"/>
      <c r="D21" s="528"/>
      <c r="E21" s="528"/>
      <c r="F21" s="529"/>
      <c r="G21" s="536"/>
      <c r="H21" s="536"/>
      <c r="I21" s="576"/>
    </row>
    <row r="22" spans="3:11" ht="12" thickBot="1">
      <c r="C22" s="577" t="s">
        <v>375</v>
      </c>
      <c r="D22" s="537"/>
      <c r="E22" s="537"/>
      <c r="F22" s="538"/>
      <c r="G22" s="537">
        <f>G20-G18</f>
        <v>1283474.3346839591</v>
      </c>
      <c r="H22" s="539"/>
      <c r="I22" s="578"/>
    </row>
    <row r="23" spans="3:11">
      <c r="C23" s="579"/>
      <c r="D23" s="540"/>
      <c r="E23" s="540"/>
      <c r="F23" s="541"/>
      <c r="G23" s="540"/>
      <c r="H23" s="542"/>
      <c r="I23" s="580"/>
    </row>
    <row r="24" spans="3:11">
      <c r="C24" s="1627" t="s">
        <v>353</v>
      </c>
      <c r="D24" s="1628"/>
      <c r="E24" s="1628"/>
      <c r="F24" s="1629"/>
      <c r="G24" s="1628"/>
      <c r="H24" s="1630"/>
      <c r="I24" s="1631"/>
    </row>
    <row r="25" spans="3:11" ht="12" thickBot="1">
      <c r="C25" s="921"/>
      <c r="D25" s="552"/>
      <c r="E25" s="552"/>
      <c r="F25" s="545"/>
      <c r="G25" s="552"/>
      <c r="H25" s="536"/>
      <c r="I25" s="576"/>
    </row>
    <row r="26" spans="3:11" ht="12" thickBot="1">
      <c r="C26" s="581" t="s">
        <v>354</v>
      </c>
      <c r="D26" s="543">
        <v>6886.65</v>
      </c>
      <c r="E26" s="543" t="s">
        <v>67</v>
      </c>
      <c r="F26" s="544"/>
      <c r="G26" s="1904">
        <v>738.44</v>
      </c>
      <c r="H26" s="1905">
        <v>0.03</v>
      </c>
      <c r="I26" s="1906">
        <v>6.0000000000000001E-3</v>
      </c>
    </row>
    <row r="27" spans="3:11" ht="12" thickBot="1">
      <c r="C27" s="582"/>
      <c r="D27" s="528"/>
      <c r="E27" s="528"/>
      <c r="F27" s="545"/>
      <c r="G27" s="536"/>
      <c r="H27" s="536"/>
      <c r="I27" s="576"/>
    </row>
    <row r="28" spans="3:11" ht="12" thickBot="1">
      <c r="C28" s="583" t="s">
        <v>1295</v>
      </c>
      <c r="D28" s="546"/>
      <c r="E28" s="546"/>
      <c r="F28" s="547"/>
      <c r="G28" s="548">
        <f>G20+G26</f>
        <v>1929977.44</v>
      </c>
      <c r="H28" s="548">
        <f>H26+H20</f>
        <v>69.61</v>
      </c>
      <c r="I28" s="584">
        <f>I26+I20</f>
        <v>10.136000000000001</v>
      </c>
    </row>
    <row r="29" spans="3:11">
      <c r="C29" s="921"/>
      <c r="D29" s="528"/>
      <c r="E29" s="528"/>
      <c r="F29" s="545"/>
      <c r="G29" s="536"/>
      <c r="H29" s="536"/>
      <c r="I29" s="576"/>
    </row>
    <row r="30" spans="3:11" ht="21.75">
      <c r="C30" s="1491"/>
      <c r="D30" s="1492"/>
      <c r="E30" s="1490" t="s">
        <v>610</v>
      </c>
      <c r="F30" s="1493"/>
      <c r="G30" s="1494"/>
      <c r="H30" s="1494"/>
      <c r="I30" s="1495"/>
    </row>
    <row r="31" spans="3:11">
      <c r="C31" s="921"/>
      <c r="D31" s="528"/>
      <c r="E31" s="528"/>
      <c r="F31" s="545"/>
      <c r="G31" s="536"/>
      <c r="H31" s="536"/>
      <c r="I31" s="576"/>
    </row>
    <row r="32" spans="3:11" ht="12" thickBot="1">
      <c r="C32" s="582"/>
      <c r="D32" s="528"/>
      <c r="E32" s="528"/>
      <c r="F32" s="545"/>
      <c r="G32" s="536"/>
      <c r="H32" s="536"/>
      <c r="I32" s="576"/>
    </row>
    <row r="33" spans="2:9" ht="14.25" thickTop="1" thickBot="1">
      <c r="C33" s="1478" t="s">
        <v>355</v>
      </c>
      <c r="D33" s="1479"/>
      <c r="E33" s="1479"/>
      <c r="F33" s="1480"/>
      <c r="G33" s="1481">
        <f>G18*1.10249937</f>
        <v>711955.13667919592</v>
      </c>
      <c r="H33" s="1482">
        <f>H18*1.10249937</f>
        <v>76.711906164600009</v>
      </c>
      <c r="I33" s="1483">
        <f>I18*1.10249937</f>
        <v>11.168318618100002</v>
      </c>
    </row>
    <row r="34" spans="2:9" ht="14.25" thickTop="1" thickBot="1">
      <c r="C34" s="585"/>
      <c r="D34" s="528"/>
      <c r="E34" s="528"/>
      <c r="F34" s="529"/>
      <c r="G34" s="530"/>
      <c r="H34" s="531"/>
      <c r="I34" s="573"/>
    </row>
    <row r="35" spans="2:9" ht="12.75" thickTop="1" thickBot="1">
      <c r="C35" s="586" t="s">
        <v>356</v>
      </c>
      <c r="D35" s="532"/>
      <c r="E35" s="532"/>
      <c r="F35" s="533"/>
      <c r="G35" s="534">
        <f>G20*1.10249937</f>
        <v>2126984.7820794303</v>
      </c>
      <c r="H35" s="535">
        <f>H20*1.10249937</f>
        <v>76.711906164600009</v>
      </c>
      <c r="I35" s="575">
        <f>I20*1.10249937</f>
        <v>11.168318618100002</v>
      </c>
    </row>
    <row r="36" spans="2:9" ht="12.75" thickTop="1" thickBot="1">
      <c r="C36" s="570"/>
      <c r="D36" s="528"/>
      <c r="E36" s="528"/>
      <c r="F36" s="529"/>
      <c r="G36" s="536"/>
      <c r="H36" s="536"/>
      <c r="I36" s="576"/>
    </row>
    <row r="37" spans="2:9" ht="23.25" thickBot="1">
      <c r="C37" s="1501" t="s">
        <v>359</v>
      </c>
      <c r="D37" s="537"/>
      <c r="E37" s="537"/>
      <c r="F37" s="538"/>
      <c r="G37" s="537">
        <f>G22*1.10249937</f>
        <v>1415029.6454002343</v>
      </c>
      <c r="H37" s="539"/>
      <c r="I37" s="578"/>
    </row>
    <row r="38" spans="2:9" ht="12" thickBot="1">
      <c r="C38" s="1500"/>
      <c r="D38" s="552"/>
      <c r="E38" s="552"/>
      <c r="F38" s="545"/>
      <c r="G38" s="552"/>
      <c r="H38" s="536"/>
      <c r="I38" s="576"/>
    </row>
    <row r="39" spans="2:9" ht="23.25" thickBot="1">
      <c r="C39" s="583" t="s">
        <v>360</v>
      </c>
      <c r="D39" s="546"/>
      <c r="E39" s="546"/>
      <c r="F39" s="547"/>
      <c r="G39" s="548">
        <f>G28*1.10249937</f>
        <v>2127798.911714213</v>
      </c>
      <c r="H39" s="548">
        <f>H28*1.1023</f>
        <v>76.731103000000004</v>
      </c>
      <c r="I39" s="584">
        <f>I28*1.1023</f>
        <v>11.172912800000002</v>
      </c>
    </row>
    <row r="40" spans="2:9" ht="12" thickBot="1">
      <c r="C40" s="587"/>
      <c r="D40" s="549"/>
      <c r="E40" s="549"/>
      <c r="F40" s="549"/>
      <c r="G40" s="549"/>
      <c r="H40" s="549"/>
      <c r="I40" s="588"/>
    </row>
    <row r="41" spans="2:9" ht="12" thickTop="1">
      <c r="C41" s="24"/>
      <c r="D41" s="4"/>
      <c r="E41" s="4"/>
      <c r="F41" s="4"/>
      <c r="G41" s="4"/>
      <c r="H41" s="4"/>
      <c r="I41" s="25"/>
    </row>
    <row r="42" spans="2:9" ht="12" thickBot="1">
      <c r="C42" s="24"/>
      <c r="D42" s="4"/>
      <c r="E42" s="4"/>
      <c r="F42" s="4"/>
      <c r="G42" s="4"/>
      <c r="H42" s="4"/>
      <c r="I42" s="25"/>
    </row>
    <row r="43" spans="2:9" ht="16.5" thickTop="1">
      <c r="B43" s="923" t="s">
        <v>608</v>
      </c>
      <c r="C43" s="922" t="s">
        <v>1315</v>
      </c>
      <c r="D43" s="1468"/>
      <c r="E43" s="1468"/>
      <c r="F43" s="1469"/>
      <c r="G43" s="1468"/>
      <c r="H43" s="1468"/>
      <c r="I43" s="1470"/>
    </row>
    <row r="44" spans="2:9" ht="33.75">
      <c r="C44" s="589"/>
      <c r="D44" s="518" t="s">
        <v>106</v>
      </c>
      <c r="E44" s="518" t="s">
        <v>1123</v>
      </c>
      <c r="F44" s="38"/>
      <c r="G44" s="518" t="s">
        <v>341</v>
      </c>
      <c r="H44" s="518" t="s">
        <v>342</v>
      </c>
      <c r="I44" s="564" t="s">
        <v>361</v>
      </c>
    </row>
    <row r="45" spans="2:9">
      <c r="C45" s="590" t="s">
        <v>362</v>
      </c>
      <c r="D45" s="1471"/>
      <c r="E45" s="1471"/>
      <c r="F45" s="494"/>
      <c r="G45" s="1471"/>
      <c r="H45" s="1471"/>
      <c r="I45" s="1472"/>
    </row>
    <row r="46" spans="2:9">
      <c r="C46" s="1634"/>
      <c r="D46" s="1635"/>
      <c r="E46" s="1635"/>
      <c r="F46" s="611"/>
      <c r="G46" s="1635"/>
      <c r="H46" s="1635"/>
      <c r="I46" s="1636"/>
    </row>
    <row r="47" spans="2:9">
      <c r="C47" s="566" t="s">
        <v>345</v>
      </c>
      <c r="D47" s="1637">
        <f>60900*1.1023</f>
        <v>67130.070000000007</v>
      </c>
      <c r="E47" s="517" t="s">
        <v>363</v>
      </c>
      <c r="F47" s="38"/>
      <c r="G47" s="520">
        <v>147680</v>
      </c>
      <c r="H47" s="521">
        <v>1.56</v>
      </c>
      <c r="I47" s="591">
        <v>2.33</v>
      </c>
    </row>
    <row r="48" spans="2:9">
      <c r="C48" s="566"/>
      <c r="D48" s="519"/>
      <c r="E48" s="517"/>
      <c r="F48" s="38"/>
      <c r="G48" s="520"/>
      <c r="H48" s="521"/>
      <c r="I48" s="591"/>
    </row>
    <row r="49" spans="3:9">
      <c r="C49" s="566" t="s">
        <v>348</v>
      </c>
      <c r="D49" s="1637">
        <f>(677*2204.6)/7.55</f>
        <v>197684</v>
      </c>
      <c r="E49" s="519" t="s">
        <v>349</v>
      </c>
      <c r="F49" s="38"/>
      <c r="G49" s="520">
        <v>1804</v>
      </c>
      <c r="H49" s="522">
        <v>0.02</v>
      </c>
      <c r="I49" s="591">
        <v>0.04</v>
      </c>
    </row>
    <row r="50" spans="3:9">
      <c r="C50" s="566"/>
      <c r="D50" s="519"/>
      <c r="E50" s="519"/>
      <c r="F50" s="38"/>
      <c r="G50" s="521"/>
      <c r="H50" s="519"/>
      <c r="I50" s="569"/>
    </row>
    <row r="51" spans="3:9">
      <c r="C51" s="566" t="s">
        <v>364</v>
      </c>
      <c r="D51" s="1637">
        <f>1743*1.1023</f>
        <v>1921.3089</v>
      </c>
      <c r="E51" s="517" t="s">
        <v>363</v>
      </c>
      <c r="F51" s="38"/>
      <c r="G51" s="520">
        <v>5368</v>
      </c>
      <c r="H51" s="550">
        <v>0.05</v>
      </c>
      <c r="I51" s="591">
        <v>7.0000000000000007E-2</v>
      </c>
    </row>
    <row r="52" spans="3:9" ht="12" thickBot="1">
      <c r="C52" s="592"/>
      <c r="D52" s="524"/>
      <c r="E52" s="524"/>
      <c r="F52" s="498"/>
      <c r="G52" s="527"/>
      <c r="H52" s="524"/>
      <c r="I52" s="1620"/>
    </row>
    <row r="53" spans="3:9" ht="13.5" thickBot="1">
      <c r="C53" s="1484" t="s">
        <v>365</v>
      </c>
      <c r="D53" s="1487"/>
      <c r="E53" s="1487"/>
      <c r="F53" s="1485"/>
      <c r="G53" s="1622">
        <f>G47+G49+G51</f>
        <v>154852</v>
      </c>
      <c r="H53" s="1633">
        <f>H47+H49+H51</f>
        <v>1.6300000000000001</v>
      </c>
      <c r="I53" s="1623">
        <f>I47+I49+I51</f>
        <v>2.44</v>
      </c>
    </row>
    <row r="54" spans="3:9">
      <c r="C54" s="566"/>
      <c r="D54" s="1619"/>
      <c r="E54" s="1619"/>
      <c r="F54" s="115"/>
      <c r="G54" s="540"/>
      <c r="H54" s="540"/>
      <c r="I54" s="1621"/>
    </row>
    <row r="55" spans="3:9">
      <c r="C55" s="593" t="s">
        <v>366</v>
      </c>
      <c r="D55" s="1473"/>
      <c r="E55" s="1473"/>
      <c r="F55" s="1474"/>
      <c r="G55" s="1475"/>
      <c r="H55" s="1476"/>
      <c r="I55" s="1477"/>
    </row>
    <row r="56" spans="3:9" ht="12" thickBot="1">
      <c r="C56" s="582"/>
      <c r="D56" s="528"/>
      <c r="E56" s="528"/>
      <c r="F56" s="5"/>
      <c r="G56" s="551"/>
      <c r="H56" s="552"/>
      <c r="I56" s="595"/>
    </row>
    <row r="57" spans="3:9" ht="12" thickBot="1">
      <c r="C57" s="594" t="s">
        <v>367</v>
      </c>
      <c r="D57" s="2074">
        <v>0</v>
      </c>
      <c r="E57" s="543" t="s">
        <v>349</v>
      </c>
      <c r="F57" s="486"/>
      <c r="G57" s="2072">
        <v>0</v>
      </c>
      <c r="H57" s="2072">
        <v>0</v>
      </c>
      <c r="I57" s="2073">
        <v>0</v>
      </c>
    </row>
    <row r="58" spans="3:9" ht="12" thickBot="1">
      <c r="C58" s="582"/>
      <c r="D58" s="528"/>
      <c r="E58" s="528"/>
      <c r="F58" s="4"/>
      <c r="G58" s="551"/>
      <c r="H58" s="552"/>
      <c r="I58" s="595"/>
    </row>
    <row r="59" spans="3:9" ht="12" thickBot="1">
      <c r="C59" s="596" t="s">
        <v>368</v>
      </c>
      <c r="D59" s="532"/>
      <c r="E59" s="532"/>
      <c r="F59" s="553"/>
      <c r="G59" s="1638">
        <v>383002</v>
      </c>
      <c r="H59" s="1632">
        <v>16.883559999999999</v>
      </c>
      <c r="I59" s="2075">
        <v>0</v>
      </c>
    </row>
    <row r="60" spans="3:9" ht="12" thickBot="1">
      <c r="C60" s="597"/>
      <c r="D60" s="528"/>
      <c r="E60" s="528"/>
      <c r="F60" s="4"/>
      <c r="G60" s="545"/>
      <c r="H60" s="552"/>
      <c r="I60" s="595"/>
    </row>
    <row r="61" spans="3:9" ht="12" thickBot="1">
      <c r="C61" s="1486" t="s">
        <v>365</v>
      </c>
      <c r="D61" s="1487"/>
      <c r="E61" s="1487"/>
      <c r="F61" s="1485"/>
      <c r="G61" s="2076">
        <f>G53</f>
        <v>154852</v>
      </c>
      <c r="H61" s="1488">
        <f>H53</f>
        <v>1.6300000000000001</v>
      </c>
      <c r="I61" s="1623">
        <f>I53</f>
        <v>2.44</v>
      </c>
    </row>
    <row r="62" spans="3:9" ht="12" thickBot="1">
      <c r="C62" s="582"/>
      <c r="D62" s="528"/>
      <c r="E62" s="528"/>
      <c r="F62" s="4"/>
      <c r="G62" s="551"/>
      <c r="H62" s="552"/>
      <c r="I62" s="595"/>
    </row>
    <row r="63" spans="3:9" ht="12" thickBot="1">
      <c r="C63" s="598" t="s">
        <v>374</v>
      </c>
      <c r="D63" s="558"/>
      <c r="E63" s="558"/>
      <c r="F63" s="559"/>
      <c r="G63" s="537">
        <f>G59-G61</f>
        <v>228150</v>
      </c>
      <c r="H63" s="537">
        <v>51.633558473950004</v>
      </c>
      <c r="I63" s="599">
        <v>7.4036724867899988</v>
      </c>
    </row>
    <row r="64" spans="3:9" ht="12" thickBot="1">
      <c r="C64" s="582"/>
      <c r="D64" s="528"/>
      <c r="E64" s="528"/>
      <c r="F64" s="4"/>
      <c r="G64" s="551"/>
      <c r="H64" s="552"/>
      <c r="I64" s="595"/>
    </row>
    <row r="65" spans="2:9" ht="12" thickBot="1">
      <c r="C65" s="600" t="s">
        <v>369</v>
      </c>
      <c r="D65" s="546"/>
      <c r="E65" s="546"/>
      <c r="F65" s="554"/>
      <c r="G65" s="555">
        <f>G59+G57</f>
        <v>383002</v>
      </c>
      <c r="H65" s="555">
        <f>H59+H57</f>
        <v>16.883559999999999</v>
      </c>
      <c r="I65" s="601">
        <f>I61+I57</f>
        <v>2.44</v>
      </c>
    </row>
    <row r="66" spans="2:9">
      <c r="C66" s="602"/>
      <c r="D66" s="528"/>
      <c r="E66" s="528"/>
      <c r="F66" s="5"/>
      <c r="G66" s="551"/>
      <c r="H66" s="551"/>
      <c r="I66" s="924"/>
    </row>
    <row r="67" spans="2:9" ht="21.75">
      <c r="C67" s="1502"/>
      <c r="D67" s="1492"/>
      <c r="E67" s="1490" t="s">
        <v>610</v>
      </c>
      <c r="F67" s="920"/>
      <c r="G67" s="1503"/>
      <c r="H67" s="1503"/>
      <c r="I67" s="1504"/>
    </row>
    <row r="68" spans="2:9">
      <c r="C68" s="602"/>
      <c r="D68" s="528"/>
      <c r="E68" s="528"/>
      <c r="F68" s="5"/>
      <c r="G68" s="551"/>
      <c r="H68" s="551"/>
      <c r="I68" s="924"/>
    </row>
    <row r="69" spans="2:9" ht="12" thickBot="1">
      <c r="C69" s="602"/>
      <c r="D69" s="528"/>
      <c r="E69" s="528"/>
      <c r="F69" s="4"/>
      <c r="G69" s="551"/>
      <c r="H69" s="552"/>
      <c r="I69" s="595"/>
    </row>
    <row r="70" spans="2:9" ht="12" thickBot="1">
      <c r="C70" s="596" t="s">
        <v>356</v>
      </c>
      <c r="D70" s="556"/>
      <c r="E70" s="556"/>
      <c r="F70" s="553"/>
      <c r="G70" s="1617">
        <f>G59*1.102312065</f>
        <v>422187.72551913001</v>
      </c>
      <c r="H70" s="1618">
        <f>H59*1.102312065</f>
        <v>18.610951888151398</v>
      </c>
      <c r="I70" s="2077">
        <f>I59*1.102312065</f>
        <v>0</v>
      </c>
    </row>
    <row r="71" spans="2:9" ht="12" thickBot="1">
      <c r="C71" s="597"/>
      <c r="D71" s="528"/>
      <c r="E71" s="528"/>
      <c r="F71" s="4"/>
      <c r="G71" s="551"/>
      <c r="H71" s="552"/>
      <c r="I71" s="595"/>
    </row>
    <row r="72" spans="2:9" ht="12" thickBot="1">
      <c r="C72" s="1486" t="s">
        <v>370</v>
      </c>
      <c r="D72" s="1487"/>
      <c r="E72" s="1487"/>
      <c r="F72" s="1485"/>
      <c r="G72" s="1488">
        <f>G53*1.102312065</f>
        <v>170695.22788938001</v>
      </c>
      <c r="H72" s="1622">
        <f>H53*1.102312065</f>
        <v>1.7967686659500002</v>
      </c>
      <c r="I72" s="1489">
        <f>I53*1.102312065</f>
        <v>2.6896414385999998</v>
      </c>
    </row>
    <row r="73" spans="2:9" ht="12" thickBot="1">
      <c r="C73" s="582"/>
      <c r="D73" s="528"/>
      <c r="E73" s="528"/>
      <c r="F73" s="4"/>
      <c r="G73" s="551"/>
      <c r="H73" s="552"/>
      <c r="I73" s="595"/>
    </row>
    <row r="74" spans="2:9" ht="12" thickBot="1">
      <c r="C74" s="598" t="s">
        <v>371</v>
      </c>
      <c r="D74" s="558"/>
      <c r="E74" s="558"/>
      <c r="F74" s="559"/>
      <c r="G74" s="560">
        <f>G63*1.1023</f>
        <v>251489.74500000002</v>
      </c>
      <c r="H74" s="537">
        <f>H63*1.1023</f>
        <v>56.915671505835093</v>
      </c>
      <c r="I74" s="599">
        <f>I63*1.1023</f>
        <v>8.1610681821886164</v>
      </c>
    </row>
    <row r="75" spans="2:9" ht="12" thickBot="1">
      <c r="C75" s="582"/>
      <c r="D75" s="528"/>
      <c r="E75" s="528"/>
      <c r="F75" s="4"/>
      <c r="G75" s="551"/>
      <c r="H75" s="552"/>
      <c r="I75" s="595"/>
    </row>
    <row r="76" spans="2:9" ht="12" thickBot="1">
      <c r="C76" s="600" t="s">
        <v>372</v>
      </c>
      <c r="D76" s="546"/>
      <c r="E76" s="546"/>
      <c r="F76" s="554"/>
      <c r="G76" s="555">
        <f>G65*1.1023</f>
        <v>422183.10460000002</v>
      </c>
      <c r="H76" s="555">
        <f>H65*1.1023</f>
        <v>18.610748187999999</v>
      </c>
      <c r="I76" s="601">
        <f>I65*1.1023</f>
        <v>2.6896119999999999</v>
      </c>
    </row>
    <row r="77" spans="2:9" ht="12" thickBot="1">
      <c r="C77" s="603"/>
      <c r="D77" s="114"/>
      <c r="E77" s="114"/>
      <c r="F77" s="557"/>
      <c r="G77" s="114"/>
      <c r="H77" s="114"/>
      <c r="I77" s="604"/>
    </row>
    <row r="78" spans="2:9" ht="12" thickTop="1">
      <c r="C78" s="24"/>
      <c r="D78" s="4"/>
      <c r="E78" s="4"/>
      <c r="F78" s="4"/>
      <c r="G78" s="4"/>
      <c r="H78" s="4"/>
      <c r="I78" s="25"/>
    </row>
    <row r="79" spans="2:9" ht="12" thickBot="1">
      <c r="C79" s="24"/>
      <c r="D79" s="4"/>
      <c r="E79" s="4"/>
      <c r="F79" s="4"/>
      <c r="G79" s="4"/>
      <c r="H79" s="4"/>
      <c r="I79" s="25"/>
    </row>
    <row r="80" spans="2:9" ht="17.25" thickTop="1" thickBot="1">
      <c r="B80" s="923" t="s">
        <v>609</v>
      </c>
      <c r="C80" s="605" t="s">
        <v>373</v>
      </c>
      <c r="D80" s="606"/>
      <c r="E80" s="606"/>
      <c r="F80" s="606"/>
      <c r="G80" s="812">
        <f>G74+G37</f>
        <v>1666519.3904002344</v>
      </c>
      <c r="H80" s="4"/>
      <c r="I80" s="25"/>
    </row>
    <row r="81" spans="3:9" ht="12.75" thickTop="1" thickBot="1">
      <c r="C81" s="435"/>
      <c r="D81" s="5"/>
      <c r="E81" s="5"/>
      <c r="F81" s="5"/>
      <c r="G81" s="810"/>
      <c r="H81" s="4"/>
      <c r="I81" s="25"/>
    </row>
    <row r="82" spans="3:9" ht="12.75" thickTop="1" thickBot="1">
      <c r="C82" s="605" t="s">
        <v>668</v>
      </c>
      <c r="D82" s="5"/>
      <c r="E82" s="5"/>
      <c r="F82" s="5"/>
      <c r="G82" s="811">
        <f>G80*0.907184</f>
        <v>1511839.7266608463</v>
      </c>
      <c r="H82" s="4"/>
      <c r="I82" s="25"/>
    </row>
    <row r="83" spans="3:9" ht="12.75" thickTop="1" thickBot="1">
      <c r="C83" s="435"/>
      <c r="D83" s="5"/>
      <c r="E83" s="5"/>
      <c r="F83" s="5"/>
      <c r="H83" s="4"/>
      <c r="I83" s="25"/>
    </row>
    <row r="84" spans="3:9" ht="12.75" thickTop="1" thickBot="1">
      <c r="C84" s="605" t="s">
        <v>669</v>
      </c>
      <c r="D84" s="5"/>
      <c r="E84" s="5"/>
      <c r="F84" s="5"/>
      <c r="G84" s="810">
        <f>G82/1000000</f>
        <v>1.5118397266608463</v>
      </c>
      <c r="H84" s="4"/>
      <c r="I84" s="25"/>
    </row>
    <row r="85" spans="3:9" ht="12" thickTop="1">
      <c r="C85" s="435"/>
      <c r="D85" s="5"/>
      <c r="E85" s="5"/>
      <c r="F85" s="5"/>
      <c r="G85" s="810"/>
      <c r="H85" s="4"/>
      <c r="I85" s="25"/>
    </row>
    <row r="86" spans="3:9" ht="12" thickBot="1">
      <c r="C86" s="26"/>
      <c r="D86" s="27"/>
      <c r="E86" s="27"/>
      <c r="F86" s="27"/>
      <c r="G86" s="27"/>
      <c r="H86" s="27"/>
      <c r="I86" s="28"/>
    </row>
    <row r="87" spans="3:9" ht="12" thickTop="1"/>
  </sheetData>
  <sheetProtection password="CD58" sheet="1" objects="1" scenarios="1"/>
  <phoneticPr fontId="0" type="noConversion"/>
  <printOptions gridLines="1"/>
  <pageMargins left="0.34" right="0.16" top="0.21" bottom="0.25" header="0.16" footer="0.33"/>
  <pageSetup scale="86" orientation="landscape" r:id="rId1"/>
  <headerFooter alignWithMargins="0"/>
  <rowBreaks count="1" manualBreakCount="1">
    <brk id="40" max="16383" man="1"/>
  </rowBreaks>
  <drawing r:id="rId2"/>
  <legacyDrawing r:id="rId3"/>
</worksheet>
</file>

<file path=xl/worksheets/sheet15.xml><?xml version="1.0" encoding="utf-8"?>
<worksheet xmlns="http://schemas.openxmlformats.org/spreadsheetml/2006/main" xmlns:r="http://schemas.openxmlformats.org/officeDocument/2006/relationships">
  <sheetPr codeName="Sheet10"/>
  <dimension ref="A1:S10"/>
  <sheetViews>
    <sheetView workbookViewId="0">
      <selection activeCell="N31" sqref="N31"/>
    </sheetView>
  </sheetViews>
  <sheetFormatPr defaultRowHeight="11.25"/>
  <cols>
    <col min="3" max="3" width="26.33203125" customWidth="1"/>
    <col min="4" max="4" width="32.1640625" customWidth="1"/>
    <col min="5" max="5" width="19.5" customWidth="1"/>
    <col min="6" max="6" width="2.33203125" customWidth="1"/>
    <col min="7" max="7" width="18.1640625" customWidth="1"/>
    <col min="8" max="8" width="2.33203125" customWidth="1"/>
    <col min="9" max="9" width="14.5" customWidth="1"/>
    <col min="10" max="10" width="13.33203125" customWidth="1"/>
  </cols>
  <sheetData>
    <row r="1" spans="1:19" ht="33">
      <c r="A1" s="482" t="s">
        <v>533</v>
      </c>
      <c r="B1" s="229"/>
      <c r="E1" s="479" t="s">
        <v>1760</v>
      </c>
      <c r="G1" s="1"/>
      <c r="H1" s="1"/>
    </row>
    <row r="2" spans="1:19" ht="57.75" customHeight="1" thickBot="1">
      <c r="B2" s="194"/>
      <c r="C2" s="194"/>
      <c r="D2" s="195"/>
      <c r="E2" s="195"/>
      <c r="F2" s="195"/>
      <c r="G2" s="195"/>
      <c r="H2" s="196"/>
      <c r="I2" s="192"/>
      <c r="J2" s="196"/>
      <c r="K2" s="196"/>
      <c r="L2" s="196"/>
      <c r="M2" s="192"/>
      <c r="N2" s="192"/>
      <c r="O2" s="192"/>
      <c r="P2" s="192"/>
      <c r="Q2" s="192"/>
      <c r="R2" s="192"/>
      <c r="S2" s="192"/>
    </row>
    <row r="3" spans="1:19" ht="13.5" thickTop="1">
      <c r="B3" s="198"/>
      <c r="C3" s="199"/>
      <c r="D3" s="200" t="s">
        <v>259</v>
      </c>
      <c r="E3" s="200" t="s">
        <v>107</v>
      </c>
      <c r="F3" s="200"/>
      <c r="G3" s="200" t="s">
        <v>260</v>
      </c>
      <c r="H3" s="199"/>
      <c r="I3" s="200" t="s">
        <v>108</v>
      </c>
      <c r="J3" s="201" t="s">
        <v>108</v>
      </c>
      <c r="K3" s="197"/>
      <c r="L3" s="197"/>
      <c r="M3" s="197"/>
      <c r="N3" s="197"/>
      <c r="O3" s="197"/>
      <c r="P3" s="197"/>
      <c r="Q3" s="197"/>
      <c r="R3" s="197"/>
      <c r="S3" s="197"/>
    </row>
    <row r="4" spans="1:19" ht="14.25">
      <c r="B4" s="202"/>
      <c r="C4" s="203"/>
      <c r="D4" s="204" t="s">
        <v>964</v>
      </c>
      <c r="E4" s="204" t="s">
        <v>264</v>
      </c>
      <c r="F4" s="204"/>
      <c r="G4" s="204" t="s">
        <v>261</v>
      </c>
      <c r="H4" s="203"/>
      <c r="I4" s="204" t="s">
        <v>265</v>
      </c>
      <c r="J4" s="205" t="s">
        <v>266</v>
      </c>
      <c r="K4" s="197"/>
      <c r="L4" s="197"/>
      <c r="M4" s="197"/>
      <c r="N4" s="197"/>
      <c r="O4" s="197"/>
      <c r="P4" s="197"/>
      <c r="Q4" s="197"/>
      <c r="R4" s="197"/>
      <c r="S4" s="197"/>
    </row>
    <row r="5" spans="1:19" ht="12.75">
      <c r="B5" s="202"/>
      <c r="C5" s="206"/>
      <c r="D5" s="204"/>
      <c r="E5" s="204"/>
      <c r="F5" s="204"/>
      <c r="G5" s="204"/>
      <c r="H5" s="204"/>
      <c r="I5" s="204"/>
      <c r="J5" s="207"/>
      <c r="K5" s="197"/>
      <c r="L5" s="197"/>
      <c r="M5" s="197"/>
      <c r="N5" s="197"/>
      <c r="O5" s="197"/>
      <c r="P5" s="197"/>
      <c r="Q5" s="197"/>
      <c r="R5" s="197"/>
      <c r="S5" s="197"/>
    </row>
    <row r="6" spans="1:19" ht="12.75">
      <c r="B6" s="208"/>
      <c r="C6" s="209"/>
      <c r="D6" s="210"/>
      <c r="E6" s="203"/>
      <c r="F6" s="203"/>
      <c r="G6" s="211"/>
      <c r="H6" s="203"/>
      <c r="I6" s="203"/>
      <c r="J6" s="207"/>
      <c r="K6" s="197"/>
      <c r="L6" s="197"/>
      <c r="M6" s="197"/>
      <c r="N6" s="197"/>
      <c r="O6" s="197"/>
      <c r="P6" s="197"/>
      <c r="Q6" s="197"/>
      <c r="R6" s="197"/>
      <c r="S6" s="197"/>
    </row>
    <row r="7" spans="1:19" ht="12.75">
      <c r="B7" s="212">
        <v>2017</v>
      </c>
      <c r="C7" s="213" t="s">
        <v>262</v>
      </c>
      <c r="D7" s="214">
        <v>0</v>
      </c>
      <c r="E7" s="215">
        <v>1.2</v>
      </c>
      <c r="F7" s="215"/>
      <c r="G7" s="217">
        <f>D8*E8</f>
        <v>1469.49</v>
      </c>
      <c r="H7" s="209"/>
      <c r="I7" s="217">
        <f>IF(D7&gt;0,D7*E7-(G7),0)</f>
        <v>0</v>
      </c>
      <c r="J7" s="218"/>
      <c r="K7" s="193"/>
      <c r="L7" s="197"/>
      <c r="M7" s="197"/>
      <c r="N7" s="197"/>
      <c r="O7" s="197"/>
      <c r="P7" s="197"/>
      <c r="Q7" s="197"/>
      <c r="R7" s="197"/>
      <c r="S7" s="197"/>
    </row>
    <row r="8" spans="1:19" ht="12.75">
      <c r="B8" s="219">
        <v>18</v>
      </c>
      <c r="C8" s="213" t="s">
        <v>263</v>
      </c>
      <c r="D8" s="214">
        <v>2013</v>
      </c>
      <c r="E8" s="220">
        <v>0.73</v>
      </c>
      <c r="F8" s="220"/>
      <c r="G8" s="209"/>
      <c r="H8" s="216"/>
      <c r="I8" s="217">
        <f>D8*E8</f>
        <v>1469.49</v>
      </c>
      <c r="J8" s="227">
        <f>I8/1000000</f>
        <v>1.4694899999999999E-3</v>
      </c>
      <c r="K8" s="193"/>
      <c r="L8" s="197"/>
      <c r="M8" s="197"/>
      <c r="N8" s="197"/>
      <c r="O8" s="197"/>
      <c r="P8" s="197"/>
      <c r="Q8" s="197"/>
      <c r="R8" s="197"/>
      <c r="S8" s="197"/>
    </row>
    <row r="9" spans="1:19" ht="13.5" thickBot="1">
      <c r="B9" s="221"/>
      <c r="C9" s="222"/>
      <c r="D9" s="223"/>
      <c r="E9" s="224"/>
      <c r="F9" s="224"/>
      <c r="G9" s="225"/>
      <c r="H9" s="224"/>
      <c r="I9" s="224"/>
      <c r="J9" s="226"/>
      <c r="K9" s="197"/>
      <c r="L9" s="197"/>
      <c r="M9" s="197"/>
      <c r="N9" s="197"/>
      <c r="O9" s="197"/>
      <c r="P9" s="197"/>
      <c r="Q9" s="197"/>
      <c r="R9" s="197"/>
      <c r="S9" s="197"/>
    </row>
    <row r="10" spans="1:19" ht="12" thickTop="1"/>
  </sheetData>
  <sheetProtection password="CD58" sheet="1" objects="1" scenarios="1"/>
  <phoneticPr fontId="0" type="noConversion"/>
  <pageMargins left="0.75" right="0.75" top="1" bottom="1" header="0.5" footer="0.5"/>
  <pageSetup orientation="portrait" r:id="rId1"/>
  <headerFooter alignWithMargins="0"/>
  <drawing r:id="rId2"/>
  <legacyDrawing r:id="rId3"/>
</worksheet>
</file>

<file path=xl/worksheets/sheet16.xml><?xml version="1.0" encoding="utf-8"?>
<worksheet xmlns="http://schemas.openxmlformats.org/spreadsheetml/2006/main" xmlns:r="http://schemas.openxmlformats.org/officeDocument/2006/relationships">
  <sheetPr codeName="Sheet11"/>
  <dimension ref="A1:H21"/>
  <sheetViews>
    <sheetView zoomScaleNormal="100" workbookViewId="0">
      <selection activeCell="C37" sqref="C36:C37"/>
    </sheetView>
  </sheetViews>
  <sheetFormatPr defaultRowHeight="11.25"/>
  <cols>
    <col min="2" max="2" width="0.1640625" customWidth="1"/>
    <col min="3" max="3" width="14.1640625" customWidth="1"/>
    <col min="4" max="4" width="15.6640625" customWidth="1"/>
    <col min="5" max="5" width="5.83203125" customWidth="1"/>
    <col min="6" max="6" width="29.1640625" customWidth="1"/>
    <col min="7" max="7" width="28.83203125" customWidth="1"/>
    <col min="8" max="8" width="11.5" customWidth="1"/>
    <col min="9" max="9" width="12" customWidth="1"/>
    <col min="10" max="10" width="12.6640625" customWidth="1"/>
    <col min="11" max="12" width="13.33203125" customWidth="1"/>
    <col min="13" max="13" width="16.1640625" customWidth="1"/>
    <col min="14" max="14" width="20" bestFit="1" customWidth="1"/>
  </cols>
  <sheetData>
    <row r="1" spans="1:8" ht="33">
      <c r="A1" s="482" t="s">
        <v>555</v>
      </c>
      <c r="B1" s="229"/>
      <c r="G1" s="1"/>
      <c r="H1" s="479" t="s">
        <v>1760</v>
      </c>
    </row>
    <row r="2" spans="1:8" ht="68.25" customHeight="1"/>
    <row r="5" spans="1:8" ht="12" thickBot="1"/>
    <row r="6" spans="1:8" ht="14.25">
      <c r="D6" s="124"/>
      <c r="E6" s="491"/>
      <c r="F6" s="607" t="s">
        <v>376</v>
      </c>
      <c r="G6" s="608" t="s">
        <v>378</v>
      </c>
    </row>
    <row r="7" spans="1:8" ht="12" thickBot="1">
      <c r="D7" s="186"/>
      <c r="E7" s="187"/>
      <c r="F7" s="187"/>
      <c r="G7" s="609"/>
    </row>
    <row r="8" spans="1:8" ht="15.75">
      <c r="D8" s="124"/>
      <c r="E8" s="610" t="s">
        <v>379</v>
      </c>
      <c r="F8" s="1942">
        <v>0</v>
      </c>
      <c r="G8" s="496">
        <v>0</v>
      </c>
    </row>
    <row r="9" spans="1:8" ht="15.75">
      <c r="D9" s="1960" t="s">
        <v>380</v>
      </c>
      <c r="E9" s="1961" t="s">
        <v>381</v>
      </c>
      <c r="F9" s="1962">
        <v>0</v>
      </c>
      <c r="G9" s="1963">
        <f>F9*1.1023</f>
        <v>0</v>
      </c>
    </row>
    <row r="10" spans="1:8" ht="16.5" thickBot="1">
      <c r="D10" s="613"/>
      <c r="E10" s="614" t="s">
        <v>382</v>
      </c>
      <c r="F10" s="1946">
        <v>0</v>
      </c>
      <c r="G10" s="609">
        <f>F10*1.1023</f>
        <v>0</v>
      </c>
    </row>
    <row r="11" spans="1:8" ht="15.75">
      <c r="D11" s="615"/>
      <c r="E11" s="610" t="s">
        <v>379</v>
      </c>
      <c r="F11" s="1947"/>
      <c r="G11" s="493">
        <v>0</v>
      </c>
    </row>
    <row r="12" spans="1:8" ht="15.75">
      <c r="D12" s="1964" t="s">
        <v>231</v>
      </c>
      <c r="E12" s="1961" t="s">
        <v>381</v>
      </c>
      <c r="F12" s="1965"/>
      <c r="G12" s="1966">
        <v>0</v>
      </c>
    </row>
    <row r="13" spans="1:8" ht="16.5" thickBot="1">
      <c r="D13" s="615"/>
      <c r="E13" s="614" t="s">
        <v>382</v>
      </c>
      <c r="F13" s="1943"/>
      <c r="G13" s="1945">
        <v>0</v>
      </c>
    </row>
    <row r="14" spans="1:8" ht="16.5" thickBot="1">
      <c r="D14" s="1967" t="s">
        <v>383</v>
      </c>
      <c r="E14" s="1968" t="s">
        <v>379</v>
      </c>
      <c r="F14" s="1969">
        <v>0</v>
      </c>
      <c r="G14" s="1970">
        <f>F14*1.1023</f>
        <v>0</v>
      </c>
    </row>
    <row r="15" spans="1:8" ht="13.5" thickBot="1">
      <c r="D15" s="615"/>
      <c r="E15" s="120"/>
      <c r="F15" s="1943"/>
      <c r="G15" s="171"/>
    </row>
    <row r="16" spans="1:8" ht="16.5" thickBot="1">
      <c r="D16" s="1967" t="s">
        <v>968</v>
      </c>
      <c r="E16" s="1968" t="s">
        <v>379</v>
      </c>
      <c r="F16" s="1969">
        <v>0</v>
      </c>
      <c r="G16" s="1971">
        <f>F16*1.1023</f>
        <v>0</v>
      </c>
    </row>
    <row r="17" spans="4:7" ht="13.5" thickBot="1">
      <c r="D17" s="615"/>
      <c r="E17" s="120"/>
      <c r="F17" s="1943"/>
      <c r="G17" s="171"/>
    </row>
    <row r="18" spans="4:7" ht="16.5" thickTop="1">
      <c r="D18" s="1948"/>
      <c r="E18" s="1949" t="s">
        <v>379</v>
      </c>
      <c r="F18" s="1950">
        <v>0</v>
      </c>
      <c r="G18" s="1951">
        <f>G8+G14+G16+G11</f>
        <v>0</v>
      </c>
    </row>
    <row r="19" spans="4:7" ht="15.75">
      <c r="D19" s="1952" t="s">
        <v>190</v>
      </c>
      <c r="E19" s="1953" t="s">
        <v>381</v>
      </c>
      <c r="F19" s="1954">
        <f>F9</f>
        <v>0</v>
      </c>
      <c r="G19" s="1955">
        <f>G9+G12</f>
        <v>0</v>
      </c>
    </row>
    <row r="20" spans="4:7" ht="16.5" thickBot="1">
      <c r="D20" s="1956"/>
      <c r="E20" s="1957" t="s">
        <v>382</v>
      </c>
      <c r="F20" s="1958">
        <f>F10</f>
        <v>0</v>
      </c>
      <c r="G20" s="1959">
        <f>G10+G13</f>
        <v>0</v>
      </c>
    </row>
    <row r="21" spans="4:7" ht="12.75" thickTop="1" thickBot="1">
      <c r="D21" s="616"/>
      <c r="E21" s="501"/>
      <c r="F21" s="1944"/>
      <c r="G21" s="170"/>
    </row>
  </sheetData>
  <sheetProtection password="CD58" sheet="1" objects="1" scenarios="1"/>
  <phoneticPr fontId="0" type="noConversion"/>
  <printOptions gridLines="1"/>
  <pageMargins left="0.75" right="0.75" top="1" bottom="1" header="0.5" footer="0.5"/>
  <pageSetup scale="83" orientation="portrait" r:id="rId1"/>
  <headerFooter alignWithMargins="0"/>
  <colBreaks count="1" manualBreakCount="1">
    <brk id="8" max="1048575" man="1"/>
  </colBreaks>
  <drawing r:id="rId2"/>
</worksheet>
</file>

<file path=xl/worksheets/sheet17.xml><?xml version="1.0" encoding="utf-8"?>
<worksheet xmlns="http://schemas.openxmlformats.org/spreadsheetml/2006/main" xmlns:r="http://schemas.openxmlformats.org/officeDocument/2006/relationships">
  <sheetPr codeName="Sheet12"/>
  <dimension ref="A1:Y100"/>
  <sheetViews>
    <sheetView zoomScale="85" zoomScaleNormal="85" workbookViewId="0">
      <selection activeCell="L6" sqref="L6"/>
    </sheetView>
  </sheetViews>
  <sheetFormatPr defaultRowHeight="11.25"/>
  <cols>
    <col min="1" max="1" width="3.1640625" customWidth="1"/>
    <col min="2" max="2" width="17.33203125" customWidth="1"/>
    <col min="3" max="3" width="59.6640625" customWidth="1"/>
    <col min="4" max="4" width="9.5" bestFit="1" customWidth="1"/>
    <col min="5" max="5" width="15" bestFit="1" customWidth="1"/>
    <col min="6" max="6" width="15" customWidth="1"/>
    <col min="7" max="7" width="13.6640625" customWidth="1"/>
    <col min="8" max="8" width="12" customWidth="1"/>
    <col min="9" max="9" width="12.83203125" customWidth="1"/>
    <col min="10" max="10" width="13.5" customWidth="1"/>
    <col min="11" max="11" width="16.83203125" customWidth="1"/>
    <col min="12" max="12" width="15.1640625" customWidth="1"/>
    <col min="13" max="13" width="22" customWidth="1"/>
    <col min="14" max="14" width="12.33203125" customWidth="1"/>
    <col min="15" max="15" width="13" customWidth="1"/>
    <col min="16" max="16" width="12.33203125" customWidth="1"/>
    <col min="17" max="17" width="15.33203125" customWidth="1"/>
    <col min="18" max="18" width="13.1640625" customWidth="1"/>
    <col min="19" max="19" width="11.5" customWidth="1"/>
    <col min="20" max="20" width="47.5" customWidth="1"/>
    <col min="21" max="21" width="16.1640625" customWidth="1"/>
    <col min="22" max="22" width="15" customWidth="1"/>
    <col min="23" max="23" width="14.6640625" customWidth="1"/>
    <col min="25" max="25" width="12.83203125" customWidth="1"/>
    <col min="26" max="26" width="12.33203125" customWidth="1"/>
    <col min="27" max="27" width="11.6640625" customWidth="1"/>
  </cols>
  <sheetData>
    <row r="1" spans="1:25" ht="33">
      <c r="A1" s="482" t="s">
        <v>552</v>
      </c>
      <c r="B1" s="229"/>
      <c r="D1" s="479" t="s">
        <v>1760</v>
      </c>
      <c r="G1" s="1"/>
      <c r="H1" s="1"/>
    </row>
    <row r="2" spans="1:25" ht="107.25" customHeight="1"/>
    <row r="3" spans="1:25">
      <c r="I3" t="s">
        <v>903</v>
      </c>
    </row>
    <row r="4" spans="1:25">
      <c r="H4" s="116"/>
      <c r="I4" t="s">
        <v>969</v>
      </c>
    </row>
    <row r="5" spans="1:25">
      <c r="H5" s="19"/>
      <c r="I5" t="s">
        <v>191</v>
      </c>
    </row>
    <row r="6" spans="1:25" ht="12.75">
      <c r="C6" s="15"/>
      <c r="E6" s="117"/>
      <c r="F6" s="31"/>
      <c r="G6" s="5"/>
      <c r="H6" s="117"/>
      <c r="I6" s="117"/>
      <c r="J6" s="31"/>
      <c r="K6" s="9"/>
      <c r="L6" s="2"/>
      <c r="M6" s="2"/>
      <c r="N6" s="2"/>
      <c r="O6" s="2"/>
      <c r="P6" s="2"/>
      <c r="Q6" s="9"/>
      <c r="R6" s="9"/>
      <c r="S6" s="9"/>
      <c r="T6" s="9"/>
      <c r="U6" s="9"/>
    </row>
    <row r="7" spans="1:25" ht="12.75">
      <c r="G7" s="15"/>
      <c r="I7" s="117"/>
      <c r="J7" s="31"/>
      <c r="K7" s="5"/>
      <c r="L7" s="117"/>
      <c r="M7" s="117"/>
      <c r="N7" s="31"/>
      <c r="O7" s="9"/>
      <c r="P7" s="2"/>
      <c r="Q7" s="2"/>
      <c r="R7" s="2"/>
      <c r="S7" s="2"/>
      <c r="T7" s="2"/>
      <c r="U7" s="9"/>
      <c r="V7" s="9"/>
      <c r="W7" s="9"/>
      <c r="X7" s="9"/>
      <c r="Y7" s="9"/>
    </row>
    <row r="8" spans="1:25" ht="13.5" thickBot="1">
      <c r="I8" s="118"/>
      <c r="J8" s="31"/>
      <c r="K8" s="5"/>
      <c r="L8" s="117"/>
      <c r="M8" s="119"/>
      <c r="N8" s="31"/>
      <c r="O8" s="9"/>
    </row>
    <row r="9" spans="1:25" ht="80.25" thickTop="1">
      <c r="B9" s="173" t="s">
        <v>970</v>
      </c>
      <c r="C9" s="617" t="s">
        <v>971</v>
      </c>
      <c r="D9" s="618" t="s">
        <v>972</v>
      </c>
      <c r="E9" s="619" t="s">
        <v>973</v>
      </c>
      <c r="F9" s="620" t="s">
        <v>974</v>
      </c>
      <c r="G9" s="620" t="s">
        <v>975</v>
      </c>
      <c r="H9" s="621" t="s">
        <v>976</v>
      </c>
      <c r="I9" s="622" t="s">
        <v>977</v>
      </c>
      <c r="J9" s="623" t="s">
        <v>978</v>
      </c>
      <c r="K9" s="623" t="s">
        <v>979</v>
      </c>
      <c r="L9" s="623" t="s">
        <v>980</v>
      </c>
      <c r="M9" s="623" t="s">
        <v>384</v>
      </c>
      <c r="N9" s="623" t="s">
        <v>981</v>
      </c>
      <c r="O9" s="623" t="s">
        <v>385</v>
      </c>
      <c r="P9" s="623" t="s">
        <v>984</v>
      </c>
      <c r="Q9" s="624" t="s">
        <v>985</v>
      </c>
      <c r="R9" s="624" t="s">
        <v>986</v>
      </c>
      <c r="S9" s="624" t="s">
        <v>987</v>
      </c>
      <c r="T9" s="624" t="s">
        <v>988</v>
      </c>
      <c r="U9" s="624" t="s">
        <v>989</v>
      </c>
      <c r="V9" s="624" t="s">
        <v>990</v>
      </c>
      <c r="W9" s="625" t="s">
        <v>991</v>
      </c>
    </row>
    <row r="10" spans="1:25" ht="12.75">
      <c r="B10" s="35"/>
      <c r="C10" s="611"/>
      <c r="D10" s="611"/>
      <c r="E10" s="626"/>
      <c r="F10" s="497"/>
      <c r="G10" s="497"/>
      <c r="H10" s="627"/>
      <c r="I10" s="628"/>
      <c r="J10" s="38"/>
      <c r="K10" s="38"/>
      <c r="L10" s="38"/>
      <c r="M10" s="38"/>
      <c r="N10" s="38"/>
      <c r="O10" s="38"/>
      <c r="P10" s="629"/>
      <c r="Q10" s="38"/>
      <c r="R10" s="38"/>
      <c r="S10" s="38"/>
      <c r="T10" s="38"/>
      <c r="U10" s="38"/>
      <c r="V10" s="38"/>
      <c r="W10" s="175"/>
    </row>
    <row r="11" spans="1:25" ht="12.75">
      <c r="B11" s="37" t="s">
        <v>992</v>
      </c>
      <c r="C11" s="630" t="s">
        <v>993</v>
      </c>
      <c r="D11" s="631">
        <v>4.26</v>
      </c>
      <c r="E11" s="632">
        <f t="shared" ref="E11:E17" si="0">D11*1000000*0.9071847</f>
        <v>3864606.8219999997</v>
      </c>
      <c r="F11" s="633">
        <v>125000</v>
      </c>
      <c r="G11" s="634">
        <f>F11*0.9071847</f>
        <v>113398.08749999999</v>
      </c>
      <c r="H11" s="635">
        <v>1992</v>
      </c>
      <c r="I11" s="636">
        <v>2015</v>
      </c>
      <c r="J11" s="637">
        <v>11870</v>
      </c>
      <c r="K11" s="637">
        <v>4327</v>
      </c>
      <c r="L11" s="638">
        <v>0.61899999999999999</v>
      </c>
      <c r="M11" s="639">
        <f>K11*L11</f>
        <v>2678.413</v>
      </c>
      <c r="N11" s="638">
        <v>0.98</v>
      </c>
      <c r="O11" s="640">
        <f>M11*N11</f>
        <v>2624.84474</v>
      </c>
      <c r="P11" s="640">
        <f>O11*2.75</f>
        <v>7218.3230350000003</v>
      </c>
      <c r="Q11" s="640">
        <f>M11*(1-N11)</f>
        <v>53.568260000000045</v>
      </c>
      <c r="R11" s="640">
        <f>K11*(1-L11)</f>
        <v>1648.587</v>
      </c>
      <c r="S11" s="638">
        <v>0.1</v>
      </c>
      <c r="T11" s="640">
        <f>R11*(1-S11)</f>
        <v>1483.7283</v>
      </c>
      <c r="U11" s="640">
        <f>T11+Q11</f>
        <v>1537.29656</v>
      </c>
      <c r="V11" s="632">
        <f>U11*21</f>
        <v>32283.227760000002</v>
      </c>
      <c r="W11" s="641">
        <f>J11+P11+V11</f>
        <v>51371.550795000003</v>
      </c>
    </row>
    <row r="12" spans="1:25" ht="12.75">
      <c r="B12" s="35"/>
      <c r="C12" s="611" t="s">
        <v>994</v>
      </c>
      <c r="D12" s="642">
        <v>1.5</v>
      </c>
      <c r="E12" s="643">
        <f t="shared" si="0"/>
        <v>1360777.05</v>
      </c>
      <c r="F12" s="644">
        <v>75000</v>
      </c>
      <c r="G12" s="645">
        <f t="shared" ref="G12:G65" si="1">F12*0.9071847</f>
        <v>68038.852499999994</v>
      </c>
      <c r="H12" s="646">
        <v>1971</v>
      </c>
      <c r="I12" s="647">
        <v>1992</v>
      </c>
      <c r="J12" s="648">
        <v>2782</v>
      </c>
      <c r="K12" s="648">
        <v>1014</v>
      </c>
      <c r="L12" s="649"/>
      <c r="M12" s="183"/>
      <c r="N12" s="649"/>
      <c r="O12" s="629"/>
      <c r="P12" s="629"/>
      <c r="Q12" s="629"/>
      <c r="R12" s="629">
        <f>K12</f>
        <v>1014</v>
      </c>
      <c r="S12" s="649">
        <v>0.1</v>
      </c>
      <c r="T12" s="629">
        <f>R12*(1-S12)</f>
        <v>912.6</v>
      </c>
      <c r="U12" s="629">
        <f>T12</f>
        <v>912.6</v>
      </c>
      <c r="V12" s="38">
        <f>U12*21</f>
        <v>19164.600000000002</v>
      </c>
      <c r="W12" s="650">
        <f>J12+V12</f>
        <v>21946.600000000002</v>
      </c>
    </row>
    <row r="13" spans="1:25" ht="12.75">
      <c r="B13" s="35"/>
      <c r="C13" s="611"/>
      <c r="D13" s="642"/>
      <c r="E13" s="651"/>
      <c r="F13" s="644"/>
      <c r="G13" s="652"/>
      <c r="H13" s="653"/>
      <c r="I13" s="647"/>
      <c r="J13" s="38"/>
      <c r="K13" s="38"/>
      <c r="L13" s="649"/>
      <c r="M13" s="183"/>
      <c r="N13" s="649"/>
      <c r="O13" s="629"/>
      <c r="P13" s="629"/>
      <c r="Q13" s="629"/>
      <c r="R13" s="629"/>
      <c r="S13" s="38"/>
      <c r="T13" s="629"/>
      <c r="U13" s="38"/>
      <c r="V13" s="38"/>
      <c r="W13" s="650"/>
    </row>
    <row r="14" spans="1:25" ht="12.75">
      <c r="B14" s="37" t="s">
        <v>995</v>
      </c>
      <c r="C14" s="611" t="s">
        <v>996</v>
      </c>
      <c r="D14" s="642">
        <v>0.85</v>
      </c>
      <c r="E14" s="643">
        <f t="shared" si="0"/>
        <v>771106.995</v>
      </c>
      <c r="F14" s="644">
        <v>23000</v>
      </c>
      <c r="G14" s="645">
        <f t="shared" si="1"/>
        <v>20865.248100000001</v>
      </c>
      <c r="H14" s="646">
        <v>1960</v>
      </c>
      <c r="I14" s="647">
        <v>1993</v>
      </c>
      <c r="J14" s="648">
        <v>1485</v>
      </c>
      <c r="K14" s="648">
        <v>541.20000000000005</v>
      </c>
      <c r="L14" s="649"/>
      <c r="M14" s="183"/>
      <c r="N14" s="649"/>
      <c r="O14" s="629"/>
      <c r="P14" s="629"/>
      <c r="Q14" s="629"/>
      <c r="R14" s="629">
        <f>K14</f>
        <v>541.20000000000005</v>
      </c>
      <c r="S14" s="649">
        <v>0.1</v>
      </c>
      <c r="T14" s="629">
        <f>R14*(1-S14)</f>
        <v>487.08000000000004</v>
      </c>
      <c r="U14" s="629">
        <f>T14</f>
        <v>487.08000000000004</v>
      </c>
      <c r="V14" s="654">
        <f>U14*21</f>
        <v>10228.68</v>
      </c>
      <c r="W14" s="650">
        <f>J14+V14</f>
        <v>11713.68</v>
      </c>
    </row>
    <row r="15" spans="1:25" ht="12.75">
      <c r="B15" s="35"/>
      <c r="C15" s="611" t="s">
        <v>997</v>
      </c>
      <c r="D15" s="642">
        <v>0.67</v>
      </c>
      <c r="E15" s="643">
        <f t="shared" si="0"/>
        <v>607813.74899999995</v>
      </c>
      <c r="F15" s="644">
        <v>11000</v>
      </c>
      <c r="G15" s="645">
        <f t="shared" si="1"/>
        <v>9979.0316999999995</v>
      </c>
      <c r="H15" s="646">
        <v>1976</v>
      </c>
      <c r="I15" s="647">
        <v>1996</v>
      </c>
      <c r="J15" s="648">
        <v>839.30220119354726</v>
      </c>
      <c r="K15" s="648">
        <v>305.89428100760034</v>
      </c>
      <c r="L15" s="649"/>
      <c r="M15" s="183"/>
      <c r="N15" s="649"/>
      <c r="O15" s="629"/>
      <c r="P15" s="629"/>
      <c r="Q15" s="629"/>
      <c r="R15" s="629">
        <f>K15</f>
        <v>305.89428100760034</v>
      </c>
      <c r="S15" s="649">
        <v>0.1</v>
      </c>
      <c r="T15" s="629">
        <f>R15*(1-S15)</f>
        <v>275.30485290684032</v>
      </c>
      <c r="U15" s="629">
        <f>T15</f>
        <v>275.30485290684032</v>
      </c>
      <c r="V15" s="654">
        <f>U15*21</f>
        <v>5781.4019110436466</v>
      </c>
      <c r="W15" s="650">
        <f>J15+V15</f>
        <v>6620.7041122371938</v>
      </c>
    </row>
    <row r="16" spans="1:25" ht="12.75">
      <c r="B16" s="35"/>
      <c r="C16" s="630" t="s">
        <v>998</v>
      </c>
      <c r="D16" s="631">
        <v>14.3</v>
      </c>
      <c r="E16" s="632">
        <f t="shared" si="0"/>
        <v>12972741.209999999</v>
      </c>
      <c r="F16" s="634">
        <v>358288</v>
      </c>
      <c r="G16" s="634">
        <f t="shared" si="1"/>
        <v>325033.39179359999</v>
      </c>
      <c r="H16" s="635">
        <v>1975</v>
      </c>
      <c r="I16" s="636">
        <v>2060</v>
      </c>
      <c r="J16" s="637">
        <v>23380</v>
      </c>
      <c r="K16" s="637">
        <v>8520</v>
      </c>
      <c r="L16" s="638">
        <v>0.77300000000000002</v>
      </c>
      <c r="M16" s="639">
        <f>K16*L16</f>
        <v>6585.96</v>
      </c>
      <c r="N16" s="655">
        <v>0.99909999999999999</v>
      </c>
      <c r="O16" s="640">
        <f>M16*N16</f>
        <v>6580.0326359999999</v>
      </c>
      <c r="P16" s="640">
        <f>O16*2.75</f>
        <v>18095.089748999999</v>
      </c>
      <c r="Q16" s="640">
        <f>M16*(1-N16)</f>
        <v>5.927364000000078</v>
      </c>
      <c r="R16" s="656">
        <f>K16*(1-L16)</f>
        <v>1934.0399999999997</v>
      </c>
      <c r="S16" s="657">
        <v>0.1</v>
      </c>
      <c r="T16" s="656">
        <f>R16*(1-S16)</f>
        <v>1740.6359999999997</v>
      </c>
      <c r="U16" s="658">
        <f>T16+Q16</f>
        <v>1746.5633639999999</v>
      </c>
      <c r="V16" s="658">
        <f>U16*21</f>
        <v>36677.830643999994</v>
      </c>
      <c r="W16" s="659">
        <f>J16+V16</f>
        <v>60057.830643999994</v>
      </c>
    </row>
    <row r="17" spans="2:23" ht="12.75">
      <c r="B17" s="35"/>
      <c r="C17" s="611" t="s">
        <v>999</v>
      </c>
      <c r="D17" s="642">
        <v>0.7</v>
      </c>
      <c r="E17" s="643">
        <f t="shared" si="0"/>
        <v>635029.28999999992</v>
      </c>
      <c r="F17" s="644">
        <v>61000</v>
      </c>
      <c r="G17" s="645">
        <f t="shared" si="1"/>
        <v>55338.2667</v>
      </c>
      <c r="H17" s="646">
        <v>1982</v>
      </c>
      <c r="I17" s="647">
        <v>1993</v>
      </c>
      <c r="J17" s="648">
        <v>1754</v>
      </c>
      <c r="K17" s="648">
        <v>639.1</v>
      </c>
      <c r="L17" s="649"/>
      <c r="M17" s="183"/>
      <c r="N17" s="649"/>
      <c r="O17" s="629"/>
      <c r="P17" s="629"/>
      <c r="Q17" s="629"/>
      <c r="R17" s="629">
        <f>K17</f>
        <v>639.1</v>
      </c>
      <c r="S17" s="649">
        <v>0.1</v>
      </c>
      <c r="T17" s="629">
        <f>R17*(1-S17)</f>
        <v>575.19000000000005</v>
      </c>
      <c r="U17" s="629">
        <f>T17</f>
        <v>575.19000000000005</v>
      </c>
      <c r="V17" s="654">
        <f>U17*21</f>
        <v>12078.990000000002</v>
      </c>
      <c r="W17" s="650">
        <f>J17+V17</f>
        <v>13832.990000000002</v>
      </c>
    </row>
    <row r="18" spans="2:23" ht="12.75">
      <c r="B18" s="35"/>
      <c r="C18" s="611"/>
      <c r="D18" s="611"/>
      <c r="E18" s="651"/>
      <c r="F18" s="497"/>
      <c r="G18" s="652"/>
      <c r="H18" s="653"/>
      <c r="I18" s="647"/>
      <c r="J18" s="38"/>
      <c r="K18" s="38"/>
      <c r="L18" s="649"/>
      <c r="M18" s="183"/>
      <c r="N18" s="649"/>
      <c r="O18" s="629"/>
      <c r="P18" s="629"/>
      <c r="Q18" s="629"/>
      <c r="R18" s="629"/>
      <c r="S18" s="38"/>
      <c r="T18" s="629"/>
      <c r="U18" s="38"/>
      <c r="V18" s="38"/>
      <c r="W18" s="650"/>
    </row>
    <row r="19" spans="2:23" ht="12.75">
      <c r="B19" s="37" t="s">
        <v>1000</v>
      </c>
      <c r="C19" s="2214" t="s">
        <v>1001</v>
      </c>
      <c r="D19" s="2215">
        <v>18.320622</v>
      </c>
      <c r="E19" s="2216">
        <f>D19*1000000*0.9071847</f>
        <v>16620187.9728834</v>
      </c>
      <c r="F19" s="2217">
        <v>523000</v>
      </c>
      <c r="G19" s="2217">
        <f t="shared" si="1"/>
        <v>474457.5981</v>
      </c>
      <c r="H19" s="2218">
        <v>1985</v>
      </c>
      <c r="I19" s="2219">
        <v>2019</v>
      </c>
      <c r="J19" s="2220">
        <v>22080</v>
      </c>
      <c r="K19" s="2220">
        <v>8046</v>
      </c>
      <c r="L19" s="2221">
        <v>0.378</v>
      </c>
      <c r="M19" s="639">
        <f>K19*L19</f>
        <v>3041.3879999999999</v>
      </c>
      <c r="N19" s="655">
        <v>0.99909999999999999</v>
      </c>
      <c r="O19" s="640">
        <f>M19*N19</f>
        <v>3038.6507508</v>
      </c>
      <c r="P19" s="640">
        <f>O19*2.75</f>
        <v>8356.2895647000005</v>
      </c>
      <c r="Q19" s="640">
        <f>M19*(1-N19)</f>
        <v>2.7372492000000359</v>
      </c>
      <c r="R19" s="656">
        <f>K19*(1-L19)</f>
        <v>5004.6120000000001</v>
      </c>
      <c r="S19" s="657">
        <v>0.1</v>
      </c>
      <c r="T19" s="656">
        <f>R19*(1-S19)</f>
        <v>4504.1508000000003</v>
      </c>
      <c r="U19" s="658">
        <f>T19+Q19</f>
        <v>4506.8880492000008</v>
      </c>
      <c r="V19" s="658">
        <f>U19*21</f>
        <v>94644.64903320001</v>
      </c>
      <c r="W19" s="659">
        <f>J19+V19</f>
        <v>116724.64903320001</v>
      </c>
    </row>
    <row r="20" spans="2:23" ht="12.75">
      <c r="B20" s="35"/>
      <c r="C20" s="611" t="s">
        <v>1002</v>
      </c>
      <c r="D20" s="642"/>
      <c r="E20" s="662">
        <f>D20*1000000*0.9071847</f>
        <v>0</v>
      </c>
      <c r="F20" s="644"/>
      <c r="G20" s="645">
        <f t="shared" si="1"/>
        <v>0</v>
      </c>
      <c r="H20" s="646"/>
      <c r="I20" s="647"/>
      <c r="J20" s="38"/>
      <c r="K20" s="38"/>
      <c r="L20" s="649"/>
      <c r="M20" s="183"/>
      <c r="N20" s="649"/>
      <c r="O20" s="629"/>
      <c r="P20" s="629"/>
      <c r="Q20" s="629"/>
      <c r="R20" s="629"/>
      <c r="S20" s="38"/>
      <c r="T20" s="629"/>
      <c r="U20" s="38"/>
      <c r="V20" s="38"/>
      <c r="W20" s="650"/>
    </row>
    <row r="21" spans="2:23" ht="12.75">
      <c r="B21" s="35"/>
      <c r="C21" s="630" t="s">
        <v>1003</v>
      </c>
      <c r="D21" s="631">
        <v>22.812999999999999</v>
      </c>
      <c r="E21" s="632">
        <f>D21*1000000*0.9071847</f>
        <v>20695604.561099999</v>
      </c>
      <c r="F21" s="634">
        <v>250000</v>
      </c>
      <c r="G21" s="634">
        <f t="shared" si="1"/>
        <v>226796.17499999999</v>
      </c>
      <c r="H21" s="635">
        <v>1982</v>
      </c>
      <c r="I21" s="636">
        <v>2033</v>
      </c>
      <c r="J21" s="637">
        <v>15570</v>
      </c>
      <c r="K21" s="637">
        <v>8166</v>
      </c>
      <c r="L21" s="638">
        <v>0.63800000000000001</v>
      </c>
      <c r="M21" s="639">
        <f>K21*L21</f>
        <v>5209.9080000000004</v>
      </c>
      <c r="N21" s="638">
        <v>0.98</v>
      </c>
      <c r="O21" s="640">
        <f>M21*N21</f>
        <v>5105.7098400000004</v>
      </c>
      <c r="P21" s="640">
        <f>O21*2.75</f>
        <v>14040.702060000001</v>
      </c>
      <c r="Q21" s="640">
        <f>M21*(1-N21)</f>
        <v>104.1981600000001</v>
      </c>
      <c r="R21" s="640">
        <f>K21*(1-L21)</f>
        <v>2956.0920000000001</v>
      </c>
      <c r="S21" s="638">
        <v>0.1</v>
      </c>
      <c r="T21" s="640">
        <f>R21*(1-S21)</f>
        <v>2660.4828000000002</v>
      </c>
      <c r="U21" s="663">
        <f>T21+Q21</f>
        <v>2764.6809600000001</v>
      </c>
      <c r="V21" s="632">
        <f>U21*21</f>
        <v>58058.300160000006</v>
      </c>
      <c r="W21" s="641">
        <f>J21+P21+V21</f>
        <v>87669.002220000009</v>
      </c>
    </row>
    <row r="22" spans="2:23" ht="12.75">
      <c r="B22" s="35"/>
      <c r="C22" s="611"/>
      <c r="D22" s="642"/>
      <c r="E22" s="651"/>
      <c r="F22" s="644"/>
      <c r="G22" s="652"/>
      <c r="H22" s="653"/>
      <c r="I22" s="647"/>
      <c r="J22" s="38"/>
      <c r="K22" s="38"/>
      <c r="L22" s="649"/>
      <c r="M22" s="183"/>
      <c r="N22" s="649"/>
      <c r="O22" s="629"/>
      <c r="P22" s="629"/>
      <c r="Q22" s="629"/>
      <c r="R22" s="629"/>
      <c r="S22" s="38"/>
      <c r="T22" s="629"/>
      <c r="U22" s="38"/>
      <c r="V22" s="38"/>
      <c r="W22" s="650"/>
    </row>
    <row r="23" spans="2:23" ht="12.75">
      <c r="B23" s="37" t="s">
        <v>1004</v>
      </c>
      <c r="C23" s="611" t="s">
        <v>1005</v>
      </c>
      <c r="D23" s="642">
        <v>2.7992900000000001</v>
      </c>
      <c r="E23" s="643">
        <f>D23*1000000*0.9071847</f>
        <v>2539473.058863</v>
      </c>
      <c r="F23" s="644">
        <v>20000</v>
      </c>
      <c r="G23" s="645">
        <f t="shared" si="1"/>
        <v>18143.694</v>
      </c>
      <c r="H23" s="646">
        <v>1992</v>
      </c>
      <c r="I23" s="647">
        <v>2037</v>
      </c>
      <c r="J23" s="648">
        <v>1714</v>
      </c>
      <c r="K23" s="648">
        <v>624.6</v>
      </c>
      <c r="L23" s="649"/>
      <c r="M23" s="183"/>
      <c r="N23" s="649"/>
      <c r="O23" s="629"/>
      <c r="P23" s="629"/>
      <c r="Q23" s="629"/>
      <c r="R23" s="629">
        <f>K23</f>
        <v>624.6</v>
      </c>
      <c r="S23" s="649">
        <v>0.1</v>
      </c>
      <c r="T23" s="629">
        <f>R23*(1-S23)</f>
        <v>562.14</v>
      </c>
      <c r="U23" s="629">
        <f>T23</f>
        <v>562.14</v>
      </c>
      <c r="V23" s="654">
        <f>U23*21</f>
        <v>11804.94</v>
      </c>
      <c r="W23" s="650">
        <f>J23+V23</f>
        <v>13518.94</v>
      </c>
    </row>
    <row r="24" spans="2:23" ht="12.75">
      <c r="B24" s="35"/>
      <c r="C24" s="611" t="s">
        <v>1006</v>
      </c>
      <c r="D24" s="642">
        <v>0.6</v>
      </c>
      <c r="E24" s="643">
        <f>D24*1000000*0.9071847</f>
        <v>544310.81999999995</v>
      </c>
      <c r="F24" s="644">
        <v>28000</v>
      </c>
      <c r="G24" s="645">
        <f t="shared" si="1"/>
        <v>25401.171599999998</v>
      </c>
      <c r="H24" s="646">
        <v>1975</v>
      </c>
      <c r="I24" s="647">
        <v>1993</v>
      </c>
      <c r="J24" s="648">
        <v>1271</v>
      </c>
      <c r="K24" s="648">
        <v>463.3</v>
      </c>
      <c r="L24" s="649"/>
      <c r="M24" s="183"/>
      <c r="N24" s="649"/>
      <c r="O24" s="629"/>
      <c r="P24" s="629"/>
      <c r="Q24" s="629"/>
      <c r="R24" s="629">
        <f>K24</f>
        <v>463.3</v>
      </c>
      <c r="S24" s="649">
        <v>0.1</v>
      </c>
      <c r="T24" s="629">
        <f>R24*(1-S24)</f>
        <v>416.97</v>
      </c>
      <c r="U24" s="629">
        <f>T24</f>
        <v>416.97</v>
      </c>
      <c r="V24" s="654">
        <f>U24*21</f>
        <v>8756.3700000000008</v>
      </c>
      <c r="W24" s="650">
        <f>J24+V24</f>
        <v>10027.370000000001</v>
      </c>
    </row>
    <row r="25" spans="2:23" ht="12.75">
      <c r="B25" s="35"/>
      <c r="C25" s="611"/>
      <c r="D25" s="642"/>
      <c r="E25" s="651"/>
      <c r="F25" s="644"/>
      <c r="G25" s="652"/>
      <c r="H25" s="653"/>
      <c r="I25" s="647"/>
      <c r="J25" s="38"/>
      <c r="K25" s="38"/>
      <c r="L25" s="649"/>
      <c r="M25" s="183"/>
      <c r="N25" s="649"/>
      <c r="O25" s="629"/>
      <c r="P25" s="629"/>
      <c r="Q25" s="629"/>
      <c r="R25" s="629"/>
      <c r="S25" s="38"/>
      <c r="T25" s="629"/>
      <c r="U25" s="38"/>
      <c r="V25" s="38"/>
      <c r="W25" s="650"/>
    </row>
    <row r="26" spans="2:23" ht="12.75">
      <c r="B26" s="37" t="s">
        <v>1007</v>
      </c>
      <c r="C26" s="611" t="s">
        <v>1008</v>
      </c>
      <c r="D26" s="611">
        <v>0.5</v>
      </c>
      <c r="E26" s="643">
        <f>D26*1000000*0.9071847</f>
        <v>453592.35</v>
      </c>
      <c r="F26" s="497">
        <v>35000</v>
      </c>
      <c r="G26" s="645">
        <f t="shared" si="1"/>
        <v>31751.464499999998</v>
      </c>
      <c r="H26" s="646">
        <v>1981</v>
      </c>
      <c r="I26" s="647">
        <v>1994</v>
      </c>
      <c r="J26" s="648">
        <v>1138</v>
      </c>
      <c r="K26" s="648">
        <v>414.7</v>
      </c>
      <c r="L26" s="649"/>
      <c r="M26" s="183"/>
      <c r="N26" s="649"/>
      <c r="O26" s="629"/>
      <c r="P26" s="629"/>
      <c r="Q26" s="629"/>
      <c r="R26" s="629">
        <f>K26</f>
        <v>414.7</v>
      </c>
      <c r="S26" s="649">
        <v>0.1</v>
      </c>
      <c r="T26" s="629">
        <f>R26*(1-S26)</f>
        <v>373.23</v>
      </c>
      <c r="U26" s="629">
        <f>T26</f>
        <v>373.23</v>
      </c>
      <c r="V26" s="38">
        <f>U26*21</f>
        <v>7837.83</v>
      </c>
      <c r="W26" s="650">
        <f>J26+V26</f>
        <v>8975.83</v>
      </c>
    </row>
    <row r="27" spans="2:23" ht="12.75">
      <c r="B27" s="35"/>
      <c r="C27" s="630" t="s">
        <v>1009</v>
      </c>
      <c r="D27" s="631">
        <v>3.5041869999999999</v>
      </c>
      <c r="E27" s="632">
        <f>D27*1000000*0.9071847</f>
        <v>3178944.8323388998</v>
      </c>
      <c r="F27" s="634">
        <v>80000</v>
      </c>
      <c r="G27" s="634">
        <f t="shared" si="1"/>
        <v>72574.775999999998</v>
      </c>
      <c r="H27" s="635">
        <v>1988</v>
      </c>
      <c r="I27" s="636">
        <v>2053</v>
      </c>
      <c r="J27" s="637">
        <v>3574</v>
      </c>
      <c r="K27" s="637">
        <v>1303</v>
      </c>
      <c r="L27" s="638">
        <v>4.7500000000000001E-2</v>
      </c>
      <c r="M27" s="639">
        <f>K27*L27</f>
        <v>61.892499999999998</v>
      </c>
      <c r="N27" s="638">
        <v>0.97699999999999998</v>
      </c>
      <c r="O27" s="640">
        <f>M27*N27</f>
        <v>60.4689725</v>
      </c>
      <c r="P27" s="640">
        <f>O27*2.75</f>
        <v>166.289674375</v>
      </c>
      <c r="Q27" s="640">
        <f>M27*(1-N27)</f>
        <v>1.4235275000000012</v>
      </c>
      <c r="R27" s="640">
        <f>K27</f>
        <v>1303</v>
      </c>
      <c r="S27" s="638">
        <v>0.1</v>
      </c>
      <c r="T27" s="640">
        <f>R27*(1-S27)</f>
        <v>1172.7</v>
      </c>
      <c r="U27" s="640">
        <f>T27</f>
        <v>1172.7</v>
      </c>
      <c r="V27" s="630">
        <f>U27*21</f>
        <v>24626.7</v>
      </c>
      <c r="W27" s="641">
        <f>J27+V27</f>
        <v>28200.7</v>
      </c>
    </row>
    <row r="28" spans="2:23" ht="12.75">
      <c r="B28" s="35"/>
      <c r="C28" s="611"/>
      <c r="D28" s="642"/>
      <c r="E28" s="651"/>
      <c r="F28" s="644"/>
      <c r="G28" s="652"/>
      <c r="H28" s="653"/>
      <c r="I28" s="647"/>
      <c r="J28" s="38"/>
      <c r="K28" s="38"/>
      <c r="L28" s="649"/>
      <c r="M28" s="183"/>
      <c r="N28" s="649"/>
      <c r="O28" s="629"/>
      <c r="P28" s="629"/>
      <c r="Q28" s="629"/>
      <c r="R28" s="629"/>
      <c r="S28" s="38"/>
      <c r="T28" s="629"/>
      <c r="U28" s="38"/>
      <c r="V28" s="38"/>
      <c r="W28" s="650"/>
    </row>
    <row r="29" spans="2:23" ht="12.75">
      <c r="B29" s="37" t="s">
        <v>1010</v>
      </c>
      <c r="C29" s="630" t="s">
        <v>1011</v>
      </c>
      <c r="D29" s="631">
        <v>4.5049999999999999</v>
      </c>
      <c r="E29" s="632">
        <f>D29*1000000*0.9071847</f>
        <v>4086867.0734999999</v>
      </c>
      <c r="F29" s="634"/>
      <c r="G29" s="634">
        <v>60623.332999999999</v>
      </c>
      <c r="H29" s="635">
        <v>1978</v>
      </c>
      <c r="I29" s="636">
        <v>2046</v>
      </c>
      <c r="J29" s="637">
        <v>37.65</v>
      </c>
      <c r="K29" s="637">
        <v>13.72</v>
      </c>
      <c r="L29" s="638">
        <v>0.64319999999999999</v>
      </c>
      <c r="M29" s="639">
        <f>K29*L29</f>
        <v>8.8247040000000005</v>
      </c>
      <c r="N29" s="638">
        <v>0.98</v>
      </c>
      <c r="O29" s="640">
        <f>M29*N29</f>
        <v>8.6482099200000011</v>
      </c>
      <c r="P29" s="640">
        <f>O29*2.75</f>
        <v>23.782577280000002</v>
      </c>
      <c r="Q29" s="640">
        <f>M29*(1-N29)</f>
        <v>0.17649408000000016</v>
      </c>
      <c r="R29" s="640">
        <f>K29*(1-L29)</f>
        <v>4.8952960000000001</v>
      </c>
      <c r="S29" s="638">
        <v>0.1</v>
      </c>
      <c r="T29" s="640">
        <f>R29*(1-S29)</f>
        <v>4.4057664000000001</v>
      </c>
      <c r="U29" s="640">
        <f>T29+Q29</f>
        <v>4.5822604800000004</v>
      </c>
      <c r="V29" s="632">
        <f>U29*21</f>
        <v>96.227470080000003</v>
      </c>
      <c r="W29" s="641">
        <f>J29+P29+V29</f>
        <v>157.66004736000002</v>
      </c>
    </row>
    <row r="30" spans="2:23" ht="12.75">
      <c r="B30" s="35"/>
      <c r="C30" s="611"/>
      <c r="D30" s="642"/>
      <c r="E30" s="651"/>
      <c r="F30" s="644"/>
      <c r="G30" s="652"/>
      <c r="H30" s="653"/>
      <c r="I30" s="647"/>
      <c r="J30" s="38"/>
      <c r="K30" s="38"/>
      <c r="L30" s="649"/>
      <c r="M30" s="183"/>
      <c r="N30" s="649"/>
      <c r="O30" s="629"/>
      <c r="P30" s="629"/>
      <c r="Q30" s="629"/>
      <c r="R30" s="629"/>
      <c r="S30" s="38"/>
      <c r="T30" s="629"/>
      <c r="U30" s="38"/>
      <c r="V30" s="38"/>
      <c r="W30" s="650"/>
    </row>
    <row r="31" spans="2:23" ht="12.75">
      <c r="B31" s="37" t="s">
        <v>1012</v>
      </c>
      <c r="C31" s="611" t="s">
        <v>1013</v>
      </c>
      <c r="D31" s="642">
        <v>4.3746999999999998</v>
      </c>
      <c r="E31" s="643">
        <f t="shared" ref="E31:E49" si="2">D31*1000000*0.9071847</f>
        <v>3968660.9070899999</v>
      </c>
      <c r="F31" s="644">
        <v>82000</v>
      </c>
      <c r="G31" s="645">
        <f t="shared" si="1"/>
        <v>74389.145399999994</v>
      </c>
      <c r="H31" s="646">
        <v>1994</v>
      </c>
      <c r="I31" s="647">
        <v>2040</v>
      </c>
      <c r="J31" s="648">
        <v>14840</v>
      </c>
      <c r="K31" s="648">
        <v>5410</v>
      </c>
      <c r="L31" s="649"/>
      <c r="M31" s="183"/>
      <c r="N31" s="649"/>
      <c r="O31" s="629"/>
      <c r="P31" s="629"/>
      <c r="Q31" s="629"/>
      <c r="R31" s="660">
        <f>K31</f>
        <v>5410</v>
      </c>
      <c r="S31" s="661">
        <v>0.1</v>
      </c>
      <c r="T31" s="660">
        <f>R31*(1-S31)</f>
        <v>4869</v>
      </c>
      <c r="U31" s="612">
        <f>T31</f>
        <v>4869</v>
      </c>
      <c r="V31" s="612">
        <f>U31*21</f>
        <v>102249</v>
      </c>
      <c r="W31" s="650">
        <f>J31+V31</f>
        <v>117089</v>
      </c>
    </row>
    <row r="32" spans="2:23" ht="12.75">
      <c r="B32" s="35"/>
      <c r="C32" s="611" t="s">
        <v>1014</v>
      </c>
      <c r="D32" s="642">
        <v>1.5</v>
      </c>
      <c r="E32" s="643">
        <f t="shared" si="2"/>
        <v>1360777.05</v>
      </c>
      <c r="F32" s="644">
        <v>75000</v>
      </c>
      <c r="G32" s="645">
        <f t="shared" si="1"/>
        <v>68038.852499999994</v>
      </c>
      <c r="H32" s="646">
        <v>1974</v>
      </c>
      <c r="I32" s="647">
        <v>1994</v>
      </c>
      <c r="J32" s="648">
        <v>3567</v>
      </c>
      <c r="K32" s="648">
        <v>1300</v>
      </c>
      <c r="L32" s="649"/>
      <c r="M32" s="183"/>
      <c r="N32" s="649"/>
      <c r="O32" s="629"/>
      <c r="P32" s="629"/>
      <c r="Q32" s="629"/>
      <c r="R32" s="629">
        <f>K32</f>
        <v>1300</v>
      </c>
      <c r="S32" s="649">
        <v>0.1</v>
      </c>
      <c r="T32" s="629">
        <f>R32*(1-S32)</f>
        <v>1170</v>
      </c>
      <c r="U32" s="629">
        <f>T32</f>
        <v>1170</v>
      </c>
      <c r="V32" s="38">
        <f>U32*21</f>
        <v>24570</v>
      </c>
      <c r="W32" s="650">
        <f>J32+V32</f>
        <v>28137</v>
      </c>
    </row>
    <row r="33" spans="2:23" ht="12.75">
      <c r="B33" s="35"/>
      <c r="C33" s="611"/>
      <c r="D33" s="642"/>
      <c r="E33" s="651"/>
      <c r="F33" s="644"/>
      <c r="G33" s="652"/>
      <c r="H33" s="653"/>
      <c r="I33" s="647"/>
      <c r="J33" s="38"/>
      <c r="K33" s="38"/>
      <c r="L33" s="649"/>
      <c r="M33" s="183"/>
      <c r="N33" s="649"/>
      <c r="O33" s="629"/>
      <c r="P33" s="629"/>
      <c r="Q33" s="629"/>
      <c r="R33" s="629"/>
      <c r="S33" s="38"/>
      <c r="T33" s="629"/>
      <c r="U33" s="38"/>
      <c r="V33" s="38"/>
      <c r="W33" s="650"/>
    </row>
    <row r="34" spans="2:23" ht="12.75">
      <c r="B34" s="37" t="s">
        <v>1015</v>
      </c>
      <c r="C34" s="611" t="s">
        <v>1016</v>
      </c>
      <c r="D34" s="642">
        <v>0.8</v>
      </c>
      <c r="E34" s="643">
        <f t="shared" si="2"/>
        <v>725747.76</v>
      </c>
      <c r="F34" s="644">
        <v>35000</v>
      </c>
      <c r="G34" s="645">
        <f t="shared" si="1"/>
        <v>31751.464499999998</v>
      </c>
      <c r="H34" s="646">
        <v>1973</v>
      </c>
      <c r="I34" s="647">
        <v>1995</v>
      </c>
      <c r="J34" s="648">
        <v>1110</v>
      </c>
      <c r="K34" s="648">
        <v>404.4</v>
      </c>
      <c r="L34" s="649"/>
      <c r="M34" s="183"/>
      <c r="N34" s="649"/>
      <c r="O34" s="629"/>
      <c r="P34" s="629"/>
      <c r="Q34" s="629"/>
      <c r="R34" s="629">
        <f>K34</f>
        <v>404.4</v>
      </c>
      <c r="S34" s="649">
        <v>0.1</v>
      </c>
      <c r="T34" s="629">
        <f>R34*(1-S34)</f>
        <v>363.96</v>
      </c>
      <c r="U34" s="629">
        <f>T34</f>
        <v>363.96</v>
      </c>
      <c r="V34" s="654">
        <f>U34*21</f>
        <v>7643.16</v>
      </c>
      <c r="W34" s="650">
        <f>J34+V34</f>
        <v>8753.16</v>
      </c>
    </row>
    <row r="35" spans="2:23" ht="12.75">
      <c r="B35" s="35"/>
      <c r="C35" s="611" t="s">
        <v>1017</v>
      </c>
      <c r="D35" s="642">
        <v>4.0999999999999996</v>
      </c>
      <c r="E35" s="643">
        <f t="shared" si="2"/>
        <v>3719457.2699999996</v>
      </c>
      <c r="F35" s="644"/>
      <c r="G35" s="645"/>
      <c r="H35" s="646">
        <v>1996</v>
      </c>
      <c r="I35" s="647">
        <v>2010</v>
      </c>
      <c r="J35" s="648">
        <v>4908</v>
      </c>
      <c r="K35" s="648">
        <v>1789</v>
      </c>
      <c r="L35" s="649"/>
      <c r="M35" s="183"/>
      <c r="N35" s="649"/>
      <c r="O35" s="629"/>
      <c r="P35" s="629"/>
      <c r="Q35" s="629"/>
      <c r="R35" s="660">
        <f>K35</f>
        <v>1789</v>
      </c>
      <c r="S35" s="661">
        <v>0.1</v>
      </c>
      <c r="T35" s="660">
        <f>R35*(1-S35)</f>
        <v>1610.1000000000001</v>
      </c>
      <c r="U35" s="654">
        <f>T35</f>
        <v>1610.1000000000001</v>
      </c>
      <c r="V35" s="654">
        <f>U35*21</f>
        <v>33812.100000000006</v>
      </c>
      <c r="W35" s="664">
        <f>J35+V35</f>
        <v>38720.100000000006</v>
      </c>
    </row>
    <row r="36" spans="2:23" ht="12.75">
      <c r="B36" s="35"/>
      <c r="C36" s="611"/>
      <c r="D36" s="642"/>
      <c r="E36" s="651"/>
      <c r="F36" s="644"/>
      <c r="G36" s="652"/>
      <c r="H36" s="653"/>
      <c r="I36" s="647"/>
      <c r="J36" s="38"/>
      <c r="K36" s="38"/>
      <c r="L36" s="649"/>
      <c r="M36" s="183"/>
      <c r="N36" s="649"/>
      <c r="O36" s="629"/>
      <c r="P36" s="629"/>
      <c r="Q36" s="629"/>
      <c r="R36" s="629"/>
      <c r="S36" s="38"/>
      <c r="T36" s="629"/>
      <c r="U36" s="38"/>
      <c r="V36" s="38"/>
      <c r="W36" s="650"/>
    </row>
    <row r="37" spans="2:23" ht="12.75">
      <c r="B37" s="37" t="s">
        <v>1018</v>
      </c>
      <c r="C37" s="611" t="s">
        <v>1019</v>
      </c>
      <c r="D37" s="642">
        <v>1.0008999999999999</v>
      </c>
      <c r="E37" s="662">
        <f t="shared" si="2"/>
        <v>908001.16622999986</v>
      </c>
      <c r="F37" s="644"/>
      <c r="G37" s="645">
        <f t="shared" si="1"/>
        <v>0</v>
      </c>
      <c r="H37" s="646">
        <v>1991</v>
      </c>
      <c r="I37" s="647">
        <v>2504</v>
      </c>
      <c r="J37" s="648">
        <v>185.3</v>
      </c>
      <c r="K37" s="648">
        <v>67.55</v>
      </c>
      <c r="L37" s="649"/>
      <c r="M37" s="183"/>
      <c r="N37" s="649"/>
      <c r="O37" s="629"/>
      <c r="P37" s="629"/>
      <c r="Q37" s="629"/>
      <c r="R37" s="629">
        <f>K37</f>
        <v>67.55</v>
      </c>
      <c r="S37" s="649">
        <v>0.1</v>
      </c>
      <c r="T37" s="629">
        <f>R37*(1-S37)</f>
        <v>60.795000000000002</v>
      </c>
      <c r="U37" s="629">
        <f>T37</f>
        <v>60.795000000000002</v>
      </c>
      <c r="V37" s="38">
        <f>U37*21</f>
        <v>1276.6949999999999</v>
      </c>
      <c r="W37" s="650">
        <f>J37+V37</f>
        <v>1461.9949999999999</v>
      </c>
    </row>
    <row r="38" spans="2:23" ht="12.75">
      <c r="B38" s="35"/>
      <c r="C38" s="630" t="s">
        <v>386</v>
      </c>
      <c r="D38" s="631">
        <v>2.1</v>
      </c>
      <c r="E38" s="632">
        <f t="shared" si="2"/>
        <v>1905087.8699999999</v>
      </c>
      <c r="F38" s="634">
        <v>69200</v>
      </c>
      <c r="G38" s="634">
        <f t="shared" si="1"/>
        <v>62777.181239999998</v>
      </c>
      <c r="H38" s="635">
        <v>1968</v>
      </c>
      <c r="I38" s="636">
        <v>1997</v>
      </c>
      <c r="J38" s="637">
        <v>3572</v>
      </c>
      <c r="K38" s="637">
        <v>1395</v>
      </c>
      <c r="L38" s="638">
        <v>0.59550000000000003</v>
      </c>
      <c r="M38" s="639">
        <f>K38*L38</f>
        <v>830.72250000000008</v>
      </c>
      <c r="N38" s="638">
        <v>0.98</v>
      </c>
      <c r="O38" s="640">
        <f>M38*N38</f>
        <v>814.10805000000005</v>
      </c>
      <c r="P38" s="640">
        <f>O38*2.75</f>
        <v>2238.7971375000002</v>
      </c>
      <c r="Q38" s="640">
        <f>M38*(1-N38)</f>
        <v>16.614450000000016</v>
      </c>
      <c r="R38" s="640">
        <f>K38*(1-L38)</f>
        <v>564.27749999999992</v>
      </c>
      <c r="S38" s="638">
        <v>0.1</v>
      </c>
      <c r="T38" s="640">
        <f>R38*(1-S38)</f>
        <v>507.84974999999991</v>
      </c>
      <c r="U38" s="640">
        <f>T38+Q38</f>
        <v>524.46419999999989</v>
      </c>
      <c r="V38" s="632">
        <f>U38*21</f>
        <v>11013.748199999998</v>
      </c>
      <c r="W38" s="641">
        <f>J38+P38+V38</f>
        <v>16824.5453375</v>
      </c>
    </row>
    <row r="39" spans="2:23" ht="12.75">
      <c r="B39" s="35"/>
      <c r="C39" s="611" t="s">
        <v>387</v>
      </c>
      <c r="D39" s="642">
        <v>4.2261879999999996</v>
      </c>
      <c r="E39" s="643">
        <f t="shared" si="2"/>
        <v>3833933.0929235998</v>
      </c>
      <c r="F39" s="644">
        <v>100000</v>
      </c>
      <c r="G39" s="645">
        <f t="shared" si="1"/>
        <v>90718.47</v>
      </c>
      <c r="H39" s="646">
        <v>1995</v>
      </c>
      <c r="I39" s="647">
        <v>2045</v>
      </c>
      <c r="J39" s="648">
        <v>1001</v>
      </c>
      <c r="K39" s="648">
        <v>395.1</v>
      </c>
      <c r="L39" s="649"/>
      <c r="M39" s="183"/>
      <c r="N39" s="649"/>
      <c r="O39" s="629"/>
      <c r="P39" s="629"/>
      <c r="Q39" s="629"/>
      <c r="R39" s="660">
        <f>K39</f>
        <v>395.1</v>
      </c>
      <c r="S39" s="661">
        <v>0.1</v>
      </c>
      <c r="T39" s="660">
        <f>R39*(1-S39)</f>
        <v>355.59000000000003</v>
      </c>
      <c r="U39" s="612">
        <f>T39</f>
        <v>355.59000000000003</v>
      </c>
      <c r="V39" s="612">
        <f>U39*21</f>
        <v>7467.39</v>
      </c>
      <c r="W39" s="650">
        <f>J39+V39</f>
        <v>8468.39</v>
      </c>
    </row>
    <row r="40" spans="2:23" ht="12.75">
      <c r="B40" s="35"/>
      <c r="C40" s="611"/>
      <c r="D40" s="642"/>
      <c r="E40" s="651"/>
      <c r="F40" s="644"/>
      <c r="G40" s="652"/>
      <c r="H40" s="653"/>
      <c r="I40" s="647"/>
      <c r="J40" s="38"/>
      <c r="K40" s="38"/>
      <c r="L40" s="649"/>
      <c r="M40" s="183"/>
      <c r="N40" s="649"/>
      <c r="O40" s="629"/>
      <c r="P40" s="629"/>
      <c r="Q40" s="629"/>
      <c r="R40" s="629"/>
      <c r="S40" s="38"/>
      <c r="T40" s="629"/>
      <c r="U40" s="38"/>
      <c r="V40" s="38"/>
      <c r="W40" s="650"/>
    </row>
    <row r="41" spans="2:23" ht="12.75">
      <c r="B41" s="37" t="s">
        <v>1020</v>
      </c>
      <c r="C41" s="611" t="s">
        <v>1021</v>
      </c>
      <c r="D41" s="642">
        <v>1.537185</v>
      </c>
      <c r="E41" s="643">
        <f t="shared" si="2"/>
        <v>1394510.7130694999</v>
      </c>
      <c r="F41" s="644">
        <v>38000</v>
      </c>
      <c r="G41" s="645">
        <f t="shared" si="1"/>
        <v>34473.018599999996</v>
      </c>
      <c r="H41" s="646">
        <v>1994</v>
      </c>
      <c r="I41" s="647">
        <v>2028</v>
      </c>
      <c r="J41" s="648">
        <v>2435</v>
      </c>
      <c r="K41" s="648">
        <v>887.5</v>
      </c>
      <c r="L41" s="649"/>
      <c r="M41" s="183"/>
      <c r="N41" s="649"/>
      <c r="O41" s="629"/>
      <c r="P41" s="629"/>
      <c r="Q41" s="629"/>
      <c r="R41" s="660">
        <f>K41</f>
        <v>887.5</v>
      </c>
      <c r="S41" s="661">
        <v>0.1</v>
      </c>
      <c r="T41" s="660">
        <f>R41*(1-S41)</f>
        <v>798.75</v>
      </c>
      <c r="U41" s="654">
        <f>T41</f>
        <v>798.75</v>
      </c>
      <c r="V41" s="654">
        <f>U41*21</f>
        <v>16773.75</v>
      </c>
      <c r="W41" s="664">
        <f>J41+V41</f>
        <v>19208.75</v>
      </c>
    </row>
    <row r="42" spans="2:23" ht="12.75">
      <c r="B42" s="35"/>
      <c r="C42" s="611" t="s">
        <v>1022</v>
      </c>
      <c r="D42" s="642">
        <v>0.8</v>
      </c>
      <c r="E42" s="643">
        <f t="shared" si="2"/>
        <v>725747.76</v>
      </c>
      <c r="F42" s="644">
        <v>20000</v>
      </c>
      <c r="G42" s="645">
        <f t="shared" si="1"/>
        <v>18143.694</v>
      </c>
      <c r="H42" s="646">
        <v>1974</v>
      </c>
      <c r="I42" s="647">
        <v>1994</v>
      </c>
      <c r="J42" s="648">
        <v>1619</v>
      </c>
      <c r="K42" s="648">
        <v>590</v>
      </c>
      <c r="L42" s="649"/>
      <c r="M42" s="183"/>
      <c r="N42" s="649"/>
      <c r="O42" s="629"/>
      <c r="P42" s="629"/>
      <c r="Q42" s="629"/>
      <c r="R42" s="660">
        <f>K42</f>
        <v>590</v>
      </c>
      <c r="S42" s="661">
        <v>0.1</v>
      </c>
      <c r="T42" s="660">
        <f>R42*(1-S42)</f>
        <v>531</v>
      </c>
      <c r="U42" s="654">
        <f>T42</f>
        <v>531</v>
      </c>
      <c r="V42" s="654">
        <f>U42*21</f>
        <v>11151</v>
      </c>
      <c r="W42" s="664">
        <f>J42+V42</f>
        <v>12770</v>
      </c>
    </row>
    <row r="43" spans="2:23" ht="12.75">
      <c r="B43" s="35"/>
      <c r="C43" s="611"/>
      <c r="D43" s="642"/>
      <c r="E43" s="651"/>
      <c r="F43" s="644"/>
      <c r="G43" s="652"/>
      <c r="H43" s="653"/>
      <c r="I43" s="647"/>
      <c r="J43" s="38"/>
      <c r="K43" s="38"/>
      <c r="L43" s="649"/>
      <c r="M43" s="183"/>
      <c r="N43" s="649"/>
      <c r="O43" s="629"/>
      <c r="P43" s="629"/>
      <c r="Q43" s="629"/>
      <c r="R43" s="629"/>
      <c r="S43" s="38"/>
      <c r="T43" s="629"/>
      <c r="U43" s="38"/>
      <c r="V43" s="38"/>
      <c r="W43" s="650"/>
    </row>
    <row r="44" spans="2:23" ht="12.75">
      <c r="B44" s="37" t="s">
        <v>1023</v>
      </c>
      <c r="C44" s="611" t="s">
        <v>1024</v>
      </c>
      <c r="D44" s="642">
        <v>2.98</v>
      </c>
      <c r="E44" s="643">
        <f t="shared" si="2"/>
        <v>2703410.406</v>
      </c>
      <c r="F44" s="644">
        <v>74000</v>
      </c>
      <c r="G44" s="645">
        <f t="shared" si="1"/>
        <v>67131.667799999996</v>
      </c>
      <c r="H44" s="646">
        <v>1986</v>
      </c>
      <c r="I44" s="647">
        <v>2008</v>
      </c>
      <c r="J44" s="648">
        <v>5832</v>
      </c>
      <c r="K44" s="648">
        <v>2126</v>
      </c>
      <c r="L44" s="649"/>
      <c r="M44" s="183"/>
      <c r="N44" s="649"/>
      <c r="O44" s="629"/>
      <c r="P44" s="629"/>
      <c r="Q44" s="629"/>
      <c r="R44" s="660">
        <f>K44</f>
        <v>2126</v>
      </c>
      <c r="S44" s="661">
        <v>0.1</v>
      </c>
      <c r="T44" s="660">
        <f>R44*(1-S44)</f>
        <v>1913.4</v>
      </c>
      <c r="U44" s="654">
        <f>T44</f>
        <v>1913.4</v>
      </c>
      <c r="V44" s="654">
        <f>U44*21</f>
        <v>40181.4</v>
      </c>
      <c r="W44" s="664">
        <f>J44+V44</f>
        <v>46013.4</v>
      </c>
    </row>
    <row r="45" spans="2:23" ht="12.75">
      <c r="B45" s="35"/>
      <c r="C45" s="611"/>
      <c r="D45" s="642"/>
      <c r="E45" s="651"/>
      <c r="F45" s="644"/>
      <c r="G45" s="652"/>
      <c r="H45" s="653"/>
      <c r="I45" s="647"/>
      <c r="J45" s="38"/>
      <c r="K45" s="38"/>
      <c r="L45" s="649"/>
      <c r="M45" s="183"/>
      <c r="N45" s="649"/>
      <c r="O45" s="629"/>
      <c r="P45" s="629"/>
      <c r="Q45" s="629"/>
      <c r="R45" s="629"/>
      <c r="S45" s="38"/>
      <c r="T45" s="629"/>
      <c r="U45" s="38"/>
      <c r="V45" s="38"/>
      <c r="W45" s="650"/>
    </row>
    <row r="46" spans="2:23" ht="12.75">
      <c r="B46" s="37" t="s">
        <v>1025</v>
      </c>
      <c r="C46" s="630" t="s">
        <v>1026</v>
      </c>
      <c r="D46" s="631">
        <v>9.9779999999999998</v>
      </c>
      <c r="E46" s="632">
        <f t="shared" si="2"/>
        <v>9051888.9365999997</v>
      </c>
      <c r="F46" s="634">
        <v>225000</v>
      </c>
      <c r="G46" s="634">
        <f t="shared" si="1"/>
        <v>204116.5575</v>
      </c>
      <c r="H46" s="635">
        <v>1980</v>
      </c>
      <c r="I46" s="636">
        <v>2122</v>
      </c>
      <c r="J46" s="637">
        <v>7618</v>
      </c>
      <c r="K46" s="637">
        <v>2777</v>
      </c>
      <c r="L46" s="638">
        <v>0.4133</v>
      </c>
      <c r="M46" s="639">
        <f>K46*L46</f>
        <v>1147.7340999999999</v>
      </c>
      <c r="N46" s="638">
        <v>0.98</v>
      </c>
      <c r="O46" s="640">
        <f>M46*N46</f>
        <v>1124.7794179999999</v>
      </c>
      <c r="P46" s="640">
        <f>O46*2.75</f>
        <v>3093.1433994999998</v>
      </c>
      <c r="Q46" s="640">
        <f>M46*(1-N46)</f>
        <v>22.95468200000002</v>
      </c>
      <c r="R46" s="656">
        <f>K46*(1-L46)</f>
        <v>1629.2659000000001</v>
      </c>
      <c r="S46" s="657">
        <v>0.1</v>
      </c>
      <c r="T46" s="656">
        <f>R46*(1-S46)</f>
        <v>1466.3393100000001</v>
      </c>
      <c r="U46" s="665">
        <f>T46+Q46</f>
        <v>1489.2939920000001</v>
      </c>
      <c r="V46" s="658">
        <f>U46*21</f>
        <v>31275.173832000004</v>
      </c>
      <c r="W46" s="641">
        <f>J46+P46+V46</f>
        <v>41986.317231500005</v>
      </c>
    </row>
    <row r="47" spans="2:23" ht="12.75">
      <c r="B47" s="37"/>
      <c r="C47" s="611"/>
      <c r="D47" s="642"/>
      <c r="E47" s="651"/>
      <c r="F47" s="644"/>
      <c r="G47" s="652"/>
      <c r="H47" s="653"/>
      <c r="I47" s="647"/>
      <c r="J47" s="38"/>
      <c r="K47" s="38"/>
      <c r="L47" s="649"/>
      <c r="M47" s="183"/>
      <c r="N47" s="649"/>
      <c r="O47" s="629"/>
      <c r="P47" s="629"/>
      <c r="Q47" s="629"/>
      <c r="R47" s="629"/>
      <c r="S47" s="38"/>
      <c r="T47" s="629"/>
      <c r="U47" s="38"/>
      <c r="V47" s="38"/>
      <c r="W47" s="650"/>
    </row>
    <row r="48" spans="2:23" ht="12.75">
      <c r="B48" s="37" t="s">
        <v>1027</v>
      </c>
      <c r="C48" s="611" t="s">
        <v>1028</v>
      </c>
      <c r="D48" s="642">
        <v>0.6</v>
      </c>
      <c r="E48" s="643">
        <f t="shared" si="2"/>
        <v>544310.81999999995</v>
      </c>
      <c r="F48" s="644">
        <v>20000</v>
      </c>
      <c r="G48" s="645">
        <f t="shared" si="1"/>
        <v>18143.694</v>
      </c>
      <c r="H48" s="646">
        <v>1964</v>
      </c>
      <c r="I48" s="647">
        <v>1992</v>
      </c>
      <c r="J48" s="648">
        <v>1014</v>
      </c>
      <c r="K48" s="648">
        <v>369.7</v>
      </c>
      <c r="L48" s="649"/>
      <c r="M48" s="183"/>
      <c r="N48" s="649"/>
      <c r="O48" s="629"/>
      <c r="P48" s="629"/>
      <c r="Q48" s="629"/>
      <c r="R48" s="660">
        <f>K48</f>
        <v>369.7</v>
      </c>
      <c r="S48" s="661">
        <v>0.1</v>
      </c>
      <c r="T48" s="660">
        <f>R48*(1-S48)</f>
        <v>332.73</v>
      </c>
      <c r="U48" s="654">
        <f>T48</f>
        <v>332.73</v>
      </c>
      <c r="V48" s="654">
        <f>U48*21</f>
        <v>6987.33</v>
      </c>
      <c r="W48" s="664">
        <f>J48+V48</f>
        <v>8001.33</v>
      </c>
    </row>
    <row r="49" spans="2:23" ht="12.75">
      <c r="B49" s="35"/>
      <c r="C49" s="611" t="s">
        <v>1029</v>
      </c>
      <c r="D49" s="642">
        <v>7</v>
      </c>
      <c r="E49" s="643">
        <f t="shared" si="2"/>
        <v>6350292.8999999994</v>
      </c>
      <c r="F49" s="644"/>
      <c r="G49" s="645">
        <f t="shared" si="1"/>
        <v>0</v>
      </c>
      <c r="H49" s="646">
        <v>1982</v>
      </c>
      <c r="I49" s="647">
        <v>2000</v>
      </c>
      <c r="J49" s="648">
        <v>19410</v>
      </c>
      <c r="K49" s="648">
        <v>7073</v>
      </c>
      <c r="L49" s="649"/>
      <c r="M49" s="183"/>
      <c r="N49" s="649"/>
      <c r="O49" s="629"/>
      <c r="P49" s="629"/>
      <c r="Q49" s="629"/>
      <c r="R49" s="660">
        <f>K49</f>
        <v>7073</v>
      </c>
      <c r="S49" s="661">
        <v>0.1</v>
      </c>
      <c r="T49" s="660">
        <f>R49*(1-S49)</f>
        <v>6365.7</v>
      </c>
      <c r="U49" s="654">
        <f>T49</f>
        <v>6365.7</v>
      </c>
      <c r="V49" s="654">
        <f>U49*21</f>
        <v>133679.69999999998</v>
      </c>
      <c r="W49" s="664">
        <f>J49+V49</f>
        <v>153089.69999999998</v>
      </c>
    </row>
    <row r="50" spans="2:23" ht="12.75">
      <c r="B50" s="35"/>
      <c r="C50" s="611"/>
      <c r="D50" s="642"/>
      <c r="E50" s="651"/>
      <c r="F50" s="644"/>
      <c r="G50" s="652"/>
      <c r="H50" s="653"/>
      <c r="I50" s="647"/>
      <c r="J50" s="38"/>
      <c r="K50" s="38"/>
      <c r="L50" s="649"/>
      <c r="M50" s="183"/>
      <c r="N50" s="649"/>
      <c r="O50" s="629"/>
      <c r="P50" s="629"/>
      <c r="Q50" s="629"/>
      <c r="R50" s="629"/>
      <c r="S50" s="38"/>
      <c r="T50" s="629"/>
      <c r="U50" s="38"/>
      <c r="V50" s="38"/>
      <c r="W50" s="650"/>
    </row>
    <row r="51" spans="2:23" ht="12.75">
      <c r="B51" s="37" t="s">
        <v>1030</v>
      </c>
      <c r="C51" s="666" t="s">
        <v>388</v>
      </c>
      <c r="D51" s="667">
        <v>7.1</v>
      </c>
      <c r="E51" s="668">
        <f>D51*1000000*0.9071847</f>
        <v>6441011.3700000001</v>
      </c>
      <c r="F51" s="669">
        <v>284000</v>
      </c>
      <c r="G51" s="669">
        <f t="shared" si="1"/>
        <v>257640.45479999998</v>
      </c>
      <c r="H51" s="670">
        <v>1968</v>
      </c>
      <c r="I51" s="671">
        <v>1993</v>
      </c>
      <c r="J51" s="672">
        <v>13060</v>
      </c>
      <c r="K51" s="672">
        <v>4761</v>
      </c>
      <c r="L51" s="673">
        <v>0.66600000000000004</v>
      </c>
      <c r="M51" s="674">
        <f>K51*L51</f>
        <v>3170.826</v>
      </c>
      <c r="N51" s="673">
        <v>0.997</v>
      </c>
      <c r="O51" s="675">
        <f>M51*N51</f>
        <v>3161.3135219999999</v>
      </c>
      <c r="P51" s="675">
        <f>O51*2.75</f>
        <v>8693.6121855000001</v>
      </c>
      <c r="Q51" s="675">
        <f>M51*(1-N51)</f>
        <v>9.5124780000000086</v>
      </c>
      <c r="R51" s="676">
        <f>K51*(1-L51)</f>
        <v>1590.1739999999998</v>
      </c>
      <c r="S51" s="677">
        <v>0.1</v>
      </c>
      <c r="T51" s="676">
        <f>R51*(1-S51)</f>
        <v>1431.1565999999998</v>
      </c>
      <c r="U51" s="678">
        <f>T51+Q51</f>
        <v>1440.6690779999999</v>
      </c>
      <c r="V51" s="678">
        <f>U51*21</f>
        <v>30254.050637999997</v>
      </c>
      <c r="W51" s="679">
        <f>J51+P51+V51</f>
        <v>52007.662823499995</v>
      </c>
    </row>
    <row r="52" spans="2:23" ht="12.75">
      <c r="B52" s="35"/>
      <c r="C52" s="666" t="s">
        <v>1031</v>
      </c>
      <c r="D52" s="667">
        <v>16</v>
      </c>
      <c r="E52" s="668">
        <f>D52*1000000*0.9071847</f>
        <v>14514955.199999999</v>
      </c>
      <c r="F52" s="669">
        <v>280000</v>
      </c>
      <c r="G52" s="669">
        <f t="shared" si="1"/>
        <v>254011.71599999999</v>
      </c>
      <c r="H52" s="670">
        <v>1992</v>
      </c>
      <c r="I52" s="671">
        <v>2016</v>
      </c>
      <c r="J52" s="672">
        <v>38830</v>
      </c>
      <c r="K52" s="672">
        <v>14150</v>
      </c>
      <c r="L52" s="673">
        <v>0.66600000000000004</v>
      </c>
      <c r="M52" s="674">
        <f>K52*L52</f>
        <v>9423.9</v>
      </c>
      <c r="N52" s="673">
        <v>0.97199999999999998</v>
      </c>
      <c r="O52" s="675">
        <f>M52*N52</f>
        <v>9160.0307999999986</v>
      </c>
      <c r="P52" s="675">
        <f>O52*2.75</f>
        <v>25190.084699999996</v>
      </c>
      <c r="Q52" s="675">
        <f>M52*(1-N52)</f>
        <v>263.86920000000021</v>
      </c>
      <c r="R52" s="676">
        <f>K52*(1-L52)</f>
        <v>4726.0999999999995</v>
      </c>
      <c r="S52" s="677">
        <v>0.1</v>
      </c>
      <c r="T52" s="676">
        <f>R52*(1-S52)</f>
        <v>4253.49</v>
      </c>
      <c r="U52" s="678">
        <f>T52+Q52</f>
        <v>4517.3591999999999</v>
      </c>
      <c r="V52" s="678">
        <f>U52*21</f>
        <v>94864.5432</v>
      </c>
      <c r="W52" s="679">
        <f>J52+P52+V52</f>
        <v>158884.62789999999</v>
      </c>
    </row>
    <row r="53" spans="2:23" ht="12.75">
      <c r="B53" s="35"/>
      <c r="C53" s="611" t="s">
        <v>1032</v>
      </c>
      <c r="D53" s="642">
        <v>7.5</v>
      </c>
      <c r="E53" s="643">
        <f>D53*1000000*0.9071847</f>
        <v>6803885.25</v>
      </c>
      <c r="F53" s="644">
        <v>280000</v>
      </c>
      <c r="G53" s="645">
        <f t="shared" si="1"/>
        <v>254011.71599999999</v>
      </c>
      <c r="H53" s="646">
        <v>1978</v>
      </c>
      <c r="I53" s="647">
        <v>2000</v>
      </c>
      <c r="J53" s="648">
        <v>16500</v>
      </c>
      <c r="K53" s="648">
        <v>6013</v>
      </c>
      <c r="L53" s="649">
        <v>0.94699999999999995</v>
      </c>
      <c r="M53" s="183">
        <f>K53*L53</f>
        <v>5694.3109999999997</v>
      </c>
      <c r="N53" s="649">
        <v>0.98</v>
      </c>
      <c r="O53" s="629">
        <f>M53*N53</f>
        <v>5580.4247799999994</v>
      </c>
      <c r="P53" s="629">
        <f>O53*2.75</f>
        <v>15346.168144999998</v>
      </c>
      <c r="Q53" s="629">
        <f>M53*(1-N53)</f>
        <v>113.88622000000009</v>
      </c>
      <c r="R53" s="629">
        <f>K53*(1-L53)</f>
        <v>318.68900000000031</v>
      </c>
      <c r="S53" s="649">
        <v>0.1</v>
      </c>
      <c r="T53" s="629">
        <f>R53*(1-S53)</f>
        <v>286.82010000000031</v>
      </c>
      <c r="U53" s="680">
        <f>T53+Q53</f>
        <v>400.7063200000004</v>
      </c>
      <c r="V53" s="681">
        <f>U53*21</f>
        <v>8414.8327200000076</v>
      </c>
      <c r="W53" s="650">
        <f>J53+P53+V53</f>
        <v>40261.000865000002</v>
      </c>
    </row>
    <row r="54" spans="2:23" ht="12.75">
      <c r="B54" s="35"/>
      <c r="C54" s="611" t="s">
        <v>1033</v>
      </c>
      <c r="D54" s="642">
        <v>1.6</v>
      </c>
      <c r="E54" s="643">
        <f>D54*1000000*0.9071847</f>
        <v>1451495.52</v>
      </c>
      <c r="F54" s="644">
        <v>34000</v>
      </c>
      <c r="G54" s="645">
        <f t="shared" si="1"/>
        <v>30844.2798</v>
      </c>
      <c r="H54" s="646">
        <v>1960</v>
      </c>
      <c r="I54" s="647">
        <v>2004</v>
      </c>
      <c r="J54" s="648">
        <v>3343</v>
      </c>
      <c r="K54" s="648">
        <v>1218</v>
      </c>
      <c r="L54" s="649"/>
      <c r="M54" s="183"/>
      <c r="N54" s="649"/>
      <c r="O54" s="629"/>
      <c r="P54" s="629"/>
      <c r="Q54" s="629"/>
      <c r="R54" s="629">
        <f>K54</f>
        <v>1218</v>
      </c>
      <c r="S54" s="649">
        <v>0.1</v>
      </c>
      <c r="T54" s="629">
        <f>R54*(1-S54)</f>
        <v>1096.2</v>
      </c>
      <c r="U54" s="629">
        <f>T54</f>
        <v>1096.2</v>
      </c>
      <c r="V54" s="681">
        <f>U54*21</f>
        <v>23020.2</v>
      </c>
      <c r="W54" s="650">
        <f>J54+V54</f>
        <v>26363.200000000001</v>
      </c>
    </row>
    <row r="55" spans="2:23" ht="12.75">
      <c r="B55" s="35"/>
      <c r="C55" s="611"/>
      <c r="D55" s="642"/>
      <c r="E55" s="651"/>
      <c r="F55" s="644"/>
      <c r="G55" s="652"/>
      <c r="H55" s="653"/>
      <c r="I55" s="647"/>
      <c r="J55" s="38"/>
      <c r="K55" s="38"/>
      <c r="L55" s="649"/>
      <c r="M55" s="183"/>
      <c r="N55" s="649"/>
      <c r="O55" s="629"/>
      <c r="P55" s="629"/>
      <c r="Q55" s="629"/>
      <c r="R55" s="629"/>
      <c r="S55" s="38"/>
      <c r="T55" s="629"/>
      <c r="U55" s="38"/>
      <c r="V55" s="38"/>
      <c r="W55" s="650"/>
    </row>
    <row r="56" spans="2:23" ht="12.75">
      <c r="B56" s="37" t="s">
        <v>1034</v>
      </c>
      <c r="C56" s="611" t="s">
        <v>1035</v>
      </c>
      <c r="D56" s="642">
        <v>1.61</v>
      </c>
      <c r="E56" s="662">
        <v>393341</v>
      </c>
      <c r="F56" s="644"/>
      <c r="G56" s="645">
        <f t="shared" si="1"/>
        <v>0</v>
      </c>
      <c r="H56" s="682">
        <v>1998</v>
      </c>
      <c r="I56" s="647">
        <v>2023</v>
      </c>
      <c r="J56" s="648">
        <v>2124</v>
      </c>
      <c r="K56" s="648">
        <v>774.1</v>
      </c>
      <c r="L56" s="649"/>
      <c r="M56" s="183"/>
      <c r="N56" s="649"/>
      <c r="O56" s="629"/>
      <c r="P56" s="629"/>
      <c r="Q56" s="629"/>
      <c r="R56" s="629">
        <f>K56</f>
        <v>774.1</v>
      </c>
      <c r="S56" s="649">
        <v>0.1</v>
      </c>
      <c r="T56" s="629">
        <f>R56*(1-S56)</f>
        <v>696.69</v>
      </c>
      <c r="U56" s="629">
        <f>T56</f>
        <v>696.69</v>
      </c>
      <c r="V56" s="38">
        <f>U56*21</f>
        <v>14630.490000000002</v>
      </c>
      <c r="W56" s="650">
        <f>J56+V56</f>
        <v>16754.490000000002</v>
      </c>
    </row>
    <row r="57" spans="2:23" ht="12.75">
      <c r="B57" s="35"/>
      <c r="C57" s="611" t="s">
        <v>1036</v>
      </c>
      <c r="D57" s="642"/>
      <c r="E57" s="662">
        <v>368200</v>
      </c>
      <c r="F57" s="644"/>
      <c r="G57" s="645">
        <f t="shared" si="1"/>
        <v>0</v>
      </c>
      <c r="H57" s="646">
        <v>1977</v>
      </c>
      <c r="I57" s="647">
        <v>1998</v>
      </c>
      <c r="J57" s="648">
        <v>1062</v>
      </c>
      <c r="K57" s="648">
        <v>387.2</v>
      </c>
      <c r="L57" s="649"/>
      <c r="M57" s="183"/>
      <c r="N57" s="649"/>
      <c r="O57" s="629"/>
      <c r="P57" s="629"/>
      <c r="Q57" s="629"/>
      <c r="R57" s="629">
        <f>K57</f>
        <v>387.2</v>
      </c>
      <c r="S57" s="649">
        <v>0.1</v>
      </c>
      <c r="T57" s="629">
        <f>R57*(1-S57)</f>
        <v>348.48</v>
      </c>
      <c r="U57" s="629">
        <f>T57</f>
        <v>348.48</v>
      </c>
      <c r="V57" s="38">
        <f>U57*21</f>
        <v>7318.08</v>
      </c>
      <c r="W57" s="650">
        <f>J57+V57</f>
        <v>8380.08</v>
      </c>
    </row>
    <row r="58" spans="2:23" ht="12.75">
      <c r="B58" s="35"/>
      <c r="C58" s="611"/>
      <c r="D58" s="642"/>
      <c r="E58" s="651">
        <f>D58*1000000*0.9071847</f>
        <v>0</v>
      </c>
      <c r="F58" s="644"/>
      <c r="G58" s="652"/>
      <c r="H58" s="653"/>
      <c r="I58" s="647"/>
      <c r="J58" s="38"/>
      <c r="K58" s="38"/>
      <c r="L58" s="649"/>
      <c r="M58" s="183"/>
      <c r="N58" s="649"/>
      <c r="O58" s="629"/>
      <c r="P58" s="629"/>
      <c r="Q58" s="629"/>
      <c r="R58" s="629"/>
      <c r="S58" s="38"/>
      <c r="T58" s="629"/>
      <c r="U58" s="38"/>
      <c r="V58" s="38"/>
      <c r="W58" s="650"/>
    </row>
    <row r="59" spans="2:23" ht="12.75">
      <c r="B59" s="37" t="s">
        <v>1037</v>
      </c>
      <c r="C59" s="2187" t="s">
        <v>1038</v>
      </c>
      <c r="D59" s="642">
        <v>3.7512439999999998</v>
      </c>
      <c r="E59" s="643">
        <f>D59*1000000*0.9071847</f>
        <v>3403071.1627667998</v>
      </c>
      <c r="F59" s="644">
        <v>81800</v>
      </c>
      <c r="G59" s="645">
        <f t="shared" si="1"/>
        <v>74207.708459999994</v>
      </c>
      <c r="H59" s="646">
        <v>1991</v>
      </c>
      <c r="I59" s="647">
        <v>2010</v>
      </c>
      <c r="J59" s="648">
        <v>4241</v>
      </c>
      <c r="K59" s="648">
        <v>1546</v>
      </c>
      <c r="L59" s="649"/>
      <c r="M59" s="183"/>
      <c r="N59" s="649"/>
      <c r="O59" s="629"/>
      <c r="P59" s="629"/>
      <c r="Q59" s="629"/>
      <c r="R59" s="629">
        <f>K59</f>
        <v>1546</v>
      </c>
      <c r="S59" s="649">
        <v>0.1</v>
      </c>
      <c r="T59" s="629">
        <f>R59*(1-S59)</f>
        <v>1391.4</v>
      </c>
      <c r="U59" s="629">
        <f>T59</f>
        <v>1391.4</v>
      </c>
      <c r="V59" s="38">
        <f>U59*21</f>
        <v>29219.4</v>
      </c>
      <c r="W59" s="650">
        <f>J59+V59</f>
        <v>33460.400000000001</v>
      </c>
    </row>
    <row r="60" spans="2:23" ht="12.75">
      <c r="B60" s="35"/>
      <c r="C60" s="611"/>
      <c r="D60" s="642"/>
      <c r="E60" s="651"/>
      <c r="F60" s="644"/>
      <c r="G60" s="652"/>
      <c r="H60" s="653"/>
      <c r="I60" s="647"/>
      <c r="J60" s="38"/>
      <c r="K60" s="38"/>
      <c r="L60" s="649"/>
      <c r="M60" s="183"/>
      <c r="N60" s="649"/>
      <c r="O60" s="629"/>
      <c r="P60" s="629"/>
      <c r="Q60" s="629"/>
      <c r="R60" s="629"/>
      <c r="S60" s="38"/>
      <c r="T60" s="629"/>
      <c r="U60" s="38"/>
      <c r="V60" s="38"/>
      <c r="W60" s="650"/>
    </row>
    <row r="61" spans="2:23" ht="12.75">
      <c r="B61" s="37" t="s">
        <v>1039</v>
      </c>
      <c r="C61" s="611" t="s">
        <v>1040</v>
      </c>
      <c r="D61" s="611"/>
      <c r="E61" s="662">
        <v>89729.73</v>
      </c>
      <c r="F61" s="497"/>
      <c r="G61" s="645">
        <f t="shared" si="1"/>
        <v>0</v>
      </c>
      <c r="H61" s="646">
        <v>1981</v>
      </c>
      <c r="I61" s="647">
        <v>1993</v>
      </c>
      <c r="J61" s="648">
        <v>243.8</v>
      </c>
      <c r="K61" s="648">
        <v>88.85</v>
      </c>
      <c r="L61" s="649"/>
      <c r="M61" s="183"/>
      <c r="N61" s="649"/>
      <c r="O61" s="629"/>
      <c r="P61" s="629"/>
      <c r="Q61" s="629"/>
      <c r="R61" s="660">
        <f>K61</f>
        <v>88.85</v>
      </c>
      <c r="S61" s="661">
        <v>0.1</v>
      </c>
      <c r="T61" s="660">
        <f>R61*(1-S61)</f>
        <v>79.965000000000003</v>
      </c>
      <c r="U61" s="654">
        <f>T61</f>
        <v>79.965000000000003</v>
      </c>
      <c r="V61" s="654">
        <f>U61*21</f>
        <v>1679.2650000000001</v>
      </c>
      <c r="W61" s="664">
        <f>J61+V61</f>
        <v>1923.0650000000001</v>
      </c>
    </row>
    <row r="62" spans="2:23" ht="12.75">
      <c r="B62" s="683"/>
      <c r="C62" s="684" t="s">
        <v>389</v>
      </c>
      <c r="D62" s="642">
        <v>2.5499999999999998</v>
      </c>
      <c r="E62" s="662">
        <f>D62*1000000*0.9071847</f>
        <v>2313320.9849999999</v>
      </c>
      <c r="F62" s="652">
        <v>150000</v>
      </c>
      <c r="G62" s="645">
        <f t="shared" si="1"/>
        <v>136077.70499999999</v>
      </c>
      <c r="H62" s="646">
        <v>1982</v>
      </c>
      <c r="I62" s="647">
        <v>2000</v>
      </c>
      <c r="J62" s="648">
        <v>1996</v>
      </c>
      <c r="K62" s="648">
        <v>727.6</v>
      </c>
      <c r="L62" s="649"/>
      <c r="M62" s="183"/>
      <c r="N62" s="649"/>
      <c r="O62" s="629"/>
      <c r="P62" s="629"/>
      <c r="Q62" s="629"/>
      <c r="R62" s="660">
        <f>K62</f>
        <v>727.6</v>
      </c>
      <c r="S62" s="661">
        <v>0.1</v>
      </c>
      <c r="T62" s="660">
        <f>R62*(1-S62)</f>
        <v>654.84</v>
      </c>
      <c r="U62" s="654">
        <f>T62</f>
        <v>654.84</v>
      </c>
      <c r="V62" s="654">
        <f>U62*21</f>
        <v>13751.640000000001</v>
      </c>
      <c r="W62" s="664">
        <f>J62+V62</f>
        <v>15747.640000000001</v>
      </c>
    </row>
    <row r="63" spans="2:23" ht="12.75">
      <c r="B63" s="35"/>
      <c r="C63" s="2186" t="s">
        <v>1041</v>
      </c>
      <c r="D63" s="642">
        <v>20.273</v>
      </c>
      <c r="E63" s="643">
        <f>D63*1000000*0.9071847</f>
        <v>18391355.423099998</v>
      </c>
      <c r="F63" s="644"/>
      <c r="G63" s="645">
        <f t="shared" si="1"/>
        <v>0</v>
      </c>
      <c r="H63" s="646">
        <v>2000</v>
      </c>
      <c r="I63" s="647">
        <v>2047</v>
      </c>
      <c r="J63" s="648">
        <v>17320</v>
      </c>
      <c r="K63" s="648">
        <v>6311</v>
      </c>
      <c r="L63" s="649"/>
      <c r="M63" s="183"/>
      <c r="N63" s="649"/>
      <c r="O63" s="629"/>
      <c r="P63" s="629"/>
      <c r="Q63" s="629"/>
      <c r="R63" s="660">
        <f>K63</f>
        <v>6311</v>
      </c>
      <c r="S63" s="661">
        <v>0.1</v>
      </c>
      <c r="T63" s="660">
        <f>R63*(1-S63)</f>
        <v>5679.9000000000005</v>
      </c>
      <c r="U63" s="654">
        <f>T63</f>
        <v>5679.9000000000005</v>
      </c>
      <c r="V63" s="654">
        <f>U63*21</f>
        <v>119277.90000000001</v>
      </c>
      <c r="W63" s="664">
        <f>J63+V63</f>
        <v>136597.90000000002</v>
      </c>
    </row>
    <row r="64" spans="2:23" ht="12.75">
      <c r="B64" s="35"/>
      <c r="C64" s="685"/>
      <c r="D64" s="642"/>
      <c r="E64" s="651"/>
      <c r="F64" s="644"/>
      <c r="G64" s="652"/>
      <c r="H64" s="653"/>
      <c r="I64" s="647"/>
      <c r="J64" s="38"/>
      <c r="K64" s="38"/>
      <c r="L64" s="649"/>
      <c r="M64" s="183"/>
      <c r="N64" s="649"/>
      <c r="O64" s="629"/>
      <c r="P64" s="629"/>
      <c r="Q64" s="629"/>
      <c r="R64" s="629"/>
      <c r="S64" s="38"/>
      <c r="T64" s="629"/>
      <c r="U64" s="38"/>
      <c r="V64" s="38"/>
      <c r="W64" s="650"/>
    </row>
    <row r="65" spans="2:23" ht="12.75">
      <c r="B65" s="37" t="s">
        <v>1042</v>
      </c>
      <c r="C65" s="630" t="s">
        <v>1043</v>
      </c>
      <c r="D65" s="631">
        <v>7.2</v>
      </c>
      <c r="E65" s="632">
        <f>D65*1000000*0.9071847</f>
        <v>6531729.8399999999</v>
      </c>
      <c r="F65" s="634">
        <v>82000</v>
      </c>
      <c r="G65" s="634">
        <f t="shared" si="1"/>
        <v>74389.145399999994</v>
      </c>
      <c r="H65" s="635">
        <v>1955</v>
      </c>
      <c r="I65" s="636">
        <v>2031</v>
      </c>
      <c r="J65" s="637">
        <v>12760</v>
      </c>
      <c r="K65" s="637">
        <v>4649</v>
      </c>
      <c r="L65" s="638">
        <v>0.54700000000000004</v>
      </c>
      <c r="M65" s="639">
        <f>K65*L65</f>
        <v>2543.0030000000002</v>
      </c>
      <c r="N65" s="638">
        <v>0.98</v>
      </c>
      <c r="O65" s="640">
        <f>M65*N65</f>
        <v>2492.1429400000002</v>
      </c>
      <c r="P65" s="640">
        <f>O65*2.75</f>
        <v>6853.3930850000006</v>
      </c>
      <c r="Q65" s="640">
        <f>M65*(1-N65)</f>
        <v>50.860060000000047</v>
      </c>
      <c r="R65" s="656">
        <f>K65</f>
        <v>4649</v>
      </c>
      <c r="S65" s="657">
        <v>0.1</v>
      </c>
      <c r="T65" s="656">
        <f>R65*(1-S65)</f>
        <v>4184.1000000000004</v>
      </c>
      <c r="U65" s="632">
        <f>T65</f>
        <v>4184.1000000000004</v>
      </c>
      <c r="V65" s="658">
        <f>U65*21</f>
        <v>87866.1</v>
      </c>
      <c r="W65" s="641">
        <f>J65+V65</f>
        <v>100626.1</v>
      </c>
    </row>
    <row r="66" spans="2:23">
      <c r="B66" s="35"/>
      <c r="C66" s="611"/>
      <c r="D66" s="611"/>
      <c r="E66" s="38"/>
      <c r="F66" s="38"/>
      <c r="G66" s="38"/>
      <c r="H66" s="38"/>
      <c r="I66" s="611"/>
      <c r="J66" s="38"/>
      <c r="K66" s="38"/>
      <c r="L66" s="649"/>
      <c r="M66" s="183"/>
      <c r="N66" s="649"/>
      <c r="O66" s="629"/>
      <c r="P66" s="629"/>
      <c r="Q66" s="629"/>
      <c r="R66" s="629"/>
      <c r="S66" s="38"/>
      <c r="T66" s="629"/>
      <c r="U66" s="38"/>
      <c r="V66" s="38"/>
      <c r="W66" s="650"/>
    </row>
    <row r="67" spans="2:23" ht="12.75">
      <c r="B67" s="37" t="s">
        <v>1044</v>
      </c>
      <c r="C67" s="2185" t="s">
        <v>1368</v>
      </c>
      <c r="D67" s="631">
        <v>4.8</v>
      </c>
      <c r="E67" s="632">
        <f>D67*1000000*0.9071847</f>
        <v>4354486.5599999996</v>
      </c>
      <c r="F67" s="634">
        <v>70000</v>
      </c>
      <c r="G67" s="634">
        <f>F67*0.9071847</f>
        <v>63502.928999999996</v>
      </c>
      <c r="H67" s="635">
        <v>1990</v>
      </c>
      <c r="I67" s="636">
        <v>2028</v>
      </c>
      <c r="J67" s="637">
        <v>4295</v>
      </c>
      <c r="K67" s="637">
        <v>1565</v>
      </c>
      <c r="L67" s="638">
        <v>0.8</v>
      </c>
      <c r="M67" s="639">
        <f>K67*L67</f>
        <v>1252</v>
      </c>
      <c r="N67" s="638">
        <v>0.98</v>
      </c>
      <c r="O67" s="640">
        <f>M67*N67</f>
        <v>1226.96</v>
      </c>
      <c r="P67" s="640">
        <f>O67*2.75</f>
        <v>3374.1400000000003</v>
      </c>
      <c r="Q67" s="640">
        <f>M67*(1-N67)</f>
        <v>25.04000000000002</v>
      </c>
      <c r="R67" s="656">
        <f>K67*(1-L67)</f>
        <v>312.99999999999994</v>
      </c>
      <c r="S67" s="657">
        <v>0.1</v>
      </c>
      <c r="T67" s="656">
        <f>R67*(1-S67)</f>
        <v>281.69999999999993</v>
      </c>
      <c r="U67" s="658">
        <f>T67+Q67</f>
        <v>306.73999999999995</v>
      </c>
      <c r="V67" s="658">
        <f>U67*21</f>
        <v>6441.5399999999991</v>
      </c>
      <c r="W67" s="641">
        <f>J67+P67+V67</f>
        <v>14110.68</v>
      </c>
    </row>
    <row r="68" spans="2:23">
      <c r="B68" s="35"/>
      <c r="C68" s="611"/>
      <c r="D68" s="611"/>
      <c r="E68" s="38"/>
      <c r="F68" s="38"/>
      <c r="G68" s="38"/>
      <c r="H68" s="38"/>
      <c r="I68" s="611"/>
      <c r="J68" s="38"/>
      <c r="K68" s="38"/>
      <c r="L68" s="38"/>
      <c r="M68" s="183"/>
      <c r="N68" s="38"/>
      <c r="O68" s="629"/>
      <c r="P68" s="629"/>
      <c r="Q68" s="629"/>
      <c r="R68" s="38"/>
      <c r="S68" s="38"/>
      <c r="T68" s="38"/>
      <c r="U68" s="38"/>
      <c r="V68" s="38"/>
      <c r="W68" s="650"/>
    </row>
    <row r="69" spans="2:23">
      <c r="B69" s="35"/>
      <c r="C69" s="611"/>
      <c r="D69" s="611"/>
      <c r="E69" s="38"/>
      <c r="F69" s="38"/>
      <c r="G69" s="38"/>
      <c r="H69" s="38"/>
      <c r="I69" s="38"/>
      <c r="J69" s="38"/>
      <c r="K69" s="38"/>
      <c r="L69" s="38"/>
      <c r="M69" s="183"/>
      <c r="N69" s="38"/>
      <c r="O69" s="629"/>
      <c r="P69" s="629"/>
      <c r="Q69" s="629"/>
      <c r="R69" s="38"/>
      <c r="S69" s="38"/>
      <c r="T69" s="38"/>
      <c r="U69" s="38"/>
      <c r="V69" s="38"/>
      <c r="W69" s="650"/>
    </row>
    <row r="70" spans="2:23" ht="13.5" thickBot="1">
      <c r="B70" s="39"/>
      <c r="C70" s="40"/>
      <c r="D70" s="40"/>
      <c r="E70" s="40"/>
      <c r="F70" s="40"/>
      <c r="G70" s="40"/>
      <c r="H70" s="40"/>
      <c r="I70" s="40"/>
      <c r="J70" s="2309">
        <f>SUM(J11:J69)</f>
        <v>270381.05220119352</v>
      </c>
      <c r="K70" s="40"/>
      <c r="L70" s="40"/>
      <c r="M70" s="686"/>
      <c r="N70" s="40"/>
      <c r="O70" s="687"/>
      <c r="P70" s="688">
        <f>SUM(P11:P69)</f>
        <v>112689.815312855</v>
      </c>
      <c r="Q70" s="40"/>
      <c r="R70" s="40"/>
      <c r="S70" s="40"/>
      <c r="T70" s="689"/>
      <c r="U70" s="40"/>
      <c r="V70" s="40"/>
      <c r="W70" s="690"/>
    </row>
    <row r="71" spans="2:23" ht="13.5" thickTop="1">
      <c r="G71" s="2"/>
      <c r="J71" s="121"/>
      <c r="M71" s="11"/>
      <c r="O71" s="21"/>
      <c r="Q71" s="2"/>
      <c r="U71" s="121"/>
    </row>
    <row r="72" spans="2:23">
      <c r="M72" s="11"/>
      <c r="O72" s="21"/>
      <c r="W72" s="122"/>
    </row>
    <row r="73" spans="2:23" ht="12" thickBot="1">
      <c r="M73" s="11"/>
      <c r="O73" s="21"/>
    </row>
    <row r="74" spans="2:23" ht="15" thickTop="1">
      <c r="G74" s="691" t="s">
        <v>390</v>
      </c>
      <c r="H74" s="692"/>
      <c r="I74" s="692"/>
      <c r="J74" s="693"/>
      <c r="K74" s="694">
        <f>SUM(K11:K73)</f>
        <v>101153.51428100762</v>
      </c>
      <c r="L74" s="695"/>
      <c r="M74" s="2294" t="s">
        <v>1391</v>
      </c>
      <c r="N74" s="696"/>
      <c r="O74" s="2292">
        <f>LFGTE!M57</f>
        <v>18219.311989905902</v>
      </c>
      <c r="P74" s="695"/>
      <c r="Q74" s="3534" t="s">
        <v>1045</v>
      </c>
      <c r="R74" s="3535"/>
      <c r="S74" s="3536"/>
      <c r="T74" s="697"/>
      <c r="U74" s="2293">
        <f>LFGTE!O57+LFGTE!N57</f>
        <v>39579.157701183794</v>
      </c>
      <c r="V74" s="10"/>
      <c r="W74" s="123"/>
    </row>
    <row r="75" spans="2:23" ht="15.75">
      <c r="G75" s="33" t="s">
        <v>1046</v>
      </c>
      <c r="H75" s="20"/>
      <c r="I75" s="20"/>
      <c r="J75" s="20"/>
      <c r="K75" s="20">
        <v>21</v>
      </c>
      <c r="L75" s="38"/>
      <c r="M75" s="20" t="s">
        <v>1046</v>
      </c>
      <c r="N75" s="38"/>
      <c r="O75" s="20">
        <v>21</v>
      </c>
      <c r="P75" s="38"/>
      <c r="Q75" s="20" t="s">
        <v>1046</v>
      </c>
      <c r="R75" s="38"/>
      <c r="S75" s="38"/>
      <c r="T75" s="38"/>
      <c r="U75" s="702">
        <v>21</v>
      </c>
    </row>
    <row r="76" spans="2:23" ht="14.25">
      <c r="G76" s="3541" t="s">
        <v>1047</v>
      </c>
      <c r="H76" s="3542"/>
      <c r="I76" s="3543"/>
      <c r="J76" s="2316"/>
      <c r="K76" s="2317">
        <f>(K74*K75)*0.907184</f>
        <v>1927061.8436895339</v>
      </c>
      <c r="L76" s="38"/>
      <c r="M76" s="3537" t="s">
        <v>1048</v>
      </c>
      <c r="N76" s="3538"/>
      <c r="O76" s="698">
        <f>(O74*O75)*0.907184</f>
        <v>347093.63489326672</v>
      </c>
      <c r="P76" s="20"/>
      <c r="Q76" s="699" t="s">
        <v>1049</v>
      </c>
      <c r="R76" s="699"/>
      <c r="S76" s="699"/>
      <c r="T76" s="700"/>
      <c r="U76" s="701">
        <f>(U74*U75)*0.907184</f>
        <v>754017.15059980506</v>
      </c>
      <c r="V76" s="10"/>
    </row>
    <row r="77" spans="2:23" ht="14.25">
      <c r="G77" s="3544" t="s">
        <v>1050</v>
      </c>
      <c r="H77" s="3545"/>
      <c r="I77" s="3546"/>
      <c r="J77" s="717"/>
      <c r="K77" s="718">
        <f>K76*7%</f>
        <v>134894.32905826738</v>
      </c>
      <c r="L77" s="38"/>
      <c r="M77" s="20"/>
      <c r="N77" s="20"/>
      <c r="O77" s="20"/>
      <c r="P77" s="20"/>
      <c r="Q77" s="20"/>
      <c r="R77" s="20"/>
      <c r="S77" s="20"/>
      <c r="T77" s="20"/>
      <c r="U77" s="702"/>
      <c r="V77" s="10"/>
    </row>
    <row r="78" spans="2:23" ht="12.75">
      <c r="G78" s="33"/>
      <c r="H78" s="20"/>
      <c r="I78" s="20"/>
      <c r="J78" s="20"/>
      <c r="K78" s="34"/>
      <c r="L78" s="38"/>
      <c r="M78" s="703"/>
      <c r="N78" s="20"/>
      <c r="O78" s="34"/>
      <c r="P78" s="20"/>
      <c r="Q78" s="704" t="s">
        <v>1053</v>
      </c>
      <c r="R78" s="704"/>
      <c r="S78" s="704"/>
      <c r="T78" s="36"/>
      <c r="U78" s="705">
        <f>U76*(12/44)</f>
        <v>205641.0410726741</v>
      </c>
      <c r="V78" s="10"/>
    </row>
    <row r="79" spans="2:23" ht="12.75">
      <c r="G79" s="33"/>
      <c r="H79" s="20"/>
      <c r="I79" s="20"/>
      <c r="J79" s="20"/>
      <c r="K79" s="20"/>
      <c r="L79" s="38"/>
      <c r="M79" s="20"/>
      <c r="N79" s="20"/>
      <c r="O79" s="20"/>
      <c r="P79" s="20"/>
      <c r="Q79" s="20"/>
      <c r="R79" s="20"/>
      <c r="S79" s="20"/>
      <c r="T79" s="20"/>
      <c r="U79" s="702"/>
      <c r="V79" s="10"/>
    </row>
    <row r="80" spans="2:23" ht="14.25">
      <c r="G80" s="3547" t="s">
        <v>1051</v>
      </c>
      <c r="H80" s="3548"/>
      <c r="I80" s="3549"/>
      <c r="J80" s="2290"/>
      <c r="K80" s="2291">
        <f>(K76+K77)</f>
        <v>2061956.1727478013</v>
      </c>
      <c r="L80" s="38"/>
      <c r="M80" s="3539" t="s">
        <v>1052</v>
      </c>
      <c r="N80" s="3540"/>
      <c r="O80" s="2314">
        <f>O76+U76</f>
        <v>1101110.7854930717</v>
      </c>
      <c r="P80" s="20"/>
      <c r="Q80" s="2300" t="s">
        <v>1056</v>
      </c>
      <c r="R80" s="2300"/>
      <c r="S80" s="2300"/>
      <c r="T80" s="2300"/>
      <c r="U80" s="2301">
        <f>T63+T62+T61+T59+T57+T56+T54+T53+T49+T48+T44+T42+T41+T39+T37+T35+T34+T32+T31+T26+T24+T23+T17+T15+T14+T12</f>
        <v>32207.83495290684</v>
      </c>
      <c r="V80" s="10"/>
    </row>
    <row r="81" spans="7:22" ht="15.75">
      <c r="G81" s="33"/>
      <c r="H81" s="20"/>
      <c r="I81" s="20"/>
      <c r="J81" s="20"/>
      <c r="K81" s="20"/>
      <c r="L81" s="38"/>
      <c r="M81" s="20"/>
      <c r="N81" s="20"/>
      <c r="O81" s="20"/>
      <c r="P81" s="20"/>
      <c r="Q81" s="20" t="s">
        <v>1046</v>
      </c>
      <c r="R81" s="20"/>
      <c r="S81" s="20"/>
      <c r="T81" s="20"/>
      <c r="U81" s="702">
        <v>21</v>
      </c>
      <c r="V81" s="10"/>
    </row>
    <row r="82" spans="7:22" ht="14.25">
      <c r="G82" s="3550" t="s">
        <v>1054</v>
      </c>
      <c r="H82" s="3551"/>
      <c r="I82" s="3538"/>
      <c r="J82" s="706"/>
      <c r="K82" s="707">
        <f>K80*(12/44)</f>
        <v>562351.68347667309</v>
      </c>
      <c r="L82" s="38"/>
      <c r="M82" s="3539" t="s">
        <v>1055</v>
      </c>
      <c r="N82" s="3540"/>
      <c r="O82" s="2315">
        <f>O80*(12/44)</f>
        <v>300302.94149811042</v>
      </c>
      <c r="P82" s="20"/>
      <c r="Q82" s="2302" t="s">
        <v>1057</v>
      </c>
      <c r="R82" s="2302"/>
      <c r="S82" s="2302"/>
      <c r="T82" s="2303"/>
      <c r="U82" s="2304">
        <f>(U80*U81)*0.907184</f>
        <v>613587.08342227456</v>
      </c>
      <c r="V82" s="10"/>
    </row>
    <row r="83" spans="7:22" ht="12.75">
      <c r="G83" s="35"/>
      <c r="H83" s="38"/>
      <c r="I83" s="38"/>
      <c r="J83" s="38"/>
      <c r="K83" s="38"/>
      <c r="L83" s="38"/>
      <c r="M83" s="20"/>
      <c r="N83" s="20"/>
      <c r="O83" s="20"/>
      <c r="P83" s="20"/>
      <c r="Q83" s="20"/>
      <c r="R83" s="20"/>
      <c r="S83" s="20"/>
      <c r="T83" s="20"/>
      <c r="U83" s="702"/>
      <c r="V83" s="10"/>
    </row>
    <row r="84" spans="7:22" ht="12.75">
      <c r="G84" s="35"/>
      <c r="H84" s="38"/>
      <c r="I84" s="38"/>
      <c r="J84" s="38"/>
      <c r="K84" s="38"/>
      <c r="L84" s="38"/>
      <c r="M84" s="20"/>
      <c r="N84" s="20"/>
      <c r="O84" s="20"/>
      <c r="P84" s="20"/>
      <c r="Q84" s="704" t="s">
        <v>1058</v>
      </c>
      <c r="R84" s="704"/>
      <c r="S84" s="704"/>
      <c r="T84" s="36"/>
      <c r="U84" s="708">
        <f>U82*(12/44)</f>
        <v>167341.9318424385</v>
      </c>
      <c r="V84" s="10"/>
    </row>
    <row r="85" spans="7:22" ht="12.75">
      <c r="G85" s="35"/>
      <c r="H85" s="38"/>
      <c r="I85" s="38"/>
      <c r="J85" s="38"/>
      <c r="K85" s="38"/>
      <c r="L85" s="38"/>
      <c r="M85" s="20"/>
      <c r="N85" s="20"/>
      <c r="O85" s="20"/>
      <c r="P85" s="20"/>
      <c r="Q85" s="20"/>
      <c r="R85" s="20"/>
      <c r="S85" s="20"/>
      <c r="T85" s="20"/>
      <c r="U85" s="702"/>
      <c r="V85" s="10"/>
    </row>
    <row r="86" spans="7:22" ht="14.25">
      <c r="G86" s="35"/>
      <c r="H86" s="38"/>
      <c r="I86" s="38"/>
      <c r="J86" s="38"/>
      <c r="K86" s="38"/>
      <c r="L86" s="38"/>
      <c r="M86" s="20"/>
      <c r="N86" s="20"/>
      <c r="O86" s="20"/>
      <c r="P86" s="20"/>
      <c r="Q86" s="709" t="s">
        <v>1059</v>
      </c>
      <c r="R86" s="709"/>
      <c r="S86" s="709"/>
      <c r="T86" s="709"/>
      <c r="U86" s="710">
        <f>U82*7%</f>
        <v>42951.095839559224</v>
      </c>
      <c r="V86" s="10"/>
    </row>
    <row r="87" spans="7:22" ht="12.75">
      <c r="G87" s="35"/>
      <c r="H87" s="38"/>
      <c r="I87" s="38"/>
      <c r="J87" s="38"/>
      <c r="K87" s="38"/>
      <c r="L87" s="38"/>
      <c r="M87" s="20"/>
      <c r="N87" s="20"/>
      <c r="O87" s="20"/>
      <c r="P87" s="20"/>
      <c r="Q87" s="20"/>
      <c r="R87" s="20"/>
      <c r="S87" s="20"/>
      <c r="T87" s="20"/>
      <c r="U87" s="702"/>
      <c r="V87" s="10"/>
    </row>
    <row r="88" spans="7:22" ht="12.75">
      <c r="G88" s="35"/>
      <c r="H88" s="38"/>
      <c r="I88" s="38"/>
      <c r="J88" s="38"/>
      <c r="K88" s="38"/>
      <c r="L88" s="38"/>
      <c r="M88" s="20"/>
      <c r="N88" s="20"/>
      <c r="O88" s="20"/>
      <c r="P88" s="20"/>
      <c r="Q88" s="709" t="s">
        <v>1060</v>
      </c>
      <c r="R88" s="709"/>
      <c r="S88" s="709"/>
      <c r="T88" s="709"/>
      <c r="U88" s="710">
        <f>U86*(12/44)</f>
        <v>11713.935228970697</v>
      </c>
      <c r="V88" s="10"/>
    </row>
    <row r="89" spans="7:22" ht="12.75">
      <c r="G89" s="35"/>
      <c r="H89" s="38"/>
      <c r="I89" s="38"/>
      <c r="J89" s="38"/>
      <c r="K89" s="38"/>
      <c r="L89" s="38"/>
      <c r="M89" s="20"/>
      <c r="N89" s="20"/>
      <c r="O89" s="20"/>
      <c r="P89" s="20"/>
      <c r="Q89" s="38"/>
      <c r="R89" s="38"/>
      <c r="S89" s="38"/>
      <c r="T89" s="38"/>
      <c r="U89" s="175"/>
      <c r="V89" s="10"/>
    </row>
    <row r="90" spans="7:22" ht="14.25">
      <c r="G90" s="35"/>
      <c r="H90" s="38"/>
      <c r="I90" s="38"/>
      <c r="J90" s="38"/>
      <c r="K90" s="38"/>
      <c r="L90" s="38"/>
      <c r="M90" s="38"/>
      <c r="N90" s="38"/>
      <c r="O90" s="38"/>
      <c r="P90" s="38"/>
      <c r="Q90" s="711" t="s">
        <v>1392</v>
      </c>
      <c r="R90" s="712"/>
      <c r="S90" s="712"/>
      <c r="T90" s="712"/>
      <c r="U90" s="713">
        <f>((K80-O80-U82-U86)+( (LFGTE!X57+LFGTE!Y57+LFGTE!AA57)*0.907184*U81))</f>
        <v>334255.09300601168</v>
      </c>
    </row>
    <row r="91" spans="7:22">
      <c r="G91" s="35"/>
      <c r="H91" s="38"/>
      <c r="I91" s="38"/>
      <c r="J91" s="38"/>
      <c r="K91" s="38"/>
      <c r="L91" s="38"/>
      <c r="M91" s="38"/>
      <c r="N91" s="38"/>
      <c r="O91" s="38"/>
      <c r="P91" s="38"/>
      <c r="Q91" s="38"/>
      <c r="R91" s="38"/>
      <c r="S91" s="38"/>
      <c r="T91" s="38"/>
      <c r="U91" s="175"/>
    </row>
    <row r="92" spans="7:22" ht="14.25">
      <c r="G92" s="35"/>
      <c r="H92" s="38"/>
      <c r="I92" s="38"/>
      <c r="J92" s="38"/>
      <c r="K92" s="38"/>
      <c r="L92" s="38"/>
      <c r="M92" s="38"/>
      <c r="N92" s="38"/>
      <c r="O92" s="38"/>
      <c r="P92" s="38"/>
      <c r="Q92" s="714" t="s">
        <v>250</v>
      </c>
      <c r="R92" s="715"/>
      <c r="S92" s="715"/>
      <c r="T92" s="715"/>
      <c r="U92" s="716">
        <f>((LFGTE!T57+LFGTE!U57)*0.907184)</f>
        <v>122957.60900581183</v>
      </c>
    </row>
    <row r="93" spans="7:22" ht="12.75">
      <c r="G93" s="35"/>
      <c r="H93" s="38"/>
      <c r="I93" s="38"/>
      <c r="J93" s="38"/>
      <c r="K93" s="38"/>
      <c r="L93" s="38"/>
      <c r="M93" s="38"/>
      <c r="N93" s="38"/>
      <c r="O93" s="38"/>
      <c r="P93" s="38"/>
      <c r="Q93" s="714"/>
      <c r="R93" s="715"/>
      <c r="S93" s="715"/>
      <c r="T93" s="715"/>
      <c r="U93" s="716"/>
    </row>
    <row r="94" spans="7:22" ht="14.25">
      <c r="G94" s="35"/>
      <c r="H94" s="38"/>
      <c r="I94" s="38"/>
      <c r="J94" s="38"/>
      <c r="K94" s="38"/>
      <c r="L94" s="38"/>
      <c r="M94" s="38"/>
      <c r="N94" s="38"/>
      <c r="O94" s="38"/>
      <c r="P94" s="38"/>
      <c r="Q94" s="2306" t="s">
        <v>251</v>
      </c>
      <c r="R94" s="2307"/>
      <c r="S94" s="2307"/>
      <c r="T94" s="2307"/>
      <c r="U94" s="2308">
        <f>U92/1000000</f>
        <v>0.12295760900581183</v>
      </c>
    </row>
    <row r="95" spans="7:22" ht="12.75">
      <c r="G95" s="35"/>
      <c r="H95" s="38"/>
      <c r="I95" s="38"/>
      <c r="J95" s="38"/>
      <c r="K95" s="38"/>
      <c r="L95" s="38"/>
      <c r="M95" s="38"/>
      <c r="N95" s="38"/>
      <c r="O95" s="38"/>
      <c r="P95" s="38"/>
      <c r="Q95" s="714"/>
      <c r="R95" s="715"/>
      <c r="S95" s="715"/>
      <c r="T95" s="715"/>
      <c r="U95" s="716"/>
    </row>
    <row r="96" spans="7:22" s="2201" customFormat="1" ht="14.25">
      <c r="G96" s="35"/>
      <c r="H96" s="1924"/>
      <c r="I96" s="1924"/>
      <c r="J96" s="1924"/>
      <c r="K96" s="1924"/>
      <c r="L96" s="1924"/>
      <c r="M96" s="1924"/>
      <c r="N96" s="1924"/>
      <c r="O96" s="1924"/>
      <c r="P96" s="1924"/>
      <c r="Q96" s="2305" t="s">
        <v>1393</v>
      </c>
      <c r="R96" s="2305"/>
      <c r="S96" s="2305"/>
      <c r="T96" s="2305"/>
      <c r="U96" s="2310">
        <f>(J70*0.907184/1000000)+U94</f>
        <v>0.3682429734658994</v>
      </c>
    </row>
    <row r="97" spans="7:21">
      <c r="G97" s="35"/>
      <c r="H97" s="38"/>
      <c r="I97" s="38"/>
      <c r="J97" s="38"/>
      <c r="K97" s="38"/>
      <c r="L97" s="38"/>
      <c r="M97" s="38"/>
      <c r="N97" s="38"/>
      <c r="O97" s="38"/>
      <c r="P97" s="38"/>
      <c r="Q97" s="38"/>
      <c r="R97" s="38"/>
      <c r="S97" s="38"/>
      <c r="T97" s="38"/>
      <c r="U97" s="175"/>
    </row>
    <row r="98" spans="7:21" ht="14.25">
      <c r="G98" s="35"/>
      <c r="H98" s="38"/>
      <c r="I98" s="38"/>
      <c r="J98" s="38"/>
      <c r="K98" s="38"/>
      <c r="L98" s="38"/>
      <c r="M98" s="38"/>
      <c r="N98" s="38"/>
      <c r="O98" s="38"/>
      <c r="P98" s="38"/>
      <c r="Q98" s="2311" t="s">
        <v>252</v>
      </c>
      <c r="R98" s="2312"/>
      <c r="S98" s="2312"/>
      <c r="T98" s="2312"/>
      <c r="U98" s="2313">
        <f>U90/1000000</f>
        <v>0.33425509300601169</v>
      </c>
    </row>
    <row r="99" spans="7:21" ht="12" thickBot="1">
      <c r="G99" s="39"/>
      <c r="H99" s="40"/>
      <c r="I99" s="40"/>
      <c r="J99" s="40"/>
      <c r="K99" s="40"/>
      <c r="L99" s="40"/>
      <c r="M99" s="40"/>
      <c r="N99" s="40"/>
      <c r="O99" s="40"/>
      <c r="P99" s="40"/>
      <c r="Q99" s="40"/>
      <c r="R99" s="40"/>
      <c r="S99" s="40"/>
      <c r="T99" s="40"/>
      <c r="U99" s="41"/>
    </row>
    <row r="100" spans="7:21" ht="12" thickTop="1"/>
  </sheetData>
  <sheetProtection password="CD58" sheet="1" objects="1" scenarios="1"/>
  <mergeCells count="8">
    <mergeCell ref="Q74:S74"/>
    <mergeCell ref="M76:N76"/>
    <mergeCell ref="M80:N80"/>
    <mergeCell ref="M82:N82"/>
    <mergeCell ref="G76:I76"/>
    <mergeCell ref="G77:I77"/>
    <mergeCell ref="G80:I80"/>
    <mergeCell ref="G82:I82"/>
  </mergeCells>
  <phoneticPr fontId="0" type="noConversion"/>
  <pageMargins left="0.75" right="0.75" top="1" bottom="1" header="0.5" footer="0.5"/>
  <pageSetup orientation="portrait" r:id="rId1"/>
  <headerFooter alignWithMargins="0"/>
  <drawing r:id="rId2"/>
  <legacyDrawing r:id="rId3"/>
</worksheet>
</file>

<file path=xl/worksheets/sheet18.xml><?xml version="1.0" encoding="utf-8"?>
<worksheet xmlns="http://schemas.openxmlformats.org/spreadsheetml/2006/main" xmlns:r="http://schemas.openxmlformats.org/officeDocument/2006/relationships">
  <dimension ref="A1:AF74"/>
  <sheetViews>
    <sheetView zoomScale="84" zoomScaleNormal="84" workbookViewId="0">
      <selection activeCell="M65" sqref="M65"/>
    </sheetView>
  </sheetViews>
  <sheetFormatPr defaultRowHeight="11.25"/>
  <cols>
    <col min="1" max="1" width="3.33203125" style="2059" customWidth="1"/>
    <col min="2" max="2" width="36.6640625" style="2059" customWidth="1"/>
    <col min="3" max="3" width="14.83203125" style="2059" customWidth="1"/>
    <col min="4" max="4" width="14.5" style="2059" bestFit="1" customWidth="1"/>
    <col min="5" max="5" width="11" style="2059" customWidth="1"/>
    <col min="6" max="6" width="11.5" style="2059" customWidth="1"/>
    <col min="7" max="7" width="11.1640625" style="2059" customWidth="1"/>
    <col min="8" max="8" width="10.83203125" style="2059" customWidth="1"/>
    <col min="9" max="11" width="9.5" style="2059" bestFit="1" customWidth="1"/>
    <col min="12" max="12" width="11.5" style="2059" bestFit="1" customWidth="1"/>
    <col min="13" max="13" width="12.5" style="2059" customWidth="1"/>
    <col min="14" max="14" width="11.1640625" style="2059" customWidth="1"/>
    <col min="15" max="15" width="13.83203125" style="2059" bestFit="1" customWidth="1"/>
    <col min="16" max="16" width="9.83203125" style="2059" bestFit="1" customWidth="1"/>
    <col min="17" max="17" width="13.5" style="2059" customWidth="1"/>
    <col min="18" max="18" width="15.5" style="2059" customWidth="1"/>
    <col min="19" max="19" width="14.6640625" style="2059" customWidth="1"/>
    <col min="20" max="20" width="15.6640625" style="2059" customWidth="1"/>
    <col min="21" max="21" width="15.33203125" style="2059" customWidth="1"/>
    <col min="22" max="22" width="13.83203125" style="2059" bestFit="1" customWidth="1"/>
    <col min="23" max="23" width="12.1640625" style="2059" customWidth="1"/>
    <col min="24" max="24" width="10" style="2059" customWidth="1"/>
    <col min="25" max="25" width="11" style="2059" customWidth="1"/>
    <col min="26" max="26" width="13.6640625" style="2059" customWidth="1"/>
    <col min="27" max="27" width="12.33203125" style="2059" customWidth="1"/>
    <col min="28" max="16384" width="9.33203125" style="2059"/>
  </cols>
  <sheetData>
    <row r="1" spans="1:29" ht="21">
      <c r="A1" s="482" t="s">
        <v>1316</v>
      </c>
      <c r="B1" s="229"/>
      <c r="C1" s="411"/>
      <c r="D1" s="411"/>
      <c r="E1" s="411"/>
      <c r="F1" s="411"/>
      <c r="G1" s="411"/>
      <c r="H1" s="411"/>
      <c r="I1" s="411"/>
      <c r="J1" s="411"/>
      <c r="K1" s="411"/>
      <c r="L1" s="411"/>
      <c r="M1" s="411"/>
      <c r="N1" s="411"/>
      <c r="O1" s="411"/>
      <c r="P1" s="411"/>
      <c r="Q1" s="411"/>
      <c r="R1" s="411"/>
      <c r="S1" s="411"/>
      <c r="T1" s="411"/>
      <c r="U1" s="411"/>
      <c r="V1" s="411"/>
      <c r="W1" s="411"/>
      <c r="X1" s="411"/>
      <c r="Y1" s="411"/>
      <c r="Z1" s="411"/>
      <c r="AA1" s="411"/>
      <c r="AB1" s="411"/>
      <c r="AC1" s="411"/>
    </row>
    <row r="2" spans="1:29" ht="15.75" thickBot="1">
      <c r="A2" s="411"/>
      <c r="B2" s="411"/>
      <c r="C2" s="411"/>
      <c r="D2" s="411"/>
      <c r="E2" s="411"/>
      <c r="F2" s="411"/>
      <c r="G2" s="411"/>
      <c r="H2" s="411"/>
      <c r="I2" s="411"/>
      <c r="J2" s="411"/>
      <c r="K2" s="411"/>
      <c r="L2" s="411"/>
      <c r="M2" s="411"/>
      <c r="N2" s="411"/>
      <c r="O2" s="411"/>
      <c r="P2" s="411"/>
      <c r="Q2" s="411"/>
      <c r="R2" s="411"/>
      <c r="S2" s="411"/>
      <c r="T2" s="411"/>
      <c r="U2" s="411"/>
      <c r="V2" s="411"/>
      <c r="W2" s="411"/>
      <c r="X2" s="411"/>
      <c r="Y2" s="411"/>
      <c r="Z2" s="411"/>
      <c r="AA2" s="411"/>
      <c r="AB2" s="411"/>
      <c r="AC2" s="411"/>
    </row>
    <row r="3" spans="1:29" ht="15.75" thickTop="1">
      <c r="A3" s="411"/>
      <c r="B3" s="3566"/>
      <c r="C3" s="3567"/>
      <c r="D3" s="2078"/>
      <c r="E3" s="2079"/>
      <c r="F3" s="2080"/>
      <c r="G3" s="2080"/>
      <c r="H3" s="2081"/>
      <c r="I3" s="411"/>
      <c r="J3" s="411"/>
      <c r="K3" s="411"/>
      <c r="L3" s="411"/>
      <c r="M3" s="411"/>
      <c r="N3" s="411"/>
      <c r="O3" s="411"/>
      <c r="P3" s="411"/>
      <c r="Q3" s="411"/>
      <c r="R3" s="411"/>
      <c r="S3" s="411"/>
      <c r="T3" s="411"/>
      <c r="U3" s="411"/>
      <c r="V3" s="411"/>
      <c r="W3" s="411"/>
      <c r="X3" s="411"/>
      <c r="Y3" s="411"/>
      <c r="Z3" s="411"/>
      <c r="AA3" s="411"/>
      <c r="AB3" s="411"/>
      <c r="AC3" s="411"/>
    </row>
    <row r="4" spans="1:29" ht="18">
      <c r="A4" s="411"/>
      <c r="B4" s="3568" t="s">
        <v>1317</v>
      </c>
      <c r="C4" s="3569"/>
      <c r="D4" s="1813">
        <v>44.01</v>
      </c>
      <c r="E4" s="2082" t="s">
        <v>1318</v>
      </c>
      <c r="F4" s="2083"/>
      <c r="G4" s="2083"/>
      <c r="H4" s="2084"/>
      <c r="I4" s="411"/>
      <c r="J4" s="411"/>
      <c r="K4" s="411"/>
      <c r="L4" s="411"/>
      <c r="M4" s="411"/>
      <c r="N4" s="411"/>
      <c r="O4" s="411"/>
      <c r="P4" s="411"/>
      <c r="Q4" s="411"/>
      <c r="R4" s="411"/>
      <c r="S4" s="411"/>
      <c r="T4" s="411"/>
      <c r="U4" s="411"/>
      <c r="V4" s="411"/>
      <c r="W4" s="411"/>
      <c r="X4" s="411"/>
      <c r="Y4" s="411"/>
      <c r="Z4" s="411"/>
      <c r="AA4" s="411"/>
      <c r="AB4" s="411"/>
      <c r="AC4" s="411"/>
    </row>
    <row r="5" spans="1:29" ht="18">
      <c r="A5" s="411"/>
      <c r="B5" s="3568" t="s">
        <v>1319</v>
      </c>
      <c r="C5" s="3569"/>
      <c r="D5" s="2085">
        <v>16.044</v>
      </c>
      <c r="E5" s="2082" t="s">
        <v>1318</v>
      </c>
      <c r="F5" s="2083"/>
      <c r="G5" s="2083"/>
      <c r="H5" s="2084"/>
      <c r="I5" s="411"/>
      <c r="J5" s="411"/>
      <c r="K5" s="411"/>
      <c r="L5" s="411"/>
      <c r="M5" s="411"/>
      <c r="N5" s="411"/>
      <c r="O5" s="411"/>
      <c r="P5" s="411"/>
      <c r="Q5" s="411"/>
      <c r="R5" s="411"/>
      <c r="S5" s="411"/>
      <c r="T5" s="411"/>
      <c r="U5" s="411"/>
      <c r="V5" s="411"/>
      <c r="W5" s="411"/>
      <c r="X5" s="411"/>
      <c r="Y5" s="411"/>
      <c r="Z5" s="411"/>
      <c r="AA5" s="411"/>
      <c r="AB5" s="411"/>
      <c r="AC5" s="411"/>
    </row>
    <row r="6" spans="1:29" ht="17.25">
      <c r="A6" s="411"/>
      <c r="B6" s="3568" t="s">
        <v>1320</v>
      </c>
      <c r="C6" s="3569"/>
      <c r="D6" s="1813">
        <v>8.2050000000000002E-5</v>
      </c>
      <c r="E6" s="2082" t="s">
        <v>1321</v>
      </c>
      <c r="F6" s="2083"/>
      <c r="G6" s="2083"/>
      <c r="H6" s="2084"/>
      <c r="I6" s="2086"/>
      <c r="J6" s="2086"/>
      <c r="K6" s="2086"/>
      <c r="L6" s="411"/>
      <c r="M6" s="411"/>
      <c r="N6" s="411"/>
      <c r="O6" s="411"/>
      <c r="P6" s="411"/>
      <c r="Q6" s="411"/>
      <c r="R6" s="411"/>
      <c r="S6" s="411"/>
      <c r="T6" s="411"/>
      <c r="U6" s="411"/>
      <c r="V6" s="411"/>
      <c r="W6" s="411"/>
      <c r="X6" s="411"/>
      <c r="Y6" s="411"/>
      <c r="Z6" s="411"/>
      <c r="AA6" s="411"/>
      <c r="AB6" s="411"/>
      <c r="AC6" s="411"/>
    </row>
    <row r="7" spans="1:29" ht="17.25">
      <c r="A7" s="411"/>
      <c r="B7" s="3568" t="s">
        <v>1322</v>
      </c>
      <c r="C7" s="3569"/>
      <c r="D7" s="1813">
        <v>25</v>
      </c>
      <c r="E7" s="2082" t="s">
        <v>1323</v>
      </c>
      <c r="F7" s="2083"/>
      <c r="G7" s="2083">
        <f>D7+273</f>
        <v>298</v>
      </c>
      <c r="H7" s="2084" t="s">
        <v>1324</v>
      </c>
      <c r="I7" s="2086"/>
      <c r="J7" s="2086"/>
      <c r="K7" s="2086"/>
      <c r="L7" s="411"/>
      <c r="M7" s="411"/>
      <c r="N7" s="411"/>
      <c r="O7" s="411"/>
      <c r="P7" s="411"/>
      <c r="Q7" s="411"/>
      <c r="R7" s="411"/>
      <c r="S7" s="411"/>
      <c r="T7" s="411"/>
      <c r="U7" s="411"/>
      <c r="V7" s="411"/>
      <c r="W7" s="411"/>
      <c r="X7" s="411"/>
      <c r="Y7" s="411"/>
      <c r="Z7" s="411"/>
      <c r="AA7" s="411"/>
      <c r="AB7" s="411"/>
      <c r="AC7" s="411"/>
    </row>
    <row r="8" spans="1:29" ht="17.25">
      <c r="A8" s="411"/>
      <c r="B8" s="3563" t="s">
        <v>1325</v>
      </c>
      <c r="C8" s="3565"/>
      <c r="D8" s="2087"/>
      <c r="E8" s="2082"/>
      <c r="F8" s="2083"/>
      <c r="G8" s="2083"/>
      <c r="H8" s="2084"/>
      <c r="I8" s="2086"/>
      <c r="J8" s="2086"/>
      <c r="K8" s="2086"/>
      <c r="L8" s="411"/>
      <c r="M8" s="411"/>
      <c r="N8" s="411"/>
      <c r="O8" s="411"/>
      <c r="P8" s="411"/>
      <c r="Q8" s="411"/>
      <c r="R8" s="411"/>
      <c r="S8" s="411"/>
      <c r="T8" s="411"/>
      <c r="U8" s="411"/>
      <c r="V8" s="411"/>
      <c r="W8" s="411"/>
      <c r="X8" s="411"/>
      <c r="Y8" s="411"/>
      <c r="Z8" s="411"/>
      <c r="AA8" s="411"/>
      <c r="AB8" s="411"/>
      <c r="AC8" s="411"/>
    </row>
    <row r="9" spans="1:29" ht="15">
      <c r="A9" s="411"/>
      <c r="B9" s="2088" t="s">
        <v>1326</v>
      </c>
      <c r="C9" s="2089"/>
      <c r="D9" s="1813"/>
      <c r="E9" s="2082"/>
      <c r="F9" s="2083"/>
      <c r="G9" s="2083"/>
      <c r="H9" s="2084"/>
      <c r="I9" s="2086"/>
      <c r="J9" s="2086"/>
      <c r="K9" s="2086"/>
      <c r="L9" s="411"/>
      <c r="M9" s="411"/>
      <c r="N9" s="411"/>
      <c r="O9" s="411"/>
      <c r="P9" s="411"/>
      <c r="Q9" s="411"/>
      <c r="R9" s="411"/>
      <c r="S9" s="411"/>
      <c r="T9" s="411"/>
      <c r="U9" s="411"/>
      <c r="V9" s="411"/>
      <c r="W9" s="411"/>
      <c r="X9" s="411"/>
      <c r="Y9" s="411"/>
      <c r="Z9" s="411"/>
      <c r="AA9" s="411"/>
      <c r="AB9" s="411"/>
      <c r="AC9" s="411"/>
    </row>
    <row r="10" spans="1:29" ht="15">
      <c r="A10" s="411"/>
      <c r="B10" s="3561" t="s">
        <v>1327</v>
      </c>
      <c r="C10" s="3562"/>
      <c r="D10" s="1813"/>
      <c r="E10" s="2082"/>
      <c r="F10" s="2083"/>
      <c r="G10" s="2083"/>
      <c r="H10" s="2084"/>
      <c r="I10" s="2086"/>
      <c r="J10" s="2086"/>
      <c r="K10" s="2086"/>
      <c r="L10" s="411"/>
      <c r="M10" s="411"/>
      <c r="N10" s="411"/>
      <c r="O10" s="411"/>
      <c r="P10" s="411"/>
      <c r="Q10" s="411"/>
      <c r="R10" s="411"/>
      <c r="S10" s="411"/>
      <c r="T10" s="411"/>
      <c r="U10" s="411"/>
      <c r="V10" s="411"/>
      <c r="W10" s="411"/>
      <c r="X10" s="411"/>
      <c r="Y10" s="411"/>
      <c r="Z10" s="411"/>
      <c r="AA10" s="411"/>
      <c r="AB10" s="411"/>
      <c r="AC10" s="411"/>
    </row>
    <row r="11" spans="1:29" ht="15">
      <c r="A11" s="411"/>
      <c r="B11" s="2090" t="s">
        <v>1328</v>
      </c>
      <c r="C11" s="2091"/>
      <c r="D11" s="1818">
        <v>1</v>
      </c>
      <c r="E11" s="2092" t="s">
        <v>1329</v>
      </c>
      <c r="F11" s="2093"/>
      <c r="G11" s="2093"/>
      <c r="H11" s="2094"/>
      <c r="I11" s="2086"/>
      <c r="J11" s="2086"/>
      <c r="K11" s="2086"/>
      <c r="L11" s="411"/>
      <c r="M11" s="411"/>
      <c r="N11" s="411"/>
      <c r="O11" s="411"/>
      <c r="P11" s="411"/>
      <c r="Q11" s="411"/>
      <c r="R11" s="411"/>
      <c r="S11" s="411"/>
      <c r="T11" s="411"/>
      <c r="U11" s="411"/>
      <c r="V11" s="411"/>
      <c r="W11" s="411"/>
      <c r="X11" s="411"/>
      <c r="Y11" s="411"/>
      <c r="Z11" s="411"/>
      <c r="AA11" s="411"/>
      <c r="AB11" s="411"/>
      <c r="AC11" s="411"/>
    </row>
    <row r="12" spans="1:29" ht="15">
      <c r="A12" s="411"/>
      <c r="B12" s="3563"/>
      <c r="C12" s="3564"/>
      <c r="D12" s="1818"/>
      <c r="E12" s="2092"/>
      <c r="F12" s="2093"/>
      <c r="G12" s="2093"/>
      <c r="H12" s="2094"/>
      <c r="I12" s="2086"/>
      <c r="J12" s="2086"/>
      <c r="K12" s="2086"/>
      <c r="L12" s="411"/>
      <c r="M12" s="411"/>
      <c r="N12" s="411"/>
      <c r="O12" s="411"/>
      <c r="P12" s="411"/>
      <c r="Q12" s="411"/>
      <c r="R12" s="411"/>
      <c r="S12" s="411"/>
      <c r="T12" s="411"/>
      <c r="U12" s="411"/>
      <c r="V12" s="411"/>
      <c r="W12" s="411"/>
      <c r="X12" s="411"/>
      <c r="Y12" s="411"/>
      <c r="Z12" s="411"/>
      <c r="AA12" s="411"/>
      <c r="AB12" s="411"/>
      <c r="AC12" s="411"/>
    </row>
    <row r="13" spans="1:29" ht="18">
      <c r="A13" s="411"/>
      <c r="B13" s="2090" t="s">
        <v>1330</v>
      </c>
      <c r="C13" s="2091"/>
      <c r="D13" s="1818">
        <v>1000</v>
      </c>
      <c r="E13" s="2092" t="s">
        <v>74</v>
      </c>
      <c r="F13" s="2093"/>
      <c r="G13" s="2093"/>
      <c r="H13" s="2094"/>
      <c r="I13" s="2086"/>
      <c r="J13" s="2086"/>
      <c r="K13" s="2086"/>
      <c r="L13" s="411"/>
      <c r="M13" s="411"/>
      <c r="N13" s="411"/>
      <c r="O13" s="411"/>
      <c r="P13" s="411"/>
      <c r="Q13" s="411"/>
      <c r="R13" s="411"/>
      <c r="S13" s="411"/>
      <c r="T13" s="411"/>
      <c r="U13" s="411"/>
      <c r="V13" s="411"/>
      <c r="W13" s="411"/>
      <c r="X13" s="411"/>
      <c r="Y13" s="411"/>
      <c r="Z13" s="411"/>
      <c r="AA13" s="411"/>
      <c r="AB13" s="411"/>
      <c r="AC13" s="411"/>
    </row>
    <row r="14" spans="1:29" ht="15">
      <c r="A14" s="411"/>
      <c r="B14" s="3563"/>
      <c r="C14" s="3564"/>
      <c r="D14" s="2095"/>
      <c r="E14" s="2092"/>
      <c r="F14" s="2093"/>
      <c r="G14" s="2093"/>
      <c r="H14" s="2094"/>
      <c r="I14" s="2086"/>
      <c r="J14" s="2086"/>
      <c r="K14" s="2086"/>
      <c r="L14" s="411"/>
      <c r="M14" s="411"/>
      <c r="N14" s="411"/>
      <c r="O14" s="411"/>
      <c r="P14" s="411"/>
      <c r="Q14" s="411"/>
      <c r="R14" s="411"/>
      <c r="S14" s="411"/>
      <c r="T14" s="411"/>
      <c r="U14" s="411"/>
      <c r="V14" s="411"/>
      <c r="W14" s="411"/>
      <c r="X14" s="411"/>
      <c r="Y14" s="411"/>
      <c r="Z14" s="411"/>
      <c r="AA14" s="411"/>
      <c r="AB14" s="411"/>
      <c r="AC14" s="411"/>
    </row>
    <row r="15" spans="1:29" ht="18">
      <c r="A15" s="411"/>
      <c r="B15" s="2090" t="s">
        <v>1331</v>
      </c>
      <c r="C15" s="2091"/>
      <c r="D15" s="2095">
        <v>0.98</v>
      </c>
      <c r="E15" s="2092"/>
      <c r="F15" s="2093"/>
      <c r="G15" s="2093"/>
      <c r="H15" s="2094"/>
      <c r="I15" s="2086"/>
      <c r="J15" s="2086"/>
      <c r="K15" s="2086"/>
      <c r="L15" s="411"/>
      <c r="M15" s="411"/>
      <c r="N15" s="411"/>
      <c r="O15" s="411"/>
      <c r="P15" s="411"/>
      <c r="Q15" s="411"/>
      <c r="R15" s="411"/>
      <c r="S15" s="411"/>
      <c r="T15" s="411"/>
      <c r="U15" s="411"/>
      <c r="V15" s="411"/>
      <c r="W15" s="411"/>
      <c r="X15" s="411"/>
      <c r="Y15" s="411"/>
      <c r="Z15" s="411"/>
      <c r="AA15" s="411"/>
      <c r="AB15" s="411"/>
      <c r="AC15" s="411"/>
    </row>
    <row r="16" spans="1:29" ht="15">
      <c r="A16" s="411"/>
      <c r="B16" s="2090" t="s">
        <v>1332</v>
      </c>
      <c r="C16" s="2091"/>
      <c r="D16" s="2095">
        <v>0.99909999999999999</v>
      </c>
      <c r="E16" s="2092"/>
      <c r="F16" s="2093"/>
      <c r="G16" s="2093"/>
      <c r="H16" s="2094"/>
      <c r="I16" s="2086"/>
      <c r="J16" s="2086"/>
      <c r="K16" s="2086"/>
      <c r="L16" s="411"/>
      <c r="M16" s="411"/>
      <c r="N16" s="411"/>
      <c r="O16" s="411"/>
      <c r="P16" s="411"/>
      <c r="Q16" s="411"/>
      <c r="R16" s="411"/>
      <c r="S16" s="411"/>
      <c r="T16" s="411"/>
      <c r="U16" s="411"/>
      <c r="V16" s="411"/>
      <c r="W16" s="411"/>
      <c r="X16" s="411"/>
      <c r="Y16" s="411"/>
      <c r="Z16" s="411"/>
      <c r="AA16" s="411"/>
      <c r="AB16" s="411"/>
      <c r="AC16" s="411"/>
    </row>
    <row r="17" spans="1:32" ht="15">
      <c r="A17" s="411"/>
      <c r="B17" s="2090" t="s">
        <v>1333</v>
      </c>
      <c r="C17" s="2091"/>
      <c r="D17" s="2095">
        <v>0.98</v>
      </c>
      <c r="E17" s="2092"/>
      <c r="F17" s="2093"/>
      <c r="G17" s="2093"/>
      <c r="H17" s="2094"/>
      <c r="I17" s="2086"/>
      <c r="J17" s="2086"/>
      <c r="K17" s="2086"/>
      <c r="L17" s="411"/>
      <c r="M17" s="411"/>
      <c r="N17" s="411"/>
      <c r="O17" s="411"/>
      <c r="P17" s="411"/>
      <c r="Q17" s="411"/>
      <c r="R17" s="411"/>
      <c r="S17" s="411"/>
      <c r="T17" s="411"/>
      <c r="U17" s="411"/>
      <c r="V17" s="411"/>
      <c r="W17" s="411"/>
      <c r="X17" s="411"/>
      <c r="Y17" s="411"/>
      <c r="Z17" s="411"/>
      <c r="AA17" s="411"/>
      <c r="AB17" s="411"/>
      <c r="AC17" s="411"/>
    </row>
    <row r="18" spans="1:32" ht="15">
      <c r="A18" s="411"/>
      <c r="B18" s="3563"/>
      <c r="C18" s="3564"/>
      <c r="D18" s="2096"/>
      <c r="E18" s="2092"/>
      <c r="F18" s="2093"/>
      <c r="G18" s="2093"/>
      <c r="H18" s="2094"/>
      <c r="I18" s="2086"/>
      <c r="J18" s="2086"/>
      <c r="K18" s="2086"/>
      <c r="L18" s="411"/>
      <c r="M18" s="411"/>
      <c r="N18" s="411"/>
      <c r="O18" s="411"/>
      <c r="P18" s="411"/>
      <c r="Q18" s="411"/>
      <c r="R18" s="411"/>
      <c r="S18" s="411"/>
      <c r="T18" s="411"/>
      <c r="U18" s="411"/>
      <c r="V18" s="411"/>
      <c r="W18" s="411"/>
      <c r="X18" s="411"/>
      <c r="Y18" s="411"/>
      <c r="Z18" s="411"/>
      <c r="AA18" s="411"/>
      <c r="AB18" s="411"/>
      <c r="AC18" s="411"/>
    </row>
    <row r="19" spans="1:32" ht="18.75" thickBot="1">
      <c r="A19" s="411"/>
      <c r="B19" s="2097" t="s">
        <v>1334</v>
      </c>
      <c r="C19" s="2098"/>
      <c r="D19" s="2099">
        <v>1.25</v>
      </c>
      <c r="E19" s="2100" t="s">
        <v>1335</v>
      </c>
      <c r="F19" s="2101"/>
      <c r="G19" s="2101"/>
      <c r="H19" s="2102"/>
      <c r="I19" s="2086"/>
      <c r="J19" s="2086"/>
      <c r="K19" s="2086"/>
      <c r="L19" s="411"/>
      <c r="M19" s="411"/>
      <c r="N19" s="411"/>
      <c r="O19" s="411"/>
      <c r="P19" s="411"/>
      <c r="Q19" s="411"/>
      <c r="R19" s="411"/>
      <c r="S19" s="411"/>
      <c r="T19" s="411"/>
      <c r="U19" s="411"/>
      <c r="V19" s="411"/>
      <c r="W19" s="411"/>
      <c r="X19" s="411"/>
      <c r="Y19" s="411"/>
      <c r="Z19" s="411"/>
      <c r="AA19" s="411"/>
      <c r="AB19" s="411"/>
      <c r="AC19" s="411"/>
    </row>
    <row r="20" spans="1:32" ht="15.75" thickTop="1">
      <c r="A20" s="411"/>
      <c r="B20" s="404"/>
      <c r="C20" s="404"/>
      <c r="D20" s="404"/>
      <c r="E20" s="404"/>
      <c r="F20" s="404"/>
      <c r="G20" s="404"/>
      <c r="H20" s="404"/>
      <c r="I20" s="2086"/>
      <c r="J20" s="2086"/>
      <c r="K20" s="2086"/>
      <c r="L20" s="411"/>
      <c r="M20" s="411"/>
      <c r="N20" s="411"/>
      <c r="O20" s="411"/>
      <c r="P20" s="411"/>
      <c r="Q20" s="411"/>
      <c r="R20" s="411"/>
      <c r="S20" s="411"/>
      <c r="T20" s="411"/>
      <c r="U20" s="411"/>
      <c r="V20" s="411"/>
      <c r="W20" s="411"/>
      <c r="X20" s="411"/>
      <c r="Y20" s="411"/>
      <c r="Z20" s="411"/>
      <c r="AA20" s="411"/>
      <c r="AB20" s="411"/>
      <c r="AC20" s="411"/>
    </row>
    <row r="21" spans="1:32" ht="15.75" thickBot="1">
      <c r="A21" s="411"/>
      <c r="B21" s="411"/>
      <c r="C21" s="411"/>
      <c r="D21" s="411"/>
      <c r="E21" s="411"/>
      <c r="F21" s="411"/>
      <c r="G21" s="411"/>
      <c r="H21" s="2086"/>
      <c r="I21" s="2086"/>
      <c r="J21" s="2086"/>
      <c r="K21" s="2086"/>
      <c r="L21" s="411"/>
      <c r="M21" s="411"/>
      <c r="N21" s="411"/>
      <c r="O21" s="411"/>
      <c r="P21" s="411"/>
      <c r="Q21" s="411"/>
      <c r="R21" s="411"/>
      <c r="S21" s="411"/>
      <c r="T21" s="411"/>
      <c r="U21" s="411"/>
      <c r="V21" s="411"/>
      <c r="W21" s="411"/>
      <c r="X21" s="411"/>
      <c r="Y21" s="411"/>
      <c r="Z21" s="411"/>
      <c r="AA21" s="411"/>
      <c r="AB21" s="411"/>
      <c r="AC21" s="411"/>
    </row>
    <row r="22" spans="1:32" ht="24" customHeight="1" thickTop="1">
      <c r="A22" s="411"/>
      <c r="B22" s="2205"/>
      <c r="C22" s="3552"/>
      <c r="D22" s="3553"/>
      <c r="E22" s="3554"/>
      <c r="F22" s="2103"/>
      <c r="G22" s="2103"/>
      <c r="H22" s="2103"/>
      <c r="I22" s="3552"/>
      <c r="J22" s="3553"/>
      <c r="K22" s="3554"/>
      <c r="L22" s="2104"/>
      <c r="M22" s="3552"/>
      <c r="N22" s="3553"/>
      <c r="O22" s="3554"/>
      <c r="P22" s="2105"/>
      <c r="Q22" s="2106"/>
      <c r="R22" s="2103"/>
      <c r="S22" s="2107"/>
      <c r="T22" s="2108"/>
      <c r="U22" s="2109"/>
      <c r="V22" s="2106"/>
      <c r="W22" s="2110"/>
      <c r="X22" s="2103"/>
      <c r="Y22" s="2103"/>
      <c r="Z22" s="2103"/>
      <c r="AA22" s="2103"/>
      <c r="AB22" s="411"/>
      <c r="AC22" s="411"/>
    </row>
    <row r="23" spans="1:32" ht="260.25" thickBot="1">
      <c r="A23" s="411"/>
      <c r="B23" s="2206"/>
      <c r="C23" s="3555" t="s">
        <v>1336</v>
      </c>
      <c r="D23" s="3556"/>
      <c r="E23" s="3557"/>
      <c r="F23" s="2111" t="s">
        <v>1337</v>
      </c>
      <c r="G23" s="2111" t="s">
        <v>1338</v>
      </c>
      <c r="H23" s="2112" t="s">
        <v>1339</v>
      </c>
      <c r="I23" s="3558" t="s">
        <v>1340</v>
      </c>
      <c r="J23" s="3559"/>
      <c r="K23" s="3560"/>
      <c r="L23" s="2113" t="s">
        <v>1376</v>
      </c>
      <c r="M23" s="3558" t="s">
        <v>1375</v>
      </c>
      <c r="N23" s="3559"/>
      <c r="O23" s="3560"/>
      <c r="P23" s="2114" t="s">
        <v>1341</v>
      </c>
      <c r="Q23" s="2111" t="s">
        <v>1342</v>
      </c>
      <c r="R23" s="2111" t="s">
        <v>1343</v>
      </c>
      <c r="S23" s="2115" t="s">
        <v>1344</v>
      </c>
      <c r="T23" s="2116" t="s">
        <v>1377</v>
      </c>
      <c r="U23" s="2117" t="s">
        <v>1378</v>
      </c>
      <c r="V23" s="2118" t="s">
        <v>1345</v>
      </c>
      <c r="W23" s="2119" t="s">
        <v>1346</v>
      </c>
      <c r="X23" s="2111" t="s">
        <v>1347</v>
      </c>
      <c r="Y23" s="2111" t="s">
        <v>1348</v>
      </c>
      <c r="Z23" s="2111" t="s">
        <v>1349</v>
      </c>
      <c r="AA23" s="2111" t="s">
        <v>1350</v>
      </c>
      <c r="AB23" s="2120"/>
      <c r="AC23" s="2120"/>
      <c r="AD23" s="2121"/>
      <c r="AE23" s="2121"/>
      <c r="AF23" s="2121"/>
    </row>
    <row r="24" spans="1:32" ht="15">
      <c r="A24" s="411"/>
      <c r="B24" s="2122"/>
      <c r="C24" s="2123" t="s">
        <v>1351</v>
      </c>
      <c r="D24" s="2124" t="s">
        <v>1352</v>
      </c>
      <c r="E24" s="2125" t="s">
        <v>1353</v>
      </c>
      <c r="F24" s="2126"/>
      <c r="G24" s="2126"/>
      <c r="H24" s="2127"/>
      <c r="I24" s="2123" t="s">
        <v>1351</v>
      </c>
      <c r="J24" s="2124" t="s">
        <v>1352</v>
      </c>
      <c r="K24" s="2125" t="s">
        <v>1353</v>
      </c>
      <c r="L24" s="2128"/>
      <c r="M24" s="2129" t="s">
        <v>1351</v>
      </c>
      <c r="N24" s="2130" t="s">
        <v>1352</v>
      </c>
      <c r="O24" s="2131" t="s">
        <v>1353</v>
      </c>
      <c r="P24" s="2132"/>
      <c r="Q24" s="2126"/>
      <c r="R24" s="2126"/>
      <c r="S24" s="2133"/>
      <c r="T24" s="2134"/>
      <c r="U24" s="2135"/>
      <c r="V24" s="2136"/>
      <c r="W24" s="2137"/>
      <c r="X24" s="2126"/>
      <c r="Y24" s="2126"/>
      <c r="Z24" s="2126"/>
      <c r="AA24" s="2126"/>
      <c r="AB24" s="411"/>
      <c r="AC24" s="411"/>
    </row>
    <row r="25" spans="1:32" ht="15">
      <c r="A25" s="411"/>
      <c r="B25" s="2138"/>
      <c r="C25" s="2139"/>
      <c r="D25" s="2139"/>
      <c r="E25" s="2139"/>
      <c r="F25" s="2140"/>
      <c r="G25" s="2141"/>
      <c r="H25" s="2142"/>
      <c r="I25" s="2143"/>
      <c r="J25" s="2143"/>
      <c r="K25" s="2143"/>
      <c r="L25" s="2144"/>
      <c r="M25" s="2145"/>
      <c r="N25" s="2145"/>
      <c r="O25" s="2145"/>
      <c r="P25" s="2146"/>
      <c r="Q25" s="2141"/>
      <c r="R25" s="2140"/>
      <c r="S25" s="2147"/>
      <c r="T25" s="2148"/>
      <c r="U25" s="2149"/>
      <c r="V25" s="2150"/>
      <c r="W25" s="2151"/>
      <c r="X25" s="2152"/>
      <c r="Y25" s="2153"/>
      <c r="Z25" s="2153"/>
      <c r="AA25" s="2152"/>
      <c r="AB25" s="411"/>
      <c r="AC25" s="411"/>
    </row>
    <row r="26" spans="1:32" ht="15">
      <c r="A26" s="411"/>
      <c r="B26" s="2138" t="s">
        <v>1354</v>
      </c>
      <c r="C26" s="2139">
        <v>21.077999999999999</v>
      </c>
      <c r="D26" s="2139">
        <v>0</v>
      </c>
      <c r="E26" s="2139">
        <v>101.622</v>
      </c>
      <c r="F26" s="2140">
        <f>SUM(C26:E26)</f>
        <v>122.7</v>
      </c>
      <c r="G26" s="2141">
        <v>0.45</v>
      </c>
      <c r="H26" s="2142">
        <v>0.34499999999999997</v>
      </c>
      <c r="I26" s="2143">
        <f>C26*G26</f>
        <v>9.4850999999999992</v>
      </c>
      <c r="J26" s="2143">
        <f>D26*G26</f>
        <v>0</v>
      </c>
      <c r="K26" s="2143">
        <f>E26*G26</f>
        <v>45.729900000000001</v>
      </c>
      <c r="L26" s="2144">
        <f>SUM(I26:K26)</f>
        <v>55.215000000000003</v>
      </c>
      <c r="M26" s="2145">
        <f>((I26*1000000)/35.31)*($D$5/($D$6*$G$7))*0.0000011023</f>
        <v>194.29508189945128</v>
      </c>
      <c r="N26" s="2145">
        <f>((J26*1000000)/35.31)*($D$5/($D$6*$G$7))*0.0000011023</f>
        <v>0</v>
      </c>
      <c r="O26" s="2145">
        <f>((K26*1000000)/35.31)*($D$5/($D$6*$G$7))*0.0000011023</f>
        <v>936.74232910077035</v>
      </c>
      <c r="P26" s="2146">
        <v>133.6</v>
      </c>
      <c r="Q26" s="2141">
        <f>L26/P26</f>
        <v>0.41328592814371262</v>
      </c>
      <c r="R26" s="2140">
        <f>((F26*H26*((1-Q26)/Q26)*1000000))/35.31</f>
        <v>1701930.5201548187</v>
      </c>
      <c r="S26" s="2147">
        <f>((R26*$D$4)/($D$6*$G$7))*0.00000110231</f>
        <v>3376.7747585519746</v>
      </c>
      <c r="T26" s="2155">
        <f>(C26*($G$26+$H$26)*1000000/35.31)*($D$4/($D$6*$G$7))*0.00000110231</f>
        <v>941.58401640957857</v>
      </c>
      <c r="U26" s="2156">
        <f>(D26*($G$26+$H$26)*1000000/35.31)*($D$4/($D$6*$G$7))*0.00000110231</f>
        <v>0</v>
      </c>
      <c r="V26" s="2157">
        <f>(E26*($G$26+$H$26)*1000000/35.31)*($D$4/($D$6*$G$7))*0.00000110231</f>
        <v>4539.5982026555739</v>
      </c>
      <c r="W26" s="2158">
        <f>(((F26*G26)*((1-Q26)/Q26))*1000000/35.31)*($D$5/($D$6*$G$7))*0.0000011023</f>
        <v>1605.6572935117695</v>
      </c>
      <c r="X26" s="2159">
        <f>(((C26*G26)*(1-$D$15))*1000000/35.31)*($D$5/($D$6*$G$7))*0.0000011023</f>
        <v>3.8859016379890283</v>
      </c>
      <c r="Y26" s="2160">
        <f>(((D26*Z26)*$D$19))/2000</f>
        <v>0</v>
      </c>
      <c r="Z26" s="2139">
        <f>G26*$D$13</f>
        <v>450</v>
      </c>
      <c r="AA26" s="1820">
        <f>(((E26*Z26)*$D$19))/2000</f>
        <v>28.581187499999999</v>
      </c>
      <c r="AB26" s="411"/>
      <c r="AC26" s="411"/>
    </row>
    <row r="27" spans="1:32" ht="15">
      <c r="A27" s="411"/>
      <c r="B27" s="2138"/>
      <c r="C27" s="2139"/>
      <c r="D27" s="2139"/>
      <c r="E27" s="2139"/>
      <c r="F27" s="2140"/>
      <c r="G27" s="2141"/>
      <c r="H27" s="2142"/>
      <c r="I27" s="2143"/>
      <c r="J27" s="2143"/>
      <c r="K27" s="2143"/>
      <c r="L27" s="2144"/>
      <c r="M27" s="2145"/>
      <c r="N27" s="2145"/>
      <c r="O27" s="2145"/>
      <c r="P27" s="2146"/>
      <c r="Q27" s="2141"/>
      <c r="R27" s="2140"/>
      <c r="S27" s="2154"/>
      <c r="T27" s="2155"/>
      <c r="U27" s="2161"/>
      <c r="V27" s="2157"/>
      <c r="W27" s="2158"/>
      <c r="X27" s="2159"/>
      <c r="Y27" s="2159"/>
      <c r="Z27" s="2153"/>
      <c r="AA27" s="1821"/>
      <c r="AB27" s="411"/>
      <c r="AC27" s="411"/>
    </row>
    <row r="28" spans="1:32" ht="15">
      <c r="A28" s="411"/>
      <c r="B28" s="2138" t="s">
        <v>1355</v>
      </c>
      <c r="C28" s="2139">
        <v>154.71</v>
      </c>
      <c r="D28" s="2139">
        <f>2.366+239.83</f>
        <v>242.19600000000003</v>
      </c>
      <c r="E28" s="2139">
        <f>899.434</f>
        <v>899.43399999999997</v>
      </c>
      <c r="F28" s="2140">
        <f>SUM(C28:E28)</f>
        <v>1296.3400000000001</v>
      </c>
      <c r="G28" s="2141">
        <v>0.46800000000000003</v>
      </c>
      <c r="H28" s="2142">
        <v>0.36099999999999999</v>
      </c>
      <c r="I28" s="2143">
        <f>C28*G28</f>
        <v>72.404280000000014</v>
      </c>
      <c r="J28" s="2143">
        <f>D28*G28</f>
        <v>113.34772800000002</v>
      </c>
      <c r="K28" s="2143">
        <f>E28*G28</f>
        <v>420.935112</v>
      </c>
      <c r="L28" s="2144">
        <f>SUM(I28:K28)</f>
        <v>606.68712000000005</v>
      </c>
      <c r="M28" s="2145">
        <f>((I28*1000000)/35.31)*($D$5/($D$6*$G$7))*0.0000011023</f>
        <v>1483.1467788922421</v>
      </c>
      <c r="N28" s="2145">
        <f>((J28*1000000)/35.31)*($D$5/($D$6*$G$7))*0.0000011023</f>
        <v>2321.8422678597726</v>
      </c>
      <c r="O28" s="2145">
        <f>((K28*1000000)/35.31)*($D$5/($D$6*$G$7))*0.0000011023</f>
        <v>8622.5366164188763</v>
      </c>
      <c r="P28" s="2146">
        <f>(229100000+681000000)/1000000</f>
        <v>910.1</v>
      </c>
      <c r="Q28" s="2141">
        <f>L28/P28</f>
        <v>0.66661588836391605</v>
      </c>
      <c r="R28" s="2140">
        <f>((F28*H28*((1-Q28)/Q28)*1000000))/35.31</f>
        <v>6628231.1298946803</v>
      </c>
      <c r="S28" s="2154">
        <f>((R28*$D$4)/($D$6*$G$7))*0.00000110231</f>
        <v>13150.973737306724</v>
      </c>
      <c r="T28" s="2155">
        <f>(C28*($G$28+$H$28)*1000000/35.31)*($D$4/($D$6*$G$7))*0.00000110231</f>
        <v>7206.6837684744351</v>
      </c>
      <c r="U28" s="2161">
        <f>(D28*($G$28+$H$28)*1000000/35.31)*($D$4/($D$6*$G$7))*0.00000110231</f>
        <v>11281.946751919295</v>
      </c>
      <c r="V28" s="2157">
        <f>(E28*($G$28+$H$28)*1000000/35.31)*($D$4/($D$6*$G$7))*0.00000110231</f>
        <v>41897.333130463681</v>
      </c>
      <c r="W28" s="2158">
        <f>(((F28*G28)*((1-Q28)/Q28))*1000000/35.31)*($D$5/($D$6*$G$7))*0.0000011023</f>
        <v>6215.1827992270382</v>
      </c>
      <c r="X28" s="2159">
        <f>(((C28*G28)*(1-$D$15))*1000000/35.31)*($D$5/($D$6*$G$7))*0.0000011023</f>
        <v>29.662935577844866</v>
      </c>
      <c r="Y28" s="2160">
        <f>(((D28*Z28)*$D$19))/2000</f>
        <v>70.842330000000018</v>
      </c>
      <c r="Z28" s="2139">
        <f>G28*$D$13</f>
        <v>468</v>
      </c>
      <c r="AA28" s="1820">
        <f>(((E28*Z28)*$D$19))/2000</f>
        <v>263.08444499999996</v>
      </c>
      <c r="AB28" s="411"/>
      <c r="AC28" s="411"/>
    </row>
    <row r="29" spans="1:32" ht="15">
      <c r="A29" s="411"/>
      <c r="B29" s="2138"/>
      <c r="C29" s="2139"/>
      <c r="D29" s="2139"/>
      <c r="E29" s="2139"/>
      <c r="F29" s="2140"/>
      <c r="G29" s="2141"/>
      <c r="H29" s="2142"/>
      <c r="I29" s="2143"/>
      <c r="J29" s="2143"/>
      <c r="K29" s="2143"/>
      <c r="L29" s="2144"/>
      <c r="M29" s="2145"/>
      <c r="N29" s="2145"/>
      <c r="O29" s="2145"/>
      <c r="P29" s="2146"/>
      <c r="Q29" s="2141"/>
      <c r="R29" s="2140"/>
      <c r="S29" s="2154"/>
      <c r="T29" s="2155"/>
      <c r="U29" s="2161"/>
      <c r="V29" s="2157"/>
      <c r="W29" s="2158"/>
      <c r="X29" s="2159"/>
      <c r="Y29" s="2159"/>
      <c r="Z29" s="2153"/>
      <c r="AA29" s="1821"/>
      <c r="AB29" s="411"/>
      <c r="AC29" s="411"/>
    </row>
    <row r="30" spans="1:32" ht="15">
      <c r="A30" s="411"/>
      <c r="B30" s="2138" t="s">
        <v>1356</v>
      </c>
      <c r="C30" s="2139">
        <v>161.58000000000001</v>
      </c>
      <c r="D30" s="2139">
        <v>0</v>
      </c>
      <c r="E30" s="2139">
        <v>263.84899999999999</v>
      </c>
      <c r="F30" s="2140">
        <f>SUM(C30:E30)</f>
        <v>425.42899999999997</v>
      </c>
      <c r="G30" s="2141">
        <v>0.59</v>
      </c>
      <c r="H30" s="2142">
        <v>0.49</v>
      </c>
      <c r="I30" s="2143">
        <f>C30*G30</f>
        <v>95.3322</v>
      </c>
      <c r="J30" s="2143">
        <f>D30*G30</f>
        <v>0</v>
      </c>
      <c r="K30" s="2143">
        <f>E30*G30</f>
        <v>155.67090999999999</v>
      </c>
      <c r="L30" s="2144">
        <f>SUM(I30:K30)</f>
        <v>251.00310999999999</v>
      </c>
      <c r="M30" s="2145">
        <f>((I30*1000000)/35.31)*($D$5/($D$6*$G$7))*0.0000011023</f>
        <v>1952.8078361487881</v>
      </c>
      <c r="N30" s="2145">
        <f>((J30*1000000)/35.31)*($D$5/($D$6*$G$7))*0.0000011023</f>
        <v>0</v>
      </c>
      <c r="O30" s="2145">
        <f>((K30*1000000)/35.31)*($D$5/($D$6*$G$7))*0.0000011023</f>
        <v>3188.8005617033141</v>
      </c>
      <c r="P30" s="2146">
        <f>393000000/1000000</f>
        <v>393</v>
      </c>
      <c r="Q30" s="2141">
        <f>L30/P30</f>
        <v>0.63868475826972004</v>
      </c>
      <c r="R30" s="2140">
        <f t="shared" ref="R30:R54" si="0">((F30*H30*((1-Q30)/Q30)*1000000))/35.31</f>
        <v>3339836.3213954857</v>
      </c>
      <c r="S30" s="2154">
        <f>((R30*$D$4)/($D$6*$G$7))*0.00000110231</f>
        <v>6626.5190348413553</v>
      </c>
      <c r="T30" s="2155">
        <f>(C30*($G$30+$H$30)*1000000/35.31)*($D$4/($D$6*$G$7))*0.00000110231</f>
        <v>9805.5940171412749</v>
      </c>
      <c r="U30" s="2156">
        <f>(D30*($G$30+$H$30)*1000000/35.31)*($D$4/($D$6*$G$7))*0.00000110231</f>
        <v>0</v>
      </c>
      <c r="V30" s="2157">
        <f>(E30*($G$30+$H$30)*1000000/35.31)*($D$4/($D$6*$G$7))*0.00000110231</f>
        <v>16011.858991389456</v>
      </c>
      <c r="W30" s="2158">
        <f t="shared" ref="W30:W54" si="1">(((F30*G30)*((1-Q30)/Q30))*1000000/35.31)*($D$5/($D$6*$G$7))*0.0000011023</f>
        <v>2908.6986296420037</v>
      </c>
      <c r="X30" s="2159">
        <f>(((C30*G30)*(1-$D$15))*1000000/35.31)*($D$5/($D$6*$G$7))*0.0000011023</f>
        <v>39.056156722975793</v>
      </c>
      <c r="Y30" s="2160">
        <f>(((D30*Z30)*$D$19))/2000</f>
        <v>0</v>
      </c>
      <c r="Z30" s="2139">
        <f>G30*$D$13</f>
        <v>590</v>
      </c>
      <c r="AA30" s="1820">
        <f>(((E30*Z30)*$D$19))/2000</f>
        <v>97.294318750000002</v>
      </c>
      <c r="AB30" s="411"/>
      <c r="AC30" s="411"/>
    </row>
    <row r="31" spans="1:32" ht="15">
      <c r="A31" s="411"/>
      <c r="B31" s="2138"/>
      <c r="C31" s="2139"/>
      <c r="D31" s="2139"/>
      <c r="E31" s="2139"/>
      <c r="F31" s="2140"/>
      <c r="G31" s="2141"/>
      <c r="H31" s="2142"/>
      <c r="I31" s="2143"/>
      <c r="J31" s="2143"/>
      <c r="K31" s="2143"/>
      <c r="L31" s="2144"/>
      <c r="M31" s="2145"/>
      <c r="N31" s="2145"/>
      <c r="O31" s="2145"/>
      <c r="P31" s="2146"/>
      <c r="Q31" s="2141"/>
      <c r="R31" s="2140"/>
      <c r="S31" s="2154"/>
      <c r="T31" s="2155"/>
      <c r="U31" s="2156"/>
      <c r="V31" s="2157"/>
      <c r="W31" s="2158"/>
      <c r="X31" s="2159"/>
      <c r="Y31" s="2160"/>
      <c r="Z31" s="2153"/>
      <c r="AA31" s="1821"/>
      <c r="AB31" s="411"/>
      <c r="AC31" s="411"/>
    </row>
    <row r="32" spans="1:32" ht="15">
      <c r="A32" s="411"/>
      <c r="B32" s="2138" t="s">
        <v>1357</v>
      </c>
      <c r="C32" s="2139">
        <v>196.2</v>
      </c>
      <c r="D32" s="2139">
        <v>0</v>
      </c>
      <c r="E32" s="2139">
        <v>72.3</v>
      </c>
      <c r="F32" s="2140">
        <f>SUM(C32:E32)</f>
        <v>268.5</v>
      </c>
      <c r="G32" s="2141">
        <v>0.39860000000000001</v>
      </c>
      <c r="H32" s="2142">
        <v>0.29099999999999998</v>
      </c>
      <c r="I32" s="2143">
        <f>C32*G32</f>
        <v>78.20532</v>
      </c>
      <c r="J32" s="2143">
        <f>D32*G32</f>
        <v>0</v>
      </c>
      <c r="K32" s="2143">
        <f>E32*G32</f>
        <v>28.81878</v>
      </c>
      <c r="L32" s="2144">
        <f>SUM(I32:K32)</f>
        <v>107.0241</v>
      </c>
      <c r="M32" s="2145">
        <f>((I32*1000000)/35.31)*($D$5/($D$6*$G$7))*0.0000011023</f>
        <v>1601.9766849451025</v>
      </c>
      <c r="N32" s="2145">
        <f>((J32*1000000)/35.31)*($D$5/($D$6*$G$7))*0.0000011023</f>
        <v>0</v>
      </c>
      <c r="O32" s="2145">
        <f>((K32*1000000)/35.31)*($D$5/($D$6*$G$7))*0.0000011023</f>
        <v>590.33085790790483</v>
      </c>
      <c r="P32" s="2146">
        <f>226000000/1000000</f>
        <v>226</v>
      </c>
      <c r="Q32" s="2141">
        <f>L32/P32</f>
        <v>0.47355796460176991</v>
      </c>
      <c r="R32" s="2140">
        <f t="shared" si="0"/>
        <v>2459897.2998527982</v>
      </c>
      <c r="S32" s="2154">
        <f>((R32*$D$4)/($D$6*$G$7))*0.00000110231</f>
        <v>4880.6452510279159</v>
      </c>
      <c r="T32" s="2155">
        <f>(C32*($G$32+$H$32)*1000000/35.31)*($D$4/($D$6*$G$7))*0.00000110231</f>
        <v>7602.5415906470271</v>
      </c>
      <c r="U32" s="2156">
        <f>(D32*($G$32+$H$32)*1000000/35.31)*($D$4/($D$6*$G$7))*0.00000110231</f>
        <v>0</v>
      </c>
      <c r="V32" s="2157">
        <f>(E32*($G$32+$H$32)*1000000/35.31)*($D$4/($D$6*$G$7))*0.00000110231</f>
        <v>2801.5482008347599</v>
      </c>
      <c r="W32" s="2158">
        <f t="shared" si="1"/>
        <v>2437.1311040011096</v>
      </c>
      <c r="X32" s="2159">
        <f>(((C32*G32)*(1-$D$15))*1000000/35.31)*($D$5/($D$6*$G$7))*0.0000011023</f>
        <v>32.039533698902083</v>
      </c>
      <c r="Y32" s="2160">
        <f>(((D32*Z32)*$D$19))/2000</f>
        <v>0</v>
      </c>
      <c r="Z32" s="2139">
        <f>G32*$D$13</f>
        <v>398.6</v>
      </c>
      <c r="AA32" s="1820">
        <f>(((E32*Z32)*$D$19))/2000</f>
        <v>18.011737499999999</v>
      </c>
      <c r="AB32" s="411"/>
      <c r="AC32" s="411"/>
    </row>
    <row r="33" spans="1:29" ht="15">
      <c r="A33" s="411"/>
      <c r="B33" s="2138"/>
      <c r="C33" s="2139"/>
      <c r="D33" s="2139"/>
      <c r="E33" s="2139"/>
      <c r="F33" s="2140"/>
      <c r="G33" s="2141"/>
      <c r="H33" s="2142"/>
      <c r="I33" s="2143"/>
      <c r="J33" s="2143"/>
      <c r="K33" s="2143"/>
      <c r="L33" s="2144"/>
      <c r="M33" s="2145"/>
      <c r="N33" s="2145"/>
      <c r="O33" s="2145"/>
      <c r="P33" s="2146"/>
      <c r="Q33" s="2141"/>
      <c r="R33" s="2140"/>
      <c r="S33" s="2154"/>
      <c r="T33" s="2155"/>
      <c r="U33" s="2156"/>
      <c r="V33" s="2157"/>
      <c r="W33" s="2158"/>
      <c r="X33" s="2159"/>
      <c r="Y33" s="2160"/>
      <c r="Z33" s="2153"/>
      <c r="AA33" s="1821"/>
      <c r="AB33" s="411"/>
      <c r="AC33" s="411"/>
    </row>
    <row r="34" spans="1:29" ht="15">
      <c r="A34" s="411"/>
      <c r="B34" s="2162" t="s">
        <v>1358</v>
      </c>
      <c r="C34" s="2163">
        <f>0.837+12.069</f>
        <v>12.906000000000001</v>
      </c>
      <c r="D34" s="2163">
        <v>0</v>
      </c>
      <c r="E34" s="2163">
        <f>680.831</f>
        <v>680.83100000000002</v>
      </c>
      <c r="F34" s="2164">
        <f>SUM(C34:E34)</f>
        <v>693.73699999999997</v>
      </c>
      <c r="G34" s="2142">
        <v>0.45700000000000002</v>
      </c>
      <c r="H34" s="2142">
        <v>0.371</v>
      </c>
      <c r="I34" s="2143">
        <f>C34*G34</f>
        <v>5.8980420000000002</v>
      </c>
      <c r="J34" s="2143">
        <f>D34*G34</f>
        <v>0</v>
      </c>
      <c r="K34" s="2143">
        <f>E34*G34</f>
        <v>311.13976700000001</v>
      </c>
      <c r="L34" s="2144">
        <f>SUM(I34:K34)</f>
        <v>317.03780899999998</v>
      </c>
      <c r="M34" s="2145">
        <f>((I34*1000000)/35.31)*($D$5/($D$6*$G$7))*0.0000011023</f>
        <v>120.81691847596792</v>
      </c>
      <c r="N34" s="2145">
        <f>((J34*1000000)/35.31)*($D$5/($D$6*$G$7))*0.0000011023</f>
        <v>0</v>
      </c>
      <c r="O34" s="2145">
        <f>((K34*1000000)/35.31)*($D$5/($D$6*$G$7))*0.0000011023</f>
        <v>6373.4622208981646</v>
      </c>
      <c r="P34" s="2146">
        <f>410000000/1000000</f>
        <v>410</v>
      </c>
      <c r="Q34" s="2141">
        <f>L34/P34</f>
        <v>0.77326294878048774</v>
      </c>
      <c r="R34" s="2140">
        <f t="shared" si="0"/>
        <v>2137304.2183424463</v>
      </c>
      <c r="S34" s="2154">
        <f>((R34*$D$4)/($D$6*$G$7))*0.00000110231</f>
        <v>4240.5931678038824</v>
      </c>
      <c r="T34" s="2155">
        <f>(C34*($G$34+$H$34)*1000000/35.31)*($D$4/($D$6*$G$7))*0.00000110231</f>
        <v>600.46064217109836</v>
      </c>
      <c r="U34" s="2156">
        <f>(D34*($G$34+$H$34)*1000000/35.31)*($D$4/($D$6*$G$7))*0.00000110231</f>
        <v>0</v>
      </c>
      <c r="V34" s="2157">
        <f>(E34*($G$34+$H$34)*1000000/35.31)*($D$4/($D$6*$G$7))*0.00000110231</f>
        <v>31676.136639546799</v>
      </c>
      <c r="W34" s="2158">
        <f t="shared" si="1"/>
        <v>1904.2599987240449</v>
      </c>
      <c r="X34" s="2159">
        <f>(((C34*G34)*(1-$D$15))*1000000/35.31)*($D$5/($D$6*$G$7))*0.0000011023</f>
        <v>2.416338369519361</v>
      </c>
      <c r="Y34" s="2160">
        <f>(((D34*Z34)*$D$19))/2000</f>
        <v>0</v>
      </c>
      <c r="Z34" s="2139">
        <f>G34*$D$13</f>
        <v>457</v>
      </c>
      <c r="AA34" s="1820">
        <f>(((E34*Z34)*$D$19))/2000</f>
        <v>194.46235437499999</v>
      </c>
      <c r="AB34" s="411"/>
      <c r="AC34" s="411"/>
    </row>
    <row r="35" spans="1:29" ht="15">
      <c r="A35" s="411"/>
      <c r="B35" s="2138"/>
      <c r="C35" s="2139"/>
      <c r="D35" s="2139"/>
      <c r="E35" s="2139"/>
      <c r="F35" s="2140"/>
      <c r="G35" s="2141"/>
      <c r="H35" s="2142"/>
      <c r="I35" s="2143"/>
      <c r="J35" s="2143"/>
      <c r="K35" s="2143"/>
      <c r="L35" s="2144"/>
      <c r="M35" s="2145"/>
      <c r="N35" s="2145"/>
      <c r="O35" s="2145"/>
      <c r="P35" s="2146"/>
      <c r="Q35" s="2141"/>
      <c r="R35" s="2140"/>
      <c r="S35" s="2154"/>
      <c r="T35" s="2155"/>
      <c r="U35" s="2156"/>
      <c r="V35" s="2157"/>
      <c r="W35" s="2158"/>
      <c r="X35" s="2159"/>
      <c r="Y35" s="2160"/>
      <c r="Z35" s="2153"/>
      <c r="AA35" s="1821"/>
      <c r="AB35" s="411"/>
      <c r="AC35" s="411"/>
    </row>
    <row r="36" spans="1:29" ht="15">
      <c r="A36" s="411"/>
      <c r="B36" s="2162" t="s">
        <v>1359</v>
      </c>
      <c r="C36" s="2165">
        <f>21.55</f>
        <v>21.55</v>
      </c>
      <c r="D36" s="2163">
        <v>0</v>
      </c>
      <c r="E36" s="2163">
        <f>200.9+300.29</f>
        <v>501.19000000000005</v>
      </c>
      <c r="F36" s="2164">
        <f>SUM(C36:E36)</f>
        <v>522.74</v>
      </c>
      <c r="G36" s="2142">
        <v>0.38850000000000001</v>
      </c>
      <c r="H36" s="2142">
        <v>0.32640000000000002</v>
      </c>
      <c r="I36" s="2143">
        <f>C36*G36</f>
        <v>8.3721750000000004</v>
      </c>
      <c r="J36" s="2143">
        <f>D36*G36</f>
        <v>0</v>
      </c>
      <c r="K36" s="2143">
        <f>E36*G36</f>
        <v>194.71231500000002</v>
      </c>
      <c r="L36" s="2166">
        <f>SUM(I36:K36)</f>
        <v>203.08449000000002</v>
      </c>
      <c r="M36" s="2145">
        <f>((I36*1000000)/35.31)*($D$5/($D$6*$G$7))*0.0000011023</f>
        <v>171.49765709391977</v>
      </c>
      <c r="N36" s="2145">
        <f>((J36*1000000)/35.31)*($D$5/($D$6*$G$7))*0.0000011023</f>
        <v>0</v>
      </c>
      <c r="O36" s="2145">
        <f>((K36*1000000)/35.31)*($D$5/($D$6*$G$7))*0.0000011023</f>
        <v>3988.5341419443926</v>
      </c>
      <c r="P36" s="2167">
        <f>218000000/1000000</f>
        <v>218</v>
      </c>
      <c r="Q36" s="2142">
        <f>L36/P36</f>
        <v>0.93158022935779827</v>
      </c>
      <c r="R36" s="2140">
        <f t="shared" si="0"/>
        <v>354894.7027376928</v>
      </c>
      <c r="S36" s="2154">
        <f>((R36*$D$4)/($D$6*$G$7))*0.00000110231</f>
        <v>704.14124428500963</v>
      </c>
      <c r="T36" s="2155">
        <f>(C36*($G$36+$H$36)*1000000/35.31)*($D$4/($D$6*$G$7))*0.00000110231</f>
        <v>865.67548788760826</v>
      </c>
      <c r="U36" s="2156">
        <f>(D36*($G$36+$H$36)*1000000/35.31)*($D$4/($D$6*$G$7))*0.00000110231</f>
        <v>0</v>
      </c>
      <c r="V36" s="2157">
        <f>(E36*($G$36+$H$36)*1000000/35.31)*($D$4/($D$6*$G$7))*0.00000110231</f>
        <v>20133.081103219974</v>
      </c>
      <c r="W36" s="2158">
        <f t="shared" si="1"/>
        <v>305.53291341388905</v>
      </c>
      <c r="X36" s="2159">
        <f>(((C36*G36)*(1-$D$15))*1000000/35.31)*($D$5/($D$6*$G$7))*0.0000011023</f>
        <v>3.4299531418783991</v>
      </c>
      <c r="Y36" s="2160">
        <f>(((D36*Z36)*$D$19))/2000</f>
        <v>0</v>
      </c>
      <c r="Z36" s="2139">
        <f>G36*$D$13</f>
        <v>388.5</v>
      </c>
      <c r="AA36" s="1820">
        <f>(((E36*Z36)*$D$19))/2000</f>
        <v>121.69519687500002</v>
      </c>
      <c r="AB36" s="411"/>
      <c r="AC36" s="411"/>
    </row>
    <row r="37" spans="1:29" ht="15">
      <c r="A37" s="411"/>
      <c r="B37" s="2162"/>
      <c r="C37" s="2163"/>
      <c r="D37" s="2163"/>
      <c r="E37" s="2163"/>
      <c r="F37" s="2140"/>
      <c r="G37" s="2141"/>
      <c r="H37" s="2142"/>
      <c r="I37" s="2143"/>
      <c r="J37" s="2143"/>
      <c r="K37" s="2143"/>
      <c r="L37" s="2144"/>
      <c r="M37" s="2145"/>
      <c r="N37" s="2145"/>
      <c r="O37" s="2145"/>
      <c r="P37" s="2146"/>
      <c r="Q37" s="2141"/>
      <c r="R37" s="2140"/>
      <c r="S37" s="2154"/>
      <c r="T37" s="2155"/>
      <c r="U37" s="2156"/>
      <c r="V37" s="2157"/>
      <c r="W37" s="2158"/>
      <c r="X37" s="2159"/>
      <c r="Y37" s="2160"/>
      <c r="Z37" s="2153"/>
      <c r="AA37" s="1821"/>
      <c r="AB37" s="411"/>
      <c r="AC37" s="411"/>
    </row>
    <row r="38" spans="1:29" ht="15">
      <c r="A38" s="411"/>
      <c r="B38" s="2162" t="s">
        <v>1360</v>
      </c>
      <c r="C38" s="2165">
        <f>31.778</f>
        <v>31.777999999999999</v>
      </c>
      <c r="D38" s="2163">
        <v>0</v>
      </c>
      <c r="E38" s="2163">
        <f>213.084</f>
        <v>213.084</v>
      </c>
      <c r="F38" s="2164">
        <f>SUM(C38:E38)</f>
        <v>244.86199999999999</v>
      </c>
      <c r="G38" s="2142">
        <v>0.5</v>
      </c>
      <c r="H38" s="2142">
        <v>0.5</v>
      </c>
      <c r="I38" s="2143">
        <f>C38*G38</f>
        <v>15.888999999999999</v>
      </c>
      <c r="J38" s="2143">
        <f>D38*G38</f>
        <v>0</v>
      </c>
      <c r="K38" s="2143">
        <f>E38*G38</f>
        <v>106.542</v>
      </c>
      <c r="L38" s="2168">
        <f>SUM(I38:K38)</f>
        <v>122.431</v>
      </c>
      <c r="M38" s="2145">
        <f>((I38*1000000)/35.31)*($D$5/($D$6*$G$7))*0.0000011023</f>
        <v>325.47411796400473</v>
      </c>
      <c r="N38" s="2145">
        <f>((J38*1000000)/35.31)*($D$5/($D$6*$G$7))*0.0000011023</f>
        <v>0</v>
      </c>
      <c r="O38" s="2145">
        <f>((K38*1000000)/35.31)*($D$5/($D$6*$G$7))*0.0000011023</f>
        <v>2182.432089881112</v>
      </c>
      <c r="P38" s="2167">
        <f>223700000/1000000</f>
        <v>223.7</v>
      </c>
      <c r="Q38" s="2142">
        <f>L38/P38</f>
        <v>0.54729995529727316</v>
      </c>
      <c r="R38" s="2140">
        <f t="shared" si="0"/>
        <v>2867997.7343528736</v>
      </c>
      <c r="S38" s="2154">
        <f>((R38*$D$4)/($D$6*$G$7))*0.00000110231</f>
        <v>5690.3511878182089</v>
      </c>
      <c r="T38" s="2155">
        <f>(C38*($G$38+$H$38)*1000000/35.31)*($D$4/($D$6*$G$7))*0.00000110231</f>
        <v>1785.6202791228025</v>
      </c>
      <c r="U38" s="2156">
        <f>(D38*($G$38+$H$38)*1000000/35.31)*($D$4/($D$6*$G$7))*0.00000110231</f>
        <v>0</v>
      </c>
      <c r="V38" s="2157">
        <f>(E38*($G$38+$H$38)*1000000/35.31)*($D$4/($D$6*$G$7))*0.00000110231</f>
        <v>11973.286914110493</v>
      </c>
      <c r="W38" s="2158">
        <f t="shared" si="1"/>
        <v>2074.4186828684492</v>
      </c>
      <c r="X38" s="2159">
        <f>(((C38*G38)*(1-$D$15))*1000000/35.31)*($D$5/($D$6*$G$7))*0.0000011023</f>
        <v>6.5094823592801001</v>
      </c>
      <c r="Y38" s="2160">
        <f>(((D38*Z38)*$D$19))/2000</f>
        <v>0</v>
      </c>
      <c r="Z38" s="2139">
        <f>G38*$D$13</f>
        <v>500</v>
      </c>
      <c r="AA38" s="1820">
        <f>(((E38*Z38)*$D$19))/2000</f>
        <v>66.588750000000005</v>
      </c>
      <c r="AB38" s="411"/>
      <c r="AC38" s="411"/>
    </row>
    <row r="39" spans="1:29" ht="15">
      <c r="A39" s="411"/>
      <c r="B39" s="2162"/>
      <c r="C39" s="2163"/>
      <c r="D39" s="2163"/>
      <c r="E39" s="2163"/>
      <c r="F39" s="2140"/>
      <c r="G39" s="2141"/>
      <c r="H39" s="2142"/>
      <c r="I39" s="2143"/>
      <c r="J39" s="2143"/>
      <c r="K39" s="2143"/>
      <c r="L39" s="2144"/>
      <c r="M39" s="2145"/>
      <c r="N39" s="2145"/>
      <c r="O39" s="2145"/>
      <c r="P39" s="2146"/>
      <c r="Q39" s="2141"/>
      <c r="R39" s="2140"/>
      <c r="S39" s="2154"/>
      <c r="T39" s="2155"/>
      <c r="U39" s="2156"/>
      <c r="V39" s="2157"/>
      <c r="W39" s="2158"/>
      <c r="X39" s="2159"/>
      <c r="Y39" s="2160"/>
      <c r="Z39" s="2153"/>
      <c r="AA39" s="1821"/>
      <c r="AB39" s="411"/>
      <c r="AC39" s="411"/>
    </row>
    <row r="40" spans="1:29" ht="15">
      <c r="A40" s="411"/>
      <c r="B40" s="2162" t="s">
        <v>1361</v>
      </c>
      <c r="C40" s="2163">
        <f>12.81</f>
        <v>12.81</v>
      </c>
      <c r="D40" s="2163">
        <v>0</v>
      </c>
      <c r="E40" s="2163">
        <f>211.04</f>
        <v>211.04</v>
      </c>
      <c r="F40" s="2164">
        <f>SUM(C40:E40)</f>
        <v>223.85</v>
      </c>
      <c r="G40" s="2142">
        <v>0.65500000000000003</v>
      </c>
      <c r="H40" s="2142">
        <v>0.08</v>
      </c>
      <c r="I40" s="2143">
        <f>C40*G40</f>
        <v>8.3905500000000011</v>
      </c>
      <c r="J40" s="2143">
        <f>D40*G40</f>
        <v>0</v>
      </c>
      <c r="K40" s="2143">
        <f>E40*G40</f>
        <v>138.2312</v>
      </c>
      <c r="L40" s="2166">
        <f>SUM(I40:K40)</f>
        <v>146.62174999999999</v>
      </c>
      <c r="M40" s="2145">
        <f>((I40*1000000)/35.31)*($D$5/($D$6*$G$7))*0.0000011023</f>
        <v>171.87405503699921</v>
      </c>
      <c r="N40" s="2145">
        <f>((J40*1000000)/35.31)*($D$5/($D$6*$G$7))*0.0000011023</f>
        <v>0</v>
      </c>
      <c r="O40" s="2145">
        <f>((K40*1000000)/35.31)*($D$5/($D$6*$G$7))*0.0000011023</f>
        <v>2831.5613251372602</v>
      </c>
      <c r="P40" s="2167">
        <f>387200000/1000000</f>
        <v>387.2</v>
      </c>
      <c r="Q40" s="2142">
        <f>L40/P40</f>
        <v>0.37867187499999999</v>
      </c>
      <c r="R40" s="2140">
        <f t="shared" si="0"/>
        <v>832160.94742098881</v>
      </c>
      <c r="S40" s="2154">
        <f>((R40*$D$4)/($D$6*$G$7))*0.00000110231</f>
        <v>1651.0780252347049</v>
      </c>
      <c r="T40" s="2155">
        <f>(C40*($G$40+$H$40)*1000000/35.31)*($D$4/($D$6*$G$7))*0.00000110231</f>
        <v>529.0528005235974</v>
      </c>
      <c r="U40" s="2156">
        <f>(D40*($G$40+$H$40)*1000000/35.31)*($D$4/($D$6*$G$7))*0.00000110231</f>
        <v>0</v>
      </c>
      <c r="V40" s="2157">
        <f>(E40*($G$40+$H$40)*1000000/35.31)*($D$4/($D$6*$G$7))*0.00000110231</f>
        <v>8715.9487137002343</v>
      </c>
      <c r="W40" s="2158">
        <f t="shared" si="1"/>
        <v>4928.0630448784577</v>
      </c>
      <c r="X40" s="2159">
        <f>(((C40*G40)*(1-$D$15))*1000000/35.31)*($D$5/($D$6*$G$7))*0.0000011023</f>
        <v>3.437481100739987</v>
      </c>
      <c r="Y40" s="2160">
        <f>(((D40*Z40)*$D$19))/2000</f>
        <v>0</v>
      </c>
      <c r="Z40" s="2139">
        <f>G40*$D$13</f>
        <v>655</v>
      </c>
      <c r="AA40" s="1820">
        <f>(((E40*Z40)*$D$19))/2000</f>
        <v>86.394499999999979</v>
      </c>
      <c r="AB40" s="411"/>
      <c r="AC40" s="411"/>
    </row>
    <row r="41" spans="1:29" ht="15">
      <c r="A41" s="411"/>
      <c r="B41" s="2169"/>
      <c r="C41" s="2143"/>
      <c r="D41" s="2143"/>
      <c r="E41" s="2143"/>
      <c r="F41" s="2140"/>
      <c r="G41" s="2141"/>
      <c r="H41" s="2142"/>
      <c r="I41" s="2143"/>
      <c r="J41" s="2143"/>
      <c r="K41" s="2143"/>
      <c r="L41" s="2144"/>
      <c r="M41" s="2145"/>
      <c r="N41" s="2145"/>
      <c r="O41" s="2145"/>
      <c r="P41" s="2146"/>
      <c r="Q41" s="2141"/>
      <c r="R41" s="2140"/>
      <c r="S41" s="2154"/>
      <c r="T41" s="2155"/>
      <c r="U41" s="2156"/>
      <c r="V41" s="2157"/>
      <c r="W41" s="2158"/>
      <c r="X41" s="2159"/>
      <c r="Y41" s="2160"/>
      <c r="Z41" s="2153"/>
      <c r="AA41" s="1821"/>
      <c r="AB41" s="411"/>
      <c r="AC41" s="411"/>
    </row>
    <row r="42" spans="1:29" ht="15">
      <c r="A42" s="411"/>
      <c r="B42" s="2138" t="s">
        <v>1362</v>
      </c>
      <c r="C42" s="2139">
        <f>0.34013</f>
        <v>0.34012999999999999</v>
      </c>
      <c r="D42" s="2139">
        <v>0</v>
      </c>
      <c r="E42" s="2139">
        <f>210.691</f>
        <v>210.691</v>
      </c>
      <c r="F42" s="2140">
        <f>SUM(C42:E42)</f>
        <v>211.03112999999999</v>
      </c>
      <c r="G42" s="2141">
        <v>0.47799999999999998</v>
      </c>
      <c r="H42" s="2141">
        <v>0.5</v>
      </c>
      <c r="I42" s="1820">
        <f>C42*G42</f>
        <v>0.16258213999999999</v>
      </c>
      <c r="J42" s="1820">
        <f>D42*G42</f>
        <v>0</v>
      </c>
      <c r="K42" s="1820">
        <f>E42*G42</f>
        <v>100.71029799999999</v>
      </c>
      <c r="L42" s="2144">
        <f>SUM(I42:K42)</f>
        <v>100.87288013999999</v>
      </c>
      <c r="M42" s="2145">
        <f>((I42*1000000)/35.31)*($D$5/($D$6*$G$7))*0.0000011023</f>
        <v>3.3303718681603831</v>
      </c>
      <c r="N42" s="2145">
        <f>((J42*1000000)/35.31)*($D$5/($D$6*$G$7))*0.0000011023</f>
        <v>0</v>
      </c>
      <c r="O42" s="2145">
        <f>((K42*1000000)/35.31)*($D$5/($D$6*$G$7))*0.0000011023</f>
        <v>2062.9740960061717</v>
      </c>
      <c r="P42" s="2170">
        <f>169400000/1000000</f>
        <v>169.4</v>
      </c>
      <c r="Q42" s="2141">
        <f>L42/P42</f>
        <v>0.59547154746162922</v>
      </c>
      <c r="R42" s="2140">
        <f t="shared" si="0"/>
        <v>2030050.6292740097</v>
      </c>
      <c r="S42" s="2154">
        <f>((R42*$D$4)/($D$6*$G$7))*0.00000110231</f>
        <v>4027.7929341624658</v>
      </c>
      <c r="T42" s="2155">
        <f>(C42*($G$42+$H$42)*1000000/35.31)*($D$4/($D$6*$G$7))*0.00000110231</f>
        <v>18.691594152438856</v>
      </c>
      <c r="U42" s="2156">
        <f>(D42*($G$42+$H$42)*1000000/35.31)*($D$4/($D$6*$G$7))*0.00000110231</f>
        <v>0</v>
      </c>
      <c r="V42" s="2157">
        <f>(E42*($G$42+$H$42)*1000000/35.31)*($D$4/($D$6*$G$7))*0.00000110231</f>
        <v>11578.369045869211</v>
      </c>
      <c r="W42" s="2158">
        <f t="shared" si="1"/>
        <v>1403.7260930862317</v>
      </c>
      <c r="X42" s="2159">
        <f>(((C42*G42)*(1-$D$15))*1000000/35.31)*($D$5/($D$6*$G$7))*0.0000011023</f>
        <v>6.6607437363207719E-2</v>
      </c>
      <c r="Y42" s="2160">
        <f>(((D42*Z42)*$D$19))/2000</f>
        <v>0</v>
      </c>
      <c r="Z42" s="2139">
        <f>G42*$D$13</f>
        <v>478</v>
      </c>
      <c r="AA42" s="1820">
        <f>(((E42*Z42)*$D$19))/2000</f>
        <v>62.94393625</v>
      </c>
      <c r="AB42" s="411"/>
      <c r="AC42" s="411"/>
    </row>
    <row r="43" spans="1:29" ht="15">
      <c r="A43" s="411"/>
      <c r="B43" s="2138"/>
      <c r="C43" s="2139"/>
      <c r="D43" s="2139"/>
      <c r="E43" s="2139"/>
      <c r="F43" s="2140"/>
      <c r="G43" s="2141"/>
      <c r="H43" s="2142"/>
      <c r="I43" s="2143"/>
      <c r="J43" s="2143"/>
      <c r="K43" s="2143"/>
      <c r="L43" s="2144"/>
      <c r="M43" s="2145"/>
      <c r="N43" s="2145"/>
      <c r="O43" s="2145"/>
      <c r="P43" s="2146"/>
      <c r="Q43" s="2141"/>
      <c r="R43" s="2140"/>
      <c r="S43" s="2154"/>
      <c r="T43" s="2155"/>
      <c r="U43" s="2161"/>
      <c r="V43" s="2157"/>
      <c r="W43" s="2158"/>
      <c r="X43" s="2159"/>
      <c r="Y43" s="2159"/>
      <c r="Z43" s="2153"/>
      <c r="AA43" s="1821"/>
      <c r="AB43" s="411"/>
      <c r="AC43" s="411"/>
    </row>
    <row r="44" spans="1:29" ht="15">
      <c r="A44" s="411"/>
      <c r="B44" s="2139" t="s">
        <v>1363</v>
      </c>
      <c r="C44" s="2139">
        <f>132.463</f>
        <v>132.46299999999999</v>
      </c>
      <c r="D44" s="2139">
        <f>616.643</f>
        <v>616.64300000000003</v>
      </c>
      <c r="E44" s="2139">
        <v>0</v>
      </c>
      <c r="F44" s="2140">
        <f>SUM(C44:E44)</f>
        <v>749.10599999999999</v>
      </c>
      <c r="G44" s="2141">
        <v>0.51300000000000001</v>
      </c>
      <c r="H44" s="2142">
        <v>0.38100000000000001</v>
      </c>
      <c r="I44" s="2143">
        <f>C44*G44</f>
        <v>67.953519</v>
      </c>
      <c r="J44" s="2143">
        <f>D44*G44</f>
        <v>316.33785900000004</v>
      </c>
      <c r="K44" s="2143">
        <f>E44*G44</f>
        <v>0</v>
      </c>
      <c r="L44" s="2144">
        <f>SUM(I44:K44)</f>
        <v>384.29137800000001</v>
      </c>
      <c r="M44" s="2145">
        <f>((I44*1000000)/35.31)*($D$5/($D$6*$G$7))*0.0000011023</f>
        <v>1391.9763143731661</v>
      </c>
      <c r="N44" s="2145">
        <f>((J44*1000000)/35.31)*($D$5/($D$6*$G$7))*0.0000011023</f>
        <v>6479.9411943260557</v>
      </c>
      <c r="O44" s="2145">
        <f>((K44*1000000)/35.31)*($D$5/($D$6*$G$7))*0.0000011023</f>
        <v>0</v>
      </c>
      <c r="P44" s="2146">
        <f>289300000/1000000</f>
        <v>289.3</v>
      </c>
      <c r="Q44" s="2141">
        <v>0.95</v>
      </c>
      <c r="R44" s="2140">
        <f t="shared" si="0"/>
        <v>425419.04932254209</v>
      </c>
      <c r="S44" s="2154">
        <f>((R44*$D$4)/($D$6*$G$7))*0.00000110231</f>
        <v>844.06754009491533</v>
      </c>
      <c r="T44" s="2155">
        <f>(C44*($G$44+$H$44)*1000000/35.31)*($D$4/($D$6*$G$7))*0.00000110231</f>
        <v>6654.181679649404</v>
      </c>
      <c r="U44" s="2161">
        <f>(D44*($G$44+$H$44)*1000000/35.31)*($D$4/($D$6*$G$7))*0.00000110231</f>
        <v>30976.608966156942</v>
      </c>
      <c r="V44" s="2171">
        <f>(E44*($G$44+$H$44)*1000000/35.31)*($D$4/($D$6*$G$7))*0.00000110231</f>
        <v>0</v>
      </c>
      <c r="W44" s="2158">
        <f t="shared" si="1"/>
        <v>414.3114478262753</v>
      </c>
      <c r="X44" s="2159">
        <f>(((C44*G44)*(1-$D$15))*1000000/35.31)*($D$5/($D$6*$G$7))*0.0000011023</f>
        <v>27.83952628746335</v>
      </c>
      <c r="Y44" s="2160">
        <f>(((D44*Z44)*$D$19))/2000</f>
        <v>197.71116187499999</v>
      </c>
      <c r="Z44" s="2139">
        <f>G44*$D$13</f>
        <v>513</v>
      </c>
      <c r="AA44" s="1820">
        <f>(((E44*Z44)*$D$19))/2000</f>
        <v>0</v>
      </c>
      <c r="AB44" s="411"/>
      <c r="AC44" s="411"/>
    </row>
    <row r="45" spans="1:29" ht="15">
      <c r="A45" s="411"/>
      <c r="B45" s="2207"/>
      <c r="C45" s="2208"/>
      <c r="D45" s="2208"/>
      <c r="E45" s="2208"/>
      <c r="F45" s="2208"/>
      <c r="G45" s="2209"/>
      <c r="H45" s="2209"/>
      <c r="I45" s="2208"/>
      <c r="J45" s="2208"/>
      <c r="K45" s="2208"/>
      <c r="L45" s="2208"/>
      <c r="M45" s="2210"/>
      <c r="N45" s="2210"/>
      <c r="O45" s="2210"/>
      <c r="P45" s="2208"/>
      <c r="Q45" s="2208"/>
      <c r="R45" s="2211"/>
      <c r="S45" s="2212"/>
      <c r="T45" s="2295"/>
      <c r="U45" s="2295"/>
      <c r="V45" s="2295"/>
      <c r="W45" s="2296"/>
      <c r="X45" s="2297"/>
      <c r="Y45" s="2297"/>
      <c r="Z45" s="2208"/>
      <c r="AA45" s="2213"/>
      <c r="AB45" s="411"/>
      <c r="AC45" s="411"/>
    </row>
    <row r="46" spans="1:29" ht="15">
      <c r="A46" s="411"/>
      <c r="B46" s="2202"/>
      <c r="C46" s="2172"/>
      <c r="D46" s="2172"/>
      <c r="E46" s="2172"/>
      <c r="F46" s="2172"/>
      <c r="G46" s="2173"/>
      <c r="H46" s="2173"/>
      <c r="I46" s="2172"/>
      <c r="J46" s="2172"/>
      <c r="K46" s="2172"/>
      <c r="L46" s="2172"/>
      <c r="M46" s="2174"/>
      <c r="N46" s="2174"/>
      <c r="O46" s="2174"/>
      <c r="P46" s="2172"/>
      <c r="Q46" s="2172"/>
      <c r="R46" s="2140"/>
      <c r="S46" s="2175"/>
      <c r="T46" s="2175"/>
      <c r="U46" s="2175"/>
      <c r="V46" s="2175"/>
      <c r="W46" s="2158"/>
      <c r="X46" s="2175"/>
      <c r="Y46" s="2175"/>
      <c r="Z46" s="2172"/>
      <c r="AA46" s="2188"/>
      <c r="AB46" s="411"/>
      <c r="AC46" s="411"/>
    </row>
    <row r="47" spans="1:29" ht="15">
      <c r="A47" s="411"/>
      <c r="B47" s="2203"/>
      <c r="C47" s="2176"/>
      <c r="D47" s="2176"/>
      <c r="E47" s="2176"/>
      <c r="F47" s="2140"/>
      <c r="G47" s="2141"/>
      <c r="H47" s="2142"/>
      <c r="I47" s="2143"/>
      <c r="J47" s="2143"/>
      <c r="K47" s="2143"/>
      <c r="L47" s="2144"/>
      <c r="M47" s="2145"/>
      <c r="N47" s="2145"/>
      <c r="O47" s="2145"/>
      <c r="P47" s="2146"/>
      <c r="Q47" s="2141"/>
      <c r="R47" s="2140"/>
      <c r="S47" s="2154"/>
      <c r="T47" s="2155"/>
      <c r="U47" s="2161"/>
      <c r="V47" s="2157"/>
      <c r="W47" s="2158"/>
      <c r="X47" s="2159"/>
      <c r="Y47" s="2159"/>
      <c r="Z47" s="2153"/>
      <c r="AA47" s="1821"/>
      <c r="AB47" s="411"/>
      <c r="AC47" s="411"/>
    </row>
    <row r="48" spans="1:29" ht="15">
      <c r="A48" s="411"/>
      <c r="B48" s="2203" t="s">
        <v>1364</v>
      </c>
      <c r="C48" s="2176">
        <f>254.43</f>
        <v>254.43</v>
      </c>
      <c r="D48" s="2176">
        <v>0</v>
      </c>
      <c r="E48" s="2176">
        <v>0</v>
      </c>
      <c r="F48" s="2176">
        <f>SUM(C48:E48)</f>
        <v>254.43</v>
      </c>
      <c r="G48" s="2177">
        <v>0.50680000000000003</v>
      </c>
      <c r="H48" s="2177">
        <v>0.35630000000000001</v>
      </c>
      <c r="I48" s="2176">
        <f>C48*G48</f>
        <v>128.94512400000002</v>
      </c>
      <c r="J48" s="2176">
        <f>D48*G48</f>
        <v>0</v>
      </c>
      <c r="K48" s="2176">
        <f>E48*G48</f>
        <v>0</v>
      </c>
      <c r="L48" s="2176">
        <f>SUM(I48:K48)</f>
        <v>128.94512400000002</v>
      </c>
      <c r="M48" s="2145">
        <f>((I48*1000000)/35.31)*($D$5/($D$6*$G$7))*0.0000011023</f>
        <v>2641.3430989778603</v>
      </c>
      <c r="N48" s="2145">
        <f>((J48*1000000)/35.31)*($D$5/($D$6*$G$7))*0.0000011023</f>
        <v>0</v>
      </c>
      <c r="O48" s="2145">
        <f>((K48*1000000)/35.31)*($D$5/($D$6*$G$7))*0.0000011023</f>
        <v>0</v>
      </c>
      <c r="P48" s="2176">
        <f>208200000/1000000</f>
        <v>208.2</v>
      </c>
      <c r="Q48" s="2177">
        <f>L48/P48</f>
        <v>0.61933296829971196</v>
      </c>
      <c r="R48" s="2140">
        <f t="shared" si="0"/>
        <v>1578001.7823195022</v>
      </c>
      <c r="S48" s="2154">
        <f>((R48*$D$4)/($D$6*$G$7))*0.00000110231</f>
        <v>3130.8896129330847</v>
      </c>
      <c r="T48" s="2155">
        <f>(C48*($G$48+$H$48)*1000000/35.31)*($D$4/($D$6*$G$7))*0.00000110231</f>
        <v>12339.341487520232</v>
      </c>
      <c r="U48" s="2156">
        <f>(D48*($G$48+$H$48)*1000000/35.31)*($D$4/($D$6*$G$7))*0.00000110231</f>
        <v>0</v>
      </c>
      <c r="V48" s="2171">
        <f>(E48*($G$48+$H$48)*1000000/35.31)*($D$4/($D$6*$G$7))*0.00000110231</f>
        <v>0</v>
      </c>
      <c r="W48" s="2158">
        <f t="shared" si="1"/>
        <v>1623.4760438319943</v>
      </c>
      <c r="X48" s="2159">
        <f>(((C48*G48)*(1-$D$15))*1000000/35.31)*($D$5/($D$6*$G$7))*0.0000011023</f>
        <v>52.82686197955725</v>
      </c>
      <c r="Y48" s="2160">
        <f>(((D48*Z48)*$D$19))/2000</f>
        <v>0</v>
      </c>
      <c r="Z48" s="2139">
        <f>G48*$D$13</f>
        <v>506.8</v>
      </c>
      <c r="AA48" s="1820">
        <f>(((E48*Z48)*$D$19))/2000</f>
        <v>0</v>
      </c>
      <c r="AB48" s="411"/>
      <c r="AC48" s="411"/>
    </row>
    <row r="49" spans="1:29" ht="15">
      <c r="A49" s="411"/>
      <c r="B49" s="2203"/>
      <c r="C49" s="2176"/>
      <c r="D49" s="2176"/>
      <c r="E49" s="2176"/>
      <c r="F49" s="2140"/>
      <c r="G49" s="2141"/>
      <c r="H49" s="2142"/>
      <c r="I49" s="2143"/>
      <c r="J49" s="2143"/>
      <c r="K49" s="2143"/>
      <c r="L49" s="2144"/>
      <c r="M49" s="2145"/>
      <c r="N49" s="2145"/>
      <c r="O49" s="2145"/>
      <c r="P49" s="2146"/>
      <c r="Q49" s="2141"/>
      <c r="R49" s="2140"/>
      <c r="S49" s="2154"/>
      <c r="T49" s="2155"/>
      <c r="U49" s="2156"/>
      <c r="V49" s="2171"/>
      <c r="W49" s="2158"/>
      <c r="X49" s="2159"/>
      <c r="Y49" s="2160"/>
      <c r="Z49" s="2153"/>
      <c r="AA49" s="1821"/>
      <c r="AB49" s="411"/>
      <c r="AC49" s="411"/>
    </row>
    <row r="50" spans="1:29" ht="15">
      <c r="A50" s="411"/>
      <c r="B50" s="2203" t="s">
        <v>1365</v>
      </c>
      <c r="C50" s="2176">
        <f>538</f>
        <v>538</v>
      </c>
      <c r="D50" s="2176">
        <v>0</v>
      </c>
      <c r="E50" s="2176">
        <v>0</v>
      </c>
      <c r="F50" s="2176">
        <f>SUM(C50:E50)</f>
        <v>538</v>
      </c>
      <c r="G50" s="2177">
        <v>0.49299999999999999</v>
      </c>
      <c r="H50" s="2177">
        <v>0.5</v>
      </c>
      <c r="I50" s="2176">
        <f>C50*G50</f>
        <v>265.23399999999998</v>
      </c>
      <c r="J50" s="2176">
        <f>D50*G50</f>
        <v>0</v>
      </c>
      <c r="K50" s="2176">
        <f>E50*G50</f>
        <v>0</v>
      </c>
      <c r="L50" s="2176">
        <f>SUM(I50:K50)</f>
        <v>265.23399999999998</v>
      </c>
      <c r="M50" s="2145">
        <f>((I50*1000000)/35.31)*($D$5/($D$6*$G$7))*0.0000011023</f>
        <v>5433.1173896447117</v>
      </c>
      <c r="N50" s="2145">
        <f>((J50*1000000)/35.31)*($D$5/($D$6*$G$7))*0.0000011023</f>
        <v>0</v>
      </c>
      <c r="O50" s="2145">
        <f>((K50*1000000)/35.31)*($D$5/($D$6*$G$7))*0.0000011023</f>
        <v>0</v>
      </c>
      <c r="P50" s="2176">
        <f>219800000/1000000</f>
        <v>219.8</v>
      </c>
      <c r="Q50" s="2177">
        <v>0.64319999999999999</v>
      </c>
      <c r="R50" s="2140">
        <f t="shared" si="0"/>
        <v>4226037.7523315167</v>
      </c>
      <c r="S50" s="2154">
        <f>((R50*$D$4)/($D$6*$G$7))*0.00000110231</f>
        <v>8384.8179709843025</v>
      </c>
      <c r="T50" s="2155">
        <f>(C50*($G$50+$H$50)*1000000/35.31)*($D$4/($D$6*$G$7))*0.00000110231</f>
        <v>30018.851538702605</v>
      </c>
      <c r="U50" s="2156">
        <f>(D50*($G$50+$H$50)*1000000/35.31)*($D$4/($D$6*$G$7))*0.00000110231</f>
        <v>0</v>
      </c>
      <c r="V50" s="2171">
        <f>(E50*($G$50+$H$50)*1000000/35.31)*($D$4/($D$6*$G$7))*0.00000110231</f>
        <v>0</v>
      </c>
      <c r="W50" s="2158">
        <f t="shared" si="1"/>
        <v>3013.8934773402252</v>
      </c>
      <c r="X50" s="2159">
        <f>(((C50*G50)*(1-$D$15))*1000000/35.31)*($D$5/($D$6*$G$7))*0.0000011023</f>
        <v>108.66234779289434</v>
      </c>
      <c r="Y50" s="2160">
        <f>(((D50*Z50)*$D$19))/2000</f>
        <v>0</v>
      </c>
      <c r="Z50" s="2139">
        <f>G50*$D$13</f>
        <v>493</v>
      </c>
      <c r="AA50" s="1820">
        <f>(((E50*Z50)*$D$19))/2000</f>
        <v>0</v>
      </c>
      <c r="AB50" s="411"/>
      <c r="AC50" s="411"/>
    </row>
    <row r="51" spans="1:29" ht="15">
      <c r="A51" s="411"/>
      <c r="B51" s="2203"/>
      <c r="C51" s="2176"/>
      <c r="D51" s="2176"/>
      <c r="E51" s="2176"/>
      <c r="F51" s="2140"/>
      <c r="G51" s="2141"/>
      <c r="H51" s="2142"/>
      <c r="I51" s="2143"/>
      <c r="J51" s="2143"/>
      <c r="K51" s="2143"/>
      <c r="L51" s="2144"/>
      <c r="M51" s="2145"/>
      <c r="N51" s="2145"/>
      <c r="O51" s="2145"/>
      <c r="P51" s="2146"/>
      <c r="Q51" s="2141"/>
      <c r="R51" s="2140"/>
      <c r="S51" s="2154"/>
      <c r="T51" s="2155"/>
      <c r="U51" s="2156"/>
      <c r="V51" s="2171"/>
      <c r="W51" s="2158"/>
      <c r="X51" s="2159"/>
      <c r="Y51" s="2160"/>
      <c r="Z51" s="2153"/>
      <c r="AA51" s="1821"/>
      <c r="AB51" s="411"/>
      <c r="AC51" s="411"/>
    </row>
    <row r="52" spans="1:29" ht="15">
      <c r="A52" s="411"/>
      <c r="B52" s="2203" t="s">
        <v>1366</v>
      </c>
      <c r="C52" s="2176">
        <f>7.49</f>
        <v>7.49</v>
      </c>
      <c r="D52" s="2176">
        <v>0</v>
      </c>
      <c r="E52" s="2176">
        <v>0</v>
      </c>
      <c r="F52" s="2176">
        <f>SUM(C52:E52)</f>
        <v>7.49</v>
      </c>
      <c r="G52" s="2177">
        <v>0.4017</v>
      </c>
      <c r="H52" s="2177">
        <v>0.2742</v>
      </c>
      <c r="I52" s="2176">
        <f>C52*G52</f>
        <v>3.0087329999999999</v>
      </c>
      <c r="J52" s="2176">
        <f>D52*G52</f>
        <v>0</v>
      </c>
      <c r="K52" s="2176">
        <f>E52*G52</f>
        <v>0</v>
      </c>
      <c r="L52" s="2176">
        <f>SUM(I52:K52)</f>
        <v>3.0087329999999999</v>
      </c>
      <c r="M52" s="2145">
        <f>((I52*1000000)/35.31)*($D$5/($D$6*$G$7))*0.0000011023</f>
        <v>61.631614284359856</v>
      </c>
      <c r="N52" s="2145">
        <f>((J52*1000000)/35.31)*($D$5/($D$6*$G$7))*0.0000011023</f>
        <v>0</v>
      </c>
      <c r="O52" s="2145">
        <f>((K52*1000000)/35.31)*($D$5/($D$6*$G$7))*0.0000011023</f>
        <v>0</v>
      </c>
      <c r="P52" s="2176">
        <f>63285300/1000000</f>
        <v>63.285299999999999</v>
      </c>
      <c r="Q52" s="2177">
        <f>L52/P52</f>
        <v>4.75423676588402E-2</v>
      </c>
      <c r="R52" s="2140">
        <f t="shared" si="0"/>
        <v>1165242.7530912063</v>
      </c>
      <c r="S52" s="2154">
        <f>((R52*$D$4)/($D$6*$G$7))*0.00000110231</f>
        <v>2311.9406283789217</v>
      </c>
      <c r="T52" s="2155">
        <f>(C52*($G$52+$H$52)*1000000/35.31)*($D$4/($D$6*$G$7))*0.00000110231</f>
        <v>284.46367274456151</v>
      </c>
      <c r="U52" s="2156">
        <f>(D52*($G$52+$H$52)*1000000/35.31)*($D$4/($D$6*$G$7))*0.00000110231</f>
        <v>0</v>
      </c>
      <c r="V52" s="2171">
        <f>(E52*($G$52+$H$52)*1000000/35.31)*($D$4/($D$6*$G$7))*0.00000110231</f>
        <v>0</v>
      </c>
      <c r="W52" s="2158">
        <f t="shared" si="1"/>
        <v>1234.7197733163343</v>
      </c>
      <c r="X52" s="2159">
        <f>(((C52*G52)*(1-$D$15))*1000000/35.31)*($D$5/($D$6*$G$7))*0.0000011023</f>
        <v>1.2326322856871985</v>
      </c>
      <c r="Y52" s="2160">
        <f>(((D52*Z52)*$D$19))/2000</f>
        <v>0</v>
      </c>
      <c r="Z52" s="2139">
        <f>G52*$D$13</f>
        <v>401.7</v>
      </c>
      <c r="AA52" s="1820">
        <f>(((E52*Z52)*$D$19))/2000</f>
        <v>0</v>
      </c>
      <c r="AB52" s="411"/>
      <c r="AC52" s="411"/>
    </row>
    <row r="53" spans="1:29" ht="15">
      <c r="A53" s="411"/>
      <c r="B53" s="2203"/>
      <c r="C53" s="2176"/>
      <c r="D53" s="2176"/>
      <c r="E53" s="2176"/>
      <c r="F53" s="2140"/>
      <c r="G53" s="2141"/>
      <c r="H53" s="2142"/>
      <c r="I53" s="2143"/>
      <c r="J53" s="2143"/>
      <c r="K53" s="2143"/>
      <c r="L53" s="2144"/>
      <c r="M53" s="2145"/>
      <c r="N53" s="2145"/>
      <c r="O53" s="2145"/>
      <c r="P53" s="2146"/>
      <c r="Q53" s="2141"/>
      <c r="R53" s="2140"/>
      <c r="S53" s="2154"/>
      <c r="T53" s="2155"/>
      <c r="U53" s="2156"/>
      <c r="V53" s="2171"/>
      <c r="W53" s="2158"/>
      <c r="X53" s="2159"/>
      <c r="Y53" s="2160"/>
      <c r="Z53" s="2153"/>
      <c r="AA53" s="1821"/>
      <c r="AB53" s="411"/>
      <c r="AC53" s="411"/>
    </row>
    <row r="54" spans="1:29" ht="15">
      <c r="A54" s="411"/>
      <c r="B54" s="2203" t="s">
        <v>1367</v>
      </c>
      <c r="C54" s="2176">
        <f>260300000/1000000</f>
        <v>260.3</v>
      </c>
      <c r="D54" s="2176">
        <v>0</v>
      </c>
      <c r="E54" s="2176">
        <v>0</v>
      </c>
      <c r="F54" s="2176">
        <f>SUM(C54:E54)</f>
        <v>260.3</v>
      </c>
      <c r="G54" s="2177">
        <v>0.5</v>
      </c>
      <c r="H54" s="2177">
        <v>0.5</v>
      </c>
      <c r="I54" s="2176">
        <f>C54*G54</f>
        <v>130.15</v>
      </c>
      <c r="J54" s="2176">
        <f>D54*G54</f>
        <v>0</v>
      </c>
      <c r="K54" s="2176">
        <f>E54*G54</f>
        <v>0</v>
      </c>
      <c r="L54" s="2176">
        <f>SUM(I54:K54)</f>
        <v>130.15</v>
      </c>
      <c r="M54" s="2145">
        <f>((I54*1000000)/35.31)*($D$5/($D$6*$G$7))*0.0000011023</f>
        <v>2666.0240703011655</v>
      </c>
      <c r="N54" s="2145">
        <f>((J54*1000000)/35.31)*($D$5/($D$6*$G$7))*0.0000011023</f>
        <v>0</v>
      </c>
      <c r="O54" s="2145">
        <f>((K54*1000000)/35.31)*($D$5/($D$6*$G$7))*0.0000011023</f>
        <v>0</v>
      </c>
      <c r="P54" s="2176">
        <f>222600000/1000000</f>
        <v>222.6</v>
      </c>
      <c r="Q54" s="2177">
        <v>0.7</v>
      </c>
      <c r="R54" s="2140">
        <f t="shared" si="0"/>
        <v>1579682.0002427481</v>
      </c>
      <c r="S54" s="2154">
        <f>((R54*$D$4)/($D$6*$G$7))*0.00000110231</f>
        <v>3134.2233080545316</v>
      </c>
      <c r="T54" s="2155">
        <f>(C54*($G$54+$H$54)*1000000/35.31)*($D$4/($D$6*$G$7))*0.00000110231</f>
        <v>14626.375437587814</v>
      </c>
      <c r="U54" s="2156">
        <f>(D54*($G$54+$H$54)*1000000/35.31)*($D$4/($D$6*$G$7))*0.00000110231</f>
        <v>0</v>
      </c>
      <c r="V54" s="2171">
        <f>(E54*($G$54+$H$54)*1000000/35.31)*($D$4/($D$6*$G$7))*0.00000110231</f>
        <v>0</v>
      </c>
      <c r="W54" s="2158">
        <f t="shared" si="1"/>
        <v>1142.5817444147854</v>
      </c>
      <c r="X54" s="2159">
        <f>(((C54*G54)*(1-$D$15))*1000000/35.31)*($D$5/($D$6*$G$7))*0.0000011023</f>
        <v>53.320481406023355</v>
      </c>
      <c r="Y54" s="2160">
        <f>(((D54*Z54)*$D$19))/2000</f>
        <v>0</v>
      </c>
      <c r="Z54" s="2139">
        <f>G54*$D$13</f>
        <v>500</v>
      </c>
      <c r="AA54" s="1820">
        <f>(((E54*Z54)*$D$19))/2000</f>
        <v>0</v>
      </c>
      <c r="AB54" s="411"/>
      <c r="AC54" s="411"/>
    </row>
    <row r="55" spans="1:29" ht="15">
      <c r="A55" s="411"/>
      <c r="B55" s="2203"/>
      <c r="C55" s="2176"/>
      <c r="D55" s="2176"/>
      <c r="E55" s="2176"/>
      <c r="F55" s="2176"/>
      <c r="G55" s="2177"/>
      <c r="H55" s="2177"/>
      <c r="I55" s="2176"/>
      <c r="J55" s="2176"/>
      <c r="K55" s="2176"/>
      <c r="L55" s="2176"/>
      <c r="M55" s="2178"/>
      <c r="N55" s="2178"/>
      <c r="O55" s="2178"/>
      <c r="P55" s="2176"/>
      <c r="Q55" s="2176"/>
      <c r="R55" s="2176"/>
      <c r="S55" s="2179"/>
      <c r="T55" s="2179"/>
      <c r="U55" s="2179"/>
      <c r="V55" s="2179"/>
      <c r="W55" s="2158"/>
      <c r="X55" s="2176"/>
      <c r="Y55" s="2179"/>
      <c r="Z55" s="2176"/>
      <c r="AA55" s="2189"/>
      <c r="AB55" s="411"/>
      <c r="AC55" s="411"/>
    </row>
    <row r="56" spans="1:29" ht="15">
      <c r="A56" s="411"/>
      <c r="B56" s="2204"/>
      <c r="C56" s="2180"/>
      <c r="D56" s="2180"/>
      <c r="E56" s="2180"/>
      <c r="F56" s="2180"/>
      <c r="G56" s="2181"/>
      <c r="H56" s="2181"/>
      <c r="I56" s="2180"/>
      <c r="J56" s="2180"/>
      <c r="K56" s="2180"/>
      <c r="L56" s="2180"/>
      <c r="M56" s="2182"/>
      <c r="N56" s="2182"/>
      <c r="O56" s="2182"/>
      <c r="P56" s="2180"/>
      <c r="Q56" s="2180"/>
      <c r="R56" s="2180"/>
      <c r="S56" s="2183"/>
      <c r="T56" s="2184"/>
      <c r="U56" s="2184"/>
      <c r="V56" s="2184"/>
      <c r="W56" s="2180"/>
      <c r="X56" s="2180"/>
      <c r="Y56" s="2183"/>
      <c r="Z56" s="2180"/>
      <c r="AA56" s="2190"/>
      <c r="AB56" s="411"/>
      <c r="AC56" s="411"/>
    </row>
    <row r="57" spans="1:29" ht="15.75" thickBot="1">
      <c r="A57" s="411"/>
      <c r="B57" s="2298" t="s">
        <v>190</v>
      </c>
      <c r="C57" s="2298"/>
      <c r="D57" s="2298"/>
      <c r="E57" s="2298"/>
      <c r="F57" s="2298"/>
      <c r="G57" s="2298"/>
      <c r="H57" s="2298"/>
      <c r="I57" s="2298"/>
      <c r="J57" s="2298"/>
      <c r="K57" s="2298"/>
      <c r="L57" s="2298"/>
      <c r="M57" s="2299">
        <f>SUM(M26:M56)</f>
        <v>18219.311989905902</v>
      </c>
      <c r="N57" s="2299">
        <f>SUM(N26:N56)</f>
        <v>8801.7834621858274</v>
      </c>
      <c r="O57" s="2299">
        <f>SUM(O26:O56)</f>
        <v>30777.374238997967</v>
      </c>
      <c r="P57" s="2298"/>
      <c r="Q57" s="2298"/>
      <c r="R57" s="2298"/>
      <c r="S57" s="2298"/>
      <c r="T57" s="2299">
        <f>SUM(T26:T56)</f>
        <v>93279.1180127345</v>
      </c>
      <c r="U57" s="2299">
        <f>SUM(U26:U56)</f>
        <v>42258.555718076241</v>
      </c>
      <c r="V57" s="2299">
        <f>SUM(V26:V56)</f>
        <v>149327.16094179018</v>
      </c>
      <c r="W57" s="2299">
        <f t="shared" ref="W57:AA57" si="2">SUM(W26:W56)</f>
        <v>31211.653046082607</v>
      </c>
      <c r="X57" s="2299">
        <f t="shared" si="2"/>
        <v>364.38623979811837</v>
      </c>
      <c r="Y57" s="2299">
        <f t="shared" si="2"/>
        <v>268.55349187500002</v>
      </c>
      <c r="Z57" s="2299">
        <f t="shared" si="2"/>
        <v>6799.6</v>
      </c>
      <c r="AA57" s="2299">
        <f t="shared" si="2"/>
        <v>939.05642624999996</v>
      </c>
      <c r="AB57" s="411"/>
      <c r="AC57" s="411"/>
    </row>
    <row r="58" spans="1:29" ht="15.75" thickTop="1">
      <c r="A58" s="411"/>
      <c r="B58" s="411"/>
      <c r="C58" s="411"/>
      <c r="D58" s="411"/>
      <c r="E58" s="411"/>
      <c r="F58" s="411"/>
      <c r="G58" s="411"/>
      <c r="H58" s="411"/>
      <c r="I58" s="411"/>
      <c r="J58" s="411"/>
      <c r="K58" s="411"/>
      <c r="L58" s="411"/>
      <c r="M58" s="411"/>
      <c r="N58" s="411"/>
      <c r="O58" s="411"/>
      <c r="P58" s="411"/>
      <c r="Q58" s="411"/>
      <c r="R58" s="411"/>
      <c r="S58" s="411"/>
      <c r="T58" s="411"/>
      <c r="U58" s="411"/>
      <c r="V58" s="411"/>
      <c r="W58" s="411"/>
      <c r="X58" s="411"/>
      <c r="Y58" s="411"/>
      <c r="Z58" s="411"/>
      <c r="AA58" s="411"/>
      <c r="AB58" s="411"/>
      <c r="AC58" s="411"/>
    </row>
    <row r="59" spans="1:29" ht="15">
      <c r="A59" s="411"/>
      <c r="B59" s="411"/>
      <c r="C59" s="411"/>
      <c r="D59" s="411"/>
      <c r="E59" s="411"/>
      <c r="F59" s="411"/>
      <c r="G59" s="411"/>
      <c r="H59" s="411"/>
      <c r="I59" s="411"/>
      <c r="J59" s="411"/>
      <c r="K59" s="411"/>
      <c r="L59" s="411"/>
      <c r="M59" s="411"/>
      <c r="N59" s="411"/>
      <c r="O59" s="411"/>
      <c r="P59" s="411"/>
      <c r="Q59" s="411"/>
      <c r="R59" s="411"/>
      <c r="S59" s="411"/>
      <c r="T59" s="411"/>
      <c r="U59" s="411"/>
      <c r="V59" s="411"/>
      <c r="W59" s="411"/>
      <c r="X59" s="411"/>
      <c r="Y59" s="411"/>
      <c r="Z59" s="411"/>
      <c r="AA59" s="411"/>
      <c r="AB59" s="411"/>
      <c r="AC59" s="411"/>
    </row>
    <row r="60" spans="1:29" ht="15">
      <c r="A60" s="411"/>
      <c r="B60" s="411"/>
      <c r="C60" s="411"/>
      <c r="D60" s="411"/>
      <c r="E60" s="411"/>
      <c r="F60" s="411"/>
      <c r="G60" s="411"/>
      <c r="H60" s="411"/>
      <c r="I60" s="411"/>
      <c r="J60" s="411"/>
      <c r="K60" s="411"/>
      <c r="L60" s="411"/>
      <c r="M60" s="411"/>
      <c r="N60" s="411"/>
      <c r="O60" s="411"/>
      <c r="P60" s="411"/>
      <c r="Q60" s="411"/>
      <c r="R60" s="411"/>
      <c r="S60" s="411"/>
      <c r="T60" s="411"/>
      <c r="U60" s="411"/>
      <c r="V60" s="411"/>
      <c r="W60" s="411"/>
      <c r="X60" s="411"/>
      <c r="Y60" s="411"/>
      <c r="Z60" s="411"/>
      <c r="AA60" s="411"/>
      <c r="AB60" s="411"/>
      <c r="AC60" s="411"/>
    </row>
    <row r="61" spans="1:29" ht="15">
      <c r="A61" s="411"/>
      <c r="B61" s="411"/>
      <c r="C61" s="411"/>
      <c r="D61" s="411"/>
      <c r="E61" s="411"/>
      <c r="F61" s="411"/>
      <c r="G61" s="411"/>
      <c r="H61" s="411"/>
      <c r="I61" s="411"/>
      <c r="J61" s="411"/>
      <c r="K61" s="411"/>
      <c r="L61" s="411"/>
      <c r="M61" s="411"/>
      <c r="N61" s="411"/>
      <c r="O61" s="411"/>
      <c r="P61" s="411"/>
      <c r="Q61" s="411"/>
      <c r="R61" s="411"/>
      <c r="S61" s="411"/>
      <c r="T61" s="411"/>
      <c r="U61" s="411"/>
      <c r="V61" s="411"/>
      <c r="W61" s="411"/>
      <c r="X61" s="411"/>
      <c r="Y61" s="411"/>
      <c r="Z61" s="411"/>
      <c r="AA61" s="411"/>
      <c r="AB61" s="411"/>
      <c r="AC61" s="411"/>
    </row>
    <row r="62" spans="1:29" ht="15">
      <c r="A62" s="411"/>
      <c r="B62" s="411"/>
      <c r="C62" s="411"/>
      <c r="D62" s="411"/>
      <c r="E62" s="411"/>
      <c r="F62" s="411"/>
      <c r="G62" s="411"/>
      <c r="H62" s="411"/>
      <c r="I62" s="411"/>
      <c r="J62" s="411"/>
      <c r="K62" s="411"/>
      <c r="L62" s="411"/>
      <c r="M62" s="411"/>
      <c r="N62" s="411"/>
      <c r="O62" s="411"/>
      <c r="P62" s="411"/>
      <c r="Q62" s="411"/>
      <c r="R62" s="411"/>
      <c r="S62" s="411"/>
      <c r="T62" s="411"/>
      <c r="U62" s="411"/>
      <c r="V62" s="411"/>
      <c r="W62" s="411"/>
      <c r="X62" s="411"/>
      <c r="Y62" s="411"/>
      <c r="Z62" s="411"/>
      <c r="AA62" s="411"/>
      <c r="AB62" s="411"/>
      <c r="AC62" s="411"/>
    </row>
    <row r="63" spans="1:29" ht="15">
      <c r="A63" s="411"/>
      <c r="B63" s="411"/>
      <c r="C63" s="411"/>
      <c r="D63" s="411"/>
      <c r="E63" s="411"/>
      <c r="F63" s="411"/>
      <c r="G63" s="411"/>
      <c r="H63" s="411"/>
      <c r="I63" s="411"/>
      <c r="J63" s="411"/>
      <c r="K63" s="411"/>
      <c r="L63" s="411"/>
      <c r="M63" s="411"/>
      <c r="N63" s="411"/>
      <c r="O63" s="411"/>
      <c r="P63" s="411"/>
      <c r="Q63" s="411"/>
      <c r="R63" s="411"/>
      <c r="S63" s="411"/>
      <c r="T63" s="411"/>
      <c r="U63" s="411"/>
      <c r="V63" s="411"/>
      <c r="W63" s="411"/>
      <c r="X63" s="411"/>
      <c r="Y63" s="411"/>
      <c r="Z63" s="411"/>
      <c r="AA63" s="411"/>
      <c r="AB63" s="411"/>
      <c r="AC63" s="411"/>
    </row>
    <row r="64" spans="1:29" ht="15">
      <c r="A64" s="411"/>
      <c r="B64" s="411"/>
      <c r="C64" s="411"/>
      <c r="D64" s="411"/>
      <c r="E64" s="411"/>
      <c r="F64" s="411"/>
      <c r="G64" s="411"/>
      <c r="H64" s="411"/>
      <c r="I64" s="411"/>
      <c r="J64" s="411"/>
      <c r="K64" s="411"/>
      <c r="L64" s="411"/>
      <c r="M64" s="411"/>
      <c r="N64" s="411"/>
      <c r="O64" s="411"/>
      <c r="P64" s="411"/>
      <c r="Q64" s="411"/>
      <c r="R64" s="411"/>
      <c r="S64" s="411"/>
      <c r="T64" s="411"/>
      <c r="U64" s="411"/>
      <c r="V64" s="411"/>
      <c r="W64" s="411"/>
      <c r="X64" s="411"/>
      <c r="Y64" s="411"/>
      <c r="Z64" s="411"/>
      <c r="AA64" s="411"/>
      <c r="AB64" s="411"/>
      <c r="AC64" s="411"/>
    </row>
    <row r="65" spans="1:29" ht="15">
      <c r="A65" s="411"/>
      <c r="B65" s="411"/>
      <c r="C65" s="411"/>
      <c r="D65" s="411"/>
      <c r="E65" s="411"/>
      <c r="F65" s="411"/>
      <c r="G65" s="411"/>
      <c r="H65" s="411"/>
      <c r="I65" s="411"/>
      <c r="J65" s="411"/>
      <c r="K65" s="411"/>
      <c r="L65" s="411"/>
      <c r="M65" s="411"/>
      <c r="N65" s="411"/>
      <c r="O65" s="411"/>
      <c r="P65" s="411"/>
      <c r="Q65" s="411"/>
      <c r="R65" s="411"/>
      <c r="S65" s="411"/>
      <c r="T65" s="411"/>
      <c r="U65" s="411"/>
      <c r="V65" s="411"/>
      <c r="W65" s="411"/>
      <c r="X65" s="411"/>
      <c r="Y65" s="411"/>
      <c r="Z65" s="411"/>
      <c r="AA65" s="411"/>
      <c r="AB65" s="411"/>
      <c r="AC65" s="411"/>
    </row>
    <row r="66" spans="1:29" ht="15">
      <c r="A66" s="411"/>
      <c r="B66" s="411"/>
      <c r="C66" s="411"/>
      <c r="D66" s="411"/>
      <c r="E66" s="411"/>
      <c r="F66" s="411"/>
      <c r="G66" s="411"/>
      <c r="H66" s="411"/>
      <c r="I66" s="411"/>
      <c r="J66" s="411"/>
      <c r="K66" s="411"/>
      <c r="L66" s="411"/>
      <c r="M66" s="411"/>
      <c r="N66" s="411"/>
      <c r="O66" s="411"/>
      <c r="P66" s="411"/>
      <c r="Q66" s="411"/>
      <c r="R66" s="411"/>
      <c r="S66" s="411"/>
      <c r="T66" s="411"/>
      <c r="U66" s="411"/>
      <c r="V66" s="411"/>
      <c r="W66" s="411"/>
      <c r="X66" s="411"/>
      <c r="Y66" s="411"/>
      <c r="Z66" s="411"/>
      <c r="AA66" s="411"/>
      <c r="AB66" s="411"/>
      <c r="AC66" s="411"/>
    </row>
    <row r="67" spans="1:29" ht="15">
      <c r="A67" s="411"/>
      <c r="B67" s="411"/>
      <c r="C67" s="411"/>
      <c r="D67" s="411"/>
      <c r="E67" s="411"/>
      <c r="F67" s="411"/>
      <c r="G67" s="411"/>
      <c r="H67" s="411"/>
      <c r="I67" s="411"/>
      <c r="J67" s="411"/>
      <c r="K67" s="411"/>
      <c r="L67" s="411"/>
      <c r="M67" s="411"/>
      <c r="N67" s="411"/>
      <c r="O67" s="411"/>
      <c r="P67" s="411"/>
      <c r="Q67" s="411"/>
      <c r="R67" s="411"/>
      <c r="S67" s="411"/>
      <c r="T67" s="411"/>
      <c r="U67" s="411"/>
      <c r="V67" s="411"/>
      <c r="W67" s="411"/>
      <c r="X67" s="411"/>
      <c r="Y67" s="411"/>
      <c r="Z67" s="411"/>
      <c r="AA67" s="411"/>
      <c r="AB67" s="411"/>
      <c r="AC67" s="411"/>
    </row>
    <row r="68" spans="1:29" ht="15">
      <c r="A68" s="411"/>
      <c r="B68" s="411"/>
      <c r="C68" s="411"/>
      <c r="D68" s="411"/>
      <c r="E68" s="411"/>
      <c r="F68" s="411"/>
      <c r="G68" s="411"/>
      <c r="H68" s="411"/>
      <c r="I68" s="411"/>
      <c r="J68" s="411"/>
      <c r="K68" s="411"/>
      <c r="L68" s="411"/>
      <c r="M68" s="411"/>
      <c r="N68" s="411"/>
      <c r="O68" s="411"/>
      <c r="P68" s="411"/>
      <c r="Q68" s="411"/>
      <c r="R68" s="411"/>
      <c r="S68" s="411"/>
      <c r="T68" s="411"/>
      <c r="U68" s="411"/>
      <c r="V68" s="411"/>
      <c r="W68" s="411"/>
      <c r="X68" s="411"/>
      <c r="Y68" s="411"/>
      <c r="Z68" s="411"/>
      <c r="AA68" s="411"/>
      <c r="AB68" s="411"/>
      <c r="AC68" s="411"/>
    </row>
    <row r="69" spans="1:29" ht="15">
      <c r="A69" s="411"/>
      <c r="B69" s="411"/>
      <c r="C69" s="411"/>
      <c r="D69" s="411"/>
      <c r="E69" s="411"/>
      <c r="F69" s="411"/>
      <c r="G69" s="411"/>
      <c r="H69" s="411"/>
      <c r="I69" s="411"/>
      <c r="J69" s="411"/>
      <c r="K69" s="411"/>
      <c r="L69" s="411"/>
      <c r="M69" s="411"/>
      <c r="N69" s="411"/>
      <c r="O69" s="411"/>
      <c r="P69" s="411"/>
      <c r="Q69" s="411"/>
      <c r="R69" s="411"/>
      <c r="S69" s="411"/>
      <c r="T69" s="411"/>
      <c r="U69" s="411"/>
      <c r="V69" s="411"/>
      <c r="W69" s="411"/>
      <c r="X69" s="411"/>
      <c r="Y69" s="411"/>
      <c r="Z69" s="411"/>
      <c r="AA69" s="411"/>
      <c r="AB69" s="411"/>
      <c r="AC69" s="411"/>
    </row>
    <row r="70" spans="1:29" ht="15">
      <c r="A70" s="411"/>
      <c r="B70" s="411"/>
      <c r="C70" s="411"/>
      <c r="D70" s="411"/>
      <c r="E70" s="411"/>
      <c r="F70" s="411"/>
      <c r="G70" s="411"/>
      <c r="H70" s="411"/>
      <c r="I70" s="411"/>
      <c r="J70" s="411"/>
      <c r="K70" s="411"/>
      <c r="L70" s="411"/>
      <c r="M70" s="411"/>
      <c r="N70" s="411"/>
      <c r="O70" s="411"/>
      <c r="P70" s="411"/>
      <c r="Q70" s="411"/>
      <c r="R70" s="411"/>
      <c r="S70" s="411"/>
      <c r="T70" s="411"/>
      <c r="U70" s="411"/>
      <c r="V70" s="411"/>
      <c r="W70" s="411"/>
      <c r="X70" s="411"/>
      <c r="Y70" s="411"/>
      <c r="Z70" s="411"/>
      <c r="AA70" s="411"/>
      <c r="AB70" s="411"/>
      <c r="AC70" s="411"/>
    </row>
    <row r="71" spans="1:29" ht="15">
      <c r="A71" s="411"/>
      <c r="B71" s="411"/>
      <c r="C71" s="411"/>
      <c r="D71" s="411"/>
      <c r="E71" s="411"/>
      <c r="F71" s="411"/>
      <c r="G71" s="411"/>
      <c r="H71" s="411"/>
      <c r="I71" s="411"/>
      <c r="J71" s="411"/>
      <c r="K71" s="411"/>
      <c r="L71" s="411"/>
      <c r="M71" s="411"/>
      <c r="N71" s="411"/>
      <c r="O71" s="411"/>
      <c r="P71" s="411"/>
      <c r="Q71" s="411"/>
      <c r="R71" s="411"/>
      <c r="S71" s="411"/>
      <c r="T71" s="411"/>
      <c r="U71" s="411"/>
      <c r="V71" s="411"/>
      <c r="W71" s="411"/>
      <c r="X71" s="411"/>
      <c r="Y71" s="411"/>
      <c r="Z71" s="411"/>
      <c r="AA71" s="411"/>
      <c r="AB71" s="411"/>
      <c r="AC71" s="411"/>
    </row>
    <row r="72" spans="1:29" ht="15">
      <c r="A72" s="411"/>
      <c r="B72" s="411"/>
      <c r="C72" s="411"/>
      <c r="D72" s="411"/>
      <c r="E72" s="411"/>
      <c r="F72" s="411"/>
      <c r="G72" s="411"/>
      <c r="H72" s="411"/>
      <c r="I72" s="411"/>
      <c r="J72" s="411"/>
      <c r="K72" s="411"/>
      <c r="L72" s="411"/>
      <c r="M72" s="411"/>
      <c r="N72" s="411"/>
      <c r="O72" s="411"/>
      <c r="P72" s="411"/>
      <c r="Q72" s="411"/>
      <c r="R72" s="411"/>
      <c r="S72" s="411"/>
      <c r="T72" s="411"/>
      <c r="U72" s="411"/>
      <c r="V72" s="411"/>
      <c r="W72" s="411"/>
      <c r="X72" s="411"/>
      <c r="Y72" s="411"/>
      <c r="Z72" s="411"/>
      <c r="AA72" s="411"/>
      <c r="AB72" s="411"/>
      <c r="AC72" s="411"/>
    </row>
    <row r="73" spans="1:29" ht="15">
      <c r="A73" s="411"/>
      <c r="B73" s="411"/>
      <c r="C73" s="411"/>
      <c r="D73" s="411"/>
      <c r="E73" s="411"/>
      <c r="F73" s="411"/>
      <c r="G73" s="411"/>
      <c r="H73" s="411"/>
      <c r="I73" s="411"/>
      <c r="J73" s="411"/>
      <c r="K73" s="411"/>
      <c r="L73" s="411"/>
      <c r="M73" s="411"/>
      <c r="N73" s="411"/>
      <c r="O73" s="411"/>
      <c r="P73" s="411"/>
      <c r="Q73" s="411"/>
      <c r="R73" s="411"/>
      <c r="S73" s="411"/>
      <c r="T73" s="411"/>
      <c r="U73" s="411"/>
      <c r="V73" s="411"/>
      <c r="W73" s="411"/>
      <c r="X73" s="411"/>
      <c r="Y73" s="411"/>
      <c r="Z73" s="411"/>
      <c r="AA73" s="411"/>
      <c r="AB73" s="411"/>
      <c r="AC73" s="411"/>
    </row>
    <row r="74" spans="1:29" ht="15">
      <c r="A74" s="411"/>
      <c r="B74" s="411"/>
      <c r="C74" s="411"/>
      <c r="D74" s="411"/>
      <c r="E74" s="411"/>
      <c r="F74" s="411"/>
      <c r="G74" s="411"/>
      <c r="H74" s="411"/>
      <c r="I74" s="411"/>
      <c r="J74" s="411"/>
      <c r="K74" s="411"/>
      <c r="L74" s="411"/>
      <c r="M74" s="411"/>
      <c r="N74" s="411"/>
      <c r="O74" s="411"/>
      <c r="P74" s="411"/>
      <c r="Q74" s="411"/>
      <c r="R74" s="411"/>
      <c r="S74" s="411"/>
      <c r="T74" s="411"/>
      <c r="U74" s="411"/>
      <c r="V74" s="411"/>
      <c r="W74" s="411"/>
      <c r="X74" s="411"/>
      <c r="Y74" s="411"/>
      <c r="Z74" s="411"/>
      <c r="AA74" s="411"/>
      <c r="AB74" s="411"/>
      <c r="AC74" s="411"/>
    </row>
  </sheetData>
  <sheetProtection password="CD58" sheet="1" objects="1" scenarios="1"/>
  <mergeCells count="16">
    <mergeCell ref="B8:C8"/>
    <mergeCell ref="B3:C3"/>
    <mergeCell ref="B4:C4"/>
    <mergeCell ref="B5:C5"/>
    <mergeCell ref="B6:C6"/>
    <mergeCell ref="B7:C7"/>
    <mergeCell ref="M22:O22"/>
    <mergeCell ref="C23:E23"/>
    <mergeCell ref="I23:K23"/>
    <mergeCell ref="M23:O23"/>
    <mergeCell ref="B10:C10"/>
    <mergeCell ref="B12:C12"/>
    <mergeCell ref="B14:C14"/>
    <mergeCell ref="B18:C18"/>
    <mergeCell ref="C22:E22"/>
    <mergeCell ref="I22:K22"/>
  </mergeCells>
  <printOptions gridLines="1"/>
  <pageMargins left="0.2" right="0.16" top="0.31" bottom="0.31" header="0.3" footer="0.3"/>
  <pageSetup scale="70" orientation="landscape" r:id="rId1"/>
  <drawing r:id="rId2"/>
</worksheet>
</file>

<file path=xl/worksheets/sheet19.xml><?xml version="1.0" encoding="utf-8"?>
<worksheet xmlns="http://schemas.openxmlformats.org/spreadsheetml/2006/main" xmlns:r="http://schemas.openxmlformats.org/officeDocument/2006/relationships">
  <sheetPr codeName="Sheet13"/>
  <dimension ref="A1:AD53"/>
  <sheetViews>
    <sheetView workbookViewId="0">
      <selection activeCell="G41" sqref="G41"/>
    </sheetView>
  </sheetViews>
  <sheetFormatPr defaultRowHeight="11.25"/>
  <cols>
    <col min="1" max="1" width="2.5" customWidth="1"/>
    <col min="2" max="2" width="35.6640625" customWidth="1"/>
    <col min="3" max="3" width="21.6640625" customWidth="1"/>
    <col min="4" max="4" width="15.6640625" customWidth="1"/>
    <col min="5" max="5" width="16.1640625" customWidth="1"/>
    <col min="6" max="6" width="17.1640625" customWidth="1"/>
    <col min="7" max="7" width="11.5" customWidth="1"/>
    <col min="8" max="8" width="3" customWidth="1"/>
    <col min="9" max="9" width="33.6640625" customWidth="1"/>
    <col min="10" max="10" width="25.5" customWidth="1"/>
    <col min="11" max="12" width="16.1640625" bestFit="1" customWidth="1"/>
    <col min="13" max="13" width="11.1640625" customWidth="1"/>
    <col min="14" max="14" width="11.5" customWidth="1"/>
    <col min="15" max="15" width="2" customWidth="1"/>
    <col min="16" max="16" width="32.33203125" customWidth="1"/>
    <col min="17" max="17" width="12.6640625" customWidth="1"/>
    <col min="18" max="18" width="14.5" customWidth="1"/>
    <col min="19" max="20" width="14.83203125" customWidth="1"/>
    <col min="21" max="21" width="9.5" bestFit="1" customWidth="1"/>
    <col min="23" max="23" width="4.1640625" customWidth="1"/>
    <col min="24" max="24" width="31.6640625" customWidth="1"/>
    <col min="25" max="25" width="17.83203125" bestFit="1" customWidth="1"/>
    <col min="27" max="27" width="4" customWidth="1"/>
    <col min="28" max="28" width="38.1640625" customWidth="1"/>
    <col min="29" max="29" width="14.1640625" customWidth="1"/>
    <col min="30" max="30" width="12.5" customWidth="1"/>
  </cols>
  <sheetData>
    <row r="1" spans="1:30" ht="33">
      <c r="A1" s="482" t="s">
        <v>553</v>
      </c>
      <c r="B1" s="229"/>
      <c r="C1" s="479" t="s">
        <v>1760</v>
      </c>
      <c r="G1" s="1"/>
      <c r="H1" s="1"/>
    </row>
    <row r="2" spans="1:30" ht="54" customHeight="1"/>
    <row r="4" spans="1:30" ht="12" thickBot="1"/>
    <row r="5" spans="1:30" ht="12" thickTop="1">
      <c r="B5" s="124"/>
      <c r="C5" s="744">
        <v>2017</v>
      </c>
      <c r="D5" s="491"/>
      <c r="E5" s="491"/>
      <c r="F5" s="491"/>
      <c r="G5" s="492"/>
      <c r="I5" s="124"/>
      <c r="J5" s="491">
        <v>2017</v>
      </c>
      <c r="K5" s="491"/>
      <c r="L5" s="491"/>
      <c r="M5" s="491"/>
      <c r="N5" s="492"/>
      <c r="P5" s="124"/>
      <c r="Q5" s="491">
        <v>2017</v>
      </c>
      <c r="R5" s="491"/>
      <c r="S5" s="491"/>
      <c r="T5" s="491"/>
      <c r="U5" s="491"/>
      <c r="V5" s="492"/>
      <c r="X5" s="124"/>
      <c r="Y5" s="491">
        <v>2017</v>
      </c>
      <c r="Z5" s="492"/>
      <c r="AB5" s="173"/>
      <c r="AC5" s="695">
        <v>2017</v>
      </c>
      <c r="AD5" s="174"/>
    </row>
    <row r="6" spans="1:30">
      <c r="B6" s="125"/>
      <c r="C6" s="38"/>
      <c r="D6" s="38"/>
      <c r="E6" s="38"/>
      <c r="F6" s="38"/>
      <c r="G6" s="496"/>
      <c r="I6" s="125"/>
      <c r="J6" s="38"/>
      <c r="K6" s="38"/>
      <c r="L6" s="38"/>
      <c r="M6" s="38"/>
      <c r="N6" s="496"/>
      <c r="P6" s="125"/>
      <c r="Q6" s="38"/>
      <c r="R6" s="38"/>
      <c r="S6" s="38"/>
      <c r="T6" s="38"/>
      <c r="U6" s="38"/>
      <c r="V6" s="496"/>
      <c r="X6" s="727" t="s">
        <v>1023</v>
      </c>
      <c r="Y6" s="38"/>
      <c r="Z6" s="496"/>
      <c r="AB6" s="731" t="s">
        <v>391</v>
      </c>
      <c r="AC6" s="38"/>
      <c r="AD6" s="175"/>
    </row>
    <row r="7" spans="1:30">
      <c r="B7" s="743" t="s">
        <v>1066</v>
      </c>
      <c r="C7" s="726" t="s">
        <v>1138</v>
      </c>
      <c r="D7" s="726" t="s">
        <v>1140</v>
      </c>
      <c r="E7" s="726" t="s">
        <v>1157</v>
      </c>
      <c r="F7" s="726" t="s">
        <v>190</v>
      </c>
      <c r="G7" s="496"/>
      <c r="I7" s="743" t="s">
        <v>392</v>
      </c>
      <c r="J7" s="726" t="s">
        <v>1138</v>
      </c>
      <c r="K7" s="726" t="s">
        <v>1140</v>
      </c>
      <c r="L7" s="726" t="s">
        <v>1157</v>
      </c>
      <c r="M7" s="726" t="s">
        <v>190</v>
      </c>
      <c r="N7" s="496"/>
      <c r="P7" s="743" t="s">
        <v>1064</v>
      </c>
      <c r="Q7" s="38" t="s">
        <v>1061</v>
      </c>
      <c r="R7" s="38" t="s">
        <v>1062</v>
      </c>
      <c r="S7" s="38" t="s">
        <v>1063</v>
      </c>
      <c r="T7" s="38" t="s">
        <v>667</v>
      </c>
      <c r="U7" s="726" t="s">
        <v>190</v>
      </c>
      <c r="V7" s="496"/>
      <c r="X7" s="125"/>
      <c r="Y7" s="38"/>
      <c r="Z7" s="496"/>
      <c r="AB7" s="35"/>
      <c r="AC7" s="38"/>
      <c r="AD7" s="175"/>
    </row>
    <row r="8" spans="1:30">
      <c r="B8" s="125"/>
      <c r="C8" s="38"/>
      <c r="D8" s="38"/>
      <c r="E8" s="38"/>
      <c r="F8" s="38"/>
      <c r="G8" s="496"/>
      <c r="I8" s="125"/>
      <c r="J8" s="38"/>
      <c r="K8" s="38"/>
      <c r="L8" s="38"/>
      <c r="M8" s="38"/>
      <c r="N8" s="496"/>
      <c r="P8" s="125"/>
      <c r="Q8" s="38"/>
      <c r="R8" s="38"/>
      <c r="S8" s="38"/>
      <c r="T8" s="38"/>
      <c r="U8" s="38"/>
      <c r="V8" s="496"/>
      <c r="X8" s="125"/>
      <c r="Y8" s="38"/>
      <c r="Z8" s="496"/>
      <c r="AB8" s="35"/>
      <c r="AC8" s="38"/>
      <c r="AD8" s="175"/>
    </row>
    <row r="9" spans="1:30">
      <c r="B9" s="125" t="s">
        <v>1065</v>
      </c>
      <c r="C9" s="495">
        <v>237818</v>
      </c>
      <c r="D9" s="495">
        <v>236753</v>
      </c>
      <c r="E9" s="495">
        <v>235333</v>
      </c>
      <c r="F9" s="732">
        <f>SUM(C9:E9)</f>
        <v>709904</v>
      </c>
      <c r="G9" s="496"/>
      <c r="I9" s="125" t="s">
        <v>1065</v>
      </c>
      <c r="J9" s="495">
        <v>197465</v>
      </c>
      <c r="K9" s="495">
        <v>200225</v>
      </c>
      <c r="L9" s="495">
        <v>189438</v>
      </c>
      <c r="M9" s="732">
        <f>SUM(J9:L9)</f>
        <v>587128</v>
      </c>
      <c r="N9" s="496"/>
      <c r="P9" s="125" t="s">
        <v>1065</v>
      </c>
      <c r="Q9" s="654">
        <f>625224*0.0005</f>
        <v>312.61200000000002</v>
      </c>
      <c r="R9" s="654">
        <f>2070084*0.0005</f>
        <v>1035.0419999999999</v>
      </c>
      <c r="S9" s="654">
        <f>184233*0.0005</f>
        <v>92.116500000000002</v>
      </c>
      <c r="T9" s="654">
        <f>808453*0.0005</f>
        <v>404.22649999999999</v>
      </c>
      <c r="U9" s="725">
        <f>SUM(Q9:S9)</f>
        <v>1439.7705000000001</v>
      </c>
      <c r="V9" s="496"/>
      <c r="X9" s="125" t="s">
        <v>1065</v>
      </c>
      <c r="Y9" s="2071">
        <v>0</v>
      </c>
      <c r="Z9" s="496"/>
      <c r="AB9" s="35" t="s">
        <v>1065</v>
      </c>
      <c r="AC9" s="495">
        <f>F9+M9+U9+Y9</f>
        <v>1298471.7705000001</v>
      </c>
      <c r="AD9" s="175"/>
    </row>
    <row r="10" spans="1:30">
      <c r="B10" s="125"/>
      <c r="C10" s="495"/>
      <c r="D10" s="495"/>
      <c r="E10" s="495"/>
      <c r="F10" s="495"/>
      <c r="G10" s="496"/>
      <c r="I10" s="125"/>
      <c r="J10" s="681"/>
      <c r="K10" s="681"/>
      <c r="L10" s="681"/>
      <c r="M10" s="681"/>
      <c r="N10" s="496"/>
      <c r="P10" s="125"/>
      <c r="Q10" s="38"/>
      <c r="R10" s="38"/>
      <c r="S10" s="38"/>
      <c r="T10" s="38"/>
      <c r="U10" s="38"/>
      <c r="V10" s="496"/>
      <c r="X10" s="125"/>
      <c r="Y10" s="38"/>
      <c r="Z10" s="496"/>
      <c r="AB10" s="35"/>
      <c r="AC10" s="38"/>
      <c r="AD10" s="175"/>
    </row>
    <row r="11" spans="1:30">
      <c r="B11" s="125" t="s">
        <v>393</v>
      </c>
      <c r="C11" s="654">
        <v>9.9499999999999993</v>
      </c>
      <c r="D11" s="654">
        <v>9.9499999999999993</v>
      </c>
      <c r="E11" s="654">
        <v>9.9499999999999993</v>
      </c>
      <c r="F11" s="654"/>
      <c r="G11" s="496"/>
      <c r="I11" s="125" t="s">
        <v>393</v>
      </c>
      <c r="J11" s="681">
        <v>9.9499999999999993</v>
      </c>
      <c r="K11" s="681">
        <v>9.9499999999999993</v>
      </c>
      <c r="L11" s="681">
        <v>9.9499999999999993</v>
      </c>
      <c r="M11" s="681"/>
      <c r="N11" s="496" t="s">
        <v>394</v>
      </c>
      <c r="P11" s="125" t="s">
        <v>393</v>
      </c>
      <c r="Q11" s="38">
        <v>9.9499999999999993</v>
      </c>
      <c r="R11" s="38">
        <v>9.9499999999999993</v>
      </c>
      <c r="S11" s="38">
        <v>9.9499999999999993</v>
      </c>
      <c r="T11" s="38">
        <v>9.9499999999999993</v>
      </c>
      <c r="U11" s="38"/>
      <c r="V11" s="496" t="s">
        <v>394</v>
      </c>
      <c r="X11" s="125" t="s">
        <v>393</v>
      </c>
      <c r="Y11" s="38">
        <v>9.9499999999999993</v>
      </c>
      <c r="Z11" s="496" t="s">
        <v>394</v>
      </c>
      <c r="AB11" s="35" t="s">
        <v>393</v>
      </c>
      <c r="AC11" s="38">
        <v>9.9499999999999993</v>
      </c>
      <c r="AD11" s="175" t="s">
        <v>394</v>
      </c>
    </row>
    <row r="12" spans="1:30">
      <c r="B12" s="125"/>
      <c r="C12" s="654"/>
      <c r="D12" s="654"/>
      <c r="E12" s="654"/>
      <c r="F12" s="654"/>
      <c r="G12" s="496"/>
      <c r="I12" s="125"/>
      <c r="J12" s="681"/>
      <c r="K12" s="681"/>
      <c r="L12" s="681"/>
      <c r="M12" s="681"/>
      <c r="N12" s="496"/>
      <c r="P12" s="125"/>
      <c r="Q12" s="38"/>
      <c r="R12" s="38"/>
      <c r="S12" s="38"/>
      <c r="T12" s="38"/>
      <c r="U12" s="38"/>
      <c r="V12" s="496"/>
      <c r="X12" s="125"/>
      <c r="Y12" s="38"/>
      <c r="Z12" s="496"/>
      <c r="AB12" s="35"/>
      <c r="AC12" s="38"/>
      <c r="AD12" s="175"/>
    </row>
    <row r="13" spans="1:30">
      <c r="B13" s="125" t="s">
        <v>395</v>
      </c>
      <c r="C13" s="654">
        <f>C9*C11</f>
        <v>2366289.0999999996</v>
      </c>
      <c r="D13" s="654">
        <f>D9*D11</f>
        <v>2355692.3499999996</v>
      </c>
      <c r="E13" s="654">
        <f>E9*E11</f>
        <v>2341563.3499999996</v>
      </c>
      <c r="F13" s="654"/>
      <c r="G13" s="496"/>
      <c r="I13" s="125" t="s">
        <v>395</v>
      </c>
      <c r="J13" s="654">
        <f>J9*J11</f>
        <v>1964776.7499999998</v>
      </c>
      <c r="K13" s="654">
        <f>K9*K11</f>
        <v>1992238.7499999998</v>
      </c>
      <c r="L13" s="654">
        <f>L9*L11</f>
        <v>1884908.0999999999</v>
      </c>
      <c r="M13" s="681"/>
      <c r="N13" s="496"/>
      <c r="P13" s="125" t="s">
        <v>395</v>
      </c>
      <c r="Q13" s="654">
        <f>Q9*Q11</f>
        <v>3110.4893999999999</v>
      </c>
      <c r="R13" s="654">
        <f>R9*R11</f>
        <v>10298.667899999999</v>
      </c>
      <c r="S13" s="654">
        <f>S9*S11</f>
        <v>916.55917499999998</v>
      </c>
      <c r="T13" s="654">
        <f>T9*T11</f>
        <v>4022.0536749999997</v>
      </c>
      <c r="U13" s="38"/>
      <c r="V13" s="496"/>
      <c r="X13" s="125" t="s">
        <v>395</v>
      </c>
      <c r="Y13" s="495">
        <f>Y9*Y11</f>
        <v>0</v>
      </c>
      <c r="Z13" s="496"/>
      <c r="AB13" s="35" t="s">
        <v>395</v>
      </c>
      <c r="AC13" s="495">
        <f>AC9*AC11</f>
        <v>12919794.116475001</v>
      </c>
      <c r="AD13" s="175"/>
    </row>
    <row r="14" spans="1:30">
      <c r="B14" s="125"/>
      <c r="C14" s="654"/>
      <c r="D14" s="654"/>
      <c r="E14" s="654"/>
      <c r="F14" s="654"/>
      <c r="G14" s="496"/>
      <c r="I14" s="125"/>
      <c r="J14" s="681"/>
      <c r="K14" s="681"/>
      <c r="L14" s="681"/>
      <c r="M14" s="681"/>
      <c r="N14" s="496"/>
      <c r="P14" s="125"/>
      <c r="Q14" s="38"/>
      <c r="R14" s="38"/>
      <c r="S14" s="38"/>
      <c r="T14" s="38"/>
      <c r="U14" s="38"/>
      <c r="V14" s="496"/>
      <c r="X14" s="125"/>
      <c r="Y14" s="38"/>
      <c r="Z14" s="496"/>
      <c r="AB14" s="35"/>
      <c r="AC14" s="38"/>
      <c r="AD14" s="175"/>
    </row>
    <row r="15" spans="1:30">
      <c r="B15" s="125" t="s">
        <v>661</v>
      </c>
      <c r="C15" s="654">
        <v>90.7</v>
      </c>
      <c r="D15" s="654">
        <v>90.7</v>
      </c>
      <c r="E15" s="654">
        <v>90.7</v>
      </c>
      <c r="F15" s="654"/>
      <c r="G15" s="496"/>
      <c r="I15" s="125" t="s">
        <v>661</v>
      </c>
      <c r="J15" s="681">
        <v>90.7</v>
      </c>
      <c r="K15" s="681">
        <v>90.7</v>
      </c>
      <c r="L15" s="681">
        <v>90.7</v>
      </c>
      <c r="M15" s="681"/>
      <c r="N15" s="496" t="s">
        <v>394</v>
      </c>
      <c r="P15" s="125" t="s">
        <v>661</v>
      </c>
      <c r="Q15" s="38">
        <v>90.7</v>
      </c>
      <c r="R15" s="38">
        <v>90.7</v>
      </c>
      <c r="S15" s="38">
        <v>90.7</v>
      </c>
      <c r="T15" s="38">
        <v>90.7</v>
      </c>
      <c r="U15" s="38"/>
      <c r="V15" s="496"/>
      <c r="X15" s="125" t="s">
        <v>661</v>
      </c>
      <c r="Y15" s="38">
        <v>90.7</v>
      </c>
      <c r="Z15" s="496" t="s">
        <v>394</v>
      </c>
      <c r="AB15" s="35" t="s">
        <v>661</v>
      </c>
      <c r="AC15" s="38">
        <v>90.7</v>
      </c>
      <c r="AD15" s="175" t="s">
        <v>394</v>
      </c>
    </row>
    <row r="16" spans="1:30">
      <c r="B16" s="125"/>
      <c r="C16" s="654"/>
      <c r="D16" s="654"/>
      <c r="E16" s="654"/>
      <c r="F16" s="654"/>
      <c r="G16" s="496"/>
      <c r="I16" s="125"/>
      <c r="J16" s="681"/>
      <c r="K16" s="681"/>
      <c r="L16" s="681"/>
      <c r="M16" s="681"/>
      <c r="N16" s="496"/>
      <c r="P16" s="125"/>
      <c r="Q16" s="38"/>
      <c r="R16" s="38"/>
      <c r="S16" s="38"/>
      <c r="T16" s="38"/>
      <c r="U16" s="38"/>
      <c r="V16" s="496"/>
      <c r="X16" s="125"/>
      <c r="Y16" s="38"/>
      <c r="Z16" s="496"/>
      <c r="AB16" s="35"/>
      <c r="AC16" s="38"/>
      <c r="AD16" s="175"/>
    </row>
    <row r="17" spans="2:30">
      <c r="B17" s="125" t="s">
        <v>662</v>
      </c>
      <c r="C17" s="495">
        <f>C13*C15</f>
        <v>214622421.36999997</v>
      </c>
      <c r="D17" s="495">
        <f>D13*D15</f>
        <v>213661296.14499998</v>
      </c>
      <c r="E17" s="495">
        <f>E13*E15</f>
        <v>212379795.84499997</v>
      </c>
      <c r="F17" s="654"/>
      <c r="G17" s="496"/>
      <c r="I17" s="125" t="s">
        <v>662</v>
      </c>
      <c r="J17" s="654">
        <f>J13*J15</f>
        <v>178205251.22499999</v>
      </c>
      <c r="K17" s="654">
        <f>K13*K15</f>
        <v>180696054.62499997</v>
      </c>
      <c r="L17" s="654">
        <f>L13*L15</f>
        <v>170961164.66999999</v>
      </c>
      <c r="M17" s="681"/>
      <c r="N17" s="496"/>
      <c r="P17" s="125" t="s">
        <v>662</v>
      </c>
      <c r="Q17" s="654">
        <f>Q13*Q15</f>
        <v>282121.38858000003</v>
      </c>
      <c r="R17" s="654">
        <f>R13*R15</f>
        <v>934089.17852999992</v>
      </c>
      <c r="S17" s="654">
        <f>S13*S15</f>
        <v>83131.917172500005</v>
      </c>
      <c r="T17" s="654">
        <f>T13*T15</f>
        <v>364800.26832249999</v>
      </c>
      <c r="U17" s="38"/>
      <c r="V17" s="496"/>
      <c r="X17" s="125" t="s">
        <v>662</v>
      </c>
      <c r="Y17" s="654">
        <f>Y13*Y15</f>
        <v>0</v>
      </c>
      <c r="Z17" s="496"/>
      <c r="AB17" s="35" t="s">
        <v>662</v>
      </c>
      <c r="AC17" s="495">
        <f>AC13*AC15</f>
        <v>1171825326.3642826</v>
      </c>
      <c r="AD17" s="175"/>
    </row>
    <row r="18" spans="2:30">
      <c r="B18" s="125"/>
      <c r="C18" s="654"/>
      <c r="D18" s="654"/>
      <c r="E18" s="654"/>
      <c r="F18" s="654"/>
      <c r="G18" s="496"/>
      <c r="I18" s="125"/>
      <c r="J18" s="681"/>
      <c r="K18" s="681"/>
      <c r="L18" s="681"/>
      <c r="M18" s="681"/>
      <c r="N18" s="496"/>
      <c r="P18" s="125"/>
      <c r="Q18" s="38"/>
      <c r="R18" s="38"/>
      <c r="S18" s="38"/>
      <c r="T18" s="38"/>
      <c r="U18" s="38"/>
      <c r="V18" s="496"/>
      <c r="X18" s="125"/>
      <c r="Y18" s="38"/>
      <c r="Z18" s="496"/>
      <c r="AB18" s="35"/>
      <c r="AC18" s="38"/>
      <c r="AD18" s="175"/>
    </row>
    <row r="19" spans="2:30">
      <c r="B19" s="125" t="s">
        <v>664</v>
      </c>
      <c r="C19" s="495">
        <f>C17*0.0011023</f>
        <v>236578.295076151</v>
      </c>
      <c r="D19" s="495">
        <f>D17*0.0011023</f>
        <v>235518.84674063348</v>
      </c>
      <c r="E19" s="495">
        <f>E17*0.0011023</f>
        <v>234106.24895994348</v>
      </c>
      <c r="F19" s="725">
        <f>SUM(C19:E19)</f>
        <v>706203.39077672805</v>
      </c>
      <c r="G19" s="496" t="s">
        <v>394</v>
      </c>
      <c r="I19" s="125" t="s">
        <v>664</v>
      </c>
      <c r="J19" s="654">
        <f>J17*0.0011023</f>
        <v>196435.64842531751</v>
      </c>
      <c r="K19" s="654">
        <f>K17*0.0011023</f>
        <v>199181.26101313747</v>
      </c>
      <c r="L19" s="654">
        <f>L17*0.0011023</f>
        <v>188450.491815741</v>
      </c>
      <c r="M19" s="681">
        <v>554009.90692775359</v>
      </c>
      <c r="N19" s="496" t="s">
        <v>394</v>
      </c>
      <c r="P19" s="125" t="s">
        <v>664</v>
      </c>
      <c r="Q19" s="495">
        <f>Q17*0.0011023</f>
        <v>310.98240663173402</v>
      </c>
      <c r="R19" s="495">
        <f>R17*0.0011023</f>
        <v>1029.6465014936189</v>
      </c>
      <c r="S19" s="495">
        <f>S17*0.0011023</f>
        <v>91.636312299246768</v>
      </c>
      <c r="T19" s="495">
        <f>T17*0.0011023</f>
        <v>402.11933577189177</v>
      </c>
      <c r="U19" s="50">
        <f>SUM(Q19:S19)</f>
        <v>1432.2652204245996</v>
      </c>
      <c r="V19" s="496" t="s">
        <v>394</v>
      </c>
      <c r="X19" s="125" t="s">
        <v>664</v>
      </c>
      <c r="Y19" s="495">
        <f>Y17*0.0011023</f>
        <v>0</v>
      </c>
      <c r="Z19" s="496" t="s">
        <v>394</v>
      </c>
      <c r="AB19" s="35" t="s">
        <v>665</v>
      </c>
      <c r="AC19" s="495">
        <f>AC17*0.0011023</f>
        <v>1291703.0572513489</v>
      </c>
      <c r="AD19" s="175" t="s">
        <v>394</v>
      </c>
    </row>
    <row r="20" spans="2:30">
      <c r="B20" s="125"/>
      <c r="C20" s="654"/>
      <c r="D20" s="654"/>
      <c r="E20" s="654"/>
      <c r="F20" s="654"/>
      <c r="G20" s="496"/>
      <c r="I20" s="125"/>
      <c r="J20" s="681"/>
      <c r="K20" s="681"/>
      <c r="L20" s="681"/>
      <c r="M20" s="681"/>
      <c r="N20" s="496"/>
      <c r="P20" s="125"/>
      <c r="Q20" s="38"/>
      <c r="R20" s="38"/>
      <c r="S20" s="38"/>
      <c r="T20" s="38"/>
      <c r="U20" s="38"/>
      <c r="V20" s="496"/>
      <c r="X20" s="125"/>
      <c r="Y20" s="761"/>
      <c r="Z20" s="496"/>
      <c r="AB20" s="35"/>
      <c r="AC20" s="38"/>
      <c r="AD20" s="175"/>
    </row>
    <row r="21" spans="2:30">
      <c r="B21" s="125" t="s">
        <v>663</v>
      </c>
      <c r="C21" s="495">
        <v>227655</v>
      </c>
      <c r="D21" s="495">
        <v>216972</v>
      </c>
      <c r="E21" s="495">
        <v>229653</v>
      </c>
      <c r="F21" s="654">
        <f>C21+D21+E21</f>
        <v>674280</v>
      </c>
      <c r="G21" s="496" t="s">
        <v>396</v>
      </c>
      <c r="I21" s="125" t="s">
        <v>663</v>
      </c>
      <c r="J21" s="681">
        <f>J23*0.907441</f>
        <v>184170.595596</v>
      </c>
      <c r="K21" s="681">
        <f>K23*0.907441</f>
        <v>184377.49214400002</v>
      </c>
      <c r="L21" s="681">
        <f>L23*0.907441</f>
        <v>176245.005902</v>
      </c>
      <c r="M21" s="681"/>
      <c r="N21" s="730" t="s">
        <v>397</v>
      </c>
      <c r="P21" s="125" t="s">
        <v>663</v>
      </c>
      <c r="Q21" s="612">
        <f>Q23*0.907441</f>
        <v>279.491828</v>
      </c>
      <c r="R21" s="612">
        <f>R23*0.907441</f>
        <v>925.58982000000003</v>
      </c>
      <c r="S21" s="612">
        <f>S23*0.907441</f>
        <v>82.30489870000001</v>
      </c>
      <c r="T21" s="612">
        <f>T23*0.907441</f>
        <v>361.161518</v>
      </c>
      <c r="U21" s="38"/>
      <c r="V21" s="730" t="s">
        <v>397</v>
      </c>
      <c r="X21" s="125" t="s">
        <v>663</v>
      </c>
      <c r="Y21" s="2070">
        <f>Y23*0.907441</f>
        <v>0</v>
      </c>
      <c r="Z21" s="730" t="s">
        <v>397</v>
      </c>
      <c r="AB21" s="35"/>
      <c r="AC21" s="38"/>
      <c r="AD21" s="175"/>
    </row>
    <row r="22" spans="2:30">
      <c r="B22" s="125"/>
      <c r="C22" s="654"/>
      <c r="D22" s="654"/>
      <c r="E22" s="654"/>
      <c r="F22" s="654"/>
      <c r="G22" s="496"/>
      <c r="I22" s="125"/>
      <c r="J22" s="681"/>
      <c r="K22" s="681"/>
      <c r="L22" s="681"/>
      <c r="M22" s="681"/>
      <c r="N22" s="496"/>
      <c r="P22" s="125"/>
      <c r="Q22" s="38"/>
      <c r="R22" s="38"/>
      <c r="S22" s="38"/>
      <c r="T22" s="38"/>
      <c r="U22" s="38"/>
      <c r="V22" s="496"/>
      <c r="X22" s="125"/>
      <c r="Y22" s="761"/>
      <c r="Z22" s="496"/>
      <c r="AB22" s="35"/>
      <c r="AC22" s="38"/>
      <c r="AD22" s="175"/>
    </row>
    <row r="23" spans="2:30">
      <c r="B23" s="727" t="s">
        <v>664</v>
      </c>
      <c r="C23" s="728">
        <f>C21*1.1023</f>
        <v>250944.10650000002</v>
      </c>
      <c r="D23" s="728">
        <f>D21*1.1023</f>
        <v>239168.23560000001</v>
      </c>
      <c r="E23" s="728">
        <v>217072</v>
      </c>
      <c r="F23" s="740">
        <f>SUM(C23:E23)</f>
        <v>707184.34210000001</v>
      </c>
      <c r="G23" s="730" t="s">
        <v>396</v>
      </c>
      <c r="I23" s="727" t="s">
        <v>664</v>
      </c>
      <c r="J23" s="2060">
        <v>202956</v>
      </c>
      <c r="K23" s="2060">
        <v>203184</v>
      </c>
      <c r="L23" s="2060">
        <v>194222</v>
      </c>
      <c r="M23" s="2061">
        <f>SUM(J23:L23)</f>
        <v>600362</v>
      </c>
      <c r="N23" s="2062" t="s">
        <v>397</v>
      </c>
      <c r="P23" s="727" t="s">
        <v>664</v>
      </c>
      <c r="Q23" s="749">
        <v>308</v>
      </c>
      <c r="R23" s="749">
        <f>1020</f>
        <v>1020</v>
      </c>
      <c r="S23" s="749">
        <f>90.7</f>
        <v>90.7</v>
      </c>
      <c r="T23" s="749">
        <f>398</f>
        <v>398</v>
      </c>
      <c r="U23" s="734">
        <f>SUM(Q23:S23)</f>
        <v>1418.7</v>
      </c>
      <c r="V23" s="730" t="s">
        <v>397</v>
      </c>
      <c r="X23" s="727" t="s">
        <v>664</v>
      </c>
      <c r="Y23" s="2069">
        <v>0</v>
      </c>
      <c r="Z23" s="730" t="s">
        <v>397</v>
      </c>
      <c r="AB23" s="733" t="s">
        <v>666</v>
      </c>
      <c r="AC23" s="734">
        <f>F23+M23+U23+Y23</f>
        <v>1308965.0421</v>
      </c>
      <c r="AD23" s="175"/>
    </row>
    <row r="24" spans="2:30">
      <c r="B24" s="125"/>
      <c r="C24" s="654"/>
      <c r="D24" s="654"/>
      <c r="E24" s="654"/>
      <c r="F24" s="654"/>
      <c r="G24" s="496"/>
      <c r="I24" s="125"/>
      <c r="J24" s="681"/>
      <c r="K24" s="681"/>
      <c r="L24" s="681"/>
      <c r="M24" s="681"/>
      <c r="N24" s="496"/>
      <c r="P24" s="125"/>
      <c r="Q24" s="38"/>
      <c r="R24" s="38"/>
      <c r="S24" s="38"/>
      <c r="T24" s="38"/>
      <c r="U24" s="38"/>
      <c r="V24" s="496"/>
      <c r="X24" s="125"/>
      <c r="Y24" s="761"/>
      <c r="Z24" s="496"/>
      <c r="AB24" s="35"/>
      <c r="AC24" s="38"/>
      <c r="AD24" s="175"/>
    </row>
    <row r="25" spans="2:30">
      <c r="B25" s="125" t="s">
        <v>398</v>
      </c>
      <c r="C25" s="654">
        <v>3.2000000000000001E-2</v>
      </c>
      <c r="D25" s="654">
        <v>3.2000000000000001E-2</v>
      </c>
      <c r="E25" s="654">
        <v>3.2000000000000001E-2</v>
      </c>
      <c r="F25" s="654"/>
      <c r="G25" s="496"/>
      <c r="I25" s="125" t="s">
        <v>398</v>
      </c>
      <c r="J25" s="681">
        <v>3.2000000000000001E-2</v>
      </c>
      <c r="K25" s="681">
        <v>3.2000000000000001E-2</v>
      </c>
      <c r="L25" s="681">
        <v>3.2000000000000001E-2</v>
      </c>
      <c r="M25" s="681"/>
      <c r="N25" s="496"/>
      <c r="P25" s="125" t="s">
        <v>398</v>
      </c>
      <c r="Q25" s="38">
        <v>3.2000000000000001E-2</v>
      </c>
      <c r="R25" s="38">
        <v>3.2000000000000001E-2</v>
      </c>
      <c r="S25" s="38">
        <v>3.2000000000000001E-2</v>
      </c>
      <c r="T25" s="38">
        <v>3.2000000000000001E-2</v>
      </c>
      <c r="U25" s="38"/>
      <c r="V25" s="496" t="s">
        <v>394</v>
      </c>
      <c r="X25" s="125" t="s">
        <v>398</v>
      </c>
      <c r="Y25" s="761">
        <v>3.2000000000000001E-2</v>
      </c>
      <c r="Z25" s="496"/>
      <c r="AB25" s="35" t="s">
        <v>398</v>
      </c>
      <c r="AC25" s="38">
        <v>3.2000000000000001E-2</v>
      </c>
      <c r="AD25" s="175"/>
    </row>
    <row r="26" spans="2:30">
      <c r="B26" s="125" t="s">
        <v>399</v>
      </c>
      <c r="C26" s="654">
        <f>C13*C25</f>
        <v>75721.251199999984</v>
      </c>
      <c r="D26" s="654">
        <f>D13*D25</f>
        <v>75382.155199999994</v>
      </c>
      <c r="E26" s="654">
        <f>E13*E25</f>
        <v>74930.027199999997</v>
      </c>
      <c r="F26" s="654"/>
      <c r="G26" s="496"/>
      <c r="I26" s="125" t="s">
        <v>399</v>
      </c>
      <c r="J26" s="654">
        <f>J13*J25</f>
        <v>62872.855999999992</v>
      </c>
      <c r="K26" s="654">
        <f>K13*K25</f>
        <v>63751.639999999992</v>
      </c>
      <c r="L26" s="654">
        <f>L13*L25</f>
        <v>60317.059199999996</v>
      </c>
      <c r="M26" s="681"/>
      <c r="N26" s="496"/>
      <c r="P26" s="125" t="s">
        <v>399</v>
      </c>
      <c r="Q26" s="654">
        <f>Q13*Q25</f>
        <v>99.535660800000002</v>
      </c>
      <c r="R26" s="654">
        <f>R13*R25</f>
        <v>329.55737279999994</v>
      </c>
      <c r="S26" s="654">
        <f>S13*S25</f>
        <v>29.329893599999998</v>
      </c>
      <c r="T26" s="654">
        <f>T13*T25</f>
        <v>128.70571759999999</v>
      </c>
      <c r="U26" s="38"/>
      <c r="V26" s="496"/>
      <c r="X26" s="125" t="s">
        <v>399</v>
      </c>
      <c r="Y26" s="729">
        <v>0</v>
      </c>
      <c r="Z26" s="496"/>
      <c r="AB26" s="35" t="s">
        <v>399</v>
      </c>
      <c r="AC26" s="612">
        <f>AC13*AC25</f>
        <v>413433.41172720003</v>
      </c>
      <c r="AD26" s="175"/>
    </row>
    <row r="27" spans="2:30">
      <c r="B27" s="745" t="s">
        <v>400</v>
      </c>
      <c r="C27" s="651">
        <f>C26*0.0011023</f>
        <v>83.467535197759986</v>
      </c>
      <c r="D27" s="651">
        <f>D26*0.0011023</f>
        <v>83.093749676960002</v>
      </c>
      <c r="E27" s="651">
        <f>E26*0.0011023</f>
        <v>82.595368982560004</v>
      </c>
      <c r="F27" s="766">
        <f>SUM(C27:E27)</f>
        <v>249.15665385727999</v>
      </c>
      <c r="G27" s="496" t="s">
        <v>394</v>
      </c>
      <c r="I27" s="745" t="s">
        <v>400</v>
      </c>
      <c r="J27" s="651">
        <v>83.394994316799981</v>
      </c>
      <c r="K27" s="651">
        <v>82.256329721440011</v>
      </c>
      <c r="L27" s="651">
        <v>81.416452959680001</v>
      </c>
      <c r="M27" s="746">
        <v>195.44356166143999</v>
      </c>
      <c r="N27" s="496" t="s">
        <v>394</v>
      </c>
      <c r="P27" s="745" t="s">
        <v>400</v>
      </c>
      <c r="Q27" s="651">
        <f>Q26*0.0011023</f>
        <v>0.10971815889984</v>
      </c>
      <c r="R27" s="651">
        <f>R26*0.0011023</f>
        <v>0.36327109203743996</v>
      </c>
      <c r="S27" s="651">
        <f>S26*0.0011023</f>
        <v>3.233034171528E-2</v>
      </c>
      <c r="T27" s="651">
        <f>T26*0.0011023</f>
        <v>0.14187231251047999</v>
      </c>
      <c r="U27" s="754">
        <f>SUM(Q27:S27)</f>
        <v>0.50531959265255999</v>
      </c>
      <c r="V27" s="496"/>
      <c r="X27" s="745" t="s">
        <v>400</v>
      </c>
      <c r="Y27" s="763">
        <v>41.46872548479999</v>
      </c>
      <c r="Z27" s="748" t="s">
        <v>394</v>
      </c>
      <c r="AB27" s="683" t="s">
        <v>400</v>
      </c>
      <c r="AC27" s="752">
        <f>AC26*0.0011023</f>
        <v>455.72764974689261</v>
      </c>
      <c r="AD27" s="175" t="s">
        <v>394</v>
      </c>
    </row>
    <row r="28" spans="2:30">
      <c r="B28" s="745"/>
      <c r="C28" s="651"/>
      <c r="D28" s="651"/>
      <c r="E28" s="651"/>
      <c r="F28" s="765"/>
      <c r="G28" s="496"/>
      <c r="I28" s="745"/>
      <c r="J28" s="651"/>
      <c r="K28" s="651"/>
      <c r="L28" s="651"/>
      <c r="M28" s="746"/>
      <c r="N28" s="496"/>
      <c r="P28" s="745"/>
      <c r="Q28" s="651"/>
      <c r="R28" s="651"/>
      <c r="S28" s="651"/>
      <c r="T28" s="651"/>
      <c r="U28" s="611"/>
      <c r="V28" s="496"/>
      <c r="X28" s="745"/>
      <c r="Y28" s="763"/>
      <c r="Z28" s="748"/>
      <c r="AB28" s="683"/>
      <c r="AC28" s="611"/>
      <c r="AD28" s="175"/>
    </row>
    <row r="29" spans="2:30">
      <c r="B29" s="735" t="s">
        <v>400</v>
      </c>
      <c r="C29" s="736">
        <f>83.482*1.10231</f>
        <v>92.023043419999993</v>
      </c>
      <c r="D29" s="736">
        <f>83.099*1.10231</f>
        <v>91.600858689999995</v>
      </c>
      <c r="E29" s="736">
        <f>82.613*1.10231</f>
        <v>91.065136029999991</v>
      </c>
      <c r="F29" s="741">
        <f>SUM(C29:E29)</f>
        <v>274.68903813999998</v>
      </c>
      <c r="G29" s="750" t="s">
        <v>396</v>
      </c>
      <c r="I29" s="735" t="s">
        <v>400</v>
      </c>
      <c r="J29" s="747">
        <v>2.7E-2</v>
      </c>
      <c r="K29" s="747">
        <v>1.7000000000000001E-2</v>
      </c>
      <c r="L29" s="747">
        <v>2.1700000000000001E-2</v>
      </c>
      <c r="M29" s="747">
        <f>SUM(J29:L29)</f>
        <v>6.5699999999999995E-2</v>
      </c>
      <c r="N29" s="750" t="s">
        <v>397</v>
      </c>
      <c r="P29" s="735" t="s">
        <v>400</v>
      </c>
      <c r="Q29" s="760">
        <f>0.469</f>
        <v>0.46899999999999997</v>
      </c>
      <c r="R29" s="760">
        <f>1.55</f>
        <v>1.55</v>
      </c>
      <c r="S29" s="760">
        <f>0.0138</f>
        <v>1.38E-2</v>
      </c>
      <c r="T29" s="760">
        <f>0.0604</f>
        <v>6.0400000000000002E-2</v>
      </c>
      <c r="U29" s="753">
        <f>SUM(Q29:T29)</f>
        <v>2.0931999999999999</v>
      </c>
      <c r="V29" s="750" t="s">
        <v>397</v>
      </c>
      <c r="X29" s="735" t="s">
        <v>400</v>
      </c>
      <c r="Y29" s="762">
        <f>Y33</f>
        <v>0</v>
      </c>
      <c r="Z29" s="750"/>
      <c r="AB29" s="737" t="s">
        <v>400</v>
      </c>
      <c r="AC29" s="768">
        <f>F29+M29+U29+Y29</f>
        <v>276.84793814</v>
      </c>
      <c r="AD29" s="750" t="s">
        <v>397</v>
      </c>
    </row>
    <row r="30" spans="2:30">
      <c r="B30" s="125"/>
      <c r="C30" s="654"/>
      <c r="D30" s="654"/>
      <c r="E30" s="654"/>
      <c r="F30" s="654"/>
      <c r="G30" s="496"/>
      <c r="I30" s="125"/>
      <c r="J30" s="681"/>
      <c r="K30" s="681"/>
      <c r="L30" s="681"/>
      <c r="M30" s="681"/>
      <c r="N30" s="496"/>
      <c r="P30" s="125"/>
      <c r="Q30" s="38"/>
      <c r="R30" s="38"/>
      <c r="S30" s="38"/>
      <c r="T30" s="38"/>
      <c r="U30" s="38"/>
      <c r="V30" s="496"/>
      <c r="X30" s="125"/>
      <c r="Y30" s="761"/>
      <c r="Z30" s="496"/>
      <c r="AB30" s="35"/>
      <c r="AC30" s="38"/>
      <c r="AD30" s="175"/>
    </row>
    <row r="31" spans="2:30">
      <c r="B31" s="125" t="s">
        <v>401</v>
      </c>
      <c r="C31" s="742">
        <v>4.1999999999999997E-3</v>
      </c>
      <c r="D31" s="742">
        <v>4.1999999999999997E-3</v>
      </c>
      <c r="E31" s="742">
        <v>4.1999999999999997E-3</v>
      </c>
      <c r="F31" s="654"/>
      <c r="G31" s="496"/>
      <c r="I31" s="125" t="s">
        <v>401</v>
      </c>
      <c r="J31" s="742">
        <v>4.1999999999999997E-3</v>
      </c>
      <c r="K31" s="742">
        <v>4.1999999999999997E-3</v>
      </c>
      <c r="L31" s="742">
        <v>4.1999999999999997E-3</v>
      </c>
      <c r="M31" s="681"/>
      <c r="N31" s="496"/>
      <c r="P31" s="125" t="s">
        <v>401</v>
      </c>
      <c r="Q31" s="38">
        <v>4.1999999999999997E-3</v>
      </c>
      <c r="R31" s="38">
        <v>4.1999999999999997E-3</v>
      </c>
      <c r="S31" s="38">
        <v>4.1999999999999997E-3</v>
      </c>
      <c r="T31" s="38">
        <v>4.1999999999999997E-3</v>
      </c>
      <c r="U31" s="38"/>
      <c r="V31" s="496" t="s">
        <v>394</v>
      </c>
      <c r="X31" s="125" t="s">
        <v>401</v>
      </c>
      <c r="Y31" s="764">
        <v>0</v>
      </c>
      <c r="Z31" s="496"/>
      <c r="AB31" s="35" t="s">
        <v>401</v>
      </c>
      <c r="AC31" s="38">
        <v>4.1999999999999997E-3</v>
      </c>
      <c r="AD31" s="175"/>
    </row>
    <row r="32" spans="2:30">
      <c r="B32" s="125" t="s">
        <v>402</v>
      </c>
      <c r="C32" s="654">
        <f>C13*C31</f>
        <v>9938.4142199999969</v>
      </c>
      <c r="D32" s="654">
        <f>D13*D31</f>
        <v>9893.9078699999973</v>
      </c>
      <c r="E32" s="654">
        <f>E13*E31</f>
        <v>9834.5660699999971</v>
      </c>
      <c r="F32" s="654"/>
      <c r="G32" s="496"/>
      <c r="I32" s="125" t="s">
        <v>402</v>
      </c>
      <c r="J32" s="654">
        <f>J13*J31</f>
        <v>8252.0623499999983</v>
      </c>
      <c r="K32" s="654">
        <f>K13*K31</f>
        <v>8367.4027499999993</v>
      </c>
      <c r="L32" s="654">
        <f>L13*L31</f>
        <v>7916.6140199999991</v>
      </c>
      <c r="M32" s="681"/>
      <c r="N32" s="496"/>
      <c r="P32" s="125" t="s">
        <v>402</v>
      </c>
      <c r="Q32" s="654">
        <f>Q13*Q31</f>
        <v>13.064055479999999</v>
      </c>
      <c r="R32" s="654">
        <f>R13*R31</f>
        <v>43.254405179999992</v>
      </c>
      <c r="S32" s="654">
        <f>S13*S31</f>
        <v>3.8495485349999998</v>
      </c>
      <c r="T32" s="654">
        <f>T13*T31</f>
        <v>16.892625434999996</v>
      </c>
      <c r="U32" s="38"/>
      <c r="V32" s="496"/>
      <c r="X32" s="125" t="s">
        <v>402</v>
      </c>
      <c r="Y32" s="761">
        <f>Y13*Y31</f>
        <v>0</v>
      </c>
      <c r="Z32" s="496"/>
      <c r="AB32" s="35" t="s">
        <v>402</v>
      </c>
      <c r="AC32" s="612">
        <f>AC13*AC31</f>
        <v>54263.135289195001</v>
      </c>
      <c r="AD32" s="175"/>
    </row>
    <row r="33" spans="2:30">
      <c r="B33" s="745" t="s">
        <v>403</v>
      </c>
      <c r="C33" s="651">
        <f>C32*0.0011023</f>
        <v>10.955113994705997</v>
      </c>
      <c r="D33" s="651">
        <f>D32*0.0011023</f>
        <v>10.906054645100998</v>
      </c>
      <c r="E33" s="651">
        <f>E32*0.0011023</f>
        <v>10.840642178960998</v>
      </c>
      <c r="F33" s="765">
        <f>SUM(C33:E33)</f>
        <v>32.701810818767996</v>
      </c>
      <c r="G33" s="496" t="s">
        <v>394</v>
      </c>
      <c r="I33" s="745" t="s">
        <v>403</v>
      </c>
      <c r="J33" s="651">
        <f>J32*0.0011023</f>
        <v>9.0962483284049984</v>
      </c>
      <c r="K33" s="651">
        <f>K32*0.0011023</f>
        <v>9.2233880513249993</v>
      </c>
      <c r="L33" s="651">
        <f>L32*0.0011023</f>
        <v>8.7264836342459997</v>
      </c>
      <c r="M33" s="746">
        <f>SUM(J33:L33)</f>
        <v>27.046120013976001</v>
      </c>
      <c r="N33" s="748" t="s">
        <v>394</v>
      </c>
      <c r="P33" s="745" t="s">
        <v>403</v>
      </c>
      <c r="Q33" s="651">
        <f>Q32*0.0011023</f>
        <v>1.4400508355603999E-2</v>
      </c>
      <c r="R33" s="651">
        <f>R32*0.0011023</f>
        <v>4.7679330829913998E-2</v>
      </c>
      <c r="S33" s="651">
        <f>S32*0.0011023</f>
        <v>4.2433573501304998E-3</v>
      </c>
      <c r="T33" s="651">
        <f>T32*0.0011023</f>
        <v>1.8620741017000498E-2</v>
      </c>
      <c r="U33" s="724">
        <v>9.8723234772949489E-2</v>
      </c>
      <c r="V33" s="496"/>
      <c r="X33" s="745" t="s">
        <v>403</v>
      </c>
      <c r="Y33" s="763">
        <f>Y32*0.0011023</f>
        <v>0</v>
      </c>
      <c r="Z33" s="496" t="s">
        <v>394</v>
      </c>
      <c r="AB33" s="683" t="s">
        <v>403</v>
      </c>
      <c r="AC33" s="752">
        <f>AC32*0.0011023</f>
        <v>59.814254029279653</v>
      </c>
      <c r="AD33" s="175" t="s">
        <v>394</v>
      </c>
    </row>
    <row r="34" spans="2:30">
      <c r="B34" s="2063"/>
      <c r="C34" s="2065"/>
      <c r="D34" s="2065"/>
      <c r="E34" s="2065"/>
      <c r="F34" s="2065"/>
      <c r="G34" s="496"/>
      <c r="I34" s="125"/>
      <c r="J34" s="38"/>
      <c r="K34" s="38"/>
      <c r="L34" s="38"/>
      <c r="M34" s="38"/>
      <c r="N34" s="496"/>
      <c r="P34" s="125"/>
      <c r="Q34" s="38"/>
      <c r="R34" s="38"/>
      <c r="S34" s="38"/>
      <c r="T34" s="38"/>
      <c r="U34" s="38"/>
      <c r="V34" s="496"/>
      <c r="X34" s="125"/>
      <c r="Y34" s="38"/>
      <c r="Z34" s="496"/>
      <c r="AB34" s="516"/>
      <c r="AC34" s="187"/>
      <c r="AD34" s="767"/>
    </row>
    <row r="35" spans="2:30">
      <c r="B35" s="2064" t="s">
        <v>403</v>
      </c>
      <c r="C35" s="2066">
        <f>10.957*1.10231</f>
        <v>12.078010669999999</v>
      </c>
      <c r="D35" s="2066">
        <f>10.907*1.10231</f>
        <v>12.022895169999998</v>
      </c>
      <c r="E35" s="2066">
        <f>10.843*1.10231</f>
        <v>11.952347329999998</v>
      </c>
      <c r="F35" s="2067">
        <f>SUM(C35:E35)</f>
        <v>36.053253169999991</v>
      </c>
      <c r="G35" s="751" t="s">
        <v>396</v>
      </c>
      <c r="I35" s="738" t="s">
        <v>403</v>
      </c>
      <c r="J35" s="643">
        <v>2.58E-2</v>
      </c>
      <c r="K35" s="643">
        <v>1.6299999999999999E-2</v>
      </c>
      <c r="L35" s="643">
        <v>2.07E-2</v>
      </c>
      <c r="M35" s="770">
        <f>SUM(J35:L35)</f>
        <v>6.2799999999999995E-2</v>
      </c>
      <c r="N35" s="751" t="s">
        <v>397</v>
      </c>
      <c r="P35" s="738" t="s">
        <v>403</v>
      </c>
      <c r="Q35" s="755">
        <f>0.00939</f>
        <v>9.3900000000000008E-3</v>
      </c>
      <c r="R35" s="755">
        <v>8.9999999999999993E-3</v>
      </c>
      <c r="S35" s="755">
        <v>5.5399999999999998E-3</v>
      </c>
      <c r="T35" s="755">
        <v>5.8399999999999997E-3</v>
      </c>
      <c r="U35" s="756">
        <f>SUM(Q35:S35)</f>
        <v>2.393E-2</v>
      </c>
      <c r="V35" s="751" t="s">
        <v>397</v>
      </c>
      <c r="X35" s="738" t="s">
        <v>403</v>
      </c>
      <c r="Y35" s="2068">
        <v>0</v>
      </c>
      <c r="Z35" s="751" t="s">
        <v>397</v>
      </c>
      <c r="AB35" s="739" t="s">
        <v>403</v>
      </c>
      <c r="AC35" s="769">
        <f>F35+M35+U35+Y35</f>
        <v>36.139983169999994</v>
      </c>
      <c r="AD35" s="25"/>
    </row>
    <row r="36" spans="2:30" ht="12" thickBot="1">
      <c r="B36" s="6"/>
      <c r="C36" s="498"/>
      <c r="D36" s="498"/>
      <c r="E36" s="498"/>
      <c r="F36" s="498"/>
      <c r="G36" s="1215"/>
      <c r="I36" s="7"/>
      <c r="J36" s="7"/>
      <c r="K36" s="7"/>
      <c r="L36" s="7"/>
      <c r="M36" s="7"/>
      <c r="N36" s="757"/>
      <c r="P36" s="758"/>
      <c r="Q36" s="759"/>
      <c r="R36" s="759"/>
      <c r="S36" s="759"/>
      <c r="T36" s="759"/>
      <c r="U36" s="759"/>
      <c r="V36" s="757"/>
      <c r="X36" s="6"/>
      <c r="Y36" s="7"/>
      <c r="Z36" s="8"/>
      <c r="AB36" s="26"/>
      <c r="AC36" s="27"/>
      <c r="AD36" s="28"/>
    </row>
    <row r="38" spans="2:30">
      <c r="C38" s="14"/>
    </row>
    <row r="43" spans="2:30">
      <c r="B43" s="38"/>
      <c r="C43" s="1613" t="s">
        <v>1223</v>
      </c>
      <c r="D43" s="38"/>
      <c r="E43" s="38"/>
    </row>
    <row r="44" spans="2:30">
      <c r="B44" s="1612" t="s">
        <v>1166</v>
      </c>
      <c r="C44" s="1612" t="s">
        <v>1224</v>
      </c>
      <c r="D44" s="1612" t="s">
        <v>407</v>
      </c>
      <c r="E44" s="38"/>
    </row>
    <row r="45" spans="2:30">
      <c r="B45" s="1612" t="s">
        <v>1225</v>
      </c>
      <c r="C45" s="38">
        <v>90.7</v>
      </c>
      <c r="D45" s="38">
        <v>53.06</v>
      </c>
      <c r="E45" s="1612" t="s">
        <v>1228</v>
      </c>
    </row>
    <row r="46" spans="2:30">
      <c r="B46" s="1612" t="s">
        <v>1226</v>
      </c>
      <c r="C46" s="38">
        <v>3.2000000000000001E-2</v>
      </c>
      <c r="D46" s="38">
        <v>1E-3</v>
      </c>
      <c r="E46" s="1612" t="s">
        <v>1229</v>
      </c>
    </row>
    <row r="47" spans="2:30">
      <c r="B47" s="1612" t="s">
        <v>1227</v>
      </c>
      <c r="C47" s="38">
        <v>4.1999999999999997E-3</v>
      </c>
      <c r="D47" s="38">
        <v>1E-4</v>
      </c>
      <c r="E47" s="1612" t="s">
        <v>1230</v>
      </c>
    </row>
    <row r="50" spans="2:5">
      <c r="B50" s="1612" t="s">
        <v>77</v>
      </c>
      <c r="C50" s="1613" t="s">
        <v>1231</v>
      </c>
      <c r="D50" s="485"/>
      <c r="E50" s="4"/>
    </row>
    <row r="51" spans="2:5">
      <c r="B51" s="1612" t="s">
        <v>1232</v>
      </c>
      <c r="C51" s="38">
        <v>1</v>
      </c>
      <c r="D51" s="485"/>
      <c r="E51" s="1614"/>
    </row>
    <row r="52" spans="2:5">
      <c r="B52" s="1612" t="s">
        <v>1233</v>
      </c>
      <c r="C52" s="38">
        <v>21</v>
      </c>
      <c r="D52" s="1615" t="s">
        <v>1235</v>
      </c>
      <c r="E52" s="1616"/>
    </row>
    <row r="53" spans="2:5">
      <c r="B53" s="1612" t="s">
        <v>1234</v>
      </c>
      <c r="C53" s="38">
        <v>310</v>
      </c>
      <c r="D53" s="485"/>
      <c r="E53" s="1614"/>
    </row>
  </sheetData>
  <sheetProtection password="CD58" sheet="1" objects="1" scenarios="1"/>
  <phoneticPr fontId="0" type="noConversion"/>
  <pageMargins left="0.75" right="0.75" top="1" bottom="1" header="0.5" footer="0.5"/>
  <pageSetup orientation="portrait"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sheetPr codeName="Sheet3"/>
  <dimension ref="A1:W471"/>
  <sheetViews>
    <sheetView topLeftCell="A427" zoomScale="70" zoomScaleNormal="70" workbookViewId="0">
      <selection activeCell="K427" sqref="K427"/>
    </sheetView>
  </sheetViews>
  <sheetFormatPr defaultRowHeight="11.25"/>
  <cols>
    <col min="1" max="1" width="2.83203125" customWidth="1"/>
    <col min="2" max="2" width="16.1640625" customWidth="1"/>
    <col min="3" max="3" width="43" customWidth="1"/>
    <col min="4" max="4" width="23.1640625" customWidth="1"/>
    <col min="5" max="5" width="21.5" customWidth="1"/>
    <col min="6" max="6" width="23" customWidth="1"/>
    <col min="7" max="7" width="20.6640625" customWidth="1"/>
    <col min="8" max="8" width="19.33203125" customWidth="1"/>
    <col min="9" max="9" width="19.83203125" customWidth="1"/>
    <col min="10" max="10" width="22.33203125" customWidth="1"/>
    <col min="11" max="11" width="21.1640625" customWidth="1"/>
    <col min="12" max="12" width="19.33203125" customWidth="1"/>
    <col min="13" max="13" width="20.1640625" customWidth="1"/>
    <col min="15" max="15" width="30" customWidth="1"/>
    <col min="16" max="16" width="20.33203125" customWidth="1"/>
  </cols>
  <sheetData>
    <row r="1" spans="1:23" s="95" customFormat="1" ht="33">
      <c r="A1" s="482" t="s">
        <v>550</v>
      </c>
      <c r="B1" s="229"/>
      <c r="F1" s="479" t="s">
        <v>1760</v>
      </c>
    </row>
    <row r="2" spans="1:23" ht="140.25" customHeight="1"/>
    <row r="3" spans="1:23" ht="21">
      <c r="B3" s="918" t="s">
        <v>273</v>
      </c>
      <c r="C3" s="919"/>
      <c r="O3" s="19" t="s">
        <v>417</v>
      </c>
      <c r="P3" s="1506" t="s">
        <v>418</v>
      </c>
      <c r="Q3" s="1506"/>
      <c r="R3" s="1506"/>
      <c r="S3" s="1506"/>
      <c r="T3" s="1506"/>
      <c r="U3" s="1506"/>
      <c r="V3" s="1506"/>
      <c r="W3" s="1506"/>
    </row>
    <row r="4" spans="1:23" ht="13.5" thickBot="1">
      <c r="G4" s="29"/>
      <c r="L4" s="4"/>
      <c r="O4" s="1507" t="s">
        <v>419</v>
      </c>
      <c r="P4" s="1506" t="s">
        <v>420</v>
      </c>
    </row>
    <row r="5" spans="1:23" ht="15" thickTop="1">
      <c r="A5" s="1511"/>
      <c r="B5" s="1593" t="s">
        <v>1117</v>
      </c>
      <c r="C5" s="1594" t="s">
        <v>1118</v>
      </c>
      <c r="D5" s="1594" t="s">
        <v>1119</v>
      </c>
      <c r="E5" s="1594" t="s">
        <v>1120</v>
      </c>
      <c r="F5" s="1594" t="s">
        <v>1121</v>
      </c>
      <c r="G5" s="1594" t="s">
        <v>1121</v>
      </c>
      <c r="H5" s="1594" t="s">
        <v>809</v>
      </c>
      <c r="I5" s="1594" t="s">
        <v>811</v>
      </c>
      <c r="J5" s="1595" t="s">
        <v>813</v>
      </c>
      <c r="K5" s="1594" t="s">
        <v>274</v>
      </c>
      <c r="L5" s="1594" t="s">
        <v>275</v>
      </c>
      <c r="M5" s="1594" t="s">
        <v>276</v>
      </c>
    </row>
    <row r="6" spans="1:23" ht="12.75">
      <c r="A6" s="1511"/>
      <c r="B6" s="1597"/>
      <c r="C6" s="1598"/>
      <c r="D6" s="1598"/>
      <c r="E6" s="1598"/>
      <c r="F6" s="1598"/>
      <c r="G6" s="1598" t="s">
        <v>1123</v>
      </c>
      <c r="H6" s="1598" t="s">
        <v>810</v>
      </c>
      <c r="I6" s="1598" t="s">
        <v>812</v>
      </c>
      <c r="J6" s="1598" t="s">
        <v>1124</v>
      </c>
      <c r="K6" s="1598" t="s">
        <v>1122</v>
      </c>
      <c r="L6" s="1598" t="s">
        <v>1122</v>
      </c>
      <c r="M6" s="1598" t="s">
        <v>1122</v>
      </c>
    </row>
    <row r="7" spans="1:23" ht="13.5" thickBot="1">
      <c r="A7" s="1511"/>
      <c r="B7" s="1532"/>
      <c r="C7" s="1533"/>
      <c r="D7" s="1533"/>
      <c r="E7" s="1533"/>
      <c r="F7" s="1533"/>
      <c r="G7" s="1533"/>
      <c r="H7" s="1533"/>
      <c r="I7" s="1533"/>
      <c r="J7" s="1533"/>
      <c r="K7" s="1540"/>
      <c r="L7" s="1533"/>
      <c r="M7" s="1533"/>
    </row>
    <row r="8" spans="1:23" ht="12.75">
      <c r="A8" s="1511"/>
      <c r="B8" s="1576" t="s">
        <v>1125</v>
      </c>
      <c r="C8" s="127" t="s">
        <v>1126</v>
      </c>
      <c r="D8" s="1530"/>
      <c r="E8" s="1530"/>
      <c r="F8" s="1508"/>
      <c r="G8" s="1530"/>
      <c r="H8" s="1530"/>
      <c r="I8" s="1530"/>
      <c r="J8" s="1776"/>
      <c r="K8" s="1775"/>
      <c r="L8" s="1530"/>
      <c r="M8" s="1530"/>
    </row>
    <row r="9" spans="1:23" ht="12.75">
      <c r="A9" s="1511"/>
      <c r="B9" s="1532"/>
      <c r="C9" s="1533" t="s">
        <v>1127</v>
      </c>
      <c r="D9" s="1533" t="s">
        <v>1128</v>
      </c>
      <c r="E9" s="1533" t="s">
        <v>1112</v>
      </c>
      <c r="F9" s="1540">
        <v>570254</v>
      </c>
      <c r="G9" s="1533" t="s">
        <v>271</v>
      </c>
      <c r="H9" s="1537">
        <v>11024</v>
      </c>
      <c r="I9" s="1533" t="s">
        <v>1129</v>
      </c>
      <c r="J9" s="1783">
        <v>13150280</v>
      </c>
      <c r="K9" s="1784">
        <v>1346069.7628695085</v>
      </c>
      <c r="L9" s="1784">
        <v>159.22588972772317</v>
      </c>
      <c r="M9" s="1784">
        <v>23.164302999752131</v>
      </c>
    </row>
    <row r="10" spans="1:23" ht="13.5" thickBot="1">
      <c r="A10" s="1511"/>
      <c r="B10" s="1579"/>
      <c r="C10" s="1512"/>
      <c r="D10" s="1512"/>
      <c r="E10" s="1512"/>
      <c r="F10" s="1513"/>
      <c r="G10" s="1512"/>
      <c r="H10" s="1580"/>
      <c r="I10" s="1512"/>
      <c r="J10" s="1779"/>
      <c r="K10" s="1781"/>
      <c r="L10" s="1581"/>
      <c r="M10" s="1512"/>
    </row>
    <row r="11" spans="1:23" ht="12.75">
      <c r="A11" s="1511"/>
      <c r="B11" s="1532"/>
      <c r="C11" s="1533"/>
      <c r="D11" s="1533"/>
      <c r="E11" s="1533"/>
      <c r="F11" s="1537"/>
      <c r="G11" s="1533"/>
      <c r="H11" s="1537"/>
      <c r="I11" s="1533"/>
      <c r="J11" s="1547"/>
      <c r="K11" s="1508"/>
      <c r="L11" s="1546"/>
      <c r="M11" s="1533"/>
    </row>
    <row r="12" spans="1:23" ht="12.75">
      <c r="A12" s="1511"/>
      <c r="B12" s="1532" t="s">
        <v>1130</v>
      </c>
      <c r="C12" s="2" t="s">
        <v>1137</v>
      </c>
      <c r="D12" s="1533"/>
      <c r="E12" s="1533"/>
      <c r="F12" s="1537"/>
      <c r="G12" s="1533"/>
      <c r="H12" s="1537"/>
      <c r="I12" s="1533"/>
      <c r="J12" s="1533"/>
      <c r="K12" s="1537"/>
      <c r="L12" s="1546"/>
      <c r="M12" s="1533"/>
    </row>
    <row r="13" spans="1:23" ht="12.75">
      <c r="A13" s="1511"/>
      <c r="B13" s="1532"/>
      <c r="C13" s="1533" t="s">
        <v>14</v>
      </c>
      <c r="D13" s="1549" t="s">
        <v>1138</v>
      </c>
      <c r="E13" s="1533" t="s">
        <v>1139</v>
      </c>
      <c r="F13" s="1540">
        <v>697617</v>
      </c>
      <c r="G13" s="1533" t="s">
        <v>271</v>
      </c>
      <c r="H13" s="1546">
        <v>26.03</v>
      </c>
      <c r="I13" s="1533" t="s">
        <v>1159</v>
      </c>
      <c r="J13" s="1553">
        <v>18158970.510000002</v>
      </c>
      <c r="K13" s="1552">
        <v>1929649.9902637964</v>
      </c>
      <c r="L13" s="1600">
        <v>220.131</v>
      </c>
      <c r="M13" s="1571">
        <v>32.027000000000001</v>
      </c>
    </row>
    <row r="14" spans="1:23" ht="12.75">
      <c r="A14" s="1511"/>
      <c r="B14" s="1532"/>
      <c r="C14" s="1533" t="s">
        <v>17</v>
      </c>
      <c r="D14" s="1549" t="s">
        <v>1140</v>
      </c>
      <c r="E14" s="1533" t="s">
        <v>1139</v>
      </c>
      <c r="F14" s="1540">
        <v>960444</v>
      </c>
      <c r="G14" s="1533" t="s">
        <v>271</v>
      </c>
      <c r="H14" s="1546">
        <v>26.03</v>
      </c>
      <c r="I14" s="1533" t="s">
        <v>1159</v>
      </c>
      <c r="J14" s="1553">
        <v>25000357.32</v>
      </c>
      <c r="K14" s="1543">
        <v>2580586.7564753494</v>
      </c>
      <c r="L14" s="1556">
        <v>303.13499999999999</v>
      </c>
      <c r="M14" s="1571">
        <v>44.094000000000001</v>
      </c>
    </row>
    <row r="15" spans="1:23" ht="13.5" thickBot="1">
      <c r="A15" s="1511"/>
      <c r="B15" s="1532"/>
      <c r="C15" s="1533"/>
      <c r="D15" s="1549"/>
      <c r="E15" s="1533"/>
      <c r="F15" s="1537"/>
      <c r="G15" s="1533"/>
      <c r="H15" s="1537"/>
      <c r="I15" s="1533"/>
      <c r="J15" s="1533"/>
      <c r="K15" s="1537"/>
      <c r="L15" s="1546"/>
      <c r="M15" s="1533"/>
    </row>
    <row r="16" spans="1:23" ht="12.75">
      <c r="A16" s="1511"/>
      <c r="B16" s="1576"/>
      <c r="C16" s="1530"/>
      <c r="D16" s="1583"/>
      <c r="E16" s="1530"/>
      <c r="F16" s="1508"/>
      <c r="G16" s="1530"/>
      <c r="H16" s="1508"/>
      <c r="I16" s="1530"/>
      <c r="J16" s="1530"/>
      <c r="K16" s="1508"/>
      <c r="L16" s="1509"/>
      <c r="M16" s="1530"/>
    </row>
    <row r="17" spans="1:13" ht="12.75">
      <c r="A17" s="1511"/>
      <c r="B17" s="1532" t="s">
        <v>1141</v>
      </c>
      <c r="C17" s="169" t="s">
        <v>1142</v>
      </c>
      <c r="D17" s="1549"/>
      <c r="E17" s="1533"/>
      <c r="F17" s="1537"/>
      <c r="G17" s="1533"/>
      <c r="H17" s="1537"/>
      <c r="I17" s="1533"/>
      <c r="J17" s="1533"/>
      <c r="K17" s="1537"/>
      <c r="L17" s="1546"/>
      <c r="M17" s="1533"/>
    </row>
    <row r="18" spans="1:13" ht="12.75">
      <c r="A18" s="1511"/>
      <c r="B18" s="1532"/>
      <c r="C18" s="1533" t="s">
        <v>1143</v>
      </c>
      <c r="D18" s="1549" t="s">
        <v>1144</v>
      </c>
      <c r="E18" s="1533" t="s">
        <v>1183</v>
      </c>
      <c r="F18" s="1540">
        <v>15307</v>
      </c>
      <c r="G18" s="1533" t="s">
        <v>271</v>
      </c>
      <c r="H18" s="1546">
        <v>22.08</v>
      </c>
      <c r="I18" s="1533" t="s">
        <v>1185</v>
      </c>
      <c r="J18" s="1553">
        <v>337978.56</v>
      </c>
      <c r="K18" s="1537">
        <v>35577.643597341281</v>
      </c>
      <c r="L18" s="1546">
        <v>0.41</v>
      </c>
      <c r="M18" s="1533">
        <v>0.65600000000000003</v>
      </c>
    </row>
    <row r="19" spans="1:13" ht="12.75">
      <c r="A19" s="1511"/>
      <c r="B19" s="1532"/>
      <c r="C19" s="1533"/>
      <c r="D19" s="1549" t="s">
        <v>1144</v>
      </c>
      <c r="E19" s="1533" t="s">
        <v>1184</v>
      </c>
      <c r="F19" s="1540">
        <v>47337</v>
      </c>
      <c r="G19" s="1533" t="s">
        <v>271</v>
      </c>
      <c r="H19" s="1546">
        <v>17.8</v>
      </c>
      <c r="I19" s="1533" t="s">
        <v>1185</v>
      </c>
      <c r="J19" s="1553">
        <v>842598.6</v>
      </c>
      <c r="K19" s="1537">
        <v>88696.965530650021</v>
      </c>
      <c r="L19" s="1546">
        <v>1.01</v>
      </c>
      <c r="M19" s="1533">
        <v>1.6160000000000001</v>
      </c>
    </row>
    <row r="20" spans="1:13" ht="12.75">
      <c r="A20" s="1511"/>
      <c r="B20" s="1532"/>
      <c r="C20" s="1533"/>
      <c r="D20" s="1549"/>
      <c r="E20" s="1533"/>
      <c r="F20" s="1537"/>
      <c r="G20" s="1533"/>
      <c r="H20" s="1537"/>
      <c r="I20" s="1533"/>
      <c r="J20" s="1542"/>
      <c r="K20" s="1533"/>
      <c r="L20" s="1533"/>
      <c r="M20" s="1533"/>
    </row>
    <row r="21" spans="1:13" ht="12.75">
      <c r="A21" s="1511"/>
      <c r="B21" s="1532"/>
      <c r="C21" s="1533" t="s">
        <v>1145</v>
      </c>
      <c r="D21" s="1549"/>
      <c r="E21" s="1533" t="s">
        <v>1183</v>
      </c>
      <c r="F21" s="1540">
        <v>24630</v>
      </c>
      <c r="G21" s="1533"/>
      <c r="H21" s="1546">
        <v>22.08</v>
      </c>
      <c r="I21" s="1533" t="s">
        <v>1185</v>
      </c>
      <c r="J21" s="1553">
        <v>543830.39999999991</v>
      </c>
      <c r="K21" s="1537">
        <v>51627.038631891875</v>
      </c>
      <c r="L21" s="1546">
        <v>0.65900000000000003</v>
      </c>
      <c r="M21" s="1533">
        <v>1.0549999999999999</v>
      </c>
    </row>
    <row r="22" spans="1:13" ht="12.75">
      <c r="A22" s="1511"/>
      <c r="B22" s="1532"/>
      <c r="C22" s="1533"/>
      <c r="D22" s="1549" t="s">
        <v>1146</v>
      </c>
      <c r="E22" s="1533" t="s">
        <v>1184</v>
      </c>
      <c r="F22" s="1540">
        <v>62186</v>
      </c>
      <c r="G22" s="1533" t="s">
        <v>271</v>
      </c>
      <c r="H22" s="1546">
        <v>17.600000000000001</v>
      </c>
      <c r="I22" s="1533" t="s">
        <v>1185</v>
      </c>
      <c r="J22" s="1553">
        <v>1094473.6000000001</v>
      </c>
      <c r="K22" s="1537">
        <v>103900.83163571914</v>
      </c>
      <c r="L22" s="1546">
        <v>1.327</v>
      </c>
      <c r="M22" s="1533">
        <v>2.1230000000000002</v>
      </c>
    </row>
    <row r="23" spans="1:13" ht="13.5" thickBot="1">
      <c r="A23" s="1511"/>
      <c r="B23" s="1532"/>
      <c r="C23" s="1533"/>
      <c r="D23" s="1533"/>
      <c r="E23" s="1533"/>
      <c r="F23" s="1537"/>
      <c r="G23" s="1533"/>
      <c r="H23" s="1537"/>
      <c r="I23" s="1533"/>
      <c r="J23" s="1547"/>
      <c r="K23" s="1537"/>
      <c r="L23" s="1546"/>
      <c r="M23" s="1533"/>
    </row>
    <row r="24" spans="1:13" ht="12.75">
      <c r="A24" s="1511"/>
      <c r="B24" s="1576"/>
      <c r="C24" s="1510"/>
      <c r="D24" s="1530"/>
      <c r="E24" s="1530"/>
      <c r="F24" s="1508"/>
      <c r="G24" s="1530"/>
      <c r="H24" s="1508"/>
      <c r="I24" s="1530"/>
      <c r="J24" s="1531"/>
      <c r="K24" s="1508"/>
      <c r="L24" s="1509"/>
      <c r="M24" s="1530"/>
    </row>
    <row r="25" spans="1:13" ht="12.75">
      <c r="A25" s="1511"/>
      <c r="B25" s="1532" t="s">
        <v>1147</v>
      </c>
      <c r="C25" s="2" t="s">
        <v>1148</v>
      </c>
      <c r="D25" s="1533"/>
      <c r="E25" s="1533"/>
      <c r="F25" s="1537"/>
      <c r="G25" s="1533"/>
      <c r="H25" s="1537"/>
      <c r="I25" s="1533"/>
      <c r="J25" s="1547"/>
      <c r="K25" s="1537"/>
      <c r="L25" s="1546"/>
      <c r="M25" s="1569"/>
    </row>
    <row r="26" spans="1:13" ht="12.75">
      <c r="A26" s="1511"/>
      <c r="B26" s="1532"/>
      <c r="C26" s="1533" t="s">
        <v>1149</v>
      </c>
      <c r="D26" s="1549" t="s">
        <v>1138</v>
      </c>
      <c r="E26" s="1533" t="s">
        <v>1112</v>
      </c>
      <c r="F26" s="1540">
        <v>114840</v>
      </c>
      <c r="G26" s="1533" t="s">
        <v>271</v>
      </c>
      <c r="H26" s="1537">
        <v>12884</v>
      </c>
      <c r="I26" s="1533" t="s">
        <v>1150</v>
      </c>
      <c r="J26" s="1547">
        <v>2959197.12</v>
      </c>
      <c r="K26" s="1537">
        <v>321589.47431884549</v>
      </c>
      <c r="L26" s="1546">
        <v>35.871387488639996</v>
      </c>
      <c r="M26" s="1993">
        <v>5.217656361984</v>
      </c>
    </row>
    <row r="27" spans="1:13" ht="12.75">
      <c r="A27" s="1511"/>
      <c r="B27" s="1532"/>
      <c r="C27" s="1533"/>
      <c r="D27" s="1533"/>
      <c r="E27" s="1533"/>
      <c r="F27" s="1537"/>
      <c r="G27" s="1533"/>
      <c r="H27" s="1537"/>
      <c r="I27" s="1533"/>
      <c r="J27" s="1542"/>
      <c r="K27" s="1554"/>
      <c r="L27" s="1555"/>
      <c r="M27" s="1993"/>
    </row>
    <row r="28" spans="1:13" ht="12.75">
      <c r="A28" s="1511"/>
      <c r="B28" s="1532"/>
      <c r="C28" s="1533" t="s">
        <v>1151</v>
      </c>
      <c r="D28" s="1549" t="s">
        <v>1140</v>
      </c>
      <c r="E28" s="1533" t="s">
        <v>1112</v>
      </c>
      <c r="F28" s="1540">
        <v>84220</v>
      </c>
      <c r="G28" s="1533" t="s">
        <v>271</v>
      </c>
      <c r="H28" s="1537">
        <v>12855</v>
      </c>
      <c r="I28" s="1533" t="s">
        <v>1150</v>
      </c>
      <c r="J28" s="1547">
        <v>2165296.2000000002</v>
      </c>
      <c r="K28" s="1537">
        <v>235005.38371135606</v>
      </c>
      <c r="L28" s="1546">
        <v>26.247720536399999</v>
      </c>
      <c r="M28" s="1993">
        <v>3.8188896020160006</v>
      </c>
    </row>
    <row r="29" spans="1:13" ht="12.75">
      <c r="A29" s="1511"/>
      <c r="B29" s="1532"/>
      <c r="C29" s="1533"/>
      <c r="D29" s="1549"/>
      <c r="E29" s="1533"/>
      <c r="F29" s="1537"/>
      <c r="G29" s="1533"/>
      <c r="H29" s="1537"/>
      <c r="I29" s="1533"/>
      <c r="J29" s="1547"/>
      <c r="K29" s="1537"/>
      <c r="L29" s="1546"/>
      <c r="M29" s="1994"/>
    </row>
    <row r="30" spans="1:13" ht="12.75">
      <c r="A30" s="1511"/>
      <c r="B30" s="1532"/>
      <c r="C30" s="1533" t="s">
        <v>19</v>
      </c>
      <c r="D30" s="1549" t="s">
        <v>1157</v>
      </c>
      <c r="E30" s="1533" t="s">
        <v>1112</v>
      </c>
      <c r="F30" s="1921">
        <v>0</v>
      </c>
      <c r="G30" s="1533" t="s">
        <v>271</v>
      </c>
      <c r="H30" s="1537">
        <v>12865</v>
      </c>
      <c r="I30" s="1533" t="s">
        <v>1150</v>
      </c>
      <c r="J30" s="1547">
        <v>0</v>
      </c>
      <c r="K30" s="1537">
        <v>0</v>
      </c>
      <c r="L30" s="1546">
        <v>0</v>
      </c>
      <c r="M30" s="1993">
        <v>0</v>
      </c>
    </row>
    <row r="31" spans="1:13" ht="12.75">
      <c r="A31" s="1511"/>
      <c r="B31" s="1532"/>
      <c r="C31" s="1533"/>
      <c r="D31" s="1549"/>
      <c r="E31" s="1533"/>
      <c r="F31" s="1537"/>
      <c r="G31" s="1533"/>
      <c r="H31" s="1537"/>
      <c r="I31" s="1533"/>
      <c r="J31" s="1547"/>
      <c r="K31" s="1537"/>
      <c r="L31" s="1546"/>
      <c r="M31" s="1994"/>
    </row>
    <row r="32" spans="1:13" ht="12.75">
      <c r="A32" s="1511"/>
      <c r="B32" s="1532"/>
      <c r="C32" s="1533" t="s">
        <v>21</v>
      </c>
      <c r="D32" s="1549" t="s">
        <v>20</v>
      </c>
      <c r="E32" s="1533" t="s">
        <v>1112</v>
      </c>
      <c r="F32" s="1921">
        <v>0</v>
      </c>
      <c r="G32" s="1533" t="s">
        <v>271</v>
      </c>
      <c r="H32" s="1537">
        <v>12865</v>
      </c>
      <c r="I32" s="1533" t="s">
        <v>1150</v>
      </c>
      <c r="J32" s="1547">
        <v>0</v>
      </c>
      <c r="K32" s="1537">
        <v>0</v>
      </c>
      <c r="L32" s="1546">
        <v>0</v>
      </c>
      <c r="M32" s="1993">
        <v>0</v>
      </c>
    </row>
    <row r="33" spans="1:13" ht="12.75">
      <c r="A33" s="1511"/>
      <c r="B33" s="1532"/>
      <c r="C33" s="1533"/>
      <c r="D33" s="1549"/>
      <c r="E33" s="1533"/>
      <c r="F33" s="1537"/>
      <c r="G33" s="1533"/>
      <c r="H33" s="1537"/>
      <c r="I33" s="1533"/>
      <c r="J33" s="1542"/>
      <c r="K33" s="1537"/>
      <c r="L33" s="1546"/>
      <c r="M33" s="1994"/>
    </row>
    <row r="34" spans="1:13" ht="13.5" thickBot="1">
      <c r="A34" s="1511"/>
      <c r="B34" s="1532"/>
      <c r="C34" s="1533"/>
      <c r="D34" s="1533"/>
      <c r="E34" s="1533"/>
      <c r="F34" s="1537"/>
      <c r="G34" s="1533"/>
      <c r="H34" s="1537"/>
      <c r="I34" s="1533"/>
      <c r="J34" s="1547"/>
      <c r="K34" s="1537"/>
      <c r="L34" s="1546"/>
      <c r="M34" s="1533"/>
    </row>
    <row r="35" spans="1:13" ht="12.75">
      <c r="A35" s="1511"/>
      <c r="B35" s="1576"/>
      <c r="C35" s="1530"/>
      <c r="D35" s="1530"/>
      <c r="E35" s="1530"/>
      <c r="F35" s="1577"/>
      <c r="G35" s="1530"/>
      <c r="H35" s="1508"/>
      <c r="I35" s="1530"/>
      <c r="J35" s="1530"/>
      <c r="K35" s="1530"/>
      <c r="L35" s="1530"/>
      <c r="M35" s="1530"/>
    </row>
    <row r="36" spans="1:13" ht="12.75">
      <c r="A36" s="1511"/>
      <c r="B36" s="1532" t="s">
        <v>1152</v>
      </c>
      <c r="C36" s="2" t="s">
        <v>1153</v>
      </c>
      <c r="D36" s="1533"/>
      <c r="E36" s="1533"/>
      <c r="F36" s="1537"/>
      <c r="G36" s="1533"/>
      <c r="H36" s="1537"/>
      <c r="I36" s="1533"/>
      <c r="J36" s="1547"/>
      <c r="K36" s="1537"/>
      <c r="L36" s="1546"/>
      <c r="M36" s="1533"/>
    </row>
    <row r="37" spans="1:13" ht="12.75">
      <c r="A37" s="1511"/>
      <c r="B37" s="1532"/>
      <c r="C37" s="1533"/>
      <c r="D37" s="1533"/>
      <c r="E37" s="1533"/>
      <c r="F37" s="1537"/>
      <c r="G37" s="1533"/>
      <c r="H37" s="1537"/>
      <c r="I37" s="1533"/>
      <c r="J37" s="1542"/>
      <c r="K37" s="1554"/>
      <c r="L37" s="1544"/>
      <c r="M37" s="1533"/>
    </row>
    <row r="38" spans="1:13" ht="12.75">
      <c r="A38" s="1511"/>
      <c r="B38" s="1532"/>
      <c r="C38" s="1533" t="s">
        <v>1154</v>
      </c>
      <c r="D38" s="1533" t="s">
        <v>1140</v>
      </c>
      <c r="E38" s="1533" t="s">
        <v>1139</v>
      </c>
      <c r="F38" s="1540">
        <v>10457</v>
      </c>
      <c r="G38" s="1533" t="s">
        <v>271</v>
      </c>
      <c r="H38" s="1533">
        <v>24</v>
      </c>
      <c r="I38" s="1533" t="s">
        <v>1155</v>
      </c>
      <c r="J38" s="1553">
        <v>250968</v>
      </c>
      <c r="K38" s="1543">
        <v>53.298457142024226</v>
      </c>
      <c r="L38" s="1556">
        <v>2.859</v>
      </c>
      <c r="M38" s="1591">
        <v>0.41599999999999998</v>
      </c>
    </row>
    <row r="39" spans="1:13" ht="12.75">
      <c r="A39" s="1511"/>
      <c r="B39" s="1532"/>
      <c r="C39" s="1533"/>
      <c r="D39" s="1533"/>
      <c r="E39" s="1533"/>
      <c r="F39" s="1537"/>
      <c r="G39" s="1533"/>
      <c r="H39" s="1537"/>
      <c r="I39" s="1533"/>
      <c r="J39" s="1542"/>
      <c r="K39" s="1554"/>
      <c r="L39" s="1544"/>
      <c r="M39" s="1533"/>
    </row>
    <row r="40" spans="1:13" ht="12.75">
      <c r="A40" s="1511"/>
      <c r="B40" s="1532"/>
      <c r="C40" s="1533" t="s">
        <v>1156</v>
      </c>
      <c r="D40" s="1533" t="s">
        <v>1157</v>
      </c>
      <c r="E40" s="1533" t="s">
        <v>1139</v>
      </c>
      <c r="F40" s="1540">
        <v>81675</v>
      </c>
      <c r="G40" s="1533" t="s">
        <v>271</v>
      </c>
      <c r="H40" s="1556">
        <v>23.8</v>
      </c>
      <c r="I40" s="1533" t="s">
        <v>1155</v>
      </c>
      <c r="J40" s="1553">
        <v>1943865</v>
      </c>
      <c r="K40" s="1543">
        <v>7879.2556359875898</v>
      </c>
      <c r="L40" s="1562">
        <v>23.738</v>
      </c>
      <c r="M40" s="1591">
        <v>3.452</v>
      </c>
    </row>
    <row r="41" spans="1:13" ht="13.5" thickBot="1">
      <c r="A41" s="1511"/>
      <c r="B41" s="1532"/>
      <c r="C41" s="1533"/>
      <c r="D41" s="1533"/>
      <c r="E41" s="1533"/>
      <c r="F41" s="1534"/>
      <c r="G41" s="1533"/>
      <c r="H41" s="1535"/>
      <c r="I41" s="1533"/>
      <c r="J41" s="1535"/>
      <c r="K41" s="1533"/>
      <c r="L41" s="1533"/>
      <c r="M41" s="1533"/>
    </row>
    <row r="42" spans="1:13" ht="12.75">
      <c r="A42" s="1511"/>
      <c r="B42" s="1576"/>
      <c r="C42" s="1530"/>
      <c r="D42" s="1530"/>
      <c r="E42" s="1530"/>
      <c r="F42" s="1530"/>
      <c r="G42" s="1530"/>
      <c r="H42" s="1530"/>
      <c r="I42" s="1530"/>
      <c r="J42" s="1530"/>
      <c r="K42" s="1530"/>
      <c r="L42" s="1530"/>
      <c r="M42" s="1530"/>
    </row>
    <row r="43" spans="1:13" ht="12.75">
      <c r="A43" s="1511"/>
      <c r="B43" s="1532" t="s">
        <v>0</v>
      </c>
      <c r="C43" s="169" t="s">
        <v>1</v>
      </c>
      <c r="D43" s="1533"/>
      <c r="E43" s="1533"/>
      <c r="F43" s="1533"/>
      <c r="G43" s="1533"/>
      <c r="H43" s="1533"/>
      <c r="I43" s="1533"/>
      <c r="J43" s="1533"/>
      <c r="K43" s="1533"/>
      <c r="L43" s="1533"/>
      <c r="M43" s="1533"/>
    </row>
    <row r="44" spans="1:13" ht="12.75">
      <c r="A44" s="1511"/>
      <c r="B44" s="1532"/>
      <c r="C44" s="1533" t="s">
        <v>2</v>
      </c>
      <c r="D44" s="1533" t="s">
        <v>3</v>
      </c>
      <c r="E44" s="1533" t="s">
        <v>1112</v>
      </c>
      <c r="F44" s="1565">
        <v>27910</v>
      </c>
      <c r="G44" s="1533" t="s">
        <v>271</v>
      </c>
      <c r="H44" s="1535">
        <v>12959</v>
      </c>
      <c r="I44" s="1533" t="s">
        <v>1129</v>
      </c>
      <c r="J44" s="1540">
        <v>723371.38</v>
      </c>
      <c r="K44" s="1537">
        <v>68657.702231617848</v>
      </c>
      <c r="L44" s="1603">
        <v>8.7711921506552155</v>
      </c>
      <c r="M44" s="1603">
        <v>1.275808782930312</v>
      </c>
    </row>
    <row r="45" spans="1:13" ht="12.75">
      <c r="A45" s="1511"/>
      <c r="B45" s="1532"/>
      <c r="C45" s="1533"/>
      <c r="D45" s="1533"/>
      <c r="E45" s="1533"/>
      <c r="F45" s="1533"/>
      <c r="G45" s="1533"/>
      <c r="H45" s="1533"/>
      <c r="I45" s="1533"/>
      <c r="J45" s="1533"/>
      <c r="K45" s="1533"/>
      <c r="L45" s="1533"/>
      <c r="M45" s="1533"/>
    </row>
    <row r="46" spans="1:13" ht="12.75">
      <c r="A46" s="1511"/>
      <c r="B46" s="1532"/>
      <c r="C46" s="1533" t="s">
        <v>4</v>
      </c>
      <c r="D46" s="1533" t="s">
        <v>5</v>
      </c>
      <c r="E46" s="1533" t="s">
        <v>1112</v>
      </c>
      <c r="F46" s="1565">
        <v>35920</v>
      </c>
      <c r="G46" s="1533" t="s">
        <v>271</v>
      </c>
      <c r="H46" s="1535">
        <v>12959</v>
      </c>
      <c r="I46" s="1533" t="s">
        <v>1129</v>
      </c>
      <c r="J46" s="1540">
        <v>930974.56</v>
      </c>
      <c r="K46" s="1537">
        <v>88362.370540407981</v>
      </c>
      <c r="L46" s="1603">
        <v>11.288462162115389</v>
      </c>
      <c r="M46" s="1603">
        <v>1.6419581326713293</v>
      </c>
    </row>
    <row r="47" spans="1:13" ht="12.75">
      <c r="A47" s="1511"/>
      <c r="B47" s="1532"/>
      <c r="C47" s="1533"/>
      <c r="D47" s="1533"/>
      <c r="E47" s="1533"/>
      <c r="F47" s="1533"/>
      <c r="G47" s="1533"/>
      <c r="H47" s="1533"/>
      <c r="I47" s="1533"/>
      <c r="J47" s="1533"/>
      <c r="K47" s="1533"/>
      <c r="L47" s="1533"/>
      <c r="M47" s="1533"/>
    </row>
    <row r="48" spans="1:13" ht="12.75">
      <c r="A48" s="1511"/>
      <c r="B48" s="1532"/>
      <c r="C48" s="1533" t="s">
        <v>6</v>
      </c>
      <c r="D48" s="1533" t="s">
        <v>7</v>
      </c>
      <c r="E48" s="1533" t="s">
        <v>1112</v>
      </c>
      <c r="F48" s="1565">
        <v>36200</v>
      </c>
      <c r="G48" s="1533" t="s">
        <v>271</v>
      </c>
      <c r="H48" s="1535">
        <v>12959</v>
      </c>
      <c r="I48" s="1533" t="s">
        <v>1129</v>
      </c>
      <c r="J48" s="1540">
        <v>938231.6</v>
      </c>
      <c r="K48" s="1537">
        <v>89050.742200916749</v>
      </c>
      <c r="L48" s="1603">
        <v>11.376456856029428</v>
      </c>
      <c r="M48" s="1603">
        <v>1.6547573608770076</v>
      </c>
    </row>
    <row r="49" spans="1:13" ht="13.5" thickBot="1">
      <c r="A49" s="1511"/>
      <c r="B49" s="1532"/>
      <c r="C49" s="1533"/>
      <c r="D49" s="1533"/>
      <c r="E49" s="1533"/>
      <c r="F49" s="1533"/>
      <c r="G49" s="1533"/>
      <c r="H49" s="1533"/>
      <c r="I49" s="1533"/>
      <c r="J49" s="1533"/>
      <c r="K49" s="1533"/>
      <c r="L49" s="1533"/>
      <c r="M49" s="1533"/>
    </row>
    <row r="50" spans="1:13" ht="12.75">
      <c r="A50" s="1511"/>
      <c r="B50" s="1576"/>
      <c r="C50" s="1530"/>
      <c r="D50" s="1530"/>
      <c r="E50" s="1530"/>
      <c r="F50" s="1530"/>
      <c r="G50" s="1530"/>
      <c r="H50" s="1530"/>
      <c r="I50" s="1530"/>
      <c r="J50" s="1530"/>
      <c r="K50" s="1530"/>
      <c r="L50" s="1530"/>
      <c r="M50" s="1530"/>
    </row>
    <row r="51" spans="1:13" ht="12.75">
      <c r="A51" s="1511"/>
      <c r="B51" s="1532" t="s">
        <v>8</v>
      </c>
      <c r="C51" s="169" t="s">
        <v>9</v>
      </c>
      <c r="D51" s="1533"/>
      <c r="E51" s="1533"/>
      <c r="F51" s="1533"/>
      <c r="G51" s="1533"/>
      <c r="H51" s="1533"/>
      <c r="I51" s="1533"/>
      <c r="J51" s="1533"/>
      <c r="K51" s="1533"/>
      <c r="L51" s="1533"/>
      <c r="M51" s="1533"/>
    </row>
    <row r="52" spans="1:13" ht="12.75">
      <c r="A52" s="1511"/>
      <c r="B52" s="1532"/>
      <c r="C52" s="1533" t="s">
        <v>10</v>
      </c>
      <c r="D52" s="1533" t="s">
        <v>1138</v>
      </c>
      <c r="E52" s="1533" t="s">
        <v>1112</v>
      </c>
      <c r="F52" s="1565">
        <v>467991</v>
      </c>
      <c r="G52" s="1533" t="s">
        <v>271</v>
      </c>
      <c r="H52" s="1535">
        <v>12917.97</v>
      </c>
      <c r="I52" s="1533" t="s">
        <v>1129</v>
      </c>
      <c r="J52" s="1540">
        <v>12090987.396539997</v>
      </c>
      <c r="K52" s="1537">
        <v>1147325.4465995142</v>
      </c>
      <c r="L52" s="1603">
        <v>134.61382665990391</v>
      </c>
      <c r="M52" s="1603">
        <v>19.603955338820956</v>
      </c>
    </row>
    <row r="53" spans="1:13" ht="12.75">
      <c r="A53" s="1511"/>
      <c r="B53" s="1532"/>
      <c r="C53" s="1533"/>
      <c r="D53" s="1533"/>
      <c r="E53" s="1533"/>
      <c r="F53" s="1533"/>
      <c r="G53" s="1533"/>
      <c r="H53" s="1533"/>
      <c r="I53" s="1533"/>
      <c r="J53" s="1547"/>
      <c r="K53" s="1535"/>
      <c r="L53" s="1533"/>
      <c r="M53" s="1533"/>
    </row>
    <row r="54" spans="1:13" ht="12.75">
      <c r="A54" s="1511"/>
      <c r="B54" s="1532"/>
      <c r="C54" s="1533" t="s">
        <v>11</v>
      </c>
      <c r="D54" s="1533" t="s">
        <v>1140</v>
      </c>
      <c r="E54" s="1533" t="s">
        <v>1112</v>
      </c>
      <c r="F54" s="1565">
        <v>1175132</v>
      </c>
      <c r="G54" s="1533" t="s">
        <v>271</v>
      </c>
      <c r="H54" s="1535">
        <v>12917.97</v>
      </c>
      <c r="I54" s="1533" t="s">
        <v>1129</v>
      </c>
      <c r="J54" s="1540">
        <v>30360639.844079997</v>
      </c>
      <c r="K54" s="1537">
        <v>1477069.9136081592</v>
      </c>
      <c r="L54" s="1603">
        <v>173.24311434592872</v>
      </c>
      <c r="M54" s="1603">
        <v>25.230064812750605</v>
      </c>
    </row>
    <row r="55" spans="1:13" ht="13.5" thickBot="1">
      <c r="A55" s="1511"/>
      <c r="B55" s="1574"/>
      <c r="C55" s="1536"/>
      <c r="D55" s="1536"/>
      <c r="E55" s="1536"/>
      <c r="F55" s="1536"/>
      <c r="G55" s="1536"/>
      <c r="H55" s="1536"/>
      <c r="I55" s="1536"/>
      <c r="J55" s="1536"/>
      <c r="K55" s="1536"/>
      <c r="L55" s="1536"/>
      <c r="M55" s="1536"/>
    </row>
    <row r="56" spans="1:13" ht="13.5" thickTop="1">
      <c r="A56" s="1511"/>
      <c r="B56" s="1511"/>
      <c r="C56" s="1511"/>
      <c r="D56" s="1511"/>
      <c r="E56" s="1511"/>
      <c r="F56" s="1511"/>
      <c r="G56" s="1511"/>
      <c r="H56" s="1511"/>
      <c r="I56" s="1511"/>
      <c r="J56" s="1511"/>
      <c r="K56" s="1511"/>
      <c r="L56" s="1511"/>
      <c r="M56" s="1511"/>
    </row>
    <row r="57" spans="1:13" ht="13.5" thickBot="1">
      <c r="A57" s="1511"/>
      <c r="B57" s="1511"/>
      <c r="C57" s="1511"/>
      <c r="D57" s="1511"/>
      <c r="E57" s="1511"/>
      <c r="F57" s="1511"/>
      <c r="G57" s="1511"/>
      <c r="H57" s="1511"/>
      <c r="I57" s="1511"/>
      <c r="J57" s="1511"/>
      <c r="K57" s="1511"/>
      <c r="L57" s="1511"/>
      <c r="M57" s="1511"/>
    </row>
    <row r="58" spans="1:13" ht="14.25" thickTop="1" thickBot="1">
      <c r="A58" s="1511"/>
      <c r="B58" s="1511"/>
      <c r="C58" s="1511"/>
      <c r="D58" s="1511"/>
      <c r="E58" s="1511"/>
      <c r="F58" s="1995">
        <f>SUM(F9:F57)</f>
        <v>4412120</v>
      </c>
      <c r="G58" s="1511"/>
      <c r="H58" s="1511"/>
      <c r="I58" s="1511"/>
      <c r="J58" s="1996">
        <f>SUM(J9:J57)</f>
        <v>111492020.09062</v>
      </c>
      <c r="K58" s="1996">
        <f>SUM(K9:K57)</f>
        <v>9571102.5763082039</v>
      </c>
      <c r="L58" s="1996">
        <f>SUM(L9:L57)</f>
        <v>1113.907049927396</v>
      </c>
      <c r="M58" s="1996">
        <f>SUM(M9:M57)</f>
        <v>167.04639339180238</v>
      </c>
    </row>
    <row r="59" spans="1:13" ht="13.5" thickTop="1">
      <c r="A59" s="1511"/>
      <c r="B59" s="1511"/>
      <c r="C59" s="1511"/>
      <c r="D59" s="1511"/>
      <c r="E59" s="1511"/>
      <c r="F59" s="1511"/>
      <c r="G59" s="1511"/>
      <c r="H59" s="1511"/>
      <c r="I59" s="1511"/>
      <c r="J59" s="1511"/>
      <c r="K59" s="1511"/>
      <c r="L59" s="1511"/>
      <c r="M59" s="1511"/>
    </row>
    <row r="60" spans="1:13" ht="12.75">
      <c r="A60" s="1511"/>
      <c r="B60" s="1511"/>
      <c r="C60" s="1511"/>
      <c r="D60" s="1511"/>
      <c r="E60" s="1511"/>
      <c r="F60" s="1511"/>
      <c r="G60" s="1511"/>
      <c r="H60" s="1511"/>
      <c r="I60" s="1511"/>
      <c r="J60" s="1511"/>
      <c r="K60" s="1511"/>
      <c r="L60" s="1511"/>
      <c r="M60" s="1511"/>
    </row>
    <row r="61" spans="1:13" ht="21">
      <c r="A61" s="1511"/>
      <c r="B61" s="2018" t="s">
        <v>1308</v>
      </c>
      <c r="C61" s="2019"/>
      <c r="D61" s="2020"/>
      <c r="E61" s="1511"/>
      <c r="F61" s="1511"/>
      <c r="G61" s="1511"/>
      <c r="H61" s="1511"/>
      <c r="I61" s="1511"/>
      <c r="J61" s="1511"/>
      <c r="K61" s="1511"/>
      <c r="L61" s="1511"/>
      <c r="M61" s="1511"/>
    </row>
    <row r="62" spans="1:13" ht="13.5" thickBot="1">
      <c r="A62" s="1511"/>
      <c r="B62" s="1511"/>
      <c r="C62" s="1511"/>
      <c r="D62" s="1511"/>
      <c r="E62" s="1511"/>
      <c r="F62" s="1511"/>
      <c r="G62" s="1511"/>
      <c r="H62" s="1511"/>
      <c r="I62" s="1511"/>
      <c r="J62" s="1511"/>
      <c r="K62" s="1511"/>
      <c r="L62" s="1511"/>
      <c r="M62" s="1511"/>
    </row>
    <row r="63" spans="1:13" ht="15" thickTop="1">
      <c r="A63" s="1511"/>
      <c r="B63" s="1593" t="s">
        <v>1117</v>
      </c>
      <c r="C63" s="1594" t="s">
        <v>1118</v>
      </c>
      <c r="D63" s="1594" t="s">
        <v>1119</v>
      </c>
      <c r="E63" s="1594" t="s">
        <v>1120</v>
      </c>
      <c r="F63" s="1594" t="s">
        <v>1121</v>
      </c>
      <c r="G63" s="1594" t="s">
        <v>1121</v>
      </c>
      <c r="H63" s="1594" t="s">
        <v>809</v>
      </c>
      <c r="I63" s="1594" t="s">
        <v>811</v>
      </c>
      <c r="J63" s="1595" t="s">
        <v>813</v>
      </c>
      <c r="K63" s="1594" t="s">
        <v>274</v>
      </c>
      <c r="L63" s="1594" t="s">
        <v>275</v>
      </c>
      <c r="M63" s="1594" t="s">
        <v>276</v>
      </c>
    </row>
    <row r="64" spans="1:13" ht="12.75">
      <c r="A64" s="10"/>
      <c r="B64" s="1597"/>
      <c r="C64" s="1598"/>
      <c r="D64" s="1598"/>
      <c r="E64" s="1598"/>
      <c r="F64" s="1598"/>
      <c r="G64" s="1598" t="s">
        <v>1123</v>
      </c>
      <c r="H64" s="1598" t="s">
        <v>810</v>
      </c>
      <c r="I64" s="1598" t="s">
        <v>812</v>
      </c>
      <c r="J64" s="1598" t="s">
        <v>1124</v>
      </c>
      <c r="K64" s="1598" t="s">
        <v>1122</v>
      </c>
      <c r="L64" s="1598" t="s">
        <v>1122</v>
      </c>
      <c r="M64" s="1598" t="s">
        <v>1122</v>
      </c>
    </row>
    <row r="65" spans="1:13" ht="13.5" thickBot="1">
      <c r="A65" s="10"/>
      <c r="B65" s="1532"/>
      <c r="C65" s="1533"/>
      <c r="D65" s="1533"/>
      <c r="E65" s="1533"/>
      <c r="F65" s="1533"/>
      <c r="G65" s="1533"/>
      <c r="H65" s="1533"/>
      <c r="I65" s="1533"/>
      <c r="J65" s="1533"/>
      <c r="K65" s="1540"/>
      <c r="L65" s="1533"/>
      <c r="M65" s="1533"/>
    </row>
    <row r="66" spans="1:13" ht="12.75">
      <c r="A66" s="10"/>
      <c r="B66" s="1576" t="s">
        <v>1125</v>
      </c>
      <c r="C66" s="127" t="s">
        <v>1126</v>
      </c>
      <c r="D66" s="1530"/>
      <c r="E66" s="1530"/>
      <c r="F66" s="1508"/>
      <c r="G66" s="1530"/>
      <c r="H66" s="1530"/>
      <c r="I66" s="1530"/>
      <c r="J66" s="1776"/>
      <c r="K66" s="1775"/>
      <c r="L66" s="1530"/>
      <c r="M66" s="1530"/>
    </row>
    <row r="67" spans="1:13" ht="12.75">
      <c r="A67" s="10"/>
      <c r="B67" s="1532"/>
      <c r="C67" s="1533" t="s">
        <v>1127</v>
      </c>
      <c r="D67" s="1533" t="s">
        <v>1128</v>
      </c>
      <c r="E67" s="1533" t="s">
        <v>215</v>
      </c>
      <c r="F67" s="1540">
        <v>185300</v>
      </c>
      <c r="G67" s="1533" t="s">
        <v>67</v>
      </c>
      <c r="H67" s="1537">
        <v>140000</v>
      </c>
      <c r="I67" s="1533" t="s">
        <v>12</v>
      </c>
      <c r="J67" s="1783">
        <v>25942</v>
      </c>
      <c r="K67" s="1784">
        <v>2655.437130491578</v>
      </c>
      <c r="L67" s="1784">
        <v>0.31411027227683325</v>
      </c>
      <c r="M67" s="1784">
        <v>4.5697000247870753E-2</v>
      </c>
    </row>
    <row r="68" spans="1:13" ht="12.75">
      <c r="A68" s="10"/>
      <c r="B68" s="1532"/>
      <c r="C68" s="1533"/>
      <c r="D68" s="1533"/>
      <c r="E68" s="1533"/>
      <c r="F68" s="1540"/>
      <c r="G68" s="1533"/>
      <c r="H68" s="1537"/>
      <c r="I68" s="1533"/>
      <c r="J68" s="1778"/>
      <c r="K68" s="514"/>
      <c r="L68" s="514"/>
      <c r="M68" s="1993"/>
    </row>
    <row r="69" spans="1:13" ht="12.75">
      <c r="A69" s="10"/>
      <c r="B69" s="1532"/>
      <c r="C69" s="1533" t="s">
        <v>277</v>
      </c>
      <c r="D69" s="1533" t="s">
        <v>13</v>
      </c>
      <c r="E69" s="1533" t="s">
        <v>215</v>
      </c>
      <c r="F69" s="1540">
        <v>324</v>
      </c>
      <c r="G69" s="1533" t="s">
        <v>67</v>
      </c>
      <c r="H69" s="1537">
        <v>140000</v>
      </c>
      <c r="I69" s="1533" t="s">
        <v>12</v>
      </c>
      <c r="J69" s="10">
        <v>45.36</v>
      </c>
      <c r="K69" s="514">
        <v>3.65</v>
      </c>
      <c r="L69" s="1786">
        <v>0</v>
      </c>
      <c r="M69" s="1786">
        <v>0</v>
      </c>
    </row>
    <row r="70" spans="1:13" ht="13.5" thickBot="1">
      <c r="A70" s="10"/>
      <c r="B70" s="1579"/>
      <c r="C70" s="1512"/>
      <c r="D70" s="1512"/>
      <c r="E70" s="1512"/>
      <c r="F70" s="1513"/>
      <c r="G70" s="1512"/>
      <c r="H70" s="1580"/>
      <c r="I70" s="1512"/>
      <c r="J70" s="1779"/>
      <c r="K70" s="1781"/>
      <c r="L70" s="1581"/>
      <c r="M70" s="1512"/>
    </row>
    <row r="71" spans="1:13" ht="12.75">
      <c r="A71" s="10"/>
      <c r="B71" s="1532"/>
      <c r="C71" s="1533"/>
      <c r="D71" s="1533"/>
      <c r="E71" s="1533"/>
      <c r="F71" s="1537"/>
      <c r="G71" s="1533"/>
      <c r="H71" s="1537"/>
      <c r="I71" s="1533"/>
      <c r="J71" s="1547"/>
      <c r="K71" s="1508"/>
      <c r="L71" s="1546"/>
      <c r="M71" s="1533"/>
    </row>
    <row r="72" spans="1:13" ht="12.75">
      <c r="A72" s="10"/>
      <c r="B72" s="1532" t="s">
        <v>1130</v>
      </c>
      <c r="C72" s="2" t="s">
        <v>1137</v>
      </c>
      <c r="D72" s="1533"/>
      <c r="E72" s="1533"/>
      <c r="F72" s="1537"/>
      <c r="G72" s="1533"/>
      <c r="H72" s="1537"/>
      <c r="I72" s="1533"/>
      <c r="J72" s="1533"/>
      <c r="K72" s="1537"/>
      <c r="L72" s="1546"/>
      <c r="M72" s="1533"/>
    </row>
    <row r="73" spans="1:13" ht="12.75">
      <c r="A73" s="10"/>
      <c r="B73" s="1532"/>
      <c r="C73" s="1533" t="s">
        <v>14</v>
      </c>
      <c r="D73" s="1549" t="s">
        <v>1138</v>
      </c>
      <c r="E73" s="1533" t="s">
        <v>15</v>
      </c>
      <c r="F73" s="1540">
        <v>1204681</v>
      </c>
      <c r="G73" s="1533" t="s">
        <v>67</v>
      </c>
      <c r="H73" s="1550">
        <v>0.13800000000000001</v>
      </c>
      <c r="I73" s="1533" t="s">
        <v>1158</v>
      </c>
      <c r="J73" s="1551">
        <v>166245.978</v>
      </c>
      <c r="K73" s="1552">
        <v>17666.009736203665</v>
      </c>
      <c r="L73" s="1600">
        <v>0.55300000000000005</v>
      </c>
      <c r="M73" s="1571">
        <v>0.11</v>
      </c>
    </row>
    <row r="74" spans="1:13" ht="12.75">
      <c r="A74" s="10"/>
      <c r="B74" s="1532"/>
      <c r="C74" s="1533"/>
      <c r="D74" s="1549"/>
      <c r="E74" s="1533"/>
      <c r="F74" s="1537"/>
      <c r="G74" s="1533"/>
      <c r="H74" s="1537"/>
      <c r="I74" s="1533"/>
      <c r="J74" s="1542"/>
      <c r="K74" s="1554"/>
      <c r="L74" s="1544"/>
      <c r="M74" s="1571"/>
    </row>
    <row r="75" spans="1:13" ht="12.75">
      <c r="A75" s="10"/>
      <c r="B75" s="1532"/>
      <c r="C75" s="1533" t="s">
        <v>17</v>
      </c>
      <c r="D75" s="1549" t="s">
        <v>1140</v>
      </c>
      <c r="E75" s="1533" t="s">
        <v>15</v>
      </c>
      <c r="F75" s="1540">
        <v>1214369</v>
      </c>
      <c r="G75" s="1533" t="s">
        <v>67</v>
      </c>
      <c r="H75" s="1548">
        <v>0.13800000000000001</v>
      </c>
      <c r="I75" s="1533" t="s">
        <v>1158</v>
      </c>
      <c r="J75" s="1551">
        <v>167582.92200000002</v>
      </c>
      <c r="K75" s="1543">
        <v>17298.243524650614</v>
      </c>
      <c r="L75" s="1556">
        <v>0.55800000000000005</v>
      </c>
      <c r="M75" s="1571">
        <v>0.111</v>
      </c>
    </row>
    <row r="76" spans="1:13" ht="13.5" thickBot="1">
      <c r="A76" s="10"/>
      <c r="B76" s="1532"/>
      <c r="C76" s="1533"/>
      <c r="D76" s="1549"/>
      <c r="E76" s="1533"/>
      <c r="F76" s="1537"/>
      <c r="G76" s="1533"/>
      <c r="H76" s="1537"/>
      <c r="I76" s="1533"/>
      <c r="J76" s="1533"/>
      <c r="K76" s="1537"/>
      <c r="L76" s="1546"/>
      <c r="M76" s="1533"/>
    </row>
    <row r="77" spans="1:13" ht="12.75">
      <c r="A77" s="10"/>
      <c r="B77" s="1576"/>
      <c r="C77" s="1530"/>
      <c r="D77" s="1583"/>
      <c r="E77" s="1530"/>
      <c r="F77" s="1508"/>
      <c r="G77" s="1530"/>
      <c r="H77" s="1508"/>
      <c r="I77" s="1530"/>
      <c r="J77" s="1530"/>
      <c r="K77" s="1508"/>
      <c r="L77" s="1509"/>
      <c r="M77" s="1530"/>
    </row>
    <row r="78" spans="1:13" ht="12.75">
      <c r="A78" s="10"/>
      <c r="B78" s="1532" t="s">
        <v>1141</v>
      </c>
      <c r="C78" s="169" t="s">
        <v>1142</v>
      </c>
      <c r="D78" s="1549"/>
      <c r="E78" s="1533"/>
      <c r="F78" s="1537"/>
      <c r="G78" s="1533"/>
      <c r="H78" s="1537"/>
      <c r="I78" s="1533"/>
      <c r="J78" s="1533"/>
      <c r="K78" s="1537"/>
      <c r="L78" s="1546"/>
      <c r="M78" s="1533"/>
    </row>
    <row r="79" spans="1:13" ht="12.75">
      <c r="A79" s="10"/>
      <c r="B79" s="1532"/>
      <c r="C79" s="1533" t="s">
        <v>116</v>
      </c>
      <c r="D79" s="1549" t="s">
        <v>117</v>
      </c>
      <c r="E79" s="1533" t="s">
        <v>15</v>
      </c>
      <c r="F79" s="1540">
        <v>54</v>
      </c>
      <c r="G79" s="1533" t="s">
        <v>67</v>
      </c>
      <c r="H79" s="1537">
        <v>139</v>
      </c>
      <c r="I79" s="1533" t="s">
        <v>16</v>
      </c>
      <c r="J79" s="1542">
        <v>7.5060000000000002</v>
      </c>
      <c r="K79" s="1554">
        <v>0.61</v>
      </c>
      <c r="L79" s="1608">
        <v>2.48E-5</v>
      </c>
      <c r="M79" s="1608">
        <v>4.9699999999999998E-6</v>
      </c>
    </row>
    <row r="80" spans="1:13" ht="12.75">
      <c r="A80" s="10"/>
      <c r="B80" s="1532"/>
      <c r="C80" s="1533"/>
      <c r="D80" s="1549"/>
      <c r="E80" s="1533"/>
      <c r="F80" s="1537"/>
      <c r="G80" s="1533"/>
      <c r="H80" s="1537"/>
      <c r="I80" s="1533"/>
      <c r="J80" s="1547"/>
      <c r="K80" s="1533"/>
      <c r="L80" s="1548"/>
      <c r="M80" s="1772"/>
    </row>
    <row r="81" spans="1:13" ht="12.75">
      <c r="A81" s="10"/>
      <c r="B81" s="1532"/>
      <c r="C81" s="1533" t="s">
        <v>118</v>
      </c>
      <c r="D81" s="1549" t="s">
        <v>119</v>
      </c>
      <c r="E81" s="1533" t="s">
        <v>15</v>
      </c>
      <c r="F81" s="1540">
        <v>14210</v>
      </c>
      <c r="G81" s="1533" t="s">
        <v>67</v>
      </c>
      <c r="H81" s="1537">
        <v>139</v>
      </c>
      <c r="I81" s="1533" t="s">
        <v>16</v>
      </c>
      <c r="J81" s="1542">
        <v>1975.19</v>
      </c>
      <c r="K81" s="1554">
        <v>898</v>
      </c>
      <c r="L81" s="1555">
        <v>1.7000000000000001E-2</v>
      </c>
      <c r="M81" s="1555">
        <v>1.6999999999999999E-3</v>
      </c>
    </row>
    <row r="82" spans="1:13" ht="12.75">
      <c r="A82" s="10"/>
      <c r="B82" s="1532"/>
      <c r="C82" s="1533"/>
      <c r="D82" s="1549"/>
      <c r="E82" s="1533"/>
      <c r="F82" s="1540"/>
      <c r="G82" s="1533"/>
      <c r="H82" s="1537"/>
      <c r="I82" s="1533"/>
      <c r="J82" s="1547"/>
      <c r="K82" s="1533"/>
      <c r="L82" s="1533"/>
      <c r="M82" s="1772"/>
    </row>
    <row r="83" spans="1:13" ht="12.75">
      <c r="A83" s="10"/>
      <c r="B83" s="1532"/>
      <c r="C83" s="1533" t="s">
        <v>120</v>
      </c>
      <c r="D83" s="1549" t="s">
        <v>121</v>
      </c>
      <c r="E83" s="1533" t="s">
        <v>15</v>
      </c>
      <c r="F83" s="1540">
        <v>39986</v>
      </c>
      <c r="G83" s="1533" t="s">
        <v>67</v>
      </c>
      <c r="H83" s="1537">
        <v>139</v>
      </c>
      <c r="I83" s="1533" t="s">
        <v>16</v>
      </c>
      <c r="J83" s="1542">
        <v>5558.0540000000001</v>
      </c>
      <c r="K83" s="1554">
        <v>453</v>
      </c>
      <c r="L83" s="1555">
        <v>3.6399999999999999E-6</v>
      </c>
      <c r="M83" s="1555">
        <v>4.0000000000000001E-3</v>
      </c>
    </row>
    <row r="84" spans="1:13" ht="13.5" thickBot="1">
      <c r="A84" s="10"/>
      <c r="B84" s="1532"/>
      <c r="C84" s="1533"/>
      <c r="D84" s="1533"/>
      <c r="E84" s="1533"/>
      <c r="F84" s="1537"/>
      <c r="G84" s="1533"/>
      <c r="H84" s="1537"/>
      <c r="I84" s="1533"/>
      <c r="J84" s="1547"/>
      <c r="K84" s="1537"/>
      <c r="L84" s="1546"/>
      <c r="M84" s="1533"/>
    </row>
    <row r="85" spans="1:13" ht="12.75">
      <c r="A85" s="10"/>
      <c r="B85" s="1576"/>
      <c r="C85" s="1510"/>
      <c r="D85" s="1530"/>
      <c r="E85" s="1530"/>
      <c r="F85" s="1508"/>
      <c r="G85" s="1530"/>
      <c r="H85" s="1508"/>
      <c r="I85" s="1530"/>
      <c r="J85" s="1531"/>
      <c r="K85" s="1508"/>
      <c r="L85" s="1509"/>
      <c r="M85" s="1530"/>
    </row>
    <row r="86" spans="1:13" ht="12.75">
      <c r="A86" s="10"/>
      <c r="B86" s="1532" t="s">
        <v>1147</v>
      </c>
      <c r="C86" s="2" t="s">
        <v>1148</v>
      </c>
      <c r="D86" s="1533"/>
      <c r="E86" s="1533"/>
      <c r="F86" s="1537"/>
      <c r="G86" s="1533"/>
      <c r="H86" s="1537"/>
      <c r="I86" s="1533"/>
      <c r="J86" s="1547"/>
      <c r="K86" s="1537"/>
      <c r="L86" s="1546"/>
      <c r="M86" s="1569"/>
    </row>
    <row r="87" spans="1:13" ht="12.75">
      <c r="A87" s="10"/>
      <c r="B87" s="1532"/>
      <c r="C87" s="1533" t="s">
        <v>1149</v>
      </c>
      <c r="D87" s="1549" t="s">
        <v>1138</v>
      </c>
      <c r="E87" s="1533" t="s">
        <v>18</v>
      </c>
      <c r="F87" s="1540">
        <v>873983</v>
      </c>
      <c r="G87" s="1533" t="s">
        <v>67</v>
      </c>
      <c r="H87" s="1537">
        <v>136253</v>
      </c>
      <c r="I87" s="1533" t="s">
        <v>12</v>
      </c>
      <c r="J87" s="1547">
        <v>119082.805699</v>
      </c>
      <c r="K87" s="1537">
        <v>12941.272693978099</v>
      </c>
      <c r="L87" s="1546">
        <v>0.39368775564089398</v>
      </c>
      <c r="M87" s="1993">
        <v>7.873755112817879E-2</v>
      </c>
    </row>
    <row r="88" spans="1:13" ht="12.75">
      <c r="A88" s="10"/>
      <c r="B88" s="1532"/>
      <c r="C88" s="1533"/>
      <c r="D88" s="1533"/>
      <c r="E88" s="1533"/>
      <c r="F88" s="1537"/>
      <c r="G88" s="1533"/>
      <c r="H88" s="1537"/>
      <c r="I88" s="1533"/>
      <c r="J88" s="1542"/>
      <c r="K88" s="1554"/>
      <c r="L88" s="1555"/>
      <c r="M88" s="1993"/>
    </row>
    <row r="89" spans="1:13" ht="12.75">
      <c r="A89" s="10"/>
      <c r="B89" s="1532"/>
      <c r="C89" s="1533" t="s">
        <v>1151</v>
      </c>
      <c r="D89" s="1549" t="s">
        <v>1140</v>
      </c>
      <c r="E89" s="1533" t="s">
        <v>18</v>
      </c>
      <c r="F89" s="1540">
        <v>890693</v>
      </c>
      <c r="G89" s="1533" t="s">
        <v>67</v>
      </c>
      <c r="H89" s="1537">
        <v>136253</v>
      </c>
      <c r="I89" s="1533" t="s">
        <v>12</v>
      </c>
      <c r="J89" s="1547">
        <v>121359.593329</v>
      </c>
      <c r="K89" s="1537">
        <v>13171.481018317847</v>
      </c>
      <c r="L89" s="1546">
        <v>0.40121481554567401</v>
      </c>
      <c r="M89" s="1993">
        <v>8.0242963109134785E-2</v>
      </c>
    </row>
    <row r="90" spans="1:13" ht="12.75">
      <c r="A90" s="10"/>
      <c r="B90" s="1532"/>
      <c r="C90" s="1533"/>
      <c r="D90" s="1549"/>
      <c r="E90" s="1533"/>
      <c r="F90" s="1537"/>
      <c r="G90" s="1533"/>
      <c r="H90" s="1537"/>
      <c r="I90" s="1533"/>
      <c r="J90" s="1547"/>
      <c r="K90" s="1537"/>
      <c r="L90" s="1546"/>
      <c r="M90" s="1994"/>
    </row>
    <row r="91" spans="1:13" ht="12.75">
      <c r="A91" s="10"/>
      <c r="B91" s="1532"/>
      <c r="C91" s="1533" t="s">
        <v>19</v>
      </c>
      <c r="D91" s="1549" t="s">
        <v>1157</v>
      </c>
      <c r="E91" s="1533" t="s">
        <v>18</v>
      </c>
      <c r="F91" s="1540">
        <v>192360</v>
      </c>
      <c r="G91" s="1533" t="s">
        <v>67</v>
      </c>
      <c r="H91" s="1537">
        <v>136253</v>
      </c>
      <c r="I91" s="1533" t="s">
        <v>12</v>
      </c>
      <c r="J91" s="1547">
        <v>26209.627079999998</v>
      </c>
      <c r="K91" s="1537">
        <v>1364.6843981801997</v>
      </c>
      <c r="L91" s="1546">
        <v>8.6649027126479997E-2</v>
      </c>
      <c r="M91" s="1993">
        <v>1.7329805425295997E-2</v>
      </c>
    </row>
    <row r="92" spans="1:13" ht="12.75">
      <c r="A92" s="10"/>
      <c r="B92" s="1532"/>
      <c r="C92" s="1533"/>
      <c r="D92" s="1549"/>
      <c r="E92" s="1533"/>
      <c r="F92" s="1537"/>
      <c r="G92" s="1533"/>
      <c r="H92" s="1537"/>
      <c r="I92" s="1533"/>
      <c r="J92" s="1547"/>
      <c r="K92" s="1537"/>
      <c r="L92" s="1546"/>
      <c r="M92" s="1994"/>
    </row>
    <row r="93" spans="1:13" ht="12.75">
      <c r="A93" s="10"/>
      <c r="B93" s="1532"/>
      <c r="C93" s="1533" t="s">
        <v>21</v>
      </c>
      <c r="D93" s="1549" t="s">
        <v>20</v>
      </c>
      <c r="E93" s="1533" t="s">
        <v>18</v>
      </c>
      <c r="F93" s="1540">
        <v>616980</v>
      </c>
      <c r="G93" s="1533" t="s">
        <v>67</v>
      </c>
      <c r="H93" s="1537">
        <v>136253</v>
      </c>
      <c r="I93" s="1533" t="s">
        <v>12</v>
      </c>
      <c r="J93" s="1547">
        <v>84065.375939999998</v>
      </c>
      <c r="K93" s="1537">
        <v>4660.8644791135912</v>
      </c>
      <c r="L93" s="1546">
        <v>0.27792013285763995</v>
      </c>
      <c r="M93" s="1993">
        <v>5.5584026571527993E-2</v>
      </c>
    </row>
    <row r="94" spans="1:13" ht="12.75">
      <c r="A94" s="10"/>
      <c r="B94" s="1532"/>
      <c r="C94" s="1533"/>
      <c r="D94" s="1549"/>
      <c r="E94" s="1533"/>
      <c r="F94" s="1537"/>
      <c r="G94" s="1533"/>
      <c r="H94" s="1537"/>
      <c r="I94" s="1533"/>
      <c r="J94" s="1542"/>
      <c r="K94" s="1537"/>
      <c r="L94" s="1546"/>
      <c r="M94" s="1994"/>
    </row>
    <row r="95" spans="1:13" ht="12.75">
      <c r="A95" s="10"/>
      <c r="B95" s="1532"/>
      <c r="C95" s="1533" t="s">
        <v>278</v>
      </c>
      <c r="D95" s="1559" t="s">
        <v>22</v>
      </c>
      <c r="E95" s="1533" t="s">
        <v>18</v>
      </c>
      <c r="F95" s="1540">
        <v>42000</v>
      </c>
      <c r="G95" s="1533" t="s">
        <v>67</v>
      </c>
      <c r="H95" s="1537">
        <v>136253</v>
      </c>
      <c r="I95" s="1533" t="s">
        <v>12</v>
      </c>
      <c r="J95" s="1542">
        <v>5722.6260000000002</v>
      </c>
      <c r="K95" s="1554">
        <v>466.54</v>
      </c>
      <c r="L95" s="1560">
        <v>1.8919001556000001E-2</v>
      </c>
      <c r="M95" s="1997">
        <v>3.7838003111999993E-3</v>
      </c>
    </row>
    <row r="96" spans="1:13" ht="12.75">
      <c r="A96" s="10"/>
      <c r="B96" s="1532"/>
      <c r="C96" s="1533"/>
      <c r="D96" s="1549"/>
      <c r="E96" s="1533"/>
      <c r="F96" s="1537"/>
      <c r="G96" s="1533"/>
      <c r="H96" s="1537"/>
      <c r="I96" s="1533"/>
      <c r="J96" s="1547"/>
      <c r="K96" s="1537"/>
      <c r="L96" s="1546"/>
      <c r="M96" s="1994"/>
    </row>
    <row r="97" spans="1:13" ht="12.75">
      <c r="A97" s="10"/>
      <c r="B97" s="1532"/>
      <c r="C97" s="1533" t="s">
        <v>23</v>
      </c>
      <c r="D97" s="1549" t="s">
        <v>24</v>
      </c>
      <c r="E97" s="1533" t="s">
        <v>18</v>
      </c>
      <c r="F97" s="1540">
        <v>18060</v>
      </c>
      <c r="G97" s="1533" t="s">
        <v>67</v>
      </c>
      <c r="H97" s="1537">
        <v>136253</v>
      </c>
      <c r="I97" s="1533" t="s">
        <v>12</v>
      </c>
      <c r="J97" s="1542">
        <v>10527</v>
      </c>
      <c r="K97" s="1554">
        <v>199.3</v>
      </c>
      <c r="L97" s="1560">
        <v>3.4802261999999994E-2</v>
      </c>
      <c r="M97" s="1997">
        <v>6.9604523999999991E-3</v>
      </c>
    </row>
    <row r="98" spans="1:13" ht="12.75">
      <c r="A98" s="10"/>
      <c r="B98" s="1532"/>
      <c r="C98" s="1533"/>
      <c r="D98" s="1549"/>
      <c r="E98" s="1533"/>
      <c r="F98" s="1537"/>
      <c r="G98" s="1533"/>
      <c r="H98" s="1537"/>
      <c r="I98" s="1533"/>
      <c r="J98" s="1547"/>
      <c r="K98" s="1537"/>
      <c r="L98" s="1546"/>
      <c r="M98" s="1994"/>
    </row>
    <row r="99" spans="1:13" ht="12.75">
      <c r="A99" s="10"/>
      <c r="B99" s="1532"/>
      <c r="C99" s="1533" t="s">
        <v>26</v>
      </c>
      <c r="D99" s="1559" t="s">
        <v>27</v>
      </c>
      <c r="E99" s="1533" t="s">
        <v>18</v>
      </c>
      <c r="F99" s="1540">
        <v>110040</v>
      </c>
      <c r="G99" s="1533" t="s">
        <v>67</v>
      </c>
      <c r="H99" s="1537">
        <v>136253</v>
      </c>
      <c r="I99" s="1533" t="s">
        <v>12</v>
      </c>
      <c r="J99" s="1547">
        <v>14993.280119999999</v>
      </c>
      <c r="K99" s="1543">
        <v>1116.8197852797623</v>
      </c>
      <c r="L99" s="1546">
        <v>4.9567784076719995E-2</v>
      </c>
      <c r="M99" s="1993">
        <v>9.9135568153439976E-3</v>
      </c>
    </row>
    <row r="100" spans="1:13" ht="12.75">
      <c r="A100" s="10"/>
      <c r="B100" s="1532"/>
      <c r="C100" s="1533"/>
      <c r="D100" s="1549"/>
      <c r="E100" s="1533"/>
      <c r="F100" s="1537"/>
      <c r="G100" s="1533"/>
      <c r="H100" s="1537"/>
      <c r="I100" s="1533"/>
      <c r="J100" s="1543"/>
      <c r="K100" s="1543"/>
      <c r="L100" s="1544"/>
      <c r="M100" s="1993"/>
    </row>
    <row r="101" spans="1:13" ht="12.75">
      <c r="A101" s="10"/>
      <c r="B101" s="1532"/>
      <c r="C101" s="1533" t="s">
        <v>28</v>
      </c>
      <c r="D101" s="1559" t="s">
        <v>29</v>
      </c>
      <c r="E101" s="1533" t="s">
        <v>18</v>
      </c>
      <c r="F101" s="1540">
        <v>92400</v>
      </c>
      <c r="G101" s="1533" t="s">
        <v>67</v>
      </c>
      <c r="H101" s="1537">
        <v>136253</v>
      </c>
      <c r="I101" s="1533" t="s">
        <v>12</v>
      </c>
      <c r="J101" s="1547">
        <v>12589.7772</v>
      </c>
      <c r="K101" s="1543">
        <v>889.65296379482027</v>
      </c>
      <c r="L101" s="1546">
        <v>4.1621803423199995E-2</v>
      </c>
      <c r="M101" s="1993">
        <v>8.3243606846399986E-3</v>
      </c>
    </row>
    <row r="102" spans="1:13" ht="12.75">
      <c r="A102" s="10"/>
      <c r="B102" s="1532"/>
      <c r="C102" s="1533"/>
      <c r="D102" s="1549"/>
      <c r="E102" s="1533"/>
      <c r="F102" s="1540"/>
      <c r="G102" s="1533"/>
      <c r="H102" s="1537"/>
      <c r="I102" s="1533"/>
      <c r="J102" s="1542"/>
      <c r="K102" s="1543"/>
      <c r="L102" s="1544"/>
      <c r="M102" s="1993"/>
    </row>
    <row r="103" spans="1:13" ht="12.75">
      <c r="A103" s="10"/>
      <c r="B103" s="1532"/>
      <c r="C103" s="1533"/>
      <c r="D103" s="1559" t="s">
        <v>764</v>
      </c>
      <c r="E103" s="1533" t="s">
        <v>18</v>
      </c>
      <c r="F103" s="1540">
        <v>222180</v>
      </c>
      <c r="G103" s="1533" t="s">
        <v>67</v>
      </c>
      <c r="H103" s="1537">
        <v>136253</v>
      </c>
      <c r="I103" s="1533" t="s">
        <v>12</v>
      </c>
      <c r="J103" s="1547">
        <v>30272.69154</v>
      </c>
      <c r="K103" s="1543">
        <v>2139.2109902157267</v>
      </c>
      <c r="L103" s="1546">
        <v>0.10008151823123999</v>
      </c>
      <c r="M103" s="1993">
        <v>2.0016303646247995E-2</v>
      </c>
    </row>
    <row r="104" spans="1:13" ht="12.75">
      <c r="A104" s="10"/>
      <c r="B104" s="1532"/>
      <c r="C104" s="1533"/>
      <c r="D104" s="1549"/>
      <c r="E104" s="1533"/>
      <c r="F104" s="1537"/>
      <c r="G104" s="1533"/>
      <c r="H104" s="1537"/>
      <c r="I104" s="1533"/>
      <c r="J104" s="1542"/>
      <c r="K104" s="1543"/>
      <c r="L104" s="1544"/>
      <c r="M104" s="1993"/>
    </row>
    <row r="105" spans="1:13" ht="12.75">
      <c r="A105" s="10"/>
      <c r="B105" s="1532"/>
      <c r="C105" s="1533" t="s">
        <v>30</v>
      </c>
      <c r="D105" s="1559" t="s">
        <v>31</v>
      </c>
      <c r="E105" s="1533" t="s">
        <v>18</v>
      </c>
      <c r="F105" s="1540">
        <v>136418</v>
      </c>
      <c r="G105" s="1533" t="s">
        <v>67</v>
      </c>
      <c r="H105" s="1537">
        <v>136253</v>
      </c>
      <c r="I105" s="1533" t="s">
        <v>12</v>
      </c>
      <c r="J105" s="1547">
        <v>18587.361754000001</v>
      </c>
      <c r="K105" s="1543">
        <v>1416.8324559762209</v>
      </c>
      <c r="L105" s="1546">
        <v>6.1449817958724E-2</v>
      </c>
      <c r="M105" s="1993">
        <v>1.22899635917448E-2</v>
      </c>
    </row>
    <row r="106" spans="1:13" ht="12.75">
      <c r="A106" s="10"/>
      <c r="B106" s="1532"/>
      <c r="C106" s="1533"/>
      <c r="D106" s="1549"/>
      <c r="E106" s="1533"/>
      <c r="F106" s="1537"/>
      <c r="G106" s="1533"/>
      <c r="H106" s="1537"/>
      <c r="I106" s="1533"/>
      <c r="J106" s="1542"/>
      <c r="K106" s="1537"/>
      <c r="L106" s="1546"/>
      <c r="M106" s="1994"/>
    </row>
    <row r="107" spans="1:13" ht="12.75">
      <c r="A107" s="10"/>
      <c r="B107" s="1532"/>
      <c r="C107" s="1533" t="s">
        <v>279</v>
      </c>
      <c r="D107" s="1549" t="s">
        <v>280</v>
      </c>
      <c r="E107" s="1533" t="s">
        <v>18</v>
      </c>
      <c r="F107" s="1540">
        <v>886209</v>
      </c>
      <c r="G107" s="1533" t="s">
        <v>67</v>
      </c>
      <c r="H107" s="1537">
        <v>136253</v>
      </c>
      <c r="I107" s="1533" t="s">
        <v>12</v>
      </c>
      <c r="J107" s="1542">
        <v>120748.634877</v>
      </c>
      <c r="K107" s="1554">
        <v>7622.5</v>
      </c>
      <c r="L107" s="1555">
        <v>0.39919498690336197</v>
      </c>
      <c r="M107" s="1997">
        <v>7.9838997380672391E-2</v>
      </c>
    </row>
    <row r="108" spans="1:13" ht="12.75">
      <c r="A108" s="10"/>
      <c r="B108" s="1532"/>
      <c r="C108" s="1533" t="s">
        <v>281</v>
      </c>
      <c r="D108" s="1549" t="s">
        <v>282</v>
      </c>
      <c r="E108" s="1533" t="s">
        <v>18</v>
      </c>
      <c r="F108" s="1540">
        <v>59976</v>
      </c>
      <c r="G108" s="1533" t="s">
        <v>67</v>
      </c>
      <c r="H108" s="1537">
        <v>136253</v>
      </c>
      <c r="I108" s="1533" t="s">
        <v>12</v>
      </c>
      <c r="J108" s="1542">
        <v>8171.909928</v>
      </c>
      <c r="K108" s="1554">
        <v>6609.1</v>
      </c>
      <c r="L108" s="1555">
        <v>2.7016334221967999E-2</v>
      </c>
      <c r="M108" s="1997">
        <v>5.4032668443935988E-3</v>
      </c>
    </row>
    <row r="109" spans="1:13" ht="12.75">
      <c r="A109" s="10"/>
      <c r="B109" s="1532"/>
      <c r="C109" s="1533" t="s">
        <v>283</v>
      </c>
      <c r="D109" s="1549" t="s">
        <v>284</v>
      </c>
      <c r="E109" s="1533" t="s">
        <v>18</v>
      </c>
      <c r="F109" s="1540">
        <v>468737</v>
      </c>
      <c r="G109" s="1533" t="s">
        <v>67</v>
      </c>
      <c r="H109" s="1537">
        <v>136253</v>
      </c>
      <c r="I109" s="1533" t="s">
        <v>12</v>
      </c>
      <c r="J109" s="1542">
        <v>63866.822461000003</v>
      </c>
      <c r="K109" s="1554">
        <v>5206.8</v>
      </c>
      <c r="L109" s="1555">
        <v>0.21114371505606599</v>
      </c>
      <c r="M109" s="1997">
        <v>4.2228743011213196E-2</v>
      </c>
    </row>
    <row r="110" spans="1:13" ht="13.5" thickBot="1">
      <c r="A110" s="10"/>
      <c r="B110" s="1532"/>
      <c r="C110" s="1533"/>
      <c r="D110" s="1533"/>
      <c r="E110" s="1533"/>
      <c r="F110" s="1537"/>
      <c r="G110" s="1533"/>
      <c r="H110" s="1537"/>
      <c r="I110" s="1533"/>
      <c r="J110" s="1547"/>
      <c r="K110" s="1537"/>
      <c r="L110" s="1546"/>
      <c r="M110" s="1533"/>
    </row>
    <row r="111" spans="1:13" ht="12.75">
      <c r="A111" s="10"/>
      <c r="B111" s="1576"/>
      <c r="C111" s="1530"/>
      <c r="D111" s="1530"/>
      <c r="E111" s="1530"/>
      <c r="F111" s="1508"/>
      <c r="G111" s="1530"/>
      <c r="H111" s="1508"/>
      <c r="I111" s="1530"/>
      <c r="J111" s="1531"/>
      <c r="K111" s="1508"/>
      <c r="L111" s="1509"/>
      <c r="M111" s="1530"/>
    </row>
    <row r="112" spans="1:13" ht="12.75">
      <c r="A112" s="10"/>
      <c r="B112" s="1532" t="s">
        <v>78</v>
      </c>
      <c r="C112" s="2" t="s">
        <v>79</v>
      </c>
      <c r="D112" s="1533"/>
      <c r="E112" s="1533"/>
      <c r="F112" s="1537"/>
      <c r="G112" s="1533"/>
      <c r="H112" s="1537"/>
      <c r="I112" s="1533"/>
      <c r="J112" s="1547"/>
      <c r="K112" s="1537"/>
      <c r="L112" s="1546"/>
      <c r="M112" s="1533"/>
    </row>
    <row r="113" spans="1:13" ht="12.75">
      <c r="A113" s="10"/>
      <c r="B113" s="1532"/>
      <c r="C113" s="1533" t="s">
        <v>285</v>
      </c>
      <c r="D113" s="1533" t="s">
        <v>80</v>
      </c>
      <c r="E113" s="1533" t="s">
        <v>18</v>
      </c>
      <c r="F113" s="1540">
        <v>26460</v>
      </c>
      <c r="G113" s="1533" t="s">
        <v>67</v>
      </c>
      <c r="H113" s="1537">
        <v>136253</v>
      </c>
      <c r="I113" s="1533" t="s">
        <v>12</v>
      </c>
      <c r="J113" s="1547">
        <v>3605.2543799999999</v>
      </c>
      <c r="K113" s="1540">
        <v>230.14921507860029</v>
      </c>
      <c r="L113" s="1551">
        <v>1.1918970980279999E-2</v>
      </c>
      <c r="M113" s="1998">
        <v>2.3837941960559994E-3</v>
      </c>
    </row>
    <row r="114" spans="1:13" ht="13.5" thickBot="1">
      <c r="A114" s="10"/>
      <c r="B114" s="1532"/>
      <c r="C114" s="1533"/>
      <c r="D114" s="1533"/>
      <c r="E114" s="1533"/>
      <c r="F114" s="1540"/>
      <c r="G114" s="1533"/>
      <c r="H114" s="1537"/>
      <c r="I114" s="1533"/>
      <c r="J114" s="1533"/>
      <c r="K114" s="1533"/>
      <c r="L114" s="1533"/>
      <c r="M114" s="1533"/>
    </row>
    <row r="115" spans="1:13" ht="12.75">
      <c r="A115" s="10"/>
      <c r="B115" s="1576"/>
      <c r="C115" s="1530"/>
      <c r="D115" s="1530"/>
      <c r="E115" s="1530"/>
      <c r="F115" s="1577"/>
      <c r="G115" s="1530"/>
      <c r="H115" s="1508"/>
      <c r="I115" s="1530"/>
      <c r="J115" s="1530"/>
      <c r="K115" s="1530"/>
      <c r="L115" s="1530"/>
      <c r="M115" s="1530"/>
    </row>
    <row r="116" spans="1:13" ht="12.75">
      <c r="A116" s="10"/>
      <c r="B116" s="1532" t="s">
        <v>1152</v>
      </c>
      <c r="C116" s="2" t="s">
        <v>1153</v>
      </c>
      <c r="D116" s="1533"/>
      <c r="E116" s="1533"/>
      <c r="F116" s="1537"/>
      <c r="G116" s="1533"/>
      <c r="H116" s="1537"/>
      <c r="I116" s="1533"/>
      <c r="J116" s="1547"/>
      <c r="K116" s="1537"/>
      <c r="L116" s="1546"/>
      <c r="M116" s="1533"/>
    </row>
    <row r="117" spans="1:13" ht="12.75">
      <c r="A117" s="10"/>
      <c r="B117" s="1532"/>
      <c r="C117" s="1533" t="s">
        <v>32</v>
      </c>
      <c r="D117" s="1533" t="s">
        <v>189</v>
      </c>
      <c r="E117" s="1533" t="s">
        <v>33</v>
      </c>
      <c r="F117" s="1540">
        <v>22785</v>
      </c>
      <c r="G117" s="1533" t="s">
        <v>67</v>
      </c>
      <c r="H117" s="1561">
        <v>0.13700000000000001</v>
      </c>
      <c r="I117" s="1533" t="s">
        <v>1160</v>
      </c>
      <c r="J117" s="1542">
        <v>3121.5450000000001</v>
      </c>
      <c r="K117" s="1554">
        <v>234</v>
      </c>
      <c r="L117" s="1563">
        <v>1.0999999999999999E-2</v>
      </c>
      <c r="M117" s="1608">
        <v>2.2000000000000001E-3</v>
      </c>
    </row>
    <row r="118" spans="1:13" ht="13.5" thickBot="1">
      <c r="A118" s="10"/>
      <c r="B118" s="1532"/>
      <c r="C118" s="1533"/>
      <c r="D118" s="1533"/>
      <c r="E118" s="1533"/>
      <c r="F118" s="1540"/>
      <c r="G118" s="1533"/>
      <c r="H118" s="1561"/>
      <c r="I118" s="1533"/>
      <c r="J118" s="1542"/>
      <c r="K118" s="1554"/>
      <c r="L118" s="1563"/>
      <c r="M118" s="1533"/>
    </row>
    <row r="119" spans="1:13" ht="12.75">
      <c r="A119" s="10"/>
      <c r="B119" s="1576"/>
      <c r="C119" s="1530"/>
      <c r="D119" s="1530"/>
      <c r="E119" s="1530"/>
      <c r="F119" s="1577"/>
      <c r="G119" s="1530"/>
      <c r="H119" s="1584"/>
      <c r="I119" s="1530"/>
      <c r="J119" s="1585"/>
      <c r="K119" s="1586"/>
      <c r="L119" s="1587"/>
      <c r="M119" s="1530"/>
    </row>
    <row r="120" spans="1:13" ht="12.75">
      <c r="A120" s="10"/>
      <c r="B120" s="1532"/>
      <c r="C120" s="1533"/>
      <c r="D120" s="1533"/>
      <c r="E120" s="1533"/>
      <c r="F120" s="1537"/>
      <c r="G120" s="1533"/>
      <c r="H120" s="1537"/>
      <c r="I120" s="1533"/>
      <c r="J120" s="1533"/>
      <c r="K120" s="1537"/>
      <c r="L120" s="1546"/>
      <c r="M120" s="1533"/>
    </row>
    <row r="121" spans="1:13" ht="12.75">
      <c r="A121" s="10"/>
      <c r="B121" s="1532" t="s">
        <v>35</v>
      </c>
      <c r="C121" s="169" t="s">
        <v>36</v>
      </c>
      <c r="D121" s="1533"/>
      <c r="E121" s="1533"/>
      <c r="F121" s="1537"/>
      <c r="G121" s="1533"/>
      <c r="H121" s="1537"/>
      <c r="I121" s="1533"/>
      <c r="J121" s="1547"/>
      <c r="K121" s="1537"/>
      <c r="L121" s="1546"/>
      <c r="M121" s="1533"/>
    </row>
    <row r="122" spans="1:13" ht="12.75">
      <c r="A122" s="10"/>
      <c r="B122" s="1532"/>
      <c r="C122" s="1533" t="s">
        <v>37</v>
      </c>
      <c r="D122" s="1533" t="s">
        <v>38</v>
      </c>
      <c r="E122" s="1533" t="s">
        <v>33</v>
      </c>
      <c r="F122" s="1540">
        <v>621000</v>
      </c>
      <c r="G122" s="1533" t="s">
        <v>67</v>
      </c>
      <c r="H122" s="1537">
        <v>138</v>
      </c>
      <c r="I122" s="1533" t="s">
        <v>34</v>
      </c>
      <c r="J122" s="1547">
        <v>85698</v>
      </c>
      <c r="K122" s="1537">
        <v>5157.2159820876095</v>
      </c>
      <c r="L122" s="1546">
        <v>0.11115671427569004</v>
      </c>
      <c r="M122" s="1603">
        <v>1.3666809132256973E-2</v>
      </c>
    </row>
    <row r="123" spans="1:13" ht="12.75">
      <c r="A123" s="10"/>
      <c r="B123" s="1532"/>
      <c r="C123" s="1533"/>
      <c r="D123" s="1533"/>
      <c r="E123" s="1533"/>
      <c r="F123" s="1540"/>
      <c r="G123" s="1533"/>
      <c r="H123" s="1537"/>
      <c r="I123" s="1533"/>
      <c r="J123" s="1547"/>
      <c r="K123" s="1537"/>
      <c r="L123" s="1546"/>
      <c r="M123" s="1569"/>
    </row>
    <row r="124" spans="1:13" ht="12.75">
      <c r="A124" s="10"/>
      <c r="B124" s="1532"/>
      <c r="C124" s="1533" t="s">
        <v>39</v>
      </c>
      <c r="D124" s="1533" t="s">
        <v>40</v>
      </c>
      <c r="E124" s="1533" t="s">
        <v>33</v>
      </c>
      <c r="F124" s="1540">
        <v>408000</v>
      </c>
      <c r="G124" s="1533" t="s">
        <v>67</v>
      </c>
      <c r="H124" s="1537">
        <v>138.07300000000001</v>
      </c>
      <c r="I124" s="1533" t="s">
        <v>34</v>
      </c>
      <c r="J124" s="1542">
        <v>56333.784</v>
      </c>
      <c r="K124" s="1554">
        <v>4015</v>
      </c>
      <c r="L124" s="1766">
        <v>0.19</v>
      </c>
      <c r="M124" s="1766">
        <v>0.04</v>
      </c>
    </row>
    <row r="125" spans="1:13" ht="12.75">
      <c r="A125" s="10"/>
      <c r="B125" s="1532"/>
      <c r="C125" s="1533"/>
      <c r="D125" s="1533"/>
      <c r="E125" s="1533"/>
      <c r="F125" s="1540"/>
      <c r="G125" s="1533"/>
      <c r="H125" s="1537"/>
      <c r="I125" s="1533"/>
      <c r="J125" s="1547"/>
      <c r="K125" s="1554"/>
      <c r="L125" s="1766"/>
      <c r="M125" s="1766"/>
    </row>
    <row r="126" spans="1:13" ht="12.75">
      <c r="A126" s="10"/>
      <c r="B126" s="1532"/>
      <c r="C126" s="1533" t="s">
        <v>41</v>
      </c>
      <c r="D126" s="1533" t="s">
        <v>42</v>
      </c>
      <c r="E126" s="1533" t="s">
        <v>33</v>
      </c>
      <c r="F126" s="1540">
        <v>0</v>
      </c>
      <c r="G126" s="1533" t="s">
        <v>67</v>
      </c>
      <c r="H126" s="1537">
        <v>138.07300000000001</v>
      </c>
      <c r="I126" s="1533" t="s">
        <v>34</v>
      </c>
      <c r="J126" s="1989">
        <v>0</v>
      </c>
      <c r="K126" s="1990">
        <v>0</v>
      </c>
      <c r="L126" s="1766">
        <v>0</v>
      </c>
      <c r="M126" s="1766">
        <v>0</v>
      </c>
    </row>
    <row r="127" spans="1:13" ht="12.75">
      <c r="A127" s="10"/>
      <c r="B127" s="1532"/>
      <c r="C127" s="1533"/>
      <c r="D127" s="1533"/>
      <c r="E127" s="1533"/>
      <c r="F127" s="1540"/>
      <c r="G127" s="1533"/>
      <c r="H127" s="1537"/>
      <c r="I127" s="1533"/>
      <c r="J127" s="1547"/>
      <c r="K127" s="1554"/>
      <c r="L127" s="1766"/>
      <c r="M127" s="1766"/>
    </row>
    <row r="128" spans="1:13" ht="12.75">
      <c r="A128" s="10"/>
      <c r="B128" s="1532"/>
      <c r="C128" s="1533" t="s">
        <v>43</v>
      </c>
      <c r="D128" s="1533" t="s">
        <v>44</v>
      </c>
      <c r="E128" s="1533" t="s">
        <v>33</v>
      </c>
      <c r="F128" s="1540">
        <v>233000</v>
      </c>
      <c r="G128" s="1533" t="s">
        <v>67</v>
      </c>
      <c r="H128" s="1537">
        <v>138.07300000000001</v>
      </c>
      <c r="I128" s="1533" t="s">
        <v>34</v>
      </c>
      <c r="J128" s="1542">
        <v>32171.008999999998</v>
      </c>
      <c r="K128" s="1554">
        <v>2083</v>
      </c>
      <c r="L128" s="1766">
        <v>0.11</v>
      </c>
      <c r="M128" s="1766">
        <v>0.02</v>
      </c>
    </row>
    <row r="129" spans="1:13" ht="12.75">
      <c r="A129" s="10"/>
      <c r="B129" s="1532"/>
      <c r="C129" s="1533"/>
      <c r="D129" s="1533"/>
      <c r="E129" s="1533"/>
      <c r="F129" s="1540"/>
      <c r="G129" s="1533"/>
      <c r="H129" s="1537"/>
      <c r="I129" s="1533"/>
      <c r="J129" s="1547"/>
      <c r="K129" s="1554"/>
      <c r="L129" s="1766"/>
      <c r="M129" s="1766"/>
    </row>
    <row r="130" spans="1:13" ht="12.75">
      <c r="A130" s="10"/>
      <c r="B130" s="1532"/>
      <c r="C130" s="1533" t="s">
        <v>45</v>
      </c>
      <c r="D130" s="1533" t="s">
        <v>46</v>
      </c>
      <c r="E130" s="1533" t="s">
        <v>33</v>
      </c>
      <c r="F130" s="1540">
        <v>224000</v>
      </c>
      <c r="G130" s="1533" t="s">
        <v>67</v>
      </c>
      <c r="H130" s="1537">
        <v>138.07300000000001</v>
      </c>
      <c r="I130" s="1533" t="s">
        <v>34</v>
      </c>
      <c r="J130" s="1542">
        <v>30928.351999999999</v>
      </c>
      <c r="K130" s="1554">
        <v>2018</v>
      </c>
      <c r="L130" s="1766">
        <v>0.1</v>
      </c>
      <c r="M130" s="1766" t="s">
        <v>1304</v>
      </c>
    </row>
    <row r="131" spans="1:13" ht="12.75">
      <c r="A131" s="10"/>
      <c r="B131" s="1532"/>
      <c r="C131" s="1533"/>
      <c r="D131" s="1533"/>
      <c r="E131" s="1533"/>
      <c r="F131" s="1540"/>
      <c r="G131" s="1533"/>
      <c r="H131" s="1537"/>
      <c r="I131" s="1533"/>
      <c r="J131" s="1542"/>
      <c r="K131" s="1554"/>
      <c r="L131" s="1766"/>
      <c r="M131" s="1766"/>
    </row>
    <row r="132" spans="1:13" ht="12.75">
      <c r="A132" s="10"/>
      <c r="B132" s="1532"/>
      <c r="C132" s="1533" t="s">
        <v>1253</v>
      </c>
      <c r="D132" s="1533" t="s">
        <v>1250</v>
      </c>
      <c r="E132" s="1533" t="s">
        <v>33</v>
      </c>
      <c r="F132" s="1540">
        <v>141000</v>
      </c>
      <c r="G132" s="1533" t="s">
        <v>67</v>
      </c>
      <c r="H132" s="1537">
        <v>138</v>
      </c>
      <c r="I132" s="1533" t="s">
        <v>34</v>
      </c>
      <c r="J132" s="1547">
        <v>19458</v>
      </c>
      <c r="K132" s="1537">
        <v>1170.9620828894574</v>
      </c>
      <c r="L132" s="1546">
        <v>2.2445746010954989E-2</v>
      </c>
      <c r="M132" s="1603">
        <v>2.413521076446773E-3</v>
      </c>
    </row>
    <row r="133" spans="1:13" ht="12.75">
      <c r="A133" s="10"/>
      <c r="B133" s="1532"/>
      <c r="C133" s="1533"/>
      <c r="D133" s="1533"/>
      <c r="E133" s="1533"/>
      <c r="F133" s="1540"/>
      <c r="G133" s="1533"/>
      <c r="H133" s="1537"/>
      <c r="I133" s="1533"/>
      <c r="J133" s="1542"/>
      <c r="K133" s="1554"/>
      <c r="L133" s="1766"/>
      <c r="M133" s="1766"/>
    </row>
    <row r="134" spans="1:13" ht="12.75">
      <c r="A134" s="10"/>
      <c r="B134" s="1532"/>
      <c r="C134" s="1533" t="s">
        <v>1254</v>
      </c>
      <c r="D134" s="1533" t="s">
        <v>1252</v>
      </c>
      <c r="E134" s="1533" t="s">
        <v>33</v>
      </c>
      <c r="F134" s="1540">
        <v>143000</v>
      </c>
      <c r="G134" s="1533" t="s">
        <v>67</v>
      </c>
      <c r="H134" s="1537">
        <v>138</v>
      </c>
      <c r="I134" s="1533" t="s">
        <v>34</v>
      </c>
      <c r="J134" s="1547">
        <v>19734</v>
      </c>
      <c r="K134" s="1537">
        <v>1114.7976096109699</v>
      </c>
      <c r="L134" s="1546">
        <v>2.2854620698174781E-2</v>
      </c>
      <c r="M134" s="1603">
        <v>2.539402299797198E-3</v>
      </c>
    </row>
    <row r="135" spans="1:13" ht="13.5" thickBot="1">
      <c r="A135" s="10"/>
      <c r="B135" s="1532"/>
      <c r="C135" s="1533"/>
      <c r="D135" s="1533"/>
      <c r="E135" s="1533"/>
      <c r="F135" s="1540"/>
      <c r="G135" s="1533"/>
      <c r="H135" s="1537"/>
      <c r="I135" s="1533"/>
      <c r="J135" s="1547"/>
      <c r="K135" s="1543"/>
      <c r="L135" s="1544"/>
      <c r="M135" s="1533"/>
    </row>
    <row r="136" spans="1:13" ht="12.75">
      <c r="A136" s="10"/>
      <c r="B136" s="1576"/>
      <c r="C136" s="1530"/>
      <c r="D136" s="1530"/>
      <c r="E136" s="1530"/>
      <c r="F136" s="1577"/>
      <c r="G136" s="1530"/>
      <c r="H136" s="1508"/>
      <c r="I136" s="1530"/>
      <c r="J136" s="1531"/>
      <c r="K136" s="1588"/>
      <c r="L136" s="1589"/>
      <c r="M136" s="1530"/>
    </row>
    <row r="137" spans="1:13" ht="12.75">
      <c r="A137" s="10"/>
      <c r="B137" s="1532"/>
      <c r="C137" s="1533"/>
      <c r="D137" s="1533"/>
      <c r="E137" s="1533"/>
      <c r="F137" s="1540"/>
      <c r="G137" s="1533"/>
      <c r="H137" s="1537"/>
      <c r="I137" s="1533"/>
      <c r="J137" s="1547"/>
      <c r="K137" s="1543"/>
      <c r="L137" s="1546"/>
      <c r="M137" s="1533"/>
    </row>
    <row r="138" spans="1:13" ht="12.75">
      <c r="A138" s="10"/>
      <c r="B138" s="1532" t="s">
        <v>48</v>
      </c>
      <c r="C138" s="2" t="s">
        <v>49</v>
      </c>
      <c r="D138" s="1533"/>
      <c r="E138" s="1533"/>
      <c r="F138" s="1537"/>
      <c r="G138" s="1533"/>
      <c r="H138" s="1537"/>
      <c r="I138" s="1533"/>
      <c r="J138" s="1533"/>
      <c r="K138" s="1537"/>
      <c r="L138" s="1546"/>
      <c r="M138" s="1533"/>
    </row>
    <row r="139" spans="1:13" ht="12.75">
      <c r="A139" s="10"/>
      <c r="B139" s="1532"/>
      <c r="C139" s="1533" t="s">
        <v>64</v>
      </c>
      <c r="D139" s="1533" t="s">
        <v>65</v>
      </c>
      <c r="E139" s="1533" t="s">
        <v>47</v>
      </c>
      <c r="F139" s="10">
        <v>0</v>
      </c>
      <c r="G139" s="1533" t="s">
        <v>67</v>
      </c>
      <c r="H139" s="1537">
        <v>138.774</v>
      </c>
      <c r="I139" s="1533" t="s">
        <v>82</v>
      </c>
      <c r="J139" s="1542">
        <v>0</v>
      </c>
      <c r="K139" s="10">
        <v>0</v>
      </c>
      <c r="L139" s="1608">
        <v>0</v>
      </c>
      <c r="M139" s="1999">
        <v>0</v>
      </c>
    </row>
    <row r="140" spans="1:13" ht="12.75">
      <c r="A140" s="10"/>
      <c r="B140" s="1532"/>
      <c r="C140" s="1533"/>
      <c r="D140" s="1533"/>
      <c r="E140" s="1564"/>
      <c r="F140" s="10"/>
      <c r="G140" s="1564"/>
      <c r="H140" s="1537"/>
      <c r="I140" s="1564"/>
      <c r="J140" s="1547"/>
      <c r="K140" s="1554"/>
      <c r="L140" s="1608"/>
      <c r="M140" s="1999"/>
    </row>
    <row r="141" spans="1:13" ht="12.75">
      <c r="A141" s="10"/>
      <c r="B141" s="1532"/>
      <c r="C141" s="1533" t="s">
        <v>50</v>
      </c>
      <c r="D141" s="1533" t="s">
        <v>51</v>
      </c>
      <c r="E141" s="1533" t="s">
        <v>47</v>
      </c>
      <c r="F141" s="1540">
        <v>33000</v>
      </c>
      <c r="G141" s="1533" t="s">
        <v>67</v>
      </c>
      <c r="H141" s="1537">
        <v>137</v>
      </c>
      <c r="I141" s="1564" t="s">
        <v>34</v>
      </c>
      <c r="J141" s="1542">
        <v>4521</v>
      </c>
      <c r="K141" s="1554">
        <v>364</v>
      </c>
      <c r="L141" s="1608">
        <v>7.4</v>
      </c>
      <c r="M141" s="1999">
        <v>0</v>
      </c>
    </row>
    <row r="142" spans="1:13" ht="12.75">
      <c r="A142" s="10"/>
      <c r="B142" s="1532"/>
      <c r="C142" s="1533"/>
      <c r="D142" s="1533"/>
      <c r="E142" s="1564"/>
      <c r="F142" s="1540"/>
      <c r="G142" s="1564"/>
      <c r="H142" s="1537"/>
      <c r="I142" s="1564"/>
      <c r="J142" s="1547"/>
      <c r="K142" s="1554"/>
      <c r="L142" s="1608"/>
      <c r="M142" s="1999"/>
    </row>
    <row r="143" spans="1:13" ht="12.75">
      <c r="A143" s="10"/>
      <c r="B143" s="1532"/>
      <c r="C143" s="1533" t="s">
        <v>52</v>
      </c>
      <c r="D143" s="1533" t="s">
        <v>53</v>
      </c>
      <c r="E143" s="1533" t="s">
        <v>47</v>
      </c>
      <c r="F143" s="1540">
        <v>27000</v>
      </c>
      <c r="G143" s="1533" t="s">
        <v>67</v>
      </c>
      <c r="H143" s="1537">
        <v>137</v>
      </c>
      <c r="I143" s="1564" t="s">
        <v>34</v>
      </c>
      <c r="J143" s="1542">
        <v>3699</v>
      </c>
      <c r="K143" s="1554">
        <v>297</v>
      </c>
      <c r="L143" s="1608">
        <v>4.8</v>
      </c>
      <c r="M143" s="1999">
        <v>0</v>
      </c>
    </row>
    <row r="144" spans="1:13" ht="13.5" thickBot="1">
      <c r="A144" s="10"/>
      <c r="B144" s="1532"/>
      <c r="C144" s="1533"/>
      <c r="D144" s="1533"/>
      <c r="E144" s="1533"/>
      <c r="F144" s="1540"/>
      <c r="G144" s="1533"/>
      <c r="H144" s="1537"/>
      <c r="I144" s="1564"/>
      <c r="J144" s="1542"/>
      <c r="K144" s="1533"/>
      <c r="L144" s="1533"/>
      <c r="M144" s="1533"/>
    </row>
    <row r="145" spans="1:13" ht="12.75">
      <c r="A145" s="10"/>
      <c r="B145" s="1576"/>
      <c r="C145" s="1530"/>
      <c r="D145" s="1530"/>
      <c r="E145" s="1530"/>
      <c r="F145" s="1577"/>
      <c r="G145" s="1530"/>
      <c r="H145" s="1508"/>
      <c r="I145" s="1590"/>
      <c r="J145" s="1585"/>
      <c r="K145" s="1530"/>
      <c r="L145" s="1530"/>
      <c r="M145" s="1530"/>
    </row>
    <row r="146" spans="1:13" ht="12.75">
      <c r="A146" s="10"/>
      <c r="B146" s="1532" t="s">
        <v>54</v>
      </c>
      <c r="C146" s="2" t="s">
        <v>55</v>
      </c>
      <c r="D146" s="1533"/>
      <c r="E146" s="1533"/>
      <c r="F146" s="1533"/>
      <c r="G146" s="1533"/>
      <c r="H146" s="1533"/>
      <c r="I146" s="1533"/>
      <c r="J146" s="1533"/>
      <c r="K146" s="1533"/>
      <c r="L146" s="1533"/>
      <c r="M146" s="1533"/>
    </row>
    <row r="147" spans="1:13" ht="12.75">
      <c r="A147" s="10"/>
      <c r="B147" s="1532"/>
      <c r="C147" s="1533" t="s">
        <v>286</v>
      </c>
      <c r="D147" s="1533" t="s">
        <v>56</v>
      </c>
      <c r="E147" s="1533" t="s">
        <v>47</v>
      </c>
      <c r="F147" s="1565">
        <v>33212</v>
      </c>
      <c r="G147" s="1533" t="s">
        <v>67</v>
      </c>
      <c r="H147" s="1565">
        <v>138890</v>
      </c>
      <c r="I147" s="1533" t="s">
        <v>57</v>
      </c>
      <c r="J147" s="1535">
        <v>4612.8146800000004</v>
      </c>
      <c r="K147" s="1566">
        <v>337.43290404852905</v>
      </c>
      <c r="L147" s="1591">
        <v>1E-3</v>
      </c>
      <c r="M147" s="1591">
        <v>0</v>
      </c>
    </row>
    <row r="148" spans="1:13" ht="12.75">
      <c r="A148" s="10"/>
      <c r="B148" s="1532"/>
      <c r="C148" s="1533"/>
      <c r="D148" s="1533"/>
      <c r="E148" s="1533"/>
      <c r="F148" s="1533"/>
      <c r="G148" s="1533"/>
      <c r="H148" s="1533"/>
      <c r="I148" s="1533"/>
      <c r="J148" s="1533"/>
      <c r="K148" s="1533"/>
      <c r="L148" s="1533"/>
      <c r="M148" s="1591"/>
    </row>
    <row r="149" spans="1:13" ht="12.75">
      <c r="A149" s="10"/>
      <c r="B149" s="1532"/>
      <c r="C149" s="1533" t="s">
        <v>287</v>
      </c>
      <c r="D149" s="1533" t="s">
        <v>755</v>
      </c>
      <c r="E149" s="1533" t="s">
        <v>47</v>
      </c>
      <c r="F149" s="1565">
        <v>12118</v>
      </c>
      <c r="G149" s="1533" t="s">
        <v>67</v>
      </c>
      <c r="H149" s="1565">
        <v>138890</v>
      </c>
      <c r="I149" s="1533" t="s">
        <v>57</v>
      </c>
      <c r="J149" s="1543">
        <v>1683.0690199999999</v>
      </c>
      <c r="K149" s="1568">
        <v>137.21</v>
      </c>
      <c r="L149" s="1568">
        <v>6.0000000000000001E-3</v>
      </c>
      <c r="M149" s="1608">
        <v>1E-3</v>
      </c>
    </row>
    <row r="150" spans="1:13" ht="12.75">
      <c r="A150" s="10"/>
      <c r="B150" s="1532"/>
      <c r="C150" s="1533"/>
      <c r="D150" s="1533"/>
      <c r="E150" s="1533"/>
      <c r="F150" s="1533"/>
      <c r="G150" s="1533"/>
      <c r="H150" s="1533"/>
      <c r="I150" s="1533"/>
      <c r="J150" s="1569"/>
      <c r="K150" s="1533"/>
      <c r="L150" s="1568"/>
      <c r="M150" s="1591"/>
    </row>
    <row r="151" spans="1:13" ht="12.75">
      <c r="A151" s="10"/>
      <c r="B151" s="1532"/>
      <c r="C151" s="1533" t="s">
        <v>288</v>
      </c>
      <c r="D151" s="1533" t="s">
        <v>756</v>
      </c>
      <c r="E151" s="1533" t="s">
        <v>47</v>
      </c>
      <c r="F151" s="1565">
        <v>19739</v>
      </c>
      <c r="G151" s="1533" t="s">
        <v>67</v>
      </c>
      <c r="H151" s="1565">
        <v>138890</v>
      </c>
      <c r="I151" s="1533" t="s">
        <v>57</v>
      </c>
      <c r="J151" s="1543">
        <v>2741.5497099999998</v>
      </c>
      <c r="K151" s="1554">
        <v>223.51</v>
      </c>
      <c r="L151" s="1568">
        <v>8.9999999999999993E-3</v>
      </c>
      <c r="M151" s="1608">
        <v>2E-3</v>
      </c>
    </row>
    <row r="152" spans="1:13" ht="13.5" thickBot="1">
      <c r="A152" s="10"/>
      <c r="B152" s="1532"/>
      <c r="C152" s="1533"/>
      <c r="D152" s="1533"/>
      <c r="E152" s="1533"/>
      <c r="F152" s="1534"/>
      <c r="G152" s="1533"/>
      <c r="H152" s="1535"/>
      <c r="I152" s="1533"/>
      <c r="J152" s="1535"/>
      <c r="K152" s="1533"/>
      <c r="L152" s="1533"/>
      <c r="M152" s="1533"/>
    </row>
    <row r="153" spans="1:13" ht="12.75">
      <c r="A153" s="10"/>
      <c r="B153" s="1576"/>
      <c r="C153" s="1530"/>
      <c r="D153" s="1530"/>
      <c r="E153" s="1530"/>
      <c r="F153" s="1530"/>
      <c r="G153" s="1530"/>
      <c r="H153" s="1530"/>
      <c r="I153" s="1530"/>
      <c r="J153" s="1530"/>
      <c r="K153" s="1530"/>
      <c r="L153" s="1530"/>
      <c r="M153" s="1530"/>
    </row>
    <row r="154" spans="1:13" ht="12.75">
      <c r="A154" s="10"/>
      <c r="B154" s="1532"/>
      <c r="C154" s="1533"/>
      <c r="D154" s="1533"/>
      <c r="E154" s="1533"/>
      <c r="F154" s="1533"/>
      <c r="G154" s="1533"/>
      <c r="H154" s="1533"/>
      <c r="I154" s="1533"/>
      <c r="J154" s="1533"/>
      <c r="K154" s="1533"/>
      <c r="L154" s="1533"/>
      <c r="M154" s="1533"/>
    </row>
    <row r="155" spans="1:13" ht="12.75">
      <c r="A155" s="10"/>
      <c r="B155" s="1532" t="s">
        <v>0</v>
      </c>
      <c r="C155" s="169" t="s">
        <v>1</v>
      </c>
      <c r="D155" s="1533"/>
      <c r="E155" s="1533"/>
      <c r="F155" s="1533"/>
      <c r="G155" s="1533"/>
      <c r="H155" s="1533"/>
      <c r="I155" s="1533"/>
      <c r="J155" s="1533"/>
      <c r="K155" s="1533"/>
      <c r="L155" s="1533"/>
      <c r="M155" s="1533"/>
    </row>
    <row r="156" spans="1:13" ht="12.75">
      <c r="A156" s="10"/>
      <c r="B156" s="1532"/>
      <c r="C156" s="1533" t="s">
        <v>2</v>
      </c>
      <c r="D156" s="1533" t="s">
        <v>3</v>
      </c>
      <c r="E156" s="1533" t="s">
        <v>47</v>
      </c>
      <c r="F156" s="1565">
        <v>85260</v>
      </c>
      <c r="G156" s="1533" t="s">
        <v>67</v>
      </c>
      <c r="H156" s="1535">
        <v>139181</v>
      </c>
      <c r="I156" s="1533" t="s">
        <v>57</v>
      </c>
      <c r="J156" s="1540">
        <v>11866.57206</v>
      </c>
      <c r="K156" s="1537">
        <v>1126.2977683821498</v>
      </c>
      <c r="L156" s="1603">
        <v>3.9241971541186707E-2</v>
      </c>
      <c r="M156" s="1603">
        <v>7.84839430823734E-3</v>
      </c>
    </row>
    <row r="157" spans="1:13" ht="12.75">
      <c r="A157" s="10"/>
      <c r="B157" s="1532"/>
      <c r="C157" s="1533"/>
      <c r="D157" s="1533"/>
      <c r="E157" s="1533"/>
      <c r="F157" s="1533"/>
      <c r="G157" s="1533"/>
      <c r="H157" s="1533"/>
      <c r="I157" s="1533"/>
      <c r="J157" s="1533"/>
      <c r="K157" s="1533"/>
      <c r="L157" s="1533"/>
      <c r="M157" s="1533"/>
    </row>
    <row r="158" spans="1:13" ht="12.75">
      <c r="A158" s="10"/>
      <c r="B158" s="1532"/>
      <c r="C158" s="1533" t="s">
        <v>4</v>
      </c>
      <c r="D158" s="1533" t="s">
        <v>5</v>
      </c>
      <c r="E158" s="1533" t="s">
        <v>47</v>
      </c>
      <c r="F158" s="1565">
        <v>133278</v>
      </c>
      <c r="G158" s="1533" t="s">
        <v>67</v>
      </c>
      <c r="H158" s="1535">
        <v>139181</v>
      </c>
      <c r="I158" s="1533" t="s">
        <v>57</v>
      </c>
      <c r="J158" s="1540">
        <v>18549.765318000002</v>
      </c>
      <c r="K158" s="1537">
        <v>1760.6294595920267</v>
      </c>
      <c r="L158" s="1603">
        <v>6.1342851079829723E-2</v>
      </c>
      <c r="M158" s="1603">
        <v>1.2268570215965943E-2</v>
      </c>
    </row>
    <row r="159" spans="1:13" ht="12.75">
      <c r="A159" s="10"/>
      <c r="B159" s="1532"/>
      <c r="C159" s="1533"/>
      <c r="D159" s="1533"/>
      <c r="E159" s="1533"/>
      <c r="F159" s="1533"/>
      <c r="G159" s="1533"/>
      <c r="H159" s="1533"/>
      <c r="I159" s="1533"/>
      <c r="J159" s="1533"/>
      <c r="K159" s="1533"/>
      <c r="L159" s="1533"/>
      <c r="M159" s="1533"/>
    </row>
    <row r="160" spans="1:13" ht="12.75">
      <c r="A160" s="10"/>
      <c r="B160" s="1532"/>
      <c r="C160" s="1533" t="s">
        <v>6</v>
      </c>
      <c r="D160" s="1533" t="s">
        <v>7</v>
      </c>
      <c r="E160" s="1533" t="s">
        <v>47</v>
      </c>
      <c r="F160" s="1565">
        <v>106680</v>
      </c>
      <c r="G160" s="1533" t="s">
        <v>67</v>
      </c>
      <c r="H160" s="1535">
        <v>139181</v>
      </c>
      <c r="I160" s="1533" t="s">
        <v>57</v>
      </c>
      <c r="J160" s="1540">
        <v>14847.82908</v>
      </c>
      <c r="K160" s="1537">
        <v>1409.2577990832488</v>
      </c>
      <c r="L160" s="1603">
        <v>4.9100791977642479E-2</v>
      </c>
      <c r="M160" s="1603">
        <v>9.8201583955284943E-3</v>
      </c>
    </row>
    <row r="161" spans="1:13" ht="12.75">
      <c r="A161" s="10"/>
      <c r="B161" s="1532"/>
      <c r="C161" s="1533"/>
      <c r="D161" s="1533"/>
      <c r="E161" s="1533"/>
      <c r="F161" s="1533"/>
      <c r="G161" s="1533"/>
      <c r="H161" s="1533"/>
      <c r="I161" s="1533"/>
      <c r="J161" s="1533"/>
      <c r="K161" s="1533"/>
      <c r="L161" s="1533"/>
      <c r="M161" s="1533"/>
    </row>
    <row r="162" spans="1:13" ht="12.75">
      <c r="A162" s="10"/>
      <c r="B162" s="1532"/>
      <c r="C162" s="1533" t="s">
        <v>289</v>
      </c>
      <c r="D162" s="1533" t="s">
        <v>756</v>
      </c>
      <c r="E162" s="1533" t="s">
        <v>47</v>
      </c>
      <c r="F162" s="1565">
        <v>28560</v>
      </c>
      <c r="G162" s="1533" t="s">
        <v>67</v>
      </c>
      <c r="H162" s="1535">
        <v>139181</v>
      </c>
      <c r="I162" s="1533" t="s">
        <v>57</v>
      </c>
      <c r="J162" s="1543">
        <v>3975.00936</v>
      </c>
      <c r="K162" s="1568">
        <v>324</v>
      </c>
      <c r="L162" s="1608">
        <v>1.0714466414612151E-3</v>
      </c>
      <c r="M162" s="1591">
        <v>2.1428932829224299E-4</v>
      </c>
    </row>
    <row r="163" spans="1:13" ht="13.5" thickBot="1">
      <c r="A163" s="10"/>
      <c r="B163" s="1532"/>
      <c r="C163" s="1533"/>
      <c r="D163" s="1533"/>
      <c r="E163" s="1533"/>
      <c r="F163" s="1533"/>
      <c r="G163" s="1533"/>
      <c r="H163" s="1533"/>
      <c r="I163" s="1533"/>
      <c r="J163" s="1533"/>
      <c r="K163" s="1533"/>
      <c r="L163" s="1533"/>
      <c r="M163" s="1533"/>
    </row>
    <row r="164" spans="1:13" ht="12.75">
      <c r="A164" s="10"/>
      <c r="B164" s="1576"/>
      <c r="C164" s="1530"/>
      <c r="D164" s="1530"/>
      <c r="E164" s="1530"/>
      <c r="F164" s="1530"/>
      <c r="G164" s="1530"/>
      <c r="H164" s="1530"/>
      <c r="I164" s="1530"/>
      <c r="J164" s="1530"/>
      <c r="K164" s="1530"/>
      <c r="L164" s="1530"/>
      <c r="M164" s="1530"/>
    </row>
    <row r="165" spans="1:13" ht="12.75">
      <c r="A165" s="10"/>
      <c r="B165" s="1532"/>
      <c r="C165" s="1533"/>
      <c r="D165" s="1533"/>
      <c r="E165" s="1533"/>
      <c r="F165" s="1533"/>
      <c r="G165" s="1533"/>
      <c r="H165" s="1533"/>
      <c r="I165" s="1533"/>
      <c r="J165" s="1533"/>
      <c r="K165" s="1533"/>
      <c r="L165" s="1533"/>
      <c r="M165" s="1533"/>
    </row>
    <row r="166" spans="1:13" ht="12.75">
      <c r="A166" s="10"/>
      <c r="B166" s="1532" t="s">
        <v>58</v>
      </c>
      <c r="C166" s="169" t="s">
        <v>59</v>
      </c>
      <c r="D166" s="1533"/>
      <c r="E166" s="1533"/>
      <c r="F166" s="1533"/>
      <c r="G166" s="1533"/>
      <c r="H166" s="1533"/>
      <c r="I166" s="1533"/>
      <c r="J166" s="1533"/>
      <c r="K166" s="1533"/>
      <c r="L166" s="1533"/>
      <c r="M166" s="1533"/>
    </row>
    <row r="167" spans="1:13" ht="12.75">
      <c r="A167" s="10"/>
      <c r="B167" s="1532"/>
      <c r="C167" s="1533" t="s">
        <v>60</v>
      </c>
      <c r="D167" s="1533" t="s">
        <v>1255</v>
      </c>
      <c r="E167" s="1533" t="s">
        <v>47</v>
      </c>
      <c r="F167" s="1565">
        <v>192360</v>
      </c>
      <c r="G167" s="1533" t="s">
        <v>67</v>
      </c>
      <c r="H167" s="1535">
        <v>139181</v>
      </c>
      <c r="I167" s="1533" t="s">
        <v>57</v>
      </c>
      <c r="J167" s="1540">
        <v>26772.85716</v>
      </c>
      <c r="K167" s="1537">
        <v>1313.6498090044383</v>
      </c>
      <c r="L167" s="1603">
        <v>8.8536073723465572E-2</v>
      </c>
      <c r="M167" s="2000">
        <v>1.7707214744693112E-2</v>
      </c>
    </row>
    <row r="168" spans="1:13" ht="12.75">
      <c r="A168" s="10"/>
      <c r="B168" s="1532"/>
      <c r="C168" s="1533"/>
      <c r="D168" s="1533"/>
      <c r="E168" s="1533"/>
      <c r="F168" s="1533"/>
      <c r="G168" s="1533"/>
      <c r="H168" s="1533"/>
      <c r="I168" s="1533"/>
      <c r="J168" s="1533"/>
      <c r="K168" s="1533"/>
      <c r="L168" s="1533"/>
      <c r="M168" s="1533"/>
    </row>
    <row r="169" spans="1:13" ht="12.75">
      <c r="A169" s="10"/>
      <c r="B169" s="1532"/>
      <c r="C169" s="1533" t="s">
        <v>60</v>
      </c>
      <c r="D169" s="1533" t="s">
        <v>1256</v>
      </c>
      <c r="E169" s="1533" t="s">
        <v>47</v>
      </c>
      <c r="F169" s="1565">
        <v>118440</v>
      </c>
      <c r="G169" s="1533" t="s">
        <v>67</v>
      </c>
      <c r="H169" s="1535">
        <v>139181</v>
      </c>
      <c r="I169" s="1533" t="s">
        <v>57</v>
      </c>
      <c r="J169" s="1540">
        <v>16484.59764</v>
      </c>
      <c r="K169" s="1537">
        <v>787.71966773154031</v>
      </c>
      <c r="L169" s="1603">
        <v>5.451347770746133E-2</v>
      </c>
      <c r="M169" s="2000">
        <v>1.0902695541492265E-2</v>
      </c>
    </row>
    <row r="170" spans="1:13" ht="13.5" thickBot="1">
      <c r="A170" s="10"/>
      <c r="B170" s="1532"/>
      <c r="C170" s="1533"/>
      <c r="D170" s="1533"/>
      <c r="E170" s="1533"/>
      <c r="F170" s="1533"/>
      <c r="G170" s="1533"/>
      <c r="H170" s="1533"/>
      <c r="I170" s="1533"/>
      <c r="J170" s="1533"/>
      <c r="K170" s="1533"/>
      <c r="L170" s="1533"/>
      <c r="M170" s="1533"/>
    </row>
    <row r="171" spans="1:13" ht="12.75">
      <c r="A171" s="10"/>
      <c r="B171" s="1576"/>
      <c r="C171" s="1530"/>
      <c r="D171" s="1530"/>
      <c r="E171" s="1530"/>
      <c r="F171" s="1530"/>
      <c r="G171" s="1530"/>
      <c r="H171" s="1530"/>
      <c r="I171" s="1530"/>
      <c r="J171" s="1530"/>
      <c r="K171" s="1530"/>
      <c r="L171" s="1530"/>
      <c r="M171" s="1530"/>
    </row>
    <row r="172" spans="1:13" ht="12.75">
      <c r="A172" s="10"/>
      <c r="B172" s="1532" t="s">
        <v>8</v>
      </c>
      <c r="C172" s="169" t="s">
        <v>9</v>
      </c>
      <c r="D172" s="1533"/>
      <c r="E172" s="1533"/>
      <c r="F172" s="1533"/>
      <c r="G172" s="1533"/>
      <c r="H172" s="1533"/>
      <c r="I172" s="1533"/>
      <c r="J172" s="1533"/>
      <c r="K172" s="1533"/>
      <c r="L172" s="1533"/>
      <c r="M172" s="1533"/>
    </row>
    <row r="173" spans="1:13" ht="12.75">
      <c r="A173" s="10"/>
      <c r="B173" s="1532"/>
      <c r="C173" s="1533" t="s">
        <v>10</v>
      </c>
      <c r="D173" s="1533" t="s">
        <v>1138</v>
      </c>
      <c r="E173" s="1533" t="s">
        <v>47</v>
      </c>
      <c r="F173" s="1565">
        <v>878154</v>
      </c>
      <c r="G173" s="1533" t="s">
        <v>67</v>
      </c>
      <c r="H173" s="1535">
        <v>137690</v>
      </c>
      <c r="I173" s="1533" t="s">
        <v>57</v>
      </c>
      <c r="J173" s="1540">
        <v>120913.02426000001</v>
      </c>
      <c r="K173" s="1537">
        <v>11473.553400485798</v>
      </c>
      <c r="L173" s="1603">
        <v>1.3461733400961247</v>
      </c>
      <c r="M173" s="1603">
        <v>0.19604466117904729</v>
      </c>
    </row>
    <row r="174" spans="1:13" ht="12.75">
      <c r="A174" s="10"/>
      <c r="B174" s="1532"/>
      <c r="C174" s="1533"/>
      <c r="D174" s="1533"/>
      <c r="E174" s="1533"/>
      <c r="F174" s="1533"/>
      <c r="G174" s="1533"/>
      <c r="H174" s="1533"/>
      <c r="I174" s="1533"/>
      <c r="J174" s="1547"/>
      <c r="K174" s="1535"/>
      <c r="L174" s="1533"/>
      <c r="M174" s="1533"/>
    </row>
    <row r="175" spans="1:13" ht="12.75">
      <c r="A175" s="10"/>
      <c r="B175" s="1532"/>
      <c r="C175" s="1533" t="s">
        <v>11</v>
      </c>
      <c r="D175" s="1533" t="s">
        <v>1140</v>
      </c>
      <c r="E175" s="1533" t="s">
        <v>47</v>
      </c>
      <c r="F175" s="1565">
        <v>174225</v>
      </c>
      <c r="G175" s="1533" t="s">
        <v>67</v>
      </c>
      <c r="H175" s="1535">
        <v>137690</v>
      </c>
      <c r="I175" s="1533" t="s">
        <v>57</v>
      </c>
      <c r="J175" s="1540">
        <v>23989.040249999998</v>
      </c>
      <c r="K175" s="1537">
        <v>1167.086391840958</v>
      </c>
      <c r="L175" s="1603">
        <v>0.13688565407129255</v>
      </c>
      <c r="M175" s="1603">
        <v>1.9935187249395182E-2</v>
      </c>
    </row>
    <row r="176" spans="1:13" ht="12.75">
      <c r="A176" s="10"/>
      <c r="B176" s="1532"/>
      <c r="C176" s="1533"/>
      <c r="D176" s="1533"/>
      <c r="E176" s="1533"/>
      <c r="F176" s="1533"/>
      <c r="G176" s="1533"/>
      <c r="H176" s="1533"/>
      <c r="I176" s="1533"/>
      <c r="J176" s="1543"/>
      <c r="K176" s="1567"/>
      <c r="L176" s="1608"/>
      <c r="M176" s="1591"/>
    </row>
    <row r="177" spans="1:13" ht="12.75">
      <c r="A177" s="10"/>
      <c r="B177" s="1532"/>
      <c r="C177" s="1533" t="s">
        <v>290</v>
      </c>
      <c r="D177" s="1533" t="s">
        <v>291</v>
      </c>
      <c r="E177" s="1533" t="s">
        <v>47</v>
      </c>
      <c r="F177" s="1565">
        <v>686881</v>
      </c>
      <c r="G177" s="1533" t="s">
        <v>67</v>
      </c>
      <c r="H177" s="1535">
        <v>137690</v>
      </c>
      <c r="I177" s="1533" t="s">
        <v>57</v>
      </c>
      <c r="J177" s="1554">
        <v>94576.644889999996</v>
      </c>
      <c r="K177" s="1554">
        <v>7710</v>
      </c>
      <c r="L177" s="1568">
        <v>0.31</v>
      </c>
      <c r="M177" s="1568">
        <v>0.06</v>
      </c>
    </row>
    <row r="178" spans="1:13" ht="12.75">
      <c r="A178" s="10"/>
      <c r="B178" s="1532"/>
      <c r="C178" s="1533" t="s">
        <v>292</v>
      </c>
      <c r="D178" s="1533" t="s">
        <v>293</v>
      </c>
      <c r="E178" s="1533" t="s">
        <v>47</v>
      </c>
      <c r="F178" s="1565">
        <v>420949</v>
      </c>
      <c r="G178" s="1533" t="s">
        <v>67</v>
      </c>
      <c r="H178" s="1535">
        <v>137690</v>
      </c>
      <c r="I178" s="1533" t="s">
        <v>57</v>
      </c>
      <c r="J178" s="1554">
        <v>57960.467810000002</v>
      </c>
      <c r="K178" s="1554">
        <v>4725</v>
      </c>
      <c r="L178" s="1568">
        <v>0.19</v>
      </c>
      <c r="M178" s="1568">
        <v>0.04</v>
      </c>
    </row>
    <row r="179" spans="1:13" ht="12.75">
      <c r="A179" s="10"/>
      <c r="B179" s="1532"/>
      <c r="C179" s="1533" t="s">
        <v>294</v>
      </c>
      <c r="D179" s="1533" t="s">
        <v>760</v>
      </c>
      <c r="E179" s="1533" t="s">
        <v>47</v>
      </c>
      <c r="F179" s="1565">
        <v>24736</v>
      </c>
      <c r="G179" s="1533" t="s">
        <v>67</v>
      </c>
      <c r="H179" s="1535">
        <v>137690</v>
      </c>
      <c r="I179" s="1533" t="s">
        <v>57</v>
      </c>
      <c r="J179" s="1540">
        <v>3405.89984</v>
      </c>
      <c r="K179" s="1554">
        <v>278</v>
      </c>
      <c r="L179" s="1568">
        <v>0.01</v>
      </c>
      <c r="M179" s="1568">
        <v>0</v>
      </c>
    </row>
    <row r="180" spans="1:13" ht="12.75">
      <c r="A180" s="10"/>
      <c r="B180" s="1532"/>
      <c r="C180" s="1533" t="s">
        <v>295</v>
      </c>
      <c r="D180" s="1533" t="s">
        <v>24</v>
      </c>
      <c r="E180" s="1533" t="s">
        <v>47</v>
      </c>
      <c r="F180" s="1565">
        <v>31094</v>
      </c>
      <c r="G180" s="1533" t="s">
        <v>67</v>
      </c>
      <c r="H180" s="1535">
        <v>137690</v>
      </c>
      <c r="I180" s="1533" t="s">
        <v>57</v>
      </c>
      <c r="J180" s="1540">
        <v>4281.3328600000004</v>
      </c>
      <c r="K180" s="1554">
        <v>349</v>
      </c>
      <c r="L180" s="1568">
        <v>0.01</v>
      </c>
      <c r="M180" s="1568">
        <v>0</v>
      </c>
    </row>
    <row r="181" spans="1:13" ht="12.75">
      <c r="A181" s="10"/>
      <c r="B181" s="1532"/>
      <c r="C181" s="1533" t="s">
        <v>61</v>
      </c>
      <c r="D181" s="1533" t="s">
        <v>762</v>
      </c>
      <c r="E181" s="1533" t="s">
        <v>47</v>
      </c>
      <c r="F181" s="1565">
        <v>134574</v>
      </c>
      <c r="G181" s="1533" t="s">
        <v>67</v>
      </c>
      <c r="H181" s="1535">
        <v>137690</v>
      </c>
      <c r="I181" s="1533" t="s">
        <v>57</v>
      </c>
      <c r="J181" s="1540">
        <v>18529.494060000001</v>
      </c>
      <c r="K181" s="1554">
        <v>1500</v>
      </c>
      <c r="L181" s="1568">
        <v>0.06</v>
      </c>
      <c r="M181" s="1568">
        <v>0.01</v>
      </c>
    </row>
    <row r="182" spans="1:13" ht="12.75">
      <c r="A182" s="10"/>
      <c r="B182" s="1532"/>
      <c r="C182" s="1533" t="s">
        <v>296</v>
      </c>
      <c r="D182" s="1533" t="s">
        <v>763</v>
      </c>
      <c r="E182" s="1533" t="s">
        <v>47</v>
      </c>
      <c r="F182" s="1565">
        <v>118314</v>
      </c>
      <c r="G182" s="1533" t="s">
        <v>67</v>
      </c>
      <c r="H182" s="1535">
        <v>137690</v>
      </c>
      <c r="I182" s="1533" t="s">
        <v>57</v>
      </c>
      <c r="J182" s="1540">
        <v>16290.65466</v>
      </c>
      <c r="K182" s="1554">
        <v>1321</v>
      </c>
      <c r="L182" s="1568">
        <v>0.05</v>
      </c>
      <c r="M182" s="1568">
        <v>0.01</v>
      </c>
    </row>
    <row r="183" spans="1:13" ht="12.75">
      <c r="A183" s="10"/>
      <c r="B183" s="1532"/>
      <c r="C183" s="1533" t="s">
        <v>62</v>
      </c>
      <c r="D183" s="1533" t="s">
        <v>764</v>
      </c>
      <c r="E183" s="1533" t="s">
        <v>47</v>
      </c>
      <c r="F183" s="1565">
        <v>122502</v>
      </c>
      <c r="G183" s="1533" t="s">
        <v>67</v>
      </c>
      <c r="H183" s="1535">
        <v>137690</v>
      </c>
      <c r="I183" s="1533" t="s">
        <v>57</v>
      </c>
      <c r="J183" s="1540">
        <v>16867.300380000001</v>
      </c>
      <c r="K183" s="1554">
        <v>1368</v>
      </c>
      <c r="L183" s="1568">
        <v>0.06</v>
      </c>
      <c r="M183" s="1568">
        <v>0.01</v>
      </c>
    </row>
    <row r="184" spans="1:13" ht="12.75">
      <c r="A184" s="10"/>
      <c r="B184" s="1532"/>
      <c r="C184" s="1533" t="s">
        <v>63</v>
      </c>
      <c r="D184" s="1533" t="s">
        <v>765</v>
      </c>
      <c r="E184" s="1533" t="s">
        <v>47</v>
      </c>
      <c r="F184" s="1565">
        <v>118370</v>
      </c>
      <c r="G184" s="1533" t="s">
        <v>67</v>
      </c>
      <c r="H184" s="1535">
        <v>137690</v>
      </c>
      <c r="I184" s="1533" t="s">
        <v>57</v>
      </c>
      <c r="J184" s="1540">
        <v>16298.365299999999</v>
      </c>
      <c r="K184" s="1554">
        <v>1321.1</v>
      </c>
      <c r="L184" s="1568">
        <v>0.05</v>
      </c>
      <c r="M184" s="1568">
        <v>0.01</v>
      </c>
    </row>
    <row r="185" spans="1:13" ht="12.75">
      <c r="A185" s="10"/>
      <c r="B185" s="1532"/>
      <c r="C185" s="1533"/>
      <c r="D185" s="1533"/>
      <c r="E185" s="1533"/>
      <c r="F185" s="1565"/>
      <c r="G185" s="1533"/>
      <c r="H185" s="1535"/>
      <c r="I185" s="1533"/>
      <c r="J185" s="1540"/>
      <c r="K185" s="1554"/>
      <c r="L185" s="1568"/>
      <c r="M185" s="1568"/>
    </row>
    <row r="186" spans="1:13" ht="13.5" thickBot="1">
      <c r="A186" s="10"/>
      <c r="B186" s="1532"/>
      <c r="C186" s="1533"/>
      <c r="D186" s="1533"/>
      <c r="E186" s="1533"/>
      <c r="F186" s="1533"/>
      <c r="G186" s="1533"/>
      <c r="H186" s="1533"/>
      <c r="I186" s="1533"/>
      <c r="J186" s="1533"/>
      <c r="K186" s="1533"/>
      <c r="L186" s="1533"/>
      <c r="M186" s="1512"/>
    </row>
    <row r="187" spans="1:13" ht="12.75">
      <c r="A187" s="10"/>
      <c r="B187" s="1576"/>
      <c r="C187" s="1530"/>
      <c r="D187" s="1530"/>
      <c r="E187" s="1530"/>
      <c r="F187" s="1530"/>
      <c r="G187" s="1530"/>
      <c r="H187" s="1530"/>
      <c r="I187" s="1530"/>
      <c r="J187" s="1530"/>
      <c r="K187" s="1530"/>
      <c r="L187" s="1530"/>
      <c r="M187" s="1530"/>
    </row>
    <row r="188" spans="1:13" ht="12.75">
      <c r="A188" s="10"/>
      <c r="B188" s="1532" t="s">
        <v>87</v>
      </c>
      <c r="C188" s="169" t="s">
        <v>88</v>
      </c>
      <c r="D188" s="1533"/>
      <c r="E188" s="1533"/>
      <c r="F188" s="1533"/>
      <c r="G188" s="1533"/>
      <c r="H188" s="1533"/>
      <c r="I188" s="1533"/>
      <c r="J188" s="1533"/>
      <c r="K188" s="1533"/>
      <c r="L188" s="1533"/>
      <c r="M188" s="1533"/>
    </row>
    <row r="189" spans="1:13" ht="12.75">
      <c r="A189" s="10"/>
      <c r="B189" s="1532"/>
      <c r="C189" s="1533" t="s">
        <v>89</v>
      </c>
      <c r="D189" s="1533" t="s">
        <v>1138</v>
      </c>
      <c r="E189" s="1533" t="s">
        <v>297</v>
      </c>
      <c r="F189" s="1540">
        <v>33264.28571428571</v>
      </c>
      <c r="G189" s="1533" t="s">
        <v>67</v>
      </c>
      <c r="H189" s="1535">
        <v>140000</v>
      </c>
      <c r="I189" s="1533" t="s">
        <v>140</v>
      </c>
      <c r="J189" s="1540">
        <v>4657</v>
      </c>
      <c r="K189" s="1537">
        <v>276.93821856443219</v>
      </c>
      <c r="L189" s="1603">
        <v>2.0061039974473917E-2</v>
      </c>
      <c r="M189" s="1603">
        <v>6.9237217611016174E-3</v>
      </c>
    </row>
    <row r="190" spans="1:13" ht="12.75">
      <c r="A190" s="10"/>
      <c r="B190" s="1532"/>
      <c r="C190" s="1533"/>
      <c r="D190" s="1533"/>
      <c r="E190" s="1533"/>
      <c r="F190" s="1533"/>
      <c r="G190" s="1533"/>
      <c r="H190" s="1533"/>
      <c r="I190" s="1533"/>
      <c r="J190" s="1547"/>
      <c r="K190" s="1533"/>
      <c r="L190" s="1533"/>
      <c r="M190" s="1533"/>
    </row>
    <row r="191" spans="1:13" ht="12.75">
      <c r="A191" s="10"/>
      <c r="B191" s="1532"/>
      <c r="C191" s="1533" t="s">
        <v>90</v>
      </c>
      <c r="D191" s="1533" t="s">
        <v>1140</v>
      </c>
      <c r="E191" s="1533" t="s">
        <v>297</v>
      </c>
      <c r="F191" s="1540">
        <v>56285.714285714283</v>
      </c>
      <c r="G191" s="1533" t="s">
        <v>67</v>
      </c>
      <c r="H191" s="1535">
        <v>140000</v>
      </c>
      <c r="I191" s="1533" t="s">
        <v>140</v>
      </c>
      <c r="J191" s="1540">
        <v>7880</v>
      </c>
      <c r="K191" s="1537">
        <v>468.73735035214122</v>
      </c>
      <c r="L191" s="1603">
        <v>3.377438931334889E-2</v>
      </c>
      <c r="M191" s="1603">
        <v>1.1769862942530672E-2</v>
      </c>
    </row>
    <row r="192" spans="1:13" ht="13.5" thickBot="1">
      <c r="A192" s="10"/>
      <c r="B192" s="1532"/>
      <c r="C192" s="1533"/>
      <c r="D192" s="1533"/>
      <c r="E192" s="1533"/>
      <c r="F192" s="1533"/>
      <c r="G192" s="1533"/>
      <c r="H192" s="1535"/>
      <c r="I192" s="1533"/>
      <c r="J192" s="1533"/>
      <c r="K192" s="1537"/>
      <c r="L192" s="1533"/>
      <c r="M192" s="1533"/>
    </row>
    <row r="193" spans="1:13" ht="12.75">
      <c r="A193" s="10"/>
      <c r="B193" s="1576"/>
      <c r="C193" s="1530"/>
      <c r="D193" s="1530"/>
      <c r="E193" s="1530"/>
      <c r="F193" s="1530"/>
      <c r="G193" s="1530"/>
      <c r="H193" s="1530"/>
      <c r="I193" s="1530"/>
      <c r="J193" s="1530"/>
      <c r="K193" s="1530"/>
      <c r="L193" s="1530"/>
      <c r="M193" s="1530"/>
    </row>
    <row r="194" spans="1:13" ht="12.75">
      <c r="A194" s="10"/>
      <c r="B194" s="1532" t="s">
        <v>298</v>
      </c>
      <c r="C194" s="2" t="s">
        <v>122</v>
      </c>
      <c r="D194" s="1533"/>
      <c r="E194" s="1533"/>
      <c r="F194" s="1533"/>
      <c r="G194" s="1533"/>
      <c r="H194" s="1533"/>
      <c r="I194" s="1533"/>
      <c r="J194" s="1533"/>
      <c r="K194" s="1533"/>
      <c r="L194" s="1533"/>
      <c r="M194" s="1533"/>
    </row>
    <row r="195" spans="1:13" ht="12.75">
      <c r="A195" s="10"/>
      <c r="B195" s="1532"/>
      <c r="C195" s="1533" t="s">
        <v>123</v>
      </c>
      <c r="D195" s="1533" t="s">
        <v>40</v>
      </c>
      <c r="E195" s="1533" t="s">
        <v>47</v>
      </c>
      <c r="F195" s="1540">
        <v>15000</v>
      </c>
      <c r="G195" s="1533" t="s">
        <v>67</v>
      </c>
      <c r="H195" s="1533">
        <v>139</v>
      </c>
      <c r="I195" s="1533" t="s">
        <v>769</v>
      </c>
      <c r="J195" s="1533">
        <v>2085</v>
      </c>
      <c r="K195" s="1540">
        <v>166</v>
      </c>
      <c r="L195" s="1572">
        <v>0.01</v>
      </c>
      <c r="M195" s="2001">
        <v>0</v>
      </c>
    </row>
    <row r="196" spans="1:13" ht="12.75">
      <c r="A196" s="10"/>
      <c r="B196" s="1532"/>
      <c r="C196" s="1533" t="s">
        <v>124</v>
      </c>
      <c r="D196" s="1533" t="s">
        <v>42</v>
      </c>
      <c r="E196" s="1533" t="s">
        <v>47</v>
      </c>
      <c r="F196" s="1540">
        <v>48000</v>
      </c>
      <c r="G196" s="1533" t="s">
        <v>67</v>
      </c>
      <c r="H196" s="1533">
        <v>139</v>
      </c>
      <c r="I196" s="1533" t="s">
        <v>769</v>
      </c>
      <c r="J196" s="1533">
        <v>6672</v>
      </c>
      <c r="K196" s="1540">
        <v>540</v>
      </c>
      <c r="L196" s="1572">
        <v>0.02</v>
      </c>
      <c r="M196" s="2001">
        <v>0</v>
      </c>
    </row>
    <row r="197" spans="1:13" ht="12.75">
      <c r="A197" s="10"/>
      <c r="B197" s="1532"/>
      <c r="C197" s="1533" t="s">
        <v>125</v>
      </c>
      <c r="D197" s="1533" t="s">
        <v>44</v>
      </c>
      <c r="E197" s="1533" t="s">
        <v>47</v>
      </c>
      <c r="F197" s="1540">
        <v>53000</v>
      </c>
      <c r="G197" s="1533" t="s">
        <v>67</v>
      </c>
      <c r="H197" s="1533">
        <v>139</v>
      </c>
      <c r="I197" s="1533" t="s">
        <v>769</v>
      </c>
      <c r="J197" s="1533">
        <v>7367</v>
      </c>
      <c r="K197" s="1540">
        <v>601</v>
      </c>
      <c r="L197" s="1572">
        <v>0.02</v>
      </c>
      <c r="M197" s="2001">
        <v>0</v>
      </c>
    </row>
    <row r="198" spans="1:13" ht="12.75">
      <c r="A198" s="10"/>
      <c r="B198" s="1532"/>
      <c r="C198" s="1533" t="s">
        <v>126</v>
      </c>
      <c r="D198" s="1533" t="s">
        <v>46</v>
      </c>
      <c r="E198" s="1533" t="s">
        <v>47</v>
      </c>
      <c r="F198" s="1540">
        <v>52000</v>
      </c>
      <c r="G198" s="1533" t="s">
        <v>67</v>
      </c>
      <c r="H198" s="1533">
        <v>139</v>
      </c>
      <c r="I198" s="1533" t="s">
        <v>769</v>
      </c>
      <c r="J198" s="1533">
        <v>7228</v>
      </c>
      <c r="K198" s="1540">
        <v>592</v>
      </c>
      <c r="L198" s="1572">
        <v>0.02</v>
      </c>
      <c r="M198" s="2001">
        <v>0</v>
      </c>
    </row>
    <row r="199" spans="1:13" ht="13.5" thickBot="1">
      <c r="A199" s="10"/>
      <c r="B199" s="1532"/>
      <c r="C199" s="1533"/>
      <c r="D199" s="1533"/>
      <c r="E199" s="1533"/>
      <c r="F199" s="1533"/>
      <c r="G199" s="1533"/>
      <c r="H199" s="1533"/>
      <c r="I199" s="1533"/>
      <c r="J199" s="1533"/>
      <c r="K199" s="1533"/>
      <c r="L199" s="1533"/>
      <c r="M199" s="1533"/>
    </row>
    <row r="200" spans="1:13" ht="12.75">
      <c r="A200" s="10"/>
      <c r="B200" s="1576"/>
      <c r="C200" s="1530"/>
      <c r="D200" s="1530"/>
      <c r="E200" s="1530"/>
      <c r="F200" s="1530"/>
      <c r="G200" s="1530"/>
      <c r="H200" s="1530"/>
      <c r="I200" s="1530"/>
      <c r="J200" s="1530"/>
      <c r="K200" s="1530"/>
      <c r="L200" s="1530"/>
      <c r="M200" s="1530"/>
    </row>
    <row r="201" spans="1:13" ht="12.75">
      <c r="A201" s="10"/>
      <c r="B201" s="1532" t="s">
        <v>299</v>
      </c>
      <c r="C201" s="169" t="s">
        <v>127</v>
      </c>
      <c r="D201" s="1533"/>
      <c r="E201" s="1533"/>
      <c r="F201" s="1533"/>
      <c r="G201" s="1533"/>
      <c r="H201" s="1533"/>
      <c r="I201" s="1533"/>
      <c r="J201" s="1533"/>
      <c r="K201" s="1533"/>
      <c r="L201" s="1533"/>
      <c r="M201" s="1533"/>
    </row>
    <row r="202" spans="1:13" ht="12.75">
      <c r="A202" s="10"/>
      <c r="B202" s="1532"/>
      <c r="C202" s="1533" t="s">
        <v>145</v>
      </c>
      <c r="D202" s="1533" t="s">
        <v>771</v>
      </c>
      <c r="E202" s="1533" t="s">
        <v>47</v>
      </c>
      <c r="F202" s="1540">
        <v>2513</v>
      </c>
      <c r="G202" s="1533" t="s">
        <v>67</v>
      </c>
      <c r="H202" s="1533">
        <v>137</v>
      </c>
      <c r="I202" s="1533" t="s">
        <v>769</v>
      </c>
      <c r="J202" s="1569">
        <v>344.28100000000001</v>
      </c>
      <c r="K202" s="1571">
        <v>28</v>
      </c>
      <c r="L202" s="1571">
        <v>1.4E-3</v>
      </c>
      <c r="M202" s="2002">
        <v>1E-4</v>
      </c>
    </row>
    <row r="203" spans="1:13" ht="12.75">
      <c r="A203" s="10"/>
      <c r="B203" s="1532"/>
      <c r="C203" s="1533" t="s">
        <v>144</v>
      </c>
      <c r="D203" s="1533" t="s">
        <v>772</v>
      </c>
      <c r="E203" s="1533" t="s">
        <v>47</v>
      </c>
      <c r="F203" s="1540">
        <v>1970</v>
      </c>
      <c r="G203" s="1533" t="s">
        <v>67</v>
      </c>
      <c r="H203" s="1533">
        <v>137</v>
      </c>
      <c r="I203" s="1533" t="s">
        <v>769</v>
      </c>
      <c r="J203" s="1569">
        <v>269.89</v>
      </c>
      <c r="K203" s="1571">
        <v>22</v>
      </c>
      <c r="L203" s="1571">
        <v>1.1000000000000001E-3</v>
      </c>
      <c r="M203" s="2002">
        <v>1E-4</v>
      </c>
    </row>
    <row r="204" spans="1:13" ht="12.75">
      <c r="A204" s="10"/>
      <c r="B204" s="1532"/>
      <c r="C204" s="1533" t="s">
        <v>300</v>
      </c>
      <c r="D204" s="1533" t="s">
        <v>773</v>
      </c>
      <c r="E204" s="1533" t="s">
        <v>47</v>
      </c>
      <c r="F204" s="1540">
        <v>4854</v>
      </c>
      <c r="G204" s="1533" t="s">
        <v>67</v>
      </c>
      <c r="H204" s="1533">
        <v>137</v>
      </c>
      <c r="I204" s="1533" t="s">
        <v>769</v>
      </c>
      <c r="J204" s="1569">
        <v>664.99800000000005</v>
      </c>
      <c r="K204" s="1571">
        <v>55</v>
      </c>
      <c r="L204" s="1571">
        <v>2.7000000000000001E-3</v>
      </c>
      <c r="M204" s="2002">
        <v>2.9999999999999997E-4</v>
      </c>
    </row>
    <row r="205" spans="1:13" ht="12.75">
      <c r="A205" s="10"/>
      <c r="B205" s="1532"/>
      <c r="C205" s="1533" t="s">
        <v>301</v>
      </c>
      <c r="D205" s="1533" t="s">
        <v>56</v>
      </c>
      <c r="E205" s="1533" t="s">
        <v>47</v>
      </c>
      <c r="F205" s="1540">
        <v>4066</v>
      </c>
      <c r="G205" s="1533" t="s">
        <v>67</v>
      </c>
      <c r="H205" s="1533">
        <v>137</v>
      </c>
      <c r="I205" s="1533" t="s">
        <v>769</v>
      </c>
      <c r="J205" s="1569">
        <v>557.04200000000003</v>
      </c>
      <c r="K205" s="1571">
        <v>46</v>
      </c>
      <c r="L205" s="1571">
        <v>2.3E-3</v>
      </c>
      <c r="M205" s="2002">
        <v>2.0000000000000001E-4</v>
      </c>
    </row>
    <row r="206" spans="1:13" ht="12.75">
      <c r="A206" s="10"/>
      <c r="B206" s="1532"/>
      <c r="C206" s="1533" t="s">
        <v>302</v>
      </c>
      <c r="D206" s="1533" t="s">
        <v>774</v>
      </c>
      <c r="E206" s="1533" t="s">
        <v>47</v>
      </c>
      <c r="F206" s="1540">
        <v>2530</v>
      </c>
      <c r="G206" s="1533" t="s">
        <v>67</v>
      </c>
      <c r="H206" s="1533">
        <v>137</v>
      </c>
      <c r="I206" s="1533" t="s">
        <v>769</v>
      </c>
      <c r="J206" s="1569">
        <v>346.61</v>
      </c>
      <c r="K206" s="1571">
        <v>29</v>
      </c>
      <c r="L206" s="1571">
        <v>1.4E-3</v>
      </c>
      <c r="M206" s="2002">
        <v>1E-4</v>
      </c>
    </row>
    <row r="207" spans="1:13" ht="12.75">
      <c r="A207" s="10"/>
      <c r="B207" s="1532"/>
      <c r="C207" s="1533" t="s">
        <v>303</v>
      </c>
      <c r="D207" s="1533" t="s">
        <v>775</v>
      </c>
      <c r="E207" s="1533" t="s">
        <v>47</v>
      </c>
      <c r="F207" s="1540">
        <v>6889</v>
      </c>
      <c r="G207" s="1533" t="s">
        <v>67</v>
      </c>
      <c r="H207" s="1533">
        <v>137</v>
      </c>
      <c r="I207" s="1533" t="s">
        <v>769</v>
      </c>
      <c r="J207" s="1569">
        <v>943.79300000000001</v>
      </c>
      <c r="K207" s="1571">
        <v>78</v>
      </c>
      <c r="L207" s="1571">
        <v>3.8E-3</v>
      </c>
      <c r="M207" s="2002">
        <v>4.0000000000000002E-4</v>
      </c>
    </row>
    <row r="208" spans="1:13" ht="12.75">
      <c r="A208" s="10"/>
      <c r="B208" s="1532"/>
      <c r="C208" s="1533" t="s">
        <v>304</v>
      </c>
      <c r="D208" s="1533" t="s">
        <v>776</v>
      </c>
      <c r="E208" s="1533" t="s">
        <v>47</v>
      </c>
      <c r="F208" s="1540">
        <v>8151</v>
      </c>
      <c r="G208" s="1533" t="s">
        <v>67</v>
      </c>
      <c r="H208" s="1533">
        <v>137</v>
      </c>
      <c r="I208" s="1533" t="s">
        <v>769</v>
      </c>
      <c r="J208" s="1569">
        <v>1116.6869999999999</v>
      </c>
      <c r="K208" s="1571">
        <v>92</v>
      </c>
      <c r="L208" s="1571">
        <v>4.4999999999999997E-3</v>
      </c>
      <c r="M208" s="2002">
        <v>4.0000000000000002E-4</v>
      </c>
    </row>
    <row r="209" spans="1:13" ht="12.75">
      <c r="A209" s="10"/>
      <c r="B209" s="1532"/>
      <c r="C209" s="1533" t="s">
        <v>142</v>
      </c>
      <c r="D209" s="1533" t="s">
        <v>777</v>
      </c>
      <c r="E209" s="1533" t="s">
        <v>47</v>
      </c>
      <c r="F209" s="1540">
        <v>12285</v>
      </c>
      <c r="G209" s="1533" t="s">
        <v>67</v>
      </c>
      <c r="H209" s="1533">
        <v>137</v>
      </c>
      <c r="I209" s="1533" t="s">
        <v>769</v>
      </c>
      <c r="J209" s="1569">
        <v>1683.0450000000001</v>
      </c>
      <c r="K209" s="1571">
        <v>139</v>
      </c>
      <c r="L209" s="1571">
        <v>6.7999999999999996E-3</v>
      </c>
      <c r="M209" s="2002">
        <v>6.9999999999999999E-4</v>
      </c>
    </row>
    <row r="210" spans="1:13" ht="12.75">
      <c r="A210" s="10"/>
      <c r="B210" s="1532"/>
      <c r="C210" s="1533" t="s">
        <v>143</v>
      </c>
      <c r="D210" s="1533" t="s">
        <v>778</v>
      </c>
      <c r="E210" s="1533" t="s">
        <v>47</v>
      </c>
      <c r="F210" s="1540">
        <v>27170</v>
      </c>
      <c r="G210" s="1533" t="s">
        <v>67</v>
      </c>
      <c r="H210" s="1533">
        <v>137</v>
      </c>
      <c r="I210" s="1533" t="s">
        <v>769</v>
      </c>
      <c r="J210" s="1569">
        <v>3722.29</v>
      </c>
      <c r="K210" s="1571">
        <v>307</v>
      </c>
      <c r="L210" s="1571">
        <v>1.5100000000000001E-2</v>
      </c>
      <c r="M210" s="2002">
        <v>1.5E-3</v>
      </c>
    </row>
    <row r="211" spans="1:13" ht="12.75">
      <c r="A211" s="10"/>
      <c r="B211" s="1532"/>
      <c r="C211" s="1533" t="s">
        <v>305</v>
      </c>
      <c r="D211" s="1533" t="s">
        <v>779</v>
      </c>
      <c r="E211" s="1533" t="s">
        <v>47</v>
      </c>
      <c r="F211" s="1540">
        <v>28504</v>
      </c>
      <c r="G211" s="1533" t="s">
        <v>67</v>
      </c>
      <c r="H211" s="1533">
        <v>137</v>
      </c>
      <c r="I211" s="1533" t="s">
        <v>769</v>
      </c>
      <c r="J211" s="1569">
        <v>3905.0479999999998</v>
      </c>
      <c r="K211" s="1571">
        <v>322</v>
      </c>
      <c r="L211" s="1571">
        <v>1.5800000000000002E-2</v>
      </c>
      <c r="M211" s="2002">
        <v>1.6000000000000001E-3</v>
      </c>
    </row>
    <row r="212" spans="1:13" ht="13.5" thickBot="1">
      <c r="A212" s="10"/>
      <c r="B212" s="1532"/>
      <c r="C212" s="1533"/>
      <c r="D212" s="1533"/>
      <c r="E212" s="1533"/>
      <c r="F212" s="1533"/>
      <c r="G212" s="1533"/>
      <c r="H212" s="1533"/>
      <c r="I212" s="1533"/>
      <c r="J212" s="1533"/>
      <c r="K212" s="1533"/>
      <c r="L212" s="1533"/>
      <c r="M212" s="1533"/>
    </row>
    <row r="213" spans="1:13" ht="12.75">
      <c r="A213" s="10"/>
      <c r="B213" s="1576"/>
      <c r="C213" s="1530"/>
      <c r="D213" s="1530"/>
      <c r="E213" s="1530"/>
      <c r="F213" s="1530"/>
      <c r="G213" s="1530"/>
      <c r="H213" s="1530"/>
      <c r="I213" s="1530"/>
      <c r="J213" s="1530"/>
      <c r="K213" s="1530"/>
      <c r="L213" s="1530"/>
      <c r="M213" s="1530"/>
    </row>
    <row r="214" spans="1:13" ht="12.75">
      <c r="A214" s="10"/>
      <c r="B214" s="1532" t="s">
        <v>306</v>
      </c>
      <c r="C214" s="169" t="s">
        <v>780</v>
      </c>
      <c r="D214" s="1533"/>
      <c r="E214" s="1533"/>
      <c r="F214" s="1533"/>
      <c r="G214" s="1533"/>
      <c r="H214" s="1533"/>
      <c r="I214" s="1533"/>
      <c r="J214" s="1533"/>
      <c r="K214" s="1533"/>
      <c r="L214" s="1533"/>
      <c r="M214" s="1533"/>
    </row>
    <row r="215" spans="1:13" ht="12.75">
      <c r="A215" s="10"/>
      <c r="B215" s="1532"/>
      <c r="C215" s="1533" t="s">
        <v>309</v>
      </c>
      <c r="D215" s="1533" t="s">
        <v>781</v>
      </c>
      <c r="E215" s="1533" t="s">
        <v>47</v>
      </c>
      <c r="F215" s="1540">
        <v>6889</v>
      </c>
      <c r="G215" s="1533" t="s">
        <v>67</v>
      </c>
      <c r="H215" s="1533">
        <v>137</v>
      </c>
      <c r="I215" s="1533" t="s">
        <v>769</v>
      </c>
      <c r="J215" s="1569">
        <v>943.79300000000001</v>
      </c>
      <c r="K215" s="1572">
        <v>78</v>
      </c>
      <c r="L215" s="1592">
        <v>3.8E-3</v>
      </c>
      <c r="M215" s="1592">
        <v>4.0000000000000002E-4</v>
      </c>
    </row>
    <row r="216" spans="1:13" ht="12.75">
      <c r="A216" s="10"/>
      <c r="B216" s="1532"/>
      <c r="C216" s="1533" t="s">
        <v>310</v>
      </c>
      <c r="D216" s="1533" t="s">
        <v>782</v>
      </c>
      <c r="E216" s="1533" t="s">
        <v>47</v>
      </c>
      <c r="F216" s="1540">
        <v>6851</v>
      </c>
      <c r="G216" s="1533" t="s">
        <v>67</v>
      </c>
      <c r="H216" s="1533">
        <v>137</v>
      </c>
      <c r="I216" s="1533" t="s">
        <v>769</v>
      </c>
      <c r="J216" s="1569">
        <v>938.58699999999999</v>
      </c>
      <c r="K216" s="1572">
        <v>77</v>
      </c>
      <c r="L216" s="1592">
        <v>3.8E-3</v>
      </c>
      <c r="M216" s="1592">
        <v>4.0000000000000002E-4</v>
      </c>
    </row>
    <row r="217" spans="1:13" ht="12.75">
      <c r="A217" s="10"/>
      <c r="B217" s="1532"/>
      <c r="C217" s="1533" t="s">
        <v>307</v>
      </c>
      <c r="D217" s="1533" t="s">
        <v>783</v>
      </c>
      <c r="E217" s="1533" t="s">
        <v>47</v>
      </c>
      <c r="F217" s="1540">
        <v>26106</v>
      </c>
      <c r="G217" s="1533" t="s">
        <v>67</v>
      </c>
      <c r="H217" s="1533">
        <v>137</v>
      </c>
      <c r="I217" s="1533" t="s">
        <v>769</v>
      </c>
      <c r="J217" s="1569">
        <v>3576.5219999999999</v>
      </c>
      <c r="K217" s="1572">
        <v>295</v>
      </c>
      <c r="L217" s="1592">
        <v>0</v>
      </c>
      <c r="M217" s="1592">
        <v>0</v>
      </c>
    </row>
    <row r="218" spans="1:13" ht="12.75">
      <c r="A218" s="10"/>
      <c r="B218" s="1532"/>
      <c r="C218" s="1533" t="s">
        <v>308</v>
      </c>
      <c r="D218" s="1533" t="s">
        <v>784</v>
      </c>
      <c r="E218" s="1533" t="s">
        <v>47</v>
      </c>
      <c r="F218" s="1540">
        <v>11826</v>
      </c>
      <c r="G218" s="1533" t="s">
        <v>67</v>
      </c>
      <c r="H218" s="1533">
        <v>137</v>
      </c>
      <c r="I218" s="1533" t="s">
        <v>769</v>
      </c>
      <c r="J218" s="1569">
        <v>1620.162</v>
      </c>
      <c r="K218" s="1572">
        <v>134</v>
      </c>
      <c r="L218" s="1592">
        <v>0</v>
      </c>
      <c r="M218" s="1592">
        <v>0</v>
      </c>
    </row>
    <row r="219" spans="1:13" ht="12.75">
      <c r="A219" s="10"/>
      <c r="B219" s="1532"/>
      <c r="C219" s="1533" t="s">
        <v>789</v>
      </c>
      <c r="D219" s="1533" t="s">
        <v>785</v>
      </c>
      <c r="E219" s="1533" t="s">
        <v>47</v>
      </c>
      <c r="F219" s="1540">
        <v>22997</v>
      </c>
      <c r="G219" s="1533" t="s">
        <v>67</v>
      </c>
      <c r="H219" s="1533">
        <v>137</v>
      </c>
      <c r="I219" s="1533" t="s">
        <v>769</v>
      </c>
      <c r="J219" s="1569">
        <v>3150.5889999999999</v>
      </c>
      <c r="K219" s="1572">
        <v>260</v>
      </c>
      <c r="L219" s="1592">
        <v>1.2800000000000001E-2</v>
      </c>
      <c r="M219" s="1571">
        <v>1.2999999999999999E-3</v>
      </c>
    </row>
    <row r="220" spans="1:13" ht="12.75">
      <c r="A220" s="10"/>
      <c r="B220" s="1532"/>
      <c r="C220" s="1533" t="s">
        <v>790</v>
      </c>
      <c r="D220" s="1533" t="s">
        <v>786</v>
      </c>
      <c r="E220" s="1533" t="s">
        <v>47</v>
      </c>
      <c r="F220" s="1540">
        <v>14592</v>
      </c>
      <c r="G220" s="1533" t="s">
        <v>67</v>
      </c>
      <c r="H220" s="1533">
        <v>137</v>
      </c>
      <c r="I220" s="1533" t="s">
        <v>769</v>
      </c>
      <c r="J220" s="1569">
        <v>1999.104</v>
      </c>
      <c r="K220" s="1572">
        <v>165</v>
      </c>
      <c r="L220" s="1592">
        <v>8.0999999999999996E-3</v>
      </c>
      <c r="M220" s="1571">
        <v>8.0000000000000004E-4</v>
      </c>
    </row>
    <row r="221" spans="1:13" ht="12.75">
      <c r="A221" s="10"/>
      <c r="B221" s="1532"/>
      <c r="C221" s="1533" t="s">
        <v>791</v>
      </c>
      <c r="D221" s="1533" t="s">
        <v>787</v>
      </c>
      <c r="E221" s="1533" t="s">
        <v>47</v>
      </c>
      <c r="F221" s="1540">
        <v>24984</v>
      </c>
      <c r="G221" s="1533" t="s">
        <v>67</v>
      </c>
      <c r="H221" s="1533">
        <v>137</v>
      </c>
      <c r="I221" s="1533" t="s">
        <v>769</v>
      </c>
      <c r="J221" s="1569">
        <v>3422.808</v>
      </c>
      <c r="K221" s="1572">
        <v>282</v>
      </c>
      <c r="L221" s="1592">
        <v>1.3899999999999999E-2</v>
      </c>
      <c r="M221" s="1571">
        <v>1.4E-3</v>
      </c>
    </row>
    <row r="222" spans="1:13" ht="12.75">
      <c r="A222" s="10"/>
      <c r="B222" s="1532"/>
      <c r="C222" s="1533" t="s">
        <v>792</v>
      </c>
      <c r="D222" s="1533" t="s">
        <v>788</v>
      </c>
      <c r="E222" s="1533" t="s">
        <v>47</v>
      </c>
      <c r="F222" s="1540">
        <v>24301</v>
      </c>
      <c r="G222" s="1533" t="s">
        <v>67</v>
      </c>
      <c r="H222" s="1533">
        <v>137</v>
      </c>
      <c r="I222" s="1533" t="s">
        <v>769</v>
      </c>
      <c r="J222" s="1569">
        <v>3329.2370000000001</v>
      </c>
      <c r="K222" s="1572">
        <v>275</v>
      </c>
      <c r="L222" s="1592">
        <v>1.35E-2</v>
      </c>
      <c r="M222" s="1571">
        <v>1.2999999999999999E-3</v>
      </c>
    </row>
    <row r="223" spans="1:13" ht="13.5" thickBot="1">
      <c r="A223" s="10"/>
      <c r="B223" s="1532"/>
      <c r="C223" s="1533"/>
      <c r="D223" s="1533"/>
      <c r="E223" s="1533"/>
      <c r="F223" s="1533"/>
      <c r="G223" s="1533"/>
      <c r="H223" s="1533"/>
      <c r="I223" s="1533"/>
      <c r="J223" s="1533"/>
      <c r="K223" s="1533"/>
      <c r="L223" s="1533"/>
      <c r="M223" s="1533"/>
    </row>
    <row r="224" spans="1:13" ht="12.75">
      <c r="A224" s="10"/>
      <c r="B224" s="1576"/>
      <c r="C224" s="1530"/>
      <c r="D224" s="1530"/>
      <c r="E224" s="1530"/>
      <c r="F224" s="1530"/>
      <c r="G224" s="1530"/>
      <c r="H224" s="1530"/>
      <c r="I224" s="1530"/>
      <c r="J224" s="1530"/>
      <c r="K224" s="1530"/>
      <c r="L224" s="1530"/>
      <c r="M224" s="1530"/>
    </row>
    <row r="225" spans="1:13" ht="12.75">
      <c r="A225" s="10"/>
      <c r="B225" s="1532" t="s">
        <v>311</v>
      </c>
      <c r="C225" s="169" t="s">
        <v>141</v>
      </c>
      <c r="D225" s="1533"/>
      <c r="E225" s="1533"/>
      <c r="F225" s="1533"/>
      <c r="G225" s="1533"/>
      <c r="H225" s="1533"/>
      <c r="I225" s="1533"/>
      <c r="J225" s="1533"/>
      <c r="K225" s="1533"/>
      <c r="L225" s="1533"/>
      <c r="M225" s="1533"/>
    </row>
    <row r="226" spans="1:13" ht="12.75">
      <c r="A226" s="10"/>
      <c r="B226" s="1532"/>
      <c r="C226" s="1533" t="s">
        <v>143</v>
      </c>
      <c r="D226" s="1533" t="s">
        <v>793</v>
      </c>
      <c r="E226" s="1533" t="s">
        <v>47</v>
      </c>
      <c r="F226" s="1540">
        <v>3269</v>
      </c>
      <c r="G226" s="1533" t="s">
        <v>67</v>
      </c>
      <c r="H226" s="1537">
        <v>140984</v>
      </c>
      <c r="I226" s="1533" t="s">
        <v>140</v>
      </c>
      <c r="J226" s="1569">
        <v>460.87669599999998</v>
      </c>
      <c r="K226" s="1571">
        <v>36.28</v>
      </c>
      <c r="L226" s="1591">
        <v>0</v>
      </c>
      <c r="M226" s="1591">
        <v>0</v>
      </c>
    </row>
    <row r="227" spans="1:13" ht="12.75">
      <c r="A227" s="10"/>
      <c r="B227" s="1532"/>
      <c r="C227" s="1533" t="s">
        <v>142</v>
      </c>
      <c r="D227" s="1533" t="s">
        <v>794</v>
      </c>
      <c r="E227" s="1533" t="s">
        <v>47</v>
      </c>
      <c r="F227" s="1540">
        <v>3014</v>
      </c>
      <c r="G227" s="1533" t="s">
        <v>67</v>
      </c>
      <c r="H227" s="1537">
        <v>140983</v>
      </c>
      <c r="I227" s="1533" t="s">
        <v>140</v>
      </c>
      <c r="J227" s="1569">
        <v>424.92276199999998</v>
      </c>
      <c r="K227" s="1571">
        <v>85.14</v>
      </c>
      <c r="L227" s="1591">
        <v>0</v>
      </c>
      <c r="M227" s="1591">
        <v>0</v>
      </c>
    </row>
    <row r="228" spans="1:13" ht="12.75">
      <c r="A228" s="10"/>
      <c r="B228" s="1532"/>
      <c r="C228" s="1533" t="s">
        <v>144</v>
      </c>
      <c r="D228" s="1533" t="s">
        <v>795</v>
      </c>
      <c r="E228" s="1533" t="s">
        <v>47</v>
      </c>
      <c r="F228" s="1540">
        <v>3234</v>
      </c>
      <c r="G228" s="1533" t="s">
        <v>67</v>
      </c>
      <c r="H228" s="1537">
        <v>140987</v>
      </c>
      <c r="I228" s="1533" t="s">
        <v>140</v>
      </c>
      <c r="J228" s="1569">
        <v>455.95195799999999</v>
      </c>
      <c r="K228" s="1571">
        <v>33.46</v>
      </c>
      <c r="L228" s="1591">
        <v>0</v>
      </c>
      <c r="M228" s="1591">
        <v>0</v>
      </c>
    </row>
    <row r="229" spans="1:13" ht="12.75">
      <c r="A229" s="10"/>
      <c r="B229" s="1532"/>
      <c r="C229" s="1533" t="s">
        <v>146</v>
      </c>
      <c r="D229" s="1533" t="s">
        <v>795</v>
      </c>
      <c r="E229" s="1533" t="s">
        <v>47</v>
      </c>
      <c r="F229" s="1540">
        <v>7670</v>
      </c>
      <c r="G229" s="1533" t="s">
        <v>67</v>
      </c>
      <c r="H229" s="1537">
        <v>140987</v>
      </c>
      <c r="I229" s="1533" t="s">
        <v>140</v>
      </c>
      <c r="J229" s="1569">
        <v>1081.3702900000001</v>
      </c>
      <c r="K229" s="1591">
        <v>35.9</v>
      </c>
      <c r="L229" s="1591">
        <v>0</v>
      </c>
      <c r="M229" s="1591">
        <v>0</v>
      </c>
    </row>
    <row r="230" spans="1:13" ht="13.5" thickBot="1">
      <c r="A230" s="10"/>
      <c r="B230" s="1532"/>
      <c r="C230" s="1533"/>
      <c r="D230" s="1533"/>
      <c r="E230" s="1533"/>
      <c r="F230" s="1537"/>
      <c r="G230" s="1533"/>
      <c r="H230" s="1533"/>
      <c r="I230" s="1533"/>
      <c r="J230" s="1537"/>
      <c r="K230" s="1533"/>
      <c r="L230" s="1533"/>
      <c r="M230" s="1533"/>
    </row>
    <row r="231" spans="1:13" ht="12.75">
      <c r="A231" s="10"/>
      <c r="B231" s="1576"/>
      <c r="C231" s="1530"/>
      <c r="D231" s="1530"/>
      <c r="E231" s="1530"/>
      <c r="F231" s="1530"/>
      <c r="G231" s="1530"/>
      <c r="H231" s="1530"/>
      <c r="I231" s="1530"/>
      <c r="J231" s="1530"/>
      <c r="K231" s="1530"/>
      <c r="L231" s="1530"/>
      <c r="M231" s="1530"/>
    </row>
    <row r="232" spans="1:13" ht="12.75">
      <c r="A232" s="10"/>
      <c r="B232" s="1532" t="s">
        <v>312</v>
      </c>
      <c r="C232" s="1788" t="s">
        <v>796</v>
      </c>
      <c r="D232" s="1533"/>
      <c r="E232" s="1533"/>
      <c r="F232" s="1533"/>
      <c r="G232" s="1533"/>
      <c r="H232" s="1533"/>
      <c r="I232" s="1533"/>
      <c r="J232" s="1533"/>
      <c r="K232" s="1533"/>
      <c r="L232" s="1533"/>
      <c r="M232" s="1533"/>
    </row>
    <row r="233" spans="1:13" ht="12.75">
      <c r="A233" s="10"/>
      <c r="B233" s="1532"/>
      <c r="C233" s="1533" t="s">
        <v>313</v>
      </c>
      <c r="D233" s="1533" t="s">
        <v>797</v>
      </c>
      <c r="E233" s="1533" t="s">
        <v>47</v>
      </c>
      <c r="F233" s="1540">
        <v>30919</v>
      </c>
      <c r="G233" s="1533" t="s">
        <v>67</v>
      </c>
      <c r="H233" s="1537">
        <v>141494</v>
      </c>
      <c r="I233" s="1533" t="s">
        <v>140</v>
      </c>
      <c r="J233" s="1569">
        <v>4374.8529859999999</v>
      </c>
      <c r="K233" s="1571">
        <v>349</v>
      </c>
      <c r="L233" s="1592">
        <v>1.7000000000000001E-2</v>
      </c>
      <c r="M233" s="1591">
        <v>0</v>
      </c>
    </row>
    <row r="234" spans="1:13" ht="12.75">
      <c r="A234" s="10"/>
      <c r="B234" s="1532"/>
      <c r="C234" s="1533" t="s">
        <v>314</v>
      </c>
      <c r="D234" s="1533" t="s">
        <v>1140</v>
      </c>
      <c r="E234" s="1533" t="s">
        <v>47</v>
      </c>
      <c r="F234" s="1540">
        <v>28591</v>
      </c>
      <c r="G234" s="1533" t="s">
        <v>67</v>
      </c>
      <c r="H234" s="1537">
        <v>141494</v>
      </c>
      <c r="I234" s="1533" t="s">
        <v>140</v>
      </c>
      <c r="J234" s="1569">
        <v>4045.4549539999998</v>
      </c>
      <c r="K234" s="1571">
        <v>323</v>
      </c>
      <c r="L234" s="1592">
        <v>1.6E-2</v>
      </c>
      <c r="M234" s="1591">
        <v>0</v>
      </c>
    </row>
    <row r="235" spans="1:13" ht="12.75">
      <c r="A235" s="10"/>
      <c r="B235" s="1532"/>
      <c r="C235" s="1533" t="s">
        <v>315</v>
      </c>
      <c r="D235" s="1533" t="s">
        <v>1157</v>
      </c>
      <c r="E235" s="1533" t="s">
        <v>47</v>
      </c>
      <c r="F235" s="1540">
        <v>24896</v>
      </c>
      <c r="G235" s="1533" t="s">
        <v>67</v>
      </c>
      <c r="H235" s="1537">
        <v>141494</v>
      </c>
      <c r="I235" s="1533" t="s">
        <v>140</v>
      </c>
      <c r="J235" s="1569">
        <v>3522.6346239999998</v>
      </c>
      <c r="K235" s="1571">
        <v>281</v>
      </c>
      <c r="L235" s="1592">
        <v>1.4E-2</v>
      </c>
      <c r="M235" s="1591">
        <v>0</v>
      </c>
    </row>
    <row r="236" spans="1:13" ht="12.75">
      <c r="A236" s="10"/>
      <c r="B236" s="1532"/>
      <c r="C236" s="1533" t="s">
        <v>316</v>
      </c>
      <c r="D236" s="1533" t="s">
        <v>20</v>
      </c>
      <c r="E236" s="1533" t="s">
        <v>47</v>
      </c>
      <c r="F236" s="1540">
        <v>29876</v>
      </c>
      <c r="G236" s="1533" t="s">
        <v>67</v>
      </c>
      <c r="H236" s="1537">
        <v>141494</v>
      </c>
      <c r="I236" s="1533" t="s">
        <v>140</v>
      </c>
      <c r="J236" s="1569">
        <v>4227.2747440000003</v>
      </c>
      <c r="K236" s="1571">
        <v>338</v>
      </c>
      <c r="L236" s="1592">
        <v>1.7000000000000001E-2</v>
      </c>
      <c r="M236" s="1591">
        <v>0</v>
      </c>
    </row>
    <row r="237" spans="1:13" ht="13.5" thickBot="1">
      <c r="A237" s="10"/>
      <c r="B237" s="1532"/>
      <c r="C237" s="1533"/>
      <c r="D237" s="1533"/>
      <c r="E237" s="1533"/>
      <c r="F237" s="1533"/>
      <c r="G237" s="1533"/>
      <c r="H237" s="1533"/>
      <c r="I237" s="1533"/>
      <c r="J237" s="1533"/>
      <c r="K237" s="1533"/>
      <c r="L237" s="1533"/>
      <c r="M237" s="1533"/>
    </row>
    <row r="238" spans="1:13" ht="12.75">
      <c r="A238" s="10"/>
      <c r="B238" s="1576"/>
      <c r="C238" s="1530"/>
      <c r="D238" s="1530"/>
      <c r="E238" s="1530"/>
      <c r="F238" s="1530"/>
      <c r="G238" s="1530"/>
      <c r="H238" s="1530"/>
      <c r="I238" s="1530"/>
      <c r="J238" s="1530"/>
      <c r="K238" s="1530"/>
      <c r="L238" s="1530"/>
      <c r="M238" s="1530"/>
    </row>
    <row r="239" spans="1:13" ht="12.75">
      <c r="A239" s="10"/>
      <c r="B239" s="1532" t="s">
        <v>317</v>
      </c>
      <c r="C239" s="169" t="s">
        <v>318</v>
      </c>
      <c r="D239" s="1533"/>
      <c r="E239" s="1533"/>
      <c r="F239" s="1533"/>
      <c r="G239" s="1533"/>
      <c r="H239" s="1533"/>
      <c r="I239" s="1533"/>
      <c r="J239" s="1533"/>
      <c r="K239" s="1533"/>
      <c r="L239" s="1533"/>
      <c r="M239" s="1533"/>
    </row>
    <row r="240" spans="1:13" ht="12.75">
      <c r="A240" s="10"/>
      <c r="B240" s="1532"/>
      <c r="C240" s="1533" t="s">
        <v>319</v>
      </c>
      <c r="D240" s="1533" t="s">
        <v>798</v>
      </c>
      <c r="E240" s="1533" t="s">
        <v>47</v>
      </c>
      <c r="F240" s="1540">
        <v>422</v>
      </c>
      <c r="G240" s="1533" t="s">
        <v>67</v>
      </c>
      <c r="H240" s="1537">
        <v>137030</v>
      </c>
      <c r="I240" s="1533" t="s">
        <v>140</v>
      </c>
      <c r="J240" s="1569">
        <v>57.826659999999997</v>
      </c>
      <c r="K240" s="1772">
        <v>5</v>
      </c>
      <c r="L240" s="1591">
        <v>0</v>
      </c>
      <c r="M240" s="1591">
        <v>0</v>
      </c>
    </row>
    <row r="241" spans="1:13" ht="12.75">
      <c r="A241" s="10"/>
      <c r="B241" s="1532"/>
      <c r="C241" s="1533" t="s">
        <v>1213</v>
      </c>
      <c r="D241" s="1533" t="s">
        <v>1214</v>
      </c>
      <c r="E241" s="1533" t="s">
        <v>47</v>
      </c>
      <c r="F241" s="1540">
        <v>622</v>
      </c>
      <c r="G241" s="1533" t="s">
        <v>67</v>
      </c>
      <c r="H241" s="1537">
        <v>137030</v>
      </c>
      <c r="I241" s="1533" t="s">
        <v>140</v>
      </c>
      <c r="J241" s="1569">
        <v>85.232659999999996</v>
      </c>
      <c r="K241" s="1772">
        <v>7</v>
      </c>
      <c r="L241" s="1591">
        <v>0</v>
      </c>
      <c r="M241" s="1591">
        <v>0</v>
      </c>
    </row>
    <row r="242" spans="1:13" ht="12.75">
      <c r="A242" s="10"/>
      <c r="B242" s="1532"/>
      <c r="C242" s="1533" t="s">
        <v>322</v>
      </c>
      <c r="D242" s="1533" t="s">
        <v>799</v>
      </c>
      <c r="E242" s="1533" t="s">
        <v>47</v>
      </c>
      <c r="F242" s="1540">
        <v>12264</v>
      </c>
      <c r="G242" s="1533" t="s">
        <v>67</v>
      </c>
      <c r="H242" s="1537">
        <v>138200</v>
      </c>
      <c r="I242" s="1533" t="s">
        <v>140</v>
      </c>
      <c r="J242" s="1569">
        <v>1694.8848</v>
      </c>
      <c r="K242" s="1772">
        <v>140</v>
      </c>
      <c r="L242" s="1591">
        <v>0.01</v>
      </c>
      <c r="M242" s="1591">
        <v>0</v>
      </c>
    </row>
    <row r="243" spans="1:13" ht="12.75">
      <c r="A243" s="10"/>
      <c r="B243" s="1532"/>
      <c r="C243" s="1533" t="s">
        <v>69</v>
      </c>
      <c r="D243" s="1533" t="s">
        <v>800</v>
      </c>
      <c r="E243" s="1533" t="s">
        <v>47</v>
      </c>
      <c r="F243" s="1540">
        <v>15360</v>
      </c>
      <c r="G243" s="1533" t="s">
        <v>67</v>
      </c>
      <c r="H243" s="1537">
        <v>138200</v>
      </c>
      <c r="I243" s="1533" t="s">
        <v>140</v>
      </c>
      <c r="J243" s="1569">
        <v>2122.752</v>
      </c>
      <c r="K243" s="1772">
        <v>175</v>
      </c>
      <c r="L243" s="1591">
        <v>0.01</v>
      </c>
      <c r="M243" s="1591">
        <v>0</v>
      </c>
    </row>
    <row r="244" spans="1:13" ht="12.75">
      <c r="A244" s="10"/>
      <c r="B244" s="1532"/>
      <c r="C244" s="1533" t="s">
        <v>323</v>
      </c>
      <c r="D244" s="1533" t="s">
        <v>801</v>
      </c>
      <c r="E244" s="1533" t="s">
        <v>47</v>
      </c>
      <c r="F244" s="1540">
        <v>15672</v>
      </c>
      <c r="G244" s="1533" t="s">
        <v>67</v>
      </c>
      <c r="H244" s="1537">
        <v>138200</v>
      </c>
      <c r="I244" s="1533" t="s">
        <v>140</v>
      </c>
      <c r="J244" s="1569">
        <v>2165.8703999999998</v>
      </c>
      <c r="K244" s="1772">
        <v>179</v>
      </c>
      <c r="L244" s="1591">
        <v>0.01</v>
      </c>
      <c r="M244" s="1591">
        <v>0</v>
      </c>
    </row>
    <row r="245" spans="1:13" ht="12.75">
      <c r="A245" s="10"/>
      <c r="B245" s="1532"/>
      <c r="C245" s="1533" t="s">
        <v>1216</v>
      </c>
      <c r="D245" s="1533" t="s">
        <v>802</v>
      </c>
      <c r="E245" s="1533" t="s">
        <v>47</v>
      </c>
      <c r="F245" s="1540">
        <v>33156</v>
      </c>
      <c r="G245" s="1533" t="s">
        <v>67</v>
      </c>
      <c r="H245" s="1537">
        <v>139400</v>
      </c>
      <c r="I245" s="1533" t="s">
        <v>140</v>
      </c>
      <c r="J245" s="1569">
        <v>4621.9463999999998</v>
      </c>
      <c r="K245" s="1772">
        <v>381</v>
      </c>
      <c r="L245" s="1591">
        <v>0.02</v>
      </c>
      <c r="M245" s="1591">
        <v>0</v>
      </c>
    </row>
    <row r="246" spans="1:13" ht="12.75">
      <c r="A246" s="10"/>
      <c r="B246" s="1532"/>
      <c r="C246" s="1533" t="s">
        <v>1215</v>
      </c>
      <c r="D246" s="1533" t="s">
        <v>803</v>
      </c>
      <c r="E246" s="1533" t="s">
        <v>47</v>
      </c>
      <c r="F246" s="1540">
        <v>9396</v>
      </c>
      <c r="G246" s="1533" t="s">
        <v>67</v>
      </c>
      <c r="H246" s="1537">
        <v>138600</v>
      </c>
      <c r="I246" s="1533" t="s">
        <v>140</v>
      </c>
      <c r="J246" s="1569">
        <v>1302.2855999999999</v>
      </c>
      <c r="K246" s="1772">
        <v>107</v>
      </c>
      <c r="L246" s="1591">
        <v>0.01</v>
      </c>
      <c r="M246" s="1591">
        <v>0</v>
      </c>
    </row>
    <row r="247" spans="1:13" ht="12.75">
      <c r="A247" s="10"/>
      <c r="B247" s="1532"/>
      <c r="C247" s="1533" t="s">
        <v>324</v>
      </c>
      <c r="D247" s="1533" t="s">
        <v>804</v>
      </c>
      <c r="E247" s="1533" t="s">
        <v>47</v>
      </c>
      <c r="F247" s="1540">
        <v>510</v>
      </c>
      <c r="G247" s="1533" t="s">
        <v>67</v>
      </c>
      <c r="H247" s="1537">
        <v>138500</v>
      </c>
      <c r="I247" s="1533" t="s">
        <v>140</v>
      </c>
      <c r="J247" s="1569">
        <v>70.635000000000005</v>
      </c>
      <c r="K247" s="1772">
        <v>6</v>
      </c>
      <c r="L247" s="1591">
        <v>0</v>
      </c>
      <c r="M247" s="1591">
        <v>0</v>
      </c>
    </row>
    <row r="248" spans="1:13" ht="13.5" thickBot="1">
      <c r="A248" s="10"/>
      <c r="B248" s="1579"/>
      <c r="C248" s="1512"/>
      <c r="D248" s="1512"/>
      <c r="E248" s="1512"/>
      <c r="F248" s="1512"/>
      <c r="G248" s="1512"/>
      <c r="H248" s="1512"/>
      <c r="I248" s="1512"/>
      <c r="J248" s="1512"/>
      <c r="K248" s="1512"/>
      <c r="L248" s="1512"/>
      <c r="M248" s="1512"/>
    </row>
    <row r="249" spans="1:13" ht="13.5" thickBot="1">
      <c r="A249" s="10"/>
      <c r="B249" s="1574"/>
      <c r="C249" s="1536"/>
      <c r="D249" s="1536"/>
      <c r="E249" s="1536"/>
      <c r="F249" s="1536"/>
      <c r="G249" s="1536"/>
      <c r="H249" s="1536"/>
      <c r="I249" s="1536"/>
      <c r="J249" s="1536"/>
      <c r="K249" s="1536"/>
      <c r="L249" s="1536"/>
      <c r="M249" s="1536"/>
    </row>
    <row r="250" spans="1:13" ht="13.5" thickTop="1">
      <c r="A250" s="10"/>
      <c r="B250" s="10"/>
      <c r="C250" s="10"/>
      <c r="D250" s="10"/>
      <c r="E250" s="10"/>
      <c r="F250" s="10"/>
      <c r="G250" s="10"/>
      <c r="H250" s="10"/>
      <c r="I250" s="10"/>
      <c r="J250" s="10"/>
      <c r="K250" s="10"/>
      <c r="L250" s="10"/>
      <c r="M250" s="10"/>
    </row>
    <row r="251" spans="1:13" ht="13.5" thickBot="1">
      <c r="A251" s="10"/>
      <c r="B251" s="10"/>
      <c r="C251" s="10"/>
      <c r="D251" s="10"/>
      <c r="E251" s="10"/>
      <c r="F251" s="10"/>
      <c r="G251" s="10"/>
      <c r="H251" s="10"/>
      <c r="I251" s="10"/>
      <c r="J251" s="10"/>
      <c r="K251" s="10"/>
      <c r="L251" s="10"/>
      <c r="M251" s="10"/>
    </row>
    <row r="252" spans="1:13" ht="14.25" thickTop="1" thickBot="1">
      <c r="A252" s="10"/>
      <c r="B252" s="10"/>
      <c r="C252" s="10"/>
      <c r="D252" s="10"/>
      <c r="E252" s="10"/>
      <c r="F252" s="1995">
        <f>SUM(F67:F251)</f>
        <v>13301550</v>
      </c>
      <c r="G252" s="10"/>
      <c r="H252" s="10"/>
      <c r="I252" s="10"/>
      <c r="J252" s="1995">
        <f>SUM(J67:J251)</f>
        <v>1836609.00718</v>
      </c>
      <c r="K252" s="1995">
        <f>SUM(K67:K251)</f>
        <v>159907.03683495402</v>
      </c>
      <c r="L252" s="3383">
        <f>SUM(L67:L251)</f>
        <v>19.216284754966193</v>
      </c>
      <c r="M252" s="3383">
        <f>SUM(M67:M251)</f>
        <v>1.2236940435383052</v>
      </c>
    </row>
    <row r="253" spans="1:13" ht="13.5" thickTop="1">
      <c r="A253" s="10"/>
      <c r="B253" s="10"/>
      <c r="C253" s="10"/>
      <c r="D253" s="10"/>
      <c r="E253" s="10"/>
      <c r="F253" s="10"/>
      <c r="G253" s="10"/>
      <c r="H253" s="10"/>
      <c r="I253" s="10"/>
      <c r="J253" s="10"/>
      <c r="K253" s="10"/>
      <c r="L253" s="10"/>
      <c r="M253" s="10"/>
    </row>
    <row r="254" spans="1:13" ht="12.75">
      <c r="A254" s="10"/>
      <c r="B254" s="10"/>
      <c r="C254" s="10"/>
      <c r="D254" s="10"/>
      <c r="E254" s="10"/>
      <c r="F254" s="10"/>
      <c r="G254" s="10"/>
      <c r="H254" s="10"/>
      <c r="I254" s="10"/>
      <c r="J254" s="10"/>
      <c r="K254" s="10"/>
      <c r="L254" s="10"/>
      <c r="M254" s="10"/>
    </row>
    <row r="255" spans="1:13" ht="12.75">
      <c r="A255" s="10"/>
      <c r="B255" s="10"/>
      <c r="C255" s="10"/>
      <c r="D255" s="10"/>
      <c r="E255" s="10"/>
      <c r="F255" s="10"/>
      <c r="G255" s="10"/>
      <c r="H255" s="10"/>
      <c r="I255" s="10"/>
      <c r="J255" s="10"/>
      <c r="K255" s="10"/>
      <c r="L255" s="10"/>
      <c r="M255" s="10"/>
    </row>
    <row r="256" spans="1:13" ht="21">
      <c r="A256" s="10"/>
      <c r="B256" s="2018" t="s">
        <v>1309</v>
      </c>
      <c r="C256" s="2019"/>
      <c r="D256" s="2020"/>
      <c r="E256" s="10"/>
      <c r="F256" s="10"/>
      <c r="G256" s="10"/>
      <c r="H256" s="10"/>
      <c r="I256" s="10"/>
      <c r="J256" s="10"/>
      <c r="K256" s="10"/>
      <c r="L256" s="10"/>
      <c r="M256" s="10"/>
    </row>
    <row r="257" spans="1:13" ht="13.5" thickBot="1">
      <c r="A257" s="10"/>
      <c r="B257" s="10"/>
      <c r="C257" s="10"/>
      <c r="D257" s="10"/>
      <c r="E257" s="10"/>
      <c r="F257" s="10"/>
      <c r="G257" s="10"/>
      <c r="H257" s="10"/>
      <c r="I257" s="10"/>
      <c r="J257" s="10"/>
      <c r="K257" s="10"/>
      <c r="L257" s="10"/>
      <c r="M257" s="10"/>
    </row>
    <row r="258" spans="1:13" ht="15" thickTop="1">
      <c r="A258" s="10"/>
      <c r="B258" s="1593" t="s">
        <v>1117</v>
      </c>
      <c r="C258" s="1594" t="s">
        <v>1118</v>
      </c>
      <c r="D258" s="1594" t="s">
        <v>1119</v>
      </c>
      <c r="E258" s="1594" t="s">
        <v>1120</v>
      </c>
      <c r="F258" s="1594" t="s">
        <v>1121</v>
      </c>
      <c r="G258" s="1594" t="s">
        <v>1121</v>
      </c>
      <c r="H258" s="1594" t="s">
        <v>809</v>
      </c>
      <c r="I258" s="1594" t="s">
        <v>811</v>
      </c>
      <c r="J258" s="1595" t="s">
        <v>813</v>
      </c>
      <c r="K258" s="1594" t="s">
        <v>274</v>
      </c>
      <c r="L258" s="1594" t="s">
        <v>275</v>
      </c>
      <c r="M258" s="1594" t="s">
        <v>276</v>
      </c>
    </row>
    <row r="259" spans="1:13" ht="12.75">
      <c r="A259" s="10"/>
      <c r="B259" s="1597"/>
      <c r="C259" s="1598"/>
      <c r="D259" s="1598"/>
      <c r="E259" s="1598"/>
      <c r="F259" s="1598"/>
      <c r="G259" s="1598" t="s">
        <v>1123</v>
      </c>
      <c r="H259" s="1598" t="s">
        <v>810</v>
      </c>
      <c r="I259" s="1598" t="s">
        <v>812</v>
      </c>
      <c r="J259" s="1598" t="s">
        <v>1124</v>
      </c>
      <c r="K259" s="1598" t="s">
        <v>1122</v>
      </c>
      <c r="L259" s="1598" t="s">
        <v>1122</v>
      </c>
      <c r="M259" s="1598" t="s">
        <v>1122</v>
      </c>
    </row>
    <row r="260" spans="1:13" ht="12.75">
      <c r="A260" s="10"/>
      <c r="B260" s="1532" t="s">
        <v>1147</v>
      </c>
      <c r="C260" s="2" t="s">
        <v>1148</v>
      </c>
      <c r="D260" s="1533"/>
      <c r="E260" s="1533"/>
      <c r="F260" s="1537"/>
      <c r="G260" s="1533"/>
      <c r="H260" s="1537"/>
      <c r="I260" s="1533"/>
      <c r="J260" s="1547"/>
      <c r="K260" s="1537"/>
      <c r="L260" s="1546"/>
      <c r="M260" s="1569"/>
    </row>
    <row r="261" spans="1:13" ht="12.75">
      <c r="A261" s="10"/>
      <c r="B261" s="1532"/>
      <c r="C261" s="1533" t="s">
        <v>1149</v>
      </c>
      <c r="D261" s="1549" t="s">
        <v>1138</v>
      </c>
      <c r="E261" s="1533" t="s">
        <v>1164</v>
      </c>
      <c r="F261" s="1540">
        <v>4923</v>
      </c>
      <c r="G261" s="1533" t="s">
        <v>67</v>
      </c>
      <c r="H261" s="1537">
        <v>136253</v>
      </c>
      <c r="I261" s="1533" t="s">
        <v>12</v>
      </c>
      <c r="J261" s="1547">
        <v>670.77351899999996</v>
      </c>
      <c r="K261" s="1537">
        <v>72.896023689767617</v>
      </c>
      <c r="L261" s="1546">
        <v>2.2175772538139994E-3</v>
      </c>
      <c r="M261" s="1993">
        <v>4.4351545076279987E-4</v>
      </c>
    </row>
    <row r="262" spans="1:13" ht="12.75">
      <c r="A262" s="10"/>
      <c r="B262" s="1532"/>
      <c r="C262" s="1533"/>
      <c r="D262" s="1533"/>
      <c r="E262" s="1533"/>
      <c r="F262" s="1537"/>
      <c r="G262" s="1533"/>
      <c r="H262" s="1537"/>
      <c r="I262" s="1533"/>
      <c r="J262" s="1542"/>
      <c r="K262" s="1554"/>
      <c r="L262" s="1555"/>
      <c r="M262" s="1993"/>
    </row>
    <row r="263" spans="1:13" ht="12.75">
      <c r="A263" s="10"/>
      <c r="B263" s="1532"/>
      <c r="C263" s="1533" t="s">
        <v>1151</v>
      </c>
      <c r="D263" s="1549" t="s">
        <v>1140</v>
      </c>
      <c r="E263" s="1533" t="s">
        <v>1164</v>
      </c>
      <c r="F263" s="1540">
        <v>9873</v>
      </c>
      <c r="G263" s="1533" t="s">
        <v>67</v>
      </c>
      <c r="H263" s="1537">
        <v>140366</v>
      </c>
      <c r="I263" s="1533" t="s">
        <v>12</v>
      </c>
      <c r="J263" s="1547">
        <v>1385.8335179999999</v>
      </c>
      <c r="K263" s="1537">
        <v>158.57728038937941</v>
      </c>
      <c r="L263" s="1546">
        <v>4.5815656105079993E-3</v>
      </c>
      <c r="M263" s="1993">
        <v>9.1631312210159975E-4</v>
      </c>
    </row>
    <row r="264" spans="1:13" ht="13.5" thickBot="1">
      <c r="A264" s="10"/>
      <c r="B264" s="1532"/>
      <c r="C264" s="1533"/>
      <c r="D264" s="1533"/>
      <c r="E264" s="1533"/>
      <c r="F264" s="1540"/>
      <c r="G264" s="1533"/>
      <c r="H264" s="1537"/>
      <c r="I264" s="1533"/>
      <c r="J264" s="1533"/>
      <c r="K264" s="1533"/>
      <c r="L264" s="1533"/>
      <c r="M264" s="1533"/>
    </row>
    <row r="265" spans="1:13" ht="12.75">
      <c r="A265" s="10"/>
      <c r="B265" s="1576"/>
      <c r="C265" s="1530"/>
      <c r="D265" s="1530"/>
      <c r="E265" s="1530"/>
      <c r="F265" s="1577"/>
      <c r="G265" s="1530"/>
      <c r="H265" s="1508"/>
      <c r="I265" s="1530"/>
      <c r="J265" s="1530"/>
      <c r="K265" s="1530"/>
      <c r="L265" s="1530"/>
      <c r="M265" s="1530"/>
    </row>
    <row r="266" spans="1:13" ht="12.75">
      <c r="A266" s="10"/>
      <c r="B266" s="1532" t="s">
        <v>1152</v>
      </c>
      <c r="C266" s="2" t="s">
        <v>1153</v>
      </c>
      <c r="D266" s="1533"/>
      <c r="E266" s="1533"/>
      <c r="F266" s="1537"/>
      <c r="G266" s="1533"/>
      <c r="H266" s="1537"/>
      <c r="I266" s="1533"/>
      <c r="J266" s="1547"/>
      <c r="K266" s="1537"/>
      <c r="L266" s="1546"/>
      <c r="M266" s="1533"/>
    </row>
    <row r="267" spans="1:13" ht="12.75">
      <c r="A267" s="10"/>
      <c r="B267" s="1532"/>
      <c r="C267" s="1533" t="s">
        <v>68</v>
      </c>
      <c r="D267" s="1533" t="s">
        <v>1138</v>
      </c>
      <c r="E267" s="1533" t="s">
        <v>71</v>
      </c>
      <c r="F267" s="1540">
        <v>49558</v>
      </c>
      <c r="G267" s="1533" t="s">
        <v>67</v>
      </c>
      <c r="H267" s="1561">
        <v>0.152</v>
      </c>
      <c r="I267" s="1533" t="s">
        <v>1160</v>
      </c>
      <c r="J267" s="1551">
        <v>7532.8159999999998</v>
      </c>
      <c r="K267" s="1552">
        <v>0.4310880890544232</v>
      </c>
      <c r="L267" s="1561">
        <v>2.4E-2</v>
      </c>
      <c r="M267" s="1591">
        <v>4.0000000000000001E-3</v>
      </c>
    </row>
    <row r="268" spans="1:13" ht="12.75">
      <c r="A268" s="10"/>
      <c r="B268" s="1532"/>
      <c r="C268" s="1533"/>
      <c r="D268" s="1533"/>
      <c r="E268" s="1533"/>
      <c r="F268" s="1537"/>
      <c r="G268" s="1533"/>
      <c r="H268" s="1537"/>
      <c r="I268" s="1533"/>
      <c r="J268" s="1542"/>
      <c r="K268" s="1554"/>
      <c r="L268" s="1544"/>
      <c r="M268" s="1533"/>
    </row>
    <row r="269" spans="1:13" ht="12.75">
      <c r="A269" s="10"/>
      <c r="B269" s="1532"/>
      <c r="C269" s="1533" t="s">
        <v>69</v>
      </c>
      <c r="D269" s="1533" t="s">
        <v>70</v>
      </c>
      <c r="E269" s="1533" t="s">
        <v>71</v>
      </c>
      <c r="F269" s="1540">
        <v>1102317</v>
      </c>
      <c r="G269" s="1533" t="s">
        <v>67</v>
      </c>
      <c r="H269" s="1561">
        <v>0.152</v>
      </c>
      <c r="I269" s="1533" t="s">
        <v>1161</v>
      </c>
      <c r="J269" s="1553">
        <v>167552.18400000001</v>
      </c>
      <c r="K269" s="1537">
        <v>71.531541184385247</v>
      </c>
      <c r="L269" s="1556">
        <v>0.55000000000000004</v>
      </c>
      <c r="M269" s="1591">
        <v>0.11</v>
      </c>
    </row>
    <row r="270" spans="1:13" ht="13.5" thickBot="1">
      <c r="A270" s="10"/>
      <c r="B270" s="1532"/>
      <c r="C270" s="1533"/>
      <c r="D270" s="1533"/>
      <c r="E270" s="1533"/>
      <c r="F270" s="1540"/>
      <c r="G270" s="1533"/>
      <c r="H270" s="1537"/>
      <c r="I270" s="1564"/>
      <c r="J270" s="1542"/>
      <c r="K270" s="1533"/>
      <c r="L270" s="1533"/>
      <c r="M270" s="1533"/>
    </row>
    <row r="271" spans="1:13" ht="12.75">
      <c r="A271" s="10"/>
      <c r="B271" s="1576"/>
      <c r="C271" s="1530"/>
      <c r="D271" s="1530"/>
      <c r="E271" s="1530"/>
      <c r="F271" s="1577"/>
      <c r="G271" s="1530"/>
      <c r="H271" s="1508"/>
      <c r="I271" s="1590"/>
      <c r="J271" s="1585"/>
      <c r="K271" s="1530"/>
      <c r="L271" s="1530"/>
      <c r="M271" s="1530"/>
    </row>
    <row r="272" spans="1:13" ht="12.75">
      <c r="A272" s="10"/>
      <c r="B272" s="1532" t="s">
        <v>54</v>
      </c>
      <c r="C272" s="2" t="s">
        <v>55</v>
      </c>
      <c r="D272" s="1533"/>
      <c r="E272" s="1533"/>
      <c r="F272" s="1533"/>
      <c r="G272" s="1533"/>
      <c r="H272" s="1533"/>
      <c r="I272" s="1533"/>
      <c r="J272" s="1533"/>
      <c r="K272" s="1533"/>
      <c r="L272" s="1533"/>
      <c r="M272" s="1533"/>
    </row>
    <row r="273" spans="1:13" ht="12.75">
      <c r="A273" s="10"/>
      <c r="B273" s="1532"/>
      <c r="C273" s="1533" t="s">
        <v>286</v>
      </c>
      <c r="D273" s="1533" t="s">
        <v>56</v>
      </c>
      <c r="E273" s="1533" t="s">
        <v>66</v>
      </c>
      <c r="F273" s="1565">
        <v>249656</v>
      </c>
      <c r="G273" s="1533" t="s">
        <v>67</v>
      </c>
      <c r="H273" s="1565">
        <v>152802</v>
      </c>
      <c r="I273" s="1533" t="s">
        <v>57</v>
      </c>
      <c r="J273" s="1535">
        <v>38147.936112000003</v>
      </c>
      <c r="K273" s="1535">
        <v>2790.5670959514705</v>
      </c>
      <c r="L273" s="1591">
        <v>0.11</v>
      </c>
      <c r="M273" s="1591">
        <v>0</v>
      </c>
    </row>
    <row r="274" spans="1:13" ht="13.5" thickBot="1">
      <c r="A274" s="10"/>
      <c r="B274" s="1532"/>
      <c r="C274" s="1533"/>
      <c r="D274" s="1533"/>
      <c r="E274" s="1533"/>
      <c r="F274" s="1534"/>
      <c r="G274" s="1533"/>
      <c r="H274" s="1535"/>
      <c r="I274" s="1533"/>
      <c r="J274" s="1535"/>
      <c r="K274" s="1533"/>
      <c r="L274" s="1533"/>
      <c r="M274" s="1533"/>
    </row>
    <row r="275" spans="1:13" ht="12.75">
      <c r="A275" s="10"/>
      <c r="B275" s="1576"/>
      <c r="C275" s="1530"/>
      <c r="D275" s="1530"/>
      <c r="E275" s="1530"/>
      <c r="F275" s="1530"/>
      <c r="G275" s="1530"/>
      <c r="H275" s="1530"/>
      <c r="I275" s="1530"/>
      <c r="J275" s="1530"/>
      <c r="K275" s="1530"/>
      <c r="L275" s="1530"/>
      <c r="M275" s="1530"/>
    </row>
    <row r="276" spans="1:13" ht="12.75">
      <c r="A276" s="10"/>
      <c r="B276" s="1532" t="s">
        <v>0</v>
      </c>
      <c r="C276" s="169" t="s">
        <v>1</v>
      </c>
      <c r="D276" s="1533"/>
      <c r="E276" s="1533"/>
      <c r="F276" s="1533"/>
      <c r="G276" s="1533"/>
      <c r="H276" s="1533"/>
      <c r="I276" s="1533"/>
      <c r="J276" s="1533"/>
      <c r="K276" s="1533"/>
      <c r="L276" s="1533"/>
      <c r="M276" s="1533"/>
    </row>
    <row r="277" spans="1:13" ht="12.75">
      <c r="A277" s="10"/>
      <c r="B277" s="1532"/>
      <c r="C277" s="1533" t="s">
        <v>4</v>
      </c>
      <c r="D277" s="1533" t="s">
        <v>5</v>
      </c>
      <c r="E277" s="1533" t="s">
        <v>1164</v>
      </c>
      <c r="F277" s="1565">
        <v>9935</v>
      </c>
      <c r="G277" s="1533" t="s">
        <v>67</v>
      </c>
      <c r="H277" s="1535">
        <v>139181</v>
      </c>
      <c r="I277" s="1533" t="s">
        <v>57</v>
      </c>
      <c r="J277" s="1540">
        <v>1382.7632349999999</v>
      </c>
      <c r="K277" s="1758">
        <v>131.24336860582227</v>
      </c>
      <c r="L277" s="1603">
        <v>4.5727068644345519E-3</v>
      </c>
      <c r="M277" s="1603">
        <v>9.1454137288691031E-4</v>
      </c>
    </row>
    <row r="278" spans="1:13" ht="13.5" thickBot="1">
      <c r="A278" s="10"/>
      <c r="B278" s="1532"/>
      <c r="C278" s="1533"/>
      <c r="D278" s="1533"/>
      <c r="E278" s="1533"/>
      <c r="F278" s="1533"/>
      <c r="G278" s="1533"/>
      <c r="H278" s="1533"/>
      <c r="I278" s="1533"/>
      <c r="J278" s="1533"/>
      <c r="K278" s="1533"/>
      <c r="L278" s="1533"/>
      <c r="M278" s="1533"/>
    </row>
    <row r="279" spans="1:13" ht="12.75">
      <c r="A279" s="10"/>
      <c r="B279" s="1576"/>
      <c r="C279" s="1530"/>
      <c r="D279" s="1530"/>
      <c r="E279" s="1530"/>
      <c r="F279" s="1530"/>
      <c r="G279" s="1530"/>
      <c r="H279" s="1530"/>
      <c r="I279" s="1530"/>
      <c r="J279" s="1530"/>
      <c r="K279" s="1530"/>
      <c r="L279" s="1530"/>
      <c r="M279" s="1530"/>
    </row>
    <row r="280" spans="1:13" ht="12.75">
      <c r="A280" s="10"/>
      <c r="B280" s="1532" t="s">
        <v>8</v>
      </c>
      <c r="C280" s="169" t="s">
        <v>9</v>
      </c>
      <c r="D280" s="1533"/>
      <c r="E280" s="1533"/>
      <c r="F280" s="1533"/>
      <c r="G280" s="1533"/>
      <c r="H280" s="1533"/>
      <c r="I280" s="1533"/>
      <c r="J280" s="1533"/>
      <c r="K280" s="1533"/>
      <c r="L280" s="1533"/>
      <c r="M280" s="1533"/>
    </row>
    <row r="281" spans="1:13" ht="12.75">
      <c r="A281" s="10"/>
      <c r="B281" s="1532"/>
      <c r="C281" s="1533" t="s">
        <v>10</v>
      </c>
      <c r="D281" s="1533" t="s">
        <v>1138</v>
      </c>
      <c r="E281" s="1533" t="s">
        <v>1164</v>
      </c>
      <c r="F281" s="1565">
        <v>7699</v>
      </c>
      <c r="G281" s="1533" t="s">
        <v>67</v>
      </c>
      <c r="H281" s="1535">
        <v>137690</v>
      </c>
      <c r="I281" s="1533" t="s">
        <v>57</v>
      </c>
      <c r="J281" s="1540">
        <v>1060.0753099999999</v>
      </c>
      <c r="K281" s="1537">
        <v>100.59156780056819</v>
      </c>
      <c r="L281" s="1603">
        <v>1.1802244874361517E-2</v>
      </c>
      <c r="M281" s="1603">
        <v>1.7187735253924538E-3</v>
      </c>
    </row>
    <row r="282" spans="1:13" ht="12.75">
      <c r="A282" s="10"/>
      <c r="B282" s="1532"/>
      <c r="C282" s="1533"/>
      <c r="D282" s="1533"/>
      <c r="E282" s="1533"/>
      <c r="F282" s="1533"/>
      <c r="G282" s="1533"/>
      <c r="H282" s="1533"/>
      <c r="I282" s="1533"/>
      <c r="J282" s="1547"/>
      <c r="K282" s="1535"/>
      <c r="L282" s="1533"/>
      <c r="M282" s="1533"/>
    </row>
    <row r="283" spans="1:13" ht="12.75">
      <c r="A283" s="10"/>
      <c r="B283" s="1532"/>
      <c r="C283" s="1533" t="s">
        <v>11</v>
      </c>
      <c r="D283" s="1533" t="s">
        <v>1140</v>
      </c>
      <c r="E283" s="1533" t="s">
        <v>1164</v>
      </c>
      <c r="F283" s="1565">
        <v>12750</v>
      </c>
      <c r="G283" s="1533" t="s">
        <v>67</v>
      </c>
      <c r="H283" s="1535">
        <v>137690</v>
      </c>
      <c r="I283" s="1533" t="s">
        <v>57</v>
      </c>
      <c r="J283" s="1540">
        <v>1755.5474999999999</v>
      </c>
      <c r="K283" s="1537">
        <v>85.408819032700322</v>
      </c>
      <c r="L283" s="1603">
        <v>1.0017460693981805E-2</v>
      </c>
      <c r="M283" s="1603">
        <v>1.4588815464473444E-3</v>
      </c>
    </row>
    <row r="284" spans="1:13" ht="13.5" thickBot="1">
      <c r="A284" s="10"/>
      <c r="B284" s="1532"/>
      <c r="C284" s="1533"/>
      <c r="D284" s="1533"/>
      <c r="E284" s="1533"/>
      <c r="F284" s="1533"/>
      <c r="G284" s="1533"/>
      <c r="H284" s="1533"/>
      <c r="I284" s="1533"/>
      <c r="J284" s="1537"/>
      <c r="K284" s="1533"/>
      <c r="L284" s="1533"/>
      <c r="M284" s="1533"/>
    </row>
    <row r="285" spans="1:13" ht="12.75">
      <c r="A285" s="10"/>
      <c r="B285" s="1576"/>
      <c r="C285" s="1530"/>
      <c r="D285" s="1530"/>
      <c r="E285" s="1530"/>
      <c r="F285" s="1530"/>
      <c r="G285" s="1530"/>
      <c r="H285" s="1530"/>
      <c r="I285" s="1530"/>
      <c r="J285" s="1530"/>
      <c r="K285" s="1530"/>
      <c r="L285" s="1530"/>
      <c r="M285" s="1530"/>
    </row>
    <row r="286" spans="1:13" ht="12.75">
      <c r="A286" s="10"/>
      <c r="B286" s="1532" t="s">
        <v>1257</v>
      </c>
      <c r="C286" s="169" t="s">
        <v>1258</v>
      </c>
      <c r="D286" s="1533"/>
      <c r="E286" s="1533"/>
      <c r="F286" s="1533"/>
      <c r="G286" s="1533"/>
      <c r="H286" s="1533"/>
      <c r="I286" s="1533"/>
      <c r="J286" s="1533"/>
      <c r="K286" s="1533"/>
      <c r="L286" s="1533"/>
      <c r="M286" s="1533"/>
    </row>
    <row r="287" spans="1:13" ht="12.75">
      <c r="A287" s="10"/>
      <c r="B287" s="1532"/>
      <c r="C287" s="1533" t="s">
        <v>1259</v>
      </c>
      <c r="D287" s="1533" t="s">
        <v>1264</v>
      </c>
      <c r="E287" s="1533" t="s">
        <v>66</v>
      </c>
      <c r="F287" s="1569">
        <v>1687.2</v>
      </c>
      <c r="G287" s="1533" t="s">
        <v>67</v>
      </c>
      <c r="H287" s="1537">
        <v>152802</v>
      </c>
      <c r="I287" s="1533" t="s">
        <v>140</v>
      </c>
      <c r="J287" s="1569">
        <v>257.80753440000001</v>
      </c>
      <c r="K287" s="1991">
        <v>20</v>
      </c>
      <c r="L287" s="1991">
        <v>1.1999999999999999E-3</v>
      </c>
      <c r="M287" s="1991">
        <v>0</v>
      </c>
    </row>
    <row r="288" spans="1:13" ht="12.75">
      <c r="A288" s="10"/>
      <c r="B288" s="1532"/>
      <c r="C288" s="1533" t="s">
        <v>1260</v>
      </c>
      <c r="D288" s="1533" t="s">
        <v>1265</v>
      </c>
      <c r="E288" s="1533" t="s">
        <v>66</v>
      </c>
      <c r="F288" s="1569">
        <v>1732.8</v>
      </c>
      <c r="G288" s="1533" t="s">
        <v>67</v>
      </c>
      <c r="H288" s="1537">
        <v>152802</v>
      </c>
      <c r="I288" s="1533" t="s">
        <v>140</v>
      </c>
      <c r="J288" s="1569">
        <v>264.77530559999997</v>
      </c>
      <c r="K288" s="1991">
        <v>20</v>
      </c>
      <c r="L288" s="1991">
        <v>1.1999999999999999E-3</v>
      </c>
      <c r="M288" s="1991">
        <v>0</v>
      </c>
    </row>
    <row r="289" spans="1:13" ht="12.75">
      <c r="A289" s="10"/>
      <c r="B289" s="1532"/>
      <c r="C289" s="1533" t="s">
        <v>1261</v>
      </c>
      <c r="D289" s="1533" t="s">
        <v>1266</v>
      </c>
      <c r="E289" s="1533" t="s">
        <v>66</v>
      </c>
      <c r="F289" s="1569">
        <v>1732.8</v>
      </c>
      <c r="G289" s="1533" t="s">
        <v>67</v>
      </c>
      <c r="H289" s="1537">
        <v>152802</v>
      </c>
      <c r="I289" s="1533" t="s">
        <v>140</v>
      </c>
      <c r="J289" s="1569">
        <v>264.77530559999997</v>
      </c>
      <c r="K289" s="1991">
        <v>21</v>
      </c>
      <c r="L289" s="1991">
        <v>1.1999999999999999E-3</v>
      </c>
      <c r="M289" s="1991">
        <v>0</v>
      </c>
    </row>
    <row r="290" spans="1:13" ht="12.75">
      <c r="A290" s="10"/>
      <c r="B290" s="1532"/>
      <c r="C290" s="1533" t="s">
        <v>1262</v>
      </c>
      <c r="D290" s="1533" t="s">
        <v>1267</v>
      </c>
      <c r="E290" s="1533" t="s">
        <v>66</v>
      </c>
      <c r="F290" s="1569">
        <v>1732.8</v>
      </c>
      <c r="G290" s="1533" t="s">
        <v>67</v>
      </c>
      <c r="H290" s="1537">
        <v>152802</v>
      </c>
      <c r="I290" s="1533" t="s">
        <v>140</v>
      </c>
      <c r="J290" s="1569">
        <v>264.77530559999997</v>
      </c>
      <c r="K290" s="1991">
        <v>21</v>
      </c>
      <c r="L290" s="1991">
        <v>1.1999999999999999E-3</v>
      </c>
      <c r="M290" s="1991">
        <v>0</v>
      </c>
    </row>
    <row r="291" spans="1:13" ht="12.75">
      <c r="A291" s="10"/>
      <c r="B291" s="1532"/>
      <c r="C291" s="1533" t="s">
        <v>1263</v>
      </c>
      <c r="D291" s="1533" t="s">
        <v>1268</v>
      </c>
      <c r="E291" s="1533" t="s">
        <v>66</v>
      </c>
      <c r="F291" s="1569">
        <v>1778.4</v>
      </c>
      <c r="G291" s="1533" t="s">
        <v>67</v>
      </c>
      <c r="H291" s="1537">
        <v>152802</v>
      </c>
      <c r="I291" s="1533" t="s">
        <v>140</v>
      </c>
      <c r="J291" s="1569">
        <v>271.74307680000004</v>
      </c>
      <c r="K291" s="1991">
        <v>21</v>
      </c>
      <c r="L291" s="1991">
        <v>1.1999999999999999E-3</v>
      </c>
      <c r="M291" s="1991">
        <v>0</v>
      </c>
    </row>
    <row r="292" spans="1:13" ht="13.5" thickBot="1">
      <c r="A292" s="10"/>
      <c r="B292" s="1579"/>
      <c r="C292" s="1512"/>
      <c r="D292" s="1512"/>
      <c r="E292" s="1512"/>
      <c r="F292" s="1512"/>
      <c r="G292" s="1512"/>
      <c r="H292" s="1512"/>
      <c r="I292" s="1512"/>
      <c r="J292" s="1512"/>
      <c r="K292" s="1512"/>
      <c r="L292" s="1512"/>
      <c r="M292" s="1512"/>
    </row>
    <row r="293" spans="1:13" ht="12.75">
      <c r="A293" s="10"/>
      <c r="B293" s="1532"/>
      <c r="C293" s="1533"/>
      <c r="D293" s="1533"/>
      <c r="E293" s="1533"/>
      <c r="F293" s="1533"/>
      <c r="G293" s="1533"/>
      <c r="H293" s="1533"/>
      <c r="I293" s="1533"/>
      <c r="J293" s="1533"/>
      <c r="K293" s="1533"/>
      <c r="L293" s="1533"/>
      <c r="M293" s="1533"/>
    </row>
    <row r="294" spans="1:13" ht="12.75">
      <c r="A294" s="10"/>
      <c r="B294" s="1532" t="s">
        <v>1269</v>
      </c>
      <c r="C294" s="169" t="s">
        <v>1270</v>
      </c>
      <c r="D294" s="1533"/>
      <c r="E294" s="1533"/>
      <c r="F294" s="1533"/>
      <c r="G294" s="1533"/>
      <c r="H294" s="1533"/>
      <c r="I294" s="1533"/>
      <c r="J294" s="1533"/>
      <c r="K294" s="1533"/>
      <c r="L294" s="1533"/>
      <c r="M294" s="1533"/>
    </row>
    <row r="295" spans="1:13" ht="12.75">
      <c r="A295" s="10"/>
      <c r="B295" s="1532"/>
      <c r="C295" s="1533" t="s">
        <v>1274</v>
      </c>
      <c r="D295" s="1533" t="s">
        <v>1279</v>
      </c>
      <c r="E295" s="1533" t="s">
        <v>66</v>
      </c>
      <c r="F295" s="1789">
        <v>108</v>
      </c>
      <c r="G295" s="1533" t="s">
        <v>67</v>
      </c>
      <c r="H295" s="1537">
        <v>137030</v>
      </c>
      <c r="I295" s="1533" t="s">
        <v>140</v>
      </c>
      <c r="J295" s="1988">
        <v>14.827</v>
      </c>
      <c r="K295" s="1789">
        <v>1</v>
      </c>
      <c r="L295" s="1986">
        <v>4.8999999999999998E-5</v>
      </c>
      <c r="M295" s="2003">
        <v>9.810000000000001E-4</v>
      </c>
    </row>
    <row r="296" spans="1:13" ht="12.75">
      <c r="A296" s="10"/>
      <c r="B296" s="1532"/>
      <c r="C296" s="1533"/>
      <c r="D296" s="1533"/>
      <c r="E296" s="1533"/>
      <c r="F296" s="1533"/>
      <c r="G296" s="1533"/>
      <c r="H296" s="1533"/>
      <c r="I296" s="1533"/>
      <c r="J296" s="1533"/>
      <c r="K296" s="1533"/>
      <c r="L296" s="1533"/>
      <c r="M296" s="1533"/>
    </row>
    <row r="297" spans="1:13" ht="13.5" thickBot="1">
      <c r="A297" s="10"/>
      <c r="B297" s="1574"/>
      <c r="C297" s="1536"/>
      <c r="D297" s="1536"/>
      <c r="E297" s="1536"/>
      <c r="F297" s="1536"/>
      <c r="G297" s="1536"/>
      <c r="H297" s="1536"/>
      <c r="I297" s="1536"/>
      <c r="J297" s="1536"/>
      <c r="K297" s="1536"/>
      <c r="L297" s="1536"/>
      <c r="M297" s="1536"/>
    </row>
    <row r="298" spans="1:13" ht="13.5" thickTop="1">
      <c r="A298" s="10"/>
      <c r="B298" s="10"/>
      <c r="C298" s="10"/>
      <c r="D298" s="10"/>
      <c r="E298" s="10"/>
      <c r="F298" s="10"/>
      <c r="G298" s="10"/>
      <c r="H298" s="10"/>
      <c r="I298" s="10"/>
      <c r="J298" s="10"/>
      <c r="K298" s="10"/>
      <c r="L298" s="10"/>
      <c r="M298" s="10"/>
    </row>
    <row r="299" spans="1:13" ht="13.5" thickBot="1">
      <c r="A299" s="10"/>
      <c r="B299" s="10"/>
      <c r="C299" s="10"/>
      <c r="D299" s="10"/>
      <c r="E299" s="10"/>
      <c r="F299" s="10"/>
      <c r="G299" s="10"/>
      <c r="H299" s="10"/>
      <c r="I299" s="10"/>
      <c r="J299" s="10"/>
      <c r="K299" s="10"/>
      <c r="L299" s="10"/>
      <c r="M299" s="10"/>
    </row>
    <row r="300" spans="1:13" ht="14.25" thickTop="1" thickBot="1">
      <c r="A300" s="10"/>
      <c r="B300" s="10"/>
      <c r="C300" s="10"/>
      <c r="D300" s="10"/>
      <c r="E300" s="10"/>
      <c r="F300" s="2004">
        <f>SUM(F261:F299)</f>
        <v>1455483</v>
      </c>
      <c r="G300" s="10"/>
      <c r="H300" s="10"/>
      <c r="I300" s="10"/>
      <c r="J300" s="1995">
        <f>SUM(J261:J299)</f>
        <v>220826.63272199992</v>
      </c>
      <c r="K300" s="1995">
        <f>SUM(K261:K299)</f>
        <v>3515.2467847431476</v>
      </c>
      <c r="L300" s="3383">
        <f>SUM(L261:L299)</f>
        <v>0.72324055529709974</v>
      </c>
      <c r="M300" s="3383">
        <f>SUM(M261:M299)</f>
        <v>0.12043302501759111</v>
      </c>
    </row>
    <row r="301" spans="1:13" ht="13.5" thickTop="1">
      <c r="A301" s="10"/>
      <c r="B301" s="10"/>
      <c r="C301" s="10"/>
      <c r="D301" s="10"/>
      <c r="E301" s="10"/>
      <c r="F301" s="10"/>
      <c r="G301" s="10"/>
      <c r="H301" s="10"/>
      <c r="I301" s="10"/>
      <c r="J301" s="10"/>
      <c r="K301" s="10"/>
      <c r="L301" s="10"/>
      <c r="M301" s="10"/>
    </row>
    <row r="302" spans="1:13" ht="21">
      <c r="A302" s="10"/>
      <c r="B302" s="2018" t="s">
        <v>325</v>
      </c>
      <c r="C302" s="2019"/>
      <c r="D302" s="2020"/>
      <c r="E302" s="10"/>
      <c r="F302" s="10"/>
      <c r="G302" s="10"/>
      <c r="H302" s="10"/>
      <c r="I302" s="10"/>
      <c r="J302" s="10"/>
      <c r="K302" s="10"/>
      <c r="L302" s="10"/>
      <c r="M302" s="10"/>
    </row>
    <row r="303" spans="1:13" ht="13.5" thickBot="1">
      <c r="A303" s="10"/>
      <c r="B303" s="10"/>
      <c r="C303" s="10"/>
      <c r="D303" s="10"/>
      <c r="E303" s="10"/>
      <c r="F303" s="10"/>
      <c r="G303" s="10"/>
      <c r="H303" s="10"/>
      <c r="I303" s="10"/>
      <c r="J303" s="10"/>
      <c r="K303" s="10"/>
      <c r="L303" s="10"/>
      <c r="M303" s="10"/>
    </row>
    <row r="304" spans="1:13" ht="15" thickTop="1">
      <c r="A304" s="10"/>
      <c r="B304" s="1593" t="s">
        <v>1117</v>
      </c>
      <c r="C304" s="1594" t="s">
        <v>1118</v>
      </c>
      <c r="D304" s="1594" t="s">
        <v>1119</v>
      </c>
      <c r="E304" s="1594" t="s">
        <v>1120</v>
      </c>
      <c r="F304" s="1594" t="s">
        <v>1121</v>
      </c>
      <c r="G304" s="1594" t="s">
        <v>1121</v>
      </c>
      <c r="H304" s="1594" t="s">
        <v>809</v>
      </c>
      <c r="I304" s="1594" t="s">
        <v>811</v>
      </c>
      <c r="J304" s="1595" t="s">
        <v>813</v>
      </c>
      <c r="K304" s="1594" t="s">
        <v>274</v>
      </c>
      <c r="L304" s="1594" t="s">
        <v>275</v>
      </c>
      <c r="M304" s="1594" t="s">
        <v>276</v>
      </c>
    </row>
    <row r="305" spans="1:13" ht="12.75">
      <c r="A305" s="10"/>
      <c r="B305" s="1597"/>
      <c r="C305" s="1598"/>
      <c r="D305" s="1598"/>
      <c r="E305" s="1598"/>
      <c r="F305" s="1598"/>
      <c r="G305" s="1598" t="s">
        <v>1123</v>
      </c>
      <c r="H305" s="1598" t="s">
        <v>810</v>
      </c>
      <c r="I305" s="1598" t="s">
        <v>812</v>
      </c>
      <c r="J305" s="1598" t="s">
        <v>1124</v>
      </c>
      <c r="K305" s="1598" t="s">
        <v>1122</v>
      </c>
      <c r="L305" s="1598" t="s">
        <v>1122</v>
      </c>
      <c r="M305" s="1598" t="s">
        <v>1122</v>
      </c>
    </row>
    <row r="306" spans="1:13" ht="13.5" thickBot="1">
      <c r="A306" s="10"/>
      <c r="B306" s="1532"/>
      <c r="C306" s="1533"/>
      <c r="D306" s="1533"/>
      <c r="E306" s="1533"/>
      <c r="F306" s="1533"/>
      <c r="G306" s="1533"/>
      <c r="H306" s="1533"/>
      <c r="I306" s="1533"/>
      <c r="J306" s="1533"/>
      <c r="K306" s="1540"/>
      <c r="L306" s="1533"/>
      <c r="M306" s="1533"/>
    </row>
    <row r="307" spans="1:13" ht="12.75">
      <c r="A307" s="10"/>
      <c r="B307" s="1576" t="s">
        <v>1125</v>
      </c>
      <c r="C307" s="127" t="s">
        <v>1126</v>
      </c>
      <c r="D307" s="1530"/>
      <c r="E307" s="1530"/>
      <c r="F307" s="1508"/>
      <c r="G307" s="1530"/>
      <c r="H307" s="1530"/>
      <c r="I307" s="1530"/>
      <c r="J307" s="1776"/>
      <c r="K307" s="1775"/>
      <c r="L307" s="1530"/>
      <c r="M307" s="1530"/>
    </row>
    <row r="308" spans="1:13" ht="12.75">
      <c r="A308" s="10"/>
      <c r="B308" s="1532"/>
      <c r="C308" s="1533" t="s">
        <v>72</v>
      </c>
      <c r="D308" s="1533" t="s">
        <v>73</v>
      </c>
      <c r="E308" s="1533" t="s">
        <v>1114</v>
      </c>
      <c r="F308" s="1540">
        <v>3414700</v>
      </c>
      <c r="G308" s="1533" t="s">
        <v>147</v>
      </c>
      <c r="H308" s="1537">
        <v>1020</v>
      </c>
      <c r="I308" s="1533" t="s">
        <v>74</v>
      </c>
      <c r="J308" s="1774">
        <v>3482.9940000000001</v>
      </c>
      <c r="K308" s="514">
        <v>205.16</v>
      </c>
      <c r="L308" s="1786">
        <v>0</v>
      </c>
      <c r="M308" s="1786">
        <v>0</v>
      </c>
    </row>
    <row r="309" spans="1:13" ht="13.5" thickBot="1">
      <c r="A309" s="10"/>
      <c r="B309" s="1532"/>
      <c r="C309" s="1533"/>
      <c r="D309" s="1549"/>
      <c r="E309" s="1533"/>
      <c r="F309" s="1537"/>
      <c r="G309" s="1533"/>
      <c r="H309" s="1537"/>
      <c r="I309" s="1533"/>
      <c r="J309" s="1533"/>
      <c r="K309" s="1537"/>
      <c r="L309" s="1546"/>
      <c r="M309" s="1533"/>
    </row>
    <row r="310" spans="1:13" ht="12.75">
      <c r="A310" s="10"/>
      <c r="B310" s="1576"/>
      <c r="C310" s="1530"/>
      <c r="D310" s="1583"/>
      <c r="E310" s="1530"/>
      <c r="F310" s="1508"/>
      <c r="G310" s="1530"/>
      <c r="H310" s="1508"/>
      <c r="I310" s="1530"/>
      <c r="J310" s="1530"/>
      <c r="K310" s="1508"/>
      <c r="L310" s="1509"/>
      <c r="M310" s="1530"/>
    </row>
    <row r="311" spans="1:13" ht="12.75">
      <c r="A311" s="10"/>
      <c r="B311" s="1532" t="s">
        <v>1141</v>
      </c>
      <c r="C311" s="169" t="s">
        <v>1142</v>
      </c>
      <c r="D311" s="1549"/>
      <c r="E311" s="1533"/>
      <c r="F311" s="1537"/>
      <c r="G311" s="1533"/>
      <c r="H311" s="1537"/>
      <c r="I311" s="1533"/>
      <c r="J311" s="1533"/>
      <c r="K311" s="1537"/>
      <c r="L311" s="1546"/>
      <c r="M311" s="1533"/>
    </row>
    <row r="312" spans="1:13" ht="12.75">
      <c r="A312" s="10"/>
      <c r="B312" s="1532"/>
      <c r="C312" s="1533" t="s">
        <v>1143</v>
      </c>
      <c r="D312" s="1549" t="s">
        <v>1144</v>
      </c>
      <c r="E312" s="1533" t="s">
        <v>75</v>
      </c>
      <c r="F312" s="1540">
        <v>20272000</v>
      </c>
      <c r="G312" s="1533" t="s">
        <v>147</v>
      </c>
      <c r="H312" s="1537">
        <v>1063</v>
      </c>
      <c r="I312" s="1533" t="s">
        <v>76</v>
      </c>
      <c r="J312" s="1553">
        <v>21549.135999999999</v>
      </c>
      <c r="K312" s="1537">
        <v>2268.3908720086761</v>
      </c>
      <c r="L312" s="1546">
        <v>2.5999999999999999E-2</v>
      </c>
      <c r="M312" s="1533">
        <v>3.0000000000000001E-3</v>
      </c>
    </row>
    <row r="313" spans="1:13" ht="12.75">
      <c r="A313" s="10"/>
      <c r="B313" s="1532"/>
      <c r="C313" s="1533"/>
      <c r="D313" s="1549"/>
      <c r="E313" s="1533"/>
      <c r="F313" s="1537"/>
      <c r="G313" s="1533"/>
      <c r="H313" s="1537"/>
      <c r="I313" s="1533"/>
      <c r="J313" s="1542"/>
      <c r="K313" s="1533"/>
      <c r="L313" s="1533"/>
      <c r="M313" s="1533"/>
    </row>
    <row r="314" spans="1:13" ht="12.75">
      <c r="A314" s="10"/>
      <c r="B314" s="1532"/>
      <c r="C314" s="1533" t="s">
        <v>1145</v>
      </c>
      <c r="D314" s="1549" t="s">
        <v>1146</v>
      </c>
      <c r="E314" s="1533" t="s">
        <v>75</v>
      </c>
      <c r="F314" s="1540">
        <v>31279</v>
      </c>
      <c r="G314" s="1533" t="s">
        <v>147</v>
      </c>
      <c r="H314" s="1537">
        <v>1054</v>
      </c>
      <c r="I314" s="1533" t="s">
        <v>76</v>
      </c>
      <c r="J314" s="1553">
        <v>32.968066</v>
      </c>
      <c r="K314" s="1537">
        <v>3.1297323889962043</v>
      </c>
      <c r="L314" s="1546">
        <v>0.04</v>
      </c>
      <c r="M314" s="1533">
        <v>4.0000000000000001E-3</v>
      </c>
    </row>
    <row r="315" spans="1:13" ht="13.5" thickBot="1">
      <c r="A315" s="10"/>
      <c r="B315" s="1532"/>
      <c r="C315" s="1533"/>
      <c r="D315" s="1533"/>
      <c r="E315" s="1533"/>
      <c r="F315" s="1537"/>
      <c r="G315" s="1533"/>
      <c r="H315" s="1537"/>
      <c r="I315" s="1533"/>
      <c r="J315" s="1547"/>
      <c r="K315" s="1537"/>
      <c r="L315" s="1546"/>
      <c r="M315" s="1533"/>
    </row>
    <row r="316" spans="1:13" ht="12.75">
      <c r="A316" s="10"/>
      <c r="B316" s="1576"/>
      <c r="C316" s="1510"/>
      <c r="D316" s="1530"/>
      <c r="E316" s="1530"/>
      <c r="F316" s="1508"/>
      <c r="G316" s="1530"/>
      <c r="H316" s="1508"/>
      <c r="I316" s="1530"/>
      <c r="J316" s="1531"/>
      <c r="K316" s="1508"/>
      <c r="L316" s="1509"/>
      <c r="M316" s="1530"/>
    </row>
    <row r="317" spans="1:13" ht="12.75">
      <c r="A317" s="10"/>
      <c r="B317" s="1532" t="s">
        <v>1147</v>
      </c>
      <c r="C317" s="2" t="s">
        <v>1148</v>
      </c>
      <c r="D317" s="1533"/>
      <c r="E317" s="1533"/>
      <c r="F317" s="1537"/>
      <c r="G317" s="1533"/>
      <c r="H317" s="1537"/>
      <c r="I317" s="1533"/>
      <c r="J317" s="1547"/>
      <c r="K317" s="1537"/>
      <c r="L317" s="1546"/>
      <c r="M317" s="1569"/>
    </row>
    <row r="318" spans="1:13" ht="12.75">
      <c r="A318" s="10"/>
      <c r="B318" s="1532"/>
      <c r="C318" s="1533" t="s">
        <v>1149</v>
      </c>
      <c r="D318" s="1549" t="s">
        <v>1138</v>
      </c>
      <c r="E318" s="1533" t="s">
        <v>77</v>
      </c>
      <c r="F318" s="1540">
        <v>53600</v>
      </c>
      <c r="G318" s="1533" t="s">
        <v>147</v>
      </c>
      <c r="H318" s="1537">
        <v>1057.7</v>
      </c>
      <c r="I318" s="1533" t="s">
        <v>76</v>
      </c>
      <c r="J318" s="1547">
        <v>56692.72</v>
      </c>
      <c r="K318" s="1537">
        <v>6161.0569634866024</v>
      </c>
      <c r="L318" s="1546">
        <v>6.2475377439999993E-2</v>
      </c>
      <c r="M318" s="1993">
        <v>6.2475377439999997E-3</v>
      </c>
    </row>
    <row r="319" spans="1:13" ht="12.75">
      <c r="A319" s="10"/>
      <c r="B319" s="1532"/>
      <c r="C319" s="1533"/>
      <c r="D319" s="1533"/>
      <c r="E319" s="1533"/>
      <c r="F319" s="1537"/>
      <c r="G319" s="1533"/>
      <c r="H319" s="1537"/>
      <c r="I319" s="1533"/>
      <c r="J319" s="1542"/>
      <c r="K319" s="1554"/>
      <c r="L319" s="1555"/>
      <c r="M319" s="1993"/>
    </row>
    <row r="320" spans="1:13" ht="12.75">
      <c r="A320" s="10"/>
      <c r="B320" s="1532"/>
      <c r="C320" s="1533" t="s">
        <v>1151</v>
      </c>
      <c r="D320" s="1549" t="s">
        <v>1140</v>
      </c>
      <c r="E320" s="1533" t="s">
        <v>77</v>
      </c>
      <c r="F320" s="1540">
        <v>38650</v>
      </c>
      <c r="G320" s="1533" t="s">
        <v>147</v>
      </c>
      <c r="H320" s="1537">
        <v>1057.7</v>
      </c>
      <c r="I320" s="1533" t="s">
        <v>76</v>
      </c>
      <c r="J320" s="1547">
        <v>40880.105000000003</v>
      </c>
      <c r="K320" s="1537">
        <v>4439.4687771083809</v>
      </c>
      <c r="L320" s="1546">
        <v>4.5049875710000006E-2</v>
      </c>
      <c r="M320" s="1993">
        <v>4.5062139741500005E-3</v>
      </c>
    </row>
    <row r="321" spans="1:13" ht="12.75">
      <c r="A321" s="10"/>
      <c r="B321" s="1532"/>
      <c r="C321" s="1533"/>
      <c r="D321" s="1549"/>
      <c r="E321" s="1533"/>
      <c r="F321" s="1537"/>
      <c r="G321" s="1533"/>
      <c r="H321" s="1537"/>
      <c r="I321" s="1533"/>
      <c r="J321" s="1547"/>
      <c r="K321" s="1537"/>
      <c r="L321" s="1546"/>
      <c r="M321" s="1994"/>
    </row>
    <row r="322" spans="1:13" ht="12.75">
      <c r="A322" s="10"/>
      <c r="B322" s="1532"/>
      <c r="C322" s="1533" t="s">
        <v>19</v>
      </c>
      <c r="D322" s="1549" t="s">
        <v>1157</v>
      </c>
      <c r="E322" s="1533" t="s">
        <v>77</v>
      </c>
      <c r="F322" s="1540">
        <v>1079160</v>
      </c>
      <c r="G322" s="1533" t="s">
        <v>147</v>
      </c>
      <c r="H322" s="1537">
        <v>1057.7</v>
      </c>
      <c r="I322" s="1533" t="s">
        <v>76</v>
      </c>
      <c r="J322" s="1547">
        <v>1141427.5319999999</v>
      </c>
      <c r="K322" s="1537">
        <v>59431.915601819797</v>
      </c>
      <c r="L322" s="1546">
        <v>1.2578531402639999</v>
      </c>
      <c r="M322" s="1993">
        <v>0.1257853140264</v>
      </c>
    </row>
    <row r="323" spans="1:13" ht="12.75">
      <c r="A323" s="10"/>
      <c r="B323" s="1532"/>
      <c r="C323" s="1533"/>
      <c r="D323" s="1549"/>
      <c r="E323" s="1533"/>
      <c r="F323" s="1537"/>
      <c r="G323" s="1533"/>
      <c r="H323" s="1537"/>
      <c r="I323" s="1533"/>
      <c r="J323" s="1547"/>
      <c r="K323" s="1537"/>
      <c r="L323" s="1546"/>
      <c r="M323" s="1994"/>
    </row>
    <row r="324" spans="1:13" ht="12.75">
      <c r="A324" s="10"/>
      <c r="B324" s="1532"/>
      <c r="C324" s="1533" t="s">
        <v>21</v>
      </c>
      <c r="D324" s="1549" t="s">
        <v>20</v>
      </c>
      <c r="E324" s="1533" t="s">
        <v>77</v>
      </c>
      <c r="F324" s="1540">
        <v>3583460</v>
      </c>
      <c r="G324" s="1533" t="s">
        <v>147</v>
      </c>
      <c r="H324" s="1537">
        <v>1057.7</v>
      </c>
      <c r="I324" s="1533" t="s">
        <v>76</v>
      </c>
      <c r="J324" s="1547">
        <v>3790225.642</v>
      </c>
      <c r="K324" s="1537">
        <v>210142.7355208864</v>
      </c>
      <c r="L324" s="1546">
        <v>4.1768286574839992</v>
      </c>
      <c r="M324" s="1993">
        <v>0.41768286574840002</v>
      </c>
    </row>
    <row r="325" spans="1:13" ht="12.75">
      <c r="A325" s="10"/>
      <c r="B325" s="1532"/>
      <c r="C325" s="1533"/>
      <c r="D325" s="1549"/>
      <c r="E325" s="1533"/>
      <c r="F325" s="1537"/>
      <c r="G325" s="1533"/>
      <c r="H325" s="1537"/>
      <c r="I325" s="1533"/>
      <c r="J325" s="1542"/>
      <c r="K325" s="1537"/>
      <c r="L325" s="1546"/>
      <c r="M325" s="1994"/>
    </row>
    <row r="326" spans="1:13" ht="12.75">
      <c r="A326" s="10"/>
      <c r="B326" s="1532"/>
      <c r="C326" s="1533" t="s">
        <v>26</v>
      </c>
      <c r="D326" s="1559" t="s">
        <v>27</v>
      </c>
      <c r="E326" s="1533" t="s">
        <v>77</v>
      </c>
      <c r="F326" s="1540">
        <v>8830</v>
      </c>
      <c r="G326" s="1533" t="s">
        <v>147</v>
      </c>
      <c r="H326" s="1537">
        <v>1057.7</v>
      </c>
      <c r="I326" s="1533" t="s">
        <v>76</v>
      </c>
      <c r="J326" s="1547">
        <v>9339.491</v>
      </c>
      <c r="K326" s="1543">
        <v>695.68021472023781</v>
      </c>
      <c r="L326" s="1546">
        <v>1.0292119081999999E-2</v>
      </c>
      <c r="M326" s="1993">
        <v>1.0292119081999999E-3</v>
      </c>
    </row>
    <row r="327" spans="1:13" ht="12.75">
      <c r="A327" s="10"/>
      <c r="B327" s="1532"/>
      <c r="C327" s="1533"/>
      <c r="D327" s="1549"/>
      <c r="E327" s="1533"/>
      <c r="F327" s="1537"/>
      <c r="G327" s="1533"/>
      <c r="H327" s="1537"/>
      <c r="I327" s="1533"/>
      <c r="J327" s="1543"/>
      <c r="K327" s="1543"/>
      <c r="L327" s="1544"/>
      <c r="M327" s="1993"/>
    </row>
    <row r="328" spans="1:13" ht="12.75">
      <c r="A328" s="10"/>
      <c r="B328" s="1532"/>
      <c r="C328" s="1533" t="s">
        <v>28</v>
      </c>
      <c r="D328" s="1559" t="s">
        <v>29</v>
      </c>
      <c r="E328" s="1533" t="s">
        <v>77</v>
      </c>
      <c r="F328" s="1540">
        <v>12030</v>
      </c>
      <c r="G328" s="1533" t="s">
        <v>147</v>
      </c>
      <c r="H328" s="1537">
        <v>1057.7</v>
      </c>
      <c r="I328" s="1533" t="s">
        <v>76</v>
      </c>
      <c r="J328" s="1547">
        <v>12724.130999999999</v>
      </c>
      <c r="K328" s="1543">
        <v>899.14703620517992</v>
      </c>
      <c r="L328" s="1546">
        <v>1.4021992361999998E-2</v>
      </c>
      <c r="M328" s="1993">
        <v>1.4021992361999999E-3</v>
      </c>
    </row>
    <row r="329" spans="1:13" ht="12.75">
      <c r="A329" s="10"/>
      <c r="B329" s="1532"/>
      <c r="C329" s="1533"/>
      <c r="D329" s="1549"/>
      <c r="E329" s="1533"/>
      <c r="F329" s="1540"/>
      <c r="G329" s="1533"/>
      <c r="H329" s="1537"/>
      <c r="I329" s="1533"/>
      <c r="J329" s="1542"/>
      <c r="K329" s="1543"/>
      <c r="L329" s="1544"/>
      <c r="M329" s="1993"/>
    </row>
    <row r="330" spans="1:13" ht="12.75">
      <c r="A330" s="10"/>
      <c r="B330" s="1532"/>
      <c r="C330" s="1533"/>
      <c r="D330" s="1559" t="s">
        <v>764</v>
      </c>
      <c r="E330" s="1533" t="s">
        <v>77</v>
      </c>
      <c r="F330" s="1540">
        <v>15520</v>
      </c>
      <c r="G330" s="1533" t="s">
        <v>147</v>
      </c>
      <c r="H330" s="1537">
        <v>1057.7</v>
      </c>
      <c r="I330" s="1533" t="s">
        <v>76</v>
      </c>
      <c r="J330" s="1547">
        <v>16415.504000000001</v>
      </c>
      <c r="K330" s="1543">
        <v>1159.9968413885613</v>
      </c>
      <c r="L330" s="1546">
        <v>1.8089885408000002E-2</v>
      </c>
      <c r="M330" s="1993">
        <v>1.8089885407999999E-3</v>
      </c>
    </row>
    <row r="331" spans="1:13" ht="12.75">
      <c r="A331" s="10"/>
      <c r="B331" s="1532"/>
      <c r="C331" s="1533"/>
      <c r="D331" s="1549"/>
      <c r="E331" s="1533"/>
      <c r="F331" s="1537"/>
      <c r="G331" s="1533"/>
      <c r="H331" s="1537"/>
      <c r="I331" s="1533"/>
      <c r="J331" s="1542"/>
      <c r="K331" s="1543"/>
      <c r="L331" s="1544"/>
      <c r="M331" s="1993"/>
    </row>
    <row r="332" spans="1:13" ht="12.75">
      <c r="A332" s="10"/>
      <c r="B332" s="1532"/>
      <c r="C332" s="1533" t="s">
        <v>30</v>
      </c>
      <c r="D332" s="1559" t="s">
        <v>31</v>
      </c>
      <c r="E332" s="1533" t="s">
        <v>77</v>
      </c>
      <c r="F332" s="1540">
        <v>6200</v>
      </c>
      <c r="G332" s="1533" t="s">
        <v>147</v>
      </c>
      <c r="H332" s="1537">
        <v>1057.7</v>
      </c>
      <c r="I332" s="1533" t="s">
        <v>76</v>
      </c>
      <c r="J332" s="1547">
        <v>6557.74</v>
      </c>
      <c r="K332" s="1543">
        <v>499.86754402377903</v>
      </c>
      <c r="L332" s="1546">
        <v>7.226629479999999E-3</v>
      </c>
      <c r="M332" s="1993">
        <v>5.5085403351420445E-5</v>
      </c>
    </row>
    <row r="333" spans="1:13" ht="13.5" thickBot="1">
      <c r="A333" s="10"/>
      <c r="B333" s="1532"/>
      <c r="C333" s="1533"/>
      <c r="D333" s="1533"/>
      <c r="E333" s="1533"/>
      <c r="F333" s="1537"/>
      <c r="G333" s="1533"/>
      <c r="H333" s="1537"/>
      <c r="I333" s="1533"/>
      <c r="J333" s="1547"/>
      <c r="K333" s="1537"/>
      <c r="L333" s="1546"/>
      <c r="M333" s="1533"/>
    </row>
    <row r="334" spans="1:13" ht="12.75">
      <c r="A334" s="10"/>
      <c r="B334" s="1576"/>
      <c r="C334" s="1530"/>
      <c r="D334" s="1530"/>
      <c r="E334" s="1530"/>
      <c r="F334" s="1508"/>
      <c r="G334" s="1530"/>
      <c r="H334" s="1508"/>
      <c r="I334" s="1530"/>
      <c r="J334" s="1531"/>
      <c r="K334" s="1508"/>
      <c r="L334" s="1509"/>
      <c r="M334" s="1530"/>
    </row>
    <row r="335" spans="1:13" ht="12.75">
      <c r="A335" s="10"/>
      <c r="B335" s="1532" t="s">
        <v>78</v>
      </c>
      <c r="C335" s="2" t="s">
        <v>79</v>
      </c>
      <c r="D335" s="1533"/>
      <c r="E335" s="1533"/>
      <c r="F335" s="1537"/>
      <c r="G335" s="1533"/>
      <c r="H335" s="1537"/>
      <c r="I335" s="1533"/>
      <c r="J335" s="1547"/>
      <c r="K335" s="1537"/>
      <c r="L335" s="1546"/>
      <c r="M335" s="1533"/>
    </row>
    <row r="336" spans="1:13" ht="12.75">
      <c r="A336" s="10"/>
      <c r="B336" s="1532"/>
      <c r="C336" s="1533" t="s">
        <v>285</v>
      </c>
      <c r="D336" s="1533" t="s">
        <v>80</v>
      </c>
      <c r="E336" s="1533" t="s">
        <v>77</v>
      </c>
      <c r="F336" s="1540">
        <v>4900</v>
      </c>
      <c r="G336" s="1533" t="s">
        <v>147</v>
      </c>
      <c r="H336" s="1537">
        <v>1057.7</v>
      </c>
      <c r="I336" s="1533" t="s">
        <v>74</v>
      </c>
      <c r="J336" s="1547">
        <v>5182.7299999999996</v>
      </c>
      <c r="K336" s="1540">
        <v>330.85078492139968</v>
      </c>
      <c r="L336" s="1551">
        <v>5.7113684599999987E-3</v>
      </c>
      <c r="M336" s="1998">
        <v>5.7113684599999996E-4</v>
      </c>
    </row>
    <row r="337" spans="1:13" ht="13.5" thickBot="1">
      <c r="A337" s="10"/>
      <c r="B337" s="1532"/>
      <c r="C337" s="1533"/>
      <c r="D337" s="1533"/>
      <c r="E337" s="1533"/>
      <c r="F337" s="1540"/>
      <c r="G337" s="1533"/>
      <c r="H337" s="1537"/>
      <c r="I337" s="1533"/>
      <c r="J337" s="1533"/>
      <c r="K337" s="1533"/>
      <c r="L337" s="1533"/>
      <c r="M337" s="1533"/>
    </row>
    <row r="338" spans="1:13" ht="12.75">
      <c r="A338" s="10"/>
      <c r="B338" s="1576"/>
      <c r="C338" s="1530"/>
      <c r="D338" s="1530"/>
      <c r="E338" s="1530"/>
      <c r="F338" s="1577"/>
      <c r="G338" s="1530"/>
      <c r="H338" s="1508"/>
      <c r="I338" s="1530"/>
      <c r="J338" s="1530"/>
      <c r="K338" s="1530"/>
      <c r="L338" s="1530"/>
      <c r="M338" s="1530"/>
    </row>
    <row r="339" spans="1:13" ht="12.75">
      <c r="A339" s="10"/>
      <c r="B339" s="1532" t="s">
        <v>1152</v>
      </c>
      <c r="C339" s="2" t="s">
        <v>1153</v>
      </c>
      <c r="D339" s="1533"/>
      <c r="E339" s="1533"/>
      <c r="F339" s="1537"/>
      <c r="G339" s="1533"/>
      <c r="H339" s="1537"/>
      <c r="I339" s="1533"/>
      <c r="J339" s="1547"/>
      <c r="K339" s="1537"/>
      <c r="L339" s="1546"/>
      <c r="M339" s="1533"/>
    </row>
    <row r="340" spans="1:13" ht="12.75">
      <c r="A340" s="10"/>
      <c r="B340" s="1532"/>
      <c r="C340" s="1533" t="s">
        <v>68</v>
      </c>
      <c r="D340" s="1533" t="s">
        <v>1138</v>
      </c>
      <c r="E340" s="1533" t="s">
        <v>77</v>
      </c>
      <c r="F340" s="1540">
        <v>137890000</v>
      </c>
      <c r="G340" s="1533" t="s">
        <v>1162</v>
      </c>
      <c r="H340" s="1561">
        <v>1.083</v>
      </c>
      <c r="I340" s="1533" t="s">
        <v>1163</v>
      </c>
      <c r="J340" s="1553">
        <v>149334870</v>
      </c>
      <c r="K340" s="1552">
        <v>8546.5688901669037</v>
      </c>
      <c r="L340" s="1561">
        <v>0.16200000000000001</v>
      </c>
      <c r="M340" s="1591">
        <v>1.7000000000000001E-2</v>
      </c>
    </row>
    <row r="341" spans="1:13" ht="12.75">
      <c r="A341" s="10"/>
      <c r="B341" s="1532"/>
      <c r="C341" s="1533"/>
      <c r="D341" s="1533"/>
      <c r="E341" s="1533"/>
      <c r="F341" s="1537"/>
      <c r="G341" s="1533"/>
      <c r="H341" s="1537"/>
      <c r="I341" s="1533"/>
      <c r="J341" s="1542"/>
      <c r="K341" s="1554"/>
      <c r="L341" s="1544"/>
      <c r="M341" s="1533"/>
    </row>
    <row r="342" spans="1:13" ht="12.75">
      <c r="A342" s="10"/>
      <c r="B342" s="1532"/>
      <c r="C342" s="1533" t="s">
        <v>1154</v>
      </c>
      <c r="D342" s="1533" t="s">
        <v>1140</v>
      </c>
      <c r="E342" s="1533" t="s">
        <v>75</v>
      </c>
      <c r="F342" s="1540">
        <v>152620000</v>
      </c>
      <c r="G342" s="1533" t="s">
        <v>1162</v>
      </c>
      <c r="H342" s="1533">
        <v>1.079</v>
      </c>
      <c r="I342" s="1533" t="s">
        <v>1163</v>
      </c>
      <c r="J342" s="1553">
        <v>164676980</v>
      </c>
      <c r="K342" s="1543">
        <v>34972.701542857976</v>
      </c>
      <c r="L342" s="1556">
        <v>0.18</v>
      </c>
      <c r="M342" s="1591">
        <v>1.7999999999999999E-2</v>
      </c>
    </row>
    <row r="343" spans="1:13" ht="12.75">
      <c r="A343" s="10"/>
      <c r="B343" s="1532"/>
      <c r="C343" s="1533"/>
      <c r="D343" s="1533"/>
      <c r="E343" s="1533"/>
      <c r="F343" s="1537"/>
      <c r="G343" s="1533"/>
      <c r="H343" s="1537"/>
      <c r="I343" s="1533"/>
      <c r="J343" s="1542"/>
      <c r="K343" s="1554"/>
      <c r="L343" s="1544"/>
      <c r="M343" s="1533"/>
    </row>
    <row r="344" spans="1:13" ht="12.75">
      <c r="A344" s="10"/>
      <c r="B344" s="1532"/>
      <c r="C344" s="1533" t="s">
        <v>1156</v>
      </c>
      <c r="D344" s="1533" t="s">
        <v>1157</v>
      </c>
      <c r="E344" s="1533" t="s">
        <v>75</v>
      </c>
      <c r="F344" s="1540">
        <v>44820000</v>
      </c>
      <c r="G344" s="1533" t="s">
        <v>1162</v>
      </c>
      <c r="H344" s="1561">
        <v>1.0780000000000001</v>
      </c>
      <c r="I344" s="1533" t="s">
        <v>1163</v>
      </c>
      <c r="J344" s="1553">
        <v>48315960</v>
      </c>
      <c r="K344" s="1543">
        <v>195843.74436401241</v>
      </c>
      <c r="L344" s="1561">
        <v>5.2999999999999999E-2</v>
      </c>
      <c r="M344" s="1591">
        <v>6.0000000000000001E-3</v>
      </c>
    </row>
    <row r="345" spans="1:13" ht="12.75">
      <c r="A345" s="10"/>
      <c r="B345" s="1532"/>
      <c r="C345" s="1533"/>
      <c r="D345" s="1533"/>
      <c r="E345" s="1533"/>
      <c r="F345" s="1537"/>
      <c r="G345" s="1533"/>
      <c r="H345" s="1537"/>
      <c r="I345" s="1533"/>
      <c r="J345" s="1542"/>
      <c r="K345" s="1554"/>
      <c r="L345" s="1544"/>
      <c r="M345" s="1533"/>
    </row>
    <row r="346" spans="1:13" ht="12.75">
      <c r="A346" s="10"/>
      <c r="B346" s="1532"/>
      <c r="C346" s="1533" t="s">
        <v>69</v>
      </c>
      <c r="D346" s="1533" t="s">
        <v>70</v>
      </c>
      <c r="E346" s="1533" t="s">
        <v>75</v>
      </c>
      <c r="F346" s="1540">
        <v>32710000</v>
      </c>
      <c r="G346" s="1533" t="s">
        <v>1162</v>
      </c>
      <c r="H346" s="1561">
        <v>1.0880000000000001</v>
      </c>
      <c r="I346" s="1533" t="s">
        <v>1163</v>
      </c>
      <c r="J346" s="1553">
        <v>35588480</v>
      </c>
      <c r="K346" s="1546">
        <v>15193.468458815614</v>
      </c>
      <c r="L346" s="1561">
        <v>3.9E-2</v>
      </c>
      <c r="M346" s="1591">
        <v>3.0000000000000001E-3</v>
      </c>
    </row>
    <row r="347" spans="1:13" ht="13.5" thickBot="1">
      <c r="A347" s="10"/>
      <c r="B347" s="1532"/>
      <c r="C347" s="1533"/>
      <c r="D347" s="1533"/>
      <c r="E347" s="1533"/>
      <c r="F347" s="1540"/>
      <c r="G347" s="1533"/>
      <c r="H347" s="1561"/>
      <c r="I347" s="1533"/>
      <c r="J347" s="1542"/>
      <c r="K347" s="1554"/>
      <c r="L347" s="1563"/>
      <c r="M347" s="1533"/>
    </row>
    <row r="348" spans="1:13" ht="12.75">
      <c r="A348" s="10"/>
      <c r="B348" s="1576"/>
      <c r="C348" s="1530"/>
      <c r="D348" s="1530"/>
      <c r="E348" s="1530"/>
      <c r="F348" s="1577"/>
      <c r="G348" s="1530"/>
      <c r="H348" s="1584"/>
      <c r="I348" s="1530"/>
      <c r="J348" s="1585"/>
      <c r="K348" s="1586"/>
      <c r="L348" s="1587"/>
      <c r="M348" s="1530"/>
    </row>
    <row r="349" spans="1:13" ht="12.75">
      <c r="A349" s="10"/>
      <c r="B349" s="1532" t="s">
        <v>35</v>
      </c>
      <c r="C349" s="169" t="s">
        <v>36</v>
      </c>
      <c r="D349" s="1533"/>
      <c r="E349" s="1533"/>
      <c r="F349" s="1537"/>
      <c r="G349" s="1533"/>
      <c r="H349" s="1537"/>
      <c r="I349" s="1533"/>
      <c r="J349" s="1547"/>
      <c r="K349" s="1537"/>
      <c r="L349" s="1546"/>
      <c r="M349" s="1533"/>
    </row>
    <row r="350" spans="1:13" ht="12.75">
      <c r="A350" s="10"/>
      <c r="B350" s="1532"/>
      <c r="C350" s="1533" t="s">
        <v>37</v>
      </c>
      <c r="D350" s="1533" t="s">
        <v>38</v>
      </c>
      <c r="E350" s="1533" t="s">
        <v>77</v>
      </c>
      <c r="F350" s="1540">
        <v>822000000</v>
      </c>
      <c r="G350" s="1533" t="s">
        <v>147</v>
      </c>
      <c r="H350" s="1537">
        <v>1040</v>
      </c>
      <c r="I350" s="1533" t="s">
        <v>81</v>
      </c>
      <c r="J350" s="1547">
        <v>854880</v>
      </c>
      <c r="K350" s="1537">
        <v>51445.784017912389</v>
      </c>
      <c r="L350" s="1546">
        <v>1.1088432857243098</v>
      </c>
      <c r="M350" s="1603">
        <v>0.13633319086774301</v>
      </c>
    </row>
    <row r="351" spans="1:13" ht="12.75">
      <c r="A351" s="10"/>
      <c r="B351" s="1532"/>
      <c r="C351" s="1533"/>
      <c r="D351" s="1533"/>
      <c r="E351" s="1533"/>
      <c r="F351" s="1540"/>
      <c r="G351" s="1533"/>
      <c r="H351" s="1537"/>
      <c r="I351" s="1533"/>
      <c r="J351" s="1547"/>
      <c r="K351" s="1537"/>
      <c r="L351" s="1546"/>
      <c r="M351" s="1569"/>
    </row>
    <row r="352" spans="1:13" ht="12.75">
      <c r="A352" s="10"/>
      <c r="B352" s="1532"/>
      <c r="C352" s="1533" t="s">
        <v>1253</v>
      </c>
      <c r="D352" s="1533" t="s">
        <v>1249</v>
      </c>
      <c r="E352" s="1533" t="s">
        <v>77</v>
      </c>
      <c r="F352" s="1540">
        <v>750000000</v>
      </c>
      <c r="G352" s="1533" t="s">
        <v>147</v>
      </c>
      <c r="H352" s="1537">
        <v>1049</v>
      </c>
      <c r="I352" s="1533" t="s">
        <v>81</v>
      </c>
      <c r="J352" s="1547">
        <v>786750</v>
      </c>
      <c r="K352" s="1537">
        <v>47345.791896046903</v>
      </c>
      <c r="L352" s="1546">
        <v>0.90755425398904499</v>
      </c>
      <c r="M352" s="1603">
        <v>9.7586478923553224E-2</v>
      </c>
    </row>
    <row r="353" spans="1:13" ht="12.75">
      <c r="A353" s="10"/>
      <c r="B353" s="1532"/>
      <c r="C353" s="1533"/>
      <c r="D353" s="1533"/>
      <c r="E353" s="1533"/>
      <c r="F353" s="1540"/>
      <c r="G353" s="1533"/>
      <c r="H353" s="1537"/>
      <c r="I353" s="1533"/>
      <c r="J353" s="1542"/>
      <c r="K353" s="1554"/>
      <c r="L353" s="1766"/>
      <c r="M353" s="1766"/>
    </row>
    <row r="354" spans="1:13" ht="12.75">
      <c r="A354" s="10"/>
      <c r="B354" s="1532"/>
      <c r="C354" s="1533" t="s">
        <v>1254</v>
      </c>
      <c r="D354" s="1533" t="s">
        <v>1251</v>
      </c>
      <c r="E354" s="1533" t="s">
        <v>77</v>
      </c>
      <c r="F354" s="1540">
        <v>722000000</v>
      </c>
      <c r="G354" s="1533" t="s">
        <v>147</v>
      </c>
      <c r="H354" s="1537">
        <v>1049</v>
      </c>
      <c r="I354" s="1533" t="s">
        <v>81</v>
      </c>
      <c r="J354" s="1547">
        <v>757378</v>
      </c>
      <c r="K354" s="1537">
        <v>42785.202390389029</v>
      </c>
      <c r="L354" s="1546">
        <v>0.87714537930182523</v>
      </c>
      <c r="M354" s="1603">
        <v>9.7460597700202808E-2</v>
      </c>
    </row>
    <row r="355" spans="1:13" ht="13.5" thickBot="1">
      <c r="A355" s="10"/>
      <c r="B355" s="1532"/>
      <c r="C355" s="1533"/>
      <c r="D355" s="1533"/>
      <c r="E355" s="1533"/>
      <c r="F355" s="1540"/>
      <c r="G355" s="1533"/>
      <c r="H355" s="1537"/>
      <c r="I355" s="1533"/>
      <c r="J355" s="1547"/>
      <c r="K355" s="1543"/>
      <c r="L355" s="1544"/>
      <c r="M355" s="1533"/>
    </row>
    <row r="356" spans="1:13" ht="12.75">
      <c r="A356" s="10"/>
      <c r="B356" s="1576"/>
      <c r="C356" s="1530"/>
      <c r="D356" s="1530"/>
      <c r="E356" s="1530"/>
      <c r="F356" s="1577"/>
      <c r="G356" s="1530"/>
      <c r="H356" s="1508"/>
      <c r="I356" s="1530"/>
      <c r="J356" s="1531"/>
      <c r="K356" s="1588"/>
      <c r="L356" s="1589"/>
      <c r="M356" s="1530"/>
    </row>
    <row r="357" spans="1:13" ht="12.75">
      <c r="A357" s="10"/>
      <c r="B357" s="1532" t="s">
        <v>48</v>
      </c>
      <c r="C357" s="2" t="s">
        <v>49</v>
      </c>
      <c r="D357" s="1533"/>
      <c r="E357" s="1533"/>
      <c r="F357" s="1537"/>
      <c r="G357" s="1533"/>
      <c r="H357" s="1537"/>
      <c r="I357" s="1533"/>
      <c r="J357" s="1533"/>
      <c r="K357" s="1537"/>
      <c r="L357" s="1546"/>
      <c r="M357" s="1533"/>
    </row>
    <row r="358" spans="1:13" ht="12.75">
      <c r="A358" s="10"/>
      <c r="B358" s="1532"/>
      <c r="C358" s="1533" t="s">
        <v>83</v>
      </c>
      <c r="D358" s="1533" t="s">
        <v>84</v>
      </c>
      <c r="E358" s="1533" t="s">
        <v>77</v>
      </c>
      <c r="F358" s="10">
        <v>0</v>
      </c>
      <c r="G358" s="1533" t="s">
        <v>147</v>
      </c>
      <c r="H358" s="1537">
        <v>1020</v>
      </c>
      <c r="I358" s="1533" t="s">
        <v>82</v>
      </c>
      <c r="J358" s="1542">
        <v>0</v>
      </c>
      <c r="K358" s="10">
        <v>0</v>
      </c>
      <c r="L358" s="1608">
        <v>0</v>
      </c>
      <c r="M358" s="1999">
        <v>0</v>
      </c>
    </row>
    <row r="359" spans="1:13" ht="13.5" thickBot="1">
      <c r="A359" s="10"/>
      <c r="B359" s="1532"/>
      <c r="C359" s="1533"/>
      <c r="D359" s="1533"/>
      <c r="E359" s="1533"/>
      <c r="F359" s="1535"/>
      <c r="G359" s="1533"/>
      <c r="H359" s="1535"/>
      <c r="I359" s="1533"/>
      <c r="J359" s="1537"/>
      <c r="K359" s="1568"/>
      <c r="L359" s="1533"/>
      <c r="M359" s="1533"/>
    </row>
    <row r="360" spans="1:13" ht="12.75">
      <c r="A360" s="10"/>
      <c r="B360" s="1576"/>
      <c r="C360" s="1530"/>
      <c r="D360" s="1530"/>
      <c r="E360" s="1530"/>
      <c r="F360" s="1530"/>
      <c r="G360" s="1530"/>
      <c r="H360" s="1530"/>
      <c r="I360" s="1530"/>
      <c r="J360" s="1530"/>
      <c r="K360" s="1530"/>
      <c r="L360" s="1530"/>
      <c r="M360" s="1530"/>
    </row>
    <row r="361" spans="1:13" ht="12.75">
      <c r="A361" s="10"/>
      <c r="B361" s="1532" t="s">
        <v>85</v>
      </c>
      <c r="C361" s="2" t="s">
        <v>757</v>
      </c>
      <c r="D361" s="1533"/>
      <c r="E361" s="1533"/>
      <c r="F361" s="1533"/>
      <c r="G361" s="1533"/>
      <c r="H361" s="1533"/>
      <c r="I361" s="1533"/>
      <c r="J361" s="1533"/>
      <c r="K361" s="1533"/>
      <c r="L361" s="1533"/>
      <c r="M361" s="1533"/>
    </row>
    <row r="362" spans="1:13" ht="12.75">
      <c r="A362" s="10"/>
      <c r="B362" s="1532"/>
      <c r="C362" s="1533" t="s">
        <v>86</v>
      </c>
      <c r="D362" s="1533" t="s">
        <v>758</v>
      </c>
      <c r="E362" s="1533" t="s">
        <v>77</v>
      </c>
      <c r="F362" s="1540">
        <v>389000000</v>
      </c>
      <c r="G362" s="1533" t="s">
        <v>147</v>
      </c>
      <c r="H362" s="1535">
        <v>1041</v>
      </c>
      <c r="I362" s="1533" t="s">
        <v>759</v>
      </c>
      <c r="J362" s="1543">
        <v>404949</v>
      </c>
      <c r="K362" s="1554">
        <v>19898</v>
      </c>
      <c r="L362" s="1608">
        <v>0.45</v>
      </c>
      <c r="M362" s="1568">
        <v>0.04</v>
      </c>
    </row>
    <row r="363" spans="1:13" ht="13.5" thickBot="1">
      <c r="A363" s="10"/>
      <c r="B363" s="1532"/>
      <c r="C363" s="1533"/>
      <c r="D363" s="1533"/>
      <c r="E363" s="1533"/>
      <c r="F363" s="1533"/>
      <c r="G363" s="1533"/>
      <c r="H363" s="1533"/>
      <c r="I363" s="1533"/>
      <c r="J363" s="1533"/>
      <c r="K363" s="1533"/>
      <c r="L363" s="1533"/>
      <c r="M363" s="1533"/>
    </row>
    <row r="364" spans="1:13" ht="12.75">
      <c r="A364" s="10"/>
      <c r="B364" s="1576"/>
      <c r="C364" s="1530"/>
      <c r="D364" s="1530"/>
      <c r="E364" s="1530"/>
      <c r="F364" s="1530"/>
      <c r="G364" s="1530"/>
      <c r="H364" s="1530"/>
      <c r="I364" s="1530"/>
      <c r="J364" s="1530"/>
      <c r="K364" s="1530"/>
      <c r="L364" s="1530"/>
      <c r="M364" s="1530"/>
    </row>
    <row r="365" spans="1:13" ht="12.75">
      <c r="A365" s="10"/>
      <c r="B365" s="1532" t="s">
        <v>58</v>
      </c>
      <c r="C365" s="169" t="s">
        <v>59</v>
      </c>
      <c r="D365" s="1533"/>
      <c r="E365" s="1533"/>
      <c r="F365" s="1533"/>
      <c r="G365" s="1533"/>
      <c r="H365" s="1533"/>
      <c r="I365" s="1533"/>
      <c r="J365" s="1533"/>
      <c r="K365" s="1533"/>
      <c r="L365" s="1533"/>
      <c r="M365" s="1533"/>
    </row>
    <row r="366" spans="1:13" ht="12.75">
      <c r="A366" s="10"/>
      <c r="B366" s="1532"/>
      <c r="C366" s="1533" t="s">
        <v>60</v>
      </c>
      <c r="D366" s="1533" t="s">
        <v>1255</v>
      </c>
      <c r="E366" s="1533" t="s">
        <v>77</v>
      </c>
      <c r="F366" s="1565">
        <v>684480000</v>
      </c>
      <c r="G366" s="1533" t="s">
        <v>147</v>
      </c>
      <c r="H366" s="1535">
        <v>1055.5999999999999</v>
      </c>
      <c r="I366" s="1533" t="s">
        <v>761</v>
      </c>
      <c r="J366" s="1540">
        <v>722537.08799999987</v>
      </c>
      <c r="K366" s="1537">
        <v>35452.350190995559</v>
      </c>
      <c r="L366" s="1603">
        <v>0.79646083978268145</v>
      </c>
      <c r="M366" s="2000">
        <v>7.964608397826814E-2</v>
      </c>
    </row>
    <row r="367" spans="1:13" ht="12.75">
      <c r="A367" s="10"/>
      <c r="B367" s="1532"/>
      <c r="C367" s="1533"/>
      <c r="D367" s="1533"/>
      <c r="E367" s="1533"/>
      <c r="F367" s="1533"/>
      <c r="G367" s="1533"/>
      <c r="H367" s="1533"/>
      <c r="I367" s="1533"/>
      <c r="J367" s="1533"/>
      <c r="K367" s="1533"/>
      <c r="L367" s="1533"/>
      <c r="M367" s="1533"/>
    </row>
    <row r="368" spans="1:13" ht="12.75">
      <c r="A368" s="10"/>
      <c r="B368" s="1532"/>
      <c r="C368" s="1533" t="s">
        <v>60</v>
      </c>
      <c r="D368" s="1533" t="s">
        <v>1256</v>
      </c>
      <c r="E368" s="1533" t="s">
        <v>77</v>
      </c>
      <c r="F368" s="1565">
        <v>749420000</v>
      </c>
      <c r="G368" s="1533" t="s">
        <v>147</v>
      </c>
      <c r="H368" s="1535">
        <v>1055.5999999999999</v>
      </c>
      <c r="I368" s="1533" t="s">
        <v>761</v>
      </c>
      <c r="J368" s="1540">
        <v>791087.75199999986</v>
      </c>
      <c r="K368" s="1537">
        <v>37802.280332268456</v>
      </c>
      <c r="L368" s="1603">
        <v>0.87202501541306843</v>
      </c>
      <c r="M368" s="2000">
        <v>8.7202501541306848E-2</v>
      </c>
    </row>
    <row r="369" spans="1:13" ht="13.5" thickBot="1">
      <c r="A369" s="10"/>
      <c r="B369" s="1532"/>
      <c r="C369" s="1533"/>
      <c r="D369" s="1533"/>
      <c r="E369" s="1533"/>
      <c r="F369" s="1533"/>
      <c r="G369" s="1533"/>
      <c r="H369" s="1533"/>
      <c r="I369" s="1533"/>
      <c r="J369" s="1533"/>
      <c r="K369" s="1533"/>
      <c r="L369" s="1533"/>
      <c r="M369" s="1512"/>
    </row>
    <row r="370" spans="1:13" ht="12.75">
      <c r="A370" s="10"/>
      <c r="B370" s="1576"/>
      <c r="C370" s="1530"/>
      <c r="D370" s="1530"/>
      <c r="E370" s="1530"/>
      <c r="F370" s="1530"/>
      <c r="G370" s="1530"/>
      <c r="H370" s="1530"/>
      <c r="I370" s="1530"/>
      <c r="J370" s="1530"/>
      <c r="K370" s="1530"/>
      <c r="L370" s="1530"/>
      <c r="M370" s="1530"/>
    </row>
    <row r="371" spans="1:13" ht="12.75">
      <c r="A371" s="10"/>
      <c r="B371" s="1532" t="s">
        <v>87</v>
      </c>
      <c r="C371" s="169" t="s">
        <v>88</v>
      </c>
      <c r="D371" s="1533"/>
      <c r="E371" s="1533"/>
      <c r="F371" s="1533"/>
      <c r="G371" s="1533"/>
      <c r="H371" s="1533"/>
      <c r="I371" s="1533"/>
      <c r="J371" s="1533"/>
      <c r="K371" s="1533"/>
      <c r="L371" s="1533"/>
      <c r="M371" s="1533"/>
    </row>
    <row r="372" spans="1:13" ht="12.75">
      <c r="A372" s="10"/>
      <c r="B372" s="1532"/>
      <c r="C372" s="1533" t="s">
        <v>89</v>
      </c>
      <c r="D372" s="1533" t="s">
        <v>1138</v>
      </c>
      <c r="E372" s="1533" t="s">
        <v>1114</v>
      </c>
      <c r="F372" s="1565">
        <v>2508181.9923371645</v>
      </c>
      <c r="G372" s="1533" t="s">
        <v>147</v>
      </c>
      <c r="H372" s="1533">
        <v>1.044</v>
      </c>
      <c r="I372" s="1533" t="s">
        <v>766</v>
      </c>
      <c r="J372" s="1540">
        <v>2618542</v>
      </c>
      <c r="K372" s="1537">
        <v>155717.06178143556</v>
      </c>
      <c r="L372" s="1603">
        <v>11.279938960025527</v>
      </c>
      <c r="M372" s="1603">
        <v>3.8930762782388983</v>
      </c>
    </row>
    <row r="373" spans="1:13" ht="12.75">
      <c r="A373" s="10"/>
      <c r="B373" s="1532"/>
      <c r="C373" s="1533"/>
      <c r="D373" s="1533"/>
      <c r="E373" s="1533"/>
      <c r="F373" s="1533"/>
      <c r="G373" s="1533"/>
      <c r="H373" s="1533"/>
      <c r="I373" s="1533"/>
      <c r="J373" s="1547"/>
      <c r="K373" s="1533"/>
      <c r="L373" s="1533"/>
      <c r="M373" s="1533"/>
    </row>
    <row r="374" spans="1:13" ht="12.75">
      <c r="A374" s="10"/>
      <c r="B374" s="1532"/>
      <c r="C374" s="1533" t="s">
        <v>90</v>
      </c>
      <c r="D374" s="1533" t="s">
        <v>1140</v>
      </c>
      <c r="E374" s="1533" t="s">
        <v>1114</v>
      </c>
      <c r="F374" s="1540">
        <v>2942385.0574712642</v>
      </c>
      <c r="G374" s="1533" t="s">
        <v>147</v>
      </c>
      <c r="H374" s="1533">
        <v>1.044</v>
      </c>
      <c r="I374" s="1533" t="s">
        <v>766</v>
      </c>
      <c r="J374" s="1540">
        <v>3071850</v>
      </c>
      <c r="K374" s="1537">
        <v>182727.26264964786</v>
      </c>
      <c r="L374" s="1603">
        <v>13.16622561068665</v>
      </c>
      <c r="M374" s="1603">
        <v>4.5882301370574687</v>
      </c>
    </row>
    <row r="375" spans="1:13" ht="13.5" thickBot="1">
      <c r="A375" s="10"/>
      <c r="B375" s="1532"/>
      <c r="C375" s="1533"/>
      <c r="D375" s="1533"/>
      <c r="E375" s="1533"/>
      <c r="F375" s="1533"/>
      <c r="G375" s="1533"/>
      <c r="H375" s="1533"/>
      <c r="I375" s="1533"/>
      <c r="J375" s="1533"/>
      <c r="K375" s="1533"/>
      <c r="L375" s="1533"/>
      <c r="M375" s="1533"/>
    </row>
    <row r="376" spans="1:13" ht="12.75">
      <c r="A376" s="10"/>
      <c r="B376" s="1576"/>
      <c r="C376" s="1530"/>
      <c r="D376" s="1530"/>
      <c r="E376" s="1530"/>
      <c r="F376" s="1530"/>
      <c r="G376" s="1530"/>
      <c r="H376" s="1530"/>
      <c r="I376" s="1530"/>
      <c r="J376" s="1530"/>
      <c r="K376" s="1530"/>
      <c r="L376" s="1530"/>
      <c r="M376" s="1530"/>
    </row>
    <row r="377" spans="1:13" ht="12.75">
      <c r="A377" s="10"/>
      <c r="B377" s="1532"/>
      <c r="C377" s="1533"/>
      <c r="D377" s="1533"/>
      <c r="E377" s="1533"/>
      <c r="F377" s="1533"/>
      <c r="G377" s="1533"/>
      <c r="H377" s="1533"/>
      <c r="I377" s="1533"/>
      <c r="J377" s="1533"/>
      <c r="K377" s="1533"/>
      <c r="L377" s="1533"/>
      <c r="M377" s="1533"/>
    </row>
    <row r="378" spans="1:13" ht="12.75">
      <c r="A378" s="10"/>
      <c r="B378" s="1532" t="s">
        <v>767</v>
      </c>
      <c r="C378" s="2" t="s">
        <v>768</v>
      </c>
      <c r="D378" s="1533"/>
      <c r="E378" s="1533"/>
      <c r="F378" s="1533"/>
      <c r="G378" s="1533"/>
      <c r="H378" s="1533"/>
      <c r="I378" s="1533"/>
      <c r="J378" s="1533"/>
      <c r="K378" s="1533"/>
      <c r="L378" s="1533"/>
      <c r="M378" s="1533"/>
    </row>
    <row r="379" spans="1:13" ht="12.75">
      <c r="A379" s="10"/>
      <c r="B379" s="1532"/>
      <c r="C379" s="1533" t="s">
        <v>86</v>
      </c>
      <c r="D379" s="1533" t="s">
        <v>40</v>
      </c>
      <c r="E379" s="1533" t="s">
        <v>77</v>
      </c>
      <c r="F379" s="1540">
        <v>2049999.9999999998</v>
      </c>
      <c r="G379" s="1533" t="s">
        <v>147</v>
      </c>
      <c r="H379" s="1535">
        <v>1042</v>
      </c>
      <c r="I379" s="1533" t="s">
        <v>761</v>
      </c>
      <c r="J379" s="1535">
        <v>2136.1</v>
      </c>
      <c r="K379" s="1540">
        <v>125</v>
      </c>
      <c r="L379" s="1571">
        <v>0</v>
      </c>
      <c r="M379" s="1591">
        <v>0</v>
      </c>
    </row>
    <row r="380" spans="1:13" ht="12.75">
      <c r="A380" s="10"/>
      <c r="B380" s="1532"/>
      <c r="C380" s="1533" t="s">
        <v>326</v>
      </c>
      <c r="D380" s="1533" t="s">
        <v>42</v>
      </c>
      <c r="E380" s="1533" t="s">
        <v>77</v>
      </c>
      <c r="F380" s="1540">
        <v>3660000</v>
      </c>
      <c r="G380" s="1533" t="s">
        <v>147</v>
      </c>
      <c r="H380" s="1535">
        <v>1042</v>
      </c>
      <c r="I380" s="1533" t="s">
        <v>761</v>
      </c>
      <c r="J380" s="1535">
        <v>3813.72</v>
      </c>
      <c r="K380" s="1540">
        <v>223</v>
      </c>
      <c r="L380" s="1571">
        <v>0</v>
      </c>
      <c r="M380" s="1591">
        <v>0</v>
      </c>
    </row>
    <row r="381" spans="1:13" ht="12.75">
      <c r="A381" s="10"/>
      <c r="B381" s="1532"/>
      <c r="C381" s="1533" t="s">
        <v>327</v>
      </c>
      <c r="D381" s="1533" t="s">
        <v>44</v>
      </c>
      <c r="E381" s="1533" t="s">
        <v>77</v>
      </c>
      <c r="F381" s="1540">
        <v>3500000</v>
      </c>
      <c r="G381" s="1533" t="s">
        <v>147</v>
      </c>
      <c r="H381" s="1535">
        <v>1042</v>
      </c>
      <c r="I381" s="1533" t="s">
        <v>761</v>
      </c>
      <c r="J381" s="1535">
        <v>3647</v>
      </c>
      <c r="K381" s="1540">
        <v>213</v>
      </c>
      <c r="L381" s="1571">
        <v>0</v>
      </c>
      <c r="M381" s="1591">
        <v>0</v>
      </c>
    </row>
    <row r="382" spans="1:13" ht="12.75">
      <c r="A382" s="10"/>
      <c r="B382" s="1532"/>
      <c r="C382" s="1533" t="s">
        <v>328</v>
      </c>
      <c r="D382" s="1533" t="s">
        <v>46</v>
      </c>
      <c r="E382" s="1533" t="s">
        <v>77</v>
      </c>
      <c r="F382" s="1540">
        <v>3650000</v>
      </c>
      <c r="G382" s="1533" t="s">
        <v>147</v>
      </c>
      <c r="H382" s="1535">
        <v>1042</v>
      </c>
      <c r="I382" s="1533" t="s">
        <v>761</v>
      </c>
      <c r="J382" s="1535">
        <v>3803.3</v>
      </c>
      <c r="K382" s="1540">
        <v>222</v>
      </c>
      <c r="L382" s="1571">
        <v>0</v>
      </c>
      <c r="M382" s="1591">
        <v>0</v>
      </c>
    </row>
    <row r="383" spans="1:13" ht="12.75">
      <c r="A383" s="10"/>
      <c r="B383" s="1532"/>
      <c r="C383" s="1533" t="s">
        <v>329</v>
      </c>
      <c r="D383" s="1533" t="s">
        <v>148</v>
      </c>
      <c r="E383" s="1533" t="s">
        <v>77</v>
      </c>
      <c r="F383" s="1540">
        <v>2200000</v>
      </c>
      <c r="G383" s="1533" t="s">
        <v>147</v>
      </c>
      <c r="H383" s="1535">
        <v>1042</v>
      </c>
      <c r="I383" s="1533" t="s">
        <v>761</v>
      </c>
      <c r="J383" s="1535">
        <v>2292.4</v>
      </c>
      <c r="K383" s="1540">
        <v>134</v>
      </c>
      <c r="L383" s="1591">
        <v>0</v>
      </c>
      <c r="M383" s="1591">
        <v>0</v>
      </c>
    </row>
    <row r="384" spans="1:13" ht="12.75">
      <c r="A384" s="10"/>
      <c r="B384" s="1532"/>
      <c r="C384" s="1533" t="s">
        <v>330</v>
      </c>
      <c r="D384" s="1533" t="s">
        <v>149</v>
      </c>
      <c r="E384" s="1533" t="s">
        <v>77</v>
      </c>
      <c r="F384" s="1540">
        <v>3310000</v>
      </c>
      <c r="G384" s="1533" t="s">
        <v>147</v>
      </c>
      <c r="H384" s="1535">
        <v>1042</v>
      </c>
      <c r="I384" s="1533" t="s">
        <v>761</v>
      </c>
      <c r="J384" s="1535">
        <v>3449.02</v>
      </c>
      <c r="K384" s="1540">
        <v>202</v>
      </c>
      <c r="L384" s="1571">
        <v>0</v>
      </c>
      <c r="M384" s="1591">
        <v>0</v>
      </c>
    </row>
    <row r="385" spans="1:13" ht="12.75">
      <c r="A385" s="10"/>
      <c r="B385" s="1532"/>
      <c r="C385" s="1533" t="s">
        <v>331</v>
      </c>
      <c r="D385" s="1533" t="s">
        <v>150</v>
      </c>
      <c r="E385" s="1533" t="s">
        <v>77</v>
      </c>
      <c r="F385" s="1540">
        <v>3300000</v>
      </c>
      <c r="G385" s="1533" t="s">
        <v>147</v>
      </c>
      <c r="H385" s="1535">
        <v>1042</v>
      </c>
      <c r="I385" s="1533" t="s">
        <v>761</v>
      </c>
      <c r="J385" s="1535">
        <v>3438.6</v>
      </c>
      <c r="K385" s="1540">
        <v>201</v>
      </c>
      <c r="L385" s="1571">
        <v>0</v>
      </c>
      <c r="M385" s="1591">
        <v>0</v>
      </c>
    </row>
    <row r="386" spans="1:13" ht="12.75">
      <c r="A386" s="10"/>
      <c r="B386" s="1532"/>
      <c r="C386" s="1533" t="s">
        <v>332</v>
      </c>
      <c r="D386" s="1533" t="s">
        <v>151</v>
      </c>
      <c r="E386" s="1533" t="s">
        <v>77</v>
      </c>
      <c r="F386" s="1540">
        <v>3850000</v>
      </c>
      <c r="G386" s="1533" t="s">
        <v>147</v>
      </c>
      <c r="H386" s="1535">
        <v>1042</v>
      </c>
      <c r="I386" s="1533" t="s">
        <v>761</v>
      </c>
      <c r="J386" s="1535">
        <v>4011.7</v>
      </c>
      <c r="K386" s="1540">
        <v>234</v>
      </c>
      <c r="L386" s="1571">
        <v>0</v>
      </c>
      <c r="M386" s="1591">
        <v>0</v>
      </c>
    </row>
    <row r="387" spans="1:13" ht="13.5" thickBot="1">
      <c r="A387" s="10"/>
      <c r="B387" s="1532"/>
      <c r="C387" s="1533"/>
      <c r="D387" s="1533"/>
      <c r="E387" s="1533"/>
      <c r="F387" s="1533"/>
      <c r="G387" s="1533"/>
      <c r="H387" s="1533"/>
      <c r="I387" s="1533"/>
      <c r="J387" s="1533"/>
      <c r="K387" s="1537"/>
      <c r="L387" s="1533"/>
      <c r="M387" s="1533"/>
    </row>
    <row r="388" spans="1:13" ht="12.75">
      <c r="A388" s="10"/>
      <c r="B388" s="1576"/>
      <c r="C388" s="1530"/>
      <c r="D388" s="1530"/>
      <c r="E388" s="1530"/>
      <c r="F388" s="1530"/>
      <c r="G388" s="1530"/>
      <c r="H388" s="1530"/>
      <c r="I388" s="1530"/>
      <c r="J388" s="1530"/>
      <c r="K388" s="1530"/>
      <c r="L388" s="1530"/>
      <c r="M388" s="1530"/>
    </row>
    <row r="389" spans="1:13" ht="12.75">
      <c r="A389" s="10"/>
      <c r="B389" s="1532" t="s">
        <v>91</v>
      </c>
      <c r="C389" s="2" t="s">
        <v>770</v>
      </c>
      <c r="D389" s="1533"/>
      <c r="E389" s="1533"/>
      <c r="F389" s="1533"/>
      <c r="G389" s="1533"/>
      <c r="H389" s="1533"/>
      <c r="I389" s="1533"/>
      <c r="J389" s="1533"/>
      <c r="K389" s="1533"/>
      <c r="L389" s="1533"/>
      <c r="M389" s="1533"/>
    </row>
    <row r="390" spans="1:13" ht="12.75">
      <c r="A390" s="10"/>
      <c r="B390" s="1532"/>
      <c r="C390" s="1533" t="s">
        <v>92</v>
      </c>
      <c r="D390" s="1533" t="s">
        <v>93</v>
      </c>
      <c r="E390" s="1533" t="s">
        <v>1114</v>
      </c>
      <c r="F390" s="1553">
        <v>857635996.15014446</v>
      </c>
      <c r="G390" s="1533" t="s">
        <v>147</v>
      </c>
      <c r="H390" s="1602">
        <v>1.0389999999999999</v>
      </c>
      <c r="I390" s="1533" t="s">
        <v>766</v>
      </c>
      <c r="J390" s="1540">
        <v>891083.8</v>
      </c>
      <c r="K390" s="1572">
        <v>47869.4</v>
      </c>
      <c r="L390" s="1572">
        <v>0.81</v>
      </c>
      <c r="M390" s="1572">
        <v>0.08</v>
      </c>
    </row>
    <row r="391" spans="1:13" ht="12.75">
      <c r="A391" s="10"/>
      <c r="B391" s="1532"/>
      <c r="C391" s="1533" t="s">
        <v>94</v>
      </c>
      <c r="D391" s="1533" t="s">
        <v>95</v>
      </c>
      <c r="E391" s="1533" t="s">
        <v>1114</v>
      </c>
      <c r="F391" s="1553">
        <v>700504331.08758426</v>
      </c>
      <c r="G391" s="1533" t="s">
        <v>147</v>
      </c>
      <c r="H391" s="1602">
        <v>1.0389999999999999</v>
      </c>
      <c r="I391" s="1533" t="s">
        <v>766</v>
      </c>
      <c r="J391" s="1540">
        <v>727824</v>
      </c>
      <c r="K391" s="1572">
        <v>40398.400000000001</v>
      </c>
      <c r="L391" s="1572">
        <v>0.68</v>
      </c>
      <c r="M391" s="1572">
        <v>7.0000000000000007E-2</v>
      </c>
    </row>
    <row r="392" spans="1:13" ht="12.75">
      <c r="A392" s="10"/>
      <c r="B392" s="1532"/>
      <c r="C392" s="1533" t="s">
        <v>96</v>
      </c>
      <c r="D392" s="1533" t="s">
        <v>97</v>
      </c>
      <c r="E392" s="1533" t="s">
        <v>1114</v>
      </c>
      <c r="F392" s="1553">
        <v>1936556304.1385949</v>
      </c>
      <c r="G392" s="1533" t="s">
        <v>147</v>
      </c>
      <c r="H392" s="1602">
        <v>1.0389999999999999</v>
      </c>
      <c r="I392" s="1533" t="s">
        <v>766</v>
      </c>
      <c r="J392" s="1540">
        <v>2012082</v>
      </c>
      <c r="K392" s="1572">
        <v>111845.6</v>
      </c>
      <c r="L392" s="1572">
        <v>1.88</v>
      </c>
      <c r="M392" s="1572">
        <v>0.19</v>
      </c>
    </row>
    <row r="393" spans="1:13" ht="12.75">
      <c r="A393" s="10"/>
      <c r="B393" s="1532"/>
      <c r="C393" s="1533" t="s">
        <v>98</v>
      </c>
      <c r="D393" s="1533" t="s">
        <v>99</v>
      </c>
      <c r="E393" s="1533" t="s">
        <v>1114</v>
      </c>
      <c r="F393" s="1553">
        <v>1661330125.1203082</v>
      </c>
      <c r="G393" s="1533" t="s">
        <v>147</v>
      </c>
      <c r="H393" s="1602">
        <v>1.0389999999999999</v>
      </c>
      <c r="I393" s="1533" t="s">
        <v>766</v>
      </c>
      <c r="J393" s="1540">
        <v>1726122</v>
      </c>
      <c r="K393" s="1572">
        <v>96395.9</v>
      </c>
      <c r="L393" s="1572">
        <v>1.62</v>
      </c>
      <c r="M393" s="1572">
        <v>0.16</v>
      </c>
    </row>
    <row r="394" spans="1:13" ht="12.75">
      <c r="A394" s="10"/>
      <c r="B394" s="1532"/>
      <c r="C394" s="1533" t="s">
        <v>333</v>
      </c>
      <c r="D394" s="1533" t="s">
        <v>334</v>
      </c>
      <c r="E394" s="1533" t="s">
        <v>1114</v>
      </c>
      <c r="F394" s="1540">
        <v>6716790</v>
      </c>
      <c r="G394" s="1533" t="s">
        <v>147</v>
      </c>
      <c r="H394" s="1602">
        <v>1.0389999999999999</v>
      </c>
      <c r="I394" s="1533" t="s">
        <v>766</v>
      </c>
      <c r="J394" s="1540">
        <v>6978.7448099999992</v>
      </c>
      <c r="K394" s="1572">
        <v>403</v>
      </c>
      <c r="L394" s="1572">
        <v>7.0000000000000001E-3</v>
      </c>
      <c r="M394" s="1572">
        <v>7.0000000000000001E-3</v>
      </c>
    </row>
    <row r="395" spans="1:13" ht="12.75">
      <c r="A395" s="10"/>
      <c r="B395" s="1532"/>
      <c r="C395" s="1533"/>
      <c r="D395" s="1533"/>
      <c r="E395" s="1533"/>
      <c r="F395" s="1533"/>
      <c r="G395" s="1533"/>
      <c r="H395" s="1533"/>
      <c r="I395" s="1533"/>
      <c r="J395" s="1533"/>
      <c r="K395" s="1533"/>
      <c r="L395" s="1533"/>
      <c r="M395" s="1533"/>
    </row>
    <row r="396" spans="1:13" ht="12.75">
      <c r="A396" s="10"/>
      <c r="B396" s="1532"/>
      <c r="C396" s="1533"/>
      <c r="D396" s="1533"/>
      <c r="E396" s="1533"/>
      <c r="F396" s="1533"/>
      <c r="G396" s="1533"/>
      <c r="H396" s="1533"/>
      <c r="I396" s="1533"/>
      <c r="J396" s="1533"/>
      <c r="K396" s="1533"/>
      <c r="L396" s="1533"/>
      <c r="M396" s="1533"/>
    </row>
    <row r="397" spans="1:13" ht="12.75">
      <c r="A397" s="10"/>
      <c r="B397" s="1532" t="s">
        <v>1269</v>
      </c>
      <c r="C397" s="169" t="s">
        <v>1270</v>
      </c>
      <c r="D397" s="1533"/>
      <c r="E397" s="1533"/>
      <c r="F397" s="1533"/>
      <c r="G397" s="1533"/>
      <c r="H397" s="1533"/>
      <c r="I397" s="1533"/>
      <c r="J397" s="1533"/>
      <c r="K397" s="1533"/>
      <c r="L397" s="1533"/>
      <c r="M397" s="1533"/>
    </row>
    <row r="398" spans="1:13" ht="12.75">
      <c r="A398" s="10"/>
      <c r="B398" s="1532"/>
      <c r="C398" s="1533" t="s">
        <v>332</v>
      </c>
      <c r="D398" s="1533" t="s">
        <v>1275</v>
      </c>
      <c r="E398" s="1533" t="s">
        <v>77</v>
      </c>
      <c r="F398" s="1789">
        <v>11784250000</v>
      </c>
      <c r="G398" s="1533" t="s">
        <v>147</v>
      </c>
      <c r="H398" s="1533">
        <v>1.0589999999999999</v>
      </c>
      <c r="I398" s="1533" t="s">
        <v>1280</v>
      </c>
      <c r="J398" s="1543">
        <v>12479521</v>
      </c>
      <c r="K398" s="1789">
        <v>766132</v>
      </c>
      <c r="L398" s="1986">
        <v>0.13800000000000001</v>
      </c>
      <c r="M398" s="2003">
        <v>1.38</v>
      </c>
    </row>
    <row r="399" spans="1:13" ht="12.75">
      <c r="A399" s="10"/>
      <c r="B399" s="1532"/>
      <c r="C399" s="1533" t="s">
        <v>1271</v>
      </c>
      <c r="D399" s="1533" t="s">
        <v>1276</v>
      </c>
      <c r="E399" s="1533" t="s">
        <v>77</v>
      </c>
      <c r="F399" s="1789">
        <v>12856810000</v>
      </c>
      <c r="G399" s="1533" t="s">
        <v>147</v>
      </c>
      <c r="H399" s="1533">
        <v>1.0589999999999999</v>
      </c>
      <c r="I399" s="1533" t="s">
        <v>1280</v>
      </c>
      <c r="J399" s="1543">
        <v>13615362</v>
      </c>
      <c r="K399" s="1789">
        <v>837399</v>
      </c>
      <c r="L399" s="1986">
        <v>0.15</v>
      </c>
      <c r="M399" s="2003">
        <v>1.5</v>
      </c>
    </row>
    <row r="400" spans="1:13" ht="12.75">
      <c r="A400" s="10"/>
      <c r="B400" s="1532"/>
      <c r="C400" s="1533" t="s">
        <v>1273</v>
      </c>
      <c r="D400" s="1533" t="s">
        <v>1278</v>
      </c>
      <c r="E400" s="1533" t="s">
        <v>77</v>
      </c>
      <c r="F400" s="1789">
        <v>14921000</v>
      </c>
      <c r="G400" s="1533" t="s">
        <v>147</v>
      </c>
      <c r="H400" s="1533">
        <v>1.0589999999999999</v>
      </c>
      <c r="I400" s="1533" t="s">
        <v>1280</v>
      </c>
      <c r="J400" s="1543">
        <v>15801.339</v>
      </c>
      <c r="K400" s="1789">
        <v>682</v>
      </c>
      <c r="L400" s="1986">
        <v>1.7399999999999999E-2</v>
      </c>
      <c r="M400" s="2003">
        <v>1.74E-3</v>
      </c>
    </row>
    <row r="401" spans="1:13" ht="12.75">
      <c r="A401" s="10"/>
      <c r="B401" s="1532"/>
      <c r="C401" s="1533" t="s">
        <v>1272</v>
      </c>
      <c r="D401" s="1533" t="s">
        <v>1277</v>
      </c>
      <c r="E401" s="1533" t="s">
        <v>77</v>
      </c>
      <c r="F401" s="1789">
        <v>18227000</v>
      </c>
      <c r="G401" s="1533" t="s">
        <v>147</v>
      </c>
      <c r="H401" s="1533">
        <v>1.0589999999999999</v>
      </c>
      <c r="I401" s="1533" t="s">
        <v>1280</v>
      </c>
      <c r="J401" s="1543">
        <v>19302</v>
      </c>
      <c r="K401" s="1789">
        <v>1129</v>
      </c>
      <c r="L401" s="1986">
        <v>2.1299999999999999E-2</v>
      </c>
      <c r="M401" s="2003">
        <v>2.1299999999999999E-3</v>
      </c>
    </row>
    <row r="402" spans="1:13" ht="13.5" thickBot="1">
      <c r="A402" s="10"/>
      <c r="B402" s="1532"/>
      <c r="C402" s="1533"/>
      <c r="D402" s="1533"/>
      <c r="E402" s="1533"/>
      <c r="F402" s="1533"/>
      <c r="G402" s="1533"/>
      <c r="H402" s="1533"/>
      <c r="I402" s="1533"/>
      <c r="J402" s="1533"/>
      <c r="K402" s="1533"/>
      <c r="L402" s="1533"/>
      <c r="M402" s="1533"/>
    </row>
    <row r="403" spans="1:13" ht="12.75">
      <c r="A403" s="10"/>
      <c r="B403" s="1576"/>
      <c r="C403" s="1530"/>
      <c r="D403" s="1530"/>
      <c r="E403" s="1530"/>
      <c r="F403" s="1530"/>
      <c r="G403" s="1530"/>
      <c r="H403" s="1530"/>
      <c r="I403" s="1530"/>
      <c r="J403" s="1530"/>
      <c r="K403" s="1530"/>
      <c r="L403" s="1530"/>
      <c r="M403" s="1530"/>
    </row>
    <row r="404" spans="1:13" ht="12.75">
      <c r="A404" s="10"/>
      <c r="B404" s="1532" t="s">
        <v>805</v>
      </c>
      <c r="C404" s="169" t="s">
        <v>806</v>
      </c>
      <c r="D404" s="1533"/>
      <c r="E404" s="1533" t="s">
        <v>807</v>
      </c>
      <c r="F404" s="1922">
        <v>0</v>
      </c>
      <c r="G404" s="1533" t="s">
        <v>67</v>
      </c>
      <c r="H404" s="1537">
        <v>91333</v>
      </c>
      <c r="I404" s="1533" t="s">
        <v>140</v>
      </c>
      <c r="J404" s="1537"/>
      <c r="K404" s="1537"/>
      <c r="L404" s="1537"/>
      <c r="M404" s="1537"/>
    </row>
    <row r="405" spans="1:13" ht="13.5" thickBot="1">
      <c r="A405" s="10"/>
      <c r="B405" s="1532"/>
      <c r="C405" s="169"/>
      <c r="D405" s="1533"/>
      <c r="E405" s="1533"/>
      <c r="F405" s="1537"/>
      <c r="G405" s="1533"/>
      <c r="H405" s="1537"/>
      <c r="I405" s="1533"/>
      <c r="J405" s="1537"/>
      <c r="K405" s="1537"/>
      <c r="L405" s="1537"/>
      <c r="M405" s="1537"/>
    </row>
    <row r="406" spans="1:13" ht="12.75">
      <c r="A406" s="10"/>
      <c r="B406" s="1576"/>
      <c r="C406" s="1530"/>
      <c r="D406" s="1530"/>
      <c r="E406" s="1530"/>
      <c r="F406" s="1530"/>
      <c r="G406" s="1530"/>
      <c r="H406" s="1530"/>
      <c r="I406" s="1530"/>
      <c r="J406" s="1508"/>
      <c r="K406" s="1508"/>
      <c r="L406" s="1508"/>
      <c r="M406" s="1508"/>
    </row>
    <row r="407" spans="1:13" ht="12.75">
      <c r="A407" s="10"/>
      <c r="B407" s="1532" t="s">
        <v>335</v>
      </c>
      <c r="C407" s="169" t="s">
        <v>1210</v>
      </c>
      <c r="D407" s="1533"/>
      <c r="E407" s="1533"/>
      <c r="F407" s="1533"/>
      <c r="G407" s="1533"/>
      <c r="H407" s="1533"/>
      <c r="I407" s="1533"/>
      <c r="J407" s="1537"/>
      <c r="K407" s="1537"/>
      <c r="L407" s="1537"/>
      <c r="M407" s="1537"/>
    </row>
    <row r="408" spans="1:13" ht="12.75">
      <c r="A408" s="10"/>
      <c r="B408" s="1532"/>
      <c r="C408" s="1533" t="s">
        <v>336</v>
      </c>
      <c r="D408" s="1533" t="s">
        <v>808</v>
      </c>
      <c r="E408" s="1533" t="s">
        <v>77</v>
      </c>
      <c r="F408" s="1540">
        <v>170000000</v>
      </c>
      <c r="G408" s="1533" t="s">
        <v>147</v>
      </c>
      <c r="H408" s="1537">
        <v>1027</v>
      </c>
      <c r="I408" s="1533" t="s">
        <v>761</v>
      </c>
      <c r="J408" s="1543">
        <v>174590</v>
      </c>
      <c r="K408" s="1540">
        <v>10273</v>
      </c>
      <c r="L408" s="1600">
        <v>0.19</v>
      </c>
      <c r="M408" s="1600">
        <v>0.02</v>
      </c>
    </row>
    <row r="409" spans="1:13" ht="13.5" thickBot="1">
      <c r="A409" s="10"/>
      <c r="B409" s="1574"/>
      <c r="C409" s="1536"/>
      <c r="D409" s="1536"/>
      <c r="E409" s="1536"/>
      <c r="F409" s="1536"/>
      <c r="G409" s="1536"/>
      <c r="H409" s="1536"/>
      <c r="I409" s="1536"/>
      <c r="J409" s="1536"/>
      <c r="K409" s="1536"/>
      <c r="L409" s="1536"/>
      <c r="M409" s="1536"/>
    </row>
    <row r="410" spans="1:13" ht="13.5" thickTop="1">
      <c r="A410" s="10"/>
      <c r="B410" s="10"/>
      <c r="C410" s="10"/>
      <c r="D410" s="10"/>
      <c r="E410" s="10"/>
      <c r="F410" s="10"/>
      <c r="G410" s="10"/>
      <c r="H410" s="10"/>
      <c r="I410" s="10"/>
      <c r="J410" s="10"/>
      <c r="K410" s="10"/>
      <c r="L410" s="10"/>
      <c r="M410" s="10"/>
    </row>
    <row r="411" spans="1:13" ht="12.75">
      <c r="A411" s="10"/>
      <c r="B411" s="10"/>
      <c r="C411" s="10"/>
      <c r="D411" s="10"/>
      <c r="E411" s="10"/>
      <c r="F411" s="10"/>
      <c r="G411" s="10"/>
      <c r="H411" s="10"/>
      <c r="I411" s="10"/>
      <c r="J411" s="10"/>
      <c r="K411" s="10"/>
      <c r="L411" s="10"/>
      <c r="M411" s="10"/>
    </row>
    <row r="412" spans="1:13" ht="13.5" thickBot="1">
      <c r="A412" s="10"/>
      <c r="B412" s="10"/>
      <c r="C412" s="10"/>
      <c r="D412" s="10"/>
      <c r="E412" s="10"/>
      <c r="F412" s="10"/>
      <c r="G412" s="10"/>
      <c r="H412" s="10"/>
      <c r="I412" s="10"/>
      <c r="J412" s="10"/>
      <c r="K412" s="10"/>
      <c r="L412" s="10"/>
      <c r="M412" s="10"/>
    </row>
    <row r="413" spans="1:13" ht="14.25" thickTop="1" thickBot="1">
      <c r="A413" s="10"/>
      <c r="B413" s="10"/>
      <c r="C413" s="10"/>
      <c r="D413" s="10"/>
      <c r="E413" s="10"/>
      <c r="F413" s="2004">
        <f>SUM(F308:F412)</f>
        <v>34551382442.54644</v>
      </c>
      <c r="G413" s="10"/>
      <c r="H413" s="10"/>
      <c r="I413" s="10"/>
      <c r="J413" s="1995">
        <f>SUM(J308:J412)</f>
        <v>444724033.25687599</v>
      </c>
      <c r="K413" s="1995">
        <f>SUM(K308:K412)</f>
        <v>3028048.9164035069</v>
      </c>
      <c r="L413" s="1995">
        <f>SUM(L308:L412)</f>
        <v>41.069442390613098</v>
      </c>
      <c r="M413" s="1995">
        <f>SUM(M308:M412)</f>
        <v>13.040493821734941</v>
      </c>
    </row>
    <row r="414" spans="1:13" ht="13.5" thickTop="1">
      <c r="A414" s="10"/>
      <c r="B414" s="10"/>
      <c r="C414" s="10"/>
      <c r="D414" s="10"/>
      <c r="E414" s="10"/>
      <c r="F414" s="10"/>
      <c r="G414" s="10"/>
      <c r="H414" s="10"/>
      <c r="I414" s="10"/>
      <c r="J414" s="10"/>
      <c r="K414" s="10"/>
      <c r="L414" s="10"/>
      <c r="M414" s="10"/>
    </row>
    <row r="415" spans="1:13" ht="12.75">
      <c r="A415" s="10"/>
      <c r="B415" s="10"/>
      <c r="C415" s="10"/>
      <c r="D415" s="10"/>
      <c r="E415" s="10"/>
      <c r="F415" s="10"/>
      <c r="G415" s="10"/>
      <c r="H415" s="10"/>
      <c r="I415" s="10"/>
      <c r="J415" s="10"/>
      <c r="K415" s="10"/>
      <c r="L415" s="10"/>
      <c r="M415" s="10"/>
    </row>
    <row r="416" spans="1:13" ht="12.75">
      <c r="A416" s="10"/>
      <c r="B416" s="10"/>
      <c r="C416" s="10"/>
      <c r="D416" s="10"/>
      <c r="E416" s="10"/>
      <c r="F416" s="10"/>
      <c r="G416" s="10"/>
      <c r="H416" s="10"/>
      <c r="I416" s="10"/>
      <c r="J416" s="10"/>
      <c r="K416" s="10"/>
      <c r="L416" s="10"/>
      <c r="M416" s="10"/>
    </row>
    <row r="417" spans="1:13" ht="12.75">
      <c r="A417" s="10"/>
      <c r="B417" s="10"/>
      <c r="C417" s="10"/>
      <c r="D417" s="10"/>
      <c r="E417" s="10"/>
      <c r="F417" s="10"/>
      <c r="G417" s="10"/>
      <c r="H417" s="10"/>
      <c r="I417" s="10"/>
      <c r="J417" s="10"/>
      <c r="K417" s="10"/>
      <c r="L417" s="10"/>
      <c r="M417" s="10"/>
    </row>
    <row r="418" spans="1:13" ht="26.25">
      <c r="A418" s="10"/>
      <c r="B418" s="2005" t="s">
        <v>1305</v>
      </c>
      <c r="C418" s="2006"/>
      <c r="D418" s="1985"/>
      <c r="E418" s="1985"/>
      <c r="F418" s="1985"/>
      <c r="G418" s="1985"/>
      <c r="H418" s="1985"/>
      <c r="I418" s="10"/>
      <c r="J418" s="10"/>
      <c r="K418" s="10"/>
      <c r="L418" s="10"/>
      <c r="M418" s="10"/>
    </row>
    <row r="419" spans="1:13" ht="21">
      <c r="A419" s="10"/>
      <c r="B419" s="228" t="s">
        <v>337</v>
      </c>
      <c r="C419" s="1985"/>
      <c r="D419" s="1985"/>
      <c r="E419" s="1985"/>
      <c r="F419" s="1985"/>
      <c r="G419" s="1985"/>
      <c r="H419" s="1985"/>
      <c r="I419" s="10"/>
      <c r="J419" s="10"/>
      <c r="K419" s="10"/>
      <c r="L419" s="10"/>
      <c r="M419" s="10"/>
    </row>
    <row r="420" spans="1:13" ht="21">
      <c r="A420" s="10"/>
      <c r="B420" s="44" t="s">
        <v>1248</v>
      </c>
      <c r="C420" s="2007"/>
      <c r="D420" s="1985"/>
      <c r="E420" s="42">
        <v>2017</v>
      </c>
      <c r="F420" s="1985"/>
      <c r="G420" s="1985"/>
      <c r="H420" s="1985"/>
      <c r="I420" s="10"/>
      <c r="J420" s="10"/>
      <c r="K420" s="10"/>
      <c r="L420" s="10"/>
      <c r="M420" s="10"/>
    </row>
    <row r="421" spans="1:13" ht="13.5" thickBot="1">
      <c r="A421" s="10"/>
      <c r="B421" s="1985"/>
      <c r="C421" s="1985"/>
      <c r="D421" s="1985"/>
      <c r="E421" s="1985"/>
      <c r="F421" s="1985"/>
      <c r="G421" s="1985"/>
      <c r="H421" s="1985"/>
      <c r="I421" s="10"/>
      <c r="J421" s="10"/>
      <c r="K421" s="10"/>
      <c r="L421" s="10"/>
      <c r="M421" s="10"/>
    </row>
    <row r="422" spans="1:13" ht="18.75" thickTop="1">
      <c r="A422" s="10"/>
      <c r="B422" s="2222"/>
      <c r="C422" s="2223" t="s">
        <v>106</v>
      </c>
      <c r="D422" s="2223" t="s">
        <v>1379</v>
      </c>
      <c r="E422" s="2223" t="s">
        <v>1379</v>
      </c>
      <c r="F422" s="2223" t="s">
        <v>1380</v>
      </c>
      <c r="G422" s="2224" t="s">
        <v>1379</v>
      </c>
      <c r="H422" s="1985"/>
      <c r="I422" s="10"/>
      <c r="J422" s="10"/>
      <c r="K422" s="10"/>
      <c r="L422" s="10"/>
      <c r="M422" s="10"/>
    </row>
    <row r="423" spans="1:13" ht="18.75" thickBot="1">
      <c r="A423" s="10"/>
      <c r="B423" s="2225"/>
      <c r="C423" s="2226" t="s">
        <v>1124</v>
      </c>
      <c r="D423" s="2226" t="s">
        <v>102</v>
      </c>
      <c r="E423" s="2226" t="s">
        <v>103</v>
      </c>
      <c r="F423" s="2226" t="s">
        <v>1381</v>
      </c>
      <c r="G423" s="2227" t="s">
        <v>104</v>
      </c>
      <c r="H423" s="1985"/>
      <c r="I423" s="10"/>
      <c r="J423" s="10"/>
      <c r="K423" s="10"/>
      <c r="L423" s="10"/>
      <c r="M423" s="10"/>
    </row>
    <row r="424" spans="1:13" ht="15.75" thickTop="1">
      <c r="A424" s="10"/>
      <c r="B424" s="2228" t="s">
        <v>1112</v>
      </c>
      <c r="C424" s="2008">
        <f>J58+Luke!D50</f>
        <v>115817329.50061999</v>
      </c>
      <c r="D424" s="3386">
        <f>K58+Luke!E36</f>
        <v>10103713.710864715</v>
      </c>
      <c r="E424" s="3387">
        <f>D424*0.907184</f>
        <v>9165927.4190770965</v>
      </c>
      <c r="F424" s="2229">
        <f>E424/1000000</f>
        <v>9.1659274190770965</v>
      </c>
      <c r="G424" s="2230">
        <f>F424*(12/44)</f>
        <v>2.4997983870210261</v>
      </c>
      <c r="H424" s="1985"/>
      <c r="I424" s="10"/>
      <c r="J424" s="10"/>
      <c r="K424" s="10"/>
      <c r="L424" s="10"/>
      <c r="M424" s="10"/>
    </row>
    <row r="425" spans="1:13" ht="15">
      <c r="A425" s="10"/>
      <c r="B425" s="2231" t="s">
        <v>897</v>
      </c>
      <c r="C425" s="2009">
        <f>J252</f>
        <v>1836609.00718</v>
      </c>
      <c r="D425" s="3388">
        <f>K252</f>
        <v>159907.03683495402</v>
      </c>
      <c r="E425" s="3389">
        <f t="shared" ref="E425:E427" si="0">D425*0.907184</f>
        <v>145065.10530408093</v>
      </c>
      <c r="F425" s="2232">
        <f t="shared" ref="F425:F427" si="1">E425/1000000</f>
        <v>0.14506510530408093</v>
      </c>
      <c r="G425" s="2233">
        <f t="shared" ref="G425:G427" si="2">F425*(12/44)</f>
        <v>3.9563210537476613E-2</v>
      </c>
      <c r="H425" s="1985"/>
      <c r="I425" s="10"/>
      <c r="J425" s="10"/>
      <c r="K425" s="10"/>
      <c r="L425" s="10"/>
      <c r="M425" s="10"/>
    </row>
    <row r="426" spans="1:13" ht="15">
      <c r="A426" s="10"/>
      <c r="B426" s="2231" t="s">
        <v>901</v>
      </c>
      <c r="C426" s="2009">
        <f>J300</f>
        <v>220826.63272199992</v>
      </c>
      <c r="D426" s="3388">
        <f>K300</f>
        <v>3515.2467847431476</v>
      </c>
      <c r="E426" s="3389">
        <f t="shared" si="0"/>
        <v>3188.9756391704277</v>
      </c>
      <c r="F426" s="2232">
        <f>E426/1000000</f>
        <v>3.1889756391704277E-3</v>
      </c>
      <c r="G426" s="2233">
        <f t="shared" si="2"/>
        <v>8.6972062886466199E-4</v>
      </c>
      <c r="H426" s="1985"/>
      <c r="I426" s="10"/>
      <c r="J426" s="10"/>
      <c r="K426" s="10"/>
      <c r="L426" s="10"/>
      <c r="M426" s="10"/>
    </row>
    <row r="427" spans="1:13" ht="15">
      <c r="A427" s="10"/>
      <c r="B427" s="2231" t="s">
        <v>1114</v>
      </c>
      <c r="C427" s="2009">
        <f>J413+Luke!D40</f>
        <v>445980278.45687598</v>
      </c>
      <c r="D427" s="3388">
        <f>K413+Luke!E40</f>
        <v>3182740.781846995</v>
      </c>
      <c r="E427" s="3389">
        <f t="shared" si="0"/>
        <v>2887331.5134390844</v>
      </c>
      <c r="F427" s="2232">
        <f t="shared" si="1"/>
        <v>2.8873315134390842</v>
      </c>
      <c r="G427" s="2233">
        <f t="shared" si="2"/>
        <v>0.78745404911975014</v>
      </c>
      <c r="H427" s="1985"/>
      <c r="I427" s="10"/>
      <c r="J427" s="10"/>
      <c r="K427" s="10"/>
      <c r="L427" s="10"/>
      <c r="M427" s="10"/>
    </row>
    <row r="428" spans="1:13" ht="15.75" thickBot="1">
      <c r="A428" s="10"/>
      <c r="B428" s="2010" t="s">
        <v>190</v>
      </c>
      <c r="C428" s="2234"/>
      <c r="D428" s="3390">
        <f>SUM(D424:D427)</f>
        <v>13449876.776331406</v>
      </c>
      <c r="E428" s="3391">
        <f>SUM(E424:E427)</f>
        <v>12201513.013459433</v>
      </c>
      <c r="F428" s="2011">
        <f>E428/1000000</f>
        <v>12.201513013459433</v>
      </c>
      <c r="G428" s="2235">
        <f>SUM(G424:G427)</f>
        <v>3.3276853673071178</v>
      </c>
      <c r="H428" s="1985"/>
      <c r="I428" s="10"/>
      <c r="J428" s="10"/>
      <c r="K428" s="10"/>
      <c r="L428" s="10"/>
      <c r="M428" s="10"/>
    </row>
    <row r="429" spans="1:13" ht="13.5" thickTop="1">
      <c r="A429" s="10"/>
      <c r="B429" s="1985"/>
      <c r="C429" s="1985"/>
      <c r="D429" s="1985"/>
      <c r="E429" s="1985"/>
      <c r="F429" s="1985"/>
      <c r="G429" s="1985"/>
      <c r="H429" s="1985"/>
      <c r="I429" s="10"/>
      <c r="J429" s="10"/>
      <c r="K429" s="10"/>
      <c r="L429" s="10"/>
      <c r="M429" s="10"/>
    </row>
    <row r="430" spans="1:13" ht="12.75">
      <c r="A430" s="10"/>
      <c r="B430" s="1985"/>
      <c r="C430" s="1985"/>
      <c r="D430" s="1985"/>
      <c r="E430" s="1985"/>
      <c r="F430" s="1985"/>
      <c r="G430" s="1985"/>
      <c r="H430" s="1985"/>
      <c r="I430" s="10"/>
      <c r="J430" s="10"/>
      <c r="K430" s="10"/>
      <c r="L430" s="10"/>
      <c r="M430" s="10"/>
    </row>
    <row r="431" spans="1:13" ht="26.25">
      <c r="A431" s="10"/>
      <c r="B431" s="2005" t="s">
        <v>1306</v>
      </c>
      <c r="C431" s="2005"/>
      <c r="D431" s="1985"/>
      <c r="E431" s="1985"/>
      <c r="F431" s="1985"/>
      <c r="G431" s="1985"/>
      <c r="H431" s="1985"/>
      <c r="I431" s="10"/>
      <c r="J431" s="10"/>
      <c r="K431" s="10"/>
      <c r="L431" s="10"/>
      <c r="M431" s="10"/>
    </row>
    <row r="432" spans="1:13" ht="21">
      <c r="A432" s="10"/>
      <c r="B432" s="228" t="s">
        <v>337</v>
      </c>
      <c r="C432" s="1985"/>
      <c r="D432" s="1985"/>
      <c r="E432" s="1985"/>
      <c r="F432" s="1985"/>
      <c r="G432" s="1985"/>
      <c r="H432" s="1985"/>
      <c r="I432" s="10"/>
      <c r="J432" s="10"/>
      <c r="K432" s="10"/>
      <c r="L432" s="10"/>
      <c r="M432" s="10"/>
    </row>
    <row r="433" spans="1:13" ht="21">
      <c r="A433" s="10"/>
      <c r="B433" s="42" t="s">
        <v>105</v>
      </c>
      <c r="C433" s="2007"/>
      <c r="D433" s="2007"/>
      <c r="E433" s="42">
        <v>2017</v>
      </c>
      <c r="F433" s="2007"/>
      <c r="G433" s="2007"/>
      <c r="H433" s="1985"/>
      <c r="I433" s="10"/>
      <c r="J433" s="10"/>
      <c r="K433" s="10"/>
      <c r="L433" s="10"/>
      <c r="M433" s="10"/>
    </row>
    <row r="434" spans="1:13" ht="14.25" thickBot="1">
      <c r="A434" s="10"/>
      <c r="B434" s="43"/>
      <c r="C434" s="2007"/>
      <c r="D434" s="2007"/>
      <c r="E434" s="43"/>
      <c r="F434" s="2007"/>
      <c r="G434" s="2007"/>
      <c r="H434" s="1985"/>
      <c r="I434" s="10"/>
      <c r="J434" s="10"/>
      <c r="K434" s="10"/>
      <c r="L434" s="10"/>
      <c r="M434" s="10"/>
    </row>
    <row r="435" spans="1:13" ht="15.75" thickTop="1">
      <c r="A435" s="10"/>
      <c r="B435" s="2236"/>
      <c r="C435" s="2237" t="s">
        <v>106</v>
      </c>
      <c r="D435" s="2238" t="s">
        <v>108</v>
      </c>
      <c r="E435" s="2238" t="s">
        <v>108</v>
      </c>
      <c r="F435" s="2239" t="s">
        <v>109</v>
      </c>
      <c r="G435" s="2240" t="s">
        <v>108</v>
      </c>
      <c r="H435" s="1985"/>
      <c r="I435" s="10"/>
      <c r="J435" s="10"/>
      <c r="K435" s="10"/>
      <c r="L435" s="10"/>
      <c r="M435" s="10"/>
    </row>
    <row r="436" spans="1:13" ht="17.25" thickBot="1">
      <c r="A436" s="10"/>
      <c r="B436" s="2241" t="s">
        <v>1120</v>
      </c>
      <c r="C436" s="2242" t="s">
        <v>110</v>
      </c>
      <c r="D436" s="2243" t="s">
        <v>1382</v>
      </c>
      <c r="E436" s="2244" t="s">
        <v>1383</v>
      </c>
      <c r="F436" s="2242"/>
      <c r="G436" s="2245" t="s">
        <v>1384</v>
      </c>
      <c r="H436" s="1985"/>
      <c r="I436" s="10"/>
      <c r="J436" s="10"/>
      <c r="K436" s="10"/>
      <c r="L436" s="10"/>
      <c r="M436" s="10"/>
    </row>
    <row r="437" spans="1:13" ht="15" thickTop="1">
      <c r="A437" s="10"/>
      <c r="B437" s="2246" t="s">
        <v>1112</v>
      </c>
      <c r="C437" s="2247">
        <f>C424/1000</f>
        <v>115817.32950061999</v>
      </c>
      <c r="D437" s="2248">
        <f>L58+Luke!E50</f>
        <v>1155.6214864614676</v>
      </c>
      <c r="E437" s="2249">
        <f>D437*0.907441</f>
        <v>1048.6583172960807</v>
      </c>
      <c r="F437" s="2250">
        <v>21</v>
      </c>
      <c r="G437" s="2251">
        <f>(E437*F437)/1000000</f>
        <v>2.2021824663217691E-2</v>
      </c>
      <c r="H437" s="1985"/>
      <c r="I437" s="10"/>
      <c r="J437" s="10"/>
      <c r="K437" s="10"/>
      <c r="L437" s="10"/>
      <c r="M437" s="10"/>
    </row>
    <row r="438" spans="1:13" ht="14.25">
      <c r="A438" s="10"/>
      <c r="B438" s="2231" t="s">
        <v>897</v>
      </c>
      <c r="C438" s="2252">
        <f>C425/1000</f>
        <v>1836.6090071799999</v>
      </c>
      <c r="D438" s="2253">
        <f>L252</f>
        <v>19.216284754966193</v>
      </c>
      <c r="E438" s="2254">
        <f>D438*0.907441</f>
        <v>17.43764465433128</v>
      </c>
      <c r="F438" s="2255">
        <v>21</v>
      </c>
      <c r="G438" s="2256">
        <f>(E438*F438)/1000000</f>
        <v>3.6619053774095687E-4</v>
      </c>
      <c r="H438" s="1985"/>
      <c r="I438" s="10"/>
      <c r="J438" s="10"/>
      <c r="K438" s="10"/>
      <c r="L438" s="10"/>
      <c r="M438" s="10"/>
    </row>
    <row r="439" spans="1:13" ht="14.25">
      <c r="A439" s="10"/>
      <c r="B439" s="2231" t="s">
        <v>901</v>
      </c>
      <c r="C439" s="2252">
        <f>C426/1000</f>
        <v>220.82663272199991</v>
      </c>
      <c r="D439" s="2253">
        <f>L300</f>
        <v>0.72324055529709974</v>
      </c>
      <c r="E439" s="2254">
        <f>D439*0.907441</f>
        <v>0.65629813273935556</v>
      </c>
      <c r="F439" s="2255">
        <v>21</v>
      </c>
      <c r="G439" s="2256">
        <f>(E439*F439)/1000000</f>
        <v>1.3782260787526466E-5</v>
      </c>
      <c r="H439" s="1985"/>
      <c r="I439" s="10"/>
      <c r="J439" s="10"/>
      <c r="K439" s="10"/>
      <c r="L439" s="10"/>
      <c r="M439" s="10"/>
    </row>
    <row r="440" spans="1:13" ht="14.25">
      <c r="A440" s="10"/>
      <c r="B440" s="2231" t="s">
        <v>1114</v>
      </c>
      <c r="C440" s="2252">
        <f>C427/1000</f>
        <v>445980.278456876</v>
      </c>
      <c r="D440" s="2253">
        <f>L413+Luke!E54</f>
        <v>53.185005856541451</v>
      </c>
      <c r="E440" s="2254">
        <f>D440*0.907441</f>
        <v>48.262254899465837</v>
      </c>
      <c r="F440" s="2255">
        <v>21</v>
      </c>
      <c r="G440" s="2256">
        <f>(E440*F440)/1000000</f>
        <v>1.0135073528887827E-3</v>
      </c>
      <c r="H440" s="1985"/>
      <c r="I440" s="10"/>
      <c r="J440" s="10"/>
      <c r="K440" s="10"/>
      <c r="L440" s="10"/>
      <c r="M440" s="10"/>
    </row>
    <row r="441" spans="1:13" ht="15.75" thickBot="1">
      <c r="A441" s="10"/>
      <c r="B441" s="2257" t="s">
        <v>190</v>
      </c>
      <c r="C441" s="2234"/>
      <c r="D441" s="2258">
        <f>SUM(D437:D440)</f>
        <v>1228.7460176282723</v>
      </c>
      <c r="E441" s="2234"/>
      <c r="F441" s="2234" t="s">
        <v>190</v>
      </c>
      <c r="G441" s="2259">
        <f>SUM(G437:G440)</f>
        <v>2.3415304814634962E-2</v>
      </c>
      <c r="H441" s="1985"/>
      <c r="I441" s="10"/>
      <c r="J441" s="10"/>
      <c r="K441" s="10"/>
      <c r="L441" s="10"/>
      <c r="M441" s="10"/>
    </row>
    <row r="442" spans="1:13" ht="13.5" thickTop="1">
      <c r="A442" s="10"/>
      <c r="B442" s="1985"/>
      <c r="C442" s="1985"/>
      <c r="D442" s="1985"/>
      <c r="E442" s="1985"/>
      <c r="F442" s="1985"/>
      <c r="G442" s="1985"/>
      <c r="H442" s="1985"/>
      <c r="I442" s="10"/>
      <c r="J442" s="10"/>
      <c r="K442" s="10"/>
      <c r="L442" s="10"/>
      <c r="M442" s="10"/>
    </row>
    <row r="443" spans="1:13" ht="26.25">
      <c r="A443" s="10"/>
      <c r="B443" s="2014" t="s">
        <v>1307</v>
      </c>
      <c r="C443" s="2015"/>
      <c r="D443" s="1985"/>
      <c r="E443" s="1985"/>
      <c r="F443" s="1985"/>
      <c r="G443" s="1985"/>
      <c r="H443" s="1985"/>
      <c r="I443" s="10"/>
      <c r="J443" s="10"/>
      <c r="K443" s="10"/>
      <c r="L443" s="10"/>
      <c r="M443" s="10"/>
    </row>
    <row r="444" spans="1:13" ht="21">
      <c r="A444" s="10"/>
      <c r="B444" s="228" t="s">
        <v>338</v>
      </c>
      <c r="C444" s="1985"/>
      <c r="D444" s="1985"/>
      <c r="E444" s="1985"/>
      <c r="F444" s="1985"/>
      <c r="G444" s="1985"/>
      <c r="H444" s="1985"/>
      <c r="I444" s="10"/>
      <c r="J444" s="10"/>
      <c r="K444" s="10"/>
      <c r="L444" s="10"/>
      <c r="M444" s="10"/>
    </row>
    <row r="445" spans="1:13" ht="21">
      <c r="A445" s="10"/>
      <c r="B445" s="44" t="s">
        <v>113</v>
      </c>
      <c r="C445" s="2007"/>
      <c r="D445" s="2007"/>
      <c r="E445" s="42">
        <v>2017</v>
      </c>
      <c r="F445" s="2007"/>
      <c r="G445" s="2007"/>
      <c r="H445" s="1985"/>
      <c r="I445" s="10"/>
      <c r="J445" s="10"/>
      <c r="K445" s="10"/>
      <c r="L445" s="10"/>
      <c r="M445" s="10"/>
    </row>
    <row r="446" spans="1:13" ht="14.25" thickBot="1">
      <c r="A446" s="10"/>
      <c r="B446" s="45"/>
      <c r="C446" s="2007"/>
      <c r="D446" s="2007"/>
      <c r="E446" s="43"/>
      <c r="F446" s="2007"/>
      <c r="G446" s="2007"/>
      <c r="H446" s="1985"/>
      <c r="I446" s="10"/>
      <c r="J446" s="10"/>
      <c r="K446" s="10"/>
      <c r="L446" s="10"/>
      <c r="M446" s="10"/>
    </row>
    <row r="447" spans="1:13" ht="18.75" thickTop="1">
      <c r="A447" s="10"/>
      <c r="B447" s="2260"/>
      <c r="C447" s="2261" t="s">
        <v>106</v>
      </c>
      <c r="D447" s="2262" t="s">
        <v>114</v>
      </c>
      <c r="E447" s="2262" t="s">
        <v>114</v>
      </c>
      <c r="F447" s="2261" t="s">
        <v>109</v>
      </c>
      <c r="G447" s="2263" t="s">
        <v>108</v>
      </c>
      <c r="H447" s="1985"/>
      <c r="I447" s="10"/>
      <c r="J447" s="10"/>
      <c r="K447" s="10"/>
      <c r="L447" s="10"/>
      <c r="M447" s="10"/>
    </row>
    <row r="448" spans="1:13" ht="18.75" thickBot="1">
      <c r="A448" s="10"/>
      <c r="B448" s="2241" t="s">
        <v>1120</v>
      </c>
      <c r="C448" s="2264" t="s">
        <v>110</v>
      </c>
      <c r="D448" s="2243" t="s">
        <v>1385</v>
      </c>
      <c r="E448" s="2243" t="s">
        <v>1386</v>
      </c>
      <c r="F448" s="2264"/>
      <c r="G448" s="2245" t="s">
        <v>1387</v>
      </c>
      <c r="H448" s="1985"/>
      <c r="I448" s="10"/>
      <c r="J448" s="10"/>
      <c r="K448" s="10"/>
      <c r="L448" s="10"/>
      <c r="M448" s="10"/>
    </row>
    <row r="449" spans="1:13" ht="15" thickTop="1">
      <c r="A449" s="10"/>
      <c r="B449" s="2246" t="s">
        <v>1112</v>
      </c>
      <c r="C449" s="2265">
        <f>C424/1000</f>
        <v>115817.32950061999</v>
      </c>
      <c r="D449" s="2266">
        <f>M58+Luke!E63</f>
        <v>173.06759294353444</v>
      </c>
      <c r="E449" s="2267">
        <f>D449*0.907441</f>
        <v>157.04862960827384</v>
      </c>
      <c r="F449" s="2250">
        <v>310</v>
      </c>
      <c r="G449" s="2251">
        <f>E449*F449/1000000</f>
        <v>4.8685075178564893E-2</v>
      </c>
      <c r="H449" s="1985"/>
      <c r="I449" s="10"/>
      <c r="J449" s="10"/>
      <c r="K449" s="10"/>
      <c r="L449" s="10"/>
      <c r="M449" s="10"/>
    </row>
    <row r="450" spans="1:13" ht="14.25">
      <c r="A450" s="10"/>
      <c r="B450" s="2231" t="s">
        <v>897</v>
      </c>
      <c r="C450" s="2268">
        <f>C425/1000</f>
        <v>1836.6090071799999</v>
      </c>
      <c r="D450" s="2232">
        <f>M252</f>
        <v>1.2236940435383052</v>
      </c>
      <c r="E450" s="2269">
        <f>D450*0.907441</f>
        <v>1.1104301465624433</v>
      </c>
      <c r="F450" s="2255">
        <v>310</v>
      </c>
      <c r="G450" s="2256">
        <f>E450*F450/1000000</f>
        <v>3.4423334543435744E-4</v>
      </c>
      <c r="H450" s="1985"/>
      <c r="I450" s="10"/>
      <c r="J450" s="10"/>
      <c r="K450" s="10"/>
      <c r="L450" s="10"/>
      <c r="M450" s="10"/>
    </row>
    <row r="451" spans="1:13" ht="14.25">
      <c r="A451" s="10"/>
      <c r="B451" s="2231" t="s">
        <v>901</v>
      </c>
      <c r="C451" s="2268">
        <f>C426/1000</f>
        <v>220.82663272199991</v>
      </c>
      <c r="D451" s="2232">
        <f>M300</f>
        <v>0.12043302501759111</v>
      </c>
      <c r="E451" s="2269">
        <f>D451*0.907441</f>
        <v>0.10928586465498789</v>
      </c>
      <c r="F451" s="2255">
        <v>310</v>
      </c>
      <c r="G451" s="2256">
        <f>E451*F451/1000000</f>
        <v>3.3878618043046242E-5</v>
      </c>
      <c r="H451" s="1985"/>
      <c r="I451" s="10"/>
      <c r="J451" s="10"/>
      <c r="K451" s="10"/>
      <c r="L451" s="10"/>
      <c r="M451" s="10"/>
    </row>
    <row r="452" spans="1:13" ht="14.25">
      <c r="A452" s="10"/>
      <c r="B452" s="2231" t="s">
        <v>1114</v>
      </c>
      <c r="C452" s="2268">
        <f>C427/1000</f>
        <v>445980.278456876</v>
      </c>
      <c r="D452" s="2232">
        <f>M413+Luke!E67</f>
        <v>14.789294270002884</v>
      </c>
      <c r="E452" s="2269">
        <f>D452*0.907441</f>
        <v>13.420411981665687</v>
      </c>
      <c r="F452" s="2255">
        <v>310</v>
      </c>
      <c r="G452" s="2256">
        <f>E452*F452/1000000</f>
        <v>4.1603277143163631E-3</v>
      </c>
      <c r="H452" s="1985"/>
      <c r="I452" s="10"/>
      <c r="J452" s="10"/>
      <c r="K452" s="10"/>
      <c r="L452" s="10"/>
      <c r="M452" s="10"/>
    </row>
    <row r="453" spans="1:13" ht="15.75" thickBot="1">
      <c r="A453" s="10"/>
      <c r="B453" s="2012" t="s">
        <v>190</v>
      </c>
      <c r="C453" s="2234"/>
      <c r="D453" s="2016">
        <f>SUM(D449:D452)</f>
        <v>189.20101428209324</v>
      </c>
      <c r="E453" s="2234"/>
      <c r="F453" s="2234"/>
      <c r="G453" s="2013">
        <f>SUM(G449:G452)</f>
        <v>5.3223514856358657E-2</v>
      </c>
      <c r="H453" s="1985"/>
      <c r="I453" s="10"/>
      <c r="J453" s="10"/>
      <c r="K453" s="10"/>
      <c r="L453" s="10"/>
      <c r="M453" s="10"/>
    </row>
    <row r="454" spans="1:13" ht="13.5" thickTop="1">
      <c r="A454" s="10"/>
      <c r="B454" s="17"/>
      <c r="C454" s="2017"/>
      <c r="D454" s="2017"/>
      <c r="E454" s="2017"/>
      <c r="F454" s="46"/>
      <c r="G454" s="47"/>
      <c r="H454" s="1985"/>
      <c r="I454" s="10"/>
      <c r="J454" s="10"/>
      <c r="K454" s="10"/>
      <c r="L454" s="10"/>
      <c r="M454" s="10"/>
    </row>
    <row r="455" spans="1:13" ht="12.75">
      <c r="A455" s="10"/>
      <c r="B455" s="1985"/>
      <c r="C455" s="1985"/>
      <c r="D455" s="1985"/>
      <c r="E455" s="1985"/>
      <c r="F455" s="1985"/>
      <c r="G455" s="1985"/>
      <c r="H455" s="1985"/>
      <c r="I455" s="10"/>
      <c r="J455" s="10"/>
      <c r="K455" s="10"/>
      <c r="L455" s="10"/>
      <c r="M455" s="10"/>
    </row>
    <row r="456" spans="1:13" ht="21">
      <c r="A456" s="10"/>
      <c r="B456" s="228" t="s">
        <v>267</v>
      </c>
      <c r="C456" s="2017"/>
      <c r="D456" s="2017"/>
      <c r="E456" s="2017"/>
      <c r="F456" s="46"/>
      <c r="G456" s="47"/>
      <c r="H456" s="1985"/>
      <c r="I456" s="10"/>
      <c r="J456" s="10"/>
      <c r="K456" s="10"/>
      <c r="L456" s="10"/>
      <c r="M456" s="10"/>
    </row>
    <row r="457" spans="1:13" ht="21">
      <c r="A457" s="10"/>
      <c r="B457" s="228" t="s">
        <v>338</v>
      </c>
      <c r="C457" s="1985"/>
      <c r="D457" s="1985"/>
      <c r="E457" s="1985"/>
      <c r="F457" s="1985"/>
      <c r="G457" s="1985"/>
      <c r="H457" s="1985"/>
      <c r="I457" s="10"/>
      <c r="J457" s="10"/>
      <c r="K457" s="10"/>
      <c r="L457" s="10"/>
      <c r="M457" s="10"/>
    </row>
    <row r="458" spans="1:13" ht="21">
      <c r="A458" s="10"/>
      <c r="B458" s="44" t="s">
        <v>115</v>
      </c>
      <c r="C458" s="2007"/>
      <c r="D458" s="2007"/>
      <c r="E458" s="42">
        <v>2017</v>
      </c>
      <c r="F458" s="2007"/>
      <c r="G458" s="2007"/>
      <c r="H458" s="1985"/>
      <c r="I458" s="10"/>
      <c r="J458" s="10"/>
      <c r="K458" s="10"/>
      <c r="L458" s="10"/>
      <c r="M458" s="10"/>
    </row>
    <row r="459" spans="1:13" ht="13.5" thickBot="1">
      <c r="A459" s="10"/>
      <c r="B459" s="1985"/>
      <c r="C459" s="1985"/>
      <c r="D459" s="1985"/>
      <c r="E459" s="1985"/>
      <c r="F459" s="1985"/>
      <c r="G459" s="1985"/>
      <c r="H459" s="1985"/>
      <c r="I459" s="10"/>
      <c r="J459" s="10"/>
      <c r="K459" s="10"/>
      <c r="L459" s="10"/>
      <c r="M459" s="10"/>
    </row>
    <row r="460" spans="1:13" ht="15.75" thickTop="1">
      <c r="A460" s="10"/>
      <c r="B460" s="2260"/>
      <c r="C460" s="2270"/>
      <c r="D460" s="2271" t="s">
        <v>108</v>
      </c>
      <c r="E460" s="2271" t="s">
        <v>108</v>
      </c>
      <c r="F460" s="2271" t="s">
        <v>108</v>
      </c>
      <c r="G460" s="2272" t="s">
        <v>108</v>
      </c>
      <c r="H460" s="1985"/>
      <c r="I460" s="10"/>
      <c r="J460" s="10"/>
      <c r="K460" s="10"/>
      <c r="L460" s="10"/>
      <c r="M460" s="10"/>
    </row>
    <row r="461" spans="1:13" ht="16.5">
      <c r="A461" s="10"/>
      <c r="B461" s="2273"/>
      <c r="C461" s="2274" t="s">
        <v>106</v>
      </c>
      <c r="D461" s="2275" t="s">
        <v>1388</v>
      </c>
      <c r="E461" s="2275" t="s">
        <v>1389</v>
      </c>
      <c r="F461" s="2275" t="s">
        <v>1390</v>
      </c>
      <c r="G461" s="2276" t="s">
        <v>190</v>
      </c>
      <c r="H461" s="1985"/>
      <c r="I461" s="10"/>
      <c r="J461" s="10"/>
      <c r="K461" s="10"/>
      <c r="L461" s="10"/>
      <c r="M461" s="10"/>
    </row>
    <row r="462" spans="1:13" ht="17.25" thickBot="1">
      <c r="A462" s="10"/>
      <c r="B462" s="2277" t="s">
        <v>1120</v>
      </c>
      <c r="C462" s="2242" t="s">
        <v>110</v>
      </c>
      <c r="D462" s="2278" t="s">
        <v>1384</v>
      </c>
      <c r="E462" s="2278" t="s">
        <v>1384</v>
      </c>
      <c r="F462" s="2278" t="s">
        <v>1384</v>
      </c>
      <c r="G462" s="2279" t="s">
        <v>1384</v>
      </c>
      <c r="H462" s="1985"/>
      <c r="I462" s="10"/>
      <c r="J462" s="10"/>
      <c r="K462" s="10"/>
      <c r="L462" s="10"/>
      <c r="M462" s="10"/>
    </row>
    <row r="463" spans="1:13" ht="15" thickTop="1">
      <c r="A463" s="10"/>
      <c r="B463" s="2246" t="s">
        <v>1112</v>
      </c>
      <c r="C463" s="2280">
        <f>C449</f>
        <v>115817.32950061999</v>
      </c>
      <c r="D463" s="2288">
        <f>F424</f>
        <v>9.1659274190770965</v>
      </c>
      <c r="E463" s="2249">
        <f>G449</f>
        <v>4.8685075178564893E-2</v>
      </c>
      <c r="F463" s="2249">
        <f>G437</f>
        <v>2.2021824663217691E-2</v>
      </c>
      <c r="G463" s="2281">
        <f>D463+E463+F463</f>
        <v>9.2366343189188793</v>
      </c>
      <c r="H463" s="1985"/>
      <c r="I463" s="10"/>
      <c r="J463" s="10"/>
      <c r="K463" s="10"/>
      <c r="L463" s="10"/>
      <c r="M463" s="10"/>
    </row>
    <row r="464" spans="1:13" ht="14.25">
      <c r="A464" s="10"/>
      <c r="B464" s="2231" t="s">
        <v>897</v>
      </c>
      <c r="C464" s="2282">
        <f>C450</f>
        <v>1836.6090071799999</v>
      </c>
      <c r="D464" s="2289">
        <f>F425</f>
        <v>0.14506510530408093</v>
      </c>
      <c r="E464" s="2254">
        <f>G450</f>
        <v>3.4423334543435744E-4</v>
      </c>
      <c r="F464" s="2254">
        <f>G438</f>
        <v>3.6619053774095687E-4</v>
      </c>
      <c r="G464" s="2283">
        <f>D464+E464+F464</f>
        <v>0.14577552918725623</v>
      </c>
      <c r="H464" s="1985"/>
      <c r="I464" s="10"/>
      <c r="J464" s="10"/>
      <c r="K464" s="10"/>
      <c r="L464" s="10"/>
      <c r="M464" s="10"/>
    </row>
    <row r="465" spans="1:13" ht="14.25">
      <c r="A465" s="10"/>
      <c r="B465" s="2231" t="s">
        <v>901</v>
      </c>
      <c r="C465" s="2282">
        <f>C451</f>
        <v>220.82663272199991</v>
      </c>
      <c r="D465" s="2289">
        <f>F426</f>
        <v>3.1889756391704277E-3</v>
      </c>
      <c r="E465" s="2254">
        <f>G451</f>
        <v>3.3878618043046242E-5</v>
      </c>
      <c r="F465" s="2254">
        <f>G439</f>
        <v>1.3782260787526466E-5</v>
      </c>
      <c r="G465" s="2283">
        <f>D465+E465+F465</f>
        <v>3.2366365180010004E-3</v>
      </c>
      <c r="H465" s="1985"/>
      <c r="I465" s="10"/>
      <c r="J465" s="10"/>
      <c r="K465" s="10"/>
      <c r="L465" s="10"/>
      <c r="M465" s="10"/>
    </row>
    <row r="466" spans="1:13" ht="14.25">
      <c r="A466" s="10"/>
      <c r="B466" s="2231" t="s">
        <v>1114</v>
      </c>
      <c r="C466" s="2282">
        <f>C452</f>
        <v>445980.278456876</v>
      </c>
      <c r="D466" s="2289">
        <f>F427</f>
        <v>2.8873315134390842</v>
      </c>
      <c r="E466" s="2254">
        <f>G452</f>
        <v>4.1603277143163631E-3</v>
      </c>
      <c r="F466" s="2254">
        <f>G440</f>
        <v>1.0135073528887827E-3</v>
      </c>
      <c r="G466" s="2283">
        <f>D466+E466+F466</f>
        <v>2.8925053485062895</v>
      </c>
      <c r="H466" s="1985"/>
      <c r="I466" s="10"/>
      <c r="J466" s="10"/>
      <c r="K466" s="10"/>
      <c r="L466" s="10"/>
      <c r="M466" s="10"/>
    </row>
    <row r="467" spans="1:13" ht="15.75" thickBot="1">
      <c r="A467" s="10"/>
      <c r="B467" s="2284" t="s">
        <v>190</v>
      </c>
      <c r="C467" s="2285"/>
      <c r="D467" s="2286">
        <f>SUM(D463:D466)</f>
        <v>12.201513013459433</v>
      </c>
      <c r="E467" s="2286">
        <f>SUM(E463:E466)</f>
        <v>5.3223514856358657E-2</v>
      </c>
      <c r="F467" s="2286">
        <f>SUM(F463:F466)</f>
        <v>2.3415304814634962E-2</v>
      </c>
      <c r="G467" s="2287">
        <f>SUM(D467:F467)</f>
        <v>12.278151833130428</v>
      </c>
      <c r="H467" s="1985"/>
      <c r="I467" s="10"/>
      <c r="J467" s="10"/>
      <c r="K467" s="10"/>
      <c r="L467" s="10"/>
      <c r="M467" s="10"/>
    </row>
    <row r="468" spans="1:13" ht="13.5" thickTop="1">
      <c r="A468" s="10"/>
      <c r="B468" s="1985"/>
      <c r="C468" s="1985"/>
      <c r="D468" s="1985"/>
      <c r="E468" s="1985"/>
      <c r="F468" s="1985"/>
      <c r="G468" s="1985"/>
      <c r="H468" s="1985"/>
      <c r="I468" s="10"/>
      <c r="J468" s="10"/>
      <c r="K468" s="10"/>
      <c r="L468" s="10"/>
      <c r="M468" s="10"/>
    </row>
    <row r="469" spans="1:13" ht="12.75">
      <c r="A469" s="10"/>
      <c r="B469" s="10"/>
      <c r="C469" s="10"/>
      <c r="D469" s="10"/>
      <c r="E469" s="10"/>
      <c r="F469" s="10"/>
      <c r="G469" s="10"/>
      <c r="H469" s="10"/>
      <c r="I469" s="10"/>
      <c r="J469" s="10"/>
      <c r="K469" s="10"/>
      <c r="L469" s="10"/>
      <c r="M469" s="10"/>
    </row>
    <row r="470" spans="1:13" ht="12.75">
      <c r="A470" s="10"/>
      <c r="B470" s="10"/>
      <c r="C470" s="10"/>
      <c r="D470" s="10"/>
      <c r="E470" s="10"/>
      <c r="F470" s="10"/>
      <c r="G470" s="10"/>
      <c r="H470" s="10"/>
      <c r="I470" s="10"/>
      <c r="J470" s="10"/>
      <c r="K470" s="10"/>
      <c r="L470" s="10"/>
      <c r="M470" s="10"/>
    </row>
    <row r="471" spans="1:13" ht="12.75">
      <c r="A471" s="10"/>
      <c r="B471" s="10"/>
      <c r="C471" s="10"/>
      <c r="D471" s="10"/>
      <c r="E471" s="10"/>
      <c r="F471" s="10"/>
      <c r="G471" s="10"/>
      <c r="H471" s="10"/>
      <c r="I471" s="10"/>
      <c r="J471" s="10"/>
      <c r="K471" s="10"/>
      <c r="L471" s="10"/>
      <c r="M471" s="10"/>
    </row>
  </sheetData>
  <sheetProtection password="CD58" sheet="1" objects="1" scenarios="1"/>
  <phoneticPr fontId="0" type="noConversion"/>
  <pageMargins left="0.75" right="0.36" top="0.54" bottom="0.48" header="0.5" footer="0.5"/>
  <pageSetup scale="70" orientation="portrait" r:id="rId1"/>
  <headerFooter alignWithMargins="0"/>
  <rowBreaks count="2" manualBreakCount="2">
    <brk id="323" max="22" man="1"/>
    <brk id="415" max="16383" man="1"/>
  </rowBreaks>
  <colBreaks count="1" manualBreakCount="1">
    <brk id="8" max="1048575" man="1"/>
  </colBreaks>
  <drawing r:id="rId2"/>
  <legacyDrawing r:id="rId3"/>
</worksheet>
</file>

<file path=xl/worksheets/sheet20.xml><?xml version="1.0" encoding="utf-8"?>
<worksheet xmlns="http://schemas.openxmlformats.org/spreadsheetml/2006/main" xmlns:r="http://schemas.openxmlformats.org/officeDocument/2006/relationships">
  <dimension ref="A1:S9"/>
  <sheetViews>
    <sheetView workbookViewId="0">
      <selection activeCell="N20" sqref="N20"/>
    </sheetView>
  </sheetViews>
  <sheetFormatPr defaultRowHeight="11.25"/>
  <cols>
    <col min="3" max="3" width="20.83203125" bestFit="1" customWidth="1"/>
    <col min="4" max="4" width="15.5" customWidth="1"/>
    <col min="5" max="5" width="12.6640625" bestFit="1" customWidth="1"/>
    <col min="7" max="7" width="18.33203125" bestFit="1" customWidth="1"/>
    <col min="9" max="9" width="11" bestFit="1" customWidth="1"/>
    <col min="10" max="10" width="12.6640625" bestFit="1" customWidth="1"/>
  </cols>
  <sheetData>
    <row r="1" spans="1:19" ht="33">
      <c r="A1" s="482" t="s">
        <v>557</v>
      </c>
      <c r="B1" s="229"/>
      <c r="G1" s="479" t="s">
        <v>1760</v>
      </c>
      <c r="H1" s="1"/>
    </row>
    <row r="2" spans="1:19" s="411" customFormat="1" ht="111.75" customHeight="1" thickBot="1">
      <c r="B2" s="458"/>
      <c r="C2" s="458"/>
      <c r="D2" s="459"/>
      <c r="E2" s="459"/>
      <c r="F2" s="459"/>
      <c r="G2" s="459"/>
      <c r="H2" s="460"/>
      <c r="I2" s="461"/>
      <c r="J2" s="460"/>
      <c r="K2" s="460"/>
      <c r="L2" s="460"/>
      <c r="M2" s="461"/>
      <c r="N2" s="461"/>
      <c r="O2" s="461"/>
      <c r="P2" s="461"/>
      <c r="Q2" s="461"/>
      <c r="R2" s="461"/>
      <c r="S2" s="461"/>
    </row>
    <row r="3" spans="1:19" s="411" customFormat="1" ht="15.75" thickTop="1">
      <c r="B3" s="462"/>
      <c r="C3" s="463"/>
      <c r="D3" s="464" t="s">
        <v>108</v>
      </c>
      <c r="E3" s="461"/>
      <c r="F3" s="461"/>
      <c r="G3" s="461"/>
      <c r="H3" s="461"/>
      <c r="I3" s="461"/>
      <c r="J3" s="461"/>
      <c r="K3" s="461"/>
      <c r="L3" s="461"/>
      <c r="M3" s="461"/>
    </row>
    <row r="4" spans="1:19" s="411" customFormat="1" ht="18">
      <c r="B4" s="465"/>
      <c r="C4" s="466"/>
      <c r="D4" s="467" t="s">
        <v>484</v>
      </c>
      <c r="E4" s="461"/>
      <c r="F4" s="461"/>
      <c r="G4" s="461"/>
      <c r="H4" s="461"/>
      <c r="I4" s="461"/>
      <c r="J4" s="461"/>
      <c r="K4" s="461"/>
      <c r="L4" s="461"/>
      <c r="M4" s="461"/>
    </row>
    <row r="5" spans="1:19" s="411" customFormat="1" ht="15">
      <c r="B5" s="465"/>
      <c r="C5" s="468"/>
      <c r="D5" s="469"/>
      <c r="E5" s="461"/>
      <c r="F5" s="461"/>
      <c r="G5" s="461"/>
      <c r="H5" s="461"/>
      <c r="I5" s="461"/>
      <c r="J5" s="461"/>
      <c r="K5" s="461"/>
      <c r="L5" s="461"/>
      <c r="M5" s="461"/>
    </row>
    <row r="6" spans="1:19" s="411" customFormat="1" ht="15">
      <c r="B6" s="470"/>
      <c r="C6" s="471"/>
      <c r="D6" s="469"/>
      <c r="E6" s="461"/>
      <c r="F6" s="461"/>
      <c r="G6" s="461"/>
      <c r="H6" s="461"/>
      <c r="I6" s="461"/>
      <c r="J6" s="461"/>
      <c r="K6" s="461"/>
      <c r="L6" s="461"/>
      <c r="M6" s="461"/>
    </row>
    <row r="7" spans="1:19" s="411" customFormat="1" ht="15">
      <c r="B7" s="472">
        <v>2017</v>
      </c>
      <c r="C7" s="473" t="s">
        <v>558</v>
      </c>
      <c r="D7" s="469">
        <v>3.3000000000000002E-2</v>
      </c>
      <c r="E7" s="474"/>
      <c r="F7" s="461"/>
      <c r="G7" s="461"/>
      <c r="H7" s="461"/>
      <c r="I7" s="461"/>
      <c r="J7" s="461"/>
      <c r="K7" s="461"/>
      <c r="L7" s="461"/>
      <c r="M7" s="461"/>
    </row>
    <row r="8" spans="1:19" s="411" customFormat="1" ht="15.75" thickBot="1">
      <c r="B8" s="475"/>
      <c r="C8" s="476"/>
      <c r="D8" s="477"/>
      <c r="E8" s="461"/>
      <c r="F8" s="461"/>
      <c r="G8" s="461"/>
      <c r="H8" s="461"/>
      <c r="I8" s="461"/>
      <c r="J8" s="461"/>
      <c r="K8" s="461"/>
      <c r="L8" s="461"/>
      <c r="M8" s="461"/>
    </row>
    <row r="9" spans="1:19" s="411" customFormat="1" ht="15.75" thickTop="1"/>
  </sheetData>
  <sheetProtection password="CD58" sheet="1" objects="1" scenarios="1"/>
  <phoneticPr fontId="0" type="noConversion"/>
  <pageMargins left="0.75" right="0.75" top="1" bottom="1" header="0.5" footer="0.5"/>
  <pageSetup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sheetPr codeName="Sheet16"/>
  <dimension ref="A1:L87"/>
  <sheetViews>
    <sheetView zoomScaleNormal="100" workbookViewId="0">
      <selection activeCell="I20" sqref="I20"/>
    </sheetView>
  </sheetViews>
  <sheetFormatPr defaultRowHeight="11.25"/>
  <cols>
    <col min="1" max="1" width="3.6640625" customWidth="1"/>
    <col min="2" max="2" width="30.33203125" customWidth="1"/>
    <col min="3" max="3" width="17.1640625" customWidth="1"/>
    <col min="4" max="4" width="21.6640625" customWidth="1"/>
    <col min="5" max="5" width="18.1640625" customWidth="1"/>
    <col min="6" max="6" width="17.83203125" customWidth="1"/>
    <col min="7" max="7" width="18.83203125" customWidth="1"/>
    <col min="8" max="9" width="18" customWidth="1"/>
    <col min="10" max="10" width="20.6640625" customWidth="1"/>
    <col min="11" max="11" width="20.1640625" customWidth="1"/>
  </cols>
  <sheetData>
    <row r="1" spans="1:12" ht="33">
      <c r="A1" s="482" t="s">
        <v>439</v>
      </c>
      <c r="B1" s="229"/>
      <c r="E1" s="479" t="s">
        <v>1760</v>
      </c>
      <c r="G1" s="1"/>
      <c r="H1" s="1"/>
    </row>
    <row r="2" spans="1:12" ht="171.75" customHeight="1">
      <c r="A2" s="230"/>
    </row>
    <row r="3" spans="1:12" ht="14.25">
      <c r="B3" s="136"/>
      <c r="C3" s="131"/>
      <c r="D3" s="132"/>
      <c r="E3" s="137"/>
      <c r="F3" s="131"/>
      <c r="G3" s="137"/>
      <c r="H3" s="138"/>
      <c r="I3" s="139"/>
      <c r="J3" s="140"/>
      <c r="K3" s="131"/>
    </row>
    <row r="4" spans="1:12" ht="21">
      <c r="B4" s="147" t="s">
        <v>1075</v>
      </c>
      <c r="C4" s="129"/>
      <c r="D4" s="147">
        <v>2017</v>
      </c>
      <c r="E4" s="130"/>
      <c r="F4" s="129"/>
      <c r="G4" s="148"/>
      <c r="H4" s="45"/>
      <c r="I4" s="45"/>
      <c r="J4" s="45"/>
      <c r="K4" s="45"/>
      <c r="L4" s="16"/>
    </row>
    <row r="5" spans="1:12" ht="13.5" thickBot="1">
      <c r="B5" s="131"/>
      <c r="C5" s="131"/>
      <c r="D5" s="131"/>
      <c r="E5" s="133"/>
      <c r="F5" s="131"/>
      <c r="G5" s="137"/>
      <c r="H5" s="131"/>
      <c r="I5" s="131"/>
      <c r="J5" s="131"/>
      <c r="K5" s="131"/>
    </row>
    <row r="6" spans="1:12" ht="15" thickTop="1">
      <c r="B6" s="2996"/>
      <c r="C6" s="2997" t="s">
        <v>1076</v>
      </c>
      <c r="D6" s="2997" t="s">
        <v>107</v>
      </c>
      <c r="E6" s="2997" t="s">
        <v>1077</v>
      </c>
      <c r="F6" s="2998" t="s">
        <v>1078</v>
      </c>
      <c r="G6" s="137"/>
      <c r="I6" s="137"/>
      <c r="K6" s="131"/>
    </row>
    <row r="7" spans="1:12" ht="26.25" thickBot="1">
      <c r="B7" s="2999"/>
      <c r="C7" s="3000"/>
      <c r="D7" s="3001" t="s">
        <v>1079</v>
      </c>
      <c r="E7" s="3000"/>
      <c r="F7" s="3002"/>
      <c r="G7" s="137"/>
      <c r="I7" s="137"/>
      <c r="K7" s="131"/>
    </row>
    <row r="8" spans="1:12" ht="12.75">
      <c r="B8" s="2994" t="s">
        <v>1080</v>
      </c>
      <c r="C8" s="2056">
        <v>5</v>
      </c>
      <c r="D8" s="2995">
        <v>4.1021717966689701</v>
      </c>
      <c r="E8" s="3093">
        <f>C8*D8</f>
        <v>20.51085898334485</v>
      </c>
      <c r="F8" s="2058">
        <f>E8*21/1000000</f>
        <v>4.3072803865024182E-4</v>
      </c>
      <c r="G8" s="137"/>
      <c r="I8" s="139"/>
      <c r="K8" s="131"/>
    </row>
    <row r="9" spans="1:12" ht="25.5">
      <c r="B9" s="149" t="s">
        <v>1081</v>
      </c>
      <c r="C9" s="150">
        <v>0</v>
      </c>
      <c r="D9" s="134">
        <v>13.055796863999998</v>
      </c>
      <c r="E9" s="3094">
        <v>0</v>
      </c>
      <c r="F9" s="151">
        <f>E9*21/1000000</f>
        <v>0</v>
      </c>
      <c r="G9" s="137"/>
      <c r="I9" s="139"/>
      <c r="K9" s="131"/>
    </row>
    <row r="10" spans="1:12" ht="14.25">
      <c r="B10" s="152" t="s">
        <v>1082</v>
      </c>
      <c r="C10" s="153"/>
      <c r="D10" s="154"/>
      <c r="E10" s="3095">
        <v>21.095017507998922</v>
      </c>
      <c r="F10" s="155">
        <f>F8+F9</f>
        <v>4.3072803865024182E-4</v>
      </c>
      <c r="G10" s="137"/>
      <c r="I10" s="139"/>
      <c r="K10" s="131"/>
    </row>
    <row r="11" spans="1:12" ht="12" thickBot="1">
      <c r="B11" s="26"/>
      <c r="C11" s="27"/>
      <c r="D11" s="27"/>
      <c r="E11" s="27"/>
      <c r="F11" s="28"/>
    </row>
    <row r="12" spans="1:12" ht="12" thickTop="1">
      <c r="B12" s="4"/>
      <c r="C12" s="4"/>
      <c r="D12" s="4"/>
      <c r="E12" s="4"/>
      <c r="F12" s="4"/>
    </row>
    <row r="13" spans="1:12">
      <c r="B13" s="4" t="s">
        <v>1740</v>
      </c>
      <c r="C13" s="3088" t="s">
        <v>1738</v>
      </c>
      <c r="D13" s="4"/>
      <c r="E13" s="4"/>
      <c r="F13" s="4"/>
    </row>
    <row r="14" spans="1:12">
      <c r="B14" s="3572" t="s">
        <v>234</v>
      </c>
      <c r="C14" s="3572"/>
      <c r="D14" s="3572"/>
      <c r="E14" s="3572"/>
      <c r="F14" s="3572"/>
      <c r="G14" s="3572"/>
      <c r="H14" s="3572"/>
      <c r="I14" s="3572"/>
    </row>
    <row r="15" spans="1:12">
      <c r="B15" s="4"/>
      <c r="C15" s="4"/>
      <c r="D15" s="4"/>
      <c r="E15" s="4"/>
      <c r="F15" s="4"/>
    </row>
    <row r="16" spans="1:12">
      <c r="B16" s="4"/>
      <c r="C16" s="4"/>
      <c r="D16" s="4"/>
      <c r="E16" s="4"/>
      <c r="F16" s="4"/>
    </row>
    <row r="19" spans="2:7" ht="21">
      <c r="B19" s="157" t="s">
        <v>1090</v>
      </c>
      <c r="C19" s="157"/>
      <c r="D19" s="143"/>
      <c r="E19" s="143"/>
      <c r="F19" s="143"/>
    </row>
    <row r="20" spans="2:7" ht="12" thickBot="1">
      <c r="C20" s="3572"/>
      <c r="D20" s="3572"/>
      <c r="E20" s="3572"/>
      <c r="F20" s="3572"/>
    </row>
    <row r="21" spans="2:7" ht="15" thickTop="1">
      <c r="B21" s="3021"/>
      <c r="C21" s="3022" t="s">
        <v>1076</v>
      </c>
      <c r="D21" s="3022" t="s">
        <v>107</v>
      </c>
      <c r="E21" s="3022" t="s">
        <v>1077</v>
      </c>
      <c r="F21" s="3023" t="s">
        <v>1078</v>
      </c>
      <c r="G21" s="158"/>
    </row>
    <row r="22" spans="2:7" ht="26.25">
      <c r="B22" s="3024" t="s">
        <v>1091</v>
      </c>
      <c r="C22" s="3025"/>
      <c r="D22" s="3026" t="s">
        <v>1313</v>
      </c>
      <c r="E22" s="3027"/>
      <c r="F22" s="3028"/>
      <c r="G22" s="159"/>
    </row>
    <row r="23" spans="2:7" ht="14.25">
      <c r="B23" s="3029"/>
      <c r="C23" s="3030"/>
      <c r="D23" s="3030"/>
      <c r="E23" s="3031"/>
      <c r="F23" s="3032"/>
      <c r="G23" s="160"/>
    </row>
    <row r="24" spans="2:7" ht="25.5">
      <c r="B24" s="3033" t="s">
        <v>1092</v>
      </c>
      <c r="C24" s="3034">
        <v>1222</v>
      </c>
      <c r="D24" s="3035">
        <v>5.8037235656204409</v>
      </c>
      <c r="E24" s="3036">
        <f>C24*D24</f>
        <v>7092.1501971881789</v>
      </c>
      <c r="F24" s="3037">
        <f>E24*21/1000000</f>
        <v>0.14893515414095176</v>
      </c>
      <c r="G24" s="161"/>
    </row>
    <row r="25" spans="2:7" ht="25.5">
      <c r="B25" s="3033" t="s">
        <v>1093</v>
      </c>
      <c r="C25" s="3034">
        <v>208.5</v>
      </c>
      <c r="D25" s="3035">
        <v>2.1221753994811778</v>
      </c>
      <c r="E25" s="3038">
        <f>C25*D25</f>
        <v>442.47357079182558</v>
      </c>
      <c r="F25" s="3037">
        <f>E25*21/1000000</f>
        <v>9.291944986628338E-3</v>
      </c>
      <c r="G25" s="161"/>
    </row>
    <row r="26" spans="2:7" ht="25.5">
      <c r="B26" s="3033" t="s">
        <v>1094</v>
      </c>
      <c r="C26" s="3034">
        <v>5310.3</v>
      </c>
      <c r="D26" s="3035">
        <v>6.0046884276387047E-2</v>
      </c>
      <c r="E26" s="3038">
        <f>C26*D26</f>
        <v>318.86696957289814</v>
      </c>
      <c r="F26" s="3037">
        <f>E26*21/1000000</f>
        <v>6.6962063610308611E-3</v>
      </c>
      <c r="G26" s="161"/>
    </row>
    <row r="27" spans="2:7" ht="25.5">
      <c r="B27" s="3033" t="s">
        <v>1095</v>
      </c>
      <c r="C27" s="3034">
        <v>8243.1</v>
      </c>
      <c r="D27" s="3035">
        <v>0.37164760100393374</v>
      </c>
      <c r="E27" s="3038">
        <f>C27*D27</f>
        <v>3063.5283398355264</v>
      </c>
      <c r="F27" s="3037">
        <f>E27*21/1000000</f>
        <v>6.433409513654606E-2</v>
      </c>
      <c r="G27" s="161"/>
    </row>
    <row r="28" spans="2:7" ht="12.75">
      <c r="B28" s="3039"/>
      <c r="C28" s="3034"/>
      <c r="D28" s="3035"/>
      <c r="E28" s="3038"/>
      <c r="F28" s="3037"/>
      <c r="G28" s="161"/>
    </row>
    <row r="29" spans="2:7" ht="14.25">
      <c r="B29" s="3040" t="s">
        <v>1096</v>
      </c>
      <c r="C29" s="3034"/>
      <c r="D29" s="3035"/>
      <c r="E29" s="3038"/>
      <c r="F29" s="3037"/>
      <c r="G29" s="161"/>
    </row>
    <row r="30" spans="2:7" ht="12.75">
      <c r="B30" s="3041" t="s">
        <v>1097</v>
      </c>
      <c r="C30" s="3034">
        <v>1043.0039999999999</v>
      </c>
      <c r="D30" s="3035">
        <v>1.5267140136098032E-2</v>
      </c>
      <c r="E30" s="3038">
        <f>C30*D30</f>
        <v>15.923688230510791</v>
      </c>
      <c r="F30" s="3096">
        <f>E30*21/1000000</f>
        <v>3.3439745284072662E-4</v>
      </c>
      <c r="G30" s="161"/>
    </row>
    <row r="31" spans="2:7" ht="25.5">
      <c r="B31" s="3042" t="s">
        <v>1098</v>
      </c>
      <c r="C31" s="3034">
        <v>75380</v>
      </c>
      <c r="D31" s="3035">
        <v>3.2750300015441415E-2</v>
      </c>
      <c r="E31" s="3038">
        <f>C31*D31</f>
        <v>2468.7176151639737</v>
      </c>
      <c r="F31" s="3037">
        <f>E31*21/1000000</f>
        <v>5.1843069918443452E-2</v>
      </c>
      <c r="G31" s="161"/>
    </row>
    <row r="32" spans="2:7" ht="25.5">
      <c r="B32" s="3042" t="s">
        <v>1099</v>
      </c>
      <c r="C32" s="3034">
        <v>126342</v>
      </c>
      <c r="D32" s="3035">
        <v>3.4007868318860182E-3</v>
      </c>
      <c r="E32" s="3038">
        <f>C32*D32</f>
        <v>429.66220991414332</v>
      </c>
      <c r="F32" s="3037">
        <f>E32*21/1000000</f>
        <v>9.0229064081970099E-3</v>
      </c>
      <c r="G32" s="161"/>
    </row>
    <row r="33" spans="2:10" ht="15" thickBot="1">
      <c r="B33" s="2978" t="s">
        <v>1082</v>
      </c>
      <c r="C33" s="3043"/>
      <c r="D33" s="3043"/>
      <c r="E33" s="3044">
        <f>SUM(E24:E32)</f>
        <v>13831.322590697057</v>
      </c>
      <c r="F33" s="3045">
        <f>SUM(F24:F32)</f>
        <v>0.29045777440463821</v>
      </c>
      <c r="G33" s="162"/>
    </row>
    <row r="34" spans="2:10" ht="12" thickTop="1"/>
    <row r="35" spans="2:10">
      <c r="B35" s="3573" t="s">
        <v>1312</v>
      </c>
      <c r="C35" s="3572"/>
      <c r="D35" s="3572"/>
      <c r="E35" s="3572"/>
      <c r="F35" s="3572"/>
      <c r="G35" s="3572"/>
      <c r="H35" s="3572"/>
      <c r="I35" s="3572"/>
    </row>
    <row r="36" spans="2:10">
      <c r="B36" s="2050" t="s">
        <v>1311</v>
      </c>
      <c r="C36" s="156"/>
      <c r="D36" s="156"/>
      <c r="E36" s="156"/>
      <c r="F36" s="156"/>
      <c r="G36" s="156"/>
      <c r="H36" s="156"/>
      <c r="I36" s="156"/>
    </row>
    <row r="37" spans="2:10">
      <c r="B37" s="3572" t="s">
        <v>235</v>
      </c>
      <c r="C37" s="3572"/>
      <c r="D37" s="3572"/>
      <c r="E37" s="3572"/>
      <c r="F37" s="3572"/>
      <c r="G37" s="3572"/>
      <c r="H37" s="3572"/>
      <c r="I37" s="3572"/>
    </row>
    <row r="42" spans="2:10" ht="21">
      <c r="B42" s="163" t="s">
        <v>1083</v>
      </c>
      <c r="C42" s="163"/>
      <c r="D42" s="163"/>
      <c r="E42" s="141"/>
      <c r="F42" s="142"/>
      <c r="G42" s="148"/>
      <c r="H42" s="45"/>
      <c r="I42" s="45"/>
      <c r="J42" s="45"/>
    </row>
    <row r="43" spans="2:10" ht="13.5" thickBot="1">
      <c r="B43" s="131"/>
      <c r="C43" s="131"/>
      <c r="D43" s="131"/>
      <c r="E43" s="133"/>
      <c r="F43" s="131"/>
      <c r="G43" s="137"/>
      <c r="H43" s="131"/>
      <c r="I43" s="131"/>
      <c r="J43" s="131"/>
    </row>
    <row r="44" spans="2:10" ht="15" thickTop="1">
      <c r="B44" s="2996"/>
      <c r="C44" s="2997" t="s">
        <v>1076</v>
      </c>
      <c r="D44" s="2997" t="s">
        <v>107</v>
      </c>
      <c r="E44" s="2997" t="s">
        <v>1077</v>
      </c>
      <c r="F44" s="2998" t="s">
        <v>1078</v>
      </c>
      <c r="G44" s="137"/>
      <c r="I44" s="137"/>
    </row>
    <row r="45" spans="2:10" ht="12.75">
      <c r="B45" s="3003"/>
      <c r="C45" s="3004"/>
      <c r="D45" s="3576" t="s">
        <v>1313</v>
      </c>
      <c r="E45" s="3004"/>
      <c r="F45" s="3005"/>
      <c r="G45" s="137"/>
      <c r="I45" s="137"/>
    </row>
    <row r="46" spans="2:10" ht="13.5" thickBot="1">
      <c r="B46" s="2999"/>
      <c r="C46" s="3006"/>
      <c r="D46" s="3577"/>
      <c r="E46" s="3007"/>
      <c r="F46" s="3008"/>
      <c r="G46" s="137"/>
      <c r="I46" s="164"/>
    </row>
    <row r="47" spans="2:10" ht="12.75">
      <c r="B47" s="2055" t="s">
        <v>1084</v>
      </c>
      <c r="C47" s="2056">
        <v>995.46299999999997</v>
      </c>
      <c r="D47" s="166">
        <v>0.61847932799999994</v>
      </c>
      <c r="E47" s="2057">
        <f>C47*D47</f>
        <v>615.67328728886389</v>
      </c>
      <c r="F47" s="2058">
        <f>E47*21/1000000</f>
        <v>1.2929139033066141E-2</v>
      </c>
      <c r="G47" s="137"/>
      <c r="I47" s="164"/>
    </row>
    <row r="48" spans="2:10" ht="25.5">
      <c r="B48" s="165" t="s">
        <v>1085</v>
      </c>
      <c r="C48" s="150">
        <f>C47*0.006</f>
        <v>5.9727779999999999</v>
      </c>
      <c r="D48" s="167">
        <v>983.65967615375553</v>
      </c>
      <c r="E48" s="135">
        <f>C48*D48</f>
        <v>5875.1808732182753</v>
      </c>
      <c r="F48" s="151">
        <f>E48*21/1000000</f>
        <v>0.12337879833758378</v>
      </c>
      <c r="G48" s="137"/>
      <c r="I48" s="164"/>
    </row>
    <row r="49" spans="2:9" ht="25.5">
      <c r="B49" s="165" t="s">
        <v>1086</v>
      </c>
      <c r="C49" s="150">
        <f>C47*0.0015</f>
        <v>1.4931945</v>
      </c>
      <c r="D49" s="167">
        <v>964.14925058889139</v>
      </c>
      <c r="E49" s="135">
        <f>C49*D49</f>
        <v>1439.6623581584543</v>
      </c>
      <c r="F49" s="151">
        <f>E49*21/1000000</f>
        <v>3.0232909521327539E-2</v>
      </c>
      <c r="G49" s="137"/>
      <c r="I49" s="164"/>
    </row>
    <row r="50" spans="2:9" ht="14.25">
      <c r="B50" s="2052" t="s">
        <v>1082</v>
      </c>
      <c r="C50" s="2053"/>
      <c r="D50" s="2053"/>
      <c r="E50" s="2054">
        <f>SUM(E46:E49)</f>
        <v>7930.516518665594</v>
      </c>
      <c r="F50" s="2051">
        <f>SUM(F47:F49)</f>
        <v>0.16654084689197746</v>
      </c>
      <c r="G50" s="137"/>
      <c r="I50" s="168"/>
    </row>
    <row r="51" spans="2:9" ht="12" thickBot="1">
      <c r="B51" s="26"/>
      <c r="C51" s="27"/>
      <c r="D51" s="27"/>
      <c r="E51" s="27"/>
      <c r="F51" s="28"/>
    </row>
    <row r="52" spans="2:9" ht="12" thickTop="1">
      <c r="B52" s="4"/>
      <c r="C52" s="4"/>
      <c r="D52" s="4"/>
      <c r="E52" s="4"/>
      <c r="F52" s="4"/>
    </row>
    <row r="53" spans="2:9">
      <c r="B53" s="3572" t="s">
        <v>1087</v>
      </c>
      <c r="C53" s="3572"/>
      <c r="D53" s="3572"/>
      <c r="E53" s="3572"/>
      <c r="F53" s="3572"/>
      <c r="G53" s="3572"/>
      <c r="H53" s="3572"/>
      <c r="I53" s="3572"/>
    </row>
    <row r="54" spans="2:9">
      <c r="B54" s="3573" t="s">
        <v>1314</v>
      </c>
      <c r="C54" s="3572"/>
      <c r="D54" s="3572"/>
      <c r="E54" s="3572"/>
      <c r="F54" s="3572"/>
      <c r="G54" s="3572"/>
      <c r="H54" s="3572"/>
      <c r="I54" s="3572"/>
    </row>
    <row r="55" spans="2:9">
      <c r="B55" s="3572" t="s">
        <v>1088</v>
      </c>
      <c r="C55" s="3572"/>
      <c r="D55" s="3572"/>
      <c r="E55" s="3572"/>
      <c r="F55" s="3572"/>
      <c r="G55" s="3572"/>
      <c r="H55" s="3572"/>
      <c r="I55" s="3572"/>
    </row>
    <row r="56" spans="2:9">
      <c r="B56" s="3572" t="s">
        <v>1089</v>
      </c>
      <c r="C56" s="3572"/>
      <c r="D56" s="3572"/>
      <c r="E56" s="3572"/>
      <c r="F56" s="3572"/>
      <c r="G56" s="3572"/>
      <c r="H56" s="3572"/>
      <c r="I56" s="3572"/>
    </row>
    <row r="57" spans="2:9">
      <c r="B57" s="3572" t="s">
        <v>235</v>
      </c>
      <c r="C57" s="3572"/>
      <c r="D57" s="3572"/>
      <c r="E57" s="3572"/>
      <c r="F57" s="3572"/>
      <c r="G57" s="3572"/>
      <c r="H57" s="3572"/>
      <c r="I57" s="3572"/>
    </row>
    <row r="58" spans="2:9">
      <c r="B58" s="4"/>
      <c r="C58" s="4"/>
      <c r="D58" s="4"/>
      <c r="E58" s="4"/>
      <c r="F58" s="4"/>
    </row>
    <row r="59" spans="2:9">
      <c r="B59" s="4"/>
      <c r="C59" s="4"/>
      <c r="D59" s="4"/>
      <c r="E59" s="4"/>
      <c r="F59" s="4"/>
    </row>
    <row r="60" spans="2:9">
      <c r="B60" s="4"/>
      <c r="C60" s="4"/>
      <c r="D60" s="4"/>
      <c r="E60" s="4"/>
      <c r="F60" s="4"/>
    </row>
    <row r="61" spans="2:9">
      <c r="B61" s="4"/>
      <c r="C61" s="4"/>
      <c r="D61" s="4"/>
      <c r="E61" s="4"/>
      <c r="F61" s="4"/>
    </row>
    <row r="62" spans="2:9">
      <c r="B62" s="4"/>
      <c r="C62" s="4"/>
      <c r="D62" s="4"/>
      <c r="E62" s="4"/>
      <c r="F62" s="4"/>
    </row>
    <row r="64" spans="2:9" ht="21">
      <c r="B64" s="157" t="s">
        <v>236</v>
      </c>
      <c r="C64" s="157"/>
      <c r="D64" s="143"/>
      <c r="E64" s="143"/>
      <c r="F64" s="143"/>
    </row>
    <row r="65" spans="2:11" ht="12" thickBot="1"/>
    <row r="66" spans="2:11" ht="17.25" thickBot="1">
      <c r="B66" s="3046"/>
      <c r="C66" s="3047">
        <v>2017</v>
      </c>
      <c r="D66" s="3574" t="s">
        <v>237</v>
      </c>
      <c r="E66" s="3574"/>
      <c r="F66" s="3575"/>
      <c r="G66" s="3048" t="s">
        <v>238</v>
      </c>
      <c r="H66" s="3049" t="s">
        <v>1741</v>
      </c>
      <c r="I66" s="3050" t="s">
        <v>1742</v>
      </c>
      <c r="J66" s="3089" t="s">
        <v>1743</v>
      </c>
      <c r="K66" s="3049" t="s">
        <v>239</v>
      </c>
    </row>
    <row r="67" spans="2:11" ht="16.5">
      <c r="B67" s="3051" t="s">
        <v>240</v>
      </c>
      <c r="C67" s="3052" t="s">
        <v>241</v>
      </c>
      <c r="D67" s="3049" t="s">
        <v>188</v>
      </c>
      <c r="E67" s="3049" t="s">
        <v>1744</v>
      </c>
      <c r="F67" s="3049" t="s">
        <v>1745</v>
      </c>
      <c r="G67" s="3053" t="s">
        <v>154</v>
      </c>
      <c r="H67" s="3054" t="s">
        <v>1746</v>
      </c>
      <c r="I67" s="3055" t="s">
        <v>1746</v>
      </c>
      <c r="J67" s="3090" t="s">
        <v>1746</v>
      </c>
      <c r="K67" s="3052"/>
    </row>
    <row r="68" spans="2:11" ht="13.5" thickBot="1">
      <c r="B68" s="3056"/>
      <c r="C68" s="3057"/>
      <c r="D68" s="3057" t="s">
        <v>242</v>
      </c>
      <c r="E68" s="3057" t="s">
        <v>243</v>
      </c>
      <c r="F68" s="3057" t="s">
        <v>243</v>
      </c>
      <c r="G68" s="3058"/>
      <c r="H68" s="3057"/>
      <c r="I68" s="3059"/>
      <c r="J68" s="3056"/>
      <c r="K68" s="3057"/>
    </row>
    <row r="69" spans="2:11" ht="15" thickBot="1">
      <c r="B69" s="3065" t="s">
        <v>244</v>
      </c>
      <c r="C69" s="3066">
        <f>7968*1.047</f>
        <v>8342.4959999999992</v>
      </c>
      <c r="D69" s="3060">
        <v>31.87</v>
      </c>
      <c r="E69" s="3061">
        <v>9.4955026735800017E-5</v>
      </c>
      <c r="F69" s="3061">
        <v>9.4955026735800007E-4</v>
      </c>
      <c r="G69" s="3062">
        <v>1</v>
      </c>
      <c r="H69" s="3063">
        <f>C69*1000*D69*(44/12)*0.00045359237*0.001/1000000</f>
        <v>4.4219643968929149E-4</v>
      </c>
      <c r="I69" s="3064">
        <f>C69*E69*310*0.000001</f>
        <v>2.4557019852422443E-4</v>
      </c>
      <c r="J69" s="3091">
        <f>C69*F69*21*0.000001</f>
        <v>1.6635400545189394E-4</v>
      </c>
      <c r="K69" s="3092">
        <f>H69+I69+J69</f>
        <v>8.5412064366540991E-4</v>
      </c>
    </row>
    <row r="71" spans="2:11" ht="12.75">
      <c r="B71" s="172" t="s">
        <v>245</v>
      </c>
      <c r="C71" s="52">
        <f>C69*1000</f>
        <v>8342495.9999999991</v>
      </c>
    </row>
    <row r="74" spans="2:11">
      <c r="B74" s="1" t="s">
        <v>1747</v>
      </c>
      <c r="G74" s="1" t="s">
        <v>1748</v>
      </c>
      <c r="H74" s="2050"/>
    </row>
    <row r="76" spans="2:11">
      <c r="B76" s="3573" t="s">
        <v>671</v>
      </c>
      <c r="C76" s="3572"/>
      <c r="D76" s="3572"/>
      <c r="E76" s="3572"/>
      <c r="F76" s="3572"/>
      <c r="G76" s="3572"/>
      <c r="H76" s="3572"/>
      <c r="I76" s="3572"/>
    </row>
    <row r="77" spans="2:11">
      <c r="B77" s="156"/>
      <c r="C77" s="156"/>
      <c r="D77" s="156"/>
      <c r="E77" s="156"/>
      <c r="F77" s="156"/>
      <c r="G77" s="156"/>
      <c r="H77" s="156"/>
      <c r="I77" s="156"/>
    </row>
    <row r="78" spans="2:11">
      <c r="B78" s="156"/>
      <c r="C78" s="156"/>
      <c r="D78" s="156"/>
      <c r="E78" s="156"/>
      <c r="F78" s="156"/>
      <c r="G78" s="156"/>
      <c r="H78" s="156"/>
      <c r="I78" s="156"/>
    </row>
    <row r="79" spans="2:11" ht="12" thickBot="1"/>
    <row r="80" spans="2:11" ht="15.75" thickTop="1" thickBot="1">
      <c r="B80" s="3570" t="s">
        <v>1739</v>
      </c>
      <c r="C80" s="3571"/>
    </row>
    <row r="81" spans="2:3" ht="15" thickBot="1">
      <c r="B81" s="3009"/>
      <c r="C81" s="3013">
        <v>2017</v>
      </c>
    </row>
    <row r="82" spans="2:3" ht="12.75">
      <c r="B82" s="3014" t="s">
        <v>1114</v>
      </c>
      <c r="C82" s="3012">
        <f>C83+C84+C85+C86</f>
        <v>0.45828346997893132</v>
      </c>
    </row>
    <row r="83" spans="2:3" ht="12.75">
      <c r="B83" s="3015" t="s">
        <v>185</v>
      </c>
      <c r="C83" s="3010">
        <f>F10</f>
        <v>4.3072803865024182E-4</v>
      </c>
    </row>
    <row r="84" spans="2:3" ht="12.75">
      <c r="B84" s="3015" t="s">
        <v>246</v>
      </c>
      <c r="C84" s="3010">
        <f>F50</f>
        <v>0.16654084689197746</v>
      </c>
    </row>
    <row r="85" spans="2:3" ht="12.75">
      <c r="B85" s="3015" t="s">
        <v>247</v>
      </c>
      <c r="C85" s="3010">
        <f>F33</f>
        <v>0.29045777440463821</v>
      </c>
    </row>
    <row r="86" spans="2:3" ht="13.5" thickBot="1">
      <c r="B86" s="3016" t="s">
        <v>248</v>
      </c>
      <c r="C86" s="3011">
        <f>K69</f>
        <v>8.5412064366540991E-4</v>
      </c>
    </row>
    <row r="87" spans="2:3" ht="12" thickTop="1"/>
  </sheetData>
  <sheetProtection password="CD58" sheet="1" objects="1" scenarios="1"/>
  <mergeCells count="13">
    <mergeCell ref="B80:C80"/>
    <mergeCell ref="B14:I14"/>
    <mergeCell ref="C20:F20"/>
    <mergeCell ref="B35:I35"/>
    <mergeCell ref="B37:I37"/>
    <mergeCell ref="B76:I76"/>
    <mergeCell ref="B56:I56"/>
    <mergeCell ref="B57:I57"/>
    <mergeCell ref="D66:F66"/>
    <mergeCell ref="D45:D46"/>
    <mergeCell ref="B53:I53"/>
    <mergeCell ref="B54:I54"/>
    <mergeCell ref="B55:I55"/>
  </mergeCells>
  <phoneticPr fontId="0" type="noConversion"/>
  <dataValidations count="1">
    <dataValidation allowBlank="1" showInputMessage="1" showErrorMessage="1" prompt="There is no default data available for this sector. Click on the button above to find potential data sources." sqref="C24 C8"/>
  </dataValidations>
  <hyperlinks>
    <hyperlink ref="B36" r:id="rId1"/>
    <hyperlink ref="C13" r:id="rId2"/>
  </hyperlinks>
  <printOptions gridLines="1"/>
  <pageMargins left="0.16" right="0.26" top="0.51" bottom="0.45" header="0.5" footer="0.5"/>
  <pageSetup scale="75" orientation="landscape" r:id="rId3"/>
  <headerFooter alignWithMargins="0"/>
  <drawing r:id="rId4"/>
  <legacyDrawing r:id="rId5"/>
</worksheet>
</file>

<file path=xl/worksheets/sheet22.xml><?xml version="1.0" encoding="utf-8"?>
<worksheet xmlns="http://schemas.openxmlformats.org/spreadsheetml/2006/main" xmlns:r="http://schemas.openxmlformats.org/officeDocument/2006/relationships">
  <sheetPr codeName="Sheet17"/>
  <dimension ref="A1:Q66"/>
  <sheetViews>
    <sheetView zoomScaleNormal="100" workbookViewId="0">
      <selection activeCell="R14" sqref="R14"/>
    </sheetView>
  </sheetViews>
  <sheetFormatPr defaultRowHeight="11.25"/>
  <cols>
    <col min="1" max="1" width="4.6640625" customWidth="1"/>
    <col min="2" max="2" width="26.6640625" customWidth="1"/>
    <col min="3" max="3" width="28.5" customWidth="1"/>
    <col min="4" max="4" width="17" customWidth="1"/>
    <col min="5" max="5" width="3.83203125" customWidth="1"/>
    <col min="6" max="6" width="13.83203125" customWidth="1"/>
    <col min="7" max="7" width="3.83203125" customWidth="1"/>
    <col min="8" max="8" width="18.83203125" customWidth="1"/>
    <col min="9" max="9" width="3.83203125" customWidth="1"/>
    <col min="10" max="10" width="10.6640625" customWidth="1"/>
    <col min="11" max="11" width="3.83203125" customWidth="1"/>
    <col min="12" max="12" width="11.5" customWidth="1"/>
    <col min="13" max="13" width="3.83203125" customWidth="1"/>
    <col min="14" max="14" width="10.33203125" customWidth="1"/>
    <col min="17" max="17" width="10.1640625" bestFit="1" customWidth="1"/>
  </cols>
  <sheetData>
    <row r="1" spans="1:17" ht="33">
      <c r="A1" s="482" t="s">
        <v>440</v>
      </c>
      <c r="B1" s="229"/>
      <c r="D1" s="479" t="s">
        <v>1760</v>
      </c>
      <c r="G1" s="1"/>
      <c r="H1" s="1"/>
    </row>
    <row r="2" spans="1:17" ht="206.25" customHeight="1">
      <c r="A2" s="144"/>
      <c r="B2" s="145"/>
      <c r="C2" s="146"/>
    </row>
    <row r="3" spans="1:17" s="232" customFormat="1" ht="21" thickBot="1">
      <c r="B3" s="237" t="s">
        <v>672</v>
      </c>
    </row>
    <row r="4" spans="1:17" s="232" customFormat="1" ht="46.5" thickBot="1">
      <c r="A4" s="238"/>
      <c r="B4" s="3150" t="s">
        <v>441</v>
      </c>
      <c r="C4" s="3151" t="s">
        <v>1310</v>
      </c>
      <c r="D4" s="3152" t="s">
        <v>452</v>
      </c>
      <c r="E4" s="3151"/>
      <c r="F4" s="3152" t="s">
        <v>451</v>
      </c>
      <c r="G4" s="3151"/>
      <c r="H4" s="3152" t="s">
        <v>450</v>
      </c>
      <c r="I4" s="3153"/>
      <c r="J4" s="3152" t="s">
        <v>456</v>
      </c>
      <c r="K4" s="3153"/>
      <c r="L4" s="3152" t="s">
        <v>457</v>
      </c>
      <c r="M4" s="3154"/>
      <c r="N4" s="3155" t="s">
        <v>458</v>
      </c>
    </row>
    <row r="5" spans="1:17" s="232" customFormat="1" ht="12.75">
      <c r="A5" s="238"/>
      <c r="B5" s="3145" t="s">
        <v>442</v>
      </c>
      <c r="C5" s="3146"/>
      <c r="D5" s="3147"/>
      <c r="E5" s="3148"/>
      <c r="F5" s="1241"/>
      <c r="G5" s="1241"/>
      <c r="H5" s="1241"/>
      <c r="I5" s="1241"/>
      <c r="J5" s="3149"/>
      <c r="K5" s="1241"/>
      <c r="L5" s="1241"/>
      <c r="M5" s="1241"/>
      <c r="N5" s="1242"/>
    </row>
    <row r="6" spans="1:17" s="232" customFormat="1" ht="12.75">
      <c r="A6" s="238"/>
      <c r="B6" s="826" t="s">
        <v>443</v>
      </c>
      <c r="C6" s="827"/>
      <c r="D6" s="239">
        <v>0</v>
      </c>
      <c r="E6" s="391" t="s">
        <v>967</v>
      </c>
      <c r="F6" s="239">
        <v>0</v>
      </c>
      <c r="G6" s="828" t="s">
        <v>444</v>
      </c>
      <c r="H6" s="239">
        <v>0</v>
      </c>
      <c r="I6" s="829" t="s">
        <v>966</v>
      </c>
      <c r="J6" s="241">
        <f>D6+F6-H6</f>
        <v>0</v>
      </c>
      <c r="K6" s="391" t="s">
        <v>966</v>
      </c>
      <c r="L6" s="242">
        <f>J6*1000000*0.0000192</f>
        <v>0</v>
      </c>
      <c r="M6" s="391" t="s">
        <v>966</v>
      </c>
      <c r="N6" s="830">
        <f>(L6*21)</f>
        <v>0</v>
      </c>
    </row>
    <row r="7" spans="1:17" s="232" customFormat="1" ht="13.5" thickBot="1">
      <c r="A7" s="238"/>
      <c r="B7" s="3097"/>
      <c r="C7" s="3098"/>
      <c r="D7" s="3099"/>
      <c r="E7" s="3100"/>
      <c r="F7" s="3101"/>
      <c r="G7" s="3100"/>
      <c r="H7" s="3102"/>
      <c r="I7" s="3100"/>
      <c r="J7" s="3103"/>
      <c r="K7" s="3100"/>
      <c r="L7" s="3104"/>
      <c r="M7" s="3100"/>
      <c r="N7" s="3105"/>
    </row>
    <row r="8" spans="1:17" s="232" customFormat="1" ht="27.75">
      <c r="A8" s="238"/>
      <c r="B8" s="3109"/>
      <c r="C8" s="3110"/>
      <c r="D8" s="3111" t="s">
        <v>453</v>
      </c>
      <c r="E8" s="1073"/>
      <c r="F8" s="820" t="s">
        <v>459</v>
      </c>
      <c r="G8" s="1073"/>
      <c r="H8" s="820" t="s">
        <v>460</v>
      </c>
      <c r="I8" s="1073"/>
      <c r="J8" s="820" t="s">
        <v>457</v>
      </c>
      <c r="K8" s="984"/>
      <c r="L8" s="820" t="s">
        <v>458</v>
      </c>
      <c r="M8" s="1073"/>
      <c r="N8" s="3112"/>
    </row>
    <row r="9" spans="1:17" s="232" customFormat="1" ht="12.75">
      <c r="A9" s="238"/>
      <c r="B9" s="3113" t="s">
        <v>445</v>
      </c>
      <c r="C9" s="3114" t="s">
        <v>864</v>
      </c>
      <c r="D9" s="3115">
        <f>1070.09</f>
        <v>1070.0899999999999</v>
      </c>
      <c r="E9" s="3116" t="s">
        <v>965</v>
      </c>
      <c r="F9" s="3117">
        <v>119</v>
      </c>
      <c r="G9" s="3116" t="s">
        <v>966</v>
      </c>
      <c r="H9" s="3118">
        <f>D9*F9</f>
        <v>127340.70999999999</v>
      </c>
      <c r="I9" s="3116" t="s">
        <v>966</v>
      </c>
      <c r="J9" s="246">
        <f>H9*0.0000192*1000</f>
        <v>2444.941632</v>
      </c>
      <c r="K9" s="3116" t="s">
        <v>966</v>
      </c>
      <c r="L9" s="3119">
        <f>(J9*21)</f>
        <v>51343.774272000002</v>
      </c>
      <c r="M9" s="3120"/>
      <c r="N9" s="3121"/>
      <c r="P9" s="246"/>
    </row>
    <row r="10" spans="1:17" s="232" customFormat="1" ht="13.5" thickBot="1">
      <c r="A10" s="238"/>
      <c r="B10" s="3122"/>
      <c r="C10" s="3123" t="s">
        <v>449</v>
      </c>
      <c r="D10" s="3124">
        <v>0</v>
      </c>
      <c r="E10" s="3125" t="s">
        <v>965</v>
      </c>
      <c r="F10" s="3126">
        <v>0</v>
      </c>
      <c r="G10" s="3125" t="s">
        <v>966</v>
      </c>
      <c r="H10" s="3127" t="s">
        <v>444</v>
      </c>
      <c r="I10" s="3125" t="s">
        <v>966</v>
      </c>
      <c r="J10" s="3128" t="s">
        <v>444</v>
      </c>
      <c r="K10" s="3129" t="s">
        <v>966</v>
      </c>
      <c r="L10" s="3130" t="s">
        <v>444</v>
      </c>
      <c r="M10" s="3131"/>
      <c r="N10" s="3132"/>
      <c r="Q10" s="270"/>
    </row>
    <row r="11" spans="1:17" s="232" customFormat="1" ht="12.75">
      <c r="A11" s="238"/>
      <c r="B11" s="3106"/>
      <c r="C11" s="1241"/>
      <c r="D11" s="3107"/>
      <c r="E11" s="1241"/>
      <c r="F11" s="3108"/>
      <c r="G11" s="1241"/>
      <c r="H11" s="1241"/>
      <c r="I11" s="1241"/>
      <c r="J11" s="1241"/>
      <c r="K11" s="1241"/>
      <c r="L11" s="1241"/>
      <c r="M11" s="1241"/>
      <c r="N11" s="1242"/>
    </row>
    <row r="12" spans="1:17" s="232" customFormat="1" ht="27.75">
      <c r="A12" s="238"/>
      <c r="B12" s="3139" t="s">
        <v>446</v>
      </c>
      <c r="C12" s="3140"/>
      <c r="D12" s="3141" t="s">
        <v>454</v>
      </c>
      <c r="E12" s="3134"/>
      <c r="F12" s="3142" t="s">
        <v>461</v>
      </c>
      <c r="G12" s="3134"/>
      <c r="H12" s="3143" t="s">
        <v>460</v>
      </c>
      <c r="I12" s="3137"/>
      <c r="J12" s="3143" t="s">
        <v>457</v>
      </c>
      <c r="K12" s="3137"/>
      <c r="L12" s="3143" t="s">
        <v>458</v>
      </c>
      <c r="M12" s="3137"/>
      <c r="N12" s="3144"/>
    </row>
    <row r="13" spans="1:17" s="232" customFormat="1" ht="12.75">
      <c r="A13" s="238"/>
      <c r="B13" s="826" t="s">
        <v>443</v>
      </c>
      <c r="C13" s="832" t="s">
        <v>864</v>
      </c>
      <c r="D13" s="239">
        <f>1382.4</f>
        <v>1382.4</v>
      </c>
      <c r="E13" s="391" t="s">
        <v>965</v>
      </c>
      <c r="F13" s="244">
        <v>44.98</v>
      </c>
      <c r="G13" s="391" t="s">
        <v>966</v>
      </c>
      <c r="H13" s="245">
        <f>D13*F13</f>
        <v>62180.351999999999</v>
      </c>
      <c r="I13" s="391" t="s">
        <v>966</v>
      </c>
      <c r="J13" s="246">
        <f>H13*0.0000192*1000</f>
        <v>1193.8627583999998</v>
      </c>
      <c r="K13" s="321" t="s">
        <v>966</v>
      </c>
      <c r="L13" s="242">
        <f>(J13*21)</f>
        <v>25071.117926399998</v>
      </c>
      <c r="M13" s="391"/>
      <c r="N13" s="831"/>
      <c r="P13" s="245"/>
    </row>
    <row r="14" spans="1:17" s="232" customFormat="1" ht="12.75">
      <c r="A14" s="238"/>
      <c r="B14" s="821"/>
      <c r="C14" s="832" t="s">
        <v>449</v>
      </c>
      <c r="D14" s="239">
        <v>0</v>
      </c>
      <c r="E14" s="391" t="s">
        <v>965</v>
      </c>
      <c r="F14" s="244">
        <v>0</v>
      </c>
      <c r="G14" s="391" t="s">
        <v>966</v>
      </c>
      <c r="H14" s="247" t="s">
        <v>444</v>
      </c>
      <c r="I14" s="391" t="s">
        <v>966</v>
      </c>
      <c r="J14" s="248" t="s">
        <v>444</v>
      </c>
      <c r="K14" s="321" t="s">
        <v>966</v>
      </c>
      <c r="L14" s="248" t="s">
        <v>444</v>
      </c>
      <c r="M14" s="391"/>
      <c r="N14" s="831"/>
    </row>
    <row r="15" spans="1:17" s="232" customFormat="1" ht="12.75">
      <c r="A15" s="238"/>
      <c r="B15" s="826" t="s">
        <v>445</v>
      </c>
      <c r="C15" s="832" t="s">
        <v>864</v>
      </c>
      <c r="D15" s="239">
        <f>1070.09</f>
        <v>1070.0899999999999</v>
      </c>
      <c r="E15" s="391" t="s">
        <v>965</v>
      </c>
      <c r="F15" s="244">
        <v>19.337499999999999</v>
      </c>
      <c r="G15" s="391" t="s">
        <v>966</v>
      </c>
      <c r="H15" s="245">
        <f>D15*F15</f>
        <v>20692.865374999998</v>
      </c>
      <c r="I15" s="391" t="s">
        <v>966</v>
      </c>
      <c r="J15" s="246">
        <f>H15*0.0000192*1000</f>
        <v>397.30301519999995</v>
      </c>
      <c r="K15" s="321" t="s">
        <v>966</v>
      </c>
      <c r="L15" s="242">
        <f>(J15*21)</f>
        <v>8343.3633191999998</v>
      </c>
      <c r="M15" s="391"/>
      <c r="N15" s="831"/>
    </row>
    <row r="16" spans="1:17" s="232" customFormat="1" ht="12.75">
      <c r="A16" s="238"/>
      <c r="B16" s="821"/>
      <c r="C16" s="832" t="s">
        <v>449</v>
      </c>
      <c r="D16" s="239">
        <v>0</v>
      </c>
      <c r="E16" s="391" t="s">
        <v>965</v>
      </c>
      <c r="F16" s="244">
        <v>0</v>
      </c>
      <c r="G16" s="391" t="s">
        <v>966</v>
      </c>
      <c r="H16" s="249" t="s">
        <v>449</v>
      </c>
      <c r="I16" s="391" t="s">
        <v>966</v>
      </c>
      <c r="J16" s="249" t="s">
        <v>449</v>
      </c>
      <c r="K16" s="321" t="s">
        <v>966</v>
      </c>
      <c r="L16" s="249" t="s">
        <v>449</v>
      </c>
      <c r="M16" s="391"/>
      <c r="N16" s="831"/>
    </row>
    <row r="17" spans="1:14" s="232" customFormat="1" ht="12.75">
      <c r="A17" s="238"/>
      <c r="B17" s="826" t="s">
        <v>447</v>
      </c>
      <c r="C17" s="832"/>
      <c r="D17" s="835"/>
      <c r="E17" s="391"/>
      <c r="F17" s="822"/>
      <c r="G17" s="391"/>
      <c r="H17" s="3133">
        <f>SUM(H13:H16)</f>
        <v>82873.217374999993</v>
      </c>
      <c r="I17" s="3134" t="s">
        <v>966</v>
      </c>
      <c r="J17" s="3135">
        <f>SUM(J13:J16)</f>
        <v>1591.1657735999997</v>
      </c>
      <c r="K17" s="3136" t="s">
        <v>966</v>
      </c>
      <c r="L17" s="3135">
        <f>SUM(L13:L16)</f>
        <v>33414.4812456</v>
      </c>
      <c r="M17" s="3137"/>
      <c r="N17" s="3138"/>
    </row>
    <row r="18" spans="1:14" s="232" customFormat="1" ht="12.75">
      <c r="A18" s="238"/>
      <c r="B18" s="833"/>
      <c r="C18" s="823"/>
      <c r="D18" s="834"/>
      <c r="E18" s="823"/>
      <c r="F18" s="823"/>
      <c r="G18" s="823"/>
      <c r="H18" s="823"/>
      <c r="I18" s="823"/>
      <c r="J18" s="823"/>
      <c r="K18" s="823"/>
      <c r="L18" s="823"/>
      <c r="M18" s="823"/>
      <c r="N18" s="825"/>
    </row>
    <row r="19" spans="1:14" s="232" customFormat="1" ht="12.75">
      <c r="A19" s="238"/>
      <c r="B19" s="836" t="s">
        <v>448</v>
      </c>
      <c r="C19" s="3156" t="s">
        <v>462</v>
      </c>
      <c r="D19" s="3157">
        <f>SUM(D20:D22)</f>
        <v>84758.255517600002</v>
      </c>
      <c r="E19" s="823"/>
      <c r="F19" s="837"/>
      <c r="G19" s="823"/>
      <c r="H19" s="823"/>
      <c r="I19" s="823"/>
      <c r="J19" s="823"/>
      <c r="K19" s="823"/>
      <c r="L19" s="823"/>
      <c r="M19" s="823"/>
      <c r="N19" s="825"/>
    </row>
    <row r="20" spans="1:14" s="232" customFormat="1" ht="12.75">
      <c r="A20" s="238"/>
      <c r="B20" s="833"/>
      <c r="C20" s="838" t="s">
        <v>443</v>
      </c>
      <c r="D20" s="250">
        <f>N6</f>
        <v>0</v>
      </c>
      <c r="E20" s="823"/>
      <c r="F20" s="823"/>
      <c r="G20" s="823"/>
      <c r="H20" s="823"/>
      <c r="I20" s="823"/>
      <c r="J20" s="823"/>
      <c r="K20" s="823"/>
      <c r="L20" s="823"/>
      <c r="M20" s="823"/>
      <c r="N20" s="825"/>
    </row>
    <row r="21" spans="1:14" s="232" customFormat="1" ht="12.75">
      <c r="A21" s="238"/>
      <c r="B21" s="833"/>
      <c r="C21" s="838" t="s">
        <v>445</v>
      </c>
      <c r="D21" s="250">
        <f>SUM(L9:L10)</f>
        <v>51343.774272000002</v>
      </c>
      <c r="E21" s="823"/>
      <c r="F21" s="839"/>
      <c r="G21" s="823"/>
      <c r="H21" s="823"/>
      <c r="I21" s="823"/>
      <c r="J21" s="823"/>
      <c r="K21" s="823"/>
      <c r="L21" s="823"/>
      <c r="M21" s="823"/>
      <c r="N21" s="825"/>
    </row>
    <row r="22" spans="1:14" s="232" customFormat="1" ht="12.75">
      <c r="A22" s="238"/>
      <c r="B22" s="833"/>
      <c r="C22" s="838" t="s">
        <v>446</v>
      </c>
      <c r="D22" s="250">
        <f>L17</f>
        <v>33414.4812456</v>
      </c>
      <c r="E22" s="823"/>
      <c r="F22" s="839"/>
      <c r="G22" s="823"/>
      <c r="H22" s="839"/>
      <c r="I22" s="823"/>
      <c r="J22" s="823"/>
      <c r="K22" s="823"/>
      <c r="L22" s="823"/>
      <c r="M22" s="823"/>
      <c r="N22" s="825"/>
    </row>
    <row r="23" spans="1:14" s="232" customFormat="1" ht="12.75">
      <c r="A23" s="238"/>
      <c r="B23" s="833"/>
      <c r="C23" s="823"/>
      <c r="D23" s="834"/>
      <c r="E23" s="823"/>
      <c r="F23" s="823"/>
      <c r="G23" s="823"/>
      <c r="H23" s="823"/>
      <c r="I23" s="823"/>
      <c r="J23" s="823"/>
      <c r="K23" s="823"/>
      <c r="L23" s="823"/>
      <c r="M23" s="823"/>
      <c r="N23" s="825"/>
    </row>
    <row r="24" spans="1:14" s="232" customFormat="1" ht="19.5" thickBot="1">
      <c r="A24" s="251"/>
      <c r="B24" s="840"/>
      <c r="C24" s="841"/>
      <c r="D24" s="842"/>
      <c r="E24" s="842"/>
      <c r="F24" s="842"/>
      <c r="G24" s="842"/>
      <c r="H24" s="842"/>
      <c r="I24" s="842"/>
      <c r="J24" s="842"/>
      <c r="K24" s="842"/>
      <c r="L24" s="842"/>
      <c r="M24" s="842"/>
      <c r="N24" s="843"/>
    </row>
    <row r="25" spans="1:14" s="232" customFormat="1" ht="19.5" thickBot="1">
      <c r="A25" s="251"/>
      <c r="B25" s="253" t="s">
        <v>455</v>
      </c>
    </row>
    <row r="26" spans="1:14" s="232" customFormat="1" ht="36.75" thickTop="1">
      <c r="A26" s="251"/>
      <c r="B26" s="844"/>
      <c r="C26" s="845"/>
      <c r="D26" s="846" t="s">
        <v>474</v>
      </c>
      <c r="E26" s="847"/>
      <c r="F26" s="848" t="s">
        <v>475</v>
      </c>
      <c r="G26" s="845"/>
      <c r="H26" s="849" t="s">
        <v>463</v>
      </c>
      <c r="I26" s="850"/>
      <c r="J26" s="849" t="s">
        <v>457</v>
      </c>
      <c r="K26" s="845"/>
      <c r="L26" s="849" t="s">
        <v>458</v>
      </c>
      <c r="M26" s="845"/>
      <c r="N26" s="851"/>
    </row>
    <row r="27" spans="1:14" s="232" customFormat="1" ht="18.75">
      <c r="A27" s="251"/>
      <c r="B27" s="852"/>
      <c r="C27" s="853" t="s">
        <v>1101</v>
      </c>
      <c r="D27" s="824">
        <v>0.2893143272</v>
      </c>
      <c r="E27" s="391" t="s">
        <v>965</v>
      </c>
      <c r="F27" s="854">
        <v>0.125</v>
      </c>
      <c r="G27" s="391" t="s">
        <v>966</v>
      </c>
      <c r="H27" s="855">
        <f>D27*F27*1000*12/44*21</f>
        <v>207.12275697272727</v>
      </c>
      <c r="I27" s="391" t="s">
        <v>966</v>
      </c>
      <c r="J27" s="855">
        <f>D27*F27*1000</f>
        <v>36.164290899999997</v>
      </c>
      <c r="K27" s="391" t="s">
        <v>966</v>
      </c>
      <c r="L27" s="855">
        <f>D27*F27*1000*21</f>
        <v>759.45010889999992</v>
      </c>
      <c r="M27" s="823"/>
      <c r="N27" s="856"/>
    </row>
    <row r="28" spans="1:14" s="232" customFormat="1" ht="18.75">
      <c r="A28" s="251"/>
      <c r="B28" s="852"/>
      <c r="C28" s="853" t="s">
        <v>1102</v>
      </c>
      <c r="D28" s="824">
        <v>0.2893143272</v>
      </c>
      <c r="E28" s="391" t="s">
        <v>965</v>
      </c>
      <c r="F28" s="854">
        <v>0.25</v>
      </c>
      <c r="G28" s="391" t="s">
        <v>966</v>
      </c>
      <c r="H28" s="855">
        <f>D28*F28*1000*12/44*21</f>
        <v>414.24551394545455</v>
      </c>
      <c r="I28" s="391" t="s">
        <v>966</v>
      </c>
      <c r="J28" s="855">
        <f>D28*F28*1000</f>
        <v>72.328581799999995</v>
      </c>
      <c r="K28" s="391" t="s">
        <v>966</v>
      </c>
      <c r="L28" s="855">
        <f>D28*F28*1000*21</f>
        <v>1518.9002177999998</v>
      </c>
      <c r="M28" s="823"/>
      <c r="N28" s="856"/>
    </row>
    <row r="29" spans="1:14" s="232" customFormat="1" ht="19.5" thickBot="1">
      <c r="A29" s="251"/>
      <c r="B29" s="857"/>
      <c r="C29" s="858" t="s">
        <v>1103</v>
      </c>
      <c r="D29" s="859">
        <v>0.2893143272</v>
      </c>
      <c r="E29" s="860" t="s">
        <v>965</v>
      </c>
      <c r="F29" s="861">
        <v>0.625</v>
      </c>
      <c r="G29" s="860" t="s">
        <v>966</v>
      </c>
      <c r="H29" s="862">
        <f>D29*F29*1000*12/44*21</f>
        <v>1035.6137848636363</v>
      </c>
      <c r="I29" s="860" t="s">
        <v>966</v>
      </c>
      <c r="J29" s="862">
        <f>D29*F29*1000</f>
        <v>180.82145450000002</v>
      </c>
      <c r="K29" s="860" t="s">
        <v>966</v>
      </c>
      <c r="L29" s="862">
        <f>D29*F29*1000*21</f>
        <v>3797.2505445000002</v>
      </c>
      <c r="M29" s="863"/>
      <c r="N29" s="864"/>
    </row>
    <row r="30" spans="1:14" s="232" customFormat="1" ht="19.5" thickTop="1">
      <c r="A30" s="251"/>
      <c r="B30" s="254"/>
      <c r="C30" s="252"/>
    </row>
    <row r="31" spans="1:14" s="232" customFormat="1" ht="18.75">
      <c r="A31" s="251"/>
      <c r="B31" s="254"/>
      <c r="C31" s="252"/>
    </row>
    <row r="32" spans="1:14" s="232" customFormat="1" ht="19.5" thickBot="1">
      <c r="A32" s="251"/>
      <c r="B32" s="253" t="s">
        <v>464</v>
      </c>
    </row>
    <row r="33" spans="1:4" s="232" customFormat="1" ht="19.5" thickBot="1">
      <c r="A33" s="251"/>
      <c r="B33" s="2885" t="s">
        <v>673</v>
      </c>
      <c r="C33" s="2886"/>
    </row>
    <row r="34" spans="1:4" s="232" customFormat="1" ht="19.5" thickBot="1">
      <c r="A34" s="251"/>
      <c r="B34" s="256"/>
      <c r="C34" s="257">
        <v>2017</v>
      </c>
    </row>
    <row r="35" spans="1:4" s="232" customFormat="1" ht="18.75">
      <c r="A35" s="251"/>
      <c r="B35" s="258" t="s">
        <v>906</v>
      </c>
      <c r="C35" s="259">
        <f>D19/1000000</f>
        <v>8.4758255517600009E-2</v>
      </c>
      <c r="D35" s="260"/>
    </row>
    <row r="36" spans="1:4" s="232" customFormat="1" ht="18.75">
      <c r="A36" s="251"/>
      <c r="B36" s="258" t="s">
        <v>1100</v>
      </c>
      <c r="C36" s="259">
        <f>SUM(C37:C39)</f>
        <v>6.0756008711999997E-3</v>
      </c>
      <c r="D36" s="261"/>
    </row>
    <row r="37" spans="1:4" s="232" customFormat="1" ht="18.75">
      <c r="A37" s="251"/>
      <c r="B37" s="262" t="s">
        <v>1101</v>
      </c>
      <c r="C37" s="259">
        <f>L27/1000000</f>
        <v>7.5945010889999997E-4</v>
      </c>
      <c r="D37" s="261"/>
    </row>
    <row r="38" spans="1:4" s="232" customFormat="1" ht="18.75">
      <c r="A38" s="251"/>
      <c r="B38" s="262" t="s">
        <v>1102</v>
      </c>
      <c r="C38" s="259">
        <f>L28/1000000</f>
        <v>1.5189002177999999E-3</v>
      </c>
      <c r="D38" s="261"/>
    </row>
    <row r="39" spans="1:4" s="232" customFormat="1" ht="18.75">
      <c r="A39" s="251"/>
      <c r="B39" s="262" t="s">
        <v>1103</v>
      </c>
      <c r="C39" s="259">
        <f>L29/1000000</f>
        <v>3.7972505445000001E-3</v>
      </c>
      <c r="D39" s="261"/>
    </row>
    <row r="40" spans="1:4" s="232" customFormat="1" ht="19.5" thickBot="1">
      <c r="A40" s="251"/>
      <c r="B40" s="263"/>
      <c r="C40" s="264"/>
    </row>
    <row r="41" spans="1:4" s="232" customFormat="1" ht="18.75">
      <c r="A41" s="251"/>
      <c r="B41" s="254"/>
      <c r="C41" s="252"/>
    </row>
    <row r="42" spans="1:4" s="232" customFormat="1" ht="19.5" thickBot="1">
      <c r="A42" s="251"/>
      <c r="B42" s="265"/>
      <c r="C42" s="252"/>
    </row>
    <row r="43" spans="1:4" s="232" customFormat="1" ht="13.5" thickBot="1">
      <c r="B43" s="2885" t="s">
        <v>674</v>
      </c>
      <c r="C43" s="2886"/>
    </row>
    <row r="44" spans="1:4" s="232" customFormat="1" ht="12" thickBot="1">
      <c r="B44" s="256"/>
      <c r="C44" s="257">
        <v>2017</v>
      </c>
    </row>
    <row r="45" spans="1:4" s="232" customFormat="1">
      <c r="B45" s="258" t="s">
        <v>906</v>
      </c>
      <c r="C45" s="266">
        <f>D19</f>
        <v>84758.255517600002</v>
      </c>
    </row>
    <row r="46" spans="1:4" s="232" customFormat="1">
      <c r="B46" s="258" t="s">
        <v>1100</v>
      </c>
      <c r="C46" s="266">
        <f>SUM(C47:C49)</f>
        <v>6075.6008712000003</v>
      </c>
    </row>
    <row r="47" spans="1:4" s="232" customFormat="1">
      <c r="B47" s="262" t="s">
        <v>1101</v>
      </c>
      <c r="C47" s="266">
        <f>L27</f>
        <v>759.45010889999992</v>
      </c>
    </row>
    <row r="48" spans="1:4" s="232" customFormat="1">
      <c r="B48" s="262" t="s">
        <v>1102</v>
      </c>
      <c r="C48" s="266">
        <f>L28</f>
        <v>1518.9002177999998</v>
      </c>
    </row>
    <row r="49" spans="2:4" s="232" customFormat="1">
      <c r="B49" s="262" t="s">
        <v>1103</v>
      </c>
      <c r="C49" s="266">
        <f>L29</f>
        <v>3797.2505445000002</v>
      </c>
    </row>
    <row r="50" spans="2:4" s="232" customFormat="1" ht="12" thickBot="1">
      <c r="B50" s="267"/>
      <c r="C50" s="268"/>
    </row>
    <row r="51" spans="2:4" s="232" customFormat="1" ht="12" thickBot="1">
      <c r="B51" s="2885" t="s">
        <v>1068</v>
      </c>
      <c r="C51" s="2887">
        <v>2017</v>
      </c>
    </row>
    <row r="52" spans="2:4" s="232" customFormat="1">
      <c r="B52" s="258" t="s">
        <v>906</v>
      </c>
      <c r="C52" s="266">
        <f>C45*12/44</f>
        <v>23115.887868436366</v>
      </c>
      <c r="D52" s="270"/>
    </row>
    <row r="53" spans="2:4" s="232" customFormat="1">
      <c r="B53" s="258" t="s">
        <v>1100</v>
      </c>
      <c r="C53" s="266">
        <f>SUM(C54:C56)</f>
        <v>1656.982055781818</v>
      </c>
    </row>
    <row r="54" spans="2:4" s="232" customFormat="1">
      <c r="B54" s="262" t="s">
        <v>1101</v>
      </c>
      <c r="C54" s="266">
        <f>H27</f>
        <v>207.12275697272727</v>
      </c>
      <c r="D54" s="270"/>
    </row>
    <row r="55" spans="2:4" s="232" customFormat="1">
      <c r="B55" s="262" t="s">
        <v>1102</v>
      </c>
      <c r="C55" s="266">
        <f>H28</f>
        <v>414.24551394545455</v>
      </c>
      <c r="D55" s="270"/>
    </row>
    <row r="56" spans="2:4" s="232" customFormat="1">
      <c r="B56" s="262" t="s">
        <v>1103</v>
      </c>
      <c r="C56" s="266">
        <f>H29</f>
        <v>1035.6137848636363</v>
      </c>
      <c r="D56" s="270"/>
    </row>
    <row r="57" spans="2:4" s="232" customFormat="1" ht="12" thickBot="1">
      <c r="B57" s="267"/>
      <c r="C57" s="268"/>
    </row>
    <row r="58" spans="2:4" s="232" customFormat="1" ht="13.5" thickBot="1">
      <c r="B58" s="2885" t="s">
        <v>675</v>
      </c>
      <c r="C58" s="2887">
        <v>2017</v>
      </c>
    </row>
    <row r="59" spans="2:4" s="232" customFormat="1">
      <c r="B59" s="258" t="s">
        <v>906</v>
      </c>
      <c r="C59" s="266">
        <f>C45/21</f>
        <v>4036.1074056000002</v>
      </c>
    </row>
    <row r="60" spans="2:4" s="232" customFormat="1">
      <c r="B60" s="258" t="s">
        <v>1100</v>
      </c>
      <c r="C60" s="266">
        <f>SUM(C61:C63)</f>
        <v>289.31432719999998</v>
      </c>
    </row>
    <row r="61" spans="2:4" s="232" customFormat="1">
      <c r="B61" s="262" t="s">
        <v>1101</v>
      </c>
      <c r="C61" s="266">
        <f>J27</f>
        <v>36.164290899999997</v>
      </c>
      <c r="D61" s="270"/>
    </row>
    <row r="62" spans="2:4" s="232" customFormat="1">
      <c r="B62" s="262" t="s">
        <v>1102</v>
      </c>
      <c r="C62" s="266">
        <f>J28</f>
        <v>72.328581799999995</v>
      </c>
    </row>
    <row r="63" spans="2:4" s="232" customFormat="1" ht="12" thickBot="1">
      <c r="B63" s="269" t="s">
        <v>1103</v>
      </c>
      <c r="C63" s="268">
        <f>J29</f>
        <v>180.82145450000002</v>
      </c>
    </row>
    <row r="64" spans="2:4" s="232" customFormat="1"/>
    <row r="65" spans="4:4">
      <c r="D65" s="1" t="s">
        <v>1749</v>
      </c>
    </row>
    <row r="66" spans="4:4">
      <c r="D66" s="2050" t="s">
        <v>1730</v>
      </c>
    </row>
  </sheetData>
  <sheetProtection password="CD58" sheet="1" objects="1" scenarios="1"/>
  <phoneticPr fontId="0" type="noConversion"/>
  <dataValidations count="1">
    <dataValidation allowBlank="1" showErrorMessage="1" sqref="D6:D16"/>
  </dataValidations>
  <hyperlinks>
    <hyperlink ref="D66" r:id="rId1"/>
  </hyperlinks>
  <printOptions gridLines="1"/>
  <pageMargins left="0.33" right="0.23" top="0.28999999999999998" bottom="0.48" header="0.28999999999999998" footer="0.5"/>
  <pageSetup scale="95" orientation="landscape" r:id="rId2"/>
  <headerFooter alignWithMargins="0"/>
  <drawing r:id="rId3"/>
  <legacyDrawing r:id="rId4"/>
</worksheet>
</file>

<file path=xl/worksheets/sheet23.xml><?xml version="1.0" encoding="utf-8"?>
<worksheet xmlns="http://schemas.openxmlformats.org/spreadsheetml/2006/main" xmlns:r="http://schemas.openxmlformats.org/officeDocument/2006/relationships">
  <sheetPr codeName="Sheet18"/>
  <dimension ref="A1:AM39"/>
  <sheetViews>
    <sheetView zoomScaleNormal="100" workbookViewId="0">
      <pane xSplit="18810" topLeftCell="AJ1"/>
      <selection activeCell="S2" sqref="S2"/>
      <selection pane="topRight" activeCell="AJ4" sqref="AJ4"/>
    </sheetView>
  </sheetViews>
  <sheetFormatPr defaultRowHeight="11.25"/>
  <cols>
    <col min="1" max="1" width="3.83203125" customWidth="1"/>
    <col min="2" max="2" width="23" customWidth="1"/>
    <col min="3" max="3" width="13" bestFit="1" customWidth="1"/>
    <col min="4" max="4" width="2.83203125" customWidth="1"/>
    <col min="5" max="5" width="11.83203125" customWidth="1"/>
    <col min="6" max="6" width="2" customWidth="1"/>
    <col min="7" max="7" width="16.5" customWidth="1"/>
    <col min="8" max="8" width="2" customWidth="1"/>
    <col min="9" max="9" width="13.33203125" customWidth="1"/>
    <col min="10" max="10" width="2.5" customWidth="1"/>
    <col min="11" max="11" width="18.83203125" customWidth="1"/>
    <col min="12" max="12" width="2.5" customWidth="1"/>
    <col min="13" max="13" width="12.33203125" customWidth="1"/>
    <col min="14" max="14" width="2.6640625" customWidth="1"/>
    <col min="15" max="15" width="12.5" customWidth="1"/>
    <col min="16" max="16" width="1.83203125" customWidth="1"/>
    <col min="17" max="17" width="9.83203125" bestFit="1" customWidth="1"/>
    <col min="18" max="18" width="3.6640625" customWidth="1"/>
    <col min="19" max="19" width="14.1640625" bestFit="1" customWidth="1"/>
    <col min="20" max="20" width="2.6640625" customWidth="1"/>
    <col min="21" max="21" width="12.5" customWidth="1"/>
    <col min="22" max="22" width="2.33203125" customWidth="1"/>
    <col min="23" max="23" width="10.83203125" customWidth="1"/>
    <col min="24" max="24" width="2.6640625" customWidth="1"/>
    <col min="25" max="25" width="16.83203125" customWidth="1"/>
    <col min="26" max="26" width="2.83203125" customWidth="1"/>
    <col min="27" max="27" width="10.6640625" customWidth="1"/>
    <col min="28" max="28" width="1.83203125" customWidth="1"/>
    <col min="29" max="29" width="11.33203125" customWidth="1"/>
    <col min="30" max="30" width="1.6640625" customWidth="1"/>
    <col min="32" max="32" width="2" customWidth="1"/>
    <col min="33" max="33" width="10.33203125" customWidth="1"/>
    <col min="34" max="34" width="1.83203125" customWidth="1"/>
    <col min="35" max="35" width="10.1640625" customWidth="1"/>
    <col min="36" max="36" width="1.6640625" customWidth="1"/>
    <col min="37" max="37" width="10.6640625" customWidth="1"/>
    <col min="38" max="38" width="2.1640625" customWidth="1"/>
    <col min="39" max="39" width="12" customWidth="1"/>
  </cols>
  <sheetData>
    <row r="1" spans="1:39" ht="33">
      <c r="B1" s="484" t="s">
        <v>486</v>
      </c>
      <c r="C1" s="176"/>
      <c r="D1" s="177"/>
      <c r="E1" s="177"/>
      <c r="G1" s="479" t="s">
        <v>1760</v>
      </c>
    </row>
    <row r="2" spans="1:39" ht="294" customHeight="1" thickBot="1"/>
    <row r="3" spans="1:39" ht="21" thickTop="1" thickBot="1">
      <c r="B3" s="3579" t="s">
        <v>481</v>
      </c>
      <c r="C3" s="3580"/>
      <c r="D3" s="3580"/>
      <c r="E3" s="3580"/>
      <c r="F3" s="3580"/>
      <c r="G3" s="3580"/>
      <c r="H3" s="3580"/>
      <c r="I3" s="3580"/>
      <c r="J3" s="2915"/>
      <c r="K3" s="2915"/>
      <c r="L3" s="2915"/>
      <c r="M3" s="2915"/>
      <c r="N3" s="2915"/>
      <c r="O3" s="2915"/>
      <c r="P3" s="2915"/>
      <c r="Q3" s="2915"/>
      <c r="R3" s="2915"/>
      <c r="S3" s="2915"/>
      <c r="T3" s="2915"/>
      <c r="U3" s="2915"/>
      <c r="V3" s="2915"/>
      <c r="W3" s="2915"/>
      <c r="X3" s="2915"/>
      <c r="Y3" s="2916"/>
    </row>
    <row r="4" spans="1:39" s="232" customFormat="1" ht="37.5" thickTop="1">
      <c r="B4" s="2917" t="s">
        <v>181</v>
      </c>
      <c r="C4" s="2918" t="s">
        <v>476</v>
      </c>
      <c r="D4" s="2919"/>
      <c r="E4" s="2918" t="s">
        <v>482</v>
      </c>
      <c r="F4" s="2920"/>
      <c r="G4" s="2918" t="s">
        <v>477</v>
      </c>
      <c r="H4" s="2920"/>
      <c r="I4" s="2918" t="s">
        <v>478</v>
      </c>
      <c r="J4" s="2920"/>
      <c r="K4" s="2918" t="s">
        <v>465</v>
      </c>
      <c r="L4" s="2920"/>
      <c r="M4" s="2918" t="s">
        <v>483</v>
      </c>
      <c r="N4" s="2920"/>
      <c r="O4" s="2918" t="s">
        <v>466</v>
      </c>
      <c r="P4" s="2920"/>
      <c r="Q4" s="2918" t="s">
        <v>467</v>
      </c>
      <c r="R4" s="2920"/>
      <c r="S4" s="2918" t="s">
        <v>479</v>
      </c>
      <c r="T4" s="2918"/>
      <c r="U4" s="2918" t="s">
        <v>485</v>
      </c>
      <c r="V4" s="2920"/>
      <c r="W4" s="2918" t="s">
        <v>480</v>
      </c>
      <c r="X4" s="2921"/>
      <c r="Y4" s="2922" t="s">
        <v>468</v>
      </c>
    </row>
    <row r="5" spans="1:39" s="278" customFormat="1">
      <c r="B5" s="2923">
        <v>2017</v>
      </c>
      <c r="C5" s="2924">
        <v>6052177</v>
      </c>
      <c r="D5" s="2925" t="s">
        <v>965</v>
      </c>
      <c r="E5" s="2926">
        <v>0.09</v>
      </c>
      <c r="F5" s="2925" t="s">
        <v>965</v>
      </c>
      <c r="G5" s="2927">
        <v>365</v>
      </c>
      <c r="H5" s="2925" t="s">
        <v>965</v>
      </c>
      <c r="I5" s="2928">
        <v>1E-3</v>
      </c>
      <c r="J5" s="2925" t="s">
        <v>965</v>
      </c>
      <c r="K5" s="2929">
        <v>0.6</v>
      </c>
      <c r="L5" s="2925" t="s">
        <v>965</v>
      </c>
      <c r="M5" s="2930">
        <v>0.16250000000000001</v>
      </c>
      <c r="N5" s="2931" t="s">
        <v>966</v>
      </c>
      <c r="O5" s="2929">
        <f>C5*$E$5*$G$5*$M$5*$K$5*$I$5</f>
        <v>19384.366408875001</v>
      </c>
      <c r="P5" s="2925" t="s">
        <v>965</v>
      </c>
      <c r="Q5" s="2932">
        <v>21</v>
      </c>
      <c r="R5" s="2925" t="s">
        <v>965</v>
      </c>
      <c r="S5" s="2933">
        <v>9.9999999999999995E-7</v>
      </c>
      <c r="T5" s="2925" t="s">
        <v>965</v>
      </c>
      <c r="U5" s="2929">
        <f>12/44</f>
        <v>0.27272727272727271</v>
      </c>
      <c r="V5" s="2925" t="s">
        <v>966</v>
      </c>
      <c r="W5" s="2934">
        <f>O5*Q$5*S$5*U$5</f>
        <v>0.11101955306901135</v>
      </c>
      <c r="X5" s="2925" t="s">
        <v>966</v>
      </c>
      <c r="Y5" s="3258">
        <f>W5*44/12</f>
        <v>0.40707169458637499</v>
      </c>
    </row>
    <row r="6" spans="1:39" ht="12" thickBot="1">
      <c r="B6" s="866"/>
      <c r="C6" s="549"/>
      <c r="D6" s="549"/>
      <c r="E6" s="549"/>
      <c r="F6" s="549"/>
      <c r="G6" s="549"/>
      <c r="H6" s="549"/>
      <c r="I6" s="549"/>
      <c r="J6" s="549"/>
      <c r="K6" s="549"/>
      <c r="L6" s="549"/>
      <c r="M6" s="549"/>
      <c r="N6" s="549"/>
      <c r="O6" s="549"/>
      <c r="P6" s="549"/>
      <c r="Q6" s="549"/>
      <c r="R6" s="549"/>
      <c r="S6" s="549"/>
      <c r="T6" s="549"/>
      <c r="U6" s="549"/>
      <c r="V6" s="549"/>
      <c r="W6" s="549"/>
      <c r="X6" s="549"/>
      <c r="Y6" s="867"/>
    </row>
    <row r="7" spans="1:39" ht="12.75" thickTop="1" thickBot="1">
      <c r="B7" s="4"/>
      <c r="C7" s="4"/>
      <c r="D7" s="4"/>
      <c r="E7" s="4"/>
      <c r="F7" s="4"/>
      <c r="G7" s="4"/>
      <c r="H7" s="4"/>
      <c r="I7" s="4"/>
      <c r="J7" s="4"/>
      <c r="K7" s="4"/>
      <c r="L7" s="4"/>
      <c r="M7" s="4"/>
      <c r="N7" s="4"/>
      <c r="O7" s="4"/>
      <c r="P7" s="4"/>
      <c r="Q7" s="4"/>
      <c r="R7" s="4"/>
      <c r="S7" s="4"/>
      <c r="T7" s="4"/>
      <c r="U7" s="4"/>
      <c r="V7" s="4"/>
      <c r="W7" s="4"/>
      <c r="X7" s="4"/>
      <c r="Y7" s="4"/>
    </row>
    <row r="8" spans="1:39" ht="21" thickTop="1" thickBot="1">
      <c r="B8" s="2912" t="s">
        <v>487</v>
      </c>
      <c r="C8" s="2915"/>
      <c r="D8" s="2915"/>
      <c r="E8" s="2915"/>
      <c r="F8" s="2915"/>
      <c r="G8" s="2915"/>
      <c r="H8" s="2915"/>
      <c r="I8" s="2915"/>
      <c r="J8" s="2915"/>
      <c r="K8" s="2915"/>
      <c r="L8" s="2915"/>
      <c r="M8" s="2915"/>
      <c r="N8" s="2915"/>
      <c r="O8" s="2915"/>
      <c r="P8" s="2915"/>
      <c r="Q8" s="2915"/>
      <c r="R8" s="2915"/>
      <c r="S8" s="2915"/>
      <c r="T8" s="2915"/>
      <c r="U8" s="2915"/>
      <c r="V8" s="2915"/>
      <c r="W8" s="2915"/>
      <c r="X8" s="2915"/>
      <c r="Y8" s="2916"/>
    </row>
    <row r="9" spans="1:39" ht="55.5" thickTop="1">
      <c r="B9" s="2917" t="s">
        <v>181</v>
      </c>
      <c r="C9" s="2918" t="s">
        <v>476</v>
      </c>
      <c r="D9" s="2935"/>
      <c r="E9" s="2936" t="s">
        <v>488</v>
      </c>
      <c r="F9" s="2920"/>
      <c r="G9" s="2918" t="s">
        <v>473</v>
      </c>
      <c r="H9" s="2920"/>
      <c r="I9" s="2918" t="s">
        <v>489</v>
      </c>
      <c r="J9" s="2918"/>
      <c r="K9" s="2918" t="s">
        <v>472</v>
      </c>
      <c r="L9" s="2920"/>
      <c r="M9" s="2918" t="s">
        <v>471</v>
      </c>
      <c r="N9" s="2920"/>
      <c r="O9" s="2918" t="s">
        <v>490</v>
      </c>
      <c r="P9" s="2918"/>
      <c r="Q9" s="2918" t="s">
        <v>485</v>
      </c>
      <c r="R9" s="2920"/>
      <c r="S9" s="2918" t="s">
        <v>480</v>
      </c>
      <c r="T9" s="2921"/>
      <c r="U9" s="2918" t="s">
        <v>468</v>
      </c>
      <c r="V9" s="236"/>
      <c r="W9" s="236"/>
      <c r="X9" s="236"/>
      <c r="Y9" s="868"/>
      <c r="Z9" s="236"/>
      <c r="AA9" s="236"/>
      <c r="AB9" s="236"/>
      <c r="AC9" s="236"/>
      <c r="AD9" s="236"/>
    </row>
    <row r="10" spans="1:39" s="277" customFormat="1">
      <c r="B10" s="2923">
        <v>2017</v>
      </c>
      <c r="C10" s="2937">
        <v>6052177</v>
      </c>
      <c r="D10" s="2925" t="s">
        <v>965</v>
      </c>
      <c r="E10" s="2938">
        <v>0.81169999999999998</v>
      </c>
      <c r="F10" s="2925" t="s">
        <v>965</v>
      </c>
      <c r="G10" s="2939">
        <v>4</v>
      </c>
      <c r="H10" s="2925" t="s">
        <v>965</v>
      </c>
      <c r="I10" s="2940">
        <v>9.9999999999999995E-7</v>
      </c>
      <c r="J10" s="2931" t="s">
        <v>966</v>
      </c>
      <c r="K10" s="2941">
        <f>C10*E10*G10*I10</f>
        <v>19.650208283599998</v>
      </c>
      <c r="L10" s="2925" t="s">
        <v>965</v>
      </c>
      <c r="M10" s="2932">
        <v>310</v>
      </c>
      <c r="N10" s="2925" t="s">
        <v>965</v>
      </c>
      <c r="O10" s="2933">
        <f>1/1000000</f>
        <v>9.9999999999999995E-7</v>
      </c>
      <c r="P10" s="2925" t="s">
        <v>965</v>
      </c>
      <c r="Q10" s="2929">
        <f>12/44</f>
        <v>0.27272727272727271</v>
      </c>
      <c r="R10" s="2931" t="s">
        <v>966</v>
      </c>
      <c r="S10" s="2942">
        <f>K10*M10*O10*Q10</f>
        <v>1.6613357912498179E-3</v>
      </c>
      <c r="T10" s="2931" t="s">
        <v>966</v>
      </c>
      <c r="U10" s="2942">
        <f>S10*44/12</f>
        <v>6.0915645679159997E-3</v>
      </c>
      <c r="V10" s="278"/>
      <c r="W10" s="278"/>
      <c r="X10" s="278"/>
      <c r="Y10" s="869"/>
      <c r="Z10" s="278"/>
      <c r="AA10" s="278"/>
      <c r="AB10" s="278"/>
      <c r="AC10" s="278"/>
      <c r="AD10" s="278"/>
    </row>
    <row r="11" spans="1:39" ht="12" thickBot="1">
      <c r="B11" s="870"/>
      <c r="C11" s="871"/>
      <c r="D11" s="871"/>
      <c r="E11" s="871"/>
      <c r="F11" s="871"/>
      <c r="G11" s="871"/>
      <c r="H11" s="871"/>
      <c r="I11" s="871"/>
      <c r="J11" s="871"/>
      <c r="K11" s="871"/>
      <c r="L11" s="871"/>
      <c r="M11" s="871"/>
      <c r="N11" s="871"/>
      <c r="O11" s="871"/>
      <c r="P11" s="871"/>
      <c r="Q11" s="871"/>
      <c r="R11" s="871"/>
      <c r="S11" s="871"/>
      <c r="T11" s="871"/>
      <c r="U11" s="871"/>
      <c r="V11" s="871"/>
      <c r="W11" s="871"/>
      <c r="X11" s="871"/>
      <c r="Y11" s="872"/>
      <c r="Z11" s="236"/>
      <c r="AA11" s="236"/>
      <c r="AB11" s="236"/>
      <c r="AC11" s="236"/>
      <c r="AD11" s="236"/>
    </row>
    <row r="12" spans="1:39" ht="12.75" thickTop="1" thickBot="1">
      <c r="B12" s="236"/>
      <c r="C12" s="236"/>
      <c r="D12" s="236"/>
      <c r="E12" s="236"/>
      <c r="F12" s="236"/>
      <c r="G12" s="236"/>
      <c r="H12" s="236"/>
      <c r="I12" s="236"/>
      <c r="J12" s="236"/>
      <c r="K12" s="236"/>
      <c r="L12" s="236"/>
      <c r="M12" s="236"/>
      <c r="N12" s="236"/>
      <c r="O12" s="236"/>
      <c r="P12" s="236"/>
      <c r="Q12" s="236"/>
      <c r="R12" s="236"/>
      <c r="S12" s="236"/>
      <c r="T12" s="236"/>
      <c r="U12" s="236"/>
      <c r="V12" s="236"/>
      <c r="W12" s="236"/>
      <c r="X12" s="236"/>
      <c r="Y12" s="236"/>
      <c r="Z12" s="236"/>
      <c r="AA12" s="236"/>
      <c r="AB12" s="236"/>
      <c r="AC12" s="236"/>
      <c r="AD12" s="236"/>
    </row>
    <row r="13" spans="1:39" ht="21" thickTop="1" thickBot="1">
      <c r="B13" s="2912" t="s">
        <v>491</v>
      </c>
      <c r="C13" s="2915"/>
      <c r="D13" s="2915"/>
      <c r="E13" s="2915"/>
      <c r="F13" s="2915"/>
      <c r="G13" s="2915"/>
      <c r="H13" s="2915"/>
      <c r="I13" s="2915"/>
      <c r="J13" s="2915"/>
      <c r="K13" s="2915"/>
      <c r="L13" s="2915"/>
      <c r="M13" s="2915"/>
      <c r="N13" s="2915"/>
      <c r="O13" s="2915"/>
      <c r="P13" s="2915"/>
      <c r="Q13" s="2915"/>
      <c r="R13" s="2915"/>
      <c r="S13" s="2915"/>
      <c r="T13" s="2915"/>
      <c r="U13" s="2915"/>
      <c r="V13" s="2915"/>
      <c r="W13" s="2915"/>
      <c r="X13" s="2915"/>
      <c r="Y13" s="2915"/>
      <c r="Z13" s="2915"/>
      <c r="AA13" s="2915"/>
      <c r="AB13" s="2915"/>
      <c r="AC13" s="2915"/>
      <c r="AD13" s="2915"/>
      <c r="AE13" s="2915"/>
      <c r="AF13" s="2915"/>
      <c r="AG13" s="2915"/>
      <c r="AH13" s="2915"/>
      <c r="AI13" s="2915"/>
      <c r="AJ13" s="2915"/>
      <c r="AK13" s="2915"/>
      <c r="AL13" s="2915"/>
      <c r="AM13" s="2916"/>
    </row>
    <row r="14" spans="1:39" ht="55.5" thickTop="1">
      <c r="B14" s="2917" t="s">
        <v>181</v>
      </c>
      <c r="C14" s="2943" t="s">
        <v>476</v>
      </c>
      <c r="D14" s="2944"/>
      <c r="E14" s="2945" t="s">
        <v>499</v>
      </c>
      <c r="F14" s="2946"/>
      <c r="G14" s="2943" t="s">
        <v>500</v>
      </c>
      <c r="H14" s="2946"/>
      <c r="I14" s="2943" t="s">
        <v>492</v>
      </c>
      <c r="J14" s="2946"/>
      <c r="K14" s="2943" t="s">
        <v>478</v>
      </c>
      <c r="L14" s="2943"/>
      <c r="M14" s="2943" t="s">
        <v>501</v>
      </c>
      <c r="N14" s="2943"/>
      <c r="O14" s="2943" t="s">
        <v>503</v>
      </c>
      <c r="P14" s="2947"/>
      <c r="Q14" s="2943" t="s">
        <v>504</v>
      </c>
      <c r="R14" s="2943"/>
      <c r="S14" s="2943" t="s">
        <v>494</v>
      </c>
      <c r="T14" s="2943"/>
      <c r="U14" s="2943" t="s">
        <v>470</v>
      </c>
      <c r="V14" s="2946"/>
      <c r="W14" s="2943" t="s">
        <v>495</v>
      </c>
      <c r="X14" s="2946"/>
      <c r="Y14" s="2943" t="s">
        <v>469</v>
      </c>
      <c r="Z14" s="2946"/>
      <c r="AA14" s="2943" t="s">
        <v>505</v>
      </c>
      <c r="AB14" s="2946"/>
      <c r="AC14" s="2943" t="s">
        <v>479</v>
      </c>
      <c r="AD14" s="2943"/>
      <c r="AE14" s="2943" t="s">
        <v>1067</v>
      </c>
      <c r="AF14" s="2946"/>
      <c r="AG14" s="2943" t="s">
        <v>506</v>
      </c>
      <c r="AH14" s="2943"/>
      <c r="AI14" s="2943" t="s">
        <v>507</v>
      </c>
      <c r="AJ14" s="2943"/>
      <c r="AK14" s="2943" t="s">
        <v>508</v>
      </c>
      <c r="AL14" s="2944"/>
      <c r="AM14" s="2948" t="s">
        <v>509</v>
      </c>
    </row>
    <row r="15" spans="1:39">
      <c r="B15" s="2480"/>
      <c r="C15" s="2949"/>
      <c r="D15" s="2949"/>
      <c r="E15" s="2950"/>
      <c r="F15" s="2951"/>
      <c r="G15" s="2950"/>
      <c r="H15" s="2951"/>
      <c r="I15" s="2951"/>
      <c r="J15" s="2951"/>
      <c r="K15" s="2951"/>
      <c r="L15" s="2951"/>
      <c r="M15" s="2951"/>
      <c r="N15" s="2951"/>
      <c r="O15" s="2951"/>
      <c r="P15" s="2951"/>
      <c r="Q15" s="2951"/>
      <c r="R15" s="2951"/>
      <c r="S15" s="2951"/>
      <c r="T15" s="2951"/>
      <c r="U15" s="2950"/>
      <c r="V15" s="2951"/>
      <c r="W15" s="2951"/>
      <c r="X15" s="2951"/>
      <c r="Y15" s="2951"/>
      <c r="Z15" s="2951"/>
      <c r="AA15" s="2952"/>
      <c r="AB15" s="2951"/>
      <c r="AC15" s="2951" t="s">
        <v>497</v>
      </c>
      <c r="AD15" s="2949"/>
      <c r="AE15" s="2949"/>
      <c r="AF15" s="2949"/>
      <c r="AG15" s="2952"/>
      <c r="AH15" s="2952"/>
      <c r="AI15" s="2952"/>
      <c r="AJ15" s="2952"/>
      <c r="AK15" s="2952"/>
      <c r="AL15" s="2949"/>
      <c r="AM15" s="2953"/>
    </row>
    <row r="16" spans="1:39" s="276" customFormat="1">
      <c r="A16" s="275"/>
      <c r="B16" s="2923">
        <v>2017</v>
      </c>
      <c r="C16" s="2937">
        <v>6052177</v>
      </c>
      <c r="D16" s="2925" t="s">
        <v>965</v>
      </c>
      <c r="E16" s="2954">
        <v>45.2</v>
      </c>
      <c r="F16" s="2925" t="s">
        <v>965</v>
      </c>
      <c r="G16" s="2955">
        <v>0.16</v>
      </c>
      <c r="H16" s="2925" t="s">
        <v>965</v>
      </c>
      <c r="I16" s="2956">
        <v>1.75</v>
      </c>
      <c r="J16" s="2925" t="s">
        <v>965</v>
      </c>
      <c r="K16" s="2928">
        <v>1E-3</v>
      </c>
      <c r="L16" s="2931" t="s">
        <v>966</v>
      </c>
      <c r="M16" s="2932">
        <f>C16*E16*G16*I16*K16</f>
        <v>76596.352112000008</v>
      </c>
      <c r="N16" s="2957" t="s">
        <v>444</v>
      </c>
      <c r="O16" s="2929">
        <f>K10</f>
        <v>19.650208283599998</v>
      </c>
      <c r="P16" s="2931" t="s">
        <v>966</v>
      </c>
      <c r="Q16" s="2932">
        <f>M16-O16</f>
        <v>76576.701903716414</v>
      </c>
      <c r="R16" s="2932" t="s">
        <v>965</v>
      </c>
      <c r="S16" s="2958">
        <v>0</v>
      </c>
      <c r="T16" s="2925" t="s">
        <v>965</v>
      </c>
      <c r="U16" s="2941">
        <v>5.0000000000000001E-3</v>
      </c>
      <c r="V16" s="2925" t="s">
        <v>965</v>
      </c>
      <c r="W16" s="2959">
        <f>44/28</f>
        <v>1.5714285714285714</v>
      </c>
      <c r="X16" s="2931" t="s">
        <v>966</v>
      </c>
      <c r="Y16" s="2929">
        <f>Q16*(1-S16)*U16*W16</f>
        <v>601.67408638634322</v>
      </c>
      <c r="Z16" s="2925" t="s">
        <v>965</v>
      </c>
      <c r="AA16" s="2932">
        <v>310</v>
      </c>
      <c r="AB16" s="2925" t="s">
        <v>965</v>
      </c>
      <c r="AC16" s="2933">
        <f>1/1000000</f>
        <v>9.9999999999999995E-7</v>
      </c>
      <c r="AD16" s="2925" t="s">
        <v>965</v>
      </c>
      <c r="AE16" s="2929">
        <f>12/44</f>
        <v>0.27272727272727271</v>
      </c>
      <c r="AF16" s="2931" t="s">
        <v>966</v>
      </c>
      <c r="AG16" s="2942">
        <f>Y16*AA$16*AC$16*AE$16</f>
        <v>5.0868809121754469E-2</v>
      </c>
      <c r="AH16" s="2960" t="s">
        <v>967</v>
      </c>
      <c r="AI16" s="2942">
        <f>S10</f>
        <v>1.6613357912498179E-3</v>
      </c>
      <c r="AJ16" s="2961" t="s">
        <v>966</v>
      </c>
      <c r="AK16" s="2942">
        <f>AG16+AI16</f>
        <v>5.2530144913004284E-2</v>
      </c>
      <c r="AL16" s="2961" t="s">
        <v>966</v>
      </c>
      <c r="AM16" s="3258">
        <f>AK16*(44/12)</f>
        <v>0.19261053134768236</v>
      </c>
    </row>
    <row r="17" spans="1:39" s="276" customFormat="1" ht="12" thickBot="1">
      <c r="A17" s="275"/>
      <c r="B17" s="873"/>
      <c r="C17" s="874"/>
      <c r="D17" s="875"/>
      <c r="E17" s="876"/>
      <c r="F17" s="875"/>
      <c r="G17" s="877"/>
      <c r="H17" s="875"/>
      <c r="I17" s="878"/>
      <c r="J17" s="875"/>
      <c r="K17" s="879"/>
      <c r="L17" s="880"/>
      <c r="M17" s="881"/>
      <c r="N17" s="882"/>
      <c r="O17" s="881"/>
      <c r="P17" s="880"/>
      <c r="Q17" s="881"/>
      <c r="R17" s="881"/>
      <c r="S17" s="883"/>
      <c r="T17" s="875"/>
      <c r="U17" s="884"/>
      <c r="V17" s="875"/>
      <c r="W17" s="885"/>
      <c r="X17" s="880"/>
      <c r="Y17" s="886"/>
      <c r="Z17" s="875"/>
      <c r="AA17" s="881"/>
      <c r="AB17" s="875"/>
      <c r="AC17" s="887"/>
      <c r="AD17" s="875"/>
      <c r="AE17" s="886"/>
      <c r="AF17" s="880"/>
      <c r="AG17" s="888"/>
      <c r="AH17" s="889"/>
      <c r="AI17" s="888"/>
      <c r="AJ17" s="890"/>
      <c r="AK17" s="888"/>
      <c r="AL17" s="890"/>
      <c r="AM17" s="891"/>
    </row>
    <row r="18" spans="1:39" ht="12.75" thickTop="1" thickBot="1">
      <c r="B18" s="236"/>
      <c r="C18" s="236"/>
      <c r="D18" s="236"/>
      <c r="E18" s="236"/>
      <c r="F18" s="236"/>
      <c r="G18" s="236"/>
      <c r="H18" s="236"/>
      <c r="I18" s="236"/>
      <c r="J18" s="236"/>
      <c r="K18" s="236"/>
      <c r="L18" s="236"/>
      <c r="M18" s="236"/>
      <c r="N18" s="236"/>
      <c r="O18" s="236"/>
      <c r="P18" s="236"/>
      <c r="Q18" s="236"/>
      <c r="R18" s="236"/>
      <c r="S18" s="236"/>
      <c r="T18" s="236"/>
      <c r="U18" s="236"/>
      <c r="V18" s="236"/>
      <c r="W18" s="236"/>
      <c r="X18" s="236"/>
      <c r="Y18" s="236"/>
      <c r="Z18" s="236"/>
      <c r="AA18" s="236"/>
      <c r="AB18" s="236"/>
      <c r="AC18" s="236"/>
      <c r="AD18" s="236"/>
    </row>
    <row r="19" spans="1:39" ht="21" thickTop="1" thickBot="1">
      <c r="B19" s="2912" t="s">
        <v>676</v>
      </c>
      <c r="C19" s="2913"/>
      <c r="D19" s="2913"/>
      <c r="E19" s="2913"/>
      <c r="F19" s="2913"/>
      <c r="G19" s="2913"/>
      <c r="H19" s="2913"/>
      <c r="I19" s="2913"/>
      <c r="J19" s="2913"/>
      <c r="K19" s="2913"/>
      <c r="L19" s="2913"/>
      <c r="M19" s="2913"/>
      <c r="N19" s="2913"/>
      <c r="O19" s="2913"/>
      <c r="P19" s="2913"/>
      <c r="Q19" s="2913"/>
      <c r="R19" s="2913"/>
      <c r="S19" s="2913"/>
      <c r="T19" s="2913"/>
      <c r="U19" s="2913"/>
      <c r="V19" s="2913"/>
      <c r="W19" s="2913"/>
      <c r="X19" s="2913"/>
      <c r="Y19" s="2913"/>
      <c r="Z19" s="2913"/>
      <c r="AA19" s="2914"/>
      <c r="AB19" s="236"/>
      <c r="AC19" s="236"/>
      <c r="AD19" s="236"/>
    </row>
    <row r="20" spans="1:39" ht="28.5" thickTop="1">
      <c r="B20" s="2917" t="s">
        <v>181</v>
      </c>
      <c r="C20" s="2943" t="s">
        <v>510</v>
      </c>
      <c r="D20" s="2943"/>
      <c r="E20" s="2943" t="s">
        <v>511</v>
      </c>
      <c r="F20" s="2946"/>
      <c r="G20" s="2943" t="s">
        <v>493</v>
      </c>
      <c r="H20" s="2946"/>
      <c r="I20" s="2943" t="s">
        <v>512</v>
      </c>
      <c r="J20" s="2946"/>
      <c r="K20" s="2943" t="s">
        <v>107</v>
      </c>
      <c r="L20" s="2946"/>
      <c r="M20" s="2943" t="s">
        <v>513</v>
      </c>
      <c r="N20" s="2946"/>
      <c r="O20" s="2943" t="s">
        <v>108</v>
      </c>
      <c r="P20" s="2946"/>
      <c r="Q20" s="2943" t="s">
        <v>493</v>
      </c>
      <c r="R20" s="2946"/>
      <c r="S20" s="2943" t="s">
        <v>108</v>
      </c>
      <c r="T20" s="2946"/>
      <c r="U20" s="2943" t="s">
        <v>514</v>
      </c>
      <c r="V20" s="2943"/>
      <c r="W20" s="2943" t="s">
        <v>1067</v>
      </c>
      <c r="X20" s="2946"/>
      <c r="Y20" s="2943" t="s">
        <v>108</v>
      </c>
      <c r="Z20" s="2947"/>
      <c r="AA20" s="2948" t="s">
        <v>108</v>
      </c>
      <c r="AB20" s="236"/>
      <c r="AC20" s="236"/>
      <c r="AD20" s="236"/>
    </row>
    <row r="21" spans="1:39">
      <c r="B21" s="2480"/>
      <c r="C21" s="2949" t="s">
        <v>103</v>
      </c>
      <c r="D21" s="2962"/>
      <c r="E21" s="2949" t="s">
        <v>515</v>
      </c>
      <c r="F21" s="2949"/>
      <c r="G21" s="2949" t="s">
        <v>516</v>
      </c>
      <c r="H21" s="2949"/>
      <c r="I21" s="2949" t="s">
        <v>517</v>
      </c>
      <c r="J21" s="2949"/>
      <c r="K21" s="2949" t="s">
        <v>518</v>
      </c>
      <c r="L21" s="2949"/>
      <c r="M21" s="2949" t="s">
        <v>519</v>
      </c>
      <c r="N21" s="2949"/>
      <c r="O21" s="2949" t="s">
        <v>520</v>
      </c>
      <c r="P21" s="2949"/>
      <c r="Q21" s="2949" t="s">
        <v>521</v>
      </c>
      <c r="R21" s="2949"/>
      <c r="S21" s="2949" t="s">
        <v>522</v>
      </c>
      <c r="T21" s="2949"/>
      <c r="U21" s="2963" t="s">
        <v>496</v>
      </c>
      <c r="V21" s="2949"/>
      <c r="W21" s="2949"/>
      <c r="X21" s="2949"/>
      <c r="Y21" s="2963" t="s">
        <v>1072</v>
      </c>
      <c r="Z21" s="2964"/>
      <c r="AA21" s="2965" t="s">
        <v>498</v>
      </c>
      <c r="AB21" s="236"/>
      <c r="AC21" s="236"/>
      <c r="AD21" s="236"/>
    </row>
    <row r="22" spans="1:39" s="5" customFormat="1">
      <c r="A22" s="275"/>
      <c r="B22" s="2923">
        <v>2017</v>
      </c>
      <c r="C22" s="2966">
        <v>16420.32</v>
      </c>
      <c r="D22" s="2925" t="s">
        <v>965</v>
      </c>
      <c r="E22" s="2967">
        <v>7.9</v>
      </c>
      <c r="F22" s="2925" t="s">
        <v>965</v>
      </c>
      <c r="G22" s="2932">
        <v>1000</v>
      </c>
      <c r="H22" s="2925" t="s">
        <v>965</v>
      </c>
      <c r="I22" s="2968">
        <v>4.0999999999999996</v>
      </c>
      <c r="J22" s="2925" t="s">
        <v>965</v>
      </c>
      <c r="K22" s="2929">
        <v>0.25</v>
      </c>
      <c r="L22" s="2925" t="s">
        <v>965</v>
      </c>
      <c r="M22" s="2969">
        <v>0.33</v>
      </c>
      <c r="N22" s="2925" t="s">
        <v>966</v>
      </c>
      <c r="O22" s="2970">
        <f>C22*$E$22*$I$22*$M$22*$K$22*$G$22</f>
        <v>43877968.596000008</v>
      </c>
      <c r="P22" s="2925" t="s">
        <v>965</v>
      </c>
      <c r="Q22" s="2971">
        <v>9.9999999999999998E-13</v>
      </c>
      <c r="R22" s="2931" t="s">
        <v>966</v>
      </c>
      <c r="S22" s="2929">
        <f>O22*Q22</f>
        <v>4.387796859600001E-5</v>
      </c>
      <c r="T22" s="2925" t="s">
        <v>965</v>
      </c>
      <c r="U22" s="2932">
        <v>21</v>
      </c>
      <c r="V22" s="2925" t="s">
        <v>965</v>
      </c>
      <c r="W22" s="2929">
        <f>12/44</f>
        <v>0.27272727272727271</v>
      </c>
      <c r="X22" s="2931" t="s">
        <v>966</v>
      </c>
      <c r="Y22" s="2942">
        <f>S22*U$22*W$22</f>
        <v>2.5130109286800002E-4</v>
      </c>
      <c r="Z22" s="2931" t="s">
        <v>966</v>
      </c>
      <c r="AA22" s="2972">
        <f>Y22*44/12</f>
        <v>9.2143734051600005E-4</v>
      </c>
      <c r="AB22" s="272"/>
      <c r="AC22" s="272"/>
      <c r="AD22" s="272"/>
    </row>
    <row r="23" spans="1:39" ht="12" thickBot="1">
      <c r="B23" s="870"/>
      <c r="C23" s="871"/>
      <c r="D23" s="871"/>
      <c r="E23" s="871"/>
      <c r="F23" s="871"/>
      <c r="G23" s="871"/>
      <c r="H23" s="871"/>
      <c r="I23" s="871"/>
      <c r="J23" s="871"/>
      <c r="K23" s="871"/>
      <c r="L23" s="871"/>
      <c r="M23" s="871"/>
      <c r="N23" s="871"/>
      <c r="O23" s="871"/>
      <c r="P23" s="871"/>
      <c r="Q23" s="871"/>
      <c r="R23" s="871"/>
      <c r="S23" s="871"/>
      <c r="T23" s="871"/>
      <c r="U23" s="871"/>
      <c r="V23" s="871"/>
      <c r="W23" s="871"/>
      <c r="X23" s="871"/>
      <c r="Y23" s="871"/>
      <c r="Z23" s="871"/>
      <c r="AA23" s="872"/>
      <c r="AB23" s="236"/>
      <c r="AC23" s="236"/>
      <c r="AD23" s="236"/>
    </row>
    <row r="24" spans="1:39" ht="12" thickTop="1">
      <c r="B24" s="236"/>
      <c r="C24" s="236"/>
      <c r="D24" s="236"/>
      <c r="E24" s="236"/>
      <c r="F24" s="236"/>
      <c r="G24" s="236"/>
      <c r="H24" s="236"/>
      <c r="I24" s="236"/>
      <c r="J24" s="236"/>
      <c r="K24" s="236"/>
      <c r="L24" s="236"/>
      <c r="M24" s="236"/>
      <c r="N24" s="236"/>
      <c r="O24" s="236"/>
      <c r="P24" s="236"/>
      <c r="Q24" s="236"/>
      <c r="R24" s="236"/>
      <c r="S24" s="236"/>
      <c r="T24" s="236"/>
      <c r="U24" s="236"/>
      <c r="V24" s="236"/>
      <c r="W24" s="236"/>
      <c r="X24" s="236"/>
      <c r="Y24" s="236"/>
      <c r="Z24" s="236"/>
      <c r="AA24" s="236"/>
      <c r="AB24" s="236"/>
      <c r="AC24" s="236"/>
      <c r="AD24" s="236"/>
    </row>
    <row r="25" spans="1:39">
      <c r="B25" s="236"/>
      <c r="C25" s="236"/>
      <c r="D25" s="236"/>
      <c r="E25" s="236"/>
      <c r="F25" s="236"/>
      <c r="G25" s="236"/>
      <c r="H25" s="236"/>
      <c r="I25" s="236"/>
      <c r="J25" s="236"/>
      <c r="K25" s="236"/>
      <c r="L25" s="236"/>
      <c r="M25" s="236"/>
      <c r="N25" s="236"/>
      <c r="O25" s="236"/>
      <c r="P25" s="236"/>
      <c r="Q25" s="236"/>
      <c r="R25" s="236"/>
      <c r="S25" s="236"/>
      <c r="T25" s="236"/>
      <c r="U25" s="236"/>
      <c r="V25" s="236"/>
      <c r="W25" s="236"/>
      <c r="X25" s="236"/>
      <c r="Y25" s="236"/>
      <c r="Z25" s="236"/>
      <c r="AA25" s="236"/>
      <c r="AB25" s="236"/>
      <c r="AC25" s="236"/>
      <c r="AD25" s="236"/>
    </row>
    <row r="26" spans="1:39">
      <c r="B26" s="236"/>
      <c r="C26" s="236"/>
      <c r="D26" s="236"/>
      <c r="E26" s="236"/>
      <c r="F26" s="236"/>
      <c r="G26" s="236"/>
      <c r="H26" s="236"/>
      <c r="I26" s="236"/>
      <c r="J26" s="236"/>
      <c r="K26" s="236"/>
      <c r="L26" s="236"/>
      <c r="M26" s="236"/>
      <c r="N26" s="236"/>
      <c r="O26" s="236"/>
      <c r="P26" s="236"/>
      <c r="Q26" s="236"/>
      <c r="R26" s="236"/>
      <c r="S26" s="236"/>
      <c r="T26" s="236"/>
      <c r="U26" s="236"/>
      <c r="V26" s="236"/>
      <c r="W26" s="236"/>
      <c r="X26" s="236"/>
      <c r="Y26" s="236"/>
      <c r="Z26" s="236"/>
      <c r="AA26" s="236"/>
      <c r="AB26" s="236"/>
      <c r="AC26" s="236"/>
      <c r="AD26" s="236"/>
    </row>
    <row r="28" spans="1:39" ht="12.75">
      <c r="B28" s="3578" t="s">
        <v>253</v>
      </c>
      <c r="C28" s="3578"/>
      <c r="D28" s="3578"/>
      <c r="E28" s="3578"/>
      <c r="F28" s="3578"/>
      <c r="G28" s="3578"/>
      <c r="H28" s="3578"/>
      <c r="I28" s="3578"/>
      <c r="J28" s="3578"/>
      <c r="K28" s="3578"/>
      <c r="L28" s="3578"/>
      <c r="M28" s="3578"/>
      <c r="N28" s="3578"/>
    </row>
    <row r="29" spans="1:39" ht="12" thickBot="1"/>
    <row r="30" spans="1:39" ht="15" thickTop="1">
      <c r="B30" s="2976" t="s">
        <v>670</v>
      </c>
      <c r="C30" s="2977">
        <v>2017</v>
      </c>
      <c r="Y30" s="14"/>
    </row>
    <row r="31" spans="1:39" ht="12.75">
      <c r="B31" s="2338" t="s">
        <v>1731</v>
      </c>
      <c r="C31" s="2973">
        <f>Y5</f>
        <v>0.40707169458637499</v>
      </c>
      <c r="D31" s="273"/>
    </row>
    <row r="32" spans="1:39" ht="12.75">
      <c r="B32" s="2338" t="s">
        <v>1732</v>
      </c>
      <c r="C32" s="2974">
        <f>AM16</f>
        <v>0.19261053134768236</v>
      </c>
      <c r="D32" s="273"/>
    </row>
    <row r="33" spans="2:19" ht="12.75">
      <c r="B33" s="2338" t="s">
        <v>1733</v>
      </c>
      <c r="C33" s="2973">
        <f>SUM(C34:C37)</f>
        <v>9.2143734051600005E-4</v>
      </c>
      <c r="D33" s="273"/>
    </row>
    <row r="34" spans="2:19" ht="12.75">
      <c r="B34" s="2975" t="s">
        <v>254</v>
      </c>
      <c r="C34" s="2973">
        <v>0</v>
      </c>
      <c r="D34" s="273"/>
    </row>
    <row r="35" spans="2:19" ht="12.75">
      <c r="B35" s="2975" t="s">
        <v>255</v>
      </c>
      <c r="C35" s="2973">
        <f>AA22</f>
        <v>9.2143734051600005E-4</v>
      </c>
      <c r="D35" s="273"/>
    </row>
    <row r="36" spans="2:19" ht="12.75">
      <c r="B36" s="2975" t="s">
        <v>256</v>
      </c>
      <c r="C36" s="2973">
        <v>0</v>
      </c>
      <c r="D36" s="273"/>
    </row>
    <row r="37" spans="2:19" ht="12.75">
      <c r="B37" s="2975" t="s">
        <v>257</v>
      </c>
      <c r="C37" s="2973">
        <v>0</v>
      </c>
      <c r="D37" s="273"/>
    </row>
    <row r="38" spans="2:19" ht="15" thickBot="1">
      <c r="B38" s="2978" t="s">
        <v>230</v>
      </c>
      <c r="C38" s="2979">
        <f>SUM(C31:C33)</f>
        <v>0.60060366327457326</v>
      </c>
      <c r="D38" s="273"/>
    </row>
    <row r="39" spans="2:19" ht="12" thickTop="1">
      <c r="S39" s="178">
        <f>SUM(C31:C33)</f>
        <v>0.60060366327457326</v>
      </c>
    </row>
  </sheetData>
  <sheetProtection password="CD58" sheet="1" objects="1" scenarios="1"/>
  <mergeCells count="2">
    <mergeCell ref="B28:N28"/>
    <mergeCell ref="B3:I3"/>
  </mergeCells>
  <phoneticPr fontId="0" type="noConversion"/>
  <conditionalFormatting sqref="B28:N28">
    <cfRule type="cellIs" dxfId="1" priority="1" stopIfTrue="1" operator="equal">
      <formula>0</formula>
    </cfRule>
    <cfRule type="cellIs" dxfId="0" priority="2" stopIfTrue="1" operator="notEqual">
      <formula>0</formula>
    </cfRule>
  </conditionalFormatting>
  <printOptions gridLines="1"/>
  <pageMargins left="0.18" right="0.16" top="0.48" bottom="0.48" header="0.5" footer="0.21"/>
  <pageSetup paperSize="5" scale="65" orientation="landscape" r:id="rId1"/>
  <headerFooter alignWithMargins="0"/>
  <colBreaks count="1" manualBreakCount="1">
    <brk id="30" max="1048575" man="1"/>
  </colBreaks>
  <drawing r:id="rId2"/>
  <legacyDrawing r:id="rId3"/>
  <controls>
    <control shapeId="1847299" r:id="rId4" name="CommandButton1"/>
  </controls>
</worksheet>
</file>

<file path=xl/worksheets/sheet24.xml><?xml version="1.0" encoding="utf-8"?>
<worksheet xmlns="http://schemas.openxmlformats.org/spreadsheetml/2006/main" xmlns:r="http://schemas.openxmlformats.org/officeDocument/2006/relationships">
  <sheetPr codeName="Sheet19"/>
  <dimension ref="A1:CC263"/>
  <sheetViews>
    <sheetView zoomScale="84" zoomScaleNormal="84" workbookViewId="0">
      <selection activeCell="O8" sqref="O8"/>
    </sheetView>
  </sheetViews>
  <sheetFormatPr defaultRowHeight="11.25"/>
  <cols>
    <col min="1" max="1" width="6" customWidth="1"/>
    <col min="2" max="2" width="34.33203125" customWidth="1"/>
    <col min="3" max="3" width="13.1640625" customWidth="1"/>
    <col min="4" max="4" width="3.83203125" customWidth="1"/>
    <col min="5" max="5" width="13.1640625" customWidth="1"/>
    <col min="6" max="6" width="3.83203125" customWidth="1"/>
    <col min="7" max="7" width="15" customWidth="1"/>
    <col min="8" max="8" width="3.83203125" customWidth="1"/>
    <col min="9" max="9" width="12.83203125" customWidth="1"/>
    <col min="10" max="10" width="3.83203125" customWidth="1"/>
    <col min="11" max="11" width="12.33203125" customWidth="1"/>
    <col min="12" max="12" width="3.83203125" customWidth="1"/>
    <col min="13" max="13" width="14.1640625" customWidth="1"/>
    <col min="14" max="14" width="8.6640625" customWidth="1"/>
    <col min="15" max="15" width="12.83203125" customWidth="1"/>
    <col min="16" max="16" width="3.83203125" customWidth="1"/>
    <col min="17" max="17" width="12.5" customWidth="1"/>
    <col min="18" max="18" width="3.83203125" customWidth="1"/>
    <col min="19" max="19" width="14.6640625" customWidth="1"/>
    <col min="20" max="20" width="3.83203125" customWidth="1"/>
    <col min="21" max="21" width="13" customWidth="1"/>
    <col min="22" max="22" width="3.83203125" customWidth="1"/>
    <col min="23" max="23" width="16.1640625" customWidth="1"/>
    <col min="24" max="24" width="2.83203125" customWidth="1"/>
    <col min="25" max="25" width="14" customWidth="1"/>
    <col min="27" max="27" width="12.6640625" customWidth="1"/>
    <col min="28" max="28" width="2.83203125" customWidth="1"/>
    <col min="29" max="29" width="14" customWidth="1"/>
    <col min="30" max="30" width="2.83203125" customWidth="1"/>
    <col min="31" max="31" width="15.1640625" customWidth="1"/>
  </cols>
  <sheetData>
    <row r="1" spans="1:19" ht="33">
      <c r="A1" s="482" t="s">
        <v>523</v>
      </c>
      <c r="E1" s="479" t="s">
        <v>1760</v>
      </c>
    </row>
    <row r="2" spans="1:19" s="279" customFormat="1" ht="254.25" customHeight="1" thickBot="1">
      <c r="B2" s="3582"/>
      <c r="C2" s="3511"/>
      <c r="D2" s="3511"/>
      <c r="E2" s="3511"/>
      <c r="F2" s="3511"/>
      <c r="G2" s="3511"/>
      <c r="H2" s="3511"/>
      <c r="I2" s="3511"/>
      <c r="J2" s="3511"/>
      <c r="K2" s="3511"/>
      <c r="L2" s="3511"/>
      <c r="M2" s="3511"/>
      <c r="N2" s="3511"/>
      <c r="O2" s="3511"/>
      <c r="P2" s="3511"/>
      <c r="Q2" s="3511"/>
      <c r="R2" s="3511"/>
      <c r="S2" s="3511"/>
    </row>
    <row r="3" spans="1:19" ht="19.5">
      <c r="B3" s="1114" t="s">
        <v>579</v>
      </c>
      <c r="C3" s="1115"/>
      <c r="D3" s="1115"/>
      <c r="E3" s="1115"/>
      <c r="F3" s="1115"/>
      <c r="G3" s="1115"/>
      <c r="H3" s="1115"/>
      <c r="I3" s="1115"/>
      <c r="J3" s="1115"/>
      <c r="K3" s="1115"/>
      <c r="L3" s="1115"/>
      <c r="M3" s="1116"/>
    </row>
    <row r="4" spans="1:19" ht="36.75">
      <c r="B4" s="1117"/>
      <c r="C4" s="1138" t="s">
        <v>573</v>
      </c>
      <c r="D4" s="1138"/>
      <c r="E4" s="1138" t="s">
        <v>574</v>
      </c>
      <c r="F4" s="1138"/>
      <c r="G4" s="1138" t="s">
        <v>575</v>
      </c>
      <c r="H4" s="1139"/>
      <c r="I4" s="1138" t="s">
        <v>576</v>
      </c>
      <c r="J4" s="1139"/>
      <c r="K4" s="1138" t="s">
        <v>480</v>
      </c>
      <c r="L4" s="1139"/>
      <c r="M4" s="1140" t="s">
        <v>577</v>
      </c>
    </row>
    <row r="5" spans="1:19">
      <c r="B5" s="1118" t="s">
        <v>524</v>
      </c>
      <c r="C5" s="1119"/>
      <c r="D5" s="1120"/>
      <c r="E5" s="38"/>
      <c r="F5" s="38"/>
      <c r="G5" s="38"/>
      <c r="H5" s="38"/>
      <c r="I5" s="1121"/>
      <c r="J5" s="38"/>
      <c r="K5" s="38"/>
      <c r="L5" s="38"/>
      <c r="M5" s="496"/>
    </row>
    <row r="6" spans="1:19">
      <c r="B6" s="1122" t="s">
        <v>525</v>
      </c>
      <c r="C6" s="280">
        <v>53</v>
      </c>
      <c r="D6" s="1120" t="s">
        <v>965</v>
      </c>
      <c r="E6" s="281">
        <v>144.5</v>
      </c>
      <c r="F6" s="1120" t="s">
        <v>966</v>
      </c>
      <c r="G6" s="282">
        <f>C6*E6*1000</f>
        <v>7658500</v>
      </c>
      <c r="H6" s="1120" t="s">
        <v>966</v>
      </c>
      <c r="I6" s="1123">
        <f>G6/1000*10^-6</f>
        <v>7.6584999999999995E-3</v>
      </c>
      <c r="J6" s="1120" t="s">
        <v>966</v>
      </c>
      <c r="K6" s="283">
        <f>(I6*21)*(12/44)</f>
        <v>4.3862318181818176E-2</v>
      </c>
      <c r="L6" s="1120" t="s">
        <v>966</v>
      </c>
      <c r="M6" s="1124">
        <f>K6/(12/44)</f>
        <v>0.16082849999999999</v>
      </c>
    </row>
    <row r="7" spans="1:19">
      <c r="B7" s="1122" t="s">
        <v>526</v>
      </c>
      <c r="C7" s="284">
        <v>28</v>
      </c>
      <c r="D7" s="1120" t="s">
        <v>965</v>
      </c>
      <c r="E7" s="281">
        <v>66</v>
      </c>
      <c r="F7" s="1120" t="s">
        <v>966</v>
      </c>
      <c r="G7" s="282">
        <f>C7*E7*1000</f>
        <v>1848000</v>
      </c>
      <c r="H7" s="1120" t="s">
        <v>966</v>
      </c>
      <c r="I7" s="1123">
        <f>G7/1000*10^-6</f>
        <v>1.8479999999999998E-3</v>
      </c>
      <c r="J7" s="1120" t="s">
        <v>966</v>
      </c>
      <c r="K7" s="283">
        <f>(I7*21)*(12/44)</f>
        <v>1.0583999999999998E-2</v>
      </c>
      <c r="L7" s="1120" t="s">
        <v>966</v>
      </c>
      <c r="M7" s="1124">
        <f>K7/(12/44)</f>
        <v>3.8807999999999995E-2</v>
      </c>
    </row>
    <row r="8" spans="1:19">
      <c r="B8" s="1125" t="s">
        <v>527</v>
      </c>
      <c r="C8" s="284">
        <v>0</v>
      </c>
      <c r="D8" s="1120" t="s">
        <v>965</v>
      </c>
      <c r="E8" s="281">
        <v>48.3</v>
      </c>
      <c r="F8" s="1120" t="s">
        <v>966</v>
      </c>
      <c r="G8" s="282">
        <f>C8*E8*1000</f>
        <v>0</v>
      </c>
      <c r="H8" s="1120" t="s">
        <v>966</v>
      </c>
      <c r="I8" s="1123">
        <f>G8/1000*10^-6</f>
        <v>0</v>
      </c>
      <c r="J8" s="1120" t="s">
        <v>966</v>
      </c>
      <c r="K8" s="283">
        <f>(I8*21)*(12/44)</f>
        <v>0</v>
      </c>
      <c r="L8" s="1120" t="s">
        <v>966</v>
      </c>
      <c r="M8" s="1124">
        <f>K8/(12/44)</f>
        <v>0</v>
      </c>
    </row>
    <row r="9" spans="1:19">
      <c r="B9" s="1125" t="s">
        <v>528</v>
      </c>
      <c r="C9" s="284">
        <v>0</v>
      </c>
      <c r="D9" s="1120" t="s">
        <v>965</v>
      </c>
      <c r="E9" s="281">
        <v>72.900000000000006</v>
      </c>
      <c r="F9" s="1120" t="s">
        <v>966</v>
      </c>
      <c r="G9" s="282">
        <f>C9*E9*1000</f>
        <v>0</v>
      </c>
      <c r="H9" s="1120" t="s">
        <v>966</v>
      </c>
      <c r="I9" s="1123">
        <f>G9/1000*10^-6</f>
        <v>0</v>
      </c>
      <c r="J9" s="1120" t="s">
        <v>966</v>
      </c>
      <c r="K9" s="283">
        <f>(I9*21)*(12/44)</f>
        <v>0</v>
      </c>
      <c r="L9" s="1120" t="s">
        <v>966</v>
      </c>
      <c r="M9" s="1124">
        <f>K9/(12/44)</f>
        <v>0</v>
      </c>
    </row>
    <row r="10" spans="1:19">
      <c r="B10" s="1118" t="s">
        <v>560</v>
      </c>
      <c r="C10" s="1126"/>
      <c r="D10" s="1120"/>
      <c r="E10" s="281"/>
      <c r="F10" s="1120"/>
      <c r="G10" s="282"/>
      <c r="H10" s="1120"/>
      <c r="I10" s="1123"/>
      <c r="J10" s="1120"/>
      <c r="K10" s="283"/>
      <c r="L10" s="1120"/>
      <c r="M10" s="1124"/>
    </row>
    <row r="11" spans="1:19">
      <c r="B11" s="1127" t="s">
        <v>561</v>
      </c>
      <c r="C11" s="284">
        <v>42</v>
      </c>
      <c r="D11" s="1120" t="s">
        <v>965</v>
      </c>
      <c r="E11" s="281">
        <v>94.4</v>
      </c>
      <c r="F11" s="1120" t="s">
        <v>966</v>
      </c>
      <c r="G11" s="282">
        <f>C11*E11*1000</f>
        <v>3964800</v>
      </c>
      <c r="H11" s="1120" t="s">
        <v>966</v>
      </c>
      <c r="I11" s="1123">
        <f>G11/1000*10^-6</f>
        <v>3.9648000000000001E-3</v>
      </c>
      <c r="J11" s="1120" t="s">
        <v>966</v>
      </c>
      <c r="K11" s="283">
        <f t="shared" ref="K11:K19" si="0">(I11*21)*(12/44)</f>
        <v>2.2707490909090907E-2</v>
      </c>
      <c r="L11" s="1120" t="s">
        <v>966</v>
      </c>
      <c r="M11" s="1124">
        <f t="shared" ref="M11:M19" si="1">K11/(12/44)</f>
        <v>8.3260799999999996E-2</v>
      </c>
    </row>
    <row r="12" spans="1:19">
      <c r="B12" s="1122" t="s">
        <v>563</v>
      </c>
      <c r="C12" s="284">
        <v>10</v>
      </c>
      <c r="D12" s="1120" t="s">
        <v>965</v>
      </c>
      <c r="E12" s="281">
        <v>66.7</v>
      </c>
      <c r="F12" s="1120" t="s">
        <v>966</v>
      </c>
      <c r="G12" s="282">
        <f t="shared" ref="G12:G19" si="2">C12*E12*1000</f>
        <v>667000</v>
      </c>
      <c r="H12" s="1120" t="s">
        <v>966</v>
      </c>
      <c r="I12" s="1123">
        <f t="shared" ref="I12:I19" si="3">G12/1000*10^-6</f>
        <v>6.6699999999999995E-4</v>
      </c>
      <c r="J12" s="1120" t="s">
        <v>966</v>
      </c>
      <c r="K12" s="283">
        <f t="shared" si="0"/>
        <v>3.8200909090909084E-3</v>
      </c>
      <c r="L12" s="1120" t="s">
        <v>966</v>
      </c>
      <c r="M12" s="1124">
        <f t="shared" si="1"/>
        <v>1.4006999999999999E-2</v>
      </c>
    </row>
    <row r="13" spans="1:19">
      <c r="B13" s="1125" t="s">
        <v>527</v>
      </c>
      <c r="C13" s="284">
        <v>0</v>
      </c>
      <c r="D13" s="1120" t="s">
        <v>965</v>
      </c>
      <c r="E13" s="281">
        <v>59.9</v>
      </c>
      <c r="F13" s="1120" t="s">
        <v>966</v>
      </c>
      <c r="G13" s="282">
        <f t="shared" si="2"/>
        <v>0</v>
      </c>
      <c r="H13" s="1120" t="s">
        <v>966</v>
      </c>
      <c r="I13" s="1123">
        <f t="shared" si="3"/>
        <v>0</v>
      </c>
      <c r="J13" s="1120" t="s">
        <v>966</v>
      </c>
      <c r="K13" s="283">
        <f t="shared" si="0"/>
        <v>0</v>
      </c>
      <c r="L13" s="1120" t="s">
        <v>966</v>
      </c>
      <c r="M13" s="1124">
        <f t="shared" si="1"/>
        <v>0</v>
      </c>
    </row>
    <row r="14" spans="1:19">
      <c r="B14" s="1125" t="s">
        <v>528</v>
      </c>
      <c r="C14" s="284">
        <v>0</v>
      </c>
      <c r="D14" s="1120" t="s">
        <v>965</v>
      </c>
      <c r="E14" s="281">
        <v>69.400000000000006</v>
      </c>
      <c r="F14" s="1120" t="s">
        <v>966</v>
      </c>
      <c r="G14" s="282">
        <f t="shared" si="2"/>
        <v>0</v>
      </c>
      <c r="H14" s="1120" t="s">
        <v>966</v>
      </c>
      <c r="I14" s="1123">
        <f t="shared" si="3"/>
        <v>0</v>
      </c>
      <c r="J14" s="1120" t="s">
        <v>966</v>
      </c>
      <c r="K14" s="283">
        <f t="shared" si="0"/>
        <v>0</v>
      </c>
      <c r="L14" s="1120" t="s">
        <v>966</v>
      </c>
      <c r="M14" s="1124">
        <f t="shared" si="1"/>
        <v>0</v>
      </c>
    </row>
    <row r="15" spans="1:19">
      <c r="B15" s="1122" t="s">
        <v>564</v>
      </c>
      <c r="C15" s="284">
        <v>10</v>
      </c>
      <c r="D15" s="1120" t="s">
        <v>965</v>
      </c>
      <c r="E15" s="281">
        <v>60.1</v>
      </c>
      <c r="F15" s="1120" t="s">
        <v>966</v>
      </c>
      <c r="G15" s="282">
        <f t="shared" si="2"/>
        <v>601000</v>
      </c>
      <c r="H15" s="1120" t="s">
        <v>966</v>
      </c>
      <c r="I15" s="1123">
        <f t="shared" si="3"/>
        <v>6.0099999999999997E-4</v>
      </c>
      <c r="J15" s="1120" t="s">
        <v>966</v>
      </c>
      <c r="K15" s="283">
        <f t="shared" si="0"/>
        <v>3.442090909090909E-3</v>
      </c>
      <c r="L15" s="1120" t="s">
        <v>966</v>
      </c>
      <c r="M15" s="1124">
        <f t="shared" si="1"/>
        <v>1.2621E-2</v>
      </c>
    </row>
    <row r="16" spans="1:19">
      <c r="B16" s="1122" t="s">
        <v>565</v>
      </c>
      <c r="C16" s="284">
        <v>15</v>
      </c>
      <c r="D16" s="1120" t="s">
        <v>965</v>
      </c>
      <c r="E16" s="281">
        <v>57.9</v>
      </c>
      <c r="F16" s="1120" t="s">
        <v>966</v>
      </c>
      <c r="G16" s="282">
        <f t="shared" si="2"/>
        <v>868500</v>
      </c>
      <c r="H16" s="1120" t="s">
        <v>966</v>
      </c>
      <c r="I16" s="1123">
        <f t="shared" si="3"/>
        <v>8.6849999999999991E-4</v>
      </c>
      <c r="J16" s="1120" t="s">
        <v>966</v>
      </c>
      <c r="K16" s="283">
        <f t="shared" si="0"/>
        <v>4.9741363636363629E-3</v>
      </c>
      <c r="L16" s="1120" t="s">
        <v>966</v>
      </c>
      <c r="M16" s="1124">
        <f t="shared" si="1"/>
        <v>1.8238499999999998E-2</v>
      </c>
    </row>
    <row r="17" spans="2:24">
      <c r="B17" s="1122" t="s">
        <v>566</v>
      </c>
      <c r="C17" s="813">
        <v>3.9119999999999999</v>
      </c>
      <c r="D17" s="1120" t="s">
        <v>965</v>
      </c>
      <c r="E17" s="281">
        <v>43.2</v>
      </c>
      <c r="F17" s="1120" t="s">
        <v>966</v>
      </c>
      <c r="G17" s="282">
        <f t="shared" si="2"/>
        <v>168998.39999999999</v>
      </c>
      <c r="H17" s="1120" t="s">
        <v>966</v>
      </c>
      <c r="I17" s="1123">
        <f t="shared" si="3"/>
        <v>1.6899839999999998E-4</v>
      </c>
      <c r="J17" s="1120" t="s">
        <v>966</v>
      </c>
      <c r="K17" s="283">
        <f t="shared" si="0"/>
        <v>9.6789992727272717E-4</v>
      </c>
      <c r="L17" s="1120" t="s">
        <v>966</v>
      </c>
      <c r="M17" s="1124">
        <f t="shared" si="1"/>
        <v>3.5489663999999999E-3</v>
      </c>
    </row>
    <row r="18" spans="2:24">
      <c r="B18" s="1122" t="s">
        <v>567</v>
      </c>
      <c r="C18" s="813">
        <v>7.3949999999999996</v>
      </c>
      <c r="D18" s="1120" t="s">
        <v>965</v>
      </c>
      <c r="E18" s="281">
        <v>42</v>
      </c>
      <c r="F18" s="1120" t="s">
        <v>966</v>
      </c>
      <c r="G18" s="282">
        <f t="shared" si="2"/>
        <v>310590</v>
      </c>
      <c r="H18" s="1120" t="s">
        <v>966</v>
      </c>
      <c r="I18" s="1123">
        <f t="shared" si="3"/>
        <v>3.1058999999999997E-4</v>
      </c>
      <c r="J18" s="1120" t="s">
        <v>966</v>
      </c>
      <c r="K18" s="283">
        <f t="shared" si="0"/>
        <v>1.7788336363636361E-3</v>
      </c>
      <c r="L18" s="1120" t="s">
        <v>966</v>
      </c>
      <c r="M18" s="1124">
        <f t="shared" si="1"/>
        <v>6.5223899999999994E-3</v>
      </c>
    </row>
    <row r="19" spans="2:24">
      <c r="B19" s="1122" t="s">
        <v>568</v>
      </c>
      <c r="C19" s="284">
        <v>4</v>
      </c>
      <c r="D19" s="1120" t="s">
        <v>965</v>
      </c>
      <c r="E19" s="281">
        <v>97.6</v>
      </c>
      <c r="F19" s="1120" t="s">
        <v>966</v>
      </c>
      <c r="G19" s="282">
        <f t="shared" si="2"/>
        <v>390400</v>
      </c>
      <c r="H19" s="1120" t="s">
        <v>966</v>
      </c>
      <c r="I19" s="1123">
        <f t="shared" si="3"/>
        <v>3.9039999999999995E-4</v>
      </c>
      <c r="J19" s="1120" t="s">
        <v>966</v>
      </c>
      <c r="K19" s="283">
        <f t="shared" si="0"/>
        <v>2.2359272727272722E-3</v>
      </c>
      <c r="L19" s="1120" t="s">
        <v>966</v>
      </c>
      <c r="M19" s="1124">
        <f t="shared" si="1"/>
        <v>8.1983999999999981E-3</v>
      </c>
    </row>
    <row r="20" spans="2:24">
      <c r="B20" s="1128" t="s">
        <v>183</v>
      </c>
      <c r="C20" s="1129"/>
      <c r="D20" s="1120"/>
      <c r="E20" s="281"/>
      <c r="F20" s="1120"/>
      <c r="G20" s="282"/>
      <c r="H20" s="1120"/>
      <c r="I20" s="1123"/>
      <c r="J20" s="1120"/>
      <c r="K20" s="283"/>
      <c r="L20" s="1120"/>
      <c r="M20" s="1124"/>
    </row>
    <row r="21" spans="2:24">
      <c r="B21" s="1127" t="s">
        <v>569</v>
      </c>
      <c r="C21" s="813">
        <v>24</v>
      </c>
      <c r="D21" s="1120" t="s">
        <v>965</v>
      </c>
      <c r="E21" s="281">
        <v>8</v>
      </c>
      <c r="F21" s="1120" t="s">
        <v>966</v>
      </c>
      <c r="G21" s="282">
        <f>C21*E21*1000</f>
        <v>192000</v>
      </c>
      <c r="H21" s="1120" t="s">
        <v>966</v>
      </c>
      <c r="I21" s="1123">
        <f>G21/1000*10^-6</f>
        <v>1.92E-4</v>
      </c>
      <c r="J21" s="1120" t="s">
        <v>966</v>
      </c>
      <c r="K21" s="283">
        <f>(I21*21)*(12/44)</f>
        <v>1.0996363636363636E-3</v>
      </c>
      <c r="L21" s="1120" t="s">
        <v>966</v>
      </c>
      <c r="M21" s="1124">
        <f>K21/(12/44)</f>
        <v>4.032E-3</v>
      </c>
    </row>
    <row r="22" spans="2:24">
      <c r="B22" s="1127" t="s">
        <v>570</v>
      </c>
      <c r="C22" s="284">
        <v>12</v>
      </c>
      <c r="D22" s="1120" t="s">
        <v>965</v>
      </c>
      <c r="E22" s="281">
        <v>5</v>
      </c>
      <c r="F22" s="1120" t="s">
        <v>966</v>
      </c>
      <c r="G22" s="282">
        <f>C22*E22*1000</f>
        <v>60000</v>
      </c>
      <c r="H22" s="1120" t="s">
        <v>966</v>
      </c>
      <c r="I22" s="1123">
        <f>G22/1000*10^-6</f>
        <v>5.9999999999999995E-5</v>
      </c>
      <c r="J22" s="1120" t="s">
        <v>966</v>
      </c>
      <c r="K22" s="283">
        <f>(I22*21)*(12/44)</f>
        <v>3.4363636363636356E-4</v>
      </c>
      <c r="L22" s="1120" t="s">
        <v>966</v>
      </c>
      <c r="M22" s="1124">
        <f>K22/(12/44)</f>
        <v>1.2599999999999998E-3</v>
      </c>
    </row>
    <row r="23" spans="2:24">
      <c r="B23" s="1127" t="s">
        <v>571</v>
      </c>
      <c r="C23" s="284">
        <v>23</v>
      </c>
      <c r="D23" s="1120" t="s">
        <v>965</v>
      </c>
      <c r="E23" s="281">
        <v>1.5</v>
      </c>
      <c r="F23" s="1120" t="s">
        <v>966</v>
      </c>
      <c r="G23" s="282">
        <f>C23*E23*1000</f>
        <v>34500</v>
      </c>
      <c r="H23" s="1120" t="s">
        <v>966</v>
      </c>
      <c r="I23" s="1123">
        <f>G23/1000*10^-6</f>
        <v>3.4499999999999998E-5</v>
      </c>
      <c r="J23" s="1120" t="s">
        <v>966</v>
      </c>
      <c r="K23" s="283">
        <f>(I23*21)*(12/44)</f>
        <v>1.9759090909090906E-4</v>
      </c>
      <c r="L23" s="1120" t="s">
        <v>966</v>
      </c>
      <c r="M23" s="1124">
        <f>K23/(12/44)</f>
        <v>7.2449999999999999E-4</v>
      </c>
    </row>
    <row r="24" spans="2:24">
      <c r="B24" s="1127" t="s">
        <v>572</v>
      </c>
      <c r="C24" s="813">
        <v>79.099999999999994</v>
      </c>
      <c r="D24" s="1120" t="s">
        <v>965</v>
      </c>
      <c r="E24" s="281">
        <v>18</v>
      </c>
      <c r="F24" s="1120" t="s">
        <v>966</v>
      </c>
      <c r="G24" s="282">
        <f>C24*E24*1000</f>
        <v>1423800</v>
      </c>
      <c r="H24" s="1120" t="s">
        <v>966</v>
      </c>
      <c r="I24" s="1123">
        <f>G24/1000*10^-6</f>
        <v>1.4237999999999998E-3</v>
      </c>
      <c r="J24" s="1120" t="s">
        <v>966</v>
      </c>
      <c r="K24" s="283">
        <f>(I24*21)*(12/44)</f>
        <v>8.1544909090909071E-3</v>
      </c>
      <c r="L24" s="1120" t="s">
        <v>966</v>
      </c>
      <c r="M24" s="1124">
        <f>K24/(12/44)</f>
        <v>2.9899799999999994E-2</v>
      </c>
    </row>
    <row r="25" spans="2:24" ht="12" thickBot="1">
      <c r="B25" s="1130" t="s">
        <v>180</v>
      </c>
      <c r="C25" s="1131"/>
      <c r="D25" s="1132"/>
      <c r="E25" s="1132"/>
      <c r="F25" s="1132"/>
      <c r="G25" s="1133">
        <f>SUM(G6:G24)</f>
        <v>18188088.399999999</v>
      </c>
      <c r="H25" s="1134"/>
      <c r="I25" s="1135">
        <f>SUM(I6:I24)</f>
        <v>1.8188088399999996E-2</v>
      </c>
      <c r="J25" s="1134"/>
      <c r="K25" s="1081">
        <f>SUM(K6:K24)</f>
        <v>0.10416814265454544</v>
      </c>
      <c r="L25" s="1136"/>
      <c r="M25" s="1137">
        <f>SUM(M6:M24)</f>
        <v>0.38194985639999995</v>
      </c>
    </row>
    <row r="26" spans="2:24">
      <c r="B26" s="1111"/>
      <c r="C26" s="85"/>
      <c r="D26" s="1110"/>
      <c r="E26" s="1110"/>
      <c r="F26" s="1110"/>
      <c r="G26" s="326"/>
      <c r="H26" s="46"/>
      <c r="I26" s="1112"/>
      <c r="J26" s="46"/>
      <c r="K26" s="1113"/>
      <c r="L26" s="5"/>
      <c r="M26" s="1113"/>
    </row>
    <row r="27" spans="2:24">
      <c r="B27" s="1111"/>
      <c r="C27" s="85"/>
      <c r="D27" s="1110"/>
      <c r="E27" s="1110"/>
      <c r="F27" s="1110"/>
      <c r="G27" s="326"/>
      <c r="H27" s="46"/>
      <c r="I27" s="1112"/>
      <c r="J27" s="46"/>
      <c r="K27" s="1113"/>
      <c r="L27" s="5"/>
      <c r="M27" s="1113"/>
    </row>
    <row r="28" spans="2:24" ht="12" thickBot="1">
      <c r="B28" s="288"/>
      <c r="C28" s="289"/>
      <c r="D28" s="290"/>
      <c r="E28" s="290"/>
      <c r="F28" s="290"/>
      <c r="G28" s="291"/>
      <c r="H28" s="292"/>
      <c r="I28" s="293"/>
      <c r="J28" s="292"/>
      <c r="K28" s="294"/>
      <c r="L28" s="7"/>
      <c r="M28" s="294"/>
      <c r="N28" s="7"/>
      <c r="O28" s="7"/>
      <c r="P28" s="7"/>
      <c r="Q28" s="7"/>
      <c r="R28" s="7"/>
      <c r="S28" s="7"/>
      <c r="T28" s="7"/>
      <c r="U28" s="7"/>
      <c r="V28" s="7"/>
      <c r="W28" s="7"/>
    </row>
    <row r="29" spans="2:24" ht="19.5">
      <c r="B29" s="1114" t="s">
        <v>578</v>
      </c>
      <c r="C29" s="1141"/>
      <c r="D29" s="1142"/>
      <c r="E29" s="1142"/>
      <c r="F29" s="1142"/>
      <c r="G29" s="1143"/>
      <c r="H29" s="1144"/>
      <c r="I29" s="1145"/>
      <c r="J29" s="1144"/>
      <c r="K29" s="1146"/>
      <c r="L29" s="1115"/>
      <c r="M29" s="1146"/>
      <c r="N29" s="1115"/>
      <c r="O29" s="1115"/>
      <c r="P29" s="1115"/>
      <c r="Q29" s="1115"/>
      <c r="R29" s="1115"/>
      <c r="S29" s="1115"/>
      <c r="T29" s="1115"/>
      <c r="U29" s="1115"/>
      <c r="V29" s="1115"/>
      <c r="W29" s="1116"/>
      <c r="X29" s="16"/>
    </row>
    <row r="30" spans="2:24" ht="46.5" thickBot="1">
      <c r="B30" s="1180"/>
      <c r="C30" s="1181" t="s">
        <v>580</v>
      </c>
      <c r="D30" s="1182"/>
      <c r="E30" s="1181" t="s">
        <v>581</v>
      </c>
      <c r="F30" s="1181"/>
      <c r="G30" s="1183" t="s">
        <v>582</v>
      </c>
      <c r="H30" s="1183"/>
      <c r="I30" s="1181" t="s">
        <v>583</v>
      </c>
      <c r="J30" s="1184"/>
      <c r="K30" s="1181" t="s">
        <v>584</v>
      </c>
      <c r="L30" s="1181"/>
      <c r="M30" s="1181" t="s">
        <v>585</v>
      </c>
      <c r="N30" s="1181"/>
      <c r="O30" s="1185" t="s">
        <v>586</v>
      </c>
      <c r="P30" s="1185"/>
      <c r="Q30" s="1185" t="s">
        <v>587</v>
      </c>
      <c r="R30" s="1181"/>
      <c r="S30" s="1185" t="s">
        <v>588</v>
      </c>
      <c r="T30" s="1181"/>
      <c r="U30" s="1185" t="s">
        <v>589</v>
      </c>
      <c r="V30" s="1181"/>
      <c r="W30" s="1186" t="s">
        <v>590</v>
      </c>
    </row>
    <row r="31" spans="2:24" ht="15">
      <c r="B31" s="1179" t="s">
        <v>524</v>
      </c>
      <c r="C31" s="3158"/>
      <c r="D31" s="3159"/>
      <c r="E31" s="3160"/>
      <c r="F31" s="3159"/>
      <c r="G31" s="3159"/>
      <c r="H31" s="3159"/>
      <c r="I31" s="3161"/>
      <c r="J31" s="3161"/>
      <c r="K31" s="3161"/>
      <c r="L31" s="3161"/>
      <c r="M31" s="3162"/>
      <c r="N31" s="3161"/>
      <c r="O31" s="3163"/>
      <c r="P31" s="3164"/>
      <c r="Q31" s="3165"/>
      <c r="R31" s="3161"/>
      <c r="S31" s="3166"/>
      <c r="T31" s="3161"/>
      <c r="U31" s="3166"/>
      <c r="V31" s="3161"/>
      <c r="W31" s="3167"/>
    </row>
    <row r="32" spans="2:24">
      <c r="B32" s="1149" t="s">
        <v>525</v>
      </c>
      <c r="C32" s="814">
        <v>53</v>
      </c>
      <c r="D32" s="304" t="s">
        <v>965</v>
      </c>
      <c r="E32" s="295">
        <v>680</v>
      </c>
      <c r="F32" s="304" t="s">
        <v>965</v>
      </c>
      <c r="G32" s="296">
        <v>9.9102243378572403</v>
      </c>
      <c r="H32" s="304" t="s">
        <v>966</v>
      </c>
      <c r="I32" s="297">
        <f>C32*E32*G32*365</f>
        <v>130365037.07477686</v>
      </c>
      <c r="J32" s="304" t="s">
        <v>965</v>
      </c>
      <c r="K32" s="303">
        <v>0.24</v>
      </c>
      <c r="L32" s="1150" t="s">
        <v>965</v>
      </c>
      <c r="M32" s="298">
        <v>0.11818290022824871</v>
      </c>
      <c r="N32" s="1150" t="s">
        <v>966</v>
      </c>
      <c r="O32" s="299">
        <f>(I32*K32)*M32</f>
        <v>3697660.3607664709</v>
      </c>
      <c r="P32" s="304" t="s">
        <v>966</v>
      </c>
      <c r="Q32" s="300">
        <f>O32*0.000662</f>
        <v>2447.8511588274041</v>
      </c>
      <c r="R32" s="304" t="s">
        <v>966</v>
      </c>
      <c r="S32" s="301">
        <f>Q32/1000000</f>
        <v>2.4478511588274039E-3</v>
      </c>
      <c r="T32" s="304" t="s">
        <v>966</v>
      </c>
      <c r="U32" s="302">
        <f>(S32*21)*12/44</f>
        <v>1.4019511182375129E-2</v>
      </c>
      <c r="V32" s="304" t="s">
        <v>966</v>
      </c>
      <c r="W32" s="1151">
        <f>U32/(12/44)</f>
        <v>5.1404874335375474E-2</v>
      </c>
    </row>
    <row r="33" spans="2:23">
      <c r="B33" s="1152" t="s">
        <v>526</v>
      </c>
      <c r="C33" s="814">
        <v>28</v>
      </c>
      <c r="D33" s="304" t="s">
        <v>965</v>
      </c>
      <c r="E33" s="295">
        <v>476</v>
      </c>
      <c r="F33" s="304" t="s">
        <v>965</v>
      </c>
      <c r="G33" s="296">
        <v>8.4234562108475171</v>
      </c>
      <c r="H33" s="304" t="s">
        <v>966</v>
      </c>
      <c r="I33" s="297">
        <f>C33*E33*G33*365</f>
        <v>40977755.898034133</v>
      </c>
      <c r="J33" s="304" t="s">
        <v>965</v>
      </c>
      <c r="K33" s="303">
        <v>0.17</v>
      </c>
      <c r="L33" s="1150" t="s">
        <v>965</v>
      </c>
      <c r="M33" s="298">
        <v>1.2467660091668786E-2</v>
      </c>
      <c r="N33" s="1150" t="s">
        <v>966</v>
      </c>
      <c r="O33" s="299">
        <f>(I33*K33)*M33</f>
        <v>86852.444415531107</v>
      </c>
      <c r="P33" s="304" t="s">
        <v>966</v>
      </c>
      <c r="Q33" s="300">
        <f>O33*0.000662</f>
        <v>57.4963182030816</v>
      </c>
      <c r="R33" s="304" t="s">
        <v>966</v>
      </c>
      <c r="S33" s="301">
        <f>Q33/1000000</f>
        <v>5.74963182030816E-5</v>
      </c>
      <c r="T33" s="304" t="s">
        <v>966</v>
      </c>
      <c r="U33" s="302">
        <f>(S33*21)*12/44</f>
        <v>3.2929709516310368E-4</v>
      </c>
      <c r="V33" s="304" t="s">
        <v>966</v>
      </c>
      <c r="W33" s="1151">
        <f>U33/(12/44)</f>
        <v>1.2074226822647136E-3</v>
      </c>
    </row>
    <row r="34" spans="2:23">
      <c r="B34" s="1153" t="s">
        <v>560</v>
      </c>
      <c r="C34" s="3168"/>
      <c r="D34" s="3169"/>
      <c r="E34" s="3170"/>
      <c r="F34" s="3169"/>
      <c r="G34" s="3171"/>
      <c r="H34" s="3169"/>
      <c r="I34" s="3172"/>
      <c r="J34" s="3169"/>
      <c r="K34" s="3173"/>
      <c r="L34" s="3169"/>
      <c r="M34" s="3169"/>
      <c r="N34" s="3169"/>
      <c r="O34" s="3172"/>
      <c r="P34" s="3169"/>
      <c r="Q34" s="3174"/>
      <c r="R34" s="3169"/>
      <c r="S34" s="3175"/>
      <c r="T34" s="3169"/>
      <c r="U34" s="3176"/>
      <c r="V34" s="3169"/>
      <c r="W34" s="3177"/>
    </row>
    <row r="35" spans="2:23">
      <c r="B35" s="1152" t="s">
        <v>566</v>
      </c>
      <c r="C35" s="1004">
        <v>3.9119999999999999</v>
      </c>
      <c r="D35" s="304" t="s">
        <v>965</v>
      </c>
      <c r="E35" s="295">
        <v>420</v>
      </c>
      <c r="F35" s="304" t="s">
        <v>965</v>
      </c>
      <c r="G35" s="296">
        <v>4.4494891690016054</v>
      </c>
      <c r="H35" s="304" t="s">
        <v>966</v>
      </c>
      <c r="I35" s="297">
        <f t="shared" ref="I35:I42" si="4">C35*E35*G35*365</f>
        <v>2668401.369746285</v>
      </c>
      <c r="J35" s="304" t="s">
        <v>965</v>
      </c>
      <c r="K35" s="303">
        <v>0.33</v>
      </c>
      <c r="L35" s="304" t="s">
        <v>965</v>
      </c>
      <c r="M35" s="298">
        <v>1.3123459123854105E-2</v>
      </c>
      <c r="N35" s="304" t="s">
        <v>966</v>
      </c>
      <c r="O35" s="297">
        <f t="shared" ref="O35:O42" si="5">(I35*K35)*M35</f>
        <v>11556.156579627554</v>
      </c>
      <c r="P35" s="304" t="s">
        <v>966</v>
      </c>
      <c r="Q35" s="300">
        <f t="shared" ref="Q35:Q42" si="6">O35*0.000662</f>
        <v>7.6501756557134408</v>
      </c>
      <c r="R35" s="1155" t="s">
        <v>966</v>
      </c>
      <c r="S35" s="301">
        <f t="shared" ref="S35:S42" si="7">Q35/1000000</f>
        <v>7.650175655713441E-6</v>
      </c>
      <c r="T35" s="1155" t="s">
        <v>966</v>
      </c>
      <c r="U35" s="302">
        <f t="shared" ref="U35:U42" si="8">(S35*21)*12/44</f>
        <v>4.3814642391813345E-5</v>
      </c>
      <c r="V35" s="1155" t="s">
        <v>966</v>
      </c>
      <c r="W35" s="1151">
        <f t="shared" ref="W35:W42" si="9">U35/(12/44)</f>
        <v>1.6065368876998229E-4</v>
      </c>
    </row>
    <row r="36" spans="2:23">
      <c r="B36" s="1152" t="s">
        <v>567</v>
      </c>
      <c r="C36" s="1004">
        <v>7.3949999999999996</v>
      </c>
      <c r="D36" s="304" t="s">
        <v>965</v>
      </c>
      <c r="E36" s="295">
        <v>420</v>
      </c>
      <c r="F36" s="304" t="s">
        <v>965</v>
      </c>
      <c r="G36" s="296">
        <v>4.0511716824525843</v>
      </c>
      <c r="H36" s="304" t="s">
        <v>966</v>
      </c>
      <c r="I36" s="297">
        <f t="shared" si="4"/>
        <v>4592624.9569132598</v>
      </c>
      <c r="J36" s="304" t="s">
        <v>965</v>
      </c>
      <c r="K36" s="303">
        <v>0.33</v>
      </c>
      <c r="L36" s="304" t="s">
        <v>965</v>
      </c>
      <c r="M36" s="298">
        <v>1.2974017738876182E-2</v>
      </c>
      <c r="N36" s="304" t="s">
        <v>966</v>
      </c>
      <c r="O36" s="297">
        <f t="shared" si="5"/>
        <v>19662.983227469373</v>
      </c>
      <c r="P36" s="304" t="s">
        <v>966</v>
      </c>
      <c r="Q36" s="300">
        <f t="shared" si="6"/>
        <v>13.016894896584725</v>
      </c>
      <c r="R36" s="1155" t="s">
        <v>966</v>
      </c>
      <c r="S36" s="301">
        <f t="shared" si="7"/>
        <v>1.3016894896584725E-5</v>
      </c>
      <c r="T36" s="1155" t="s">
        <v>966</v>
      </c>
      <c r="U36" s="302">
        <f t="shared" si="8"/>
        <v>7.4551307134985249E-5</v>
      </c>
      <c r="V36" s="1155" t="s">
        <v>966</v>
      </c>
      <c r="W36" s="1151">
        <f t="shared" si="9"/>
        <v>2.7335479282827928E-4</v>
      </c>
    </row>
    <row r="37" spans="2:23">
      <c r="B37" s="1152" t="s">
        <v>568</v>
      </c>
      <c r="C37" s="814">
        <v>4</v>
      </c>
      <c r="D37" s="304" t="s">
        <v>965</v>
      </c>
      <c r="E37" s="295">
        <v>750</v>
      </c>
      <c r="F37" s="304" t="s">
        <v>965</v>
      </c>
      <c r="G37" s="296">
        <v>6.04</v>
      </c>
      <c r="H37" s="304" t="s">
        <v>966</v>
      </c>
      <c r="I37" s="297">
        <f t="shared" si="4"/>
        <v>6613800</v>
      </c>
      <c r="J37" s="304" t="s">
        <v>965</v>
      </c>
      <c r="K37" s="303">
        <v>0.17</v>
      </c>
      <c r="L37" s="304" t="s">
        <v>965</v>
      </c>
      <c r="M37" s="298">
        <v>1.0999999999999999E-2</v>
      </c>
      <c r="N37" s="304" t="s">
        <v>966</v>
      </c>
      <c r="O37" s="297">
        <f t="shared" si="5"/>
        <v>12367.805999999999</v>
      </c>
      <c r="P37" s="304" t="s">
        <v>966</v>
      </c>
      <c r="Q37" s="300">
        <f t="shared" si="6"/>
        <v>8.1874875720000002</v>
      </c>
      <c r="R37" s="1155" t="s">
        <v>966</v>
      </c>
      <c r="S37" s="301">
        <f t="shared" si="7"/>
        <v>8.187487572000001E-6</v>
      </c>
      <c r="T37" s="1155" t="s">
        <v>966</v>
      </c>
      <c r="U37" s="302">
        <f t="shared" si="8"/>
        <v>4.6891974276000007E-5</v>
      </c>
      <c r="V37" s="1155" t="s">
        <v>966</v>
      </c>
      <c r="W37" s="1151">
        <f t="shared" si="9"/>
        <v>1.7193723901200004E-4</v>
      </c>
    </row>
    <row r="38" spans="2:23">
      <c r="B38" s="1152" t="s">
        <v>591</v>
      </c>
      <c r="C38" s="814">
        <v>36</v>
      </c>
      <c r="D38" s="304" t="s">
        <v>965</v>
      </c>
      <c r="E38" s="295">
        <v>118</v>
      </c>
      <c r="F38" s="304" t="s">
        <v>965</v>
      </c>
      <c r="G38" s="296">
        <v>6.41</v>
      </c>
      <c r="H38" s="304" t="s">
        <v>966</v>
      </c>
      <c r="I38" s="297">
        <f t="shared" si="4"/>
        <v>9938833.1999999993</v>
      </c>
      <c r="J38" s="304" t="s">
        <v>965</v>
      </c>
      <c r="K38" s="303">
        <v>0.17</v>
      </c>
      <c r="L38" s="304" t="s">
        <v>965</v>
      </c>
      <c r="M38" s="298">
        <v>1.0999999999999999E-2</v>
      </c>
      <c r="N38" s="304" t="s">
        <v>966</v>
      </c>
      <c r="O38" s="297">
        <f t="shared" si="5"/>
        <v>18585.618084000002</v>
      </c>
      <c r="P38" s="304" t="s">
        <v>966</v>
      </c>
      <c r="Q38" s="300">
        <f t="shared" si="6"/>
        <v>12.303679171608001</v>
      </c>
      <c r="R38" s="1155" t="s">
        <v>966</v>
      </c>
      <c r="S38" s="301">
        <f t="shared" si="7"/>
        <v>1.2303679171608001E-5</v>
      </c>
      <c r="T38" s="1155" t="s">
        <v>966</v>
      </c>
      <c r="U38" s="302">
        <f t="shared" si="8"/>
        <v>7.0466526164664003E-5</v>
      </c>
      <c r="V38" s="1155" t="s">
        <v>966</v>
      </c>
      <c r="W38" s="1151">
        <f t="shared" si="9"/>
        <v>2.5837726260376801E-4</v>
      </c>
    </row>
    <row r="39" spans="2:23">
      <c r="B39" s="1152" t="s">
        <v>561</v>
      </c>
      <c r="C39" s="814">
        <v>42</v>
      </c>
      <c r="D39" s="304" t="s">
        <v>965</v>
      </c>
      <c r="E39" s="295">
        <v>533</v>
      </c>
      <c r="F39" s="304" t="s">
        <v>965</v>
      </c>
      <c r="G39" s="296">
        <v>7.4944796348701379</v>
      </c>
      <c r="H39" s="304" t="s">
        <v>966</v>
      </c>
      <c r="I39" s="297">
        <f t="shared" si="4"/>
        <v>61236568.703764059</v>
      </c>
      <c r="J39" s="304" t="s">
        <v>965</v>
      </c>
      <c r="K39" s="303">
        <v>0.17</v>
      </c>
      <c r="L39" s="304" t="s">
        <v>965</v>
      </c>
      <c r="M39" s="298">
        <v>1.0999999999999999E-2</v>
      </c>
      <c r="N39" s="304" t="s">
        <v>966</v>
      </c>
      <c r="O39" s="297">
        <f t="shared" si="5"/>
        <v>114512.3834760388</v>
      </c>
      <c r="P39" s="304" t="s">
        <v>966</v>
      </c>
      <c r="Q39" s="300">
        <f t="shared" si="6"/>
        <v>75.807197861137695</v>
      </c>
      <c r="R39" s="1155" t="s">
        <v>966</v>
      </c>
      <c r="S39" s="301">
        <f t="shared" si="7"/>
        <v>7.5807197861137699E-5</v>
      </c>
      <c r="T39" s="1155" t="s">
        <v>966</v>
      </c>
      <c r="U39" s="302">
        <f t="shared" si="8"/>
        <v>4.3416849684106142E-4</v>
      </c>
      <c r="V39" s="1155" t="s">
        <v>966</v>
      </c>
      <c r="W39" s="1151">
        <f t="shared" si="9"/>
        <v>1.591951155083892E-3</v>
      </c>
    </row>
    <row r="40" spans="2:23">
      <c r="B40" s="1152" t="s">
        <v>563</v>
      </c>
      <c r="C40" s="814">
        <v>10</v>
      </c>
      <c r="D40" s="304" t="s">
        <v>965</v>
      </c>
      <c r="E40" s="295">
        <v>420</v>
      </c>
      <c r="F40" s="304" t="s">
        <v>965</v>
      </c>
      <c r="G40" s="296">
        <v>7.5904766546383824</v>
      </c>
      <c r="H40" s="304" t="s">
        <v>966</v>
      </c>
      <c r="I40" s="297">
        <f t="shared" si="4"/>
        <v>11636200.71156064</v>
      </c>
      <c r="J40" s="304" t="s">
        <v>965</v>
      </c>
      <c r="K40" s="303">
        <v>0.17</v>
      </c>
      <c r="L40" s="304" t="s">
        <v>965</v>
      </c>
      <c r="M40" s="298">
        <v>1.0999999999999999E-2</v>
      </c>
      <c r="N40" s="304" t="s">
        <v>966</v>
      </c>
      <c r="O40" s="297">
        <f t="shared" si="5"/>
        <v>21759.695330618397</v>
      </c>
      <c r="P40" s="304" t="s">
        <v>966</v>
      </c>
      <c r="Q40" s="300">
        <f t="shared" si="6"/>
        <v>14.40491830886938</v>
      </c>
      <c r="R40" s="1155" t="s">
        <v>966</v>
      </c>
      <c r="S40" s="301">
        <f t="shared" si="7"/>
        <v>1.4404918308869381E-5</v>
      </c>
      <c r="T40" s="1155" t="s">
        <v>966</v>
      </c>
      <c r="U40" s="302">
        <f t="shared" si="8"/>
        <v>8.2500895768979188E-5</v>
      </c>
      <c r="V40" s="1155" t="s">
        <v>966</v>
      </c>
      <c r="W40" s="1151">
        <f t="shared" si="9"/>
        <v>3.0250328448625706E-4</v>
      </c>
    </row>
    <row r="41" spans="2:23">
      <c r="B41" s="1152" t="s">
        <v>565</v>
      </c>
      <c r="C41" s="814">
        <v>15</v>
      </c>
      <c r="D41" s="304" t="s">
        <v>965</v>
      </c>
      <c r="E41" s="295">
        <v>318</v>
      </c>
      <c r="F41" s="304" t="s">
        <v>965</v>
      </c>
      <c r="G41" s="296">
        <v>8.057750625264946</v>
      </c>
      <c r="H41" s="304" t="s">
        <v>966</v>
      </c>
      <c r="I41" s="297">
        <f t="shared" si="4"/>
        <v>14028946.726117536</v>
      </c>
      <c r="J41" s="304" t="s">
        <v>965</v>
      </c>
      <c r="K41" s="303">
        <v>0.17</v>
      </c>
      <c r="L41" s="304" t="s">
        <v>965</v>
      </c>
      <c r="M41" s="298">
        <v>1.0999999999999999E-2</v>
      </c>
      <c r="N41" s="304" t="s">
        <v>966</v>
      </c>
      <c r="O41" s="297">
        <f t="shared" si="5"/>
        <v>26234.130377839796</v>
      </c>
      <c r="P41" s="1156" t="s">
        <v>966</v>
      </c>
      <c r="Q41" s="300">
        <f t="shared" si="6"/>
        <v>17.366994310129947</v>
      </c>
      <c r="R41" s="1155" t="s">
        <v>966</v>
      </c>
      <c r="S41" s="301">
        <f t="shared" si="7"/>
        <v>1.7366994310129948E-5</v>
      </c>
      <c r="T41" s="1155" t="s">
        <v>966</v>
      </c>
      <c r="U41" s="302">
        <f t="shared" si="8"/>
        <v>9.9465512867107897E-5</v>
      </c>
      <c r="V41" s="1155" t="s">
        <v>966</v>
      </c>
      <c r="W41" s="1151">
        <f t="shared" si="9"/>
        <v>3.6470688051272899E-4</v>
      </c>
    </row>
    <row r="42" spans="2:23">
      <c r="B42" s="1152" t="s">
        <v>564</v>
      </c>
      <c r="C42" s="814">
        <v>7</v>
      </c>
      <c r="D42" s="304" t="s">
        <v>965</v>
      </c>
      <c r="E42" s="295">
        <v>420</v>
      </c>
      <c r="F42" s="304" t="s">
        <v>965</v>
      </c>
      <c r="G42" s="296">
        <v>8.4906077943936555</v>
      </c>
      <c r="H42" s="304" t="s">
        <v>966</v>
      </c>
      <c r="I42" s="297">
        <f t="shared" si="4"/>
        <v>9111271.2241638321</v>
      </c>
      <c r="J42" s="304" t="s">
        <v>965</v>
      </c>
      <c r="K42" s="303">
        <v>0.17</v>
      </c>
      <c r="L42" s="304" t="s">
        <v>965</v>
      </c>
      <c r="M42" s="298">
        <v>1.0999999999999999E-2</v>
      </c>
      <c r="N42" s="304" t="s">
        <v>966</v>
      </c>
      <c r="O42" s="297">
        <f t="shared" si="5"/>
        <v>17038.077189186366</v>
      </c>
      <c r="P42" s="304" t="s">
        <v>966</v>
      </c>
      <c r="Q42" s="300">
        <f t="shared" si="6"/>
        <v>11.279207099241376</v>
      </c>
      <c r="R42" s="1155" t="s">
        <v>966</v>
      </c>
      <c r="S42" s="301">
        <f t="shared" si="7"/>
        <v>1.1279207099241375E-5</v>
      </c>
      <c r="T42" s="1155" t="s">
        <v>966</v>
      </c>
      <c r="U42" s="302">
        <f t="shared" si="8"/>
        <v>6.4599095204746047E-5</v>
      </c>
      <c r="V42" s="1155" t="s">
        <v>966</v>
      </c>
      <c r="W42" s="1151">
        <f t="shared" si="9"/>
        <v>2.3686334908406886E-4</v>
      </c>
    </row>
    <row r="43" spans="2:23">
      <c r="B43" s="1153" t="s">
        <v>571</v>
      </c>
      <c r="C43" s="3168"/>
      <c r="D43" s="3178"/>
      <c r="E43" s="3170"/>
      <c r="F43" s="3178"/>
      <c r="G43" s="3171"/>
      <c r="H43" s="3178"/>
      <c r="I43" s="3172"/>
      <c r="J43" s="3178"/>
      <c r="K43" s="3173"/>
      <c r="L43" s="3178"/>
      <c r="M43" s="3169"/>
      <c r="N43" s="3178"/>
      <c r="O43" s="3172"/>
      <c r="P43" s="3178"/>
      <c r="Q43" s="3174"/>
      <c r="R43" s="3179"/>
      <c r="S43" s="3175"/>
      <c r="T43" s="3179"/>
      <c r="U43" s="3176"/>
      <c r="V43" s="3179"/>
      <c r="W43" s="3177"/>
    </row>
    <row r="44" spans="2:23">
      <c r="B44" s="1152" t="s">
        <v>592</v>
      </c>
      <c r="C44" s="814">
        <v>2</v>
      </c>
      <c r="D44" s="304" t="s">
        <v>965</v>
      </c>
      <c r="E44" s="295">
        <v>198</v>
      </c>
      <c r="F44" s="304" t="s">
        <v>965</v>
      </c>
      <c r="G44" s="296">
        <v>2.6</v>
      </c>
      <c r="H44" s="304" t="s">
        <v>966</v>
      </c>
      <c r="I44" s="297">
        <f>C44*E44*G44*365</f>
        <v>375804.00000000006</v>
      </c>
      <c r="J44" s="304" t="s">
        <v>965</v>
      </c>
      <c r="K44" s="303">
        <v>0.48</v>
      </c>
      <c r="L44" s="304" t="s">
        <v>965</v>
      </c>
      <c r="M44" s="298">
        <v>0.30060131865467832</v>
      </c>
      <c r="N44" s="304" t="s">
        <v>966</v>
      </c>
      <c r="O44" s="297">
        <f>(I44*K44)*M44</f>
        <v>54224.245418737315</v>
      </c>
      <c r="P44" s="304" t="s">
        <v>966</v>
      </c>
      <c r="Q44" s="300">
        <f>O44*0.000662</f>
        <v>35.896450467204104</v>
      </c>
      <c r="R44" s="304" t="s">
        <v>966</v>
      </c>
      <c r="S44" s="301">
        <f>Q44/1000000</f>
        <v>3.5896450467204103E-5</v>
      </c>
      <c r="T44" s="304" t="s">
        <v>966</v>
      </c>
      <c r="U44" s="302">
        <f>(S44*21)*12/44</f>
        <v>2.0558876176671442E-4</v>
      </c>
      <c r="V44" s="304" t="s">
        <v>966</v>
      </c>
      <c r="W44" s="1151">
        <f>U44/(12/44)</f>
        <v>7.5382545981128623E-4</v>
      </c>
    </row>
    <row r="45" spans="2:23">
      <c r="B45" s="1152" t="s">
        <v>593</v>
      </c>
      <c r="C45" s="814">
        <v>9</v>
      </c>
      <c r="D45" s="304" t="s">
        <v>965</v>
      </c>
      <c r="E45" s="295">
        <v>15.88</v>
      </c>
      <c r="F45" s="304" t="s">
        <v>965</v>
      </c>
      <c r="G45" s="296">
        <v>8.8000000000000007</v>
      </c>
      <c r="H45" s="304" t="s">
        <v>966</v>
      </c>
      <c r="I45" s="297">
        <f>C45*E45*G45*365</f>
        <v>459059.04000000004</v>
      </c>
      <c r="J45" s="304" t="s">
        <v>965</v>
      </c>
      <c r="K45" s="303">
        <v>0.48</v>
      </c>
      <c r="L45" s="304" t="s">
        <v>965</v>
      </c>
      <c r="M45" s="298">
        <v>0.30016800271641908</v>
      </c>
      <c r="N45" s="304" t="s">
        <v>966</v>
      </c>
      <c r="O45" s="297">
        <f>(I45*K45)*M45</f>
        <v>66141.520879544041</v>
      </c>
      <c r="P45" s="304" t="s">
        <v>966</v>
      </c>
      <c r="Q45" s="300">
        <f>O45*0.000662</f>
        <v>43.785686822258157</v>
      </c>
      <c r="R45" s="304" t="s">
        <v>966</v>
      </c>
      <c r="S45" s="301">
        <f>Q45/1000000</f>
        <v>4.378568682225816E-5</v>
      </c>
      <c r="T45" s="304" t="s">
        <v>966</v>
      </c>
      <c r="U45" s="302">
        <f>(S45*21)*12/44</f>
        <v>2.50772569982024E-4</v>
      </c>
      <c r="V45" s="304" t="s">
        <v>966</v>
      </c>
      <c r="W45" s="1151">
        <f>U45/(12/44)</f>
        <v>9.1949942326742138E-4</v>
      </c>
    </row>
    <row r="46" spans="2:23">
      <c r="B46" s="1152" t="s">
        <v>594</v>
      </c>
      <c r="C46" s="1004">
        <v>7</v>
      </c>
      <c r="D46" s="304" t="s">
        <v>965</v>
      </c>
      <c r="E46" s="295">
        <v>40.6</v>
      </c>
      <c r="F46" s="304" t="s">
        <v>965</v>
      </c>
      <c r="G46" s="296">
        <v>5.4</v>
      </c>
      <c r="H46" s="304" t="s">
        <v>966</v>
      </c>
      <c r="I46" s="297">
        <f>C46*E46*G46*365</f>
        <v>560158.20000000007</v>
      </c>
      <c r="J46" s="304" t="s">
        <v>965</v>
      </c>
      <c r="K46" s="303">
        <v>0.48</v>
      </c>
      <c r="L46" s="304" t="s">
        <v>965</v>
      </c>
      <c r="M46" s="298">
        <v>0.30016800271641908</v>
      </c>
      <c r="N46" s="304" t="s">
        <v>966</v>
      </c>
      <c r="O46" s="297">
        <f>(I46*K46)*M46</f>
        <v>80707.952687627738</v>
      </c>
      <c r="P46" s="304" t="s">
        <v>966</v>
      </c>
      <c r="Q46" s="300">
        <f>O46*0.000662</f>
        <v>53.428664679209568</v>
      </c>
      <c r="R46" s="304" t="s">
        <v>966</v>
      </c>
      <c r="S46" s="301">
        <f>Q46/1000000</f>
        <v>5.3428664679209571E-5</v>
      </c>
      <c r="T46" s="304" t="s">
        <v>966</v>
      </c>
      <c r="U46" s="302">
        <f>(S46*21)*12/44</f>
        <v>3.0600053407183663E-4</v>
      </c>
      <c r="V46" s="304" t="s">
        <v>966</v>
      </c>
      <c r="W46" s="1151">
        <f>U46/(12/44)</f>
        <v>1.122001958263401E-3</v>
      </c>
    </row>
    <row r="47" spans="2:23">
      <c r="B47" s="1152" t="s">
        <v>595</v>
      </c>
      <c r="C47" s="814">
        <v>4</v>
      </c>
      <c r="D47" s="304" t="s">
        <v>965</v>
      </c>
      <c r="E47" s="295">
        <v>67.819999999999993</v>
      </c>
      <c r="F47" s="304" t="s">
        <v>965</v>
      </c>
      <c r="G47" s="296">
        <v>5.4</v>
      </c>
      <c r="H47" s="304" t="s">
        <v>966</v>
      </c>
      <c r="I47" s="297">
        <f>C47*E47*G47*365</f>
        <v>534692.88</v>
      </c>
      <c r="J47" s="304" t="s">
        <v>965</v>
      </c>
      <c r="K47" s="303">
        <v>0.48</v>
      </c>
      <c r="L47" s="304" t="s">
        <v>965</v>
      </c>
      <c r="M47" s="298">
        <v>0.30016800271641908</v>
      </c>
      <c r="N47" s="304" t="s">
        <v>966</v>
      </c>
      <c r="O47" s="297">
        <f>(I47*K47)*M47</f>
        <v>77038.893051019171</v>
      </c>
      <c r="P47" s="304" t="s">
        <v>966</v>
      </c>
      <c r="Q47" s="300">
        <f>O47*0.000662</f>
        <v>50.999747199774696</v>
      </c>
      <c r="R47" s="304" t="s">
        <v>966</v>
      </c>
      <c r="S47" s="301">
        <f>Q47/1000000</f>
        <v>5.0999747199774693E-5</v>
      </c>
      <c r="T47" s="304" t="s">
        <v>966</v>
      </c>
      <c r="U47" s="302">
        <f>(S47*21)*12/44</f>
        <v>2.9208946123507323E-4</v>
      </c>
      <c r="V47" s="304" t="s">
        <v>966</v>
      </c>
      <c r="W47" s="1151">
        <f>U47/(12/44)</f>
        <v>1.0709946911952686E-3</v>
      </c>
    </row>
    <row r="48" spans="2:23">
      <c r="B48" s="1152" t="s">
        <v>596</v>
      </c>
      <c r="C48" s="814">
        <v>4</v>
      </c>
      <c r="D48" s="304" t="s">
        <v>965</v>
      </c>
      <c r="E48" s="295">
        <v>90.75</v>
      </c>
      <c r="F48" s="304" t="s">
        <v>965</v>
      </c>
      <c r="G48" s="296">
        <v>5.4</v>
      </c>
      <c r="H48" s="304" t="s">
        <v>966</v>
      </c>
      <c r="I48" s="297">
        <f>C48*E48*G48*365</f>
        <v>715473</v>
      </c>
      <c r="J48" s="304" t="s">
        <v>965</v>
      </c>
      <c r="K48" s="303">
        <v>0.48</v>
      </c>
      <c r="L48" s="304" t="s">
        <v>965</v>
      </c>
      <c r="M48" s="298">
        <v>0.30016800271641908</v>
      </c>
      <c r="N48" s="304" t="s">
        <v>966</v>
      </c>
      <c r="O48" s="297">
        <f>(I48*K48)*M48</f>
        <v>103085.80867561176</v>
      </c>
      <c r="P48" s="304" t="s">
        <v>966</v>
      </c>
      <c r="Q48" s="300">
        <f>O48*0.000662</f>
        <v>68.242805343254986</v>
      </c>
      <c r="R48" s="304" t="s">
        <v>966</v>
      </c>
      <c r="S48" s="301">
        <f>Q48/1000000</f>
        <v>6.8242805343254989E-5</v>
      </c>
      <c r="T48" s="304" t="s">
        <v>966</v>
      </c>
      <c r="U48" s="302">
        <f>(S48*21)*12/44</f>
        <v>3.9084515787500584E-4</v>
      </c>
      <c r="V48" s="304" t="s">
        <v>966</v>
      </c>
      <c r="W48" s="1151">
        <f>U48/(12/44)</f>
        <v>1.4330989122083549E-3</v>
      </c>
    </row>
    <row r="49" spans="1:23">
      <c r="B49" s="1153" t="s">
        <v>256</v>
      </c>
      <c r="C49" s="1154"/>
      <c r="D49" s="3180"/>
      <c r="E49" s="3170"/>
      <c r="F49" s="3169"/>
      <c r="G49" s="3169"/>
      <c r="H49" s="3169"/>
      <c r="I49" s="3172"/>
      <c r="J49" s="3169"/>
      <c r="K49" s="3173"/>
      <c r="L49" s="3169"/>
      <c r="M49" s="3181"/>
      <c r="N49" s="3169"/>
      <c r="O49" s="3172"/>
      <c r="P49" s="3169"/>
      <c r="Q49" s="3174"/>
      <c r="R49" s="3169"/>
      <c r="S49" s="3175"/>
      <c r="T49" s="3169"/>
      <c r="U49" s="3176"/>
      <c r="V49" s="3169"/>
      <c r="W49" s="3177"/>
    </row>
    <row r="50" spans="1:23">
      <c r="B50" s="1158" t="s">
        <v>597</v>
      </c>
      <c r="C50" s="1159"/>
      <c r="D50" s="1160"/>
      <c r="E50" s="1161"/>
      <c r="F50" s="1160"/>
      <c r="G50" s="1160"/>
      <c r="H50" s="1160"/>
      <c r="I50" s="1162"/>
      <c r="J50" s="1160"/>
      <c r="K50" s="1163"/>
      <c r="L50" s="1160"/>
      <c r="M50" s="1164"/>
      <c r="N50" s="1160"/>
      <c r="O50" s="1162"/>
      <c r="P50" s="1165"/>
      <c r="Q50" s="1166"/>
      <c r="R50" s="1167"/>
      <c r="S50" s="1168"/>
      <c r="T50" s="1167"/>
      <c r="U50" s="1169"/>
      <c r="V50" s="1167"/>
      <c r="W50" s="1170"/>
    </row>
    <row r="51" spans="1:23">
      <c r="B51" s="1171" t="s">
        <v>598</v>
      </c>
      <c r="C51" s="814">
        <v>2292</v>
      </c>
      <c r="D51" s="1157" t="s">
        <v>965</v>
      </c>
      <c r="E51" s="295">
        <v>1.8</v>
      </c>
      <c r="F51" s="1157" t="s">
        <v>965</v>
      </c>
      <c r="G51" s="304">
        <v>10.8</v>
      </c>
      <c r="H51" s="1157" t="s">
        <v>966</v>
      </c>
      <c r="I51" s="297">
        <f>C51*E51*G51*365</f>
        <v>16263115.200000003</v>
      </c>
      <c r="J51" s="1157" t="s">
        <v>965</v>
      </c>
      <c r="K51" s="303">
        <v>0.39</v>
      </c>
      <c r="L51" s="1157" t="s">
        <v>965</v>
      </c>
      <c r="M51" s="298">
        <v>5.12259842612387E-2</v>
      </c>
      <c r="N51" s="1157" t="s">
        <v>966</v>
      </c>
      <c r="O51" s="297">
        <f>(I51*K51)*M51</f>
        <v>324906.69247682567</v>
      </c>
      <c r="P51" s="1172" t="s">
        <v>966</v>
      </c>
      <c r="Q51" s="300">
        <f>O51*0.000662</f>
        <v>215.0882304196586</v>
      </c>
      <c r="R51" s="1173" t="s">
        <v>966</v>
      </c>
      <c r="S51" s="301">
        <f>Q51/1000000</f>
        <v>2.1508823041965861E-4</v>
      </c>
      <c r="T51" s="1173" t="s">
        <v>966</v>
      </c>
      <c r="U51" s="302">
        <f>(S51*21)*12/44</f>
        <v>1.2318689560398631E-3</v>
      </c>
      <c r="V51" s="1173" t="s">
        <v>966</v>
      </c>
      <c r="W51" s="1151">
        <f>U51/(12/44)</f>
        <v>4.5168528388128317E-3</v>
      </c>
    </row>
    <row r="52" spans="1:23">
      <c r="B52" s="1171" t="s">
        <v>599</v>
      </c>
      <c r="C52" s="814">
        <v>184</v>
      </c>
      <c r="D52" s="1157" t="s">
        <v>965</v>
      </c>
      <c r="E52" s="295">
        <v>1.8</v>
      </c>
      <c r="F52" s="1157" t="s">
        <v>965</v>
      </c>
      <c r="G52" s="304">
        <v>9.6999999999999993</v>
      </c>
      <c r="H52" s="1157" t="s">
        <v>966</v>
      </c>
      <c r="I52" s="297">
        <f>C52*E52*G52*365</f>
        <v>1172613.5999999999</v>
      </c>
      <c r="J52" s="1157" t="s">
        <v>965</v>
      </c>
      <c r="K52" s="303">
        <v>0.39</v>
      </c>
      <c r="L52" s="1157" t="s">
        <v>965</v>
      </c>
      <c r="M52" s="298">
        <v>5.12259842612387E-2</v>
      </c>
      <c r="N52" s="1157" t="s">
        <v>966</v>
      </c>
      <c r="O52" s="297">
        <f>(I52*K52)*M52</f>
        <v>23426.631469064632</v>
      </c>
      <c r="P52" s="1172" t="s">
        <v>966</v>
      </c>
      <c r="Q52" s="300">
        <f>O52*0.000662</f>
        <v>15.508430032520788</v>
      </c>
      <c r="R52" s="1173" t="s">
        <v>966</v>
      </c>
      <c r="S52" s="301">
        <f>Q52/1000000</f>
        <v>1.5508430032520787E-5</v>
      </c>
      <c r="T52" s="1173" t="s">
        <v>966</v>
      </c>
      <c r="U52" s="302">
        <f>(S52*21)*12/44</f>
        <v>8.8821008368073591E-5</v>
      </c>
      <c r="V52" s="1173" t="s">
        <v>966</v>
      </c>
      <c r="W52" s="1151">
        <f>U52/(12/44)</f>
        <v>3.2567703068293652E-4</v>
      </c>
    </row>
    <row r="53" spans="1:23">
      <c r="B53" s="1171" t="s">
        <v>600</v>
      </c>
      <c r="C53" s="814">
        <v>12</v>
      </c>
      <c r="D53" s="1157" t="s">
        <v>965</v>
      </c>
      <c r="E53" s="295">
        <v>1.8</v>
      </c>
      <c r="F53" s="1157" t="s">
        <v>965</v>
      </c>
      <c r="G53" s="296">
        <v>10.8</v>
      </c>
      <c r="H53" s="1157" t="s">
        <v>966</v>
      </c>
      <c r="I53" s="297">
        <f>C53*E53*G53*365</f>
        <v>85147.200000000012</v>
      </c>
      <c r="J53" s="1157" t="s">
        <v>965</v>
      </c>
      <c r="K53" s="303">
        <v>0.39</v>
      </c>
      <c r="L53" s="1157" t="s">
        <v>965</v>
      </c>
      <c r="M53" s="298">
        <v>5.12259842612387E-2</v>
      </c>
      <c r="N53" s="1157" t="s">
        <v>966</v>
      </c>
      <c r="O53" s="297">
        <f>(I53*K53)*M53</f>
        <v>1701.0821595645323</v>
      </c>
      <c r="P53" s="1172" t="s">
        <v>966</v>
      </c>
      <c r="Q53" s="300">
        <f>O53*0.000662</f>
        <v>1.1261163896317203</v>
      </c>
      <c r="R53" s="1173" t="s">
        <v>966</v>
      </c>
      <c r="S53" s="301">
        <f>Q53/1000000</f>
        <v>1.1261163896317203E-6</v>
      </c>
      <c r="T53" s="1173" t="s">
        <v>966</v>
      </c>
      <c r="U53" s="302">
        <f>(S53*21)*12/44</f>
        <v>6.4495756860725807E-6</v>
      </c>
      <c r="V53" s="1173" t="s">
        <v>966</v>
      </c>
      <c r="W53" s="1151">
        <f>U53/(12/44)</f>
        <v>2.3648444182266131E-5</v>
      </c>
    </row>
    <row r="54" spans="1:23">
      <c r="B54" s="1158" t="s">
        <v>601</v>
      </c>
      <c r="C54" s="814">
        <v>53072.7</v>
      </c>
      <c r="D54" s="1174" t="s">
        <v>965</v>
      </c>
      <c r="E54" s="295">
        <v>0.9</v>
      </c>
      <c r="F54" s="1174" t="s">
        <v>965</v>
      </c>
      <c r="G54" s="304">
        <v>15</v>
      </c>
      <c r="H54" s="1174" t="s">
        <v>966</v>
      </c>
      <c r="I54" s="297">
        <f>C54*E54*G54*365</f>
        <v>261515729.24999997</v>
      </c>
      <c r="J54" s="1174" t="s">
        <v>965</v>
      </c>
      <c r="K54" s="303">
        <v>0.36</v>
      </c>
      <c r="L54" s="1174" t="s">
        <v>965</v>
      </c>
      <c r="M54" s="305">
        <v>1.4999999999999999E-2</v>
      </c>
      <c r="N54" s="1174" t="s">
        <v>966</v>
      </c>
      <c r="O54" s="297">
        <f>(I54*K54)*M54</f>
        <v>1412184.9379499997</v>
      </c>
      <c r="P54" s="1172" t="s">
        <v>966</v>
      </c>
      <c r="Q54" s="300">
        <f>O54*0.000662</f>
        <v>934.8664289228999</v>
      </c>
      <c r="R54" s="1175" t="s">
        <v>966</v>
      </c>
      <c r="S54" s="301">
        <f>Q54/1000000</f>
        <v>9.3486642892289993E-4</v>
      </c>
      <c r="T54" s="1175" t="s">
        <v>966</v>
      </c>
      <c r="U54" s="302">
        <f>(S54*21)*12/44</f>
        <v>5.3542350020129728E-3</v>
      </c>
      <c r="V54" s="1175" t="s">
        <v>966</v>
      </c>
      <c r="W54" s="1151">
        <f>U54/(12/44)</f>
        <v>1.9632195007380903E-2</v>
      </c>
    </row>
    <row r="55" spans="1:23">
      <c r="B55" s="1176" t="s">
        <v>602</v>
      </c>
      <c r="C55" s="814">
        <v>704</v>
      </c>
      <c r="D55" s="1174" t="s">
        <v>965</v>
      </c>
      <c r="E55" s="295">
        <v>6.8</v>
      </c>
      <c r="F55" s="1174" t="s">
        <v>965</v>
      </c>
      <c r="G55" s="304">
        <v>9.6999999999999993</v>
      </c>
      <c r="H55" s="1174" t="s">
        <v>966</v>
      </c>
      <c r="I55" s="297">
        <f>C55*E55*G55*365</f>
        <v>16949081.599999998</v>
      </c>
      <c r="J55" s="1174" t="s">
        <v>965</v>
      </c>
      <c r="K55" s="303">
        <v>0.36</v>
      </c>
      <c r="L55" s="1174" t="s">
        <v>965</v>
      </c>
      <c r="M55" s="305">
        <v>1.4999999999999999E-2</v>
      </c>
      <c r="N55" s="1174" t="s">
        <v>966</v>
      </c>
      <c r="O55" s="297">
        <f>(I55*K55)*M55</f>
        <v>91525.040639999992</v>
      </c>
      <c r="P55" s="1177" t="s">
        <v>966</v>
      </c>
      <c r="Q55" s="300">
        <f>O55*0.000662</f>
        <v>60.589576903679998</v>
      </c>
      <c r="R55" s="1173" t="s">
        <v>966</v>
      </c>
      <c r="S55" s="301">
        <f>Q55/1000000</f>
        <v>6.0589576903679998E-5</v>
      </c>
      <c r="T55" s="1173" t="s">
        <v>966</v>
      </c>
      <c r="U55" s="302">
        <f>(S55*21)*12/44</f>
        <v>3.4701303135744005E-4</v>
      </c>
      <c r="V55" s="1173" t="s">
        <v>966</v>
      </c>
      <c r="W55" s="1151">
        <f>U55/(12/44)</f>
        <v>1.2723811149772802E-3</v>
      </c>
    </row>
    <row r="56" spans="1:23">
      <c r="B56" s="1178" t="s">
        <v>183</v>
      </c>
      <c r="C56" s="1154"/>
      <c r="D56" s="3182"/>
      <c r="E56" s="3170"/>
      <c r="F56" s="3183"/>
      <c r="G56" s="3169"/>
      <c r="H56" s="3183"/>
      <c r="I56" s="3172"/>
      <c r="J56" s="3184"/>
      <c r="K56" s="3173"/>
      <c r="L56" s="3184"/>
      <c r="M56" s="3181"/>
      <c r="N56" s="3184"/>
      <c r="O56" s="3172"/>
      <c r="P56" s="3185"/>
      <c r="Q56" s="3174"/>
      <c r="R56" s="3184"/>
      <c r="S56" s="3175"/>
      <c r="T56" s="3184"/>
      <c r="U56" s="3176"/>
      <c r="V56" s="3184"/>
      <c r="W56" s="3177"/>
    </row>
    <row r="57" spans="1:23">
      <c r="B57" s="1149" t="s">
        <v>603</v>
      </c>
      <c r="C57" s="814">
        <v>0</v>
      </c>
      <c r="D57" s="1174" t="s">
        <v>965</v>
      </c>
      <c r="E57" s="295">
        <v>25</v>
      </c>
      <c r="F57" s="1174" t="s">
        <v>965</v>
      </c>
      <c r="G57" s="296">
        <v>9.205479452054794</v>
      </c>
      <c r="H57" s="1174" t="s">
        <v>966</v>
      </c>
      <c r="I57" s="297">
        <f>C57*E57*G57*365</f>
        <v>0</v>
      </c>
      <c r="J57" s="1174" t="s">
        <v>965</v>
      </c>
      <c r="K57" s="303">
        <v>0.36056372132540354</v>
      </c>
      <c r="L57" s="1174" t="s">
        <v>965</v>
      </c>
      <c r="M57" s="307">
        <v>1.2E-2</v>
      </c>
      <c r="N57" s="1174" t="s">
        <v>966</v>
      </c>
      <c r="O57" s="297">
        <f>(I57*K57)*M57</f>
        <v>0</v>
      </c>
      <c r="P57" s="1177" t="s">
        <v>966</v>
      </c>
      <c r="Q57" s="300">
        <f>O57*0.000662</f>
        <v>0</v>
      </c>
      <c r="R57" s="1173" t="s">
        <v>966</v>
      </c>
      <c r="S57" s="301">
        <f>Q57/1000000</f>
        <v>0</v>
      </c>
      <c r="T57" s="1173" t="s">
        <v>966</v>
      </c>
      <c r="U57" s="302">
        <f>(S57*21)*12/44</f>
        <v>0</v>
      </c>
      <c r="V57" s="1173" t="s">
        <v>966</v>
      </c>
      <c r="W57" s="1151">
        <f>U57/(12/44)</f>
        <v>0</v>
      </c>
    </row>
    <row r="58" spans="1:23">
      <c r="B58" s="1149" t="s">
        <v>604</v>
      </c>
      <c r="C58" s="813">
        <v>24</v>
      </c>
      <c r="D58" s="1174" t="s">
        <v>965</v>
      </c>
      <c r="E58" s="295">
        <v>80</v>
      </c>
      <c r="F58" s="1174" t="s">
        <v>965</v>
      </c>
      <c r="G58" s="296">
        <v>9.205479452054794</v>
      </c>
      <c r="H58" s="1174" t="s">
        <v>966</v>
      </c>
      <c r="I58" s="297">
        <f>C58*E58*G58*365</f>
        <v>6451200</v>
      </c>
      <c r="J58" s="1174" t="s">
        <v>965</v>
      </c>
      <c r="K58" s="303">
        <v>0.1899677145284622</v>
      </c>
      <c r="L58" s="1174" t="s">
        <v>965</v>
      </c>
      <c r="M58" s="307">
        <v>1.0999999999999999E-2</v>
      </c>
      <c r="N58" s="1174" t="s">
        <v>966</v>
      </c>
      <c r="O58" s="297">
        <f>(I58*K58)*M58</f>
        <v>13480.716919626168</v>
      </c>
      <c r="P58" s="1177" t="s">
        <v>966</v>
      </c>
      <c r="Q58" s="300">
        <f>O58*0.000662</f>
        <v>8.9242346007925235</v>
      </c>
      <c r="R58" s="1173" t="s">
        <v>966</v>
      </c>
      <c r="S58" s="301">
        <f>Q58/1000000</f>
        <v>8.924234600792524E-6</v>
      </c>
      <c r="T58" s="1173" t="s">
        <v>966</v>
      </c>
      <c r="U58" s="302">
        <f>(S58*21)*12/44</f>
        <v>5.1111525440902633E-5</v>
      </c>
      <c r="V58" s="1173" t="s">
        <v>966</v>
      </c>
      <c r="W58" s="1151">
        <f>U58/(12/44)</f>
        <v>1.87408926616643E-4</v>
      </c>
    </row>
    <row r="59" spans="1:23">
      <c r="B59" s="1149" t="s">
        <v>570</v>
      </c>
      <c r="C59" s="814">
        <v>12</v>
      </c>
      <c r="D59" s="1174" t="s">
        <v>965</v>
      </c>
      <c r="E59" s="295">
        <v>64</v>
      </c>
      <c r="F59" s="1174" t="s">
        <v>965</v>
      </c>
      <c r="G59" s="296">
        <v>9.5342465753424666</v>
      </c>
      <c r="H59" s="1174" t="s">
        <v>966</v>
      </c>
      <c r="I59" s="297">
        <f>C59*E59*G59*365</f>
        <v>2672640.0000000005</v>
      </c>
      <c r="J59" s="1174" t="s">
        <v>965</v>
      </c>
      <c r="K59" s="303">
        <v>0.16997111299915041</v>
      </c>
      <c r="L59" s="1174" t="s">
        <v>965</v>
      </c>
      <c r="M59" s="307">
        <v>1.0999999999999999E-2</v>
      </c>
      <c r="N59" s="1174" t="s">
        <v>966</v>
      </c>
      <c r="O59" s="297">
        <f>(I59*K59)*M59</f>
        <v>4996.9875499065429</v>
      </c>
      <c r="P59" s="1177" t="s">
        <v>966</v>
      </c>
      <c r="Q59" s="300">
        <f>O59*0.000662</f>
        <v>3.3080057580381315</v>
      </c>
      <c r="R59" s="1173" t="s">
        <v>966</v>
      </c>
      <c r="S59" s="301">
        <f>Q59/1000000</f>
        <v>3.3080057580381316E-6</v>
      </c>
      <c r="T59" s="1173" t="s">
        <v>966</v>
      </c>
      <c r="U59" s="302">
        <f>(S59*21)*12/44</f>
        <v>1.8945851159672934E-5</v>
      </c>
      <c r="V59" s="1173" t="s">
        <v>966</v>
      </c>
      <c r="W59" s="1151">
        <f>U59/(12/44)</f>
        <v>6.9468120918800763E-5</v>
      </c>
    </row>
    <row r="60" spans="1:23">
      <c r="B60" s="1149" t="s">
        <v>572</v>
      </c>
      <c r="C60" s="813">
        <v>79.099999999999994</v>
      </c>
      <c r="D60" s="1174" t="s">
        <v>965</v>
      </c>
      <c r="E60" s="295">
        <v>450</v>
      </c>
      <c r="F60" s="1174" t="s">
        <v>965</v>
      </c>
      <c r="G60" s="304">
        <v>10</v>
      </c>
      <c r="H60" s="1174" t="s">
        <v>966</v>
      </c>
      <c r="I60" s="297">
        <f>C60*E60*G60*365</f>
        <v>129921750</v>
      </c>
      <c r="J60" s="1174" t="s">
        <v>965</v>
      </c>
      <c r="K60" s="303">
        <v>0.33056881903143587</v>
      </c>
      <c r="L60" s="1174" t="s">
        <v>965</v>
      </c>
      <c r="M60" s="307">
        <v>1.0999999999999999E-2</v>
      </c>
      <c r="N60" s="1174" t="s">
        <v>966</v>
      </c>
      <c r="O60" s="297">
        <f>(I60*K60)*M60</f>
        <v>472428.87410397193</v>
      </c>
      <c r="P60" s="1177" t="s">
        <v>966</v>
      </c>
      <c r="Q60" s="300">
        <f>O60*0.000662</f>
        <v>312.74791465682944</v>
      </c>
      <c r="R60" s="1173" t="s">
        <v>966</v>
      </c>
      <c r="S60" s="301">
        <f>Q60/1000000</f>
        <v>3.1274791465682944E-4</v>
      </c>
      <c r="T60" s="1173" t="s">
        <v>966</v>
      </c>
      <c r="U60" s="302">
        <f>(S60*21)*12/44</f>
        <v>1.7911926021254778E-3</v>
      </c>
      <c r="V60" s="1173" t="s">
        <v>966</v>
      </c>
      <c r="W60" s="1151">
        <f>U60/(12/44)</f>
        <v>6.5677062077934192E-3</v>
      </c>
    </row>
    <row r="61" spans="1:23" ht="13.5" thickBot="1">
      <c r="B61" s="1187" t="s">
        <v>180</v>
      </c>
      <c r="C61" s="1188"/>
      <c r="D61" s="1188"/>
      <c r="E61" s="1189"/>
      <c r="F61" s="1188"/>
      <c r="G61" s="1188"/>
      <c r="H61" s="1188"/>
      <c r="I61" s="1188"/>
      <c r="J61" s="1190"/>
      <c r="K61" s="1190"/>
      <c r="L61" s="1190"/>
      <c r="M61" s="1190"/>
      <c r="N61" s="1190"/>
      <c r="O61" s="1191">
        <f>SUM(O32:O60)</f>
        <v>6752079.0394282807</v>
      </c>
      <c r="P61" s="1190"/>
      <c r="Q61" s="1192">
        <f>SUM(Q32:Q60)</f>
        <v>4469.8763241015231</v>
      </c>
      <c r="R61" s="1190"/>
      <c r="S61" s="1193">
        <f>SUM(S32:S60)</f>
        <v>4.4698763241015219E-3</v>
      </c>
      <c r="T61" s="1190"/>
      <c r="U61" s="1193">
        <f>SUM(U32:U60)</f>
        <v>2.5600200765308719E-2</v>
      </c>
      <c r="V61" s="1188"/>
      <c r="W61" s="1194">
        <f>SUM(W32:W60)</f>
        <v>9.3867402806131983E-2</v>
      </c>
    </row>
    <row r="62" spans="1:23" ht="12.75">
      <c r="A62" s="5"/>
      <c r="B62" s="1195"/>
      <c r="C62" s="308"/>
      <c r="D62" s="308"/>
      <c r="E62" s="1196"/>
      <c r="F62" s="308"/>
      <c r="G62" s="308"/>
      <c r="H62" s="308"/>
      <c r="I62" s="308"/>
      <c r="J62" s="306"/>
      <c r="K62" s="306"/>
      <c r="L62" s="306"/>
      <c r="M62" s="306"/>
      <c r="N62" s="306"/>
      <c r="O62" s="1197"/>
      <c r="P62" s="306"/>
      <c r="Q62" s="1198"/>
      <c r="R62" s="306"/>
      <c r="S62" s="1199"/>
      <c r="T62" s="306"/>
      <c r="U62" s="1199"/>
      <c r="V62" s="308"/>
      <c r="W62" s="1199"/>
    </row>
    <row r="63" spans="1:23" ht="12.75">
      <c r="A63" s="5"/>
      <c r="B63" s="1195"/>
      <c r="C63" s="308"/>
      <c r="D63" s="308"/>
      <c r="E63" s="1196"/>
      <c r="F63" s="308"/>
      <c r="G63" s="308"/>
      <c r="H63" s="308"/>
      <c r="I63" s="308"/>
      <c r="J63" s="306"/>
      <c r="K63" s="306"/>
      <c r="L63" s="306"/>
      <c r="M63" s="306"/>
      <c r="N63" s="306"/>
      <c r="O63" s="1197"/>
      <c r="P63" s="306"/>
      <c r="Q63" s="1198"/>
      <c r="R63" s="306"/>
      <c r="S63" s="1199"/>
      <c r="T63" s="306"/>
      <c r="U63" s="1199"/>
      <c r="V63" s="308"/>
      <c r="W63" s="1199"/>
    </row>
    <row r="64" spans="1:23" ht="12" thickBot="1">
      <c r="B64" s="288"/>
      <c r="C64" s="289"/>
      <c r="D64" s="290"/>
      <c r="E64" s="290"/>
      <c r="F64" s="290"/>
      <c r="G64" s="291"/>
      <c r="H64" s="292"/>
      <c r="I64" s="293"/>
      <c r="J64" s="292"/>
      <c r="K64" s="294"/>
      <c r="L64" s="7"/>
      <c r="M64" s="294"/>
      <c r="N64" s="7"/>
      <c r="O64" s="7"/>
      <c r="P64" s="7"/>
      <c r="Q64" s="7"/>
      <c r="R64" s="7"/>
      <c r="S64" s="7"/>
      <c r="T64" s="7"/>
      <c r="U64" s="7"/>
      <c r="V64" s="4"/>
      <c r="W64" s="4"/>
    </row>
    <row r="65" spans="2:23" ht="19.5">
      <c r="B65" s="1114" t="s">
        <v>357</v>
      </c>
      <c r="C65" s="1141"/>
      <c r="D65" s="1142"/>
      <c r="E65" s="1142"/>
      <c r="F65" s="1142"/>
      <c r="G65" s="1143"/>
      <c r="H65" s="1144"/>
      <c r="I65" s="1145"/>
      <c r="J65" s="1144"/>
      <c r="K65" s="1146"/>
      <c r="L65" s="1115"/>
      <c r="M65" s="1146"/>
      <c r="N65" s="1115"/>
      <c r="O65" s="1115"/>
      <c r="P65" s="1115"/>
      <c r="Q65" s="1115"/>
      <c r="R65" s="1115"/>
      <c r="S65" s="1115"/>
      <c r="T65" s="1115"/>
      <c r="U65" s="1116"/>
      <c r="V65" s="1227"/>
      <c r="W65" s="4"/>
    </row>
    <row r="66" spans="2:23" ht="81.75">
      <c r="B66" s="1200"/>
      <c r="C66" s="1224" t="s">
        <v>573</v>
      </c>
      <c r="D66" s="1147"/>
      <c r="E66" s="1138" t="s">
        <v>613</v>
      </c>
      <c r="F66" s="1225"/>
      <c r="G66" s="1138" t="s">
        <v>612</v>
      </c>
      <c r="H66" s="1138"/>
      <c r="I66" s="1138" t="s">
        <v>611</v>
      </c>
      <c r="J66" s="1225"/>
      <c r="K66" s="1138" t="s">
        <v>614</v>
      </c>
      <c r="L66" s="1226"/>
      <c r="M66" s="1138" t="s">
        <v>615</v>
      </c>
      <c r="N66" s="1225"/>
      <c r="O66" s="1138" t="s">
        <v>616</v>
      </c>
      <c r="P66" s="1225"/>
      <c r="Q66" s="1138" t="s">
        <v>463</v>
      </c>
      <c r="R66" s="1225"/>
      <c r="S66" s="1138" t="s">
        <v>480</v>
      </c>
      <c r="T66" s="1225"/>
      <c r="U66" s="1140" t="s">
        <v>577</v>
      </c>
    </row>
    <row r="67" spans="2:23" ht="15">
      <c r="B67" s="1148" t="s">
        <v>605</v>
      </c>
      <c r="C67" s="3186"/>
      <c r="D67" s="3187"/>
      <c r="E67" s="3188"/>
      <c r="F67" s="3189"/>
      <c r="G67" s="3189"/>
      <c r="H67" s="3189"/>
      <c r="I67" s="3190"/>
      <c r="J67" s="3189"/>
      <c r="K67" s="3189"/>
      <c r="L67" s="3191"/>
      <c r="M67" s="3189"/>
      <c r="N67" s="3189"/>
      <c r="O67" s="3189"/>
      <c r="P67" s="3189"/>
      <c r="Q67" s="3189"/>
      <c r="R67" s="3189"/>
      <c r="S67" s="3192"/>
      <c r="T67" s="3189"/>
      <c r="U67" s="3193"/>
    </row>
    <row r="68" spans="2:23" ht="12.75">
      <c r="B68" s="1149" t="s">
        <v>525</v>
      </c>
      <c r="C68" s="814">
        <v>53</v>
      </c>
      <c r="D68" s="304"/>
      <c r="E68" s="310">
        <f>7852125</f>
        <v>7852125</v>
      </c>
      <c r="F68" s="1202"/>
      <c r="G68" s="310">
        <f>2125872</f>
        <v>2125872</v>
      </c>
      <c r="H68" s="282"/>
      <c r="I68" s="310">
        <f>1831372</f>
        <v>1831372</v>
      </c>
      <c r="J68" s="1201"/>
      <c r="K68" s="310">
        <f>2126</f>
        <v>2126</v>
      </c>
      <c r="L68" s="304" t="s">
        <v>967</v>
      </c>
      <c r="M68" s="310">
        <f>36627</f>
        <v>36627</v>
      </c>
      <c r="N68" s="282" t="s">
        <v>966</v>
      </c>
      <c r="O68" s="310">
        <f>60898</f>
        <v>60898</v>
      </c>
      <c r="P68" s="282" t="s">
        <v>966</v>
      </c>
      <c r="Q68" s="310">
        <f>O68/1000*310*12/44</f>
        <v>5148.6490909090908</v>
      </c>
      <c r="R68" s="282" t="s">
        <v>966</v>
      </c>
      <c r="S68" s="311">
        <f>Q68/10^6</f>
        <v>5.148649090909091E-3</v>
      </c>
      <c r="T68" s="282" t="s">
        <v>966</v>
      </c>
      <c r="U68" s="1203">
        <f>S68/(12/44)</f>
        <v>1.887838E-2</v>
      </c>
    </row>
    <row r="69" spans="2:23" ht="12.75">
      <c r="B69" s="1152" t="s">
        <v>526</v>
      </c>
      <c r="C69" s="814">
        <v>28</v>
      </c>
      <c r="D69" s="304"/>
      <c r="E69" s="310">
        <f>1927462</f>
        <v>1927462</v>
      </c>
      <c r="F69" s="1201"/>
      <c r="G69" s="310">
        <f>521838</f>
        <v>521838</v>
      </c>
      <c r="H69" s="282"/>
      <c r="I69" s="310">
        <f>944902</f>
        <v>944902</v>
      </c>
      <c r="J69" s="1201"/>
      <c r="K69" s="310">
        <f>522</f>
        <v>522</v>
      </c>
      <c r="L69" s="304" t="s">
        <v>967</v>
      </c>
      <c r="M69" s="310">
        <f>18898</f>
        <v>18898</v>
      </c>
      <c r="N69" s="282" t="s">
        <v>966</v>
      </c>
      <c r="O69" s="310">
        <f>29697</f>
        <v>29697</v>
      </c>
      <c r="P69" s="282" t="s">
        <v>966</v>
      </c>
      <c r="Q69" s="310">
        <f>O69/1000*310*12/44</f>
        <v>2510.7463636363636</v>
      </c>
      <c r="R69" s="282" t="s">
        <v>966</v>
      </c>
      <c r="S69" s="311">
        <f>Q69/10^6</f>
        <v>2.5107463636363635E-3</v>
      </c>
      <c r="T69" s="282" t="s">
        <v>966</v>
      </c>
      <c r="U69" s="1203">
        <f>S69/(12/44)</f>
        <v>9.2060700000000002E-3</v>
      </c>
    </row>
    <row r="70" spans="2:23" ht="12.75">
      <c r="B70" s="1153" t="s">
        <v>560</v>
      </c>
      <c r="C70" s="3194"/>
      <c r="D70" s="3169"/>
      <c r="E70" s="3172"/>
      <c r="F70" s="3189"/>
      <c r="G70" s="3172"/>
      <c r="H70" s="3195"/>
      <c r="I70" s="3172"/>
      <c r="J70" s="3189"/>
      <c r="K70" s="3172" t="s">
        <v>606</v>
      </c>
      <c r="L70" s="3169"/>
      <c r="M70" s="3172"/>
      <c r="N70" s="3195"/>
      <c r="O70" s="3172"/>
      <c r="P70" s="3195"/>
      <c r="Q70" s="3172"/>
      <c r="R70" s="3195"/>
      <c r="S70" s="3172"/>
      <c r="T70" s="3195"/>
      <c r="U70" s="3196"/>
    </row>
    <row r="71" spans="2:23" ht="12.75">
      <c r="B71" s="1152" t="s">
        <v>566</v>
      </c>
      <c r="C71" s="813">
        <v>3.9119999999999999</v>
      </c>
      <c r="D71" s="304"/>
      <c r="E71" s="310">
        <v>218344</v>
      </c>
      <c r="F71" s="1201"/>
      <c r="G71" s="310" t="s">
        <v>959</v>
      </c>
      <c r="H71" s="282"/>
      <c r="I71" s="310">
        <f>218344</f>
        <v>218344</v>
      </c>
      <c r="J71" s="1201"/>
      <c r="K71" s="310" t="s">
        <v>959</v>
      </c>
      <c r="L71" s="304" t="s">
        <v>967</v>
      </c>
      <c r="M71" s="310">
        <f>4367</f>
        <v>4367</v>
      </c>
      <c r="N71" s="282" t="s">
        <v>966</v>
      </c>
      <c r="O71" s="310">
        <f>6862</f>
        <v>6862</v>
      </c>
      <c r="P71" s="282" t="s">
        <v>966</v>
      </c>
      <c r="Q71" s="310">
        <f>O71/1000*310*12/44</f>
        <v>580.15090909090918</v>
      </c>
      <c r="R71" s="282" t="s">
        <v>966</v>
      </c>
      <c r="S71" s="311">
        <f>Q71/10^6</f>
        <v>5.8015090909090919E-4</v>
      </c>
      <c r="T71" s="282" t="s">
        <v>966</v>
      </c>
      <c r="U71" s="1203">
        <f>S71/(12/44)</f>
        <v>2.1272200000000004E-3</v>
      </c>
    </row>
    <row r="72" spans="2:23" ht="12.75">
      <c r="B72" s="1152" t="s">
        <v>567</v>
      </c>
      <c r="C72" s="813">
        <v>7.3949999999999996</v>
      </c>
      <c r="D72" s="304"/>
      <c r="E72" s="310">
        <f>422465</f>
        <v>422465</v>
      </c>
      <c r="F72" s="1201"/>
      <c r="G72" s="310" t="s">
        <v>959</v>
      </c>
      <c r="H72" s="282"/>
      <c r="I72" s="310">
        <f>422465</f>
        <v>422465</v>
      </c>
      <c r="J72" s="1201"/>
      <c r="K72" s="310" t="s">
        <v>959</v>
      </c>
      <c r="L72" s="304" t="s">
        <v>967</v>
      </c>
      <c r="M72" s="310">
        <f>8449</f>
        <v>8449</v>
      </c>
      <c r="N72" s="282" t="s">
        <v>966</v>
      </c>
      <c r="O72" s="310">
        <f>13277</f>
        <v>13277</v>
      </c>
      <c r="P72" s="282" t="s">
        <v>966</v>
      </c>
      <c r="Q72" s="310">
        <f>O72/1000*310*12/44</f>
        <v>1122.51</v>
      </c>
      <c r="R72" s="282" t="s">
        <v>966</v>
      </c>
      <c r="S72" s="311">
        <f>Q72/10^6</f>
        <v>1.12251E-3</v>
      </c>
      <c r="T72" s="282" t="s">
        <v>966</v>
      </c>
      <c r="U72" s="1203">
        <f>S72/(12/44)</f>
        <v>4.1158699999999998E-3</v>
      </c>
    </row>
    <row r="73" spans="2:23" ht="12.75">
      <c r="B73" s="1153" t="s">
        <v>571</v>
      </c>
      <c r="C73" s="3194"/>
      <c r="D73" s="3178"/>
      <c r="E73" s="3197"/>
      <c r="F73" s="3189"/>
      <c r="G73" s="3197"/>
      <c r="H73" s="3195"/>
      <c r="I73" s="3198"/>
      <c r="J73" s="3189"/>
      <c r="K73" s="3198" t="s">
        <v>606</v>
      </c>
      <c r="L73" s="3169"/>
      <c r="M73" s="3198"/>
      <c r="N73" s="3195"/>
      <c r="O73" s="3198"/>
      <c r="P73" s="3195"/>
      <c r="Q73" s="3198"/>
      <c r="R73" s="3195"/>
      <c r="S73" s="3198"/>
      <c r="T73" s="3195"/>
      <c r="U73" s="3199"/>
    </row>
    <row r="74" spans="2:23" ht="12.75">
      <c r="B74" s="1152" t="s">
        <v>592</v>
      </c>
      <c r="C74" s="814">
        <v>2</v>
      </c>
      <c r="D74" s="304"/>
      <c r="E74" s="310">
        <f>29269</f>
        <v>29269</v>
      </c>
      <c r="F74" s="1201"/>
      <c r="G74" s="310">
        <f>22577</f>
        <v>22577</v>
      </c>
      <c r="H74" s="282"/>
      <c r="I74" s="310">
        <f>1198</f>
        <v>1198</v>
      </c>
      <c r="J74" s="1201"/>
      <c r="K74" s="310">
        <f>23</f>
        <v>23</v>
      </c>
      <c r="L74" s="304" t="s">
        <v>967</v>
      </c>
      <c r="M74" s="310">
        <f>24</f>
        <v>24</v>
      </c>
      <c r="N74" s="282" t="s">
        <v>966</v>
      </c>
      <c r="O74" s="310">
        <f>73</f>
        <v>73</v>
      </c>
      <c r="P74" s="282" t="s">
        <v>966</v>
      </c>
      <c r="Q74" s="310">
        <f>O74/1000*310*12/44</f>
        <v>6.1718181818181819</v>
      </c>
      <c r="R74" s="282" t="s">
        <v>966</v>
      </c>
      <c r="S74" s="311">
        <f>Q74/10^6</f>
        <v>6.1718181818181819E-6</v>
      </c>
      <c r="T74" s="282" t="s">
        <v>966</v>
      </c>
      <c r="U74" s="1203">
        <f>S74/(12/44)</f>
        <v>2.2630000000000002E-5</v>
      </c>
    </row>
    <row r="75" spans="2:23" ht="12.75">
      <c r="B75" s="1152" t="s">
        <v>593</v>
      </c>
      <c r="C75" s="814">
        <v>9</v>
      </c>
      <c r="D75" s="304"/>
      <c r="E75" s="310">
        <f>47993</f>
        <v>47993</v>
      </c>
      <c r="F75" s="1201"/>
      <c r="G75" s="310">
        <f>37020</f>
        <v>37020</v>
      </c>
      <c r="H75" s="282"/>
      <c r="I75" s="310">
        <f>1964</f>
        <v>1964</v>
      </c>
      <c r="J75" s="1201"/>
      <c r="K75" s="310">
        <f>37</f>
        <v>37</v>
      </c>
      <c r="L75" s="304" t="s">
        <v>967</v>
      </c>
      <c r="M75" s="310">
        <f>39</f>
        <v>39</v>
      </c>
      <c r="N75" s="282" t="s">
        <v>966</v>
      </c>
      <c r="O75" s="310">
        <f>120</f>
        <v>120</v>
      </c>
      <c r="P75" s="282" t="s">
        <v>966</v>
      </c>
      <c r="Q75" s="310">
        <f>O75/1000*310*12/44</f>
        <v>10.145454545454545</v>
      </c>
      <c r="R75" s="282" t="s">
        <v>966</v>
      </c>
      <c r="S75" s="311">
        <f>Q75/10^6</f>
        <v>1.0145454545454544E-5</v>
      </c>
      <c r="T75" s="282" t="s">
        <v>966</v>
      </c>
      <c r="U75" s="1203">
        <f>S75/(12/44)</f>
        <v>3.7199999999999996E-5</v>
      </c>
    </row>
    <row r="76" spans="2:23" ht="12.75">
      <c r="B76" s="1152" t="s">
        <v>594</v>
      </c>
      <c r="C76" s="1004">
        <v>7</v>
      </c>
      <c r="D76" s="304"/>
      <c r="E76" s="310">
        <f>56016</f>
        <v>56016</v>
      </c>
      <c r="F76" s="1201"/>
      <c r="G76" s="310">
        <f>43208</f>
        <v>43208</v>
      </c>
      <c r="H76" s="282"/>
      <c r="I76" s="310">
        <f>2293</f>
        <v>2293</v>
      </c>
      <c r="J76" s="1201"/>
      <c r="K76" s="310">
        <f>43</f>
        <v>43</v>
      </c>
      <c r="L76" s="304" t="s">
        <v>967</v>
      </c>
      <c r="M76" s="310">
        <f>46</f>
        <v>46</v>
      </c>
      <c r="N76" s="282" t="s">
        <v>966</v>
      </c>
      <c r="O76" s="310">
        <f>140</f>
        <v>140</v>
      </c>
      <c r="P76" s="282" t="s">
        <v>966</v>
      </c>
      <c r="Q76" s="310">
        <f>O76/1000*310*12/44</f>
        <v>11.836363636363638</v>
      </c>
      <c r="R76" s="282" t="s">
        <v>966</v>
      </c>
      <c r="S76" s="311">
        <f>Q76/10^6</f>
        <v>1.1836363636363639E-5</v>
      </c>
      <c r="T76" s="282" t="s">
        <v>966</v>
      </c>
      <c r="U76" s="1203">
        <f>S76/(12/44)</f>
        <v>4.3400000000000011E-5</v>
      </c>
    </row>
    <row r="77" spans="2:23" ht="12.75">
      <c r="B77" s="1152" t="s">
        <v>595</v>
      </c>
      <c r="C77" s="814">
        <v>4</v>
      </c>
      <c r="D77" s="304"/>
      <c r="E77" s="310">
        <f>53469</f>
        <v>53469</v>
      </c>
      <c r="F77" s="1201"/>
      <c r="G77" s="310">
        <f>41244</f>
        <v>41244</v>
      </c>
      <c r="H77" s="282"/>
      <c r="I77" s="310">
        <f>2188</f>
        <v>2188</v>
      </c>
      <c r="J77" s="1201"/>
      <c r="K77" s="310">
        <f>41</f>
        <v>41</v>
      </c>
      <c r="L77" s="304" t="s">
        <v>967</v>
      </c>
      <c r="M77" s="310">
        <f>44</f>
        <v>44</v>
      </c>
      <c r="N77" s="282" t="s">
        <v>966</v>
      </c>
      <c r="O77" s="310">
        <f>134</f>
        <v>134</v>
      </c>
      <c r="P77" s="282" t="s">
        <v>966</v>
      </c>
      <c r="Q77" s="310">
        <f>O77/1000*310*12/44</f>
        <v>11.32909090909091</v>
      </c>
      <c r="R77" s="282" t="s">
        <v>966</v>
      </c>
      <c r="S77" s="311">
        <f>Q77/10^6</f>
        <v>1.132909090909091E-5</v>
      </c>
      <c r="T77" s="282" t="s">
        <v>966</v>
      </c>
      <c r="U77" s="1203">
        <f>S77/(12/44)</f>
        <v>4.1540000000000005E-5</v>
      </c>
    </row>
    <row r="78" spans="2:23" ht="12.75">
      <c r="B78" s="1152" t="s">
        <v>596</v>
      </c>
      <c r="C78" s="814">
        <v>4</v>
      </c>
      <c r="D78" s="304"/>
      <c r="E78" s="310">
        <f>71547</f>
        <v>71547</v>
      </c>
      <c r="F78" s="1201"/>
      <c r="G78" s="310">
        <f>55189</f>
        <v>55189</v>
      </c>
      <c r="H78" s="282"/>
      <c r="I78" s="310">
        <f>2928</f>
        <v>2928</v>
      </c>
      <c r="J78" s="1201"/>
      <c r="K78" s="310">
        <f>55</f>
        <v>55</v>
      </c>
      <c r="L78" s="304" t="s">
        <v>967</v>
      </c>
      <c r="M78" s="310">
        <f>59</f>
        <v>59</v>
      </c>
      <c r="N78" s="282" t="s">
        <v>966</v>
      </c>
      <c r="O78" s="310">
        <f>179</f>
        <v>179</v>
      </c>
      <c r="P78" s="282" t="s">
        <v>966</v>
      </c>
      <c r="Q78" s="310">
        <f>O78/1000*310*12/44</f>
        <v>15.133636363636361</v>
      </c>
      <c r="R78" s="282" t="s">
        <v>966</v>
      </c>
      <c r="S78" s="311">
        <f>Q78/10^6</f>
        <v>1.5133636363636361E-5</v>
      </c>
      <c r="T78" s="282" t="s">
        <v>966</v>
      </c>
      <c r="U78" s="1203">
        <f>S78/(12/44)</f>
        <v>5.5489999999999992E-5</v>
      </c>
    </row>
    <row r="79" spans="2:23" ht="12.75">
      <c r="B79" s="1153" t="s">
        <v>256</v>
      </c>
      <c r="C79" s="3194"/>
      <c r="D79" s="3169"/>
      <c r="E79" s="3198"/>
      <c r="F79" s="3189"/>
      <c r="G79" s="3198"/>
      <c r="H79" s="3195"/>
      <c r="I79" s="3198"/>
      <c r="J79" s="3189"/>
      <c r="K79" s="3198" t="s">
        <v>606</v>
      </c>
      <c r="L79" s="3169"/>
      <c r="M79" s="3198"/>
      <c r="N79" s="3195"/>
      <c r="O79" s="3198"/>
      <c r="P79" s="3195"/>
      <c r="Q79" s="3198"/>
      <c r="R79" s="3195"/>
      <c r="S79" s="3198"/>
      <c r="T79" s="3195"/>
      <c r="U79" s="3199"/>
    </row>
    <row r="80" spans="2:23" ht="12.75">
      <c r="B80" s="1158" t="s">
        <v>597</v>
      </c>
      <c r="C80" s="1204"/>
      <c r="D80" s="1160"/>
      <c r="E80" s="1162"/>
      <c r="F80" s="1205"/>
      <c r="G80" s="1162"/>
      <c r="H80" s="1206"/>
      <c r="I80" s="1162"/>
      <c r="J80" s="1205"/>
      <c r="K80" s="1162"/>
      <c r="L80" s="1160"/>
      <c r="M80" s="1162"/>
      <c r="N80" s="1206"/>
      <c r="O80" s="1162"/>
      <c r="P80" s="1206"/>
      <c r="Q80" s="1162"/>
      <c r="R80" s="1206"/>
      <c r="S80" s="1162"/>
      <c r="T80" s="1206"/>
      <c r="U80" s="1207"/>
    </row>
    <row r="81" spans="1:33" ht="12.75">
      <c r="B81" s="1171" t="s">
        <v>598</v>
      </c>
      <c r="C81" s="814">
        <v>2292</v>
      </c>
      <c r="D81" s="1157"/>
      <c r="E81" s="310">
        <f>1189617</f>
        <v>1189617</v>
      </c>
      <c r="F81" s="1201"/>
      <c r="G81" s="310">
        <f>59481</f>
        <v>59481</v>
      </c>
      <c r="H81" s="282"/>
      <c r="I81" s="310">
        <f>1130136</f>
        <v>1130136</v>
      </c>
      <c r="J81" s="1201"/>
      <c r="K81" s="310">
        <f>59</f>
        <v>59</v>
      </c>
      <c r="L81" s="304" t="s">
        <v>967</v>
      </c>
      <c r="M81" s="310">
        <f>5651</f>
        <v>5651</v>
      </c>
      <c r="N81" s="282" t="s">
        <v>966</v>
      </c>
      <c r="O81" s="310">
        <f>8973</f>
        <v>8973</v>
      </c>
      <c r="P81" s="282" t="s">
        <v>966</v>
      </c>
      <c r="Q81" s="310">
        <f>O81/1000*310*12/44</f>
        <v>758.62636363636364</v>
      </c>
      <c r="R81" s="282" t="s">
        <v>966</v>
      </c>
      <c r="S81" s="311">
        <f>Q81/10^6</f>
        <v>7.5862636363636363E-4</v>
      </c>
      <c r="T81" s="282" t="s">
        <v>966</v>
      </c>
      <c r="U81" s="1203">
        <f>S81/(12/44)</f>
        <v>2.7816300000000002E-3</v>
      </c>
    </row>
    <row r="82" spans="1:33" ht="12.75">
      <c r="B82" s="1171" t="s">
        <v>599</v>
      </c>
      <c r="C82" s="814">
        <v>184</v>
      </c>
      <c r="D82" s="1157"/>
      <c r="E82" s="310">
        <f>95502</f>
        <v>95502</v>
      </c>
      <c r="F82" s="1201"/>
      <c r="G82" s="310">
        <f>4775</f>
        <v>4775</v>
      </c>
      <c r="H82" s="282"/>
      <c r="I82" s="310">
        <f>90726</f>
        <v>90726</v>
      </c>
      <c r="J82" s="1201"/>
      <c r="K82" s="310">
        <f>5</f>
        <v>5</v>
      </c>
      <c r="L82" s="304" t="s">
        <v>967</v>
      </c>
      <c r="M82" s="310">
        <f>454</f>
        <v>454</v>
      </c>
      <c r="N82" s="282" t="s">
        <v>966</v>
      </c>
      <c r="O82" s="310">
        <f>720</f>
        <v>720</v>
      </c>
      <c r="P82" s="282" t="s">
        <v>966</v>
      </c>
      <c r="Q82" s="310">
        <f>O82/1000*310*12/44</f>
        <v>60.872727272727268</v>
      </c>
      <c r="R82" s="282" t="s">
        <v>966</v>
      </c>
      <c r="S82" s="311">
        <f>Q82/10^6</f>
        <v>6.0872727272727267E-5</v>
      </c>
      <c r="T82" s="282" t="s">
        <v>966</v>
      </c>
      <c r="U82" s="1203">
        <f>S82/(12/44)</f>
        <v>2.232E-4</v>
      </c>
    </row>
    <row r="83" spans="1:33" ht="12.75">
      <c r="B83" s="1171" t="s">
        <v>600</v>
      </c>
      <c r="C83" s="814">
        <v>12</v>
      </c>
      <c r="D83" s="1157"/>
      <c r="E83" s="310">
        <f>8672</f>
        <v>8672</v>
      </c>
      <c r="F83" s="1201"/>
      <c r="G83" s="310">
        <f>434</f>
        <v>434</v>
      </c>
      <c r="H83" s="282"/>
      <c r="I83" s="310">
        <f>8239</f>
        <v>8239</v>
      </c>
      <c r="J83" s="1201"/>
      <c r="K83" s="310">
        <v>0.32718600000000003</v>
      </c>
      <c r="L83" s="304" t="s">
        <v>967</v>
      </c>
      <c r="M83" s="310">
        <f>41</f>
        <v>41</v>
      </c>
      <c r="N83" s="282" t="s">
        <v>966</v>
      </c>
      <c r="O83" s="310">
        <f>65</f>
        <v>65</v>
      </c>
      <c r="P83" s="282" t="s">
        <v>966</v>
      </c>
      <c r="Q83" s="310">
        <f>O83/1000*310*12/44</f>
        <v>5.495454545454546</v>
      </c>
      <c r="R83" s="282" t="s">
        <v>966</v>
      </c>
      <c r="S83" s="311">
        <f>Q83/10^6</f>
        <v>5.4954545454545457E-6</v>
      </c>
      <c r="T83" s="282" t="s">
        <v>966</v>
      </c>
      <c r="U83" s="1203">
        <f>S83/(12/44)</f>
        <v>2.0150000000000002E-5</v>
      </c>
    </row>
    <row r="84" spans="1:33" ht="12.75">
      <c r="B84" s="1158" t="s">
        <v>601</v>
      </c>
      <c r="C84" s="814">
        <v>53072.7</v>
      </c>
      <c r="D84" s="1174"/>
      <c r="E84" s="310">
        <f>16737007</f>
        <v>16737007</v>
      </c>
      <c r="F84" s="1201"/>
      <c r="G84" s="310" t="s">
        <v>959</v>
      </c>
      <c r="H84" s="282"/>
      <c r="I84" s="310">
        <f>16737007</f>
        <v>16737007</v>
      </c>
      <c r="J84" s="1201"/>
      <c r="K84" s="310" t="s">
        <v>959</v>
      </c>
      <c r="L84" s="304" t="s">
        <v>967</v>
      </c>
      <c r="M84" s="310">
        <f>334740</f>
        <v>334740</v>
      </c>
      <c r="N84" s="282" t="s">
        <v>966</v>
      </c>
      <c r="O84" s="310">
        <f>526020</f>
        <v>526020</v>
      </c>
      <c r="P84" s="282" t="s">
        <v>966</v>
      </c>
      <c r="Q84" s="310">
        <f>O84/1000*310*12/44</f>
        <v>44472.6</v>
      </c>
      <c r="R84" s="282" t="s">
        <v>966</v>
      </c>
      <c r="S84" s="311">
        <f>Q84/10^6</f>
        <v>4.4472600000000001E-2</v>
      </c>
      <c r="T84" s="282" t="s">
        <v>966</v>
      </c>
      <c r="U84" s="1203">
        <f>S84/(12/44)</f>
        <v>0.16306620000000002</v>
      </c>
    </row>
    <row r="85" spans="1:33" ht="12.75">
      <c r="B85" s="1176" t="s">
        <v>602</v>
      </c>
      <c r="C85" s="814">
        <v>704</v>
      </c>
      <c r="D85" s="1174"/>
      <c r="E85" s="310">
        <f>1092080</f>
        <v>1092080</v>
      </c>
      <c r="F85" s="1201"/>
      <c r="G85" s="310" t="s">
        <v>959</v>
      </c>
      <c r="H85" s="282"/>
      <c r="I85" s="310">
        <f>1092080</f>
        <v>1092080</v>
      </c>
      <c r="J85" s="1201"/>
      <c r="K85" s="310" t="s">
        <v>959</v>
      </c>
      <c r="L85" s="304" t="s">
        <v>967</v>
      </c>
      <c r="M85" s="310">
        <f>21842</f>
        <v>21842</v>
      </c>
      <c r="N85" s="282" t="s">
        <v>966</v>
      </c>
      <c r="O85" s="310">
        <f>34323</f>
        <v>34323</v>
      </c>
      <c r="P85" s="282" t="s">
        <v>966</v>
      </c>
      <c r="Q85" s="310">
        <f>O85/1000*310*12/44</f>
        <v>2901.8536363636367</v>
      </c>
      <c r="R85" s="282" t="s">
        <v>966</v>
      </c>
      <c r="S85" s="311">
        <f>Q85/10^6</f>
        <v>2.9018536363636365E-3</v>
      </c>
      <c r="T85" s="282" t="s">
        <v>966</v>
      </c>
      <c r="U85" s="1203">
        <f>S85/(12/44)</f>
        <v>1.0640130000000001E-2</v>
      </c>
    </row>
    <row r="86" spans="1:33" ht="12.75">
      <c r="B86" s="1178" t="s">
        <v>183</v>
      </c>
      <c r="C86" s="3194"/>
      <c r="D86" s="3183"/>
      <c r="E86" s="3198"/>
      <c r="F86" s="3189"/>
      <c r="G86" s="3198"/>
      <c r="H86" s="3195"/>
      <c r="I86" s="3198"/>
      <c r="J86" s="3189"/>
      <c r="K86" s="3198" t="s">
        <v>606</v>
      </c>
      <c r="L86" s="3169"/>
      <c r="M86" s="3198"/>
      <c r="N86" s="3195"/>
      <c r="O86" s="3198"/>
      <c r="P86" s="3195"/>
      <c r="Q86" s="3198"/>
      <c r="R86" s="3195"/>
      <c r="S86" s="3198"/>
      <c r="T86" s="3195"/>
      <c r="U86" s="3199"/>
    </row>
    <row r="87" spans="1:33" ht="12.75">
      <c r="B87" s="1149" t="s">
        <v>603</v>
      </c>
      <c r="C87" s="814">
        <v>0</v>
      </c>
      <c r="D87" s="1174"/>
      <c r="E87" s="310">
        <v>0</v>
      </c>
      <c r="F87" s="1201"/>
      <c r="G87" s="310" t="s">
        <v>959</v>
      </c>
      <c r="H87" s="282"/>
      <c r="I87" s="310">
        <v>0</v>
      </c>
      <c r="J87" s="1201"/>
      <c r="K87" s="310" t="s">
        <v>959</v>
      </c>
      <c r="L87" s="304" t="s">
        <v>967</v>
      </c>
      <c r="M87" s="310">
        <v>0</v>
      </c>
      <c r="N87" s="282" t="s">
        <v>966</v>
      </c>
      <c r="O87" s="310">
        <v>0</v>
      </c>
      <c r="P87" s="282" t="s">
        <v>966</v>
      </c>
      <c r="Q87" s="310">
        <f>O87/1000*310*12/44</f>
        <v>0</v>
      </c>
      <c r="R87" s="282" t="s">
        <v>966</v>
      </c>
      <c r="S87" s="311">
        <f>Q87/10^6</f>
        <v>0</v>
      </c>
      <c r="T87" s="282" t="s">
        <v>966</v>
      </c>
      <c r="U87" s="1203">
        <f>S87/(12/44)</f>
        <v>0</v>
      </c>
    </row>
    <row r="88" spans="1:33" ht="12.75">
      <c r="B88" s="1149" t="s">
        <v>604</v>
      </c>
      <c r="C88" s="813">
        <v>24</v>
      </c>
      <c r="D88" s="1174"/>
      <c r="E88" s="310">
        <f>315360</f>
        <v>315360</v>
      </c>
      <c r="F88" s="1201"/>
      <c r="G88" s="310" t="s">
        <v>959</v>
      </c>
      <c r="H88" s="282"/>
      <c r="I88" s="310">
        <f>213844</f>
        <v>213844</v>
      </c>
      <c r="J88" s="1201"/>
      <c r="K88" s="310" t="s">
        <v>959</v>
      </c>
      <c r="L88" s="304" t="s">
        <v>967</v>
      </c>
      <c r="M88" s="310">
        <f>4277</f>
        <v>4277</v>
      </c>
      <c r="N88" s="282" t="s">
        <v>966</v>
      </c>
      <c r="O88" s="310">
        <f>6721</f>
        <v>6721</v>
      </c>
      <c r="P88" s="282" t="s">
        <v>966</v>
      </c>
      <c r="Q88" s="310">
        <f>O88/1000*310*12/44</f>
        <v>568.23</v>
      </c>
      <c r="R88" s="282" t="s">
        <v>966</v>
      </c>
      <c r="S88" s="311">
        <f>Q88/10^6</f>
        <v>5.6822999999999997E-4</v>
      </c>
      <c r="T88" s="282" t="s">
        <v>966</v>
      </c>
      <c r="U88" s="1203">
        <f>S88/(12/44)</f>
        <v>2.0835100000000002E-3</v>
      </c>
    </row>
    <row r="89" spans="1:33" ht="12.75">
      <c r="B89" s="1216" t="s">
        <v>180</v>
      </c>
      <c r="C89" s="1217" t="s">
        <v>606</v>
      </c>
      <c r="D89" s="1218"/>
      <c r="E89" s="1219">
        <v>30118367.229000006</v>
      </c>
      <c r="F89" s="1218"/>
      <c r="G89" s="1219">
        <f>2911638</f>
        <v>2911638</v>
      </c>
      <c r="H89" s="1218"/>
      <c r="I89" s="1219">
        <f>22699687</f>
        <v>22699687</v>
      </c>
      <c r="J89" s="1220"/>
      <c r="K89" s="1219">
        <f>2912</f>
        <v>2912</v>
      </c>
      <c r="L89" s="1221"/>
      <c r="M89" s="1219">
        <f>435557</f>
        <v>435557</v>
      </c>
      <c r="N89" s="1220"/>
      <c r="O89" s="1219">
        <f>688202</f>
        <v>688202</v>
      </c>
      <c r="P89" s="1220"/>
      <c r="Q89" s="1219">
        <f>SUM(Q68:Q88)</f>
        <v>58184.350909090914</v>
      </c>
      <c r="R89" s="1220"/>
      <c r="S89" s="1222">
        <f>Q89/10^6</f>
        <v>5.8184350909090916E-2</v>
      </c>
      <c r="T89" s="1220"/>
      <c r="U89" s="1223">
        <f>S89/(12/44)</f>
        <v>0.21334262000000004</v>
      </c>
    </row>
    <row r="90" spans="1:33" ht="12" thickBot="1">
      <c r="A90" s="7"/>
      <c r="B90" s="1208"/>
      <c r="C90" s="1209"/>
      <c r="D90" s="1210"/>
      <c r="E90" s="1210"/>
      <c r="F90" s="1210"/>
      <c r="G90" s="1211"/>
      <c r="H90" s="1212"/>
      <c r="I90" s="1213"/>
      <c r="J90" s="1212"/>
      <c r="K90" s="1214"/>
      <c r="L90" s="498"/>
      <c r="M90" s="1214"/>
      <c r="N90" s="498"/>
      <c r="O90" s="498"/>
      <c r="P90" s="498"/>
      <c r="Q90" s="498"/>
      <c r="R90" s="498"/>
      <c r="S90" s="498"/>
      <c r="T90" s="498"/>
      <c r="U90" s="1215"/>
    </row>
    <row r="91" spans="1:33">
      <c r="A91" s="4"/>
      <c r="B91" s="1069"/>
      <c r="C91" s="85"/>
      <c r="D91" s="274"/>
      <c r="E91" s="274"/>
      <c r="F91" s="274"/>
      <c r="G91" s="285"/>
      <c r="H91" s="1070"/>
      <c r="I91" s="286"/>
      <c r="J91" s="1070"/>
      <c r="K91" s="287"/>
      <c r="L91" s="4"/>
      <c r="M91" s="287"/>
      <c r="N91" s="4"/>
      <c r="O91" s="4"/>
      <c r="P91" s="4"/>
      <c r="Q91" s="4"/>
      <c r="R91" s="4"/>
      <c r="S91" s="4"/>
      <c r="T91" s="4"/>
      <c r="U91" s="4"/>
    </row>
    <row r="92" spans="1:33" ht="12" thickBot="1">
      <c r="A92" s="4"/>
      <c r="B92" s="1069"/>
      <c r="C92" s="85"/>
      <c r="D92" s="274"/>
      <c r="E92" s="274"/>
      <c r="F92" s="274"/>
      <c r="G92" s="285"/>
      <c r="H92" s="1070"/>
      <c r="I92" s="286"/>
      <c r="J92" s="1070"/>
      <c r="K92" s="287"/>
      <c r="L92" s="4"/>
      <c r="M92" s="287"/>
      <c r="N92" s="4"/>
      <c r="O92" s="4"/>
      <c r="P92" s="4"/>
      <c r="Q92" s="4"/>
      <c r="R92" s="4"/>
      <c r="S92" s="4"/>
      <c r="T92" s="4"/>
      <c r="U92" s="4"/>
    </row>
    <row r="93" spans="1:33" ht="20.25" thickBot="1">
      <c r="B93" s="960" t="s">
        <v>321</v>
      </c>
      <c r="C93" s="961"/>
      <c r="D93" s="962"/>
      <c r="E93" s="962"/>
      <c r="F93" s="973"/>
      <c r="G93" s="1228"/>
      <c r="H93" s="1229"/>
      <c r="I93" s="1230"/>
      <c r="J93" s="1229"/>
      <c r="K93" s="1231"/>
      <c r="L93" s="1232"/>
      <c r="M93" s="1231"/>
      <c r="N93" s="1232"/>
      <c r="O93" s="1232"/>
      <c r="P93" s="1232"/>
      <c r="Q93" s="1232"/>
      <c r="R93" s="1232"/>
      <c r="S93" s="1232"/>
      <c r="T93" s="1232"/>
      <c r="U93" s="1232"/>
      <c r="V93" s="1232"/>
      <c r="W93" s="1232"/>
      <c r="X93" s="1232"/>
      <c r="Y93" s="1232"/>
      <c r="Z93" s="1232"/>
      <c r="AA93" s="1232"/>
      <c r="AB93" s="1232"/>
      <c r="AC93" s="1232"/>
      <c r="AD93" s="1232"/>
      <c r="AE93" s="1233"/>
    </row>
    <row r="94" spans="1:33" s="232" customFormat="1" ht="12" thickBot="1">
      <c r="B94" s="1071" t="s">
        <v>617</v>
      </c>
      <c r="C94" s="233"/>
      <c r="D94" s="233"/>
      <c r="E94" s="233"/>
      <c r="F94" s="233"/>
      <c r="G94" s="1106"/>
      <c r="H94" s="1076"/>
      <c r="I94" s="1076"/>
      <c r="J94" s="1106"/>
      <c r="K94" s="1106"/>
      <c r="L94" s="1106"/>
      <c r="M94" s="1108"/>
      <c r="N94" s="1106"/>
      <c r="O94" s="1106"/>
      <c r="P94" s="1109"/>
      <c r="Q94" s="1106"/>
      <c r="R94" s="1106"/>
      <c r="S94" s="1106"/>
      <c r="T94" s="1106"/>
      <c r="U94" s="1106"/>
      <c r="V94" s="1106"/>
      <c r="W94" s="1106"/>
      <c r="X94" s="1106"/>
      <c r="Y94" s="1106"/>
      <c r="Z94" s="1106"/>
      <c r="AA94" s="1106"/>
      <c r="AB94" s="1106"/>
      <c r="AC94" s="1106"/>
      <c r="AD94" s="1106"/>
      <c r="AE94" s="1107"/>
      <c r="AF94" s="233"/>
      <c r="AG94" s="233"/>
    </row>
    <row r="95" spans="1:33" s="232" customFormat="1" ht="48.75" thickBot="1">
      <c r="B95" s="1093"/>
      <c r="C95" s="1088" t="s">
        <v>1123</v>
      </c>
      <c r="D95" s="1088"/>
      <c r="E95" s="1088" t="s">
        <v>618</v>
      </c>
      <c r="F95" s="1088"/>
      <c r="G95" s="1088" t="s">
        <v>649</v>
      </c>
      <c r="H95" s="1094"/>
      <c r="I95" s="1088" t="s">
        <v>650</v>
      </c>
      <c r="J95" s="1094"/>
      <c r="K95" s="1088" t="s">
        <v>619</v>
      </c>
      <c r="L95" s="1088"/>
      <c r="M95" s="1088" t="s">
        <v>657</v>
      </c>
      <c r="N95" s="1095"/>
      <c r="O95" s="1088" t="s">
        <v>658</v>
      </c>
      <c r="P95" s="1088"/>
      <c r="Q95" s="1088" t="s">
        <v>659</v>
      </c>
      <c r="R95" s="1094"/>
      <c r="S95" s="1088" t="s">
        <v>660</v>
      </c>
      <c r="T95" s="1088"/>
      <c r="U95" s="1088" t="s">
        <v>677</v>
      </c>
      <c r="V95" s="1094"/>
      <c r="W95" s="1088" t="s">
        <v>620</v>
      </c>
      <c r="X95" s="1072"/>
      <c r="Y95" s="1086"/>
      <c r="Z95" s="1087" t="s">
        <v>678</v>
      </c>
      <c r="AA95" s="1088" t="s">
        <v>653</v>
      </c>
      <c r="AB95" s="1086"/>
      <c r="AC95" s="1089" t="s">
        <v>654</v>
      </c>
      <c r="AD95" s="1086"/>
      <c r="AE95" s="1090" t="s">
        <v>655</v>
      </c>
    </row>
    <row r="96" spans="1:33" s="232" customFormat="1">
      <c r="B96" s="3200" t="s">
        <v>621</v>
      </c>
      <c r="C96" s="3201" t="s">
        <v>622</v>
      </c>
      <c r="D96" s="3202"/>
      <c r="E96" s="3203">
        <v>140</v>
      </c>
      <c r="F96" s="3204"/>
      <c r="G96" s="3205" t="s">
        <v>959</v>
      </c>
      <c r="H96" s="3206"/>
      <c r="I96" s="3206">
        <v>0</v>
      </c>
      <c r="J96" s="3206"/>
      <c r="K96" s="3207">
        <f>E96*0.9072*1000</f>
        <v>127008</v>
      </c>
      <c r="L96" s="3208"/>
      <c r="M96" s="3206">
        <v>0.85</v>
      </c>
      <c r="N96" s="3206"/>
      <c r="O96" s="3206">
        <v>0</v>
      </c>
      <c r="P96" s="3206"/>
      <c r="Q96" s="3206" t="s">
        <v>959</v>
      </c>
      <c r="R96" s="3206"/>
      <c r="S96" s="3207" t="s">
        <v>959</v>
      </c>
      <c r="T96" s="3209"/>
      <c r="U96" s="3206">
        <v>0.03</v>
      </c>
      <c r="V96" s="3206"/>
      <c r="W96" s="3210">
        <f>(K96*1000)*(1+I96)*M96*U96</f>
        <v>3238704</v>
      </c>
      <c r="X96" s="3211"/>
      <c r="Y96" s="3212" t="s">
        <v>623</v>
      </c>
      <c r="Z96" s="3209">
        <v>0.01</v>
      </c>
      <c r="AA96" s="3213">
        <f>S117/1000*Z96*44/28</f>
        <v>422.23715421701729</v>
      </c>
      <c r="AB96" s="3211"/>
      <c r="AC96" s="3214">
        <f>AA96*310*12/44*10^-6</f>
        <v>3.5698232129256914E-2</v>
      </c>
      <c r="AD96" s="3211"/>
      <c r="AE96" s="3215">
        <f>AC96/(12/44)</f>
        <v>0.13089351780727537</v>
      </c>
    </row>
    <row r="97" spans="2:31" s="232" customFormat="1" ht="12.75" customHeight="1">
      <c r="B97" s="1117" t="s">
        <v>624</v>
      </c>
      <c r="C97" s="3216" t="s">
        <v>625</v>
      </c>
      <c r="D97" s="3216"/>
      <c r="E97" s="3217">
        <v>46870</v>
      </c>
      <c r="F97" s="3218"/>
      <c r="G97" s="3219">
        <v>2.5401147108E-2</v>
      </c>
      <c r="H97" s="3220"/>
      <c r="I97" s="3220">
        <v>1</v>
      </c>
      <c r="J97" s="3220"/>
      <c r="K97" s="3221">
        <f t="shared" ref="K97:K103" si="10">E97*1000*G97</f>
        <v>1190551.76495196</v>
      </c>
      <c r="L97" s="3222"/>
      <c r="M97" s="3220">
        <v>0.91</v>
      </c>
      <c r="N97" s="3220"/>
      <c r="O97" s="3220">
        <v>0.9</v>
      </c>
      <c r="P97" s="3220"/>
      <c r="Q97" s="3220">
        <v>5.7999999999999996E-3</v>
      </c>
      <c r="R97" s="3220"/>
      <c r="S97" s="3222">
        <f>(K97*1000)*I97*M97*O97*Q97</f>
        <v>5655358.9938747985</v>
      </c>
      <c r="T97" s="3223"/>
      <c r="U97" s="3220">
        <v>0.03</v>
      </c>
      <c r="V97" s="3220"/>
      <c r="W97" s="3222" t="s">
        <v>959</v>
      </c>
      <c r="X97" s="2430"/>
      <c r="Y97" s="3224" t="s">
        <v>626</v>
      </c>
      <c r="Z97" s="3223">
        <v>0.01</v>
      </c>
      <c r="AA97" s="3225">
        <f>W117/1000*Z97*44/28</f>
        <v>670.39496110002494</v>
      </c>
      <c r="AB97" s="2430"/>
      <c r="AC97" s="3226">
        <f>AA97*310*12/44*10^-6</f>
        <v>5.6678846711183915E-2</v>
      </c>
      <c r="AD97" s="2430"/>
      <c r="AE97" s="3227">
        <f>AC97/(12/44)</f>
        <v>0.20782243794100771</v>
      </c>
    </row>
    <row r="98" spans="2:31" s="232" customFormat="1" ht="15" customHeight="1">
      <c r="B98" s="1117" t="s">
        <v>627</v>
      </c>
      <c r="C98" s="3216" t="s">
        <v>625</v>
      </c>
      <c r="D98" s="3216"/>
      <c r="E98" s="3217">
        <v>12540</v>
      </c>
      <c r="F98" s="3218"/>
      <c r="G98" s="3219">
        <v>2.7215442853E-2</v>
      </c>
      <c r="H98" s="3220"/>
      <c r="I98" s="3220">
        <v>1.3</v>
      </c>
      <c r="J98" s="3220"/>
      <c r="K98" s="3222">
        <f t="shared" si="10"/>
        <v>341281.65337661997</v>
      </c>
      <c r="L98" s="3222"/>
      <c r="M98" s="3220">
        <v>0.93</v>
      </c>
      <c r="N98" s="3220"/>
      <c r="O98" s="3220">
        <v>0.9</v>
      </c>
      <c r="P98" s="3220"/>
      <c r="Q98" s="3220">
        <v>6.1999999999999998E-3</v>
      </c>
      <c r="R98" s="3220"/>
      <c r="S98" s="3222">
        <f t="shared" ref="S98:S111" si="11">(K98*1000)*I98*M98*O98*Q98</f>
        <v>2302361.1156424214</v>
      </c>
      <c r="T98" s="3223"/>
      <c r="U98" s="3220">
        <v>0.03</v>
      </c>
      <c r="V98" s="3220"/>
      <c r="W98" s="3222" t="s">
        <v>959</v>
      </c>
      <c r="X98" s="2430"/>
      <c r="Y98" s="3228"/>
      <c r="Z98" s="3229"/>
      <c r="AA98" s="2430"/>
      <c r="AB98" s="2430"/>
      <c r="AC98" s="2430"/>
      <c r="AD98" s="2430"/>
      <c r="AE98" s="3230"/>
    </row>
    <row r="99" spans="2:31" s="232" customFormat="1" ht="12" customHeight="1">
      <c r="B99" s="1117" t="s">
        <v>628</v>
      </c>
      <c r="C99" s="3216" t="s">
        <v>625</v>
      </c>
      <c r="D99" s="3216"/>
      <c r="E99" s="3217">
        <v>2880</v>
      </c>
      <c r="F99" s="3218"/>
      <c r="G99" s="3219">
        <v>2.1772E-2</v>
      </c>
      <c r="H99" s="3220"/>
      <c r="I99" s="3220">
        <v>1.2</v>
      </c>
      <c r="J99" s="3220"/>
      <c r="K99" s="3222">
        <f t="shared" si="10"/>
        <v>62703.360000000001</v>
      </c>
      <c r="L99" s="3222"/>
      <c r="M99" s="3220">
        <v>0.93</v>
      </c>
      <c r="N99" s="3220"/>
      <c r="O99" s="3220">
        <v>0.9</v>
      </c>
      <c r="P99" s="3220"/>
      <c r="Q99" s="3220">
        <v>7.7000000000000002E-3</v>
      </c>
      <c r="R99" s="3220"/>
      <c r="S99" s="3222">
        <f t="shared" si="11"/>
        <v>484940.26183680008</v>
      </c>
      <c r="T99" s="3223"/>
      <c r="U99" s="3220">
        <v>0.03</v>
      </c>
      <c r="V99" s="3220"/>
      <c r="W99" s="3222" t="s">
        <v>959</v>
      </c>
      <c r="X99" s="2430"/>
      <c r="Y99" s="2430"/>
      <c r="Z99" s="3229"/>
      <c r="AA99" s="2430"/>
      <c r="AB99" s="2430"/>
      <c r="AC99" s="2430"/>
      <c r="AD99" s="2430"/>
      <c r="AE99" s="3230"/>
    </row>
    <row r="100" spans="2:31" s="232" customFormat="1" ht="13.5" customHeight="1">
      <c r="B100" s="1117" t="s">
        <v>629</v>
      </c>
      <c r="C100" s="3216" t="s">
        <v>625</v>
      </c>
      <c r="D100" s="3216"/>
      <c r="E100" s="3217">
        <v>0</v>
      </c>
      <c r="F100" s="3218"/>
      <c r="G100" s="3219">
        <v>2.5401169512752383E-2</v>
      </c>
      <c r="H100" s="3220"/>
      <c r="I100" s="3220">
        <v>1.4</v>
      </c>
      <c r="J100" s="3220"/>
      <c r="K100" s="3222">
        <f t="shared" si="10"/>
        <v>0</v>
      </c>
      <c r="L100" s="3222"/>
      <c r="M100" s="3220">
        <v>0.91</v>
      </c>
      <c r="N100" s="3220"/>
      <c r="O100" s="3220">
        <v>0.9</v>
      </c>
      <c r="P100" s="3220"/>
      <c r="Q100" s="3220">
        <v>1.0800000000000001E-2</v>
      </c>
      <c r="R100" s="3220"/>
      <c r="S100" s="3222">
        <f t="shared" si="11"/>
        <v>0</v>
      </c>
      <c r="T100" s="3223"/>
      <c r="U100" s="3220">
        <v>0.03</v>
      </c>
      <c r="V100" s="3220"/>
      <c r="W100" s="3222" t="s">
        <v>959</v>
      </c>
      <c r="X100" s="2430"/>
      <c r="Y100" s="2430"/>
      <c r="Z100" s="3229"/>
      <c r="AA100" s="2430"/>
      <c r="AB100" s="2430"/>
      <c r="AC100" s="2430"/>
      <c r="AD100" s="2430"/>
      <c r="AE100" s="3230"/>
    </row>
    <row r="101" spans="2:31" s="232" customFormat="1" ht="12.75" customHeight="1">
      <c r="B101" s="1117" t="s">
        <v>630</v>
      </c>
      <c r="C101" s="3216" t="s">
        <v>625</v>
      </c>
      <c r="D101" s="3216"/>
      <c r="E101" s="3217">
        <v>0</v>
      </c>
      <c r="F101" s="3218"/>
      <c r="G101" s="3219">
        <v>1.4514959222223263E-2</v>
      </c>
      <c r="H101" s="3220"/>
      <c r="I101" s="3220">
        <v>1.3</v>
      </c>
      <c r="J101" s="3220"/>
      <c r="K101" s="3222">
        <f t="shared" si="10"/>
        <v>0</v>
      </c>
      <c r="L101" s="3222"/>
      <c r="M101" s="3220">
        <v>0.92</v>
      </c>
      <c r="N101" s="3220"/>
      <c r="O101" s="3220">
        <v>0.9</v>
      </c>
      <c r="P101" s="3220"/>
      <c r="Q101" s="3220">
        <v>7.0000000000000001E-3</v>
      </c>
      <c r="R101" s="3220"/>
      <c r="S101" s="3222">
        <f t="shared" si="11"/>
        <v>0</v>
      </c>
      <c r="T101" s="3223"/>
      <c r="U101" s="3220">
        <v>0.03</v>
      </c>
      <c r="V101" s="3220"/>
      <c r="W101" s="3222" t="s">
        <v>959</v>
      </c>
      <c r="X101" s="2430"/>
      <c r="Y101" s="2430"/>
      <c r="Z101" s="3229"/>
      <c r="AA101" s="2430"/>
      <c r="AB101" s="2430"/>
      <c r="AC101" s="2430"/>
      <c r="AD101" s="2430"/>
      <c r="AE101" s="3230"/>
    </row>
    <row r="102" spans="2:31" s="232" customFormat="1" ht="11.25" customHeight="1">
      <c r="B102" s="1117" t="s">
        <v>631</v>
      </c>
      <c r="C102" s="3216" t="s">
        <v>625</v>
      </c>
      <c r="D102" s="3216"/>
      <c r="E102" s="3217">
        <v>0</v>
      </c>
      <c r="F102" s="3218"/>
      <c r="G102" s="3219">
        <v>2.5401046494036766E-2</v>
      </c>
      <c r="H102" s="3220"/>
      <c r="I102" s="3220">
        <v>1.6</v>
      </c>
      <c r="J102" s="3220"/>
      <c r="K102" s="3222">
        <f t="shared" si="10"/>
        <v>0</v>
      </c>
      <c r="L102" s="3222"/>
      <c r="M102" s="3220">
        <v>0.9</v>
      </c>
      <c r="N102" s="3220"/>
      <c r="O102" s="3220">
        <v>0.9</v>
      </c>
      <c r="P102" s="3220"/>
      <c r="Q102" s="3220">
        <v>4.7999999999999996E-3</v>
      </c>
      <c r="R102" s="3220"/>
      <c r="S102" s="3222">
        <f t="shared" si="11"/>
        <v>0</v>
      </c>
      <c r="T102" s="3223"/>
      <c r="U102" s="3220">
        <v>0.03</v>
      </c>
      <c r="V102" s="3220"/>
      <c r="W102" s="3222" t="s">
        <v>959</v>
      </c>
      <c r="X102" s="2430"/>
      <c r="Y102" s="2430"/>
      <c r="Z102" s="3229"/>
      <c r="AA102" s="2430"/>
      <c r="AB102" s="2430"/>
      <c r="AC102" s="2430"/>
      <c r="AD102" s="2430"/>
      <c r="AE102" s="3230"/>
    </row>
    <row r="103" spans="2:31" s="232" customFormat="1" ht="15" customHeight="1">
      <c r="B103" s="1117" t="s">
        <v>632</v>
      </c>
      <c r="C103" s="3216" t="s">
        <v>625</v>
      </c>
      <c r="D103" s="3216"/>
      <c r="E103" s="3231">
        <v>0</v>
      </c>
      <c r="F103" s="3218"/>
      <c r="G103" s="3219">
        <v>2.7215E-2</v>
      </c>
      <c r="H103" s="3220"/>
      <c r="I103" s="3220">
        <v>1.4</v>
      </c>
      <c r="J103" s="3220"/>
      <c r="K103" s="3222">
        <f t="shared" si="10"/>
        <v>0</v>
      </c>
      <c r="L103" s="3223"/>
      <c r="M103" s="3220">
        <v>0.89</v>
      </c>
      <c r="N103" s="3220"/>
      <c r="O103" s="3220">
        <v>0.89</v>
      </c>
      <c r="P103" s="3220"/>
      <c r="Q103" s="3220">
        <v>7.0000000000000001E-3</v>
      </c>
      <c r="R103" s="3220"/>
      <c r="S103" s="3222">
        <f t="shared" si="11"/>
        <v>0</v>
      </c>
      <c r="T103" s="3223"/>
      <c r="U103" s="3220">
        <v>0.03</v>
      </c>
      <c r="V103" s="3220"/>
      <c r="W103" s="3222" t="s">
        <v>959</v>
      </c>
      <c r="X103" s="2430"/>
      <c r="Y103" s="2430"/>
      <c r="Z103" s="3232"/>
      <c r="AA103" s="2430"/>
      <c r="AB103" s="2430"/>
      <c r="AC103" s="2430"/>
      <c r="AD103" s="2430"/>
      <c r="AE103" s="3230"/>
    </row>
    <row r="104" spans="2:31" s="232" customFormat="1" ht="29.25" customHeight="1">
      <c r="B104" s="1117" t="s">
        <v>633</v>
      </c>
      <c r="C104" s="3216" t="s">
        <v>656</v>
      </c>
      <c r="D104" s="3216"/>
      <c r="E104" s="3217">
        <v>0</v>
      </c>
      <c r="F104" s="3218"/>
      <c r="G104" s="3219" t="s">
        <v>959</v>
      </c>
      <c r="H104" s="3220"/>
      <c r="I104" s="3220">
        <v>1.4</v>
      </c>
      <c r="J104" s="3220"/>
      <c r="K104" s="3222">
        <f>(E104*0.454)*100</f>
        <v>0</v>
      </c>
      <c r="L104" s="3222"/>
      <c r="M104" s="3220">
        <v>0.91</v>
      </c>
      <c r="N104" s="3220"/>
      <c r="O104" s="3220">
        <v>1</v>
      </c>
      <c r="P104" s="3220"/>
      <c r="Q104" s="3220">
        <v>7.1999999999999998E-3</v>
      </c>
      <c r="R104" s="3220"/>
      <c r="S104" s="3222">
        <f t="shared" si="11"/>
        <v>0</v>
      </c>
      <c r="T104" s="3223"/>
      <c r="U104" s="3220">
        <v>0.03</v>
      </c>
      <c r="V104" s="3220"/>
      <c r="W104" s="3222" t="s">
        <v>959</v>
      </c>
      <c r="X104" s="2430"/>
      <c r="Y104" s="2430"/>
      <c r="Z104" s="3229"/>
      <c r="AA104" s="2430"/>
      <c r="AB104" s="2430"/>
      <c r="AC104" s="2430"/>
      <c r="AD104" s="2430"/>
      <c r="AE104" s="3230"/>
    </row>
    <row r="105" spans="2:31" s="232" customFormat="1" ht="15.75" customHeight="1">
      <c r="B105" s="1117" t="s">
        <v>634</v>
      </c>
      <c r="C105" s="3216" t="s">
        <v>625</v>
      </c>
      <c r="D105" s="3216"/>
      <c r="E105" s="3217">
        <v>17903</v>
      </c>
      <c r="F105" s="3218"/>
      <c r="G105" s="3219">
        <v>2.7215692074999999E-2</v>
      </c>
      <c r="H105" s="3220"/>
      <c r="I105" s="3220">
        <v>2.1</v>
      </c>
      <c r="J105" s="3220"/>
      <c r="K105" s="3222">
        <f>E105*1000*G105</f>
        <v>487242.53521872498</v>
      </c>
      <c r="L105" s="3222"/>
      <c r="M105" s="3220">
        <v>0.87</v>
      </c>
      <c r="N105" s="3220"/>
      <c r="O105" s="3220">
        <v>0.9</v>
      </c>
      <c r="P105" s="3220"/>
      <c r="Q105" s="3220">
        <v>2.3E-2</v>
      </c>
      <c r="R105" s="3220"/>
      <c r="S105" s="3222">
        <f t="shared" si="11"/>
        <v>18426976.715183441</v>
      </c>
      <c r="T105" s="3223"/>
      <c r="U105" s="3220">
        <v>0.03</v>
      </c>
      <c r="V105" s="3220"/>
      <c r="W105" s="3221">
        <f>(K105*1000)*(1+I105)*M105*U105</f>
        <v>39422793.524547033</v>
      </c>
      <c r="X105" s="2430"/>
      <c r="Y105" s="2430"/>
      <c r="Z105" s="3229"/>
      <c r="AA105" s="2430"/>
      <c r="AB105" s="2430"/>
      <c r="AC105" s="2430"/>
      <c r="AD105" s="2430"/>
      <c r="AE105" s="3230"/>
    </row>
    <row r="106" spans="2:31" s="232" customFormat="1">
      <c r="B106" s="1117" t="s">
        <v>635</v>
      </c>
      <c r="C106" s="3216" t="s">
        <v>636</v>
      </c>
      <c r="D106" s="3216"/>
      <c r="E106" s="3217">
        <v>0</v>
      </c>
      <c r="F106" s="3218"/>
      <c r="G106" s="3219" t="s">
        <v>959</v>
      </c>
      <c r="H106" s="3220"/>
      <c r="I106" s="3220">
        <v>1</v>
      </c>
      <c r="J106" s="3220"/>
      <c r="K106" s="3222">
        <f>(E106*1000/2000*0.9072)</f>
        <v>0</v>
      </c>
      <c r="L106" s="3222"/>
      <c r="M106" s="3220">
        <v>0.86</v>
      </c>
      <c r="N106" s="3220"/>
      <c r="O106" s="3220">
        <v>0.9</v>
      </c>
      <c r="P106" s="3220"/>
      <c r="Q106" s="3220">
        <v>1.06E-2</v>
      </c>
      <c r="R106" s="3220"/>
      <c r="S106" s="3222">
        <f t="shared" si="11"/>
        <v>0</v>
      </c>
      <c r="T106" s="3223"/>
      <c r="U106" s="3220">
        <v>0.03</v>
      </c>
      <c r="V106" s="3220"/>
      <c r="W106" s="3221">
        <f t="shared" ref="W106:W115" si="12">(K106*1000)*(1+I106)*M106*U106</f>
        <v>0</v>
      </c>
      <c r="X106" s="2430"/>
      <c r="Y106" s="2430"/>
      <c r="Z106" s="3229"/>
      <c r="AA106" s="2430"/>
      <c r="AB106" s="2430"/>
      <c r="AC106" s="2430"/>
      <c r="AD106" s="2430"/>
      <c r="AE106" s="3230"/>
    </row>
    <row r="107" spans="2:31" s="232" customFormat="1" ht="32.25" customHeight="1">
      <c r="B107" s="1117" t="s">
        <v>637</v>
      </c>
      <c r="C107" s="3216" t="s">
        <v>656</v>
      </c>
      <c r="D107" s="3216"/>
      <c r="E107" s="3217">
        <v>0</v>
      </c>
      <c r="F107" s="3218"/>
      <c r="G107" s="3219" t="s">
        <v>959</v>
      </c>
      <c r="H107" s="3220"/>
      <c r="I107" s="3220">
        <v>2.1</v>
      </c>
      <c r="J107" s="3220"/>
      <c r="K107" s="3222">
        <f>(E107*0.454)*100</f>
        <v>0</v>
      </c>
      <c r="L107" s="3222"/>
      <c r="M107" s="3220">
        <v>0.87</v>
      </c>
      <c r="N107" s="3220"/>
      <c r="O107" s="3220">
        <v>1.55</v>
      </c>
      <c r="P107" s="3220"/>
      <c r="Q107" s="3220">
        <v>1.6799999999999999E-2</v>
      </c>
      <c r="R107" s="3220"/>
      <c r="S107" s="3222">
        <f t="shared" si="11"/>
        <v>0</v>
      </c>
      <c r="T107" s="3223"/>
      <c r="U107" s="3220">
        <v>0.03</v>
      </c>
      <c r="V107" s="3220"/>
      <c r="W107" s="3221">
        <f t="shared" si="12"/>
        <v>0</v>
      </c>
      <c r="X107" s="2430"/>
      <c r="Y107" s="3220"/>
      <c r="Z107" s="3229"/>
      <c r="AA107" s="2430"/>
      <c r="AB107" s="2430"/>
      <c r="AC107" s="2430"/>
      <c r="AD107" s="2430"/>
      <c r="AE107" s="3230"/>
    </row>
    <row r="108" spans="2:31" s="232" customFormat="1" ht="22.5">
      <c r="B108" s="1117" t="s">
        <v>638</v>
      </c>
      <c r="C108" s="3216" t="s">
        <v>656</v>
      </c>
      <c r="D108" s="3216"/>
      <c r="E108" s="3217">
        <v>0</v>
      </c>
      <c r="F108" s="3218"/>
      <c r="G108" s="3219" t="s">
        <v>959</v>
      </c>
      <c r="H108" s="3220"/>
      <c r="I108" s="3220">
        <v>1.5</v>
      </c>
      <c r="J108" s="3220"/>
      <c r="K108" s="3222">
        <f>(E108*0.454)*100</f>
        <v>0</v>
      </c>
      <c r="L108" s="3222"/>
      <c r="M108" s="3220">
        <v>0.87</v>
      </c>
      <c r="N108" s="3220"/>
      <c r="O108" s="3220">
        <v>0.9</v>
      </c>
      <c r="P108" s="3220"/>
      <c r="Q108" s="3220">
        <v>1.6799999999999999E-2</v>
      </c>
      <c r="R108" s="3220"/>
      <c r="S108" s="3222">
        <f t="shared" si="11"/>
        <v>0</v>
      </c>
      <c r="T108" s="3223"/>
      <c r="U108" s="3220">
        <v>0.03</v>
      </c>
      <c r="V108" s="3220"/>
      <c r="W108" s="3221">
        <f t="shared" si="12"/>
        <v>0</v>
      </c>
      <c r="X108" s="2430"/>
      <c r="Y108" s="3220"/>
      <c r="Z108" s="3229"/>
      <c r="AA108" s="2430"/>
      <c r="AB108" s="2430"/>
      <c r="AC108" s="2430"/>
      <c r="AD108" s="2430"/>
      <c r="AE108" s="3230"/>
    </row>
    <row r="109" spans="2:31" s="232" customFormat="1" ht="22.5">
      <c r="B109" s="3233" t="s">
        <v>639</v>
      </c>
      <c r="C109" s="3216" t="s">
        <v>656</v>
      </c>
      <c r="D109" s="3216"/>
      <c r="E109" s="3217">
        <v>0</v>
      </c>
      <c r="F109" s="3218"/>
      <c r="G109" s="3219" t="s">
        <v>959</v>
      </c>
      <c r="H109" s="3220"/>
      <c r="I109" s="3220">
        <v>1.5</v>
      </c>
      <c r="J109" s="3220"/>
      <c r="K109" s="3222">
        <f>(E109*0.454)*100</f>
        <v>0</v>
      </c>
      <c r="L109" s="3222"/>
      <c r="M109" s="3220">
        <v>0.87</v>
      </c>
      <c r="N109" s="3220"/>
      <c r="O109" s="3220">
        <v>0.9</v>
      </c>
      <c r="P109" s="3220"/>
      <c r="Q109" s="3220">
        <v>1.6799999999999999E-2</v>
      </c>
      <c r="R109" s="3220"/>
      <c r="S109" s="3222">
        <f t="shared" si="11"/>
        <v>0</v>
      </c>
      <c r="T109" s="3223"/>
      <c r="U109" s="3220">
        <v>0.03</v>
      </c>
      <c r="V109" s="3220"/>
      <c r="W109" s="3221">
        <f t="shared" si="12"/>
        <v>0</v>
      </c>
      <c r="X109" s="2430"/>
      <c r="Y109" s="3220"/>
      <c r="Z109" s="3229"/>
      <c r="AA109" s="2430"/>
      <c r="AB109" s="2430"/>
      <c r="AC109" s="2430"/>
      <c r="AD109" s="2430"/>
      <c r="AE109" s="3230"/>
    </row>
    <row r="110" spans="2:31" s="232" customFormat="1" ht="22.5">
      <c r="B110" s="3233" t="s">
        <v>640</v>
      </c>
      <c r="C110" s="3216" t="s">
        <v>656</v>
      </c>
      <c r="D110" s="3216"/>
      <c r="E110" s="3217">
        <v>0</v>
      </c>
      <c r="F110" s="3218"/>
      <c r="G110" s="3219" t="s">
        <v>959</v>
      </c>
      <c r="H110" s="3220"/>
      <c r="I110" s="3220">
        <v>2.1</v>
      </c>
      <c r="J110" s="3220"/>
      <c r="K110" s="3222">
        <f>(E110*0.454)*100</f>
        <v>0</v>
      </c>
      <c r="L110" s="3222"/>
      <c r="M110" s="3220">
        <v>0.87</v>
      </c>
      <c r="N110" s="3220"/>
      <c r="O110" s="3220">
        <v>1.55</v>
      </c>
      <c r="P110" s="3220"/>
      <c r="Q110" s="3220">
        <v>1.6799999999999999E-2</v>
      </c>
      <c r="R110" s="3220"/>
      <c r="S110" s="3222">
        <f t="shared" si="11"/>
        <v>0</v>
      </c>
      <c r="T110" s="3223"/>
      <c r="U110" s="3220">
        <v>0.03</v>
      </c>
      <c r="V110" s="3220"/>
      <c r="W110" s="3221">
        <f t="shared" si="12"/>
        <v>0</v>
      </c>
      <c r="X110" s="2430"/>
      <c r="Y110" s="3234"/>
      <c r="Z110" s="3229"/>
      <c r="AA110" s="2430"/>
      <c r="AB110" s="2430"/>
      <c r="AC110" s="2430"/>
      <c r="AD110" s="2430"/>
      <c r="AE110" s="3230"/>
    </row>
    <row r="111" spans="2:31" s="232" customFormat="1" ht="22.5">
      <c r="B111" s="3233" t="s">
        <v>641</v>
      </c>
      <c r="C111" s="3216" t="s">
        <v>656</v>
      </c>
      <c r="D111" s="3216"/>
      <c r="E111" s="3217">
        <v>0</v>
      </c>
      <c r="F111" s="3218"/>
      <c r="G111" s="3219" t="s">
        <v>959</v>
      </c>
      <c r="H111" s="3220"/>
      <c r="I111" s="3220">
        <v>1.5</v>
      </c>
      <c r="J111" s="3220"/>
      <c r="K111" s="3222">
        <f>(E111*0.454)*100</f>
        <v>0</v>
      </c>
      <c r="L111" s="3222"/>
      <c r="M111" s="3220">
        <v>0.87</v>
      </c>
      <c r="N111" s="3220"/>
      <c r="O111" s="3220">
        <v>0.9</v>
      </c>
      <c r="P111" s="3220"/>
      <c r="Q111" s="3220">
        <v>1.6799999999999999E-2</v>
      </c>
      <c r="R111" s="3220"/>
      <c r="S111" s="3222">
        <f t="shared" si="11"/>
        <v>0</v>
      </c>
      <c r="T111" s="3223"/>
      <c r="U111" s="3220">
        <v>0.03</v>
      </c>
      <c r="V111" s="3220"/>
      <c r="W111" s="3221">
        <f t="shared" si="12"/>
        <v>0</v>
      </c>
      <c r="X111" s="2430"/>
      <c r="Y111" s="3234"/>
      <c r="Z111" s="3229"/>
      <c r="AA111" s="2430"/>
      <c r="AB111" s="2430"/>
      <c r="AC111" s="2430"/>
      <c r="AD111" s="2430"/>
      <c r="AE111" s="3230"/>
    </row>
    <row r="112" spans="2:31" s="232" customFormat="1">
      <c r="B112" s="3233" t="s">
        <v>642</v>
      </c>
      <c r="C112" s="3235" t="s">
        <v>643</v>
      </c>
      <c r="D112" s="3216"/>
      <c r="E112" s="3231"/>
      <c r="F112" s="3218"/>
      <c r="G112" s="3219" t="s">
        <v>959</v>
      </c>
      <c r="H112" s="3220"/>
      <c r="I112" s="3220"/>
      <c r="J112" s="3220"/>
      <c r="K112" s="3222">
        <f>E112</f>
        <v>0</v>
      </c>
      <c r="L112" s="3223"/>
      <c r="M112" s="3220"/>
      <c r="N112" s="3220"/>
      <c r="O112" s="3220"/>
      <c r="P112" s="3220"/>
      <c r="Q112" s="3220"/>
      <c r="R112" s="3220"/>
      <c r="S112" s="3222" t="s">
        <v>959</v>
      </c>
      <c r="T112" s="3223"/>
      <c r="U112" s="3220">
        <v>0.03</v>
      </c>
      <c r="V112" s="3220"/>
      <c r="W112" s="3221">
        <f t="shared" si="12"/>
        <v>0</v>
      </c>
      <c r="X112" s="2430"/>
      <c r="Y112" s="3234"/>
      <c r="Z112" s="3229"/>
      <c r="AA112" s="2430"/>
      <c r="AB112" s="2430"/>
      <c r="AC112" s="2430"/>
      <c r="AD112" s="2430"/>
      <c r="AE112" s="3230"/>
    </row>
    <row r="113" spans="1:31" s="232" customFormat="1">
      <c r="B113" s="3233" t="s">
        <v>644</v>
      </c>
      <c r="C113" s="3235" t="s">
        <v>643</v>
      </c>
      <c r="D113" s="3216"/>
      <c r="E113" s="3231"/>
      <c r="F113" s="3218"/>
      <c r="G113" s="3219" t="s">
        <v>959</v>
      </c>
      <c r="H113" s="3220"/>
      <c r="I113" s="3220"/>
      <c r="J113" s="3220"/>
      <c r="K113" s="3222">
        <f>E113</f>
        <v>0</v>
      </c>
      <c r="L113" s="3223"/>
      <c r="M113" s="3220"/>
      <c r="N113" s="3220"/>
      <c r="O113" s="3220"/>
      <c r="P113" s="3220"/>
      <c r="Q113" s="3220"/>
      <c r="R113" s="3220"/>
      <c r="S113" s="3222" t="s">
        <v>959</v>
      </c>
      <c r="T113" s="3223"/>
      <c r="U113" s="3220">
        <v>0.03</v>
      </c>
      <c r="V113" s="3220"/>
      <c r="W113" s="3221">
        <f t="shared" si="12"/>
        <v>0</v>
      </c>
      <c r="X113" s="2430"/>
      <c r="Y113" s="3234"/>
      <c r="Z113" s="3229"/>
      <c r="AA113" s="2430"/>
      <c r="AB113" s="2430"/>
      <c r="AC113" s="2430"/>
      <c r="AD113" s="2430"/>
      <c r="AE113" s="3230"/>
    </row>
    <row r="114" spans="1:31" s="232" customFormat="1">
      <c r="B114" s="3233" t="s">
        <v>645</v>
      </c>
      <c r="C114" s="3235" t="s">
        <v>643</v>
      </c>
      <c r="D114" s="3216"/>
      <c r="E114" s="3231"/>
      <c r="F114" s="3218"/>
      <c r="G114" s="3219" t="s">
        <v>959</v>
      </c>
      <c r="H114" s="3220"/>
      <c r="I114" s="3220"/>
      <c r="J114" s="3220"/>
      <c r="K114" s="3222">
        <f>E114</f>
        <v>0</v>
      </c>
      <c r="L114" s="3223"/>
      <c r="M114" s="3220"/>
      <c r="N114" s="3220"/>
      <c r="O114" s="3220"/>
      <c r="P114" s="3220"/>
      <c r="Q114" s="3220"/>
      <c r="R114" s="3220"/>
      <c r="S114" s="3222" t="s">
        <v>959</v>
      </c>
      <c r="T114" s="3223"/>
      <c r="U114" s="3220">
        <v>0.03</v>
      </c>
      <c r="V114" s="3220"/>
      <c r="W114" s="3221">
        <f t="shared" si="12"/>
        <v>0</v>
      </c>
      <c r="X114" s="2430"/>
      <c r="Y114" s="3234"/>
      <c r="Z114" s="3229"/>
      <c r="AA114" s="2430"/>
      <c r="AB114" s="2430"/>
      <c r="AC114" s="2430"/>
      <c r="AD114" s="2430"/>
      <c r="AE114" s="3230"/>
    </row>
    <row r="115" spans="1:31" s="232" customFormat="1">
      <c r="B115" s="3233" t="s">
        <v>646</v>
      </c>
      <c r="C115" s="3235" t="s">
        <v>643</v>
      </c>
      <c r="D115" s="3216"/>
      <c r="E115" s="3231"/>
      <c r="F115" s="3218"/>
      <c r="G115" s="3219" t="s">
        <v>959</v>
      </c>
      <c r="H115" s="3220"/>
      <c r="I115" s="3220"/>
      <c r="J115" s="3220"/>
      <c r="K115" s="3222">
        <f>E115</f>
        <v>0</v>
      </c>
      <c r="L115" s="3223"/>
      <c r="M115" s="3220"/>
      <c r="N115" s="3220"/>
      <c r="O115" s="3220"/>
      <c r="P115" s="3220"/>
      <c r="Q115" s="3220"/>
      <c r="R115" s="3220"/>
      <c r="S115" s="3222" t="s">
        <v>959</v>
      </c>
      <c r="T115" s="3223"/>
      <c r="U115" s="3220">
        <v>0.03</v>
      </c>
      <c r="V115" s="3220"/>
      <c r="W115" s="3221">
        <f t="shared" si="12"/>
        <v>0</v>
      </c>
      <c r="X115" s="2430"/>
      <c r="Y115" s="3234"/>
      <c r="Z115" s="3229"/>
      <c r="AA115" s="2430"/>
      <c r="AB115" s="2430"/>
      <c r="AC115" s="2430"/>
      <c r="AD115" s="2430"/>
      <c r="AE115" s="3230"/>
    </row>
    <row r="116" spans="1:31" s="232" customFormat="1">
      <c r="B116" s="3233" t="s">
        <v>647</v>
      </c>
      <c r="C116" s="3235" t="s">
        <v>643</v>
      </c>
      <c r="D116" s="3216"/>
      <c r="E116" s="3231"/>
      <c r="F116" s="3218"/>
      <c r="G116" s="3219" t="s">
        <v>959</v>
      </c>
      <c r="H116" s="3220"/>
      <c r="I116" s="3220"/>
      <c r="J116" s="3220"/>
      <c r="K116" s="3222">
        <f>E116</f>
        <v>0</v>
      </c>
      <c r="L116" s="3223"/>
      <c r="M116" s="3220"/>
      <c r="N116" s="3220"/>
      <c r="O116" s="3220"/>
      <c r="P116" s="3220"/>
      <c r="Q116" s="3220"/>
      <c r="R116" s="3220"/>
      <c r="S116" s="3222" t="s">
        <v>959</v>
      </c>
      <c r="T116" s="3223"/>
      <c r="U116" s="3220">
        <v>0.03</v>
      </c>
      <c r="V116" s="3220"/>
      <c r="W116" s="3221">
        <f>(K116*1000)*(1+I116)*M116*U116</f>
        <v>0</v>
      </c>
      <c r="X116" s="2430"/>
      <c r="Y116" s="3234"/>
      <c r="Z116" s="3229"/>
      <c r="AA116" s="2430"/>
      <c r="AB116" s="2430"/>
      <c r="AC116" s="2430"/>
      <c r="AD116" s="2430"/>
      <c r="AE116" s="3230"/>
    </row>
    <row r="117" spans="1:31" s="232" customFormat="1" ht="12" thickBot="1">
      <c r="B117" s="1077" t="s">
        <v>180</v>
      </c>
      <c r="C117" s="1078"/>
      <c r="D117" s="1078"/>
      <c r="E117" s="1079"/>
      <c r="F117" s="1079"/>
      <c r="G117" s="1079"/>
      <c r="H117" s="1079"/>
      <c r="I117" s="1079"/>
      <c r="J117" s="1079"/>
      <c r="K117" s="1080">
        <f>SUM(K96:K116)</f>
        <v>2208787.3135473048</v>
      </c>
      <c r="L117" s="1080"/>
      <c r="M117" s="1081"/>
      <c r="N117" s="1079"/>
      <c r="O117" s="1079"/>
      <c r="P117" s="1079"/>
      <c r="Q117" s="1079"/>
      <c r="R117" s="1079"/>
      <c r="S117" s="1080">
        <f>SUM(S96:S111)</f>
        <v>26869637.086537462</v>
      </c>
      <c r="T117" s="1082"/>
      <c r="U117" s="1079"/>
      <c r="V117" s="1079"/>
      <c r="W117" s="1083">
        <f>SUM(W96:W116)</f>
        <v>42661497.524547033</v>
      </c>
      <c r="X117" s="1079"/>
      <c r="Y117" s="1079"/>
      <c r="Z117" s="1084"/>
      <c r="AA117" s="1079"/>
      <c r="AB117" s="1079"/>
      <c r="AC117" s="1079"/>
      <c r="AD117" s="1079"/>
      <c r="AE117" s="1085"/>
    </row>
    <row r="118" spans="1:31" s="232" customFormat="1">
      <c r="B118" s="278"/>
      <c r="C118" s="278"/>
      <c r="D118" s="278"/>
      <c r="E118" s="236"/>
      <c r="F118" s="236"/>
      <c r="G118" s="236"/>
      <c r="H118" s="236"/>
      <c r="I118" s="236"/>
      <c r="J118" s="236"/>
      <c r="K118" s="314"/>
      <c r="L118" s="314"/>
      <c r="M118" s="287"/>
      <c r="N118" s="236"/>
      <c r="O118" s="236"/>
      <c r="P118" s="236"/>
      <c r="Q118" s="236"/>
      <c r="R118" s="236"/>
      <c r="S118" s="314"/>
      <c r="T118" s="315"/>
      <c r="U118" s="236"/>
      <c r="V118" s="236"/>
      <c r="W118" s="318"/>
      <c r="X118" s="272"/>
      <c r="Y118" s="272"/>
      <c r="Z118" s="312"/>
      <c r="AA118" s="272"/>
      <c r="AB118" s="272"/>
      <c r="AC118" s="272"/>
      <c r="AD118" s="272"/>
      <c r="AE118" s="236"/>
    </row>
    <row r="119" spans="1:31" s="232" customFormat="1">
      <c r="B119" s="278"/>
      <c r="C119" s="278"/>
      <c r="D119" s="278"/>
      <c r="E119" s="236"/>
      <c r="F119" s="236"/>
      <c r="G119" s="236"/>
      <c r="H119" s="236"/>
      <c r="I119" s="236"/>
      <c r="J119" s="236"/>
      <c r="K119" s="314"/>
      <c r="L119" s="314"/>
      <c r="M119" s="287"/>
      <c r="N119" s="236"/>
      <c r="O119" s="236"/>
      <c r="P119" s="236"/>
      <c r="Q119" s="236"/>
      <c r="R119" s="236"/>
      <c r="S119" s="314"/>
      <c r="T119" s="315"/>
      <c r="U119" s="236"/>
      <c r="V119" s="236"/>
      <c r="W119" s="318"/>
      <c r="X119" s="272"/>
      <c r="Y119" s="272"/>
      <c r="Z119" s="312"/>
      <c r="AA119" s="272"/>
      <c r="AB119" s="272"/>
      <c r="AC119" s="272"/>
      <c r="AD119" s="272"/>
      <c r="AE119" s="236"/>
    </row>
    <row r="120" spans="1:31" ht="12" thickBot="1">
      <c r="A120" s="4"/>
      <c r="B120" s="288"/>
      <c r="C120" s="289"/>
      <c r="D120" s="290"/>
      <c r="E120" s="290"/>
      <c r="F120" s="290"/>
      <c r="G120" s="291"/>
      <c r="H120" s="292"/>
      <c r="I120" s="293"/>
      <c r="J120" s="292"/>
      <c r="K120" s="294"/>
      <c r="L120" s="7"/>
      <c r="M120" s="294"/>
      <c r="N120" s="7"/>
      <c r="O120" s="7"/>
      <c r="P120" s="7"/>
      <c r="Q120" s="7"/>
      <c r="R120" s="7"/>
      <c r="S120" s="7"/>
      <c r="T120" s="7"/>
      <c r="U120" s="7"/>
    </row>
    <row r="121" spans="1:31" ht="20.25" thickBot="1">
      <c r="A121" s="22"/>
      <c r="B121" s="960" t="s">
        <v>320</v>
      </c>
      <c r="C121" s="961"/>
      <c r="D121" s="962"/>
      <c r="E121" s="962"/>
      <c r="F121" s="973"/>
      <c r="G121" s="1228"/>
      <c r="H121" s="1229"/>
      <c r="I121" s="1230"/>
      <c r="J121" s="1229"/>
      <c r="K121" s="1231"/>
      <c r="L121" s="1232"/>
      <c r="M121" s="1231"/>
      <c r="N121" s="1232"/>
      <c r="O121" s="1232"/>
      <c r="P121" s="1232"/>
      <c r="Q121" s="1232"/>
      <c r="R121" s="1232"/>
      <c r="S121" s="1232"/>
      <c r="T121" s="1232"/>
      <c r="U121" s="1232"/>
      <c r="V121" s="1232"/>
      <c r="W121" s="1232"/>
      <c r="X121" s="1232"/>
      <c r="Y121" s="1233"/>
    </row>
    <row r="122" spans="1:31" s="232" customFormat="1" ht="12" thickBot="1">
      <c r="A122" s="233"/>
      <c r="B122" s="971" t="s">
        <v>679</v>
      </c>
      <c r="C122" s="972">
        <v>2017</v>
      </c>
      <c r="D122" s="970"/>
      <c r="E122" s="970"/>
      <c r="F122" s="970"/>
      <c r="G122" s="970"/>
      <c r="H122" s="970"/>
      <c r="I122" s="970"/>
      <c r="J122" s="970"/>
      <c r="K122" s="970"/>
      <c r="L122" s="970"/>
      <c r="M122" s="970"/>
      <c r="N122" s="233"/>
      <c r="O122" s="233"/>
      <c r="P122" s="233"/>
      <c r="Q122" s="233"/>
      <c r="R122" s="233"/>
      <c r="S122" s="233"/>
      <c r="T122" s="233"/>
      <c r="U122" s="233"/>
      <c r="V122" s="1106"/>
      <c r="W122" s="1106"/>
      <c r="X122" s="1106"/>
      <c r="Y122" s="1107"/>
      <c r="Z122" s="233"/>
      <c r="AA122" s="233"/>
      <c r="AB122" s="233"/>
      <c r="AC122" s="233"/>
      <c r="AD122" s="233"/>
      <c r="AE122" s="240"/>
    </row>
    <row r="123" spans="1:31" s="255" customFormat="1" ht="35.25">
      <c r="B123" s="1096" t="s">
        <v>680</v>
      </c>
      <c r="C123" s="1097" t="s">
        <v>748</v>
      </c>
      <c r="D123" s="1097"/>
      <c r="E123" s="1098" t="s">
        <v>749</v>
      </c>
      <c r="F123" s="1099"/>
      <c r="G123" s="1100" t="s">
        <v>747</v>
      </c>
      <c r="H123" s="1101"/>
      <c r="I123" s="1102" t="s">
        <v>816</v>
      </c>
      <c r="J123" s="1101"/>
      <c r="K123" s="1097" t="s">
        <v>1750</v>
      </c>
      <c r="L123" s="1097"/>
      <c r="M123" s="1097" t="s">
        <v>750</v>
      </c>
      <c r="N123" s="1097"/>
      <c r="O123" s="1100" t="s">
        <v>751</v>
      </c>
      <c r="P123" s="1097"/>
      <c r="Q123" s="1100" t="s">
        <v>752</v>
      </c>
      <c r="R123" s="1103"/>
      <c r="S123" s="1104" t="s">
        <v>753</v>
      </c>
      <c r="T123" s="1103"/>
      <c r="U123" s="1104" t="s">
        <v>754</v>
      </c>
      <c r="V123" s="1103"/>
      <c r="W123" s="1100" t="s">
        <v>814</v>
      </c>
      <c r="X123" s="1101"/>
      <c r="Y123" s="1105" t="s">
        <v>815</v>
      </c>
    </row>
    <row r="124" spans="1:31" s="232" customFormat="1">
      <c r="B124" s="940" t="s">
        <v>735</v>
      </c>
      <c r="C124" s="319">
        <f>40158687</f>
        <v>40158687</v>
      </c>
      <c r="D124" s="325"/>
      <c r="E124" s="941">
        <f>26103147</f>
        <v>26103147</v>
      </c>
      <c r="F124" s="938"/>
      <c r="G124" s="929">
        <v>0.1</v>
      </c>
      <c r="H124" s="823"/>
      <c r="I124" s="823"/>
      <c r="J124" s="823"/>
      <c r="K124" s="930">
        <f>($E124*(1-G124))</f>
        <v>23492832.300000001</v>
      </c>
      <c r="L124" s="930"/>
      <c r="M124" s="930">
        <f>$E124*G124</f>
        <v>2610314.7000000002</v>
      </c>
      <c r="N124" s="930"/>
      <c r="O124" s="931">
        <f>((K124+K125)/(1000))*0.01*(44/28)</f>
        <v>382.69698405714291</v>
      </c>
      <c r="P124" s="930"/>
      <c r="Q124" s="931">
        <f>((M124+M125)/1000)*0.01*(44/28)</f>
        <v>44.400207264285719</v>
      </c>
      <c r="R124" s="932"/>
      <c r="S124" s="933">
        <f>O124*310*12/44*10^-6</f>
        <v>3.2355290470285722E-2</v>
      </c>
      <c r="T124" s="934"/>
      <c r="U124" s="933">
        <f>Q124*310*12/44*10^-6</f>
        <v>3.7538357050714284E-3</v>
      </c>
      <c r="V124" s="932"/>
      <c r="W124" s="1091">
        <f>S124/(12/44)</f>
        <v>0.11863606505771432</v>
      </c>
      <c r="X124" s="1068"/>
      <c r="Y124" s="1092">
        <f>U124/(12/44)</f>
        <v>1.3764064251928571E-2</v>
      </c>
    </row>
    <row r="125" spans="1:31" s="232" customFormat="1" ht="12" thickBot="1">
      <c r="B125" s="940" t="s">
        <v>736</v>
      </c>
      <c r="C125" s="321">
        <f>E125</f>
        <v>26724473</v>
      </c>
      <c r="D125" s="313"/>
      <c r="E125" s="942">
        <f>SUM(E126:E132)</f>
        <v>26724473</v>
      </c>
      <c r="F125" s="939"/>
      <c r="G125" s="935">
        <v>0.2</v>
      </c>
      <c r="H125" s="842"/>
      <c r="I125" s="842">
        <v>4.1000000000000002E-2</v>
      </c>
      <c r="J125" s="842"/>
      <c r="K125" s="936">
        <f>$E134*I125*(1-G125)</f>
        <v>860612.14000000013</v>
      </c>
      <c r="L125" s="936"/>
      <c r="M125" s="936">
        <f>$E134*G125*I125</f>
        <v>215153.035</v>
      </c>
      <c r="N125" s="936"/>
      <c r="O125" s="936"/>
      <c r="P125" s="936"/>
      <c r="Q125" s="936"/>
      <c r="R125" s="937"/>
      <c r="S125" s="937"/>
      <c r="T125" s="937"/>
      <c r="U125" s="937"/>
      <c r="V125" s="937"/>
      <c r="W125" s="937"/>
      <c r="X125" s="842"/>
      <c r="Y125" s="843"/>
    </row>
    <row r="126" spans="1:31" s="232" customFormat="1">
      <c r="B126" s="943" t="s">
        <v>737</v>
      </c>
      <c r="C126" s="319"/>
      <c r="D126" s="325"/>
      <c r="E126" s="941">
        <f t="shared" ref="E126:E131" si="13">$C126*0.65+$C142*0.35</f>
        <v>0</v>
      </c>
      <c r="F126" s="320"/>
      <c r="G126" s="316"/>
      <c r="H126" s="320"/>
      <c r="K126" s="316"/>
      <c r="L126" s="316"/>
      <c r="M126" s="316"/>
      <c r="N126" s="316"/>
      <c r="O126" s="316"/>
      <c r="P126" s="243"/>
      <c r="Q126" s="243"/>
      <c r="R126" s="243"/>
      <c r="S126" s="243"/>
      <c r="T126" s="243"/>
      <c r="U126" s="243"/>
    </row>
    <row r="127" spans="1:31" s="232" customFormat="1">
      <c r="B127" s="943" t="s">
        <v>738</v>
      </c>
      <c r="C127" s="319"/>
      <c r="D127" s="325"/>
      <c r="E127" s="941">
        <f t="shared" si="13"/>
        <v>0</v>
      </c>
      <c r="F127" s="320"/>
      <c r="G127" s="320"/>
      <c r="H127" s="320"/>
      <c r="I127" s="316"/>
      <c r="J127" s="316"/>
      <c r="K127" s="316"/>
      <c r="L127" s="316"/>
      <c r="M127" s="316"/>
      <c r="N127" s="243"/>
      <c r="O127" s="243"/>
      <c r="P127" s="243"/>
      <c r="Q127" s="243"/>
      <c r="R127" s="243"/>
      <c r="S127" s="243"/>
    </row>
    <row r="128" spans="1:31" s="232" customFormat="1">
      <c r="B128" s="943" t="s">
        <v>739</v>
      </c>
      <c r="C128" s="319">
        <v>486298</v>
      </c>
      <c r="D128" s="325"/>
      <c r="E128" s="941">
        <f>C128</f>
        <v>486298</v>
      </c>
      <c r="F128" s="320"/>
      <c r="G128" s="320"/>
      <c r="H128" s="320"/>
      <c r="I128" s="316"/>
      <c r="J128" s="316"/>
      <c r="K128" s="316"/>
      <c r="L128" s="316"/>
      <c r="M128" s="316"/>
      <c r="N128" s="243"/>
      <c r="O128" s="243"/>
      <c r="P128" s="243"/>
      <c r="Q128" s="243"/>
      <c r="R128" s="243"/>
      <c r="S128" s="243"/>
    </row>
    <row r="129" spans="1:49" s="232" customFormat="1">
      <c r="B129" s="943" t="s">
        <v>740</v>
      </c>
      <c r="C129" s="319">
        <v>25853131</v>
      </c>
      <c r="D129" s="325"/>
      <c r="E129" s="941">
        <f>C129</f>
        <v>25853131</v>
      </c>
      <c r="F129" s="320"/>
      <c r="G129" s="320"/>
      <c r="H129" s="320"/>
      <c r="I129" s="316"/>
      <c r="J129" s="316"/>
      <c r="K129" s="316"/>
      <c r="L129" s="316"/>
      <c r="M129" s="316"/>
      <c r="N129" s="243"/>
      <c r="O129" s="243"/>
      <c r="P129" s="243"/>
      <c r="Q129" s="243"/>
      <c r="R129" s="243"/>
      <c r="S129" s="243"/>
    </row>
    <row r="130" spans="1:49" s="232" customFormat="1">
      <c r="B130" s="943" t="s">
        <v>741</v>
      </c>
      <c r="C130" s="319"/>
      <c r="D130" s="325"/>
      <c r="E130" s="941">
        <f t="shared" si="13"/>
        <v>0</v>
      </c>
      <c r="F130" s="320"/>
      <c r="G130" s="320"/>
      <c r="H130" s="320"/>
      <c r="I130" s="316"/>
      <c r="J130" s="316"/>
      <c r="K130" s="316"/>
      <c r="L130" s="316"/>
      <c r="M130" s="316"/>
      <c r="N130" s="243"/>
      <c r="O130" s="243"/>
      <c r="P130" s="243"/>
      <c r="Q130" s="243"/>
      <c r="R130" s="243"/>
      <c r="S130" s="243"/>
    </row>
    <row r="131" spans="1:49" s="232" customFormat="1">
      <c r="B131" s="943" t="s">
        <v>742</v>
      </c>
      <c r="C131" s="319"/>
      <c r="D131" s="325"/>
      <c r="E131" s="941">
        <f t="shared" si="13"/>
        <v>0</v>
      </c>
      <c r="F131" s="320"/>
      <c r="G131" s="320"/>
      <c r="H131" s="320"/>
      <c r="I131" s="316"/>
      <c r="J131" s="316"/>
      <c r="K131" s="316"/>
      <c r="L131" s="316"/>
      <c r="M131" s="316"/>
      <c r="N131" s="243"/>
      <c r="O131" s="243"/>
      <c r="P131" s="243"/>
      <c r="Q131" s="243"/>
      <c r="R131" s="243"/>
      <c r="S131" s="243"/>
    </row>
    <row r="132" spans="1:49" s="232" customFormat="1">
      <c r="B132" s="943" t="s">
        <v>743</v>
      </c>
      <c r="C132" s="319">
        <v>385044</v>
      </c>
      <c r="D132" s="325"/>
      <c r="E132" s="941">
        <f>C132</f>
        <v>385044</v>
      </c>
      <c r="F132" s="320"/>
      <c r="G132" s="320"/>
      <c r="H132" s="320"/>
      <c r="I132" s="316"/>
      <c r="J132" s="322"/>
      <c r="K132" s="316"/>
      <c r="L132" s="316"/>
      <c r="M132" s="316"/>
      <c r="N132" s="243"/>
      <c r="O132" s="243"/>
      <c r="P132" s="243"/>
      <c r="Q132" s="243"/>
      <c r="R132" s="243"/>
      <c r="S132" s="243"/>
    </row>
    <row r="133" spans="1:49" s="232" customFormat="1">
      <c r="B133" s="944" t="s">
        <v>744</v>
      </c>
      <c r="C133" s="323">
        <v>0.02</v>
      </c>
      <c r="D133" s="325"/>
      <c r="E133" s="945">
        <f>IF(E125=0,0,E128/E125)</f>
        <v>1.81967292675893E-2</v>
      </c>
      <c r="F133" s="320"/>
      <c r="G133" s="324"/>
      <c r="H133" s="324"/>
      <c r="I133" s="320"/>
      <c r="J133" s="320"/>
      <c r="K133" s="320"/>
      <c r="L133" s="320"/>
      <c r="M133" s="320"/>
      <c r="N133" s="272"/>
      <c r="O133" s="272"/>
      <c r="P133" s="272"/>
      <c r="Q133" s="272"/>
      <c r="R133" s="272"/>
      <c r="S133" s="272"/>
    </row>
    <row r="134" spans="1:49" s="232" customFormat="1">
      <c r="B134" s="944" t="s">
        <v>745</v>
      </c>
      <c r="C134" s="325">
        <v>26238175</v>
      </c>
      <c r="D134" s="325"/>
      <c r="E134" s="946">
        <f>E125*(1-E133)</f>
        <v>26238175</v>
      </c>
      <c r="F134" s="320"/>
      <c r="G134" s="320"/>
      <c r="H134" s="320"/>
      <c r="I134" s="320"/>
      <c r="J134" s="320"/>
      <c r="K134" s="320"/>
      <c r="L134" s="320"/>
      <c r="M134" s="320"/>
      <c r="N134" s="272"/>
      <c r="O134" s="272"/>
      <c r="P134" s="272"/>
      <c r="Q134" s="272"/>
      <c r="R134" s="272"/>
      <c r="S134" s="272"/>
    </row>
    <row r="135" spans="1:49" s="232" customFormat="1">
      <c r="B135" s="947" t="s">
        <v>746</v>
      </c>
      <c r="C135" s="325">
        <f>486298</f>
        <v>486298</v>
      </c>
      <c r="D135" s="325"/>
      <c r="E135" s="948">
        <f>E125*E133</f>
        <v>486298</v>
      </c>
      <c r="F135" s="320"/>
      <c r="G135" s="320"/>
      <c r="H135" s="320"/>
      <c r="I135" s="320"/>
      <c r="J135" s="320"/>
      <c r="K135" s="320"/>
      <c r="L135" s="320"/>
      <c r="M135" s="320"/>
      <c r="N135" s="272"/>
      <c r="O135" s="272"/>
      <c r="P135" s="272"/>
      <c r="Q135" s="272"/>
      <c r="R135" s="272"/>
      <c r="S135" s="272"/>
    </row>
    <row r="136" spans="1:49" s="232" customFormat="1">
      <c r="B136" s="833"/>
      <c r="C136" s="949"/>
      <c r="D136" s="949"/>
      <c r="E136" s="950"/>
      <c r="F136" s="324"/>
      <c r="G136" s="324"/>
      <c r="H136" s="324"/>
      <c r="I136" s="324"/>
      <c r="J136" s="324"/>
      <c r="K136" s="324"/>
      <c r="L136" s="324"/>
      <c r="M136" s="324"/>
    </row>
    <row r="137" spans="1:49" s="232" customFormat="1" ht="12" thickBot="1">
      <c r="A137" s="233"/>
      <c r="B137" s="964"/>
      <c r="C137" s="965"/>
      <c r="D137" s="951"/>
      <c r="E137" s="952"/>
      <c r="F137" s="233"/>
      <c r="G137" s="233"/>
      <c r="H137" s="233"/>
      <c r="I137" s="233"/>
      <c r="J137" s="233"/>
      <c r="K137" s="233"/>
      <c r="L137" s="233"/>
      <c r="M137" s="233"/>
      <c r="N137" s="233"/>
      <c r="O137" s="233"/>
      <c r="P137" s="233"/>
      <c r="Q137" s="233"/>
      <c r="R137" s="233"/>
      <c r="S137" s="233"/>
      <c r="T137" s="233"/>
      <c r="U137" s="233"/>
      <c r="V137" s="233"/>
      <c r="W137" s="233"/>
      <c r="X137" s="233"/>
      <c r="Y137" s="233"/>
      <c r="Z137" s="233"/>
      <c r="AA137" s="233"/>
      <c r="AB137" s="233"/>
      <c r="AC137" s="233"/>
      <c r="AD137" s="233"/>
      <c r="AE137" s="233"/>
      <c r="AF137" s="233"/>
      <c r="AG137" s="233"/>
      <c r="AH137" s="233"/>
      <c r="AI137" s="233"/>
      <c r="AJ137" s="233"/>
      <c r="AK137" s="233"/>
      <c r="AL137" s="233"/>
      <c r="AM137" s="233"/>
      <c r="AN137" s="233"/>
      <c r="AO137" s="233"/>
      <c r="AP137" s="233"/>
      <c r="AQ137" s="233"/>
      <c r="AR137" s="233"/>
      <c r="AS137" s="233"/>
      <c r="AT137" s="233"/>
      <c r="AU137" s="233"/>
      <c r="AV137" s="233"/>
      <c r="AW137" s="233"/>
    </row>
    <row r="138" spans="1:49" s="232" customFormat="1" ht="12" thickBot="1">
      <c r="A138" s="233"/>
      <c r="B138" s="968" t="s">
        <v>679</v>
      </c>
      <c r="C138" s="969">
        <v>2018</v>
      </c>
      <c r="D138" s="963"/>
      <c r="E138" s="953"/>
      <c r="F138" s="240"/>
      <c r="G138" s="240"/>
      <c r="H138" s="240"/>
      <c r="I138" s="240"/>
      <c r="J138" s="240"/>
      <c r="K138" s="240"/>
      <c r="L138" s="240"/>
      <c r="M138" s="240"/>
      <c r="N138" s="240"/>
      <c r="O138" s="240"/>
      <c r="P138" s="240"/>
      <c r="Q138" s="240"/>
      <c r="R138" s="240"/>
      <c r="S138" s="240"/>
      <c r="T138" s="240"/>
      <c r="U138" s="240"/>
      <c r="V138" s="240"/>
      <c r="W138" s="240"/>
      <c r="X138" s="240"/>
      <c r="Y138" s="240"/>
      <c r="Z138" s="240"/>
      <c r="AA138" s="240"/>
      <c r="AB138" s="240"/>
      <c r="AC138" s="240"/>
      <c r="AD138" s="240"/>
      <c r="AE138" s="240"/>
    </row>
    <row r="139" spans="1:49" s="232" customFormat="1" ht="22.5">
      <c r="A139" s="255"/>
      <c r="B139" s="966" t="s">
        <v>680</v>
      </c>
      <c r="C139" s="967" t="s">
        <v>748</v>
      </c>
      <c r="D139" s="954"/>
      <c r="E139" s="955"/>
    </row>
    <row r="140" spans="1:49" s="232" customFormat="1">
      <c r="B140" s="940" t="s">
        <v>735</v>
      </c>
      <c r="C140" s="319"/>
      <c r="D140" s="325"/>
      <c r="E140" s="948"/>
    </row>
    <row r="141" spans="1:49" s="232" customFormat="1">
      <c r="B141" s="940" t="s">
        <v>736</v>
      </c>
      <c r="C141" s="321"/>
      <c r="D141" s="313"/>
      <c r="E141" s="956"/>
    </row>
    <row r="142" spans="1:49" s="232" customFormat="1">
      <c r="B142" s="943" t="s">
        <v>737</v>
      </c>
      <c r="C142" s="319"/>
      <c r="D142" s="325"/>
      <c r="E142" s="948"/>
      <c r="F142" s="320"/>
      <c r="G142" s="320"/>
      <c r="H142" s="316"/>
      <c r="I142" s="316"/>
      <c r="J142" s="316"/>
      <c r="K142" s="316"/>
      <c r="L142" s="316"/>
      <c r="M142" s="243"/>
      <c r="N142" s="243"/>
      <c r="O142" s="243"/>
      <c r="P142" s="243"/>
      <c r="Q142" s="243"/>
      <c r="R142" s="243"/>
    </row>
    <row r="143" spans="1:49" s="232" customFormat="1">
      <c r="B143" s="943" t="s">
        <v>738</v>
      </c>
      <c r="C143" s="319"/>
      <c r="D143" s="325"/>
      <c r="E143" s="948"/>
      <c r="F143" s="320"/>
      <c r="G143" s="320"/>
      <c r="H143" s="316"/>
      <c r="I143" s="316"/>
      <c r="J143" s="316"/>
      <c r="K143" s="316"/>
      <c r="L143" s="316"/>
      <c r="M143" s="243"/>
      <c r="N143" s="243"/>
      <c r="O143" s="243"/>
      <c r="P143" s="243"/>
      <c r="Q143" s="243"/>
      <c r="R143" s="243"/>
    </row>
    <row r="144" spans="1:49" s="232" customFormat="1">
      <c r="B144" s="943" t="s">
        <v>739</v>
      </c>
      <c r="C144" s="319"/>
      <c r="D144" s="325"/>
      <c r="E144" s="948"/>
      <c r="F144" s="320"/>
      <c r="G144" s="320"/>
      <c r="H144" s="316"/>
      <c r="I144" s="316"/>
      <c r="J144" s="316"/>
      <c r="K144" s="316"/>
      <c r="L144" s="316"/>
      <c r="M144" s="243"/>
      <c r="N144" s="243"/>
      <c r="O144" s="243"/>
      <c r="P144" s="243"/>
      <c r="Q144" s="243"/>
      <c r="R144" s="243"/>
    </row>
    <row r="145" spans="1:81" s="232" customFormat="1">
      <c r="B145" s="943" t="s">
        <v>740</v>
      </c>
      <c r="C145" s="319"/>
      <c r="D145" s="325"/>
      <c r="E145" s="948"/>
      <c r="F145" s="320"/>
      <c r="G145" s="320"/>
      <c r="H145" s="316"/>
      <c r="I145" s="316"/>
      <c r="J145" s="316"/>
      <c r="K145" s="316"/>
      <c r="L145" s="316"/>
      <c r="M145" s="243"/>
      <c r="N145" s="243"/>
      <c r="O145" s="243"/>
      <c r="P145" s="243"/>
      <c r="Q145" s="243"/>
      <c r="R145" s="243"/>
    </row>
    <row r="146" spans="1:81" s="232" customFormat="1">
      <c r="B146" s="943" t="s">
        <v>741</v>
      </c>
      <c r="C146" s="319"/>
      <c r="D146" s="325"/>
      <c r="E146" s="948"/>
      <c r="F146" s="320"/>
      <c r="G146" s="320"/>
      <c r="H146" s="316"/>
      <c r="I146" s="316"/>
      <c r="J146" s="316"/>
      <c r="K146" s="316"/>
      <c r="L146" s="316"/>
      <c r="M146" s="243"/>
      <c r="N146" s="243"/>
      <c r="O146" s="243"/>
      <c r="P146" s="243"/>
      <c r="Q146" s="243"/>
      <c r="R146" s="243"/>
    </row>
    <row r="147" spans="1:81" s="232" customFormat="1">
      <c r="B147" s="943" t="s">
        <v>742</v>
      </c>
      <c r="C147" s="319"/>
      <c r="D147" s="325"/>
      <c r="E147" s="948"/>
      <c r="F147" s="320"/>
      <c r="G147" s="320"/>
      <c r="H147" s="316"/>
      <c r="I147" s="316"/>
      <c r="J147" s="316"/>
      <c r="K147" s="316"/>
      <c r="L147" s="316"/>
      <c r="M147" s="243"/>
      <c r="N147" s="243"/>
      <c r="O147" s="243"/>
      <c r="P147" s="243"/>
      <c r="Q147" s="243"/>
      <c r="R147" s="243"/>
    </row>
    <row r="148" spans="1:81" s="232" customFormat="1">
      <c r="B148" s="943" t="s">
        <v>743</v>
      </c>
      <c r="C148" s="319"/>
      <c r="D148" s="325"/>
      <c r="E148" s="948"/>
      <c r="F148" s="320"/>
      <c r="G148" s="320"/>
      <c r="H148" s="316"/>
      <c r="I148" s="322"/>
      <c r="J148" s="316"/>
      <c r="K148" s="316"/>
      <c r="L148" s="316"/>
      <c r="M148" s="243"/>
      <c r="N148" s="243"/>
      <c r="O148" s="243"/>
      <c r="P148" s="243"/>
      <c r="Q148" s="243"/>
      <c r="R148" s="243"/>
    </row>
    <row r="149" spans="1:81" s="232" customFormat="1">
      <c r="B149" s="944" t="s">
        <v>744</v>
      </c>
      <c r="C149" s="323">
        <v>5.0683858558632864E-3</v>
      </c>
      <c r="D149" s="325"/>
      <c r="E149" s="948"/>
      <c r="F149" s="324"/>
      <c r="G149" s="324"/>
      <c r="H149" s="320"/>
      <c r="I149" s="320"/>
      <c r="J149" s="320"/>
      <c r="K149" s="320"/>
      <c r="L149" s="320"/>
      <c r="M149" s="272"/>
      <c r="N149" s="272"/>
      <c r="O149" s="272"/>
      <c r="P149" s="272"/>
      <c r="Q149" s="272"/>
      <c r="R149" s="272"/>
    </row>
    <row r="150" spans="1:81" s="232" customFormat="1">
      <c r="B150" s="944" t="s">
        <v>745</v>
      </c>
      <c r="C150" s="325"/>
      <c r="D150" s="325"/>
      <c r="E150" s="948"/>
      <c r="F150" s="320"/>
      <c r="G150" s="320"/>
      <c r="H150" s="320"/>
      <c r="I150" s="320"/>
      <c r="J150" s="320"/>
      <c r="K150" s="320"/>
      <c r="L150" s="320"/>
      <c r="M150" s="272"/>
      <c r="N150" s="272"/>
      <c r="O150" s="272"/>
      <c r="P150" s="272"/>
      <c r="Q150" s="272"/>
      <c r="R150" s="272"/>
    </row>
    <row r="151" spans="1:81" s="232" customFormat="1" ht="12" thickBot="1">
      <c r="B151" s="957" t="s">
        <v>746</v>
      </c>
      <c r="C151" s="958"/>
      <c r="D151" s="958"/>
      <c r="E151" s="959"/>
      <c r="F151" s="320"/>
      <c r="G151" s="320"/>
      <c r="H151" s="320"/>
      <c r="I151" s="320"/>
      <c r="J151" s="320"/>
      <c r="K151" s="320"/>
      <c r="L151" s="320"/>
      <c r="M151" s="272"/>
      <c r="N151" s="272"/>
      <c r="O151" s="272"/>
      <c r="P151" s="272"/>
      <c r="Q151" s="272"/>
      <c r="R151" s="272"/>
    </row>
    <row r="152" spans="1:81" ht="12" thickBot="1">
      <c r="A152" s="4"/>
      <c r="B152" s="288"/>
      <c r="C152" s="289"/>
      <c r="D152" s="290"/>
      <c r="E152" s="290"/>
      <c r="F152" s="290"/>
      <c r="G152" s="291"/>
      <c r="H152" s="292"/>
      <c r="I152" s="293"/>
      <c r="J152" s="292"/>
      <c r="K152" s="294"/>
      <c r="L152" s="7"/>
      <c r="M152" s="294"/>
      <c r="N152" s="7"/>
      <c r="O152" s="7"/>
      <c r="P152" s="7"/>
      <c r="Q152" s="7"/>
      <c r="R152" s="7"/>
      <c r="S152" s="7"/>
      <c r="T152" s="7"/>
      <c r="U152" s="7"/>
    </row>
    <row r="153" spans="1:81" ht="20.25" thickBot="1">
      <c r="A153" s="22"/>
      <c r="B153" s="974" t="s">
        <v>817</v>
      </c>
      <c r="C153" s="975"/>
      <c r="D153" s="976"/>
      <c r="E153" s="976"/>
      <c r="F153" s="976"/>
      <c r="G153" s="1234"/>
      <c r="H153" s="1229"/>
      <c r="I153" s="1230"/>
      <c r="J153" s="1229"/>
      <c r="K153" s="1231"/>
      <c r="L153" s="1232"/>
      <c r="M153" s="1231"/>
      <c r="N153" s="1232"/>
      <c r="O153" s="1232"/>
      <c r="P153" s="1232"/>
      <c r="Q153" s="1232"/>
      <c r="R153" s="1232"/>
      <c r="S153" s="1232"/>
      <c r="T153" s="1232"/>
      <c r="U153" s="1232"/>
      <c r="V153" s="1232"/>
      <c r="W153" s="1232"/>
      <c r="X153" s="1232"/>
      <c r="Y153" s="1232"/>
      <c r="Z153" s="1232"/>
      <c r="AA153" s="1233"/>
      <c r="AH153" s="371" t="s">
        <v>866</v>
      </c>
    </row>
    <row r="154" spans="1:81" s="232" customFormat="1" ht="12" thickBot="1">
      <c r="B154" s="977"/>
      <c r="C154" s="978"/>
      <c r="D154" s="979"/>
      <c r="E154" s="980"/>
      <c r="F154" s="980"/>
      <c r="G154" s="980"/>
      <c r="H154" s="980"/>
      <c r="I154" s="979"/>
      <c r="J154" s="979"/>
      <c r="K154" s="1056"/>
      <c r="L154" s="1053"/>
      <c r="M154" s="1054" t="s">
        <v>818</v>
      </c>
      <c r="N154" s="1054"/>
      <c r="O154" s="1057"/>
      <c r="P154" s="982"/>
      <c r="Q154" s="1058"/>
      <c r="R154" s="1059"/>
      <c r="S154" s="1060" t="s">
        <v>819</v>
      </c>
      <c r="T154" s="1060"/>
      <c r="U154" s="1060"/>
      <c r="V154" s="1059"/>
      <c r="W154" s="1061"/>
      <c r="X154" s="981"/>
      <c r="Y154" s="981"/>
      <c r="Z154" s="980"/>
      <c r="AA154" s="983"/>
      <c r="AH154" s="372" t="s">
        <v>867</v>
      </c>
    </row>
    <row r="155" spans="1:81" s="232" customFormat="1" ht="58.5" thickBot="1">
      <c r="B155" s="1021"/>
      <c r="C155" s="1022" t="s">
        <v>834</v>
      </c>
      <c r="D155" s="1023"/>
      <c r="E155" s="1024" t="s">
        <v>832</v>
      </c>
      <c r="F155" s="1025"/>
      <c r="G155" s="1024" t="s">
        <v>833</v>
      </c>
      <c r="H155" s="1025"/>
      <c r="I155" s="1026" t="s">
        <v>835</v>
      </c>
      <c r="J155" s="1055"/>
      <c r="K155" s="1067" t="s">
        <v>836</v>
      </c>
      <c r="L155" s="1064"/>
      <c r="M155" s="1065" t="s">
        <v>820</v>
      </c>
      <c r="N155" s="1065"/>
      <c r="O155" s="1066" t="s">
        <v>821</v>
      </c>
      <c r="P155" s="336"/>
      <c r="Q155" s="1063" t="s">
        <v>822</v>
      </c>
      <c r="R155" s="1064"/>
      <c r="S155" s="1065" t="s">
        <v>823</v>
      </c>
      <c r="T155" s="1065"/>
      <c r="U155" s="1065" t="s">
        <v>824</v>
      </c>
      <c r="V155" s="1064"/>
      <c r="W155" s="1066" t="s">
        <v>869</v>
      </c>
      <c r="X155" s="1062"/>
      <c r="Y155" s="1027"/>
      <c r="Z155" s="1025"/>
      <c r="AA155" s="1051"/>
      <c r="AH155" s="3585" t="s">
        <v>844</v>
      </c>
      <c r="AI155" s="3585"/>
      <c r="AJ155" s="3585"/>
      <c r="AK155" s="3585"/>
      <c r="AL155" s="3585"/>
      <c r="AM155" s="3585"/>
      <c r="AN155" s="3585"/>
      <c r="AO155" s="10"/>
      <c r="AP155" s="3586" t="s">
        <v>845</v>
      </c>
      <c r="AQ155" s="3586"/>
      <c r="AR155" s="3586"/>
      <c r="AS155" s="3586"/>
      <c r="AT155" s="10"/>
      <c r="AU155" s="3585" t="s">
        <v>846</v>
      </c>
      <c r="AV155" s="3585"/>
      <c r="AW155" s="10"/>
      <c r="AX155" s="3585" t="s">
        <v>847</v>
      </c>
      <c r="AY155" s="3585"/>
      <c r="AZ155" s="10"/>
      <c r="BA155" s="3587" t="s">
        <v>571</v>
      </c>
      <c r="BB155" s="3587"/>
      <c r="BC155" s="3587"/>
      <c r="BD155" s="3587"/>
      <c r="BE155" s="3587"/>
      <c r="BF155" s="3587"/>
      <c r="BG155" s="346"/>
      <c r="BH155" s="3587" t="s">
        <v>597</v>
      </c>
      <c r="BI155" s="3587"/>
      <c r="BJ155" s="3587"/>
      <c r="BK155" s="3587"/>
      <c r="BL155" s="3587"/>
      <c r="BM155" s="346"/>
      <c r="BN155" s="3583" t="s">
        <v>601</v>
      </c>
      <c r="BO155" s="3583"/>
      <c r="BP155" s="348"/>
      <c r="BQ155" s="3588" t="s">
        <v>602</v>
      </c>
      <c r="BR155" s="3588"/>
      <c r="BS155" s="3588"/>
      <c r="BT155" s="346"/>
      <c r="BU155" s="3589" t="s">
        <v>569</v>
      </c>
      <c r="BV155" s="3589"/>
      <c r="BW155" s="3589"/>
      <c r="BX155" s="349"/>
      <c r="BY155" s="3583" t="s">
        <v>570</v>
      </c>
      <c r="BZ155" s="3583"/>
      <c r="CA155" s="346"/>
      <c r="CB155" s="3584" t="s">
        <v>572</v>
      </c>
      <c r="CC155" s="3584"/>
    </row>
    <row r="156" spans="1:81" s="232" customFormat="1" ht="14.25" customHeight="1" thickTop="1">
      <c r="B156" s="1030" t="s">
        <v>524</v>
      </c>
      <c r="C156" s="3236"/>
      <c r="D156" s="3237"/>
      <c r="E156" s="3238"/>
      <c r="F156" s="3238"/>
      <c r="G156" s="3238"/>
      <c r="H156" s="3238"/>
      <c r="I156" s="3239"/>
      <c r="J156" s="3240"/>
      <c r="K156" s="3241"/>
      <c r="L156" s="3240"/>
      <c r="M156" s="3242"/>
      <c r="N156" s="3242"/>
      <c r="O156" s="3240"/>
      <c r="P156" s="3240"/>
      <c r="Q156" s="3243"/>
      <c r="R156" s="3243"/>
      <c r="S156" s="3244"/>
      <c r="T156" s="3244"/>
      <c r="U156" s="3243"/>
      <c r="V156" s="3243"/>
      <c r="W156" s="3245"/>
      <c r="X156" s="3246"/>
      <c r="Y156" s="3246"/>
      <c r="Z156" s="3247"/>
      <c r="AA156" s="3248"/>
      <c r="AH156" s="350" t="s">
        <v>848</v>
      </c>
      <c r="AI156" s="351" t="s">
        <v>849</v>
      </c>
      <c r="AJ156" s="351" t="s">
        <v>850</v>
      </c>
      <c r="AK156" s="351" t="s">
        <v>851</v>
      </c>
      <c r="AL156" s="351" t="s">
        <v>852</v>
      </c>
      <c r="AM156" s="351" t="s">
        <v>853</v>
      </c>
      <c r="AN156" s="352" t="s">
        <v>854</v>
      </c>
      <c r="AO156" s="353"/>
      <c r="AP156" s="354" t="s">
        <v>848</v>
      </c>
      <c r="AQ156" s="355" t="s">
        <v>855</v>
      </c>
      <c r="AR156" s="355" t="s">
        <v>856</v>
      </c>
      <c r="AS156" s="356" t="s">
        <v>851</v>
      </c>
      <c r="AT156" s="353"/>
      <c r="AU156" s="357" t="s">
        <v>857</v>
      </c>
      <c r="AV156" s="352" t="s">
        <v>858</v>
      </c>
      <c r="AW156" s="353"/>
      <c r="AX156" s="357" t="s">
        <v>857</v>
      </c>
      <c r="AY156" s="352" t="s">
        <v>853</v>
      </c>
      <c r="AZ156" s="353"/>
      <c r="BA156" s="358" t="s">
        <v>848</v>
      </c>
      <c r="BB156" s="351" t="s">
        <v>853</v>
      </c>
      <c r="BC156" s="351" t="s">
        <v>852</v>
      </c>
      <c r="BD156" s="351" t="s">
        <v>850</v>
      </c>
      <c r="BE156" s="351" t="s">
        <v>849</v>
      </c>
      <c r="BF156" s="352" t="s">
        <v>854</v>
      </c>
      <c r="BG156" s="359"/>
      <c r="BH156" s="360" t="s">
        <v>848</v>
      </c>
      <c r="BI156" s="361" t="s">
        <v>852</v>
      </c>
      <c r="BJ156" s="361" t="s">
        <v>850</v>
      </c>
      <c r="BK156" s="361" t="s">
        <v>849</v>
      </c>
      <c r="BL156" s="362" t="s">
        <v>859</v>
      </c>
      <c r="BM156" s="359"/>
      <c r="BN156" s="357" t="s">
        <v>860</v>
      </c>
      <c r="BO156" s="352" t="s">
        <v>918</v>
      </c>
      <c r="BP156" s="364"/>
      <c r="BQ156" s="357" t="s">
        <v>860</v>
      </c>
      <c r="BR156" s="365" t="s">
        <v>918</v>
      </c>
      <c r="BS156" s="366" t="s">
        <v>861</v>
      </c>
      <c r="BT156" s="347"/>
      <c r="BU156" s="367" t="s">
        <v>848</v>
      </c>
      <c r="BV156" s="368" t="s">
        <v>862</v>
      </c>
      <c r="BW156" s="383" t="s">
        <v>863</v>
      </c>
      <c r="BX156" s="369"/>
      <c r="BY156" s="363" t="s">
        <v>857</v>
      </c>
      <c r="BZ156" s="370" t="s">
        <v>865</v>
      </c>
      <c r="CA156" s="347"/>
      <c r="CB156" s="357" t="s">
        <v>857</v>
      </c>
      <c r="CC156" s="366" t="s">
        <v>865</v>
      </c>
    </row>
    <row r="157" spans="1:81" s="232" customFormat="1" ht="13.5" thickBot="1">
      <c r="B157" s="998" t="s">
        <v>525</v>
      </c>
      <c r="C157" s="814">
        <v>53</v>
      </c>
      <c r="D157" s="999"/>
      <c r="E157" s="823">
        <v>680</v>
      </c>
      <c r="F157" s="823"/>
      <c r="G157" s="823">
        <v>0.44</v>
      </c>
      <c r="H157" s="823"/>
      <c r="I157" s="338">
        <f>C157*E157*G157*365</f>
        <v>5788024</v>
      </c>
      <c r="J157" s="999"/>
      <c r="K157" s="338">
        <f>(I157*0.2*0.01)/1000</f>
        <v>11.576048</v>
      </c>
      <c r="L157" s="985"/>
      <c r="M157" s="339">
        <f>C157*(AI157+AJ157+AL157+AN157)*E157*G157*365</f>
        <v>2837470.2705451539</v>
      </c>
      <c r="N157" s="1031"/>
      <c r="O157" s="339">
        <f>C157*(AM157)*E157*G157*365</f>
        <v>381780.39119424886</v>
      </c>
      <c r="P157" s="339"/>
      <c r="Q157" s="339">
        <f>C157*(AK157)*E157*G157*365</f>
        <v>2568773.3382605966</v>
      </c>
      <c r="R157" s="339"/>
      <c r="S157" s="415">
        <f>((M157+Q157)*(1-0.2)*0.0125)/1000</f>
        <v>54.062436088057503</v>
      </c>
      <c r="T157" s="339"/>
      <c r="U157" s="1032">
        <f>(O157*0.02)/1000</f>
        <v>7.6356078238849774</v>
      </c>
      <c r="V157" s="1010"/>
      <c r="W157" s="986">
        <f>K125</f>
        <v>860612.14000000013</v>
      </c>
      <c r="X157" s="985" t="s">
        <v>825</v>
      </c>
      <c r="Y157" s="985"/>
      <c r="Z157" s="823"/>
      <c r="AA157" s="825"/>
      <c r="AH157" s="373" t="s">
        <v>562</v>
      </c>
      <c r="AI157" s="374">
        <v>7.6488535055593554E-2</v>
      </c>
      <c r="AJ157" s="374">
        <v>0.15472472257238745</v>
      </c>
      <c r="AK157" s="374">
        <v>0.44380834258126728</v>
      </c>
      <c r="AL157" s="374">
        <v>0.22861605738914034</v>
      </c>
      <c r="AM157" s="374">
        <v>6.5960402236453913E-2</v>
      </c>
      <c r="AN157" s="375">
        <v>3.0401940165157418E-2</v>
      </c>
      <c r="AO157" s="10"/>
      <c r="AP157" s="373" t="s">
        <v>562</v>
      </c>
      <c r="AQ157" s="374">
        <f>1-SUM(AR157:AS157)</f>
        <v>0.49023125518227884</v>
      </c>
      <c r="AR157" s="374">
        <v>6.5960402236453913E-2</v>
      </c>
      <c r="AS157" s="375">
        <v>0.44380834258126728</v>
      </c>
      <c r="AT157" s="10"/>
      <c r="AU157" s="373" t="s">
        <v>562</v>
      </c>
      <c r="AV157" s="384">
        <v>1</v>
      </c>
      <c r="AW157" s="10"/>
      <c r="AX157" s="373" t="s">
        <v>562</v>
      </c>
      <c r="AY157" s="384">
        <v>1</v>
      </c>
      <c r="AZ157" s="10"/>
      <c r="BA157" s="373" t="s">
        <v>562</v>
      </c>
      <c r="BB157" s="377">
        <v>0.21140679400000001</v>
      </c>
      <c r="BC157" s="374">
        <v>3.7602905999999998E-2</v>
      </c>
      <c r="BD157" s="374">
        <v>0.214504853</v>
      </c>
      <c r="BE157" s="374">
        <v>0.15671048400000001</v>
      </c>
      <c r="BF157" s="375">
        <v>0.37977496300000002</v>
      </c>
      <c r="BG157" s="346"/>
      <c r="BH157" s="376" t="s">
        <v>562</v>
      </c>
      <c r="BI157" s="378">
        <v>0</v>
      </c>
      <c r="BJ157" s="378">
        <v>0</v>
      </c>
      <c r="BK157" s="378">
        <v>0.05</v>
      </c>
      <c r="BL157" s="379">
        <v>0.95</v>
      </c>
      <c r="BN157" s="380" t="s">
        <v>868</v>
      </c>
      <c r="BO157" s="385">
        <v>1</v>
      </c>
      <c r="BQ157" s="381" t="s">
        <v>868</v>
      </c>
      <c r="BR157" s="386">
        <v>0.9</v>
      </c>
      <c r="BS157" s="387">
        <v>0.1</v>
      </c>
      <c r="BU157" s="381" t="s">
        <v>868</v>
      </c>
      <c r="BV157" s="382">
        <v>0</v>
      </c>
      <c r="BW157" s="385">
        <v>1</v>
      </c>
      <c r="BY157" s="380" t="s">
        <v>868</v>
      </c>
      <c r="BZ157" s="385">
        <v>1</v>
      </c>
      <c r="CB157" s="381" t="s">
        <v>868</v>
      </c>
      <c r="CC157" s="385">
        <v>1</v>
      </c>
    </row>
    <row r="158" spans="1:81" s="232" customFormat="1" ht="12.75" thickTop="1" thickBot="1">
      <c r="B158" s="1000" t="s">
        <v>526</v>
      </c>
      <c r="C158" s="814">
        <v>28</v>
      </c>
      <c r="D158" s="999"/>
      <c r="E158" s="823">
        <v>476</v>
      </c>
      <c r="F158" s="823"/>
      <c r="G158" s="823">
        <v>0.31</v>
      </c>
      <c r="H158" s="823"/>
      <c r="I158" s="338">
        <f>C158*E158*G158*365</f>
        <v>1508063.2000000002</v>
      </c>
      <c r="J158" s="999"/>
      <c r="K158" s="338">
        <f>(I158*0.2*0.01)/1000</f>
        <v>3.0161264000000005</v>
      </c>
      <c r="L158" s="985"/>
      <c r="M158" s="339">
        <f>C158*(AQ157)*E158*G158*365</f>
        <v>739299.71543020394</v>
      </c>
      <c r="N158" s="1002"/>
      <c r="O158" s="339">
        <f>C158*(AR157)*E158*G158*365</f>
        <v>99472.45526999385</v>
      </c>
      <c r="P158" s="1002"/>
      <c r="Q158" s="339">
        <f>C158*(AK157)*E158*G158*365</f>
        <v>669291.02929980226</v>
      </c>
      <c r="R158" s="339"/>
      <c r="S158" s="415">
        <f>((M158+Q158)*(1-0.2)*0.0125)/1000</f>
        <v>14.085907447300064</v>
      </c>
      <c r="T158" s="339"/>
      <c r="U158" s="1032">
        <f>(O158*0.02)/1000</f>
        <v>1.9894491053998771</v>
      </c>
      <c r="V158" s="1010"/>
      <c r="W158" s="1235">
        <f>K124</f>
        <v>23492832.300000001</v>
      </c>
      <c r="X158" s="1236" t="s">
        <v>826</v>
      </c>
      <c r="Y158" s="1237"/>
      <c r="Z158" s="1238"/>
      <c r="AA158" s="1239"/>
    </row>
    <row r="159" spans="1:81" s="232" customFormat="1" ht="12" thickBot="1">
      <c r="B159" s="997" t="s">
        <v>560</v>
      </c>
      <c r="C159" s="3249"/>
      <c r="D159" s="3250"/>
      <c r="E159" s="3247"/>
      <c r="F159" s="3247"/>
      <c r="G159" s="3247"/>
      <c r="H159" s="3247"/>
      <c r="I159" s="2903"/>
      <c r="J159" s="3250"/>
      <c r="K159" s="3251"/>
      <c r="L159" s="3246"/>
      <c r="M159" s="3252"/>
      <c r="N159" s="2908"/>
      <c r="O159" s="2908"/>
      <c r="P159" s="2908"/>
      <c r="Q159" s="2908"/>
      <c r="R159" s="3252"/>
      <c r="S159" s="3253"/>
      <c r="T159" s="3246"/>
      <c r="U159" s="2895"/>
      <c r="V159" s="1010"/>
      <c r="W159" s="1243">
        <f>SUM(W157:W158)/1000*0.3</f>
        <v>7306.0333320000009</v>
      </c>
      <c r="X159" s="1244" t="s">
        <v>837</v>
      </c>
      <c r="Y159" s="1059"/>
      <c r="Z159" s="1086"/>
      <c r="AA159" s="1245"/>
    </row>
    <row r="160" spans="1:81" s="232" customFormat="1">
      <c r="B160" s="1000" t="s">
        <v>566</v>
      </c>
      <c r="C160" s="813">
        <v>3.9119999999999999</v>
      </c>
      <c r="D160" s="999"/>
      <c r="E160" s="823">
        <v>420</v>
      </c>
      <c r="F160" s="823"/>
      <c r="G160" s="823">
        <v>0.3</v>
      </c>
      <c r="H160" s="823"/>
      <c r="I160" s="338">
        <f t="shared" ref="I160:I166" si="14">C160*E160*G160*365</f>
        <v>179912.88</v>
      </c>
      <c r="J160" s="342"/>
      <c r="K160" s="338">
        <f t="shared" ref="K160:K166" si="15">(I160*0.2*0.01)/1000</f>
        <v>0.35982575999999999</v>
      </c>
      <c r="L160" s="1002"/>
      <c r="M160" s="339">
        <f>C160*(AV157)*E160*G160*365</f>
        <v>179912.88</v>
      </c>
      <c r="N160" s="1002"/>
      <c r="O160" s="342" t="s">
        <v>959</v>
      </c>
      <c r="P160" s="1033"/>
      <c r="Q160" s="342" t="s">
        <v>959</v>
      </c>
      <c r="R160" s="339"/>
      <c r="S160" s="415">
        <f>((M160)*(1-0.2)*0.0125)/1000</f>
        <v>1.7991288000000001</v>
      </c>
      <c r="T160" s="339"/>
      <c r="U160" s="1034" t="s">
        <v>959</v>
      </c>
      <c r="V160" s="1052"/>
      <c r="W160" s="1240"/>
      <c r="X160" s="1029"/>
      <c r="Y160" s="1029"/>
      <c r="Z160" s="1241"/>
      <c r="AA160" s="1242"/>
    </row>
    <row r="161" spans="2:27" s="232" customFormat="1" ht="12" thickBot="1">
      <c r="B161" s="1000" t="s">
        <v>567</v>
      </c>
      <c r="C161" s="813">
        <v>7.3949999999999996</v>
      </c>
      <c r="D161" s="999"/>
      <c r="E161" s="823">
        <v>420</v>
      </c>
      <c r="F161" s="823"/>
      <c r="G161" s="823">
        <v>0.3</v>
      </c>
      <c r="H161" s="823"/>
      <c r="I161" s="338">
        <f t="shared" si="14"/>
        <v>340096.04999999993</v>
      </c>
      <c r="J161" s="342"/>
      <c r="K161" s="338">
        <f t="shared" si="15"/>
        <v>0.68019209999999997</v>
      </c>
      <c r="L161" s="1002"/>
      <c r="M161" s="339">
        <f>C161*AV157*E161*G161*365</f>
        <v>340096.04999999993</v>
      </c>
      <c r="N161" s="1002"/>
      <c r="O161" s="342" t="s">
        <v>959</v>
      </c>
      <c r="P161" s="1033"/>
      <c r="Q161" s="342" t="s">
        <v>959</v>
      </c>
      <c r="R161" s="339"/>
      <c r="S161" s="415">
        <f>((M161)*(1-0.2)*0.0125)/1000</f>
        <v>3.4009604999999996</v>
      </c>
      <c r="T161" s="339"/>
      <c r="U161" s="1034" t="s">
        <v>959</v>
      </c>
      <c r="V161" s="1052"/>
      <c r="W161" s="1235">
        <f>I185</f>
        <v>38991101.859000005</v>
      </c>
      <c r="X161" s="1236" t="s">
        <v>827</v>
      </c>
      <c r="Y161" s="1237"/>
      <c r="Z161" s="1238"/>
      <c r="AA161" s="1239"/>
    </row>
    <row r="162" spans="2:27" s="232" customFormat="1" ht="12" thickBot="1">
      <c r="B162" s="1000" t="s">
        <v>568</v>
      </c>
      <c r="C162" s="814">
        <v>4</v>
      </c>
      <c r="D162" s="999"/>
      <c r="E162" s="823">
        <v>750</v>
      </c>
      <c r="F162" s="823"/>
      <c r="G162" s="823">
        <v>0.31</v>
      </c>
      <c r="H162" s="823"/>
      <c r="I162" s="338">
        <f t="shared" si="14"/>
        <v>339450</v>
      </c>
      <c r="J162" s="999"/>
      <c r="K162" s="338">
        <f t="shared" si="15"/>
        <v>0.67889999999999995</v>
      </c>
      <c r="L162" s="985"/>
      <c r="M162" s="343" t="s">
        <v>959</v>
      </c>
      <c r="N162" s="1002"/>
      <c r="O162" s="344">
        <f>C162*(AY$157)*E162*G162*365</f>
        <v>339450</v>
      </c>
      <c r="P162" s="1033"/>
      <c r="Q162" s="342" t="s">
        <v>959</v>
      </c>
      <c r="R162" s="339"/>
      <c r="S162" s="343" t="s">
        <v>959</v>
      </c>
      <c r="T162" s="339"/>
      <c r="U162" s="1032">
        <f>(O162*0.02)/1000</f>
        <v>6.7889999999999997</v>
      </c>
      <c r="V162" s="1010"/>
      <c r="W162" s="1243">
        <f>(W161*(1-0)/1000*0.3)</f>
        <v>11697.330557700001</v>
      </c>
      <c r="X162" s="1244" t="s">
        <v>838</v>
      </c>
      <c r="Y162" s="1059"/>
      <c r="Z162" s="1086"/>
      <c r="AA162" s="1245"/>
    </row>
    <row r="163" spans="2:27" s="232" customFormat="1" ht="12" thickBot="1">
      <c r="B163" s="1000" t="s">
        <v>591</v>
      </c>
      <c r="C163" s="814">
        <v>36</v>
      </c>
      <c r="D163" s="342"/>
      <c r="E163" s="823">
        <v>118</v>
      </c>
      <c r="F163" s="823"/>
      <c r="G163" s="823">
        <v>0.3</v>
      </c>
      <c r="H163" s="823"/>
      <c r="I163" s="338">
        <f t="shared" si="14"/>
        <v>465155.99999999994</v>
      </c>
      <c r="J163" s="342"/>
      <c r="K163" s="338">
        <f t="shared" si="15"/>
        <v>0.93031200000000003</v>
      </c>
      <c r="L163" s="985"/>
      <c r="M163" s="343" t="s">
        <v>959</v>
      </c>
      <c r="N163" s="1002"/>
      <c r="O163" s="344">
        <f>C163*(AY$157)*E163*G163*365</f>
        <v>465155.99999999994</v>
      </c>
      <c r="P163" s="1033"/>
      <c r="Q163" s="342" t="s">
        <v>959</v>
      </c>
      <c r="R163" s="339"/>
      <c r="S163" s="343" t="s">
        <v>959</v>
      </c>
      <c r="T163" s="339"/>
      <c r="U163" s="1032">
        <f>(O163*0.02)/1000</f>
        <v>9.3031199999999998</v>
      </c>
      <c r="V163" s="1010"/>
      <c r="W163" s="1246"/>
      <c r="X163" s="1042"/>
      <c r="Y163" s="1247"/>
      <c r="Z163" s="1248"/>
      <c r="AA163" s="1249"/>
    </row>
    <row r="164" spans="2:27" s="232" customFormat="1" ht="13.5" thickBot="1">
      <c r="B164" s="1000" t="s">
        <v>561</v>
      </c>
      <c r="C164" s="814">
        <v>42</v>
      </c>
      <c r="D164" s="342"/>
      <c r="E164" s="823">
        <v>533</v>
      </c>
      <c r="F164" s="823"/>
      <c r="G164" s="823">
        <v>0.33</v>
      </c>
      <c r="H164" s="823"/>
      <c r="I164" s="338">
        <f t="shared" si="14"/>
        <v>2696393.7</v>
      </c>
      <c r="J164" s="342"/>
      <c r="K164" s="338">
        <f t="shared" si="15"/>
        <v>5.3927874000000013</v>
      </c>
      <c r="L164" s="985"/>
      <c r="M164" s="343" t="s">
        <v>959</v>
      </c>
      <c r="N164" s="1002"/>
      <c r="O164" s="344">
        <f>C164*(AY$157)*E164*G164*365</f>
        <v>2696393.7</v>
      </c>
      <c r="P164" s="1033"/>
      <c r="Q164" s="342" t="s">
        <v>959</v>
      </c>
      <c r="R164" s="339"/>
      <c r="S164" s="343" t="s">
        <v>959</v>
      </c>
      <c r="T164" s="339"/>
      <c r="U164" s="1032">
        <f>(O164*0.02)/1000</f>
        <v>53.927874000000003</v>
      </c>
      <c r="V164" s="1010"/>
      <c r="W164" s="1243">
        <f>SUM(W159,W162)*0.0075</f>
        <v>142.52522917275002</v>
      </c>
      <c r="X164" s="1244" t="s">
        <v>839</v>
      </c>
      <c r="Y164" s="1059"/>
      <c r="Z164" s="1086"/>
      <c r="AA164" s="1245"/>
    </row>
    <row r="165" spans="2:27" s="232" customFormat="1" ht="12" thickBot="1">
      <c r="B165" s="1000" t="s">
        <v>565</v>
      </c>
      <c r="C165" s="814">
        <v>15</v>
      </c>
      <c r="D165" s="999"/>
      <c r="E165" s="823">
        <v>318</v>
      </c>
      <c r="F165" s="823"/>
      <c r="G165" s="823">
        <v>0.31</v>
      </c>
      <c r="H165" s="823"/>
      <c r="I165" s="338">
        <f t="shared" si="14"/>
        <v>539725.5</v>
      </c>
      <c r="J165" s="999"/>
      <c r="K165" s="338">
        <f t="shared" si="15"/>
        <v>1.0794509999999999</v>
      </c>
      <c r="L165" s="985"/>
      <c r="M165" s="343" t="s">
        <v>959</v>
      </c>
      <c r="N165" s="1002"/>
      <c r="O165" s="344">
        <f>C165*(AY$157)*E165*G165*365</f>
        <v>539725.5</v>
      </c>
      <c r="P165" s="1033"/>
      <c r="Q165" s="342" t="s">
        <v>959</v>
      </c>
      <c r="R165" s="339"/>
      <c r="S165" s="343" t="s">
        <v>959</v>
      </c>
      <c r="T165" s="339"/>
      <c r="U165" s="1032">
        <f>(O165*0.02)/1000</f>
        <v>10.794510000000001</v>
      </c>
      <c r="V165" s="1010"/>
      <c r="W165" s="1250"/>
      <c r="X165" s="1251"/>
      <c r="Y165" s="1251"/>
      <c r="Z165" s="1252"/>
      <c r="AA165" s="1253"/>
    </row>
    <row r="166" spans="2:27" s="232" customFormat="1">
      <c r="B166" s="1000" t="s">
        <v>831</v>
      </c>
      <c r="C166" s="815">
        <v>17</v>
      </c>
      <c r="D166" s="999"/>
      <c r="E166" s="823">
        <v>420</v>
      </c>
      <c r="F166" s="823"/>
      <c r="G166" s="823">
        <v>0.31</v>
      </c>
      <c r="H166" s="823"/>
      <c r="I166" s="338">
        <f t="shared" si="14"/>
        <v>807891</v>
      </c>
      <c r="J166" s="999"/>
      <c r="K166" s="338">
        <f t="shared" si="15"/>
        <v>1.6157820000000001</v>
      </c>
      <c r="L166" s="985"/>
      <c r="M166" s="343" t="s">
        <v>959</v>
      </c>
      <c r="N166" s="1002"/>
      <c r="O166" s="344">
        <f>C166*(AY$157)*E166*G166*365</f>
        <v>807891</v>
      </c>
      <c r="P166" s="1033"/>
      <c r="Q166" s="342" t="s">
        <v>959</v>
      </c>
      <c r="R166" s="339"/>
      <c r="S166" s="343" t="s">
        <v>959</v>
      </c>
      <c r="T166" s="339"/>
      <c r="U166" s="1032">
        <f>(O166*0.02)/1000</f>
        <v>16.157820000000001</v>
      </c>
      <c r="V166" s="988"/>
      <c r="W166" s="331"/>
      <c r="X166" s="328"/>
      <c r="Y166" s="328"/>
    </row>
    <row r="167" spans="2:27" s="232" customFormat="1">
      <c r="B167" s="997" t="s">
        <v>571</v>
      </c>
      <c r="C167" s="3249"/>
      <c r="D167" s="3250"/>
      <c r="E167" s="3247"/>
      <c r="F167" s="3247"/>
      <c r="G167" s="3247"/>
      <c r="H167" s="3247"/>
      <c r="I167" s="3251"/>
      <c r="J167" s="3250"/>
      <c r="K167" s="3251"/>
      <c r="L167" s="3246"/>
      <c r="M167" s="2908"/>
      <c r="N167" s="2908"/>
      <c r="O167" s="2908"/>
      <c r="P167" s="2908"/>
      <c r="Q167" s="2908"/>
      <c r="R167" s="3252"/>
      <c r="S167" s="3250"/>
      <c r="T167" s="2908"/>
      <c r="U167" s="3254"/>
      <c r="V167" s="988"/>
      <c r="W167" s="331"/>
      <c r="X167" s="328"/>
      <c r="Y167" s="328"/>
    </row>
    <row r="168" spans="2:27" s="232" customFormat="1">
      <c r="B168" s="1000" t="s">
        <v>592</v>
      </c>
      <c r="C168" s="814">
        <v>2</v>
      </c>
      <c r="D168" s="999"/>
      <c r="E168" s="823">
        <v>198</v>
      </c>
      <c r="F168" s="823"/>
      <c r="G168" s="823">
        <v>0.23499999999999999</v>
      </c>
      <c r="H168" s="823"/>
      <c r="I168" s="338">
        <f>C168*E168*G168*365</f>
        <v>33966.899999999994</v>
      </c>
      <c r="J168" s="999"/>
      <c r="K168" s="338">
        <f>(I168*0.2*0.01)/1000</f>
        <v>6.7933799999999989E-2</v>
      </c>
      <c r="L168" s="985"/>
      <c r="M168" s="339">
        <f>C168*(BC157+BD157+BE157+BF157)*E168*G168*365</f>
        <v>26786.066568881401</v>
      </c>
      <c r="N168" s="1002"/>
      <c r="O168" s="339">
        <f>C168*(BB$157)*E168*G168*365</f>
        <v>7180.8334311185999</v>
      </c>
      <c r="P168" s="1002"/>
      <c r="Q168" s="342" t="s">
        <v>959</v>
      </c>
      <c r="R168" s="339"/>
      <c r="S168" s="415">
        <f>((M168)*(1-0.2)*0.0125)/1000</f>
        <v>0.26786066568881406</v>
      </c>
      <c r="T168" s="339"/>
      <c r="U168" s="1032">
        <f>(O168*0.02)/1000</f>
        <v>0.14361666862237199</v>
      </c>
      <c r="V168" s="989"/>
      <c r="W168" s="331"/>
      <c r="X168" s="328"/>
      <c r="Y168" s="328"/>
    </row>
    <row r="169" spans="2:27" s="232" customFormat="1">
      <c r="B169" s="1003" t="s">
        <v>593</v>
      </c>
      <c r="C169" s="814">
        <v>9</v>
      </c>
      <c r="D169" s="999"/>
      <c r="E169" s="823">
        <v>15.88</v>
      </c>
      <c r="F169" s="823"/>
      <c r="G169" s="823">
        <v>0.6</v>
      </c>
      <c r="H169" s="823"/>
      <c r="I169" s="338">
        <f>C169*E169*G169*365</f>
        <v>31299.480000000003</v>
      </c>
      <c r="J169" s="342"/>
      <c r="K169" s="338">
        <f>(I169*0.2*0.01)/1000</f>
        <v>6.2598960000000009E-2</v>
      </c>
      <c r="L169" s="1002"/>
      <c r="M169" s="339">
        <f>C169*(BC157+BD157+BE157+BF157)*E169*G169*365</f>
        <v>24682.557279332883</v>
      </c>
      <c r="N169" s="1002"/>
      <c r="O169" s="339">
        <f>C169*(BB$157)*E169*G169*365</f>
        <v>6616.9227206671203</v>
      </c>
      <c r="P169" s="1002"/>
      <c r="Q169" s="342" t="s">
        <v>959</v>
      </c>
      <c r="R169" s="339"/>
      <c r="S169" s="415">
        <f>((M169)*(1-0.2)*0.0125)/1000</f>
        <v>0.2468255727933289</v>
      </c>
      <c r="T169" s="339"/>
      <c r="U169" s="1032">
        <f>(O169*0.02)/1000</f>
        <v>0.13233845441334241</v>
      </c>
      <c r="V169" s="990"/>
      <c r="W169" s="331"/>
      <c r="X169" s="328"/>
      <c r="Y169" s="328"/>
    </row>
    <row r="170" spans="2:27" s="232" customFormat="1">
      <c r="B170" s="1003" t="s">
        <v>594</v>
      </c>
      <c r="C170" s="1004">
        <v>7</v>
      </c>
      <c r="D170" s="999"/>
      <c r="E170" s="823">
        <v>40.6</v>
      </c>
      <c r="F170" s="823"/>
      <c r="G170" s="823">
        <v>0.42</v>
      </c>
      <c r="H170" s="823"/>
      <c r="I170" s="338">
        <f>C170*E170*G170*365</f>
        <v>43567.859999999993</v>
      </c>
      <c r="J170" s="342"/>
      <c r="K170" s="338">
        <f>(I170*0.2*0.01)/1000</f>
        <v>8.7135719999999972E-2</v>
      </c>
      <c r="L170" s="1002"/>
      <c r="M170" s="339">
        <f>C170*(BC157+BD157+BE157+BF157)*E170*G170*365</f>
        <v>34357.318395959162</v>
      </c>
      <c r="N170" s="1002"/>
      <c r="O170" s="339">
        <f>C170*(BB$157)*E170*G170*365</f>
        <v>9210.54160404084</v>
      </c>
      <c r="P170" s="1002"/>
      <c r="Q170" s="342" t="s">
        <v>959</v>
      </c>
      <c r="R170" s="339"/>
      <c r="S170" s="415">
        <f>((M170)*(1-0.2)*0.0125)/1000</f>
        <v>0.34357318395959169</v>
      </c>
      <c r="T170" s="339"/>
      <c r="U170" s="1032">
        <f>(O170*0.02)/1000</f>
        <v>0.18421083208081679</v>
      </c>
      <c r="V170" s="989"/>
      <c r="W170" s="331"/>
      <c r="X170" s="328"/>
      <c r="Y170" s="328"/>
    </row>
    <row r="171" spans="2:27" s="232" customFormat="1">
      <c r="B171" s="1003" t="s">
        <v>595</v>
      </c>
      <c r="C171" s="814">
        <v>4</v>
      </c>
      <c r="D171" s="999"/>
      <c r="E171" s="823">
        <v>67.819999999999993</v>
      </c>
      <c r="F171" s="823"/>
      <c r="G171" s="823">
        <v>0.42</v>
      </c>
      <c r="H171" s="823"/>
      <c r="I171" s="338">
        <f>C171*E171*G171*365</f>
        <v>41587.223999999995</v>
      </c>
      <c r="J171" s="342"/>
      <c r="K171" s="338">
        <f>(I171*0.2*0.01)/1000</f>
        <v>8.3174447999999998E-2</v>
      </c>
      <c r="L171" s="1002"/>
      <c r="M171" s="339">
        <f>C171*(BC157+BD157+BE157+BF157)*E171*G171*365</f>
        <v>32795.402302800147</v>
      </c>
      <c r="N171" s="1002"/>
      <c r="O171" s="339">
        <f>C171*(BB$157)*E171*G171*365</f>
        <v>8791.8216971998554</v>
      </c>
      <c r="P171" s="1002"/>
      <c r="Q171" s="342" t="s">
        <v>959</v>
      </c>
      <c r="R171" s="339"/>
      <c r="S171" s="415">
        <f>((M171)*(1-0.2)*0.0125)/1000</f>
        <v>0.32795402302800153</v>
      </c>
      <c r="T171" s="339"/>
      <c r="U171" s="1032">
        <f>(O171*0.02)/1000</f>
        <v>0.17583643394399712</v>
      </c>
      <c r="V171" s="988"/>
      <c r="W171" s="331"/>
      <c r="X171" s="328"/>
      <c r="Y171" s="328"/>
    </row>
    <row r="172" spans="2:27" s="232" customFormat="1">
      <c r="B172" s="1003" t="s">
        <v>596</v>
      </c>
      <c r="C172" s="814">
        <v>4</v>
      </c>
      <c r="D172" s="999"/>
      <c r="E172" s="823">
        <v>90.75</v>
      </c>
      <c r="F172" s="823"/>
      <c r="G172" s="823">
        <v>0.42</v>
      </c>
      <c r="H172" s="823"/>
      <c r="I172" s="338">
        <f>C172*E172*G172*365</f>
        <v>55647.9</v>
      </c>
      <c r="J172" s="342"/>
      <c r="K172" s="338">
        <f>(I172*0.2*0.01)/1000</f>
        <v>0.11129580000000001</v>
      </c>
      <c r="L172" s="1002"/>
      <c r="M172" s="339">
        <f>C172*(BC157+BD157+BE157+BF157)*E172*G172*365</f>
        <v>43883.555868167401</v>
      </c>
      <c r="N172" s="1002"/>
      <c r="O172" s="339">
        <f>C172*(BB$157)*E172*G172*365</f>
        <v>11764.3441318326</v>
      </c>
      <c r="P172" s="1002"/>
      <c r="Q172" s="342" t="s">
        <v>959</v>
      </c>
      <c r="R172" s="339"/>
      <c r="S172" s="415">
        <f>((M172)*(1-0.2)*0.0125)/1000</f>
        <v>0.43883555868167406</v>
      </c>
      <c r="T172" s="339"/>
      <c r="U172" s="1032">
        <f>(O172*0.02)/1000</f>
        <v>0.23528688263665201</v>
      </c>
      <c r="V172" s="991"/>
      <c r="W172" s="333"/>
      <c r="X172" s="332"/>
      <c r="Y172" s="332"/>
    </row>
    <row r="173" spans="2:27" s="232" customFormat="1">
      <c r="B173" s="1005" t="s">
        <v>256</v>
      </c>
      <c r="C173" s="3249"/>
      <c r="D173" s="2891"/>
      <c r="E173" s="3247"/>
      <c r="F173" s="3247"/>
      <c r="G173" s="3247"/>
      <c r="H173" s="3247"/>
      <c r="I173" s="3251"/>
      <c r="J173" s="3250"/>
      <c r="K173" s="3251"/>
      <c r="L173" s="2908"/>
      <c r="M173" s="2908"/>
      <c r="N173" s="2908"/>
      <c r="O173" s="2908"/>
      <c r="P173" s="2908"/>
      <c r="Q173" s="2908"/>
      <c r="R173" s="3252"/>
      <c r="S173" s="3255"/>
      <c r="T173" s="2908"/>
      <c r="U173" s="2908"/>
      <c r="V173" s="988"/>
      <c r="W173" s="334"/>
      <c r="X173" s="328"/>
      <c r="Y173" s="328"/>
    </row>
    <row r="174" spans="2:27" s="232" customFormat="1">
      <c r="B174" s="1006" t="s">
        <v>597</v>
      </c>
      <c r="C174" s="1001"/>
      <c r="D174" s="999"/>
      <c r="E174" s="823"/>
      <c r="F174" s="823"/>
      <c r="G174" s="823"/>
      <c r="H174" s="823"/>
      <c r="I174" s="341"/>
      <c r="J174" s="342"/>
      <c r="K174" s="341"/>
      <c r="L174" s="1002"/>
      <c r="M174" s="1002"/>
      <c r="N174" s="1002"/>
      <c r="O174" s="1002"/>
      <c r="P174" s="1002"/>
      <c r="Q174" s="1002"/>
      <c r="R174" s="339"/>
      <c r="S174" s="415"/>
      <c r="T174" s="1002"/>
      <c r="U174" s="1035"/>
      <c r="V174" s="990"/>
      <c r="W174" s="333"/>
      <c r="X174" s="328"/>
      <c r="Y174" s="328"/>
    </row>
    <row r="175" spans="2:27" s="232" customFormat="1">
      <c r="B175" s="1007" t="s">
        <v>598</v>
      </c>
      <c r="C175" s="814">
        <v>2292</v>
      </c>
      <c r="D175" s="999"/>
      <c r="E175" s="823">
        <v>1.8</v>
      </c>
      <c r="F175" s="823"/>
      <c r="G175" s="823">
        <v>0.83</v>
      </c>
      <c r="H175" s="823"/>
      <c r="I175" s="338">
        <f>C175*E175*G175*365</f>
        <v>1249850.52</v>
      </c>
      <c r="J175" s="342"/>
      <c r="K175" s="338">
        <f>(I175*0.2*0.01)/1000</f>
        <v>2.4997010400000006</v>
      </c>
      <c r="L175" s="1002"/>
      <c r="M175" s="339">
        <f>C175*(BI$157+BJ$157+BK$157+BL$157)*E175*G175*365</f>
        <v>1249850.52</v>
      </c>
      <c r="N175" s="1002"/>
      <c r="O175" s="342" t="s">
        <v>959</v>
      </c>
      <c r="P175" s="1002"/>
      <c r="Q175" s="342" t="s">
        <v>959</v>
      </c>
      <c r="R175" s="339"/>
      <c r="S175" s="415">
        <f>((M175)*(1-0.042)*(1-0.2)*0.0125)/1000</f>
        <v>11.9735679816</v>
      </c>
      <c r="T175" s="339"/>
      <c r="U175" s="1034" t="s">
        <v>959</v>
      </c>
      <c r="V175" s="990"/>
      <c r="W175" s="333"/>
      <c r="X175" s="328"/>
      <c r="Y175" s="328"/>
    </row>
    <row r="176" spans="2:27" s="232" customFormat="1">
      <c r="B176" s="1007" t="s">
        <v>599</v>
      </c>
      <c r="C176" s="814">
        <v>184</v>
      </c>
      <c r="D176" s="999"/>
      <c r="E176" s="823">
        <v>1.8</v>
      </c>
      <c r="F176" s="823"/>
      <c r="G176" s="823">
        <v>0.62</v>
      </c>
      <c r="H176" s="823"/>
      <c r="I176" s="338">
        <f>C176*E176*G176*365</f>
        <v>74950.559999999998</v>
      </c>
      <c r="J176" s="342"/>
      <c r="K176" s="338">
        <f>(I176*0.2*0.01)/1000</f>
        <v>0.14990112000000003</v>
      </c>
      <c r="L176" s="1002"/>
      <c r="M176" s="339">
        <f>C176*(BI$157+BJ$157+BK$157+BL$157)*E176*G176*365</f>
        <v>74950.559999999998</v>
      </c>
      <c r="N176" s="1002"/>
      <c r="O176" s="342" t="s">
        <v>959</v>
      </c>
      <c r="P176" s="1002"/>
      <c r="Q176" s="342" t="s">
        <v>959</v>
      </c>
      <c r="R176" s="339"/>
      <c r="S176" s="415">
        <f>((M176)*(1-0.042)*(1-0.2)*0.0125)/1000</f>
        <v>0.71802636480000004</v>
      </c>
      <c r="T176" s="339"/>
      <c r="U176" s="1034" t="s">
        <v>959</v>
      </c>
      <c r="V176" s="990"/>
      <c r="W176" s="333"/>
      <c r="X176" s="328"/>
      <c r="Y176" s="328"/>
    </row>
    <row r="177" spans="2:26" s="232" customFormat="1">
      <c r="B177" s="1007" t="s">
        <v>600</v>
      </c>
      <c r="C177" s="814">
        <v>12</v>
      </c>
      <c r="D177" s="999"/>
      <c r="E177" s="823">
        <v>1.8</v>
      </c>
      <c r="F177" s="823"/>
      <c r="G177" s="823">
        <v>0.83</v>
      </c>
      <c r="H177" s="823"/>
      <c r="I177" s="338">
        <f>C177*E177*G177*365</f>
        <v>6543.72</v>
      </c>
      <c r="J177" s="342"/>
      <c r="K177" s="338">
        <f>(I177*0.2*0.01)/1000</f>
        <v>1.3087440000000001E-2</v>
      </c>
      <c r="L177" s="1002"/>
      <c r="M177" s="339">
        <f>C177*(BI$157+BJ$157+BK$157+BL$157)*E177*G177*365</f>
        <v>6543.72</v>
      </c>
      <c r="N177" s="1002"/>
      <c r="O177" s="342" t="s">
        <v>959</v>
      </c>
      <c r="P177" s="1002"/>
      <c r="Q177" s="342" t="s">
        <v>959</v>
      </c>
      <c r="R177" s="339"/>
      <c r="S177" s="415">
        <f>(((M177)*(0.958)*(1-0.2)*0.0125))/1000</f>
        <v>6.2688837600000005E-2</v>
      </c>
      <c r="T177" s="339"/>
      <c r="U177" s="1034" t="s">
        <v>959</v>
      </c>
      <c r="V177" s="990"/>
      <c r="W177" s="333"/>
      <c r="X177" s="328"/>
      <c r="Y177" s="328"/>
    </row>
    <row r="178" spans="2:26" s="232" customFormat="1">
      <c r="B178" s="1006" t="s">
        <v>601</v>
      </c>
      <c r="C178" s="814">
        <v>53072.7</v>
      </c>
      <c r="D178" s="999"/>
      <c r="E178" s="823">
        <v>0.9</v>
      </c>
      <c r="F178" s="823"/>
      <c r="G178" s="823">
        <v>1.1000000000000001</v>
      </c>
      <c r="H178" s="823"/>
      <c r="I178" s="338">
        <f>C178*E178*G178*365</f>
        <v>19177820.145000003</v>
      </c>
      <c r="J178" s="999"/>
      <c r="K178" s="338">
        <f>(I178*0.2*0.01)/1000</f>
        <v>38.355640290000011</v>
      </c>
      <c r="L178" s="985"/>
      <c r="M178" s="339">
        <f>C178*(BI$157+BJ$157+BK$157+BL$157)*E178*G178*365</f>
        <v>19177820.145000003</v>
      </c>
      <c r="N178" s="1002"/>
      <c r="O178" s="342" t="s">
        <v>959</v>
      </c>
      <c r="P178" s="1002"/>
      <c r="Q178" s="342" t="s">
        <v>959</v>
      </c>
      <c r="R178" s="339"/>
      <c r="S178" s="415">
        <f>(((M178)*(0.958)*(1-0.2)*0.0125))/1000</f>
        <v>183.72351698910003</v>
      </c>
      <c r="T178" s="339"/>
      <c r="U178" s="1034" t="s">
        <v>959</v>
      </c>
      <c r="V178" s="991"/>
      <c r="W178" s="333"/>
      <c r="X178" s="328"/>
      <c r="Y178" s="328"/>
    </row>
    <row r="179" spans="2:26" s="232" customFormat="1">
      <c r="B179" s="1008" t="s">
        <v>602</v>
      </c>
      <c r="C179" s="814">
        <v>704</v>
      </c>
      <c r="D179" s="999"/>
      <c r="E179" s="823">
        <v>6.8</v>
      </c>
      <c r="F179" s="823"/>
      <c r="G179" s="823">
        <v>0.74</v>
      </c>
      <c r="H179" s="823"/>
      <c r="I179" s="338">
        <f>C179*E179*G179*365</f>
        <v>1293022.72</v>
      </c>
      <c r="J179" s="999"/>
      <c r="K179" s="338">
        <f>(I179*0.2*0.01)/1000</f>
        <v>2.5860454399999999</v>
      </c>
      <c r="L179" s="1009"/>
      <c r="M179" s="339">
        <f>C179*(BI$157+BJ$157+BK$157+BL$157)*E179*G179*365</f>
        <v>1293022.72</v>
      </c>
      <c r="N179" s="1036"/>
      <c r="O179" s="343">
        <f>C179*(BS157)*E179*G179*365</f>
        <v>129302.27200000001</v>
      </c>
      <c r="P179" s="1036"/>
      <c r="Q179" s="342" t="s">
        <v>959</v>
      </c>
      <c r="R179" s="339"/>
      <c r="S179" s="339">
        <f>(((M179)*(0.958)*(1-0.2)*0.0125))/1000</f>
        <v>12.387157657600001</v>
      </c>
      <c r="T179" s="339"/>
      <c r="U179" s="1032">
        <f>(O179*0.02)/1000</f>
        <v>2.5860454400000004</v>
      </c>
      <c r="V179" s="988"/>
      <c r="W179" s="329"/>
      <c r="X179" s="328"/>
      <c r="Y179" s="328"/>
    </row>
    <row r="180" spans="2:26" s="232" customFormat="1">
      <c r="B180" s="997" t="s">
        <v>183</v>
      </c>
      <c r="C180" s="1001"/>
      <c r="D180" s="342"/>
      <c r="E180" s="823"/>
      <c r="F180" s="823"/>
      <c r="G180" s="823"/>
      <c r="H180" s="823"/>
      <c r="I180" s="338"/>
      <c r="J180" s="342"/>
      <c r="K180" s="338"/>
      <c r="L180" s="1009"/>
      <c r="M180" s="1002"/>
      <c r="N180" s="1036"/>
      <c r="O180" s="1036"/>
      <c r="P180" s="1036"/>
      <c r="Q180" s="1036"/>
      <c r="R180" s="339"/>
      <c r="S180" s="1036"/>
      <c r="T180" s="1036"/>
      <c r="U180" s="1037"/>
      <c r="V180" s="988"/>
      <c r="W180" s="328"/>
      <c r="X180" s="328"/>
      <c r="Y180" s="328"/>
    </row>
    <row r="181" spans="2:26" s="232" customFormat="1">
      <c r="B181" s="1003" t="s">
        <v>603</v>
      </c>
      <c r="C181" s="814">
        <v>0</v>
      </c>
      <c r="D181" s="999"/>
      <c r="E181" s="823">
        <v>25</v>
      </c>
      <c r="F181" s="823"/>
      <c r="G181" s="823">
        <v>0.42</v>
      </c>
      <c r="H181" s="823"/>
      <c r="I181" s="338">
        <f>C181*E181*G181*365</f>
        <v>0</v>
      </c>
      <c r="J181" s="342"/>
      <c r="K181" s="338">
        <f>(I181*0.2*0.01)/1000</f>
        <v>0</v>
      </c>
      <c r="L181" s="342"/>
      <c r="M181" s="339">
        <f>C181*(1-BV157)*E181*G181*365</f>
        <v>0</v>
      </c>
      <c r="N181" s="342"/>
      <c r="O181" s="341">
        <f>C181*(BV157)*E181*G181*365</f>
        <v>0</v>
      </c>
      <c r="P181" s="342"/>
      <c r="Q181" s="342" t="s">
        <v>959</v>
      </c>
      <c r="R181" s="339"/>
      <c r="S181" s="339">
        <f>((M181)*(1-0.2)*0.0125)/1000</f>
        <v>0</v>
      </c>
      <c r="T181" s="339"/>
      <c r="U181" s="1032">
        <f>(O181*0.02)/1000</f>
        <v>0</v>
      </c>
      <c r="V181" s="988"/>
      <c r="W181" s="328"/>
      <c r="X181" s="328"/>
      <c r="Y181" s="328"/>
    </row>
    <row r="182" spans="2:26" s="232" customFormat="1">
      <c r="B182" s="1003" t="s">
        <v>604</v>
      </c>
      <c r="C182" s="813">
        <v>24</v>
      </c>
      <c r="D182" s="999"/>
      <c r="E182" s="823">
        <v>80</v>
      </c>
      <c r="F182" s="823"/>
      <c r="G182" s="823">
        <v>0.42</v>
      </c>
      <c r="H182" s="823"/>
      <c r="I182" s="338">
        <f>C182*E182*G182*365</f>
        <v>294336</v>
      </c>
      <c r="J182" s="342"/>
      <c r="K182" s="338">
        <f>(I182*0.2*0.01)/1000</f>
        <v>0.58867199999999997</v>
      </c>
      <c r="L182" s="342"/>
      <c r="M182" s="339">
        <f>C182*(1-BW157)*E182*G182*365</f>
        <v>0</v>
      </c>
      <c r="N182" s="342"/>
      <c r="O182" s="341">
        <f>C182*(BW157)*E182*G182*365</f>
        <v>294336</v>
      </c>
      <c r="P182" s="342"/>
      <c r="Q182" s="342" t="s">
        <v>959</v>
      </c>
      <c r="R182" s="339"/>
      <c r="S182" s="339">
        <f>((M182)*(1-0.2)*0.0125)/1000</f>
        <v>0</v>
      </c>
      <c r="T182" s="339"/>
      <c r="U182" s="1032">
        <f>(O182*0.02)/1000</f>
        <v>5.8867200000000004</v>
      </c>
      <c r="V182" s="988"/>
      <c r="W182" s="328"/>
      <c r="X182" s="328"/>
      <c r="Y182" s="328"/>
    </row>
    <row r="183" spans="2:26" s="232" customFormat="1">
      <c r="B183" s="1003" t="s">
        <v>570</v>
      </c>
      <c r="C183" s="814">
        <v>12</v>
      </c>
      <c r="D183" s="999"/>
      <c r="E183" s="823">
        <v>64</v>
      </c>
      <c r="F183" s="823"/>
      <c r="G183" s="823">
        <v>0.45</v>
      </c>
      <c r="H183" s="823"/>
      <c r="I183" s="338">
        <f>C183*E183*G183*365</f>
        <v>126144.00000000001</v>
      </c>
      <c r="J183" s="999"/>
      <c r="K183" s="338">
        <f>(I183*0.2*0.01)/1000</f>
        <v>0.25228800000000001</v>
      </c>
      <c r="L183" s="999"/>
      <c r="M183" s="343" t="s">
        <v>959</v>
      </c>
      <c r="N183" s="342"/>
      <c r="O183" s="341">
        <f>C183*(BZ157)*E183*G183*365</f>
        <v>126144.00000000001</v>
      </c>
      <c r="P183" s="342"/>
      <c r="Q183" s="342" t="s">
        <v>959</v>
      </c>
      <c r="R183" s="339"/>
      <c r="S183" s="343" t="s">
        <v>959</v>
      </c>
      <c r="T183" s="339"/>
      <c r="U183" s="1032">
        <f>(O183*0.02)/1000</f>
        <v>2.5228800000000007</v>
      </c>
      <c r="V183" s="991"/>
      <c r="W183" s="328"/>
      <c r="X183" s="328"/>
      <c r="Y183" s="328"/>
    </row>
    <row r="184" spans="2:26" s="232" customFormat="1">
      <c r="B184" s="1003" t="s">
        <v>572</v>
      </c>
      <c r="C184" s="813">
        <v>79.099999999999994</v>
      </c>
      <c r="D184" s="999"/>
      <c r="E184" s="823">
        <v>450</v>
      </c>
      <c r="F184" s="823"/>
      <c r="G184" s="823">
        <v>0.3</v>
      </c>
      <c r="H184" s="823"/>
      <c r="I184" s="338">
        <f>C184*E184*G184*365</f>
        <v>3897652.5</v>
      </c>
      <c r="J184" s="999"/>
      <c r="K184" s="338">
        <f>(I184*0.2*0.01)/1000</f>
        <v>7.7953049999999999</v>
      </c>
      <c r="L184" s="999"/>
      <c r="M184" s="343" t="s">
        <v>959</v>
      </c>
      <c r="N184" s="342"/>
      <c r="O184" s="341">
        <f>C184*CC157*E184*G184*365</f>
        <v>3897652.5</v>
      </c>
      <c r="P184" s="342"/>
      <c r="Q184" s="342" t="s">
        <v>959</v>
      </c>
      <c r="R184" s="339"/>
      <c r="S184" s="343" t="s">
        <v>959</v>
      </c>
      <c r="T184" s="339"/>
      <c r="U184" s="1032">
        <f>(O184*0.02)/1000</f>
        <v>77.953050000000005</v>
      </c>
      <c r="V184" s="988"/>
      <c r="W184" s="328"/>
      <c r="X184" s="328"/>
      <c r="Y184" s="328"/>
    </row>
    <row r="185" spans="2:26" s="232" customFormat="1" ht="12" thickBot="1">
      <c r="B185" s="1313" t="s">
        <v>180</v>
      </c>
      <c r="C185" s="1314"/>
      <c r="D185" s="1315"/>
      <c r="E185" s="1079"/>
      <c r="F185" s="1079"/>
      <c r="G185" s="1079"/>
      <c r="H185" s="1079"/>
      <c r="I185" s="1316">
        <f>SUM(I157:I184)</f>
        <v>38991101.859000005</v>
      </c>
      <c r="J185" s="1315"/>
      <c r="K185" s="1316">
        <f>SUM(K157:K184)</f>
        <v>77.982203718000008</v>
      </c>
      <c r="L185" s="1317"/>
      <c r="M185" s="1316">
        <f>SUM(M157:M184)</f>
        <v>26061471.481390499</v>
      </c>
      <c r="N185" s="1315"/>
      <c r="O185" s="1316">
        <f>SUM(O157:O184)</f>
        <v>9820868.2820491008</v>
      </c>
      <c r="P185" s="1317"/>
      <c r="Q185" s="1316">
        <f>SUM(Q157:Q184)</f>
        <v>3238064.3675603988</v>
      </c>
      <c r="R185" s="1315"/>
      <c r="S185" s="1318">
        <f>SUM(S157:S184)</f>
        <v>283.83843967020903</v>
      </c>
      <c r="T185" s="1316"/>
      <c r="U185" s="1319">
        <f>SUM(U157:U184)</f>
        <v>196.41736564098204</v>
      </c>
      <c r="V185" s="1266"/>
      <c r="W185" s="328"/>
      <c r="X185" s="328"/>
      <c r="Y185" s="1254"/>
    </row>
    <row r="186" spans="2:26" s="232" customFormat="1" ht="12" thickBot="1">
      <c r="B186" s="1265"/>
      <c r="C186" s="1038"/>
      <c r="D186" s="1039"/>
      <c r="E186" s="1040"/>
      <c r="F186" s="1039"/>
      <c r="G186" s="1041"/>
      <c r="H186" s="1042"/>
      <c r="I186" s="1043"/>
      <c r="J186" s="1043"/>
      <c r="K186" s="1043"/>
      <c r="L186" s="1043"/>
      <c r="M186" s="1043"/>
      <c r="N186" s="330"/>
      <c r="O186" s="332"/>
      <c r="P186" s="332"/>
      <c r="Q186" s="332"/>
      <c r="R186" s="329"/>
      <c r="S186" s="329"/>
      <c r="T186" s="329"/>
      <c r="U186" s="329"/>
      <c r="V186" s="1267"/>
      <c r="W186" s="328"/>
      <c r="X186" s="328"/>
      <c r="Y186" s="328"/>
    </row>
    <row r="187" spans="2:26" s="232" customFormat="1" ht="12" thickBot="1">
      <c r="B187" s="1047" t="s">
        <v>1691</v>
      </c>
      <c r="C187" s="1048"/>
      <c r="D187" s="1049"/>
      <c r="E187" s="1049"/>
      <c r="F187" s="1049"/>
      <c r="G187" s="1049"/>
      <c r="H187" s="1049"/>
      <c r="I187" s="1049"/>
      <c r="J187" s="1049"/>
      <c r="K187" s="1049"/>
      <c r="L187" s="1049"/>
      <c r="M187" s="1049"/>
      <c r="N187" s="1049"/>
      <c r="O187" s="2888"/>
      <c r="P187" s="1049"/>
      <c r="Q187" s="2900"/>
      <c r="R187" s="1050"/>
      <c r="S187" s="2892"/>
      <c r="T187" s="1264"/>
      <c r="U187" s="332"/>
      <c r="V187" s="332"/>
      <c r="W187" s="327"/>
      <c r="X187" s="327"/>
      <c r="Y187" s="327"/>
      <c r="Z187" s="233"/>
    </row>
    <row r="188" spans="2:26" s="232" customFormat="1" ht="46.5">
      <c r="B188" s="1044"/>
      <c r="C188" s="1045"/>
      <c r="D188" s="1046"/>
      <c r="E188" s="1029"/>
      <c r="F188" s="1028"/>
      <c r="G188" s="1255" t="s">
        <v>840</v>
      </c>
      <c r="H188" s="1256"/>
      <c r="I188" s="1255" t="s">
        <v>828</v>
      </c>
      <c r="J188" s="1256"/>
      <c r="K188" s="1255" t="s">
        <v>841</v>
      </c>
      <c r="L188" s="1256"/>
      <c r="M188" s="1256"/>
      <c r="N188" s="1257"/>
      <c r="O188" s="2889" t="s">
        <v>842</v>
      </c>
      <c r="P188" s="1261"/>
      <c r="Q188" s="2901" t="s">
        <v>829</v>
      </c>
      <c r="R188" s="2896"/>
      <c r="S188" s="1262" t="s">
        <v>843</v>
      </c>
      <c r="T188" s="1263"/>
      <c r="U188" s="329"/>
      <c r="V188" s="329"/>
      <c r="W188" s="328"/>
      <c r="X188" s="328"/>
      <c r="Y188" s="328"/>
    </row>
    <row r="189" spans="2:26" s="232" customFormat="1">
      <c r="B189" s="1011"/>
      <c r="C189" s="3581" t="s">
        <v>136</v>
      </c>
      <c r="D189" s="3581"/>
      <c r="E189" s="3581"/>
      <c r="F189" s="1270"/>
      <c r="G189" s="1271">
        <f>K185*44/28</f>
        <v>122.54346298542859</v>
      </c>
      <c r="H189" s="1272"/>
      <c r="I189" s="1273">
        <f>G189*310*12/44*10^-6</f>
        <v>1.0360492779677145E-2</v>
      </c>
      <c r="J189" s="1274"/>
      <c r="K189" s="1273">
        <f>I189/(12/44)</f>
        <v>3.7988473525482867E-2</v>
      </c>
      <c r="L189" s="1002"/>
      <c r="M189" s="1268"/>
      <c r="N189" s="1269" t="s">
        <v>830</v>
      </c>
      <c r="O189" s="2899">
        <f>W164*44/28</f>
        <v>223.96821727146431</v>
      </c>
      <c r="P189" s="2904"/>
      <c r="Q189" s="2902">
        <f>O189*310*12/44*10^-6</f>
        <v>1.8935494732951072E-2</v>
      </c>
      <c r="R189" s="2897"/>
      <c r="S189" s="2893">
        <f>Q189/(12/44)</f>
        <v>6.943014735415394E-2</v>
      </c>
      <c r="T189" s="329"/>
      <c r="U189" s="329"/>
      <c r="V189" s="329"/>
      <c r="W189" s="328"/>
      <c r="X189" s="328"/>
      <c r="Y189" s="328"/>
    </row>
    <row r="190" spans="2:26" s="232" customFormat="1" ht="12.75">
      <c r="B190" s="1258"/>
      <c r="C190" s="1259"/>
      <c r="D190" s="1259"/>
      <c r="E190" s="1260" t="s">
        <v>232</v>
      </c>
      <c r="F190" s="999"/>
      <c r="G190" s="338">
        <f>(U185+S185)*44/28</f>
        <v>754.68769406044316</v>
      </c>
      <c r="H190" s="985"/>
      <c r="I190" s="933">
        <f>G190*310*12/44*10^-6</f>
        <v>6.3805414134201099E-2</v>
      </c>
      <c r="J190" s="1002"/>
      <c r="K190" s="1012">
        <f>I190/(12/44)</f>
        <v>0.23395318515873739</v>
      </c>
      <c r="L190" s="1002"/>
      <c r="M190" s="1002"/>
      <c r="N190" s="1013" t="s">
        <v>920</v>
      </c>
      <c r="O190" s="2890">
        <f>SUM(W159)*0.0075*44/28</f>
        <v>86.106821412857144</v>
      </c>
      <c r="P190" s="2905"/>
      <c r="Q190" s="2903">
        <f>O190*310*12/44*10^-6</f>
        <v>7.2799403558142864E-3</v>
      </c>
      <c r="R190" s="2898"/>
      <c r="S190" s="2894">
        <f>Q190/(12/44)</f>
        <v>2.669311463798572E-2</v>
      </c>
      <c r="T190" s="1263"/>
      <c r="U190" s="329"/>
      <c r="V190" s="329"/>
      <c r="W190" s="328"/>
      <c r="X190" s="328"/>
      <c r="Y190" s="328"/>
    </row>
    <row r="191" spans="2:26" s="232" customFormat="1" ht="12.75">
      <c r="B191" s="1258"/>
      <c r="C191" s="1259"/>
      <c r="D191" s="1259"/>
      <c r="E191" s="1260" t="s">
        <v>233</v>
      </c>
      <c r="F191" s="999"/>
      <c r="G191" s="338">
        <f>U185*44/28</f>
        <v>308.65586029297179</v>
      </c>
      <c r="H191" s="985"/>
      <c r="I191" s="933">
        <f>G191*310*12/44*10^-6</f>
        <v>2.6095450006587615E-2</v>
      </c>
      <c r="J191" s="1002"/>
      <c r="K191" s="1012">
        <f>I191/(12/44)</f>
        <v>9.5683316690821266E-2</v>
      </c>
      <c r="L191" s="1002"/>
      <c r="M191" s="1002"/>
      <c r="N191" s="1013" t="s">
        <v>921</v>
      </c>
      <c r="O191" s="2890">
        <f>SUM(W162)*0.0075*44/28</f>
        <v>137.86139585860715</v>
      </c>
      <c r="P191" s="2905"/>
      <c r="Q191" s="2903">
        <f>O191*310*12/44*10^-6</f>
        <v>1.1655554377136786E-2</v>
      </c>
      <c r="R191" s="2898"/>
      <c r="S191" s="2894">
        <f>Q191/(12/44)</f>
        <v>4.2737032716168216E-2</v>
      </c>
      <c r="T191" s="1263"/>
      <c r="U191" s="329"/>
      <c r="V191" s="329"/>
      <c r="W191" s="328"/>
      <c r="X191" s="328"/>
      <c r="Y191" s="328"/>
    </row>
    <row r="192" spans="2:26" s="232" customFormat="1">
      <c r="B192" s="1011"/>
      <c r="C192" s="3581" t="s">
        <v>137</v>
      </c>
      <c r="D192" s="3581"/>
      <c r="E192" s="3581"/>
      <c r="F192" s="1275"/>
      <c r="G192" s="1276">
        <f>SUM(G190:G191)</f>
        <v>1063.3435543534149</v>
      </c>
      <c r="H192" s="1277"/>
      <c r="I192" s="1273">
        <f>G192*310*12/44*10^-6</f>
        <v>8.9900864140788697E-2</v>
      </c>
      <c r="J192" s="1275"/>
      <c r="K192" s="1273">
        <f>I192/(12/44)</f>
        <v>0.32963650184955856</v>
      </c>
      <c r="L192" s="1002"/>
      <c r="M192" s="342"/>
      <c r="N192" s="2905"/>
      <c r="O192" s="2908"/>
      <c r="P192" s="2906"/>
      <c r="Q192" s="2891"/>
      <c r="R192" s="2898"/>
      <c r="S192" s="2895"/>
      <c r="T192" s="1263"/>
      <c r="U192" s="329"/>
      <c r="V192" s="329"/>
      <c r="W192" s="328"/>
      <c r="X192" s="328"/>
      <c r="Y192" s="328"/>
    </row>
    <row r="193" spans="1:34" s="232" customFormat="1" ht="12" thickBot="1">
      <c r="B193" s="1014"/>
      <c r="C193" s="1015"/>
      <c r="D193" s="1015"/>
      <c r="E193" s="1015"/>
      <c r="F193" s="1016"/>
      <c r="G193" s="1017"/>
      <c r="H193" s="987"/>
      <c r="I193" s="1018"/>
      <c r="J193" s="1016"/>
      <c r="K193" s="1018"/>
      <c r="L193" s="1019"/>
      <c r="M193" s="1020"/>
      <c r="N193" s="1019"/>
      <c r="O193" s="992"/>
      <c r="P193" s="2907"/>
      <c r="Q193" s="993"/>
      <c r="R193" s="1251"/>
      <c r="S193" s="994"/>
      <c r="T193" s="1263"/>
      <c r="U193" s="329"/>
      <c r="V193" s="329"/>
      <c r="W193" s="328"/>
      <c r="X193" s="328"/>
      <c r="Y193" s="328"/>
    </row>
    <row r="194" spans="1:34" s="232" customFormat="1">
      <c r="B194" s="345"/>
      <c r="C194" s="925"/>
      <c r="D194" s="925"/>
      <c r="E194" s="925"/>
      <c r="F194" s="335"/>
      <c r="G194" s="995"/>
      <c r="H194" s="329"/>
      <c r="I194" s="996"/>
      <c r="J194" s="337"/>
      <c r="K194" s="996"/>
      <c r="L194" s="332"/>
      <c r="M194" s="340"/>
      <c r="N194" s="332"/>
      <c r="O194" s="332"/>
      <c r="P194" s="337"/>
      <c r="Q194" s="337"/>
      <c r="R194" s="328"/>
      <c r="S194" s="328"/>
      <c r="T194" s="328"/>
      <c r="U194" s="328"/>
      <c r="V194" s="328"/>
      <c r="W194" s="328"/>
      <c r="X194" s="328"/>
      <c r="Y194" s="328"/>
    </row>
    <row r="195" spans="1:34" ht="12" thickBot="1">
      <c r="A195" s="4"/>
      <c r="B195" s="288"/>
      <c r="C195" s="289"/>
      <c r="D195" s="290"/>
      <c r="E195" s="290"/>
      <c r="F195" s="290"/>
      <c r="G195" s="291"/>
      <c r="H195" s="1070"/>
      <c r="I195" s="286"/>
      <c r="J195" s="1070"/>
      <c r="K195" s="287"/>
      <c r="L195" s="4"/>
      <c r="M195" s="287"/>
      <c r="N195" s="4"/>
      <c r="O195" s="4"/>
      <c r="P195" s="4"/>
      <c r="Q195" s="4"/>
      <c r="R195" s="4"/>
      <c r="S195" s="4"/>
      <c r="T195" s="4"/>
      <c r="U195" s="4"/>
    </row>
    <row r="196" spans="1:34" ht="21">
      <c r="A196" s="4"/>
      <c r="B196" s="1278" t="s">
        <v>138</v>
      </c>
      <c r="C196" s="1141"/>
      <c r="D196" s="1142"/>
      <c r="E196" s="1142"/>
      <c r="F196" s="1142"/>
      <c r="G196" s="1143"/>
      <c r="H196" s="1144"/>
      <c r="I196" s="1145"/>
      <c r="J196" s="1144"/>
      <c r="K196" s="1146"/>
      <c r="L196" s="1115"/>
      <c r="M196" s="1146"/>
      <c r="N196" s="1115"/>
      <c r="O196" s="1115"/>
      <c r="P196" s="1115"/>
      <c r="Q196" s="1115"/>
      <c r="R196" s="1115"/>
      <c r="S196" s="1115"/>
      <c r="T196" s="1115"/>
      <c r="U196" s="1115"/>
      <c r="V196" s="1115"/>
      <c r="W196" s="1115"/>
      <c r="X196" s="1115"/>
      <c r="Y196" s="1115"/>
      <c r="Z196" s="1115"/>
      <c r="AA196" s="1115"/>
      <c r="AB196" s="1115"/>
      <c r="AC196" s="1295"/>
      <c r="AD196" s="1300"/>
      <c r="AH196" s="371" t="s">
        <v>866</v>
      </c>
    </row>
    <row r="197" spans="1:34" s="232" customFormat="1" ht="36.75">
      <c r="A197" s="388"/>
      <c r="B197" s="1294" t="s">
        <v>648</v>
      </c>
      <c r="C197" s="1289" t="s">
        <v>1123</v>
      </c>
      <c r="D197" s="1068"/>
      <c r="E197" s="1290" t="s">
        <v>871</v>
      </c>
      <c r="F197" s="1290"/>
      <c r="G197" s="1290" t="s">
        <v>884</v>
      </c>
      <c r="H197" s="1068"/>
      <c r="I197" s="1290" t="s">
        <v>872</v>
      </c>
      <c r="J197" s="1290"/>
      <c r="K197" s="1290" t="s">
        <v>873</v>
      </c>
      <c r="L197" s="1291"/>
      <c r="M197" s="1290" t="s">
        <v>874</v>
      </c>
      <c r="N197" s="1291"/>
      <c r="O197" s="1290" t="s">
        <v>875</v>
      </c>
      <c r="P197" s="1291"/>
      <c r="Q197" s="1290" t="s">
        <v>876</v>
      </c>
      <c r="R197" s="1068"/>
      <c r="S197" s="1290" t="s">
        <v>877</v>
      </c>
      <c r="T197" s="1068"/>
      <c r="U197" s="1292" t="s">
        <v>1069</v>
      </c>
      <c r="V197" s="1068"/>
      <c r="W197" s="1293" t="s">
        <v>878</v>
      </c>
      <c r="X197" s="1068"/>
      <c r="Y197" s="1290" t="s">
        <v>885</v>
      </c>
      <c r="Z197" s="1068"/>
      <c r="AA197" s="1290" t="s">
        <v>886</v>
      </c>
      <c r="AB197" s="1291"/>
      <c r="AC197" s="1296" t="s">
        <v>887</v>
      </c>
      <c r="AD197" s="1299"/>
    </row>
    <row r="198" spans="1:34" s="232" customFormat="1">
      <c r="A198" s="389"/>
      <c r="B198" s="833"/>
      <c r="C198" s="823"/>
      <c r="D198" s="823"/>
      <c r="E198" s="829"/>
      <c r="F198" s="391"/>
      <c r="G198" s="823"/>
      <c r="H198" s="823"/>
      <c r="I198" s="823"/>
      <c r="J198" s="823"/>
      <c r="K198" s="823"/>
      <c r="L198" s="823"/>
      <c r="M198" s="823"/>
      <c r="N198" s="823"/>
      <c r="O198" s="823"/>
      <c r="P198" s="823"/>
      <c r="Q198" s="823"/>
      <c r="R198" s="823"/>
      <c r="S198" s="823"/>
      <c r="T198" s="823"/>
      <c r="U198" s="1279"/>
      <c r="V198" s="823"/>
      <c r="W198" s="949"/>
      <c r="X198" s="823"/>
      <c r="Y198" s="823"/>
      <c r="Z198" s="823"/>
      <c r="AA198" s="823"/>
      <c r="AB198" s="823"/>
      <c r="AC198" s="1297"/>
      <c r="AD198" s="1299"/>
    </row>
    <row r="199" spans="1:34" s="232" customFormat="1">
      <c r="A199" s="389"/>
      <c r="B199" s="1280" t="s">
        <v>651</v>
      </c>
      <c r="C199" s="1281" t="s">
        <v>625</v>
      </c>
      <c r="D199" s="823"/>
      <c r="E199" s="817">
        <v>2880</v>
      </c>
      <c r="F199" s="391" t="s">
        <v>966</v>
      </c>
      <c r="G199" s="391">
        <v>2.1772E-2</v>
      </c>
      <c r="H199" s="823"/>
      <c r="I199" s="313">
        <f>E199*G199*1000</f>
        <v>62703.359999999993</v>
      </c>
      <c r="J199" s="391" t="s">
        <v>965</v>
      </c>
      <c r="K199" s="390">
        <v>1.2</v>
      </c>
      <c r="L199" s="391" t="s">
        <v>965</v>
      </c>
      <c r="M199" s="1282">
        <v>0.03</v>
      </c>
      <c r="N199" s="391" t="s">
        <v>965</v>
      </c>
      <c r="O199" s="391">
        <v>0.93</v>
      </c>
      <c r="P199" s="391" t="s">
        <v>965</v>
      </c>
      <c r="Q199" s="392">
        <v>0.93</v>
      </c>
      <c r="R199" s="391" t="s">
        <v>965</v>
      </c>
      <c r="S199" s="392">
        <v>0.88</v>
      </c>
      <c r="T199" s="391" t="s">
        <v>966</v>
      </c>
      <c r="U199" s="393">
        <v>0.44850000000000001</v>
      </c>
      <c r="V199" s="391" t="s">
        <v>966</v>
      </c>
      <c r="W199" s="321">
        <f>I199*K199*M199*O199*Q199*S199*U199</f>
        <v>770.55622062262273</v>
      </c>
      <c r="X199" s="391" t="s">
        <v>966</v>
      </c>
      <c r="Y199" s="818">
        <f>W199*0.005*(16/12)</f>
        <v>5.1370414708174845</v>
      </c>
      <c r="Z199" s="1283" t="s">
        <v>966</v>
      </c>
      <c r="AA199" s="394">
        <f>Y199/(10^6)*21*12/44</f>
        <v>2.9421237514681952E-5</v>
      </c>
      <c r="AB199" s="1283" t="s">
        <v>966</v>
      </c>
      <c r="AC199" s="1298">
        <f>AA199/(12/44)</f>
        <v>1.0787787088716716E-4</v>
      </c>
      <c r="AD199" s="1299"/>
    </row>
    <row r="200" spans="1:34" s="232" customFormat="1">
      <c r="A200" s="389"/>
      <c r="B200" s="1280" t="s">
        <v>879</v>
      </c>
      <c r="C200" s="1281" t="s">
        <v>625</v>
      </c>
      <c r="D200" s="823"/>
      <c r="E200" s="817">
        <v>46870</v>
      </c>
      <c r="F200" s="391" t="s">
        <v>966</v>
      </c>
      <c r="G200" s="391">
        <v>2.5401147108E-2</v>
      </c>
      <c r="H200" s="823"/>
      <c r="I200" s="313">
        <f>E200*G200*1000</f>
        <v>1190551.76495196</v>
      </c>
      <c r="J200" s="391" t="s">
        <v>965</v>
      </c>
      <c r="K200" s="390">
        <v>1</v>
      </c>
      <c r="L200" s="391" t="s">
        <v>965</v>
      </c>
      <c r="M200" s="1282">
        <v>0.03</v>
      </c>
      <c r="N200" s="391" t="s">
        <v>965</v>
      </c>
      <c r="O200" s="391">
        <v>0.91</v>
      </c>
      <c r="P200" s="391" t="s">
        <v>965</v>
      </c>
      <c r="Q200" s="392">
        <v>0.93</v>
      </c>
      <c r="R200" s="391" t="s">
        <v>965</v>
      </c>
      <c r="S200" s="392">
        <v>0.88</v>
      </c>
      <c r="T200" s="391" t="s">
        <v>966</v>
      </c>
      <c r="U200" s="393">
        <v>0.44779999999999998</v>
      </c>
      <c r="V200" s="391" t="s">
        <v>966</v>
      </c>
      <c r="W200" s="321">
        <f t="shared" ref="W200:W207" si="16">I200*K200*M200*O200*Q200*S200*U200</f>
        <v>11911.340514384598</v>
      </c>
      <c r="X200" s="391" t="s">
        <v>966</v>
      </c>
      <c r="Y200" s="818">
        <f>W200*0.005*(16/12)</f>
        <v>79.408936762563982</v>
      </c>
      <c r="Z200" s="1283" t="s">
        <v>966</v>
      </c>
      <c r="AA200" s="394">
        <f t="shared" ref="AA200:AA207" si="17">Y200/(10^6)*21*12/44</f>
        <v>4.547966378219574E-4</v>
      </c>
      <c r="AB200" s="1283" t="s">
        <v>966</v>
      </c>
      <c r="AC200" s="1298">
        <f t="shared" ref="AC200:AC207" si="18">AA200/(12/44)</f>
        <v>1.667587672013844E-3</v>
      </c>
      <c r="AD200" s="1299"/>
    </row>
    <row r="201" spans="1:34" s="232" customFormat="1">
      <c r="A201" s="389"/>
      <c r="B201" s="1280" t="s">
        <v>635</v>
      </c>
      <c r="C201" s="1281" t="s">
        <v>880</v>
      </c>
      <c r="D201" s="823"/>
      <c r="E201" s="817">
        <v>0</v>
      </c>
      <c r="F201" s="391" t="s">
        <v>966</v>
      </c>
      <c r="G201" s="391" t="s">
        <v>959</v>
      </c>
      <c r="H201" s="823"/>
      <c r="I201" s="313">
        <f>(E201*1000/2000)*0.9072</f>
        <v>0</v>
      </c>
      <c r="J201" s="391" t="s">
        <v>965</v>
      </c>
      <c r="K201" s="390">
        <v>1</v>
      </c>
      <c r="L201" s="391" t="s">
        <v>965</v>
      </c>
      <c r="M201" s="1282">
        <v>0.03</v>
      </c>
      <c r="N201" s="391" t="s">
        <v>965</v>
      </c>
      <c r="O201" s="391">
        <v>0.86</v>
      </c>
      <c r="P201" s="391" t="s">
        <v>965</v>
      </c>
      <c r="Q201" s="392">
        <v>0.93</v>
      </c>
      <c r="R201" s="391" t="s">
        <v>965</v>
      </c>
      <c r="S201" s="392">
        <v>0.88</v>
      </c>
      <c r="T201" s="391" t="s">
        <v>966</v>
      </c>
      <c r="U201" s="393">
        <v>0.45</v>
      </c>
      <c r="V201" s="391" t="s">
        <v>966</v>
      </c>
      <c r="W201" s="321">
        <f t="shared" si="16"/>
        <v>0</v>
      </c>
      <c r="X201" s="391" t="s">
        <v>966</v>
      </c>
      <c r="Y201" s="818">
        <f>W201*0.005*(16/12)</f>
        <v>0</v>
      </c>
      <c r="Z201" s="1283" t="s">
        <v>966</v>
      </c>
      <c r="AA201" s="394">
        <f t="shared" si="17"/>
        <v>0</v>
      </c>
      <c r="AB201" s="1283" t="s">
        <v>966</v>
      </c>
      <c r="AC201" s="1298">
        <f t="shared" si="18"/>
        <v>0</v>
      </c>
      <c r="AD201" s="1299"/>
    </row>
    <row r="202" spans="1:34" s="232" customFormat="1">
      <c r="A202" s="389"/>
      <c r="B202" s="1280" t="s">
        <v>633</v>
      </c>
      <c r="C202" s="1281" t="s">
        <v>881</v>
      </c>
      <c r="D202" s="823"/>
      <c r="E202" s="817">
        <v>0</v>
      </c>
      <c r="F202" s="391" t="s">
        <v>966</v>
      </c>
      <c r="G202" s="391" t="s">
        <v>959</v>
      </c>
      <c r="H202" s="823"/>
      <c r="I202" s="313">
        <v>0</v>
      </c>
      <c r="J202" s="391" t="s">
        <v>965</v>
      </c>
      <c r="K202" s="390">
        <v>1.4</v>
      </c>
      <c r="L202" s="391" t="s">
        <v>965</v>
      </c>
      <c r="M202" s="1282">
        <v>0</v>
      </c>
      <c r="N202" s="391" t="s">
        <v>965</v>
      </c>
      <c r="O202" s="391">
        <v>0.91</v>
      </c>
      <c r="P202" s="391" t="s">
        <v>965</v>
      </c>
      <c r="Q202" s="392">
        <v>0.93</v>
      </c>
      <c r="R202" s="391" t="s">
        <v>965</v>
      </c>
      <c r="S202" s="392">
        <v>0.88</v>
      </c>
      <c r="T202" s="391" t="s">
        <v>966</v>
      </c>
      <c r="U202" s="393">
        <v>0.38059999999999999</v>
      </c>
      <c r="V202" s="391" t="s">
        <v>966</v>
      </c>
      <c r="W202" s="321">
        <f t="shared" si="16"/>
        <v>0</v>
      </c>
      <c r="X202" s="391" t="s">
        <v>966</v>
      </c>
      <c r="Y202" s="818">
        <f t="shared" ref="Y202:Y207" si="19">W202*0.005*(16/12)</f>
        <v>0</v>
      </c>
      <c r="Z202" s="1283" t="s">
        <v>966</v>
      </c>
      <c r="AA202" s="394">
        <f t="shared" si="17"/>
        <v>0</v>
      </c>
      <c r="AB202" s="1283" t="s">
        <v>966</v>
      </c>
      <c r="AC202" s="1298">
        <f t="shared" si="18"/>
        <v>0</v>
      </c>
      <c r="AD202" s="1299"/>
    </row>
    <row r="203" spans="1:34" s="232" customFormat="1">
      <c r="A203" s="389"/>
      <c r="B203" s="1280" t="s">
        <v>652</v>
      </c>
      <c r="C203" s="1281" t="s">
        <v>625</v>
      </c>
      <c r="D203" s="823"/>
      <c r="E203" s="817">
        <v>17903</v>
      </c>
      <c r="F203" s="391" t="s">
        <v>966</v>
      </c>
      <c r="G203" s="391">
        <v>2.7215692074999999E-2</v>
      </c>
      <c r="H203" s="823"/>
      <c r="I203" s="313">
        <f>E203*G203*1000</f>
        <v>487242.53521872498</v>
      </c>
      <c r="J203" s="391" t="s">
        <v>965</v>
      </c>
      <c r="K203" s="390">
        <v>2.1</v>
      </c>
      <c r="L203" s="391" t="s">
        <v>965</v>
      </c>
      <c r="M203" s="1282">
        <v>0.03</v>
      </c>
      <c r="N203" s="391" t="s">
        <v>965</v>
      </c>
      <c r="O203" s="391">
        <v>0.87</v>
      </c>
      <c r="P203" s="391" t="s">
        <v>965</v>
      </c>
      <c r="Q203" s="392">
        <v>0.93</v>
      </c>
      <c r="R203" s="391" t="s">
        <v>965</v>
      </c>
      <c r="S203" s="392">
        <v>0.88</v>
      </c>
      <c r="T203" s="391" t="s">
        <v>966</v>
      </c>
      <c r="U203" s="393">
        <v>0.45</v>
      </c>
      <c r="V203" s="391" t="s">
        <v>966</v>
      </c>
      <c r="W203" s="321">
        <f t="shared" si="16"/>
        <v>9835.1985285039955</v>
      </c>
      <c r="X203" s="391" t="s">
        <v>966</v>
      </c>
      <c r="Y203" s="818">
        <f t="shared" si="19"/>
        <v>65.567990190026634</v>
      </c>
      <c r="Z203" s="1283" t="s">
        <v>966</v>
      </c>
      <c r="AA203" s="394">
        <f t="shared" si="17"/>
        <v>3.7552576199742526E-4</v>
      </c>
      <c r="AB203" s="1283" t="s">
        <v>966</v>
      </c>
      <c r="AC203" s="1298">
        <f t="shared" si="18"/>
        <v>1.3769277939905593E-3</v>
      </c>
      <c r="AD203" s="1299"/>
    </row>
    <row r="204" spans="1:34" s="232" customFormat="1">
      <c r="A204" s="389"/>
      <c r="B204" s="1280" t="s">
        <v>882</v>
      </c>
      <c r="C204" s="1281" t="s">
        <v>622</v>
      </c>
      <c r="D204" s="823"/>
      <c r="E204" s="817">
        <v>0</v>
      </c>
      <c r="F204" s="391" t="s">
        <v>966</v>
      </c>
      <c r="G204" s="391" t="s">
        <v>959</v>
      </c>
      <c r="H204" s="823"/>
      <c r="I204" s="313">
        <f>E204*0.9072*1000</f>
        <v>0</v>
      </c>
      <c r="J204" s="391" t="s">
        <v>965</v>
      </c>
      <c r="K204" s="390">
        <v>0.2</v>
      </c>
      <c r="L204" s="391" t="s">
        <v>965</v>
      </c>
      <c r="M204" s="1282">
        <v>0.03</v>
      </c>
      <c r="N204" s="391" t="s">
        <v>965</v>
      </c>
      <c r="O204" s="391">
        <v>0.62</v>
      </c>
      <c r="P204" s="391" t="s">
        <v>965</v>
      </c>
      <c r="Q204" s="392">
        <v>0.93</v>
      </c>
      <c r="R204" s="391" t="s">
        <v>965</v>
      </c>
      <c r="S204" s="392">
        <v>0.88</v>
      </c>
      <c r="T204" s="391" t="s">
        <v>966</v>
      </c>
      <c r="U204" s="393">
        <v>0.42349999999999999</v>
      </c>
      <c r="V204" s="391" t="s">
        <v>966</v>
      </c>
      <c r="W204" s="321">
        <f t="shared" si="16"/>
        <v>0</v>
      </c>
      <c r="X204" s="391" t="s">
        <v>966</v>
      </c>
      <c r="Y204" s="818">
        <f t="shared" si="19"/>
        <v>0</v>
      </c>
      <c r="Z204" s="1283" t="s">
        <v>966</v>
      </c>
      <c r="AA204" s="394">
        <f t="shared" si="17"/>
        <v>0</v>
      </c>
      <c r="AB204" s="1283" t="s">
        <v>966</v>
      </c>
      <c r="AC204" s="1298">
        <f t="shared" si="18"/>
        <v>0</v>
      </c>
      <c r="AD204" s="1299"/>
    </row>
    <row r="205" spans="1:34" s="232" customFormat="1">
      <c r="A205" s="389"/>
      <c r="B205" s="1280" t="s">
        <v>883</v>
      </c>
      <c r="C205" s="1281" t="s">
        <v>625</v>
      </c>
      <c r="D205" s="823"/>
      <c r="E205" s="817">
        <v>12540</v>
      </c>
      <c r="F205" s="391" t="s">
        <v>966</v>
      </c>
      <c r="G205" s="391">
        <v>2.7215442853E-2</v>
      </c>
      <c r="H205" s="823"/>
      <c r="I205" s="313">
        <f>E205*G205*1000</f>
        <v>341281.65337661997</v>
      </c>
      <c r="J205" s="391" t="s">
        <v>965</v>
      </c>
      <c r="K205" s="390">
        <v>1.3</v>
      </c>
      <c r="L205" s="391" t="s">
        <v>965</v>
      </c>
      <c r="M205" s="1282">
        <v>0.03</v>
      </c>
      <c r="N205" s="391" t="s">
        <v>965</v>
      </c>
      <c r="O205" s="391">
        <v>0.93</v>
      </c>
      <c r="P205" s="391" t="s">
        <v>965</v>
      </c>
      <c r="Q205" s="392">
        <v>0.93</v>
      </c>
      <c r="R205" s="391" t="s">
        <v>965</v>
      </c>
      <c r="S205" s="392">
        <v>0.88</v>
      </c>
      <c r="T205" s="391" t="s">
        <v>966</v>
      </c>
      <c r="U205" s="393">
        <v>0.44280000000000003</v>
      </c>
      <c r="V205" s="391" t="s">
        <v>966</v>
      </c>
      <c r="W205" s="321">
        <f t="shared" si="16"/>
        <v>4485.7362088284426</v>
      </c>
      <c r="X205" s="391" t="s">
        <v>966</v>
      </c>
      <c r="Y205" s="818">
        <f t="shared" si="19"/>
        <v>29.904908058856282</v>
      </c>
      <c r="Z205" s="1283" t="s">
        <v>966</v>
      </c>
      <c r="AA205" s="394">
        <f t="shared" si="17"/>
        <v>1.7127356433708598E-4</v>
      </c>
      <c r="AB205" s="1283" t="s">
        <v>966</v>
      </c>
      <c r="AC205" s="1298">
        <f t="shared" si="18"/>
        <v>6.2800306923598199E-4</v>
      </c>
      <c r="AD205" s="1299"/>
    </row>
    <row r="206" spans="1:34" s="232" customFormat="1">
      <c r="A206" s="389"/>
      <c r="B206" s="1280" t="s">
        <v>183</v>
      </c>
      <c r="C206" s="1074" t="s">
        <v>643</v>
      </c>
      <c r="D206" s="823"/>
      <c r="E206" s="817"/>
      <c r="F206" s="391" t="s">
        <v>966</v>
      </c>
      <c r="G206" s="391" t="s">
        <v>959</v>
      </c>
      <c r="H206" s="823"/>
      <c r="I206" s="313">
        <f>E206</f>
        <v>0</v>
      </c>
      <c r="J206" s="391" t="s">
        <v>965</v>
      </c>
      <c r="K206" s="395"/>
      <c r="L206" s="391" t="s">
        <v>965</v>
      </c>
      <c r="M206" s="1284"/>
      <c r="N206" s="391" t="s">
        <v>965</v>
      </c>
      <c r="O206" s="396"/>
      <c r="P206" s="391" t="s">
        <v>965</v>
      </c>
      <c r="Q206" s="397"/>
      <c r="R206" s="391" t="s">
        <v>965</v>
      </c>
      <c r="S206" s="398"/>
      <c r="T206" s="391" t="s">
        <v>966</v>
      </c>
      <c r="U206" s="399"/>
      <c r="V206" s="391" t="s">
        <v>966</v>
      </c>
      <c r="W206" s="321">
        <f t="shared" si="16"/>
        <v>0</v>
      </c>
      <c r="X206" s="391" t="s">
        <v>966</v>
      </c>
      <c r="Y206" s="818">
        <f t="shared" si="19"/>
        <v>0</v>
      </c>
      <c r="Z206" s="1283" t="s">
        <v>966</v>
      </c>
      <c r="AA206" s="394">
        <f t="shared" si="17"/>
        <v>0</v>
      </c>
      <c r="AB206" s="1283" t="s">
        <v>966</v>
      </c>
      <c r="AC206" s="1298">
        <f t="shared" si="18"/>
        <v>0</v>
      </c>
      <c r="AD206" s="1299"/>
    </row>
    <row r="207" spans="1:34" s="232" customFormat="1">
      <c r="A207" s="389"/>
      <c r="B207" s="1285"/>
      <c r="C207" s="1074" t="s">
        <v>643</v>
      </c>
      <c r="D207" s="823"/>
      <c r="E207" s="817"/>
      <c r="F207" s="391" t="s">
        <v>966</v>
      </c>
      <c r="G207" s="391" t="s">
        <v>959</v>
      </c>
      <c r="H207" s="823"/>
      <c r="I207" s="313">
        <f>E207</f>
        <v>0</v>
      </c>
      <c r="J207" s="391" t="s">
        <v>965</v>
      </c>
      <c r="K207" s="395"/>
      <c r="L207" s="391" t="s">
        <v>965</v>
      </c>
      <c r="M207" s="1284"/>
      <c r="N207" s="391" t="s">
        <v>965</v>
      </c>
      <c r="O207" s="396"/>
      <c r="P207" s="391" t="s">
        <v>965</v>
      </c>
      <c r="Q207" s="397"/>
      <c r="R207" s="391" t="s">
        <v>965</v>
      </c>
      <c r="S207" s="398"/>
      <c r="T207" s="391" t="s">
        <v>966</v>
      </c>
      <c r="U207" s="399"/>
      <c r="V207" s="391" t="s">
        <v>966</v>
      </c>
      <c r="W207" s="321">
        <f t="shared" si="16"/>
        <v>0</v>
      </c>
      <c r="X207" s="391" t="s">
        <v>966</v>
      </c>
      <c r="Y207" s="818">
        <f t="shared" si="19"/>
        <v>0</v>
      </c>
      <c r="Z207" s="1283" t="s">
        <v>966</v>
      </c>
      <c r="AA207" s="394">
        <f t="shared" si="17"/>
        <v>0</v>
      </c>
      <c r="AB207" s="1283" t="s">
        <v>966</v>
      </c>
      <c r="AC207" s="1298">
        <f t="shared" si="18"/>
        <v>0</v>
      </c>
      <c r="AD207" s="1299"/>
    </row>
    <row r="208" spans="1:34" s="232" customFormat="1">
      <c r="A208" s="389"/>
      <c r="B208" s="1286"/>
      <c r="C208" s="1287"/>
      <c r="D208" s="823"/>
      <c r="E208" s="1288"/>
      <c r="F208" s="391"/>
      <c r="G208" s="823"/>
      <c r="H208" s="823"/>
      <c r="I208" s="829"/>
      <c r="J208" s="391"/>
      <c r="K208" s="949"/>
      <c r="L208" s="391"/>
      <c r="M208" s="1075"/>
      <c r="N208" s="391"/>
      <c r="O208" s="392"/>
      <c r="P208" s="823"/>
      <c r="Q208" s="823"/>
      <c r="R208" s="823"/>
      <c r="S208" s="823"/>
      <c r="T208" s="823"/>
      <c r="U208" s="1279"/>
      <c r="V208" s="823"/>
      <c r="W208" s="949"/>
      <c r="X208" s="823"/>
      <c r="Y208" s="823"/>
      <c r="Z208" s="823"/>
      <c r="AA208" s="823"/>
      <c r="AB208" s="823"/>
      <c r="AC208" s="1297"/>
      <c r="AD208" s="1299"/>
    </row>
    <row r="209" spans="1:34" s="232" customFormat="1" ht="12" thickBot="1">
      <c r="A209" s="389"/>
      <c r="B209" s="1077" t="s">
        <v>180</v>
      </c>
      <c r="C209" s="1078"/>
      <c r="D209" s="1079"/>
      <c r="E209" s="1320"/>
      <c r="F209" s="1320"/>
      <c r="G209" s="1079"/>
      <c r="H209" s="1079"/>
      <c r="I209" s="1320"/>
      <c r="J209" s="1320"/>
      <c r="K209" s="1321"/>
      <c r="L209" s="1322"/>
      <c r="M209" s="1321"/>
      <c r="N209" s="1322"/>
      <c r="O209" s="1323"/>
      <c r="P209" s="1079"/>
      <c r="Q209" s="1323"/>
      <c r="R209" s="1079"/>
      <c r="S209" s="1323"/>
      <c r="T209" s="1079"/>
      <c r="U209" s="1324"/>
      <c r="V209" s="1079"/>
      <c r="W209" s="1321">
        <f>SUM(W199:W207)</f>
        <v>27002.831472339658</v>
      </c>
      <c r="X209" s="1079"/>
      <c r="Y209" s="1323">
        <f>SUM(Y199:Y207)</f>
        <v>180.01887648226437</v>
      </c>
      <c r="Z209" s="1079"/>
      <c r="AA209" s="1323">
        <f>SUM(AA199:AA207)</f>
        <v>1.0310172016711507E-3</v>
      </c>
      <c r="AB209" s="1079"/>
      <c r="AC209" s="1325">
        <f>SUM(AC199:AC207)</f>
        <v>3.7803964061275527E-3</v>
      </c>
      <c r="AD209" s="1299"/>
    </row>
    <row r="210" spans="1:34" ht="12" thickBot="1">
      <c r="A210" s="4"/>
      <c r="B210" s="1069"/>
      <c r="C210" s="85"/>
      <c r="D210" s="274"/>
      <c r="E210" s="274"/>
      <c r="F210" s="274"/>
      <c r="G210" s="285"/>
      <c r="H210" s="1070"/>
      <c r="I210" s="286"/>
      <c r="J210" s="1070"/>
      <c r="K210" s="287"/>
      <c r="L210" s="4"/>
      <c r="M210" s="287"/>
      <c r="N210" s="4"/>
      <c r="O210" s="4"/>
      <c r="P210" s="4"/>
      <c r="Q210" s="4"/>
      <c r="R210" s="4"/>
      <c r="S210" s="4"/>
      <c r="T210" s="4"/>
      <c r="U210" s="4"/>
    </row>
    <row r="211" spans="1:34" ht="21.75" thickBot="1">
      <c r="A211" s="22"/>
      <c r="B211" s="1305" t="s">
        <v>139</v>
      </c>
      <c r="C211" s="1141"/>
      <c r="D211" s="1142"/>
      <c r="E211" s="1142"/>
      <c r="F211" s="1142"/>
      <c r="G211" s="1143"/>
      <c r="H211" s="1144"/>
      <c r="I211" s="1145"/>
      <c r="J211" s="1144"/>
      <c r="K211" s="1146"/>
      <c r="L211" s="1115"/>
      <c r="M211" s="1146"/>
      <c r="N211" s="1115"/>
      <c r="O211" s="1115"/>
      <c r="P211" s="1115"/>
      <c r="Q211" s="1115"/>
      <c r="R211" s="1115"/>
      <c r="S211" s="1115"/>
      <c r="T211" s="1115"/>
      <c r="U211" s="1115"/>
      <c r="V211" s="1115"/>
      <c r="W211" s="1115"/>
      <c r="X211" s="1115"/>
      <c r="Y211" s="1115"/>
      <c r="Z211" s="1115"/>
      <c r="AA211" s="1115"/>
      <c r="AB211" s="1115"/>
      <c r="AC211" s="1116"/>
      <c r="AD211" s="1301"/>
      <c r="AH211" s="371" t="s">
        <v>866</v>
      </c>
    </row>
    <row r="212" spans="1:34" s="232" customFormat="1" ht="34.5">
      <c r="A212" s="1311"/>
      <c r="B212" s="1306" t="s">
        <v>648</v>
      </c>
      <c r="C212" s="1289" t="s">
        <v>1123</v>
      </c>
      <c r="D212" s="1068"/>
      <c r="E212" s="1290" t="s">
        <v>871</v>
      </c>
      <c r="F212" s="1290"/>
      <c r="G212" s="1068" t="s">
        <v>884</v>
      </c>
      <c r="H212" s="1068"/>
      <c r="I212" s="1290" t="s">
        <v>872</v>
      </c>
      <c r="J212" s="1290"/>
      <c r="K212" s="1290" t="s">
        <v>873</v>
      </c>
      <c r="L212" s="1291"/>
      <c r="M212" s="1290" t="s">
        <v>888</v>
      </c>
      <c r="N212" s="1291"/>
      <c r="O212" s="1290" t="s">
        <v>875</v>
      </c>
      <c r="P212" s="1291"/>
      <c r="Q212" s="1290" t="s">
        <v>876</v>
      </c>
      <c r="R212" s="1068"/>
      <c r="S212" s="1290" t="s">
        <v>877</v>
      </c>
      <c r="T212" s="1068"/>
      <c r="U212" s="1292" t="s">
        <v>889</v>
      </c>
      <c r="V212" s="1068"/>
      <c r="W212" s="1290" t="s">
        <v>890</v>
      </c>
      <c r="X212" s="1068"/>
      <c r="Y212" s="1290" t="s">
        <v>891</v>
      </c>
      <c r="Z212" s="1068"/>
      <c r="AA212" s="1290" t="s">
        <v>892</v>
      </c>
      <c r="AB212" s="1068"/>
      <c r="AC212" s="1302" t="s">
        <v>893</v>
      </c>
    </row>
    <row r="213" spans="1:34" s="232" customFormat="1">
      <c r="A213" s="1312"/>
      <c r="B213" s="1307"/>
      <c r="C213" s="823"/>
      <c r="D213" s="823"/>
      <c r="E213" s="829"/>
      <c r="F213" s="391"/>
      <c r="G213" s="823"/>
      <c r="H213" s="823"/>
      <c r="I213" s="823"/>
      <c r="J213" s="823"/>
      <c r="K213" s="823"/>
      <c r="L213" s="823"/>
      <c r="M213" s="823"/>
      <c r="N213" s="823"/>
      <c r="O213" s="823"/>
      <c r="P213" s="823"/>
      <c r="Q213" s="823"/>
      <c r="R213" s="823"/>
      <c r="S213" s="823"/>
      <c r="T213" s="823"/>
      <c r="U213" s="1279"/>
      <c r="V213" s="823"/>
      <c r="W213" s="823"/>
      <c r="X213" s="823"/>
      <c r="Y213" s="823"/>
      <c r="Z213" s="823"/>
      <c r="AA213" s="823"/>
      <c r="AB213" s="823"/>
      <c r="AC213" s="825"/>
    </row>
    <row r="214" spans="1:34" s="232" customFormat="1">
      <c r="A214" s="1312"/>
      <c r="B214" s="1308" t="s">
        <v>651</v>
      </c>
      <c r="C214" s="1281" t="s">
        <v>625</v>
      </c>
      <c r="D214" s="823"/>
      <c r="E214" s="816">
        <v>2880</v>
      </c>
      <c r="F214" s="391" t="s">
        <v>966</v>
      </c>
      <c r="G214" s="391">
        <v>2.1772E-2</v>
      </c>
      <c r="H214" s="823"/>
      <c r="I214" s="313">
        <f>E214*G214*1000</f>
        <v>62703.359999999993</v>
      </c>
      <c r="J214" s="391" t="s">
        <v>965</v>
      </c>
      <c r="K214" s="390">
        <v>1.2</v>
      </c>
      <c r="L214" s="391" t="s">
        <v>965</v>
      </c>
      <c r="M214" s="1282">
        <v>0.03</v>
      </c>
      <c r="N214" s="391" t="s">
        <v>965</v>
      </c>
      <c r="O214" s="391">
        <v>0.93</v>
      </c>
      <c r="P214" s="391" t="s">
        <v>965</v>
      </c>
      <c r="Q214" s="392">
        <v>0.93</v>
      </c>
      <c r="R214" s="391" t="s">
        <v>965</v>
      </c>
      <c r="S214" s="392">
        <v>0.88</v>
      </c>
      <c r="T214" s="391" t="s">
        <v>966</v>
      </c>
      <c r="U214" s="393">
        <v>7.7000000000000002E-3</v>
      </c>
      <c r="V214" s="391" t="s">
        <v>966</v>
      </c>
      <c r="W214" s="401">
        <f>I214*K214*M214*O214*Q214*S214*U214</f>
        <v>13.229170342907905</v>
      </c>
      <c r="X214" s="391" t="s">
        <v>966</v>
      </c>
      <c r="Y214" s="819">
        <f>W214*0.007*(44/28)</f>
        <v>0.14552087377198694</v>
      </c>
      <c r="Z214" s="391" t="s">
        <v>966</v>
      </c>
      <c r="AA214" s="402">
        <f>Y214/(10^6)*310*12/44</f>
        <v>1.2303128418904351E-5</v>
      </c>
      <c r="AB214" s="391" t="s">
        <v>966</v>
      </c>
      <c r="AC214" s="1303">
        <f>AA214/(12/44)</f>
        <v>4.5111470869315959E-5</v>
      </c>
    </row>
    <row r="215" spans="1:34" s="232" customFormat="1">
      <c r="A215" s="1312"/>
      <c r="B215" s="1308" t="s">
        <v>879</v>
      </c>
      <c r="C215" s="1281" t="s">
        <v>625</v>
      </c>
      <c r="D215" s="823"/>
      <c r="E215" s="816">
        <v>46870</v>
      </c>
      <c r="F215" s="391" t="s">
        <v>966</v>
      </c>
      <c r="G215" s="391">
        <v>2.5401147108E-2</v>
      </c>
      <c r="H215" s="823"/>
      <c r="I215" s="313">
        <f>E215*G215*1000</f>
        <v>1190551.76495196</v>
      </c>
      <c r="J215" s="391" t="s">
        <v>965</v>
      </c>
      <c r="K215" s="390">
        <v>1</v>
      </c>
      <c r="L215" s="391" t="s">
        <v>965</v>
      </c>
      <c r="M215" s="1282">
        <v>0.03</v>
      </c>
      <c r="N215" s="391" t="s">
        <v>965</v>
      </c>
      <c r="O215" s="391">
        <v>0.91</v>
      </c>
      <c r="P215" s="391" t="s">
        <v>965</v>
      </c>
      <c r="Q215" s="392">
        <v>0.93</v>
      </c>
      <c r="R215" s="391" t="s">
        <v>965</v>
      </c>
      <c r="S215" s="392">
        <v>0.88</v>
      </c>
      <c r="T215" s="391" t="s">
        <v>966</v>
      </c>
      <c r="U215" s="393">
        <v>5.7999999999999996E-3</v>
      </c>
      <c r="V215" s="391" t="s">
        <v>966</v>
      </c>
      <c r="W215" s="401">
        <f t="shared" ref="W215:W222" si="20">I215*K215*M215*O215*Q215*S215*U215</f>
        <v>154.27819335290457</v>
      </c>
      <c r="X215" s="391" t="s">
        <v>966</v>
      </c>
      <c r="Y215" s="819">
        <f>W215*0.007*(44/28)</f>
        <v>1.6970601268819501</v>
      </c>
      <c r="Z215" s="391" t="s">
        <v>966</v>
      </c>
      <c r="AA215" s="402">
        <f t="shared" ref="AA215:AA222" si="21">Y215/(10^6)*310*12/44</f>
        <v>1.4347871981820124E-4</v>
      </c>
      <c r="AB215" s="391" t="s">
        <v>966</v>
      </c>
      <c r="AC215" s="1303">
        <f t="shared" ref="AC215:AC222" si="22">AA215/(12/44)</f>
        <v>5.2608863933340465E-4</v>
      </c>
    </row>
    <row r="216" spans="1:34" s="232" customFormat="1">
      <c r="A216" s="1312"/>
      <c r="B216" s="1308" t="s">
        <v>635</v>
      </c>
      <c r="C216" s="1281" t="s">
        <v>880</v>
      </c>
      <c r="D216" s="823"/>
      <c r="E216" s="400">
        <v>0</v>
      </c>
      <c r="F216" s="391" t="s">
        <v>966</v>
      </c>
      <c r="G216" s="391" t="s">
        <v>959</v>
      </c>
      <c r="H216" s="823"/>
      <c r="I216" s="313">
        <f>(E216*1000/2000)*0.9072</f>
        <v>0</v>
      </c>
      <c r="J216" s="391" t="s">
        <v>965</v>
      </c>
      <c r="K216" s="390">
        <v>1</v>
      </c>
      <c r="L216" s="391" t="s">
        <v>965</v>
      </c>
      <c r="M216" s="1282">
        <v>0.03</v>
      </c>
      <c r="N216" s="391" t="s">
        <v>965</v>
      </c>
      <c r="O216" s="391">
        <v>0.86</v>
      </c>
      <c r="P216" s="391" t="s">
        <v>965</v>
      </c>
      <c r="Q216" s="392">
        <v>0.93</v>
      </c>
      <c r="R216" s="391" t="s">
        <v>965</v>
      </c>
      <c r="S216" s="392">
        <v>0.88</v>
      </c>
      <c r="T216" s="391" t="s">
        <v>966</v>
      </c>
      <c r="U216" s="393">
        <v>1.06E-2</v>
      </c>
      <c r="V216" s="391" t="s">
        <v>966</v>
      </c>
      <c r="W216" s="401">
        <f t="shared" si="20"/>
        <v>0</v>
      </c>
      <c r="X216" s="391" t="s">
        <v>966</v>
      </c>
      <c r="Y216" s="819">
        <f>W216*0.007*(44/28)</f>
        <v>0</v>
      </c>
      <c r="Z216" s="391" t="s">
        <v>966</v>
      </c>
      <c r="AA216" s="402">
        <f t="shared" si="21"/>
        <v>0</v>
      </c>
      <c r="AB216" s="391" t="s">
        <v>966</v>
      </c>
      <c r="AC216" s="1303">
        <f t="shared" si="22"/>
        <v>0</v>
      </c>
    </row>
    <row r="217" spans="1:34" s="232" customFormat="1">
      <c r="A217" s="1312"/>
      <c r="B217" s="1308" t="s">
        <v>633</v>
      </c>
      <c r="C217" s="1281" t="s">
        <v>881</v>
      </c>
      <c r="D217" s="823"/>
      <c r="E217" s="400">
        <v>0</v>
      </c>
      <c r="F217" s="391" t="s">
        <v>966</v>
      </c>
      <c r="G217" s="391" t="s">
        <v>959</v>
      </c>
      <c r="H217" s="823"/>
      <c r="I217" s="313">
        <v>0</v>
      </c>
      <c r="J217" s="391" t="s">
        <v>965</v>
      </c>
      <c r="K217" s="390">
        <v>1.4</v>
      </c>
      <c r="L217" s="391" t="s">
        <v>965</v>
      </c>
      <c r="M217" s="1282">
        <v>0</v>
      </c>
      <c r="N217" s="391" t="s">
        <v>965</v>
      </c>
      <c r="O217" s="391">
        <v>0.91</v>
      </c>
      <c r="P217" s="391" t="s">
        <v>965</v>
      </c>
      <c r="Q217" s="392">
        <v>0.93</v>
      </c>
      <c r="R217" s="391" t="s">
        <v>965</v>
      </c>
      <c r="S217" s="392">
        <v>0.88</v>
      </c>
      <c r="T217" s="391" t="s">
        <v>966</v>
      </c>
      <c r="U217" s="393">
        <v>7.1999999999999998E-3</v>
      </c>
      <c r="V217" s="391" t="s">
        <v>966</v>
      </c>
      <c r="W217" s="401">
        <f t="shared" si="20"/>
        <v>0</v>
      </c>
      <c r="X217" s="391" t="s">
        <v>966</v>
      </c>
      <c r="Y217" s="819">
        <f t="shared" ref="Y217:Y222" si="23">W217*0.007*(44/28)</f>
        <v>0</v>
      </c>
      <c r="Z217" s="391" t="s">
        <v>966</v>
      </c>
      <c r="AA217" s="402">
        <f t="shared" si="21"/>
        <v>0</v>
      </c>
      <c r="AB217" s="391" t="s">
        <v>966</v>
      </c>
      <c r="AC217" s="1303">
        <f t="shared" si="22"/>
        <v>0</v>
      </c>
    </row>
    <row r="218" spans="1:34" s="232" customFormat="1">
      <c r="A218" s="1312"/>
      <c r="B218" s="1308" t="s">
        <v>652</v>
      </c>
      <c r="C218" s="1281" t="s">
        <v>625</v>
      </c>
      <c r="D218" s="823"/>
      <c r="E218" s="816">
        <v>17903</v>
      </c>
      <c r="F218" s="391" t="s">
        <v>966</v>
      </c>
      <c r="G218" s="391">
        <v>2.7215692074999999E-2</v>
      </c>
      <c r="H218" s="823"/>
      <c r="I218" s="313">
        <f>E218*G218*1000</f>
        <v>487242.53521872498</v>
      </c>
      <c r="J218" s="391" t="s">
        <v>965</v>
      </c>
      <c r="K218" s="390">
        <v>2.1</v>
      </c>
      <c r="L218" s="391" t="s">
        <v>965</v>
      </c>
      <c r="M218" s="1282">
        <v>0.03</v>
      </c>
      <c r="N218" s="391" t="s">
        <v>965</v>
      </c>
      <c r="O218" s="391">
        <v>0.87</v>
      </c>
      <c r="P218" s="391" t="s">
        <v>965</v>
      </c>
      <c r="Q218" s="392">
        <v>0.93</v>
      </c>
      <c r="R218" s="391" t="s">
        <v>965</v>
      </c>
      <c r="S218" s="392">
        <v>0.88</v>
      </c>
      <c r="T218" s="391" t="s">
        <v>966</v>
      </c>
      <c r="U218" s="393">
        <v>2.3E-2</v>
      </c>
      <c r="V218" s="391" t="s">
        <v>966</v>
      </c>
      <c r="W218" s="401">
        <f t="shared" si="20"/>
        <v>502.68792479020419</v>
      </c>
      <c r="X218" s="391" t="s">
        <v>966</v>
      </c>
      <c r="Y218" s="819">
        <f t="shared" si="23"/>
        <v>5.5295671726922455</v>
      </c>
      <c r="Z218" s="391" t="s">
        <v>966</v>
      </c>
      <c r="AA218" s="402">
        <f t="shared" si="21"/>
        <v>4.6749977005488983E-4</v>
      </c>
      <c r="AB218" s="391" t="s">
        <v>966</v>
      </c>
      <c r="AC218" s="1303">
        <f t="shared" si="22"/>
        <v>1.7141658235345961E-3</v>
      </c>
    </row>
    <row r="219" spans="1:34" s="232" customFormat="1">
      <c r="A219" s="1312"/>
      <c r="B219" s="1308" t="s">
        <v>882</v>
      </c>
      <c r="C219" s="1281" t="s">
        <v>622</v>
      </c>
      <c r="D219" s="823"/>
      <c r="E219" s="400">
        <v>0</v>
      </c>
      <c r="F219" s="391" t="s">
        <v>966</v>
      </c>
      <c r="G219" s="391" t="s">
        <v>959</v>
      </c>
      <c r="H219" s="823"/>
      <c r="I219" s="313">
        <f>E219*0.9072*1000</f>
        <v>0</v>
      </c>
      <c r="J219" s="391" t="s">
        <v>965</v>
      </c>
      <c r="K219" s="390">
        <v>0.2</v>
      </c>
      <c r="L219" s="391" t="s">
        <v>965</v>
      </c>
      <c r="M219" s="1282">
        <v>0.03</v>
      </c>
      <c r="N219" s="391" t="s">
        <v>965</v>
      </c>
      <c r="O219" s="391">
        <v>0.62</v>
      </c>
      <c r="P219" s="391" t="s">
        <v>965</v>
      </c>
      <c r="Q219" s="392">
        <v>0.93</v>
      </c>
      <c r="R219" s="391" t="s">
        <v>965</v>
      </c>
      <c r="S219" s="392">
        <v>0.88</v>
      </c>
      <c r="T219" s="391" t="s">
        <v>966</v>
      </c>
      <c r="U219" s="393">
        <v>4.0000000000000001E-3</v>
      </c>
      <c r="V219" s="391" t="s">
        <v>966</v>
      </c>
      <c r="W219" s="401">
        <f t="shared" si="20"/>
        <v>0</v>
      </c>
      <c r="X219" s="391" t="s">
        <v>966</v>
      </c>
      <c r="Y219" s="819">
        <f t="shared" si="23"/>
        <v>0</v>
      </c>
      <c r="Z219" s="391" t="s">
        <v>966</v>
      </c>
      <c r="AA219" s="402">
        <f t="shared" si="21"/>
        <v>0</v>
      </c>
      <c r="AB219" s="391" t="s">
        <v>966</v>
      </c>
      <c r="AC219" s="1303">
        <f t="shared" si="22"/>
        <v>0</v>
      </c>
    </row>
    <row r="220" spans="1:34" s="232" customFormat="1">
      <c r="A220" s="1312"/>
      <c r="B220" s="1308" t="s">
        <v>883</v>
      </c>
      <c r="C220" s="1281" t="s">
        <v>625</v>
      </c>
      <c r="D220" s="823"/>
      <c r="E220" s="816">
        <v>12540</v>
      </c>
      <c r="F220" s="391" t="s">
        <v>966</v>
      </c>
      <c r="G220" s="391">
        <v>2.7215442853E-2</v>
      </c>
      <c r="H220" s="823"/>
      <c r="I220" s="313">
        <f>E220*G220*1000</f>
        <v>341281.65337661997</v>
      </c>
      <c r="J220" s="391" t="s">
        <v>965</v>
      </c>
      <c r="K220" s="390">
        <v>1.3</v>
      </c>
      <c r="L220" s="391" t="s">
        <v>965</v>
      </c>
      <c r="M220" s="1282">
        <v>0.03</v>
      </c>
      <c r="N220" s="391" t="s">
        <v>965</v>
      </c>
      <c r="O220" s="391">
        <v>0.93</v>
      </c>
      <c r="P220" s="391" t="s">
        <v>965</v>
      </c>
      <c r="Q220" s="392">
        <v>0.93</v>
      </c>
      <c r="R220" s="391" t="s">
        <v>965</v>
      </c>
      <c r="S220" s="392">
        <v>0.88</v>
      </c>
      <c r="T220" s="391" t="s">
        <v>966</v>
      </c>
      <c r="U220" s="393">
        <v>6.1999999999999998E-3</v>
      </c>
      <c r="V220" s="391" t="s">
        <v>966</v>
      </c>
      <c r="W220" s="401">
        <f t="shared" si="20"/>
        <v>62.808411234725249</v>
      </c>
      <c r="X220" s="391" t="s">
        <v>966</v>
      </c>
      <c r="Y220" s="819">
        <f t="shared" si="23"/>
        <v>0.69089252358197772</v>
      </c>
      <c r="Z220" s="391" t="s">
        <v>966</v>
      </c>
      <c r="AA220" s="402">
        <f t="shared" si="21"/>
        <v>5.841182244829448E-5</v>
      </c>
      <c r="AB220" s="391" t="s">
        <v>966</v>
      </c>
      <c r="AC220" s="1303">
        <f t="shared" si="22"/>
        <v>2.1417668231041312E-4</v>
      </c>
    </row>
    <row r="221" spans="1:34" s="232" customFormat="1">
      <c r="A221" s="1312"/>
      <c r="B221" s="1308" t="s">
        <v>183</v>
      </c>
      <c r="C221" s="1281"/>
      <c r="D221" s="823"/>
      <c r="E221" s="400">
        <v>0</v>
      </c>
      <c r="F221" s="391" t="s">
        <v>966</v>
      </c>
      <c r="G221" s="391" t="s">
        <v>959</v>
      </c>
      <c r="H221" s="823"/>
      <c r="I221" s="313">
        <f>E221</f>
        <v>0</v>
      </c>
      <c r="J221" s="391" t="s">
        <v>965</v>
      </c>
      <c r="K221" s="395"/>
      <c r="L221" s="391" t="s">
        <v>965</v>
      </c>
      <c r="M221" s="1284"/>
      <c r="N221" s="391" t="s">
        <v>965</v>
      </c>
      <c r="O221" s="396"/>
      <c r="P221" s="391" t="s">
        <v>965</v>
      </c>
      <c r="Q221" s="397"/>
      <c r="R221" s="391" t="s">
        <v>965</v>
      </c>
      <c r="S221" s="398"/>
      <c r="T221" s="391" t="s">
        <v>966</v>
      </c>
      <c r="U221" s="399"/>
      <c r="V221" s="391" t="s">
        <v>966</v>
      </c>
      <c r="W221" s="401">
        <f t="shared" si="20"/>
        <v>0</v>
      </c>
      <c r="X221" s="391" t="s">
        <v>966</v>
      </c>
      <c r="Y221" s="819">
        <f t="shared" si="23"/>
        <v>0</v>
      </c>
      <c r="Z221" s="391" t="s">
        <v>966</v>
      </c>
      <c r="AA221" s="402">
        <f t="shared" si="21"/>
        <v>0</v>
      </c>
      <c r="AB221" s="391" t="s">
        <v>966</v>
      </c>
      <c r="AC221" s="1303">
        <f t="shared" si="22"/>
        <v>0</v>
      </c>
    </row>
    <row r="222" spans="1:34" s="232" customFormat="1">
      <c r="A222" s="1312"/>
      <c r="B222" s="1307"/>
      <c r="C222" s="1074"/>
      <c r="D222" s="823"/>
      <c r="E222" s="400">
        <v>0</v>
      </c>
      <c r="F222" s="391" t="s">
        <v>966</v>
      </c>
      <c r="G222" s="391" t="s">
        <v>959</v>
      </c>
      <c r="H222" s="823"/>
      <c r="I222" s="313">
        <f>E222</f>
        <v>0</v>
      </c>
      <c r="J222" s="391" t="s">
        <v>965</v>
      </c>
      <c r="K222" s="395"/>
      <c r="L222" s="391" t="s">
        <v>965</v>
      </c>
      <c r="M222" s="1284"/>
      <c r="N222" s="391" t="s">
        <v>965</v>
      </c>
      <c r="O222" s="396"/>
      <c r="P222" s="391" t="s">
        <v>965</v>
      </c>
      <c r="Q222" s="397"/>
      <c r="R222" s="391" t="s">
        <v>965</v>
      </c>
      <c r="S222" s="398"/>
      <c r="T222" s="391" t="s">
        <v>966</v>
      </c>
      <c r="U222" s="399"/>
      <c r="V222" s="391" t="s">
        <v>966</v>
      </c>
      <c r="W222" s="401">
        <f t="shared" si="20"/>
        <v>0</v>
      </c>
      <c r="X222" s="391" t="s">
        <v>966</v>
      </c>
      <c r="Y222" s="819">
        <f t="shared" si="23"/>
        <v>0</v>
      </c>
      <c r="Z222" s="391" t="s">
        <v>966</v>
      </c>
      <c r="AA222" s="402">
        <f t="shared" si="21"/>
        <v>0</v>
      </c>
      <c r="AB222" s="391" t="s">
        <v>966</v>
      </c>
      <c r="AC222" s="1303">
        <f t="shared" si="22"/>
        <v>0</v>
      </c>
    </row>
    <row r="223" spans="1:34" s="232" customFormat="1">
      <c r="A223" s="1312"/>
      <c r="B223" s="1309"/>
      <c r="C223" s="1287"/>
      <c r="D223" s="823"/>
      <c r="E223" s="1288"/>
      <c r="F223" s="391"/>
      <c r="G223" s="823"/>
      <c r="H223" s="823"/>
      <c r="I223" s="829"/>
      <c r="J223" s="391"/>
      <c r="K223" s="949"/>
      <c r="L223" s="391"/>
      <c r="M223" s="1075"/>
      <c r="N223" s="391"/>
      <c r="O223" s="392"/>
      <c r="P223" s="823"/>
      <c r="Q223" s="823"/>
      <c r="R223" s="823"/>
      <c r="S223" s="823"/>
      <c r="T223" s="823"/>
      <c r="U223" s="823"/>
      <c r="V223" s="823"/>
      <c r="W223" s="401"/>
      <c r="X223" s="823"/>
      <c r="Y223" s="1304"/>
      <c r="Z223" s="823"/>
      <c r="AA223" s="823"/>
      <c r="AB223" s="823"/>
      <c r="AC223" s="825"/>
    </row>
    <row r="224" spans="1:34" s="232" customFormat="1">
      <c r="A224" s="1312"/>
      <c r="B224" s="1326" t="s">
        <v>180</v>
      </c>
      <c r="C224" s="1291"/>
      <c r="D224" s="1068"/>
      <c r="E224" s="1327"/>
      <c r="F224" s="1327"/>
      <c r="G224" s="1068"/>
      <c r="H224" s="1068"/>
      <c r="I224" s="1327"/>
      <c r="J224" s="1327"/>
      <c r="K224" s="1328"/>
      <c r="L224" s="1289"/>
      <c r="M224" s="1328"/>
      <c r="N224" s="1289"/>
      <c r="O224" s="1329"/>
      <c r="P224" s="1068"/>
      <c r="Q224" s="1329"/>
      <c r="R224" s="1068"/>
      <c r="S224" s="1068"/>
      <c r="T224" s="1068"/>
      <c r="U224" s="1329"/>
      <c r="V224" s="1068"/>
      <c r="W224" s="1330">
        <f>SUM(W214:W222)</f>
        <v>733.00369972074191</v>
      </c>
      <c r="X224" s="1068"/>
      <c r="Y224" s="1331">
        <f>SUM(Y214:Y222)</f>
        <v>8.0630406969281605</v>
      </c>
      <c r="Z224" s="1068"/>
      <c r="AA224" s="1332">
        <f>SUM(AA214:AA222)</f>
        <v>6.8169344074028989E-4</v>
      </c>
      <c r="AB224" s="1068"/>
      <c r="AC224" s="1333">
        <f>SUM(AC214:AC222)</f>
        <v>2.4995426160477298E-3</v>
      </c>
    </row>
    <row r="225" spans="1:34" ht="12" thickBot="1">
      <c r="A225" s="22"/>
      <c r="B225" s="1310"/>
      <c r="C225" s="1209"/>
      <c r="D225" s="1210"/>
      <c r="E225" s="1210"/>
      <c r="F225" s="1210"/>
      <c r="G225" s="1211"/>
      <c r="H225" s="1212"/>
      <c r="I225" s="1213"/>
      <c r="J225" s="1212"/>
      <c r="K225" s="1214"/>
      <c r="L225" s="498"/>
      <c r="M225" s="1214"/>
      <c r="N225" s="498"/>
      <c r="O225" s="498"/>
      <c r="P225" s="498"/>
      <c r="Q225" s="498"/>
      <c r="R225" s="498"/>
      <c r="S225" s="498"/>
      <c r="T225" s="498"/>
      <c r="U225" s="498"/>
      <c r="V225" s="498"/>
      <c r="W225" s="498"/>
      <c r="X225" s="498"/>
      <c r="Y225" s="498"/>
      <c r="Z225" s="498"/>
      <c r="AA225" s="498"/>
      <c r="AB225" s="498"/>
      <c r="AC225" s="1215"/>
    </row>
    <row r="226" spans="1:34">
      <c r="A226" s="4"/>
      <c r="B226" s="1069"/>
      <c r="C226" s="85"/>
      <c r="D226" s="274"/>
      <c r="E226" s="274"/>
      <c r="F226" s="274"/>
      <c r="G226" s="285"/>
      <c r="H226" s="1070"/>
      <c r="I226" s="286"/>
      <c r="J226" s="1070"/>
      <c r="K226" s="287"/>
      <c r="L226" s="4"/>
      <c r="M226" s="287"/>
      <c r="N226" s="4"/>
      <c r="O226" s="4"/>
      <c r="P226" s="4"/>
      <c r="Q226" s="4"/>
      <c r="R226" s="4"/>
      <c r="S226" s="4"/>
      <c r="T226" s="4"/>
      <c r="U226" s="4"/>
      <c r="V226" s="4"/>
      <c r="W226" s="4"/>
      <c r="X226" s="4"/>
      <c r="Y226" s="4"/>
      <c r="Z226" s="4"/>
      <c r="AA226" s="4"/>
      <c r="AB226" s="4"/>
      <c r="AC226" s="4"/>
    </row>
    <row r="227" spans="1:34" ht="12" thickBot="1">
      <c r="A227" s="4"/>
      <c r="B227" s="1069"/>
      <c r="C227" s="85"/>
      <c r="D227" s="274"/>
      <c r="E227" s="274"/>
      <c r="F227" s="274"/>
      <c r="G227" s="285"/>
      <c r="H227" s="1070"/>
      <c r="I227" s="286"/>
      <c r="J227" s="1070"/>
      <c r="K227" s="287"/>
      <c r="L227" s="4"/>
      <c r="M227" s="287"/>
      <c r="N227" s="4"/>
      <c r="O227" s="4"/>
      <c r="P227" s="4"/>
      <c r="Q227" s="4"/>
      <c r="R227" s="4"/>
      <c r="S227" s="4"/>
      <c r="T227" s="4"/>
      <c r="U227" s="4"/>
      <c r="V227" s="4"/>
      <c r="W227" s="4"/>
      <c r="X227" s="4"/>
      <c r="Y227" s="4"/>
      <c r="Z227" s="4"/>
      <c r="AA227" s="4"/>
      <c r="AB227" s="4"/>
      <c r="AC227" s="4"/>
    </row>
    <row r="228" spans="1:34" ht="12.75" thickBot="1">
      <c r="A228" s="416"/>
      <c r="B228" s="1334" t="s">
        <v>870</v>
      </c>
      <c r="C228" s="1335"/>
      <c r="D228" s="1335"/>
      <c r="E228" s="1336"/>
      <c r="F228" s="317"/>
      <c r="G228" s="326"/>
      <c r="H228" s="158"/>
      <c r="I228" s="286"/>
      <c r="J228" s="158"/>
      <c r="K228" s="287"/>
      <c r="M228" s="287"/>
      <c r="AH228" s="371" t="s">
        <v>866</v>
      </c>
    </row>
    <row r="229" spans="1:34" ht="12.75" thickBot="1">
      <c r="A229" s="416"/>
      <c r="B229" s="416"/>
      <c r="C229" s="416"/>
      <c r="D229" s="416"/>
      <c r="E229" s="416"/>
    </row>
    <row r="230" spans="1:34" ht="26.25" thickTop="1">
      <c r="A230" s="416"/>
      <c r="B230" s="1337" t="s">
        <v>734</v>
      </c>
      <c r="C230" s="1338">
        <v>2017</v>
      </c>
      <c r="D230" s="1339"/>
      <c r="E230" s="1340" t="s">
        <v>1692</v>
      </c>
    </row>
    <row r="231" spans="1:34" ht="12">
      <c r="A231" s="416"/>
      <c r="B231" s="1341" t="s">
        <v>198</v>
      </c>
      <c r="C231" s="1342">
        <f>M25</f>
        <v>0.38194985639999995</v>
      </c>
      <c r="D231" s="1343"/>
      <c r="E231" s="1344">
        <f t="shared" ref="E231:E236" si="24">C231</f>
        <v>0.38194985639999995</v>
      </c>
    </row>
    <row r="232" spans="1:34" ht="12">
      <c r="A232" s="416"/>
      <c r="B232" s="1341" t="s">
        <v>199</v>
      </c>
      <c r="C232" s="1342">
        <f>W61+U89</f>
        <v>0.30721002280613202</v>
      </c>
      <c r="D232" s="1345"/>
      <c r="E232" s="1344">
        <f t="shared" si="24"/>
        <v>0.30721002280613202</v>
      </c>
    </row>
    <row r="233" spans="1:34" ht="12">
      <c r="A233" s="416"/>
      <c r="B233" s="1341" t="s">
        <v>200</v>
      </c>
      <c r="C233" s="1342">
        <f>C262*310/1000000</f>
        <v>0.90817120778712146</v>
      </c>
      <c r="D233" s="1345"/>
      <c r="E233" s="1344">
        <f>C233</f>
        <v>0.90817120778712146</v>
      </c>
      <c r="G233" s="414"/>
    </row>
    <row r="234" spans="1:34" ht="12">
      <c r="A234" s="416"/>
      <c r="B234" s="1341" t="s">
        <v>894</v>
      </c>
      <c r="C234" s="1345">
        <v>0</v>
      </c>
      <c r="D234" s="1345"/>
      <c r="E234" s="1344">
        <f t="shared" si="24"/>
        <v>0</v>
      </c>
    </row>
    <row r="235" spans="1:34" ht="12">
      <c r="A235" s="416"/>
      <c r="B235" s="1341" t="s">
        <v>202</v>
      </c>
      <c r="C235" s="1342">
        <f>AC209+AC224</f>
        <v>6.2799390221752825E-3</v>
      </c>
      <c r="D235" s="1345"/>
      <c r="E235" s="1344">
        <f t="shared" si="24"/>
        <v>6.2799390221752825E-3</v>
      </c>
    </row>
    <row r="236" spans="1:34" ht="12">
      <c r="A236" s="416"/>
      <c r="B236" s="1346" t="s">
        <v>180</v>
      </c>
      <c r="C236" s="1347">
        <f>SUM(C231:C235)</f>
        <v>1.6036110260154288</v>
      </c>
      <c r="D236" s="1347"/>
      <c r="E236" s="1348">
        <f t="shared" si="24"/>
        <v>1.6036110260154288</v>
      </c>
    </row>
    <row r="237" spans="1:34" ht="12">
      <c r="A237" s="416"/>
      <c r="B237" s="1349"/>
      <c r="C237" s="1350"/>
      <c r="D237" s="1350"/>
      <c r="E237" s="1351"/>
    </row>
    <row r="238" spans="1:34" ht="25.5">
      <c r="A238" s="416"/>
      <c r="B238" s="1352" t="s">
        <v>358</v>
      </c>
      <c r="C238" s="1353">
        <v>2017</v>
      </c>
      <c r="D238" s="1353"/>
      <c r="E238" s="1354" t="s">
        <v>1692</v>
      </c>
    </row>
    <row r="239" spans="1:34" ht="12">
      <c r="A239" s="416"/>
      <c r="B239" s="1349" t="s">
        <v>201</v>
      </c>
      <c r="C239" s="1355">
        <f>SUM(C240:C243)</f>
        <v>2.2837983600583783E-2</v>
      </c>
      <c r="D239" s="1355"/>
      <c r="E239" s="1356">
        <f>C239*21</f>
        <v>0.47959765561225942</v>
      </c>
    </row>
    <row r="240" spans="1:34" ht="12">
      <c r="A240" s="416"/>
      <c r="B240" s="1357" t="s">
        <v>198</v>
      </c>
      <c r="C240" s="1345">
        <f>I25</f>
        <v>1.8188088399999996E-2</v>
      </c>
      <c r="D240" s="1345"/>
      <c r="E240" s="1344">
        <f>C240*21</f>
        <v>0.3819498563999999</v>
      </c>
    </row>
    <row r="241" spans="1:5" ht="12">
      <c r="A241" s="416"/>
      <c r="B241" s="1357" t="s">
        <v>199</v>
      </c>
      <c r="C241" s="1345">
        <f>S61</f>
        <v>4.4698763241015219E-3</v>
      </c>
      <c r="D241" s="1345"/>
      <c r="E241" s="1344">
        <f>C241*21</f>
        <v>9.3867402806131955E-2</v>
      </c>
    </row>
    <row r="242" spans="1:5" ht="12">
      <c r="A242" s="416"/>
      <c r="B242" s="1357" t="s">
        <v>894</v>
      </c>
      <c r="C242" s="1345">
        <v>0</v>
      </c>
      <c r="D242" s="1345"/>
      <c r="E242" s="1344">
        <f>C242*21</f>
        <v>0</v>
      </c>
    </row>
    <row r="243" spans="1:5" ht="12">
      <c r="A243" s="416"/>
      <c r="B243" s="1357" t="s">
        <v>202</v>
      </c>
      <c r="C243" s="1345">
        <f>Y209/1000000</f>
        <v>1.8001887648226437E-4</v>
      </c>
      <c r="D243" s="1345"/>
      <c r="E243" s="1344">
        <f>C243*21</f>
        <v>3.7803964061275518E-3</v>
      </c>
    </row>
    <row r="244" spans="1:5" ht="12">
      <c r="A244" s="416"/>
      <c r="B244" s="1358" t="s">
        <v>203</v>
      </c>
      <c r="C244" s="1355">
        <f>SUM(C245:C247)</f>
        <v>3.6258495819457065E-3</v>
      </c>
      <c r="D244" s="1355"/>
      <c r="E244" s="1356">
        <f>C244*310</f>
        <v>1.124013370403169</v>
      </c>
    </row>
    <row r="245" spans="1:5" ht="12">
      <c r="A245" s="416"/>
      <c r="B245" s="1357" t="s">
        <v>199</v>
      </c>
      <c r="C245" s="1345">
        <f>O89*0.000000001</f>
        <v>6.8820200000000006E-4</v>
      </c>
      <c r="D245" s="1345"/>
      <c r="E245" s="1344">
        <f>C245*310</f>
        <v>0.21334262000000001</v>
      </c>
    </row>
    <row r="246" spans="1:5" ht="12">
      <c r="A246" s="416"/>
      <c r="B246" s="1357" t="s">
        <v>200</v>
      </c>
      <c r="C246" s="1345">
        <f>(AA96+AA97+O124+Q124+G189+G192+O189)*0.000001</f>
        <v>2.9295845412487783E-3</v>
      </c>
      <c r="D246" s="1345"/>
      <c r="E246" s="1344">
        <f>C246*310</f>
        <v>0.90817120778712124</v>
      </c>
    </row>
    <row r="247" spans="1:5" ht="12">
      <c r="A247" s="416"/>
      <c r="B247" s="1357" t="s">
        <v>202</v>
      </c>
      <c r="C247" s="1345">
        <f>Y224*0.000001</f>
        <v>8.06304069692816E-6</v>
      </c>
      <c r="D247" s="1345"/>
      <c r="E247" s="1344">
        <f>C247*310</f>
        <v>2.4995426160477298E-3</v>
      </c>
    </row>
    <row r="248" spans="1:5" ht="12">
      <c r="A248" s="416"/>
      <c r="B248" s="1359"/>
      <c r="C248" s="1360"/>
      <c r="D248" s="1360"/>
      <c r="E248" s="1361"/>
    </row>
    <row r="249" spans="1:5" ht="25.5">
      <c r="A249" s="416"/>
      <c r="B249" s="1352" t="s">
        <v>25</v>
      </c>
      <c r="C249" s="1353">
        <v>2017</v>
      </c>
      <c r="D249" s="1353"/>
      <c r="E249" s="1362"/>
    </row>
    <row r="250" spans="1:5" ht="12">
      <c r="A250" s="416"/>
      <c r="B250" s="1363" t="s">
        <v>204</v>
      </c>
      <c r="C250" s="1364">
        <f>SUM(C251:C255)</f>
        <v>2538.6726537275999</v>
      </c>
      <c r="D250" s="1364"/>
      <c r="E250" s="1365"/>
    </row>
    <row r="251" spans="1:5" ht="12">
      <c r="A251" s="416"/>
      <c r="B251" s="1366" t="s">
        <v>205</v>
      </c>
      <c r="C251" s="1367">
        <f>O124</f>
        <v>382.69698405714291</v>
      </c>
      <c r="D251" s="1367"/>
      <c r="E251" s="1368"/>
    </row>
    <row r="252" spans="1:5" ht="12">
      <c r="A252" s="416"/>
      <c r="B252" s="1366" t="s">
        <v>206</v>
      </c>
      <c r="C252" s="1367">
        <f>AA96</f>
        <v>422.23715421701729</v>
      </c>
      <c r="D252" s="1367"/>
      <c r="E252" s="1369"/>
    </row>
    <row r="253" spans="1:5" ht="12">
      <c r="A253" s="416"/>
      <c r="B253" s="1366" t="s">
        <v>207</v>
      </c>
      <c r="C253" s="1367">
        <f>AA97</f>
        <v>670.39496110002494</v>
      </c>
      <c r="D253" s="1367"/>
      <c r="E253" s="1369"/>
    </row>
    <row r="254" spans="1:5" ht="12">
      <c r="A254" s="416"/>
      <c r="B254" s="1366" t="s">
        <v>208</v>
      </c>
      <c r="C254" s="1367">
        <v>0</v>
      </c>
      <c r="D254" s="1367"/>
      <c r="E254" s="1370"/>
    </row>
    <row r="255" spans="1:5" ht="12">
      <c r="A255" s="416"/>
      <c r="B255" s="1366" t="s">
        <v>209</v>
      </c>
      <c r="C255" s="1367">
        <f>G192</f>
        <v>1063.3435543534149</v>
      </c>
      <c r="D255" s="1367"/>
      <c r="E255" s="1368"/>
    </row>
    <row r="256" spans="1:5" ht="12">
      <c r="A256" s="416"/>
      <c r="B256" s="1363" t="s">
        <v>210</v>
      </c>
      <c r="C256" s="1364">
        <f>SUM(C257:C259)</f>
        <v>390.91188752117864</v>
      </c>
      <c r="D256" s="1364"/>
      <c r="E256" s="1365"/>
    </row>
    <row r="257" spans="1:5" ht="12">
      <c r="A257" s="416"/>
      <c r="B257" s="1366" t="s">
        <v>205</v>
      </c>
      <c r="C257" s="1367">
        <f>Q124</f>
        <v>44.400207264285719</v>
      </c>
      <c r="D257" s="1367"/>
      <c r="E257" s="1368"/>
    </row>
    <row r="258" spans="1:5" ht="12">
      <c r="A258" s="416"/>
      <c r="B258" s="1366" t="s">
        <v>209</v>
      </c>
      <c r="C258" s="1367">
        <f>G189</f>
        <v>122.54346298542859</v>
      </c>
      <c r="D258" s="1367"/>
      <c r="E258" s="1368"/>
    </row>
    <row r="259" spans="1:5" ht="12">
      <c r="A259" s="416"/>
      <c r="B259" s="1366" t="s">
        <v>211</v>
      </c>
      <c r="C259" s="1367">
        <f>+O189</f>
        <v>223.96821727146431</v>
      </c>
      <c r="D259" s="1367"/>
      <c r="E259" s="1368"/>
    </row>
    <row r="260" spans="1:5" ht="12">
      <c r="A260" s="416"/>
      <c r="B260" s="1371" t="s">
        <v>920</v>
      </c>
      <c r="C260" s="1367">
        <f>O190</f>
        <v>86.106821412857144</v>
      </c>
      <c r="D260" s="1367"/>
      <c r="E260" s="1368"/>
    </row>
    <row r="261" spans="1:5" ht="12">
      <c r="A261" s="416"/>
      <c r="B261" s="1371" t="s">
        <v>921</v>
      </c>
      <c r="C261" s="1367">
        <f>O191</f>
        <v>137.86139585860715</v>
      </c>
      <c r="D261" s="1367"/>
      <c r="E261" s="1368"/>
    </row>
    <row r="262" spans="1:5" ht="12.75" thickBot="1">
      <c r="A262" s="416"/>
      <c r="B262" s="1374" t="s">
        <v>180</v>
      </c>
      <c r="C262" s="1375">
        <f>C256+C250</f>
        <v>2929.5845412487788</v>
      </c>
      <c r="D262" s="1372"/>
      <c r="E262" s="1373"/>
    </row>
    <row r="263" spans="1:5" ht="12">
      <c r="A263" s="416"/>
      <c r="B263" s="416"/>
      <c r="C263" s="416"/>
      <c r="D263" s="416"/>
      <c r="E263" s="416"/>
    </row>
  </sheetData>
  <sheetProtection password="CD58" sheet="1" objects="1" scenarios="1"/>
  <mergeCells count="14">
    <mergeCell ref="C189:E189"/>
    <mergeCell ref="C192:E192"/>
    <mergeCell ref="B2:S2"/>
    <mergeCell ref="BY155:BZ155"/>
    <mergeCell ref="CB155:CC155"/>
    <mergeCell ref="AH155:AN155"/>
    <mergeCell ref="AP155:AS155"/>
    <mergeCell ref="AU155:AV155"/>
    <mergeCell ref="AX155:AY155"/>
    <mergeCell ref="BA155:BF155"/>
    <mergeCell ref="BH155:BL155"/>
    <mergeCell ref="BN155:BO155"/>
    <mergeCell ref="BQ155:BS155"/>
    <mergeCell ref="BU155:BW155"/>
  </mergeCells>
  <phoneticPr fontId="0" type="noConversion"/>
  <dataValidations count="11">
    <dataValidation allowBlank="1" showErrorMessage="1" sqref="E139:E151 C122:C123 C134 C150 F122:F136 C136 C138:C139"/>
    <dataValidation errorStyle="warning" allowBlank="1" showErrorMessage="1" promptTitle="Enter Calendar Year Data Here!" prompt="If unavailable, enter growing year data in corresponding entry section to right." sqref="F142:G148 G126:H132"/>
    <dataValidation errorStyle="warning" allowBlank="1" showErrorMessage="1" sqref="D126:D132 D124 D140 D142:D148"/>
    <dataValidation allowBlank="1" showInputMessage="1" showErrorMessage="1" promptTitle="Select defaults/Enter your data" prompt="For other sources, animal population data are entered on the &quot;CH4 from Manure Management&quot; sheet. Data entered here are not used because not all animal types appear below. Make sure consistent population data is entered throughout the module." sqref="C6"/>
    <dataValidation allowBlank="1" showErrorMessage="1" prompt="_x000a_" sqref="C15:C16"/>
    <dataValidation allowBlank="1" showInputMessage="1" showErrorMessage="1" prompt="If entering data for Replacements 0-12 and 12-24 months, please delete data under Heifer Replacements to avoid double-counting emissions._x000a_" sqref="C8:C9 C13:C14"/>
    <dataValidation allowBlank="1" showInputMessage="1" showErrorMessage="1" prompt="To ensure the use of consistent data, all population data entered on this sheet is used in the &quot;N2O from Manure Management&quot; and &quot;Ag Soils-Animals&quot; sheets.  Please select the defaults or enter your own data below for use in these other sheets." sqref="C32 C157 C68"/>
    <dataValidation allowBlank="1" showErrorMessage="1" promptTitle="Units used" prompt="Convert to these units if entering your own state's data." sqref="C112:C116 D95:D116"/>
    <dataValidation allowBlank="1" showInputMessage="1" showErrorMessage="1" promptTitle="Crop Production:" prompt="State-specific data for non-alfalfa N-fixing forage crops are not readily available.  The data may be obtained from communication with state forage experts." sqref="E112:E116"/>
    <dataValidation allowBlank="1" showInputMessage="1" showErrorMessage="1" promptTitle="Crop Production:" prompt="Enter crop data in the units listed to the left." sqref="E96:E111"/>
    <dataValidation allowBlank="1" showInputMessage="1" showErrorMessage="1" promptTitle="Units used" prompt="Convert to these units if entering your own state's data." sqref="C95:C111"/>
  </dataValidations>
  <printOptions gridLines="1"/>
  <pageMargins left="0.25" right="0.25" top="0.21" bottom="0.5" header="0.16" footer="0.5"/>
  <pageSetup paperSize="5" scale="76" orientation="landscape" r:id="rId1"/>
  <headerFooter alignWithMargins="0"/>
  <rowBreaks count="7" manualBreakCount="7">
    <brk id="28" max="16383" man="1"/>
    <brk id="61" max="16383" man="1"/>
    <brk id="92" max="16383" man="1"/>
    <brk id="120" max="16383" man="1"/>
    <brk id="152" max="16383" man="1"/>
    <brk id="195" max="16383" man="1"/>
    <brk id="227" max="16383" man="1"/>
  </rowBreaks>
  <colBreaks count="1" manualBreakCount="1">
    <brk id="29" max="1048575" man="1"/>
  </colBreaks>
  <drawing r:id="rId2"/>
  <legacyDrawing r:id="rId3"/>
</worksheet>
</file>

<file path=xl/worksheets/sheet25.xml><?xml version="1.0" encoding="utf-8"?>
<worksheet xmlns="http://schemas.openxmlformats.org/spreadsheetml/2006/main" xmlns:r="http://schemas.openxmlformats.org/officeDocument/2006/relationships">
  <sheetPr codeName="Sheet20"/>
  <dimension ref="A1:AE31"/>
  <sheetViews>
    <sheetView view="pageBreakPreview" topLeftCell="N1" zoomScale="80" zoomScaleNormal="78" zoomScaleSheetLayoutView="80" workbookViewId="0">
      <selection activeCell="D3" sqref="D3"/>
    </sheetView>
  </sheetViews>
  <sheetFormatPr defaultRowHeight="14.25"/>
  <cols>
    <col min="1" max="2" width="3.83203125" style="2983" customWidth="1"/>
    <col min="3" max="3" width="49.5" style="2983" customWidth="1"/>
    <col min="4" max="4" width="12.1640625" style="2983" customWidth="1"/>
    <col min="5" max="5" width="13" style="2983" customWidth="1"/>
    <col min="6" max="6" width="12" style="2983" customWidth="1"/>
    <col min="7" max="7" width="13.1640625" style="2983" customWidth="1"/>
    <col min="8" max="8" width="12.83203125" style="2983" customWidth="1"/>
    <col min="9" max="10" width="12" style="2983" bestFit="1" customWidth="1"/>
    <col min="11" max="11" width="12.5" style="2983" bestFit="1" customWidth="1"/>
    <col min="12" max="12" width="12" style="2983" customWidth="1"/>
    <col min="13" max="13" width="12" style="2983" bestFit="1" customWidth="1"/>
    <col min="14" max="16" width="13.33203125" style="2983" bestFit="1" customWidth="1"/>
    <col min="17" max="17" width="13.33203125" style="2983" customWidth="1"/>
    <col min="18" max="26" width="13.33203125" style="2983" bestFit="1" customWidth="1"/>
    <col min="27" max="27" width="13.33203125" style="2983" customWidth="1"/>
    <col min="28" max="28" width="13.33203125" style="2983" bestFit="1" customWidth="1"/>
    <col min="29" max="29" width="12.83203125" style="2983" customWidth="1"/>
    <col min="30" max="31" width="13.33203125" style="2983" bestFit="1" customWidth="1"/>
    <col min="32" max="16384" width="9.33203125" style="2983"/>
  </cols>
  <sheetData>
    <row r="1" spans="1:31" ht="16.5">
      <c r="A1" s="2980" t="s">
        <v>559</v>
      </c>
      <c r="B1" s="2981"/>
      <c r="C1" s="2981"/>
      <c r="D1" s="2981"/>
      <c r="E1" s="2981"/>
      <c r="F1" s="2981"/>
      <c r="G1" s="2981"/>
      <c r="H1" s="2981"/>
      <c r="I1" s="2981"/>
      <c r="J1" s="2981"/>
      <c r="K1" s="2982" t="s">
        <v>1760</v>
      </c>
      <c r="L1" s="2981"/>
      <c r="M1" s="2981"/>
      <c r="N1" s="2981"/>
      <c r="O1" s="2981"/>
      <c r="P1" s="2981"/>
    </row>
    <row r="2" spans="1:31" s="411" customFormat="1" ht="263.25" customHeight="1"/>
    <row r="4" spans="1:31" ht="15" thickBot="1"/>
    <row r="5" spans="1:31" ht="15.75" thickTop="1">
      <c r="C5" s="3392" t="s">
        <v>1761</v>
      </c>
      <c r="D5" s="3393"/>
      <c r="E5" s="3393"/>
      <c r="F5" s="3393"/>
      <c r="G5" s="3393"/>
      <c r="H5" s="3393"/>
      <c r="I5" s="3393"/>
      <c r="J5" s="3393"/>
      <c r="K5" s="3393"/>
      <c r="L5" s="3393"/>
      <c r="M5" s="3393"/>
      <c r="N5" s="3393"/>
      <c r="O5" s="3393"/>
      <c r="P5" s="3393"/>
      <c r="Q5" s="3393"/>
      <c r="R5" s="3393"/>
      <c r="S5" s="3393"/>
      <c r="T5" s="3393"/>
      <c r="U5" s="3393"/>
      <c r="V5" s="3393"/>
      <c r="W5" s="3393"/>
      <c r="X5" s="3393"/>
      <c r="Y5" s="3394"/>
      <c r="Z5" s="3394"/>
      <c r="AA5" s="3394"/>
      <c r="AB5" s="3395"/>
      <c r="AC5" s="3393"/>
      <c r="AD5" s="3393"/>
      <c r="AE5" s="3396"/>
    </row>
    <row r="6" spans="1:31">
      <c r="C6" s="3397"/>
      <c r="D6" s="3398">
        <v>1990</v>
      </c>
      <c r="E6" s="3399">
        <v>1991</v>
      </c>
      <c r="F6" s="3399">
        <v>1992</v>
      </c>
      <c r="G6" s="3398">
        <v>1993</v>
      </c>
      <c r="H6" s="3398">
        <v>1994</v>
      </c>
      <c r="I6" s="3398">
        <v>1995</v>
      </c>
      <c r="J6" s="3398">
        <v>1996</v>
      </c>
      <c r="K6" s="3398">
        <v>1997</v>
      </c>
      <c r="L6" s="3398">
        <v>1998</v>
      </c>
      <c r="M6" s="3398">
        <v>1999</v>
      </c>
      <c r="N6" s="3398">
        <v>2000</v>
      </c>
      <c r="O6" s="3398">
        <v>2001</v>
      </c>
      <c r="P6" s="3398">
        <v>2002</v>
      </c>
      <c r="Q6" s="3398">
        <v>2003</v>
      </c>
      <c r="R6" s="3398">
        <v>2004</v>
      </c>
      <c r="S6" s="3398">
        <v>2005</v>
      </c>
      <c r="T6" s="3398">
        <v>2006</v>
      </c>
      <c r="U6" s="3398">
        <v>2007</v>
      </c>
      <c r="V6" s="3398">
        <v>2008</v>
      </c>
      <c r="W6" s="3398">
        <v>2009</v>
      </c>
      <c r="X6" s="3398">
        <v>2010</v>
      </c>
      <c r="Y6" s="3460">
        <v>2011</v>
      </c>
      <c r="Z6" s="3398">
        <v>2012</v>
      </c>
      <c r="AA6" s="3398">
        <v>2013</v>
      </c>
      <c r="AB6" s="3455">
        <v>2014</v>
      </c>
      <c r="AC6" s="3398">
        <v>2015</v>
      </c>
      <c r="AD6" s="3398">
        <v>2016</v>
      </c>
      <c r="AE6" s="3473">
        <v>2017</v>
      </c>
    </row>
    <row r="7" spans="1:31">
      <c r="C7" s="3400" t="s">
        <v>907</v>
      </c>
      <c r="D7" s="3401">
        <v>-1.3786016094899192</v>
      </c>
      <c r="E7" s="3401">
        <v>-1.3786016094898481</v>
      </c>
      <c r="F7" s="3401">
        <v>-1.378601609489861</v>
      </c>
      <c r="G7" s="3401">
        <v>-1.4529442632555916</v>
      </c>
      <c r="H7" s="3401">
        <v>-1.452944263255572</v>
      </c>
      <c r="I7" s="3401">
        <v>-1.4529442632555851</v>
      </c>
      <c r="J7" s="3401">
        <v>-1.4529442632555787</v>
      </c>
      <c r="K7" s="3401">
        <v>-1.4529442632555851</v>
      </c>
      <c r="L7" s="3401">
        <v>-1.4529442632555851</v>
      </c>
      <c r="M7" s="3401">
        <v>-4.8763551966630923</v>
      </c>
      <c r="N7" s="3401">
        <v>-10.497998270281999</v>
      </c>
      <c r="O7" s="3401">
        <v>-10.497998270282093</v>
      </c>
      <c r="P7" s="3401">
        <v>-10.497998270282045</v>
      </c>
      <c r="Q7" s="3401">
        <v>-10.497998270282059</v>
      </c>
      <c r="R7" s="3401">
        <v>-10.497998270282098</v>
      </c>
      <c r="S7" s="3401">
        <v>-10.497998270282032</v>
      </c>
      <c r="T7" s="3401">
        <v>-10.497998270282098</v>
      </c>
      <c r="U7" s="3402">
        <v>-10.497998270282098</v>
      </c>
      <c r="V7" s="3401">
        <v>-10.497998270282098</v>
      </c>
      <c r="W7" s="3401">
        <v>-10.497998270282098</v>
      </c>
      <c r="X7" s="3401">
        <v>-10.497998270282098</v>
      </c>
      <c r="Y7" s="3461">
        <v>-10.497998270282098</v>
      </c>
      <c r="Z7" s="3403">
        <v>-10.497998270282098</v>
      </c>
      <c r="AA7" s="3401">
        <v>-10.497998270282098</v>
      </c>
      <c r="AB7" s="3402">
        <v>-10.497998270282098</v>
      </c>
      <c r="AC7" s="3401">
        <v>-10.497998270282098</v>
      </c>
      <c r="AD7" s="3401">
        <v>-10.497998270282098</v>
      </c>
      <c r="AE7" s="3474">
        <f t="shared" ref="AE7" si="0">SUM(AE8:AE13)</f>
        <v>-10.497998270282098</v>
      </c>
    </row>
    <row r="8" spans="1:31">
      <c r="C8" s="3404" t="s">
        <v>915</v>
      </c>
      <c r="D8" s="3405">
        <v>-1.1893409441380904</v>
      </c>
      <c r="E8" s="3405">
        <v>-1.1893409441380385</v>
      </c>
      <c r="F8" s="3405">
        <v>-1.1893409441380385</v>
      </c>
      <c r="G8" s="3405">
        <v>-1.1893409441380385</v>
      </c>
      <c r="H8" s="3405">
        <v>-1.1893409441380904</v>
      </c>
      <c r="I8" s="3405">
        <v>-1.1893409441380385</v>
      </c>
      <c r="J8" s="3405">
        <v>-1.1893409441380385</v>
      </c>
      <c r="K8" s="3405">
        <v>-1.1893409441380385</v>
      </c>
      <c r="L8" s="3405">
        <v>-1.1893409441380385</v>
      </c>
      <c r="M8" s="3405">
        <v>-3.5713489374136125</v>
      </c>
      <c r="N8" s="3405">
        <v>-7.4828859971418584</v>
      </c>
      <c r="O8" s="3405">
        <v>-7.4828859971419632</v>
      </c>
      <c r="P8" s="3405">
        <v>-7.4828859971419108</v>
      </c>
      <c r="Q8" s="3405">
        <v>-7.4828859971419108</v>
      </c>
      <c r="R8" s="3405">
        <v>-7.4828859971419632</v>
      </c>
      <c r="S8" s="3405">
        <v>-7.4828859971419108</v>
      </c>
      <c r="T8" s="3405">
        <v>-7.4828859971419632</v>
      </c>
      <c r="U8" s="3406">
        <v>-7.4828859971419632</v>
      </c>
      <c r="V8" s="3405">
        <v>-7.4828859971419632</v>
      </c>
      <c r="W8" s="3405">
        <v>-7.4828859971419632</v>
      </c>
      <c r="X8" s="3405">
        <v>-7.4828859971419632</v>
      </c>
      <c r="Y8" s="3462">
        <v>-7.4828859971419632</v>
      </c>
      <c r="Z8" s="3407">
        <v>-7.4828859971419632</v>
      </c>
      <c r="AA8" s="3405">
        <v>-7.4828859971419632</v>
      </c>
      <c r="AB8" s="3406">
        <v>-7.4828859971419632</v>
      </c>
      <c r="AC8" s="3405">
        <v>-7.4828859971419632</v>
      </c>
      <c r="AD8" s="3405">
        <v>-7.4828859971419632</v>
      </c>
      <c r="AE8" s="3475">
        <v>-7.4828859971419632</v>
      </c>
    </row>
    <row r="9" spans="1:31">
      <c r="C9" s="3408" t="s">
        <v>916</v>
      </c>
      <c r="D9" s="3405">
        <v>-0.22520706970959853</v>
      </c>
      <c r="E9" s="3405">
        <v>-0.22520706970959203</v>
      </c>
      <c r="F9" s="3405">
        <v>-0.22520706970959203</v>
      </c>
      <c r="G9" s="3405">
        <v>-0.22520706970959853</v>
      </c>
      <c r="H9" s="3405">
        <v>-0.22520706970959203</v>
      </c>
      <c r="I9" s="3405">
        <v>-0.22520706970959203</v>
      </c>
      <c r="J9" s="3405">
        <v>-0.22520706970959203</v>
      </c>
      <c r="K9" s="3405">
        <v>-0.22520706970959853</v>
      </c>
      <c r="L9" s="3405">
        <v>-0.22520706970959203</v>
      </c>
      <c r="M9" s="3405">
        <v>-0.67819876681679081</v>
      </c>
      <c r="N9" s="3405">
        <v>-1.4220643692774915</v>
      </c>
      <c r="O9" s="3405">
        <v>-1.4220643692774655</v>
      </c>
      <c r="P9" s="3405">
        <v>-1.4220643692774786</v>
      </c>
      <c r="Q9" s="3405">
        <v>-1.4220643692774915</v>
      </c>
      <c r="R9" s="3405">
        <v>-1.4220643692774786</v>
      </c>
      <c r="S9" s="3405">
        <v>-1.4220643692774655</v>
      </c>
      <c r="T9" s="3405">
        <v>-1.4220643692774786</v>
      </c>
      <c r="U9" s="3406">
        <v>-1.4220643692774786</v>
      </c>
      <c r="V9" s="3405">
        <v>-1.4220643692774786</v>
      </c>
      <c r="W9" s="3405">
        <v>-1.4220643692774786</v>
      </c>
      <c r="X9" s="3405">
        <v>-1.4220643692774786</v>
      </c>
      <c r="Y9" s="3462">
        <v>-1.4220643692774786</v>
      </c>
      <c r="Z9" s="3407">
        <v>-1.4220643692774786</v>
      </c>
      <c r="AA9" s="3405">
        <v>-1.4220643692774786</v>
      </c>
      <c r="AB9" s="3406">
        <v>-1.4220643692774786</v>
      </c>
      <c r="AC9" s="3405">
        <v>-1.4220643692774786</v>
      </c>
      <c r="AD9" s="3405">
        <v>-1.4220643692774786</v>
      </c>
      <c r="AE9" s="3475">
        <v>-1.4220643692774786</v>
      </c>
    </row>
    <row r="10" spans="1:31">
      <c r="C10" s="3404" t="s">
        <v>917</v>
      </c>
      <c r="D10" s="3405">
        <v>-9.9749329396212019E-2</v>
      </c>
      <c r="E10" s="3405">
        <v>-9.9749329396198988E-2</v>
      </c>
      <c r="F10" s="3405">
        <v>-9.9749329396212019E-2</v>
      </c>
      <c r="G10" s="3405">
        <v>-9.9749329396212019E-2</v>
      </c>
      <c r="H10" s="3405">
        <v>-9.9749329396198988E-2</v>
      </c>
      <c r="I10" s="3405">
        <v>-9.9749329396212019E-2</v>
      </c>
      <c r="J10" s="3405">
        <v>-9.9749329396205511E-2</v>
      </c>
      <c r="K10" s="3405">
        <v>-9.9749329396205511E-2</v>
      </c>
      <c r="L10" s="3405">
        <v>-9.9749329396212019E-2</v>
      </c>
      <c r="M10" s="3405">
        <v>-0.28332848191679949</v>
      </c>
      <c r="N10" s="3405">
        <v>-0.58478702466936561</v>
      </c>
      <c r="O10" s="3405">
        <v>-0.58478702466937205</v>
      </c>
      <c r="P10" s="3405">
        <v>-0.58478702466937205</v>
      </c>
      <c r="Q10" s="3405">
        <v>-0.58478702466937205</v>
      </c>
      <c r="R10" s="3405">
        <v>-0.58478702466937205</v>
      </c>
      <c r="S10" s="3405">
        <v>-0.58478702466937205</v>
      </c>
      <c r="T10" s="3405">
        <v>-0.58478702466937205</v>
      </c>
      <c r="U10" s="3406">
        <v>-0.58478702466937205</v>
      </c>
      <c r="V10" s="3405">
        <v>-0.58478702466937205</v>
      </c>
      <c r="W10" s="3405">
        <v>-0.58478702466937205</v>
      </c>
      <c r="X10" s="3405">
        <v>-0.58478702466937205</v>
      </c>
      <c r="Y10" s="3462">
        <v>-0.58478702466937205</v>
      </c>
      <c r="Z10" s="3407">
        <v>-0.58478702466937205</v>
      </c>
      <c r="AA10" s="3405">
        <v>-0.58478702466937205</v>
      </c>
      <c r="AB10" s="3406">
        <v>-0.58478702466937205</v>
      </c>
      <c r="AC10" s="3405">
        <v>-0.58478702466937205</v>
      </c>
      <c r="AD10" s="3405">
        <v>-0.58478702466937205</v>
      </c>
      <c r="AE10" s="3475">
        <v>-0.58478702466937205</v>
      </c>
    </row>
    <row r="11" spans="1:31">
      <c r="C11" s="3408" t="s">
        <v>918</v>
      </c>
      <c r="D11" s="3405">
        <v>0.18749263985187525</v>
      </c>
      <c r="E11" s="3405">
        <v>0.18749263985187525</v>
      </c>
      <c r="F11" s="3405">
        <v>0.18749263985187525</v>
      </c>
      <c r="G11" s="3405">
        <v>0.18749263985187525</v>
      </c>
      <c r="H11" s="3405">
        <v>0.18749263985187525</v>
      </c>
      <c r="I11" s="3405">
        <v>0.18749263985187525</v>
      </c>
      <c r="J11" s="3405">
        <v>0.18749263985187525</v>
      </c>
      <c r="K11" s="3405">
        <v>0.18749263985187525</v>
      </c>
      <c r="L11" s="3405">
        <v>0.18749263985187525</v>
      </c>
      <c r="M11" s="3405">
        <v>2.8708282540942893E-2</v>
      </c>
      <c r="N11" s="3405">
        <v>-0.23203429258065059</v>
      </c>
      <c r="O11" s="3405">
        <v>-0.23203429258065711</v>
      </c>
      <c r="P11" s="3405">
        <v>-0.23203429258065059</v>
      </c>
      <c r="Q11" s="3405">
        <v>-0.23203429258065059</v>
      </c>
      <c r="R11" s="3405">
        <v>-0.23203429258065059</v>
      </c>
      <c r="S11" s="3405">
        <v>-0.23203429258065059</v>
      </c>
      <c r="T11" s="3405">
        <v>-0.23203429258065059</v>
      </c>
      <c r="U11" s="3406">
        <v>-0.23203429258065059</v>
      </c>
      <c r="V11" s="3405">
        <v>-0.23203429258065059</v>
      </c>
      <c r="W11" s="3405">
        <v>-0.23203429258065059</v>
      </c>
      <c r="X11" s="3405">
        <v>-0.23203429258065059</v>
      </c>
      <c r="Y11" s="3462">
        <v>-0.23203429258065059</v>
      </c>
      <c r="Z11" s="3407">
        <v>-0.23203429258065059</v>
      </c>
      <c r="AA11" s="3405">
        <v>-0.23203429258065059</v>
      </c>
      <c r="AB11" s="3406">
        <v>-0.23203429258065059</v>
      </c>
      <c r="AC11" s="3405">
        <v>-0.23203429258065059</v>
      </c>
      <c r="AD11" s="3405">
        <v>-0.23203429258065059</v>
      </c>
      <c r="AE11" s="3475">
        <v>-0.23203429258065059</v>
      </c>
    </row>
    <row r="12" spans="1:31">
      <c r="C12" s="3409" t="s">
        <v>938</v>
      </c>
      <c r="D12" s="3410">
        <v>0.59866658180080867</v>
      </c>
      <c r="E12" s="3410">
        <v>0.59866658180080867</v>
      </c>
      <c r="F12" s="3410">
        <v>0.59866658180080867</v>
      </c>
      <c r="G12" s="3410">
        <v>0.59866658180080867</v>
      </c>
      <c r="H12" s="3410">
        <v>0.59866658180086074</v>
      </c>
      <c r="I12" s="3410">
        <v>0.59866658180080867</v>
      </c>
      <c r="J12" s="3410">
        <v>0.59866658180080867</v>
      </c>
      <c r="K12" s="3410">
        <v>0.59866658180080867</v>
      </c>
      <c r="L12" s="3410">
        <v>0.59866658180080867</v>
      </c>
      <c r="M12" s="3410">
        <v>0.35261884860759568</v>
      </c>
      <c r="N12" s="3410">
        <v>-5.1420444948206523E-2</v>
      </c>
      <c r="O12" s="3410">
        <v>-5.1420444948206523E-2</v>
      </c>
      <c r="P12" s="3410">
        <v>-5.1420444948206523E-2</v>
      </c>
      <c r="Q12" s="3410">
        <v>-5.1420444948206523E-2</v>
      </c>
      <c r="R12" s="3410">
        <v>-5.1420444948206523E-2</v>
      </c>
      <c r="S12" s="3410">
        <v>-5.1420444948206523E-2</v>
      </c>
      <c r="T12" s="3410">
        <v>-5.1420444948206523E-2</v>
      </c>
      <c r="U12" s="3411">
        <v>-5.1420444948206523E-2</v>
      </c>
      <c r="V12" s="3410">
        <v>-5.1420444948206523E-2</v>
      </c>
      <c r="W12" s="3410">
        <v>-5.1420444948206523E-2</v>
      </c>
      <c r="X12" s="3410">
        <v>-5.1420444948206523E-2</v>
      </c>
      <c r="Y12" s="3463">
        <v>-5.1420444948206523E-2</v>
      </c>
      <c r="Z12" s="3412">
        <v>-5.1420444948206523E-2</v>
      </c>
      <c r="AA12" s="3410">
        <v>-5.1420444948206523E-2</v>
      </c>
      <c r="AB12" s="3411">
        <v>-5.1420444948206523E-2</v>
      </c>
      <c r="AC12" s="3410">
        <v>-5.1420444948206523E-2</v>
      </c>
      <c r="AD12" s="3410">
        <v>-5.1420444948206523E-2</v>
      </c>
      <c r="AE12" s="3476">
        <v>-5.1420444948206523E-2</v>
      </c>
    </row>
    <row r="13" spans="1:31">
      <c r="C13" s="3413" t="s">
        <v>919</v>
      </c>
      <c r="D13" s="3405">
        <v>-0.65046348789870234</v>
      </c>
      <c r="E13" s="3405">
        <v>-0.65046348789870234</v>
      </c>
      <c r="F13" s="3405">
        <v>-0.65046348789870234</v>
      </c>
      <c r="G13" s="3405">
        <v>-0.72480614166442658</v>
      </c>
      <c r="H13" s="3405">
        <v>-0.72480614166442658</v>
      </c>
      <c r="I13" s="3405">
        <v>-0.72480614166442658</v>
      </c>
      <c r="J13" s="3405">
        <v>-0.72480614166442658</v>
      </c>
      <c r="K13" s="3405">
        <v>-0.72480614166442658</v>
      </c>
      <c r="L13" s="3405">
        <v>-0.72480614166442658</v>
      </c>
      <c r="M13" s="3405">
        <v>-0.72480614166442658</v>
      </c>
      <c r="N13" s="3405">
        <v>-0.72480614166442658</v>
      </c>
      <c r="O13" s="3405">
        <v>-0.72480614166442658</v>
      </c>
      <c r="P13" s="3405">
        <v>-0.72480614166442658</v>
      </c>
      <c r="Q13" s="3405">
        <v>-0.72480614166442658</v>
      </c>
      <c r="R13" s="3405">
        <v>-0.72480614166442658</v>
      </c>
      <c r="S13" s="3405">
        <v>-0.72480614166442658</v>
      </c>
      <c r="T13" s="3405">
        <v>-0.72480614166442658</v>
      </c>
      <c r="U13" s="3406">
        <v>-0.72480614166442658</v>
      </c>
      <c r="V13" s="3405">
        <v>-0.72480614166442658</v>
      </c>
      <c r="W13" s="3405">
        <v>-0.72480614166442658</v>
      </c>
      <c r="X13" s="3405">
        <v>-0.72480614166442658</v>
      </c>
      <c r="Y13" s="3462">
        <v>-0.72480614166442658</v>
      </c>
      <c r="Z13" s="3407">
        <v>-0.72480614166442658</v>
      </c>
      <c r="AA13" s="3405">
        <v>-0.72480614166442658</v>
      </c>
      <c r="AB13" s="3406">
        <v>-0.72480614166442658</v>
      </c>
      <c r="AC13" s="3405">
        <v>-0.72480614166442658</v>
      </c>
      <c r="AD13" s="3405">
        <v>-0.72480614166442658</v>
      </c>
      <c r="AE13" s="3475">
        <v>-0.72480614166442658</v>
      </c>
    </row>
    <row r="14" spans="1:31">
      <c r="C14" s="3414" t="s">
        <v>214</v>
      </c>
      <c r="D14" s="3405">
        <v>0</v>
      </c>
      <c r="E14" s="3405">
        <v>0</v>
      </c>
      <c r="F14" s="3405">
        <v>0</v>
      </c>
      <c r="G14" s="3405">
        <v>0</v>
      </c>
      <c r="H14" s="3405">
        <v>0</v>
      </c>
      <c r="I14" s="3405">
        <v>0</v>
      </c>
      <c r="J14" s="3405">
        <v>0</v>
      </c>
      <c r="K14" s="3405">
        <v>0</v>
      </c>
      <c r="L14" s="3405">
        <v>0</v>
      </c>
      <c r="M14" s="3415">
        <v>0</v>
      </c>
      <c r="N14" s="3415">
        <v>0</v>
      </c>
      <c r="O14" s="3415">
        <v>0</v>
      </c>
      <c r="P14" s="3415">
        <v>0</v>
      </c>
      <c r="Q14" s="3415">
        <v>0</v>
      </c>
      <c r="R14" s="3415">
        <v>0</v>
      </c>
      <c r="S14" s="3415">
        <v>0</v>
      </c>
      <c r="T14" s="3415">
        <v>0</v>
      </c>
      <c r="U14" s="3406">
        <v>0</v>
      </c>
      <c r="V14" s="3416">
        <v>0</v>
      </c>
      <c r="W14" s="3416">
        <v>0</v>
      </c>
      <c r="X14" s="3416">
        <v>0</v>
      </c>
      <c r="Y14" s="3464">
        <v>3.0113599999999994E-2</v>
      </c>
      <c r="Z14" s="3417">
        <v>0</v>
      </c>
      <c r="AA14" s="3418">
        <v>0</v>
      </c>
      <c r="AB14" s="3456">
        <f>AB15+AB16</f>
        <v>3.0866439999999998E-2</v>
      </c>
      <c r="AC14" s="3418">
        <v>3.0866439999999998E-2</v>
      </c>
      <c r="AD14" s="3418">
        <v>3.0866439999999998E-2</v>
      </c>
      <c r="AE14" s="3477">
        <f t="shared" ref="AE14" si="1">AE15+AE16</f>
        <v>3.1522752000000001E-2</v>
      </c>
    </row>
    <row r="15" spans="1:31">
      <c r="C15" s="3419" t="s">
        <v>908</v>
      </c>
      <c r="D15" s="3405">
        <v>0</v>
      </c>
      <c r="E15" s="3405">
        <v>0</v>
      </c>
      <c r="F15" s="3405">
        <v>0</v>
      </c>
      <c r="G15" s="3405">
        <v>0</v>
      </c>
      <c r="H15" s="3405">
        <v>0</v>
      </c>
      <c r="I15" s="3405">
        <v>0</v>
      </c>
      <c r="J15" s="3405">
        <v>0</v>
      </c>
      <c r="K15" s="3405">
        <v>0</v>
      </c>
      <c r="L15" s="3405">
        <v>0</v>
      </c>
      <c r="M15" s="3405">
        <v>0</v>
      </c>
      <c r="N15" s="3405">
        <v>0</v>
      </c>
      <c r="O15" s="3405">
        <v>0</v>
      </c>
      <c r="P15" s="3405">
        <v>0</v>
      </c>
      <c r="Q15" s="3405">
        <v>0</v>
      </c>
      <c r="R15" s="3405">
        <v>0</v>
      </c>
      <c r="S15" s="3405">
        <v>0</v>
      </c>
      <c r="T15" s="3405">
        <v>0</v>
      </c>
      <c r="U15" s="3406">
        <v>0</v>
      </c>
      <c r="V15" s="3416">
        <v>0</v>
      </c>
      <c r="W15" s="3416">
        <v>0</v>
      </c>
      <c r="X15" s="3416">
        <v>0</v>
      </c>
      <c r="Y15" s="3465">
        <v>3.0113599999999994E-2</v>
      </c>
      <c r="Z15" s="3417">
        <v>0</v>
      </c>
      <c r="AA15" s="3418">
        <v>0</v>
      </c>
      <c r="AB15" s="3456">
        <v>3.0866439999999998E-2</v>
      </c>
      <c r="AC15" s="3418">
        <v>3.0866439999999998E-2</v>
      </c>
      <c r="AD15" s="3418">
        <v>3.0866439999999998E-2</v>
      </c>
      <c r="AE15" s="3477">
        <v>3.1522752000000001E-2</v>
      </c>
    </row>
    <row r="16" spans="1:31">
      <c r="C16" s="3419" t="s">
        <v>909</v>
      </c>
      <c r="D16" s="3405">
        <v>0</v>
      </c>
      <c r="E16" s="3405">
        <v>0</v>
      </c>
      <c r="F16" s="3405">
        <v>0</v>
      </c>
      <c r="G16" s="3405">
        <v>0</v>
      </c>
      <c r="H16" s="3405">
        <v>0</v>
      </c>
      <c r="I16" s="3405">
        <v>0</v>
      </c>
      <c r="J16" s="3405">
        <v>0</v>
      </c>
      <c r="K16" s="3405">
        <v>0</v>
      </c>
      <c r="L16" s="3405">
        <v>0</v>
      </c>
      <c r="M16" s="3405">
        <v>0</v>
      </c>
      <c r="N16" s="3405">
        <v>0</v>
      </c>
      <c r="O16" s="3405">
        <v>0</v>
      </c>
      <c r="P16" s="3405">
        <v>0</v>
      </c>
      <c r="Q16" s="3405">
        <v>0</v>
      </c>
      <c r="R16" s="3405">
        <v>0</v>
      </c>
      <c r="S16" s="3405">
        <v>0</v>
      </c>
      <c r="T16" s="3405">
        <v>0</v>
      </c>
      <c r="U16" s="3406">
        <v>0</v>
      </c>
      <c r="V16" s="3416">
        <v>0</v>
      </c>
      <c r="W16" s="3416">
        <v>0</v>
      </c>
      <c r="X16" s="3416">
        <v>0</v>
      </c>
      <c r="Y16" s="3466">
        <v>0</v>
      </c>
      <c r="Z16" s="3417">
        <v>0</v>
      </c>
      <c r="AA16" s="3418">
        <v>0</v>
      </c>
      <c r="AB16" s="3457">
        <v>0</v>
      </c>
      <c r="AC16" s="3418">
        <v>0</v>
      </c>
      <c r="AD16" s="3418">
        <v>0</v>
      </c>
      <c r="AE16" s="3478">
        <v>0</v>
      </c>
    </row>
    <row r="17" spans="3:31">
      <c r="C17" s="3420" t="s">
        <v>895</v>
      </c>
      <c r="D17" s="3421">
        <v>4.5533313979860286E-3</v>
      </c>
      <c r="E17" s="3421">
        <v>6.2814607033777857E-3</v>
      </c>
      <c r="F17" s="3421">
        <v>6.6705218784964757E-3</v>
      </c>
      <c r="G17" s="3421">
        <v>6.2737115727720819E-3</v>
      </c>
      <c r="H17" s="3421">
        <v>6.9904755511203849E-3</v>
      </c>
      <c r="I17" s="3421">
        <v>5.7743596722005493E-3</v>
      </c>
      <c r="J17" s="3421">
        <v>6.6635404759744768E-3</v>
      </c>
      <c r="K17" s="3421">
        <v>8.1949637424778479E-3</v>
      </c>
      <c r="L17" s="3421">
        <v>7.6812272521092264E-3</v>
      </c>
      <c r="M17" s="3421">
        <v>7.9880350781698865E-3</v>
      </c>
      <c r="N17" s="3421">
        <v>9.5535736792766637E-3</v>
      </c>
      <c r="O17" s="3421">
        <v>8.213225558680334E-3</v>
      </c>
      <c r="P17" s="3421">
        <v>8.2133998608969125E-3</v>
      </c>
      <c r="Q17" s="3421">
        <v>7.5342492364450083E-3</v>
      </c>
      <c r="R17" s="3421">
        <v>1.0193971997943693E-2</v>
      </c>
      <c r="S17" s="3421">
        <v>6.6942203271946532E-3</v>
      </c>
      <c r="T17" s="3421">
        <v>5.1482567963954153E-3</v>
      </c>
      <c r="U17" s="3422">
        <v>4.547456758956802E-3</v>
      </c>
      <c r="V17" s="3421">
        <v>7.0509437842087757E-3</v>
      </c>
      <c r="W17" s="3421">
        <v>7.0509437842087757E-3</v>
      </c>
      <c r="X17" s="3421">
        <v>7.0509437842087757E-3</v>
      </c>
      <c r="Y17" s="3467">
        <v>2.4899797999999994E-2</v>
      </c>
      <c r="Z17" s="3423">
        <v>7.3514581012256233E-3</v>
      </c>
      <c r="AA17" s="3421">
        <v>7.3514581012256233E-3</v>
      </c>
      <c r="AB17" s="3422">
        <v>1.8010571329999999E-2</v>
      </c>
      <c r="AC17" s="3421">
        <v>1.8010571329999999E-2</v>
      </c>
      <c r="AD17" s="3421">
        <v>1.8010571329999999E-2</v>
      </c>
      <c r="AE17" s="3479">
        <v>1.0670000000000001E-2</v>
      </c>
    </row>
    <row r="18" spans="3:31">
      <c r="C18" s="3485" t="s">
        <v>1104</v>
      </c>
      <c r="D18" s="3486">
        <v>-1.269896023</v>
      </c>
      <c r="E18" s="3486">
        <v>-1.2963562886999997</v>
      </c>
      <c r="F18" s="3486">
        <v>-1.3228165543999999</v>
      </c>
      <c r="G18" s="3486">
        <v>-1.3492768200999998</v>
      </c>
      <c r="H18" s="3486">
        <v>-1.3757370857999998</v>
      </c>
      <c r="I18" s="3486">
        <v>-1.4021973514999995</v>
      </c>
      <c r="J18" s="3486">
        <v>-1.4286576171999996</v>
      </c>
      <c r="K18" s="3486">
        <v>-1.4551178828999993</v>
      </c>
      <c r="L18" s="3486">
        <v>-1.4815781485999997</v>
      </c>
      <c r="M18" s="3486">
        <v>-1.5080384142999992</v>
      </c>
      <c r="N18" s="3486">
        <v>-1.5344986799999998</v>
      </c>
      <c r="O18" s="3486">
        <v>-1.5609589457000037</v>
      </c>
      <c r="P18" s="3486">
        <v>-1.5874192114000076</v>
      </c>
      <c r="Q18" s="3486">
        <v>-1.613879477100002</v>
      </c>
      <c r="R18" s="3486">
        <v>-1.6403397428000059</v>
      </c>
      <c r="S18" s="3486">
        <v>-1.6668000084999999</v>
      </c>
      <c r="T18" s="3486">
        <v>-1.1694595733333335</v>
      </c>
      <c r="U18" s="3487">
        <v>-1.7197205399000073</v>
      </c>
      <c r="V18" s="3486">
        <v>-1.2040305200000001</v>
      </c>
      <c r="W18" s="3486">
        <v>-1.2040305200000001</v>
      </c>
      <c r="X18" s="3486">
        <v>-1.2040305200000001</v>
      </c>
      <c r="Y18" s="3488">
        <v>-1.2578329866666667</v>
      </c>
      <c r="Z18" s="3489">
        <v>-1.2216594133333336</v>
      </c>
      <c r="AA18" s="3486">
        <v>-1.2216594133333336</v>
      </c>
      <c r="AB18" s="3487">
        <v>-1.0929227026699999</v>
      </c>
      <c r="AC18" s="3486">
        <v>-1.0929227026699999</v>
      </c>
      <c r="AD18" s="3486">
        <v>-1.0929227026699999</v>
      </c>
      <c r="AE18" s="3490">
        <v>-1.0929227026666668</v>
      </c>
    </row>
    <row r="19" spans="3:31">
      <c r="C19" s="3424" t="s">
        <v>1105</v>
      </c>
      <c r="D19" s="3425">
        <v>-0.45749848141087734</v>
      </c>
      <c r="E19" s="3425">
        <v>-0.43364243245915407</v>
      </c>
      <c r="F19" s="3425">
        <v>-0.42685899692008078</v>
      </c>
      <c r="G19" s="3425">
        <v>-0.37186678024305642</v>
      </c>
      <c r="H19" s="3425">
        <v>-0.32704599092527553</v>
      </c>
      <c r="I19" s="3425">
        <v>-0.26898025396719133</v>
      </c>
      <c r="J19" s="3425">
        <v>-0.21992671139543396</v>
      </c>
      <c r="K19" s="3425">
        <v>-0.23260303177156461</v>
      </c>
      <c r="L19" s="3425">
        <v>-0.22923912671305591</v>
      </c>
      <c r="M19" s="3425">
        <v>-0.21234060426161178</v>
      </c>
      <c r="N19" s="3425">
        <v>-0.21231676947693673</v>
      </c>
      <c r="O19" s="3425">
        <v>-0.21802405505873565</v>
      </c>
      <c r="P19" s="3425">
        <v>-0.22263432394918187</v>
      </c>
      <c r="Q19" s="3425">
        <v>-0.19197427112010765</v>
      </c>
      <c r="R19" s="3425">
        <v>-0.18744340397737064</v>
      </c>
      <c r="S19" s="3425">
        <v>-0.18674581868934073</v>
      </c>
      <c r="T19" s="3425">
        <v>-0.18467683894012488</v>
      </c>
      <c r="U19" s="3426">
        <v>-0.16284073022072465</v>
      </c>
      <c r="V19" s="3425">
        <v>5.0852245124945156E-2</v>
      </c>
      <c r="W19" s="3425">
        <v>5.0852245124945156E-2</v>
      </c>
      <c r="X19" s="3425">
        <v>5.0852245124945156E-2</v>
      </c>
      <c r="Y19" s="3468">
        <v>-0.21822819744427552</v>
      </c>
      <c r="Z19" s="3427">
        <v>5.0837553556935658E-2</v>
      </c>
      <c r="AA19" s="3425">
        <v>5.0837553556935658E-2</v>
      </c>
      <c r="AB19" s="3426">
        <f>AB20+AB21+AB22+AB23</f>
        <v>-0.18595409998000001</v>
      </c>
      <c r="AC19" s="3425">
        <v>-0.18595409998000001</v>
      </c>
      <c r="AD19" s="3425">
        <v>-0.18595409998000001</v>
      </c>
      <c r="AE19" s="3480">
        <f t="shared" ref="AE19" si="2">SUM(AE20:AE23)</f>
        <v>-0.16864007253577512</v>
      </c>
    </row>
    <row r="20" spans="3:31">
      <c r="C20" s="3428" t="s">
        <v>910</v>
      </c>
      <c r="D20" s="3405">
        <v>-3.7476700839395673E-2</v>
      </c>
      <c r="E20" s="3405">
        <v>-3.4907486993188359E-2</v>
      </c>
      <c r="F20" s="3405">
        <v>-3.3956433101933331E-2</v>
      </c>
      <c r="G20" s="3405">
        <v>-2.6768294538661811E-2</v>
      </c>
      <c r="H20" s="3405">
        <v>-2.1634723729736641E-2</v>
      </c>
      <c r="I20" s="3405">
        <v>-1.5251642043051579E-2</v>
      </c>
      <c r="J20" s="3405">
        <v>-9.7205305233770221E-3</v>
      </c>
      <c r="K20" s="3405">
        <v>-9.6416153842099929E-3</v>
      </c>
      <c r="L20" s="3405">
        <v>-9.8250129492662552E-3</v>
      </c>
      <c r="M20" s="3405">
        <v>-8.4139027294219196E-3</v>
      </c>
      <c r="N20" s="3405">
        <v>-8.262806853943306E-3</v>
      </c>
      <c r="O20" s="3405">
        <v>-9.8924974622418057E-3</v>
      </c>
      <c r="P20" s="3405">
        <v>-1.1141026710961115E-2</v>
      </c>
      <c r="Q20" s="3405">
        <v>-7.7906107871290632E-3</v>
      </c>
      <c r="R20" s="3405">
        <v>-6.5853399756642065E-3</v>
      </c>
      <c r="S20" s="3405">
        <v>-7.6898202626143565E-3</v>
      </c>
      <c r="T20" s="3405">
        <v>-8.4802520728281365E-3</v>
      </c>
      <c r="U20" s="3406">
        <v>-8.376949107391226E-3</v>
      </c>
      <c r="V20" s="3405">
        <v>8.4185061070533689E-3</v>
      </c>
      <c r="W20" s="3405">
        <v>8.4185061070533689E-3</v>
      </c>
      <c r="X20" s="3405">
        <v>8.4185061070533689E-3</v>
      </c>
      <c r="Y20" s="3465">
        <v>-1.2684842167839765E-2</v>
      </c>
      <c r="Z20" s="3407">
        <v>7.3287352336071192E-3</v>
      </c>
      <c r="AA20" s="3405">
        <v>7.3287352336071192E-3</v>
      </c>
      <c r="AB20" s="3406">
        <v>-1.061836128E-2</v>
      </c>
      <c r="AC20" s="3405">
        <v>-1.061836128E-2</v>
      </c>
      <c r="AD20" s="3405">
        <v>-1.061836128E-2</v>
      </c>
      <c r="AE20" s="3475">
        <v>-9.5545989087629721E-3</v>
      </c>
    </row>
    <row r="21" spans="3:31">
      <c r="C21" s="3428" t="s">
        <v>911</v>
      </c>
      <c r="D21" s="3405">
        <v>-0.18775413189431356</v>
      </c>
      <c r="E21" s="3405">
        <v>-0.18022086497482728</v>
      </c>
      <c r="F21" s="3405">
        <v>-0.17725456687430405</v>
      </c>
      <c r="G21" s="3405">
        <v>-0.15457553207368552</v>
      </c>
      <c r="H21" s="3405">
        <v>-0.1370890806126181</v>
      </c>
      <c r="I21" s="3405">
        <v>-0.11490029065098975</v>
      </c>
      <c r="J21" s="3405">
        <v>-9.4437431702286481E-2</v>
      </c>
      <c r="K21" s="3405">
        <v>-9.0327202862476114E-2</v>
      </c>
      <c r="L21" s="3405">
        <v>-8.7314694700182285E-2</v>
      </c>
      <c r="M21" s="3405">
        <v>-7.9610900883203689E-2</v>
      </c>
      <c r="N21" s="3405">
        <v>-7.5857996251008739E-2</v>
      </c>
      <c r="O21" s="3405">
        <v>-7.7904726685860848E-2</v>
      </c>
      <c r="P21" s="3405">
        <v>-7.9271780263166489E-2</v>
      </c>
      <c r="Q21" s="3405">
        <v>-6.6647250455588614E-2</v>
      </c>
      <c r="R21" s="3405">
        <v>-6.0326814607326244E-2</v>
      </c>
      <c r="S21" s="3405">
        <v>-6.1632909805335728E-2</v>
      </c>
      <c r="T21" s="3405">
        <v>-6.1942198859260007E-2</v>
      </c>
      <c r="U21" s="3406">
        <v>-5.8310081401474693E-2</v>
      </c>
      <c r="V21" s="3405">
        <v>3.4326132013239918E-2</v>
      </c>
      <c r="W21" s="3405">
        <v>3.4326132013239918E-2</v>
      </c>
      <c r="X21" s="3405">
        <v>3.4326132013239918E-2</v>
      </c>
      <c r="Y21" s="3469">
        <v>-7.0873721137987705E-2</v>
      </c>
      <c r="Z21" s="3407">
        <v>3.3156857943058823E-2</v>
      </c>
      <c r="AA21" s="3405">
        <v>3.3156857943058823E-2</v>
      </c>
      <c r="AB21" s="3406">
        <v>-5.6721999869999998E-2</v>
      </c>
      <c r="AC21" s="3405">
        <v>-5.6721999869999998E-2</v>
      </c>
      <c r="AD21" s="3405">
        <v>-5.6721999869999998E-2</v>
      </c>
      <c r="AE21" s="3475">
        <v>-4.900786961971372E-2</v>
      </c>
    </row>
    <row r="22" spans="3:31">
      <c r="C22" s="3428" t="s">
        <v>912</v>
      </c>
      <c r="D22" s="3405">
        <v>-0.18694640365122364</v>
      </c>
      <c r="E22" s="3405">
        <v>-0.17896310951941205</v>
      </c>
      <c r="F22" s="3405">
        <v>-0.17570136813684348</v>
      </c>
      <c r="G22" s="3405">
        <v>-0.15213572116687116</v>
      </c>
      <c r="H22" s="3405">
        <v>-0.13396072119164659</v>
      </c>
      <c r="I22" s="3405">
        <v>-0.11097178454709297</v>
      </c>
      <c r="J22" s="3405">
        <v>-8.9799974989547685E-2</v>
      </c>
      <c r="K22" s="3405">
        <v>-8.5513503357103518E-2</v>
      </c>
      <c r="L22" s="3405">
        <v>-8.236667140618352E-2</v>
      </c>
      <c r="M22" s="3405">
        <v>-7.4392552342463808E-2</v>
      </c>
      <c r="N22" s="3405">
        <v>-7.0503599926044672E-2</v>
      </c>
      <c r="O22" s="3405">
        <v>-7.259815664929449E-2</v>
      </c>
      <c r="P22" s="3405">
        <v>-7.3990353815439516E-2</v>
      </c>
      <c r="Q22" s="3405">
        <v>-6.0964628330083773E-2</v>
      </c>
      <c r="R22" s="3405">
        <v>-5.4456453367069189E-2</v>
      </c>
      <c r="S22" s="3405">
        <v>-5.5714975515899441E-2</v>
      </c>
      <c r="T22" s="3405">
        <v>-5.6039595623909609E-2</v>
      </c>
      <c r="U22" s="3406">
        <v>-5.2671991717843709E-2</v>
      </c>
      <c r="V22" s="3405">
        <v>2.9728709270938528E-2</v>
      </c>
      <c r="W22" s="3405">
        <v>2.9728709270938528E-2</v>
      </c>
      <c r="X22" s="3405">
        <v>2.9728709270938528E-2</v>
      </c>
      <c r="Y22" s="3469">
        <v>-6.4577261430635649E-2</v>
      </c>
      <c r="Z22" s="3407">
        <v>2.8850093130142869E-2</v>
      </c>
      <c r="AA22" s="3405">
        <v>2.8850093130142869E-2</v>
      </c>
      <c r="AB22" s="3406">
        <v>-5.1412480519999998E-2</v>
      </c>
      <c r="AC22" s="3405">
        <v>-5.1412480519999998E-2</v>
      </c>
      <c r="AD22" s="3405">
        <v>-5.1412480519999998E-2</v>
      </c>
      <c r="AE22" s="3475">
        <v>-4.4283838656574669E-2</v>
      </c>
    </row>
    <row r="23" spans="3:31">
      <c r="C23" s="3428" t="s">
        <v>913</v>
      </c>
      <c r="D23" s="3405">
        <v>-4.5321245025944507E-2</v>
      </c>
      <c r="E23" s="3405">
        <v>-3.9550970971726385E-2</v>
      </c>
      <c r="F23" s="3405">
        <v>-3.9946628806999944E-2</v>
      </c>
      <c r="G23" s="3405">
        <v>-3.8387232463837885E-2</v>
      </c>
      <c r="H23" s="3405">
        <v>-3.4361465391274236E-2</v>
      </c>
      <c r="I23" s="3405">
        <v>-2.7856536726057032E-2</v>
      </c>
      <c r="J23" s="3405">
        <v>-2.596877418022274E-2</v>
      </c>
      <c r="K23" s="3405">
        <v>-4.7120710167774971E-2</v>
      </c>
      <c r="L23" s="3405">
        <v>-4.9732747657423845E-2</v>
      </c>
      <c r="M23" s="3405">
        <v>-4.9923248306522353E-2</v>
      </c>
      <c r="N23" s="3405">
        <v>-5.7692366445940002E-2</v>
      </c>
      <c r="O23" s="3405">
        <v>-5.7628674261338532E-2</v>
      </c>
      <c r="P23" s="3405">
        <v>-5.8231163159614727E-2</v>
      </c>
      <c r="Q23" s="3405">
        <v>-5.6571781547306216E-2</v>
      </c>
      <c r="R23" s="3405">
        <v>-6.6074796027310992E-2</v>
      </c>
      <c r="S23" s="3405">
        <v>-6.1708113105491215E-2</v>
      </c>
      <c r="T23" s="3405">
        <v>-5.821479238412712E-2</v>
      </c>
      <c r="U23" s="3406">
        <v>-4.3481707994015018E-2</v>
      </c>
      <c r="V23" s="3405">
        <v>-2.1621102266286659E-2</v>
      </c>
      <c r="W23" s="3405">
        <v>-2.1621102266286659E-2</v>
      </c>
      <c r="X23" s="3405">
        <v>-2.1621102266286659E-2</v>
      </c>
      <c r="Y23" s="3469">
        <v>-7.0092372707812392E-2</v>
      </c>
      <c r="Z23" s="3407">
        <v>-1.849813274987315E-2</v>
      </c>
      <c r="AA23" s="3405">
        <v>-1.849813274987315E-2</v>
      </c>
      <c r="AB23" s="3406">
        <v>-6.7201258309999998E-2</v>
      </c>
      <c r="AC23" s="3405">
        <v>-6.7201258309999998E-2</v>
      </c>
      <c r="AD23" s="3405">
        <v>-6.7201258309999998E-2</v>
      </c>
      <c r="AE23" s="3475">
        <v>-6.5793765350723746E-2</v>
      </c>
    </row>
    <row r="24" spans="3:31">
      <c r="C24" s="3429" t="s">
        <v>1106</v>
      </c>
      <c r="D24" s="3430">
        <v>0</v>
      </c>
      <c r="E24" s="3430">
        <v>0</v>
      </c>
      <c r="F24" s="3430">
        <v>0</v>
      </c>
      <c r="G24" s="3430">
        <v>0</v>
      </c>
      <c r="H24" s="3430">
        <v>0</v>
      </c>
      <c r="I24" s="3430">
        <v>0</v>
      </c>
      <c r="J24" s="3430">
        <v>0</v>
      </c>
      <c r="K24" s="3430">
        <v>0</v>
      </c>
      <c r="L24" s="3430">
        <v>0</v>
      </c>
      <c r="M24" s="3430">
        <v>0</v>
      </c>
      <c r="N24" s="3430">
        <v>0</v>
      </c>
      <c r="O24" s="3430">
        <v>0</v>
      </c>
      <c r="P24" s="3430">
        <v>0</v>
      </c>
      <c r="Q24" s="3430">
        <v>0</v>
      </c>
      <c r="R24" s="3430">
        <v>0</v>
      </c>
      <c r="S24" s="3430">
        <v>0</v>
      </c>
      <c r="T24" s="3432">
        <v>3.8968192977155994E-2</v>
      </c>
      <c r="U24" s="3431">
        <v>0</v>
      </c>
      <c r="V24" s="3432">
        <v>3.8958247501919986E-2</v>
      </c>
      <c r="W24" s="3432">
        <v>3.8958247501919986E-2</v>
      </c>
      <c r="X24" s="3432">
        <v>3.8958247501919986E-2</v>
      </c>
      <c r="Y24" s="3470">
        <v>5.3720414448695991E-2</v>
      </c>
      <c r="Z24" s="3433">
        <v>3.8958247501919986E-2</v>
      </c>
      <c r="AA24" s="3432">
        <v>3.8958247501919986E-2</v>
      </c>
      <c r="AB24" s="3458">
        <f>AB25+AB26</f>
        <v>4.8496098330000001E-2</v>
      </c>
      <c r="AC24" s="3432">
        <v>4.8496098330000001E-2</v>
      </c>
      <c r="AD24" s="3432">
        <v>4.8496098330000001E-2</v>
      </c>
      <c r="AE24" s="3481">
        <f t="shared" ref="AE24" si="3">SUM(AE25:AE26)</f>
        <v>1.6501980758342395E-2</v>
      </c>
    </row>
    <row r="25" spans="3:31" ht="15">
      <c r="C25" s="3428" t="s">
        <v>1762</v>
      </c>
      <c r="D25" s="3434">
        <v>0</v>
      </c>
      <c r="E25" s="3434">
        <v>0</v>
      </c>
      <c r="F25" s="3434">
        <v>0</v>
      </c>
      <c r="G25" s="3434">
        <v>0</v>
      </c>
      <c r="H25" s="3434">
        <v>0</v>
      </c>
      <c r="I25" s="3434">
        <v>0</v>
      </c>
      <c r="J25" s="3434">
        <v>0</v>
      </c>
      <c r="K25" s="3434">
        <v>0</v>
      </c>
      <c r="L25" s="3434">
        <v>0</v>
      </c>
      <c r="M25" s="3434">
        <v>0</v>
      </c>
      <c r="N25" s="3434">
        <v>0</v>
      </c>
      <c r="O25" s="3434">
        <v>0</v>
      </c>
      <c r="P25" s="3434">
        <v>0</v>
      </c>
      <c r="Q25" s="3434">
        <v>0</v>
      </c>
      <c r="R25" s="3434">
        <v>0</v>
      </c>
      <c r="S25" s="3434">
        <v>0</v>
      </c>
      <c r="T25" s="3415">
        <v>3.2460771916817996E-2</v>
      </c>
      <c r="U25" s="3435">
        <v>0</v>
      </c>
      <c r="V25" s="3415">
        <v>3.245248726775999E-2</v>
      </c>
      <c r="W25" s="3415">
        <v>3.245248726775999E-2</v>
      </c>
      <c r="X25" s="3415">
        <v>3.245248726775999E-2</v>
      </c>
      <c r="Y25" s="3469">
        <v>4.4749473544187991E-2</v>
      </c>
      <c r="Z25" s="3436">
        <v>3.245248726775999E-2</v>
      </c>
      <c r="AA25" s="3415">
        <v>3.245248726775999E-2</v>
      </c>
      <c r="AB25" s="3459">
        <v>4.03975824E-2</v>
      </c>
      <c r="AC25" s="3415">
        <v>4.03975824E-2</v>
      </c>
      <c r="AD25" s="3415">
        <v>4.03975824E-2</v>
      </c>
      <c r="AE25" s="3482">
        <v>1.3746263109667197E-2</v>
      </c>
    </row>
    <row r="26" spans="3:31" ht="15">
      <c r="C26" s="3428" t="s">
        <v>1763</v>
      </c>
      <c r="D26" s="3434">
        <v>0</v>
      </c>
      <c r="E26" s="3434">
        <v>0</v>
      </c>
      <c r="F26" s="3434">
        <v>0</v>
      </c>
      <c r="G26" s="3434">
        <v>0</v>
      </c>
      <c r="H26" s="3434">
        <v>0</v>
      </c>
      <c r="I26" s="3434">
        <v>0</v>
      </c>
      <c r="J26" s="3434">
        <v>0</v>
      </c>
      <c r="K26" s="3434">
        <v>0</v>
      </c>
      <c r="L26" s="3434">
        <v>0</v>
      </c>
      <c r="M26" s="3434">
        <v>0</v>
      </c>
      <c r="N26" s="3434">
        <v>0</v>
      </c>
      <c r="O26" s="3434">
        <v>0</v>
      </c>
      <c r="P26" s="3434">
        <v>0</v>
      </c>
      <c r="Q26" s="3434">
        <v>0</v>
      </c>
      <c r="R26" s="3434">
        <v>0</v>
      </c>
      <c r="S26" s="3434">
        <v>0</v>
      </c>
      <c r="T26" s="3415">
        <v>6.5074210603380004E-3</v>
      </c>
      <c r="U26" s="3435">
        <v>0</v>
      </c>
      <c r="V26" s="3415">
        <v>6.505760234159998E-3</v>
      </c>
      <c r="W26" s="3415">
        <v>6.505760234159998E-3</v>
      </c>
      <c r="X26" s="3415">
        <v>6.505760234159998E-3</v>
      </c>
      <c r="Y26" s="3466">
        <v>8.9709409045079999E-3</v>
      </c>
      <c r="Z26" s="3436">
        <v>6.505760234159998E-3</v>
      </c>
      <c r="AA26" s="3415">
        <v>6.505760234159998E-3</v>
      </c>
      <c r="AB26" s="3459">
        <v>8.0985159299999995E-3</v>
      </c>
      <c r="AC26" s="3415">
        <v>8.0985159299999995E-3</v>
      </c>
      <c r="AD26" s="3415">
        <v>8.0985159299999995E-3</v>
      </c>
      <c r="AE26" s="3482">
        <v>2.7557176486751999E-3</v>
      </c>
    </row>
    <row r="27" spans="3:31" ht="15.75" thickBot="1">
      <c r="C27" s="3437" t="s">
        <v>1764</v>
      </c>
      <c r="D27" s="3438">
        <v>1.9783789823906425E-2</v>
      </c>
      <c r="E27" s="3438">
        <v>2.5933501356201878E-2</v>
      </c>
      <c r="F27" s="3438">
        <v>2.8432903490202228E-2</v>
      </c>
      <c r="G27" s="3438">
        <v>2.4807276177968685E-2</v>
      </c>
      <c r="H27" s="3438">
        <v>2.5803540784425909E-2</v>
      </c>
      <c r="I27" s="3438">
        <v>2.8939266253370604E-2</v>
      </c>
      <c r="J27" s="3438">
        <v>2.8793086704347243E-2</v>
      </c>
      <c r="K27" s="3438">
        <v>2.8052291604399277E-2</v>
      </c>
      <c r="L27" s="3438">
        <v>2.4168959729723268E-2</v>
      </c>
      <c r="M27" s="3438">
        <v>2.8899390906263811E-2</v>
      </c>
      <c r="N27" s="3438">
        <v>3.6480713801147209E-2</v>
      </c>
      <c r="O27" s="3438">
        <v>2.7940909919462423E-2</v>
      </c>
      <c r="P27" s="3438">
        <v>2.632568221373403E-2</v>
      </c>
      <c r="Q27" s="3438">
        <v>2.561344176463216E-2</v>
      </c>
      <c r="R27" s="3438">
        <v>3.4700340638404853E-2</v>
      </c>
      <c r="S27" s="3438">
        <v>2.8962586863582555E-2</v>
      </c>
      <c r="T27" s="3438">
        <v>2.2827269974381791E-2</v>
      </c>
      <c r="U27" s="3439">
        <v>2.4288595517778181E-2</v>
      </c>
      <c r="V27" s="3438">
        <v>2.3428057188102296E-2</v>
      </c>
      <c r="W27" s="3438">
        <v>1.2020663292894702E-2</v>
      </c>
      <c r="X27" s="3438">
        <v>1.9783789823906425E-2</v>
      </c>
      <c r="Y27" s="3471">
        <v>4.2341482857142849E-2</v>
      </c>
      <c r="Z27" s="3440">
        <v>1.9783789823906425E-2</v>
      </c>
      <c r="AA27" s="3438">
        <v>1.9783789823906425E-2</v>
      </c>
      <c r="AB27" s="3439">
        <v>7.8010034141978296E-2</v>
      </c>
      <c r="AC27" s="3438">
        <v>7.8010034141978296E-2</v>
      </c>
      <c r="AD27" s="3438">
        <v>7.8010034141978296E-2</v>
      </c>
      <c r="AE27" s="3483">
        <v>2.1000000000000001E-2</v>
      </c>
    </row>
    <row r="28" spans="3:31" ht="15" thickBot="1">
      <c r="C28" s="3441" t="s">
        <v>190</v>
      </c>
      <c r="D28" s="3442">
        <v>-3.0816589926789044</v>
      </c>
      <c r="E28" s="3442">
        <v>-3.0763853685894222</v>
      </c>
      <c r="F28" s="3442">
        <v>-3.0931737354412432</v>
      </c>
      <c r="G28" s="3442">
        <v>-3.1430068758479068</v>
      </c>
      <c r="H28" s="3442">
        <v>-3.122933323645301</v>
      </c>
      <c r="I28" s="3442">
        <v>-3.0894082427972047</v>
      </c>
      <c r="J28" s="3442">
        <v>-3.0660719646706909</v>
      </c>
      <c r="K28" s="3442">
        <v>-3.1044179225802719</v>
      </c>
      <c r="L28" s="3442">
        <v>-3.1319113515868082</v>
      </c>
      <c r="M28" s="3442">
        <v>-6.5598467892402699</v>
      </c>
      <c r="N28" s="3442">
        <v>-12.198779432278512</v>
      </c>
      <c r="O28" s="3442">
        <v>-12.240827135562689</v>
      </c>
      <c r="P28" s="3442">
        <v>-12.273512723556603</v>
      </c>
      <c r="Q28" s="3442">
        <v>-12.270704327501091</v>
      </c>
      <c r="R28" s="3442">
        <v>-12.280887104423126</v>
      </c>
      <c r="S28" s="3442">
        <v>-12.315887290280596</v>
      </c>
      <c r="T28" s="3442">
        <v>-11.785190962807624</v>
      </c>
      <c r="U28" s="3443">
        <v>-12.351723488126094</v>
      </c>
      <c r="V28" s="3442">
        <f>V14+V17+V27+V18+V19+V24+V7</f>
        <v>-11.581739296682922</v>
      </c>
      <c r="W28" s="3442">
        <f t="shared" ref="W28:AB28" si="4">W14+W17+W27+W18+W19+W24+W7</f>
        <v>-11.593146690578129</v>
      </c>
      <c r="X28" s="3442">
        <f t="shared" si="4"/>
        <v>-11.585383564047119</v>
      </c>
      <c r="Y28" s="3472">
        <f>Y7+Y18+Y19-Y14-Y17-Y24-Y27</f>
        <v>-12.12513474969888</v>
      </c>
      <c r="Z28" s="3444">
        <f t="shared" si="4"/>
        <v>-11.602726634631445</v>
      </c>
      <c r="AA28" s="3442">
        <f t="shared" si="4"/>
        <v>-11.602726634631445</v>
      </c>
      <c r="AB28" s="3442">
        <f t="shared" si="4"/>
        <v>-11.60149192913012</v>
      </c>
      <c r="AC28" s="3442">
        <v>-11.60149192913012</v>
      </c>
      <c r="AD28" s="3442">
        <v>-11.60149192913012</v>
      </c>
      <c r="AE28" s="3484">
        <f t="shared" ref="AE28" si="5">SUM(AE14,AE17,AE27,AE18,AE19,AE24,AE7)</f>
        <v>-11.679866312726197</v>
      </c>
    </row>
    <row r="29" spans="3:31">
      <c r="C29" s="3445" t="s">
        <v>914</v>
      </c>
      <c r="D29" s="3446"/>
      <c r="E29" s="3447"/>
      <c r="F29" s="3447"/>
      <c r="G29" s="3447"/>
      <c r="H29" s="3447"/>
      <c r="I29" s="3447"/>
      <c r="J29" s="3447"/>
      <c r="K29" s="3447"/>
      <c r="L29" s="3447"/>
      <c r="M29" s="3447"/>
      <c r="N29" s="3447"/>
      <c r="O29" s="3447"/>
      <c r="P29" s="3447"/>
      <c r="Q29" s="3447"/>
      <c r="R29" s="3447"/>
      <c r="S29" s="3447"/>
      <c r="T29" s="3447"/>
      <c r="U29" s="3447"/>
      <c r="V29" s="3447"/>
      <c r="W29" s="3447"/>
      <c r="X29" s="3447"/>
      <c r="Y29" s="3447"/>
      <c r="Z29" s="3447"/>
      <c r="AA29" s="3447"/>
      <c r="AB29" s="3448"/>
      <c r="AC29" s="3449"/>
      <c r="AD29" s="3447"/>
      <c r="AE29" s="3450"/>
    </row>
    <row r="30" spans="3:31" ht="15" thickBot="1">
      <c r="C30" s="3451"/>
      <c r="D30" s="3452"/>
      <c r="E30" s="3452"/>
      <c r="F30" s="3452"/>
      <c r="G30" s="3452"/>
      <c r="H30" s="3452"/>
      <c r="I30" s="3452"/>
      <c r="J30" s="3452"/>
      <c r="K30" s="3452"/>
      <c r="L30" s="3452"/>
      <c r="M30" s="3452"/>
      <c r="N30" s="3452"/>
      <c r="O30" s="3452"/>
      <c r="P30" s="3452"/>
      <c r="Q30" s="3452"/>
      <c r="R30" s="3452"/>
      <c r="S30" s="3452"/>
      <c r="T30" s="3452"/>
      <c r="U30" s="3452"/>
      <c r="V30" s="3452"/>
      <c r="W30" s="3452"/>
      <c r="X30" s="3452"/>
      <c r="Y30" s="3452"/>
      <c r="Z30" s="3452"/>
      <c r="AA30" s="3452"/>
      <c r="AB30" s="3452"/>
      <c r="AC30" s="3453"/>
      <c r="AD30" s="3452"/>
      <c r="AE30" s="3454"/>
    </row>
    <row r="31" spans="3:31" ht="15" thickTop="1"/>
  </sheetData>
  <sheetProtection password="CD58" sheet="1" objects="1" scenarios="1"/>
  <phoneticPr fontId="0" type="noConversion"/>
  <pageMargins left="0.22" right="0.18" top="1" bottom="0.56000000000000005" header="0.5" footer="0.5"/>
  <pageSetup paperSize="5" scale="44"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dimension ref="B2:J91"/>
  <sheetViews>
    <sheetView workbookViewId="0">
      <selection activeCell="L32" sqref="L32"/>
    </sheetView>
  </sheetViews>
  <sheetFormatPr defaultRowHeight="11.25"/>
  <cols>
    <col min="1" max="1" width="3" customWidth="1"/>
    <col min="2" max="2" width="15.6640625" bestFit="1" customWidth="1"/>
    <col min="3" max="3" width="37.6640625" bestFit="1" customWidth="1"/>
    <col min="4" max="6" width="15.33203125" bestFit="1" customWidth="1"/>
    <col min="7" max="7" width="12" bestFit="1" customWidth="1"/>
    <col min="8" max="8" width="14.6640625" customWidth="1"/>
  </cols>
  <sheetData>
    <row r="2" spans="2:10" ht="12.75">
      <c r="C2" s="1505" t="s">
        <v>1369</v>
      </c>
      <c r="F2" s="4"/>
      <c r="G2" s="1378"/>
      <c r="H2" s="1378"/>
    </row>
    <row r="3" spans="2:10" ht="13.5" thickBot="1">
      <c r="G3" s="1377"/>
      <c r="H3" s="1377"/>
    </row>
    <row r="4" spans="2:10" ht="12.75">
      <c r="B4" s="3"/>
      <c r="C4" s="1379"/>
      <c r="D4" s="3497">
        <v>2017</v>
      </c>
      <c r="E4" s="3498"/>
      <c r="F4" s="3498"/>
      <c r="G4" s="1393"/>
      <c r="H4" s="1430" t="s">
        <v>114</v>
      </c>
    </row>
    <row r="5" spans="2:10" ht="13.5" thickBot="1">
      <c r="B5" s="1227"/>
      <c r="C5" s="22"/>
      <c r="D5" s="1380" t="s">
        <v>405</v>
      </c>
      <c r="E5" s="1380" t="s">
        <v>406</v>
      </c>
      <c r="F5" s="1380" t="s">
        <v>407</v>
      </c>
      <c r="G5" s="1380" t="s">
        <v>955</v>
      </c>
      <c r="H5" s="1380" t="s">
        <v>102</v>
      </c>
    </row>
    <row r="6" spans="2:10" ht="12.75">
      <c r="B6" s="503"/>
      <c r="C6" s="493"/>
      <c r="D6" s="1392" t="s">
        <v>409</v>
      </c>
      <c r="E6" s="1392" t="s">
        <v>410</v>
      </c>
      <c r="F6" s="1392" t="s">
        <v>411</v>
      </c>
      <c r="G6" s="493"/>
      <c r="H6" s="493"/>
    </row>
    <row r="7" spans="2:10" ht="12.75">
      <c r="B7" s="1424"/>
      <c r="C7" s="1425" t="s">
        <v>412</v>
      </c>
      <c r="D7" s="1395"/>
      <c r="E7" s="1395"/>
      <c r="F7" s="1395"/>
      <c r="G7" s="504"/>
      <c r="H7" s="504"/>
    </row>
    <row r="8" spans="2:10" ht="12" thickBot="1">
      <c r="B8" s="511"/>
      <c r="C8" s="1425" t="s">
        <v>413</v>
      </c>
      <c r="D8" s="1395"/>
      <c r="E8" s="1395"/>
      <c r="F8" s="1395"/>
      <c r="G8" s="504"/>
      <c r="H8" s="504"/>
    </row>
    <row r="9" spans="2:10" ht="12.75">
      <c r="B9" s="1462" t="s">
        <v>408</v>
      </c>
      <c r="C9" s="1426" t="s">
        <v>414</v>
      </c>
      <c r="D9" s="1396"/>
      <c r="E9" s="1397"/>
      <c r="F9" s="1396"/>
      <c r="G9" s="1398">
        <f>SUM(D9:F9)</f>
        <v>0</v>
      </c>
      <c r="H9" s="1429"/>
    </row>
    <row r="10" spans="2:10">
      <c r="B10" s="504"/>
      <c r="C10" s="504"/>
      <c r="D10" s="1395"/>
      <c r="E10" s="1395"/>
      <c r="F10" s="1395"/>
      <c r="G10" s="504"/>
      <c r="H10" s="504"/>
    </row>
    <row r="11" spans="2:10" ht="14.25">
      <c r="B11" s="504"/>
      <c r="C11" s="1428" t="s">
        <v>415</v>
      </c>
      <c r="D11" s="1399"/>
      <c r="E11" s="510"/>
      <c r="F11" s="510"/>
      <c r="G11" s="510">
        <f>(D11+E11+F11)</f>
        <v>0</v>
      </c>
      <c r="H11" s="1400">
        <f>G11*1.1023</f>
        <v>0</v>
      </c>
      <c r="J11" s="14"/>
    </row>
    <row r="12" spans="2:10" ht="14.25">
      <c r="B12" s="504"/>
      <c r="C12" s="508" t="s">
        <v>416</v>
      </c>
      <c r="D12" s="1401">
        <v>0</v>
      </c>
      <c r="E12" s="1402"/>
      <c r="F12" s="1402"/>
      <c r="G12" s="1403">
        <f>(D12+E12+F12)</f>
        <v>0</v>
      </c>
      <c r="H12" s="1403">
        <f>G12*1.1023</f>
        <v>0</v>
      </c>
    </row>
    <row r="13" spans="2:10" ht="15" thickBot="1">
      <c r="B13" s="505"/>
      <c r="C13" s="507" t="s">
        <v>421</v>
      </c>
      <c r="D13" s="1413">
        <v>0</v>
      </c>
      <c r="E13" s="1414"/>
      <c r="F13" s="1415"/>
      <c r="G13" s="1416">
        <f>(D13+E13+F13)</f>
        <v>0</v>
      </c>
      <c r="H13" s="1416">
        <f>G13*1.1023</f>
        <v>0</v>
      </c>
    </row>
    <row r="14" spans="2:10">
      <c r="B14" s="1422"/>
      <c r="C14" s="1422"/>
      <c r="D14" s="1423"/>
      <c r="E14" s="1423"/>
      <c r="F14" s="1423"/>
      <c r="G14" s="1422"/>
      <c r="H14" s="1422"/>
    </row>
    <row r="15" spans="2:10" ht="12.75">
      <c r="B15" s="504"/>
      <c r="C15" s="504"/>
      <c r="D15" s="1394" t="s">
        <v>405</v>
      </c>
      <c r="E15" s="1394" t="s">
        <v>406</v>
      </c>
      <c r="F15" s="1394" t="s">
        <v>407</v>
      </c>
      <c r="G15" s="1405"/>
      <c r="H15" s="1405"/>
    </row>
    <row r="16" spans="2:10">
      <c r="B16" s="504"/>
      <c r="C16" s="504"/>
      <c r="D16" s="512" t="s">
        <v>409</v>
      </c>
      <c r="E16" s="512" t="s">
        <v>410</v>
      </c>
      <c r="F16" s="512" t="s">
        <v>411</v>
      </c>
      <c r="G16" s="504"/>
      <c r="H16" s="504"/>
    </row>
    <row r="17" spans="2:8" ht="12.75">
      <c r="B17" s="1424"/>
      <c r="C17" s="1425" t="s">
        <v>412</v>
      </c>
      <c r="D17" s="1395"/>
      <c r="E17" s="1395"/>
      <c r="F17" s="1395"/>
      <c r="G17" s="504"/>
      <c r="H17" s="504"/>
    </row>
    <row r="18" spans="2:8">
      <c r="B18" s="511"/>
      <c r="C18" s="1425" t="s">
        <v>413</v>
      </c>
      <c r="D18" s="1395"/>
      <c r="E18" s="1395"/>
      <c r="F18" s="1395"/>
      <c r="G18" s="504"/>
      <c r="H18" s="504"/>
    </row>
    <row r="19" spans="2:8" ht="12.75">
      <c r="B19" s="1463" t="s">
        <v>422</v>
      </c>
      <c r="C19" s="1426" t="s">
        <v>414</v>
      </c>
      <c r="D19" s="1396"/>
      <c r="E19" s="1397"/>
      <c r="F19" s="1396"/>
      <c r="G19" s="1406">
        <f>SUM(D19:F19)</f>
        <v>0</v>
      </c>
      <c r="H19" s="1429"/>
    </row>
    <row r="20" spans="2:8" ht="12.75">
      <c r="B20" s="511"/>
      <c r="C20" s="1427"/>
      <c r="D20" s="1407"/>
      <c r="E20" s="1408"/>
      <c r="F20" s="1407"/>
      <c r="G20" s="504"/>
      <c r="H20" s="504"/>
    </row>
    <row r="21" spans="2:8" ht="14.25">
      <c r="B21" s="504"/>
      <c r="C21" s="1428" t="s">
        <v>415</v>
      </c>
      <c r="D21" s="1399"/>
      <c r="E21" s="510"/>
      <c r="F21" s="510"/>
      <c r="G21" s="510">
        <f>(D21+E21+F21)</f>
        <v>0</v>
      </c>
      <c r="H21" s="1400">
        <f>G21*1.1023</f>
        <v>0</v>
      </c>
    </row>
    <row r="22" spans="2:8" ht="14.25">
      <c r="B22" s="504"/>
      <c r="C22" s="508" t="s">
        <v>416</v>
      </c>
      <c r="D22" s="1402">
        <v>0</v>
      </c>
      <c r="E22" s="1402"/>
      <c r="F22" s="1402"/>
      <c r="G22" s="1403">
        <f>(D22+E22+F22)</f>
        <v>0</v>
      </c>
      <c r="H22" s="1403">
        <f>G22*1.1023</f>
        <v>0</v>
      </c>
    </row>
    <row r="23" spans="2:8" ht="15" thickBot="1">
      <c r="B23" s="505"/>
      <c r="C23" s="507" t="s">
        <v>423</v>
      </c>
      <c r="D23" s="1414">
        <v>0</v>
      </c>
      <c r="E23" s="1414"/>
      <c r="F23" s="1414"/>
      <c r="G23" s="1416">
        <f>(D23+E23+F23)</f>
        <v>0</v>
      </c>
      <c r="H23" s="1416">
        <f>G23*1.1023</f>
        <v>0</v>
      </c>
    </row>
    <row r="24" spans="2:8">
      <c r="B24" s="1422"/>
      <c r="C24" s="1422"/>
      <c r="D24" s="1423"/>
      <c r="E24" s="1423"/>
      <c r="F24" s="1423"/>
      <c r="G24" s="1422"/>
      <c r="H24" s="1422"/>
    </row>
    <row r="25" spans="2:8" ht="12.75">
      <c r="B25" s="504"/>
      <c r="C25" s="504"/>
      <c r="D25" s="1394" t="s">
        <v>405</v>
      </c>
      <c r="E25" s="1394" t="s">
        <v>406</v>
      </c>
      <c r="F25" s="1394" t="s">
        <v>407</v>
      </c>
      <c r="G25" s="1405"/>
      <c r="H25" s="1405"/>
    </row>
    <row r="26" spans="2:8">
      <c r="B26" s="504"/>
      <c r="C26" s="504"/>
      <c r="D26" s="512" t="s">
        <v>409</v>
      </c>
      <c r="E26" s="512" t="s">
        <v>410</v>
      </c>
      <c r="F26" s="512" t="s">
        <v>411</v>
      </c>
      <c r="G26" s="504"/>
      <c r="H26" s="504"/>
    </row>
    <row r="27" spans="2:8" ht="12.75">
      <c r="B27" s="1424"/>
      <c r="C27" s="1425" t="s">
        <v>412</v>
      </c>
      <c r="D27" s="1395"/>
      <c r="E27" s="1395"/>
      <c r="F27" s="1395"/>
      <c r="G27" s="504"/>
      <c r="H27" s="504"/>
    </row>
    <row r="28" spans="2:8">
      <c r="B28" s="511"/>
      <c r="C28" s="1425" t="s">
        <v>413</v>
      </c>
      <c r="D28" s="1395"/>
      <c r="E28" s="1395"/>
      <c r="F28" s="1395"/>
      <c r="G28" s="504"/>
      <c r="H28" s="504"/>
    </row>
    <row r="29" spans="2:8" ht="12.75">
      <c r="B29" s="1463" t="s">
        <v>424</v>
      </c>
      <c r="C29" s="1426" t="s">
        <v>414</v>
      </c>
      <c r="D29" s="1396"/>
      <c r="E29" s="1397"/>
      <c r="F29" s="1396"/>
      <c r="G29" s="1406">
        <f>SUM(D29:F29)</f>
        <v>0</v>
      </c>
      <c r="H29" s="1429"/>
    </row>
    <row r="30" spans="2:8" ht="12.75">
      <c r="B30" s="511"/>
      <c r="C30" s="1427"/>
      <c r="D30" s="1407"/>
      <c r="E30" s="1408"/>
      <c r="F30" s="1407"/>
      <c r="G30" s="504"/>
      <c r="H30" s="504"/>
    </row>
    <row r="31" spans="2:8" ht="14.25">
      <c r="B31" s="504"/>
      <c r="C31" s="1428" t="s">
        <v>415</v>
      </c>
      <c r="D31" s="510">
        <v>0</v>
      </c>
      <c r="E31" s="510"/>
      <c r="F31" s="510"/>
      <c r="G31" s="510">
        <f>(D31+E31+F31)</f>
        <v>0</v>
      </c>
      <c r="H31" s="1400">
        <f>G31*1.1023</f>
        <v>0</v>
      </c>
    </row>
    <row r="32" spans="2:8" ht="14.25">
      <c r="B32" s="504"/>
      <c r="C32" s="508" t="s">
        <v>416</v>
      </c>
      <c r="D32" s="1402">
        <v>0</v>
      </c>
      <c r="E32" s="1402"/>
      <c r="F32" s="1402"/>
      <c r="G32" s="1403">
        <f>(D32+E32+F32)</f>
        <v>0</v>
      </c>
      <c r="H32" s="1403">
        <f>G32*1.1023</f>
        <v>0</v>
      </c>
    </row>
    <row r="33" spans="2:8" ht="15" thickBot="1">
      <c r="B33" s="505"/>
      <c r="C33" s="507" t="s">
        <v>423</v>
      </c>
      <c r="D33" s="1414">
        <v>0</v>
      </c>
      <c r="E33" s="1414"/>
      <c r="F33" s="1415"/>
      <c r="G33" s="1416">
        <f>(D33+E33+F33)</f>
        <v>0</v>
      </c>
      <c r="H33" s="1416">
        <f>G33*1.1023</f>
        <v>0</v>
      </c>
    </row>
    <row r="34" spans="2:8">
      <c r="B34" s="1419"/>
      <c r="C34" s="1419"/>
      <c r="D34" s="1411"/>
      <c r="E34" s="1411"/>
      <c r="F34" s="1411"/>
      <c r="G34" s="1412"/>
      <c r="H34" s="1412"/>
    </row>
    <row r="35" spans="2:8" ht="12.75">
      <c r="B35" s="126"/>
      <c r="C35" s="126"/>
      <c r="D35" s="1394" t="s">
        <v>405</v>
      </c>
      <c r="E35" s="1394" t="s">
        <v>406</v>
      </c>
      <c r="F35" s="1394" t="s">
        <v>407</v>
      </c>
      <c r="G35" s="1405"/>
      <c r="H35" s="1405"/>
    </row>
    <row r="36" spans="2:8">
      <c r="B36" s="126"/>
      <c r="C36" s="126"/>
      <c r="D36" s="512" t="s">
        <v>409</v>
      </c>
      <c r="E36" s="512" t="s">
        <v>410</v>
      </c>
      <c r="F36" s="512" t="s">
        <v>411</v>
      </c>
      <c r="G36" s="504"/>
      <c r="H36" s="504"/>
    </row>
    <row r="37" spans="2:8" ht="12.75">
      <c r="B37" s="169"/>
      <c r="C37" s="1417" t="s">
        <v>412</v>
      </c>
      <c r="D37" s="1395"/>
      <c r="E37" s="1395"/>
      <c r="F37" s="1395"/>
      <c r="G37" s="504"/>
      <c r="H37" s="504"/>
    </row>
    <row r="38" spans="2:8">
      <c r="B38" s="506"/>
      <c r="C38" s="1417" t="s">
        <v>413</v>
      </c>
      <c r="D38" s="1395"/>
      <c r="E38" s="1395"/>
      <c r="F38" s="1395"/>
      <c r="G38" s="504"/>
      <c r="H38" s="504"/>
    </row>
    <row r="39" spans="2:8" ht="12.75">
      <c r="B39" s="515" t="s">
        <v>425</v>
      </c>
      <c r="C39" s="1418" t="s">
        <v>414</v>
      </c>
      <c r="D39" s="1396"/>
      <c r="E39" s="1397"/>
      <c r="F39" s="1396"/>
      <c r="G39" s="1406">
        <f>SUM(D39:F39)</f>
        <v>0</v>
      </c>
      <c r="H39" s="1429"/>
    </row>
    <row r="40" spans="2:8" ht="12.75">
      <c r="B40" s="506"/>
      <c r="C40" s="1420"/>
      <c r="D40" s="1407"/>
      <c r="E40" s="1408"/>
      <c r="F40" s="1407"/>
      <c r="G40" s="504"/>
      <c r="H40" s="504"/>
    </row>
    <row r="41" spans="2:8" ht="14.25">
      <c r="B41" s="126"/>
      <c r="C41" s="489" t="s">
        <v>415</v>
      </c>
      <c r="D41" s="1399"/>
      <c r="E41" s="510"/>
      <c r="F41" s="510"/>
      <c r="G41" s="510">
        <f>(D41+E41+F41)</f>
        <v>0</v>
      </c>
      <c r="H41" s="1409">
        <f>G41*1.1023</f>
        <v>0</v>
      </c>
    </row>
    <row r="42" spans="2:8" ht="14.25">
      <c r="B42" s="126"/>
      <c r="C42" s="490" t="s">
        <v>416</v>
      </c>
      <c r="D42" s="1395">
        <v>0</v>
      </c>
      <c r="E42" s="1404"/>
      <c r="F42" s="1404"/>
      <c r="G42" s="1403">
        <f>(D42+E42+F42)</f>
        <v>0</v>
      </c>
      <c r="H42" s="1403">
        <f>G42*1.1023</f>
        <v>0</v>
      </c>
    </row>
    <row r="43" spans="2:8" ht="14.25">
      <c r="B43" s="126"/>
      <c r="C43" s="490" t="s">
        <v>423</v>
      </c>
      <c r="D43" s="1395">
        <v>0</v>
      </c>
      <c r="E43" s="1404"/>
      <c r="F43" s="1404"/>
      <c r="G43" s="1403">
        <f>(D43+E43+F43)</f>
        <v>0</v>
      </c>
      <c r="H43" s="1403">
        <f>G43*1.1023</f>
        <v>0</v>
      </c>
    </row>
    <row r="44" spans="2:8" ht="12" thickBot="1">
      <c r="B44" s="1421"/>
      <c r="C44" s="1421"/>
      <c r="D44" s="1410"/>
      <c r="E44" s="1410"/>
      <c r="F44" s="1410"/>
      <c r="G44" s="513"/>
      <c r="H44" s="513"/>
    </row>
    <row r="45" spans="2:8" ht="12" thickBot="1">
      <c r="B45" s="4"/>
      <c r="C45" s="4"/>
      <c r="D45" s="30"/>
      <c r="E45" s="30"/>
      <c r="F45" s="30"/>
      <c r="G45" s="30"/>
      <c r="H45" s="30"/>
    </row>
    <row r="46" spans="2:8" ht="12.75">
      <c r="B46" s="124"/>
      <c r="C46" s="491"/>
      <c r="D46" s="1464" t="s">
        <v>405</v>
      </c>
      <c r="E46" s="1464" t="s">
        <v>406</v>
      </c>
      <c r="F46" s="1464" t="s">
        <v>407</v>
      </c>
      <c r="G46" s="1465"/>
      <c r="H46" s="1466"/>
    </row>
    <row r="47" spans="2:8">
      <c r="B47" s="125"/>
      <c r="C47" s="726" t="s">
        <v>131</v>
      </c>
      <c r="D47" s="653" t="s">
        <v>409</v>
      </c>
      <c r="E47" s="653" t="s">
        <v>410</v>
      </c>
      <c r="F47" s="653" t="s">
        <v>411</v>
      </c>
      <c r="G47" s="38"/>
      <c r="H47" s="496"/>
    </row>
    <row r="48" spans="2:8" ht="12" thickBot="1">
      <c r="B48" s="1431"/>
      <c r="C48" s="498"/>
      <c r="D48" s="1467">
        <f>D7+D17+D27+D37</f>
        <v>0</v>
      </c>
      <c r="E48" s="1467">
        <f>E7+E17+E27+E37</f>
        <v>0</v>
      </c>
      <c r="F48" s="1467">
        <f>F7+F17+F27+F37</f>
        <v>0</v>
      </c>
      <c r="G48" s="498"/>
      <c r="H48" s="1215"/>
    </row>
    <row r="49" spans="2:8">
      <c r="B49" s="4"/>
      <c r="C49" s="4"/>
      <c r="D49" s="30"/>
      <c r="E49" s="30"/>
      <c r="F49" s="30"/>
      <c r="G49" s="4"/>
      <c r="H49" s="4"/>
    </row>
    <row r="50" spans="2:8">
      <c r="B50" s="4"/>
      <c r="C50" s="4"/>
      <c r="D50" s="30"/>
      <c r="E50" s="30"/>
      <c r="F50" s="30"/>
      <c r="G50" s="4"/>
      <c r="H50" s="4"/>
    </row>
    <row r="52" spans="2:8" ht="12" thickBot="1"/>
    <row r="53" spans="2:8" ht="15" thickTop="1">
      <c r="B53" s="1381"/>
      <c r="C53" s="1382" t="s">
        <v>100</v>
      </c>
      <c r="D53" s="1382" t="s">
        <v>101</v>
      </c>
      <c r="E53" s="1382" t="s">
        <v>101</v>
      </c>
      <c r="F53" s="1383" t="s">
        <v>101</v>
      </c>
      <c r="G53" s="1384"/>
    </row>
    <row r="54" spans="2:8" ht="13.5" thickBot="1">
      <c r="B54" s="1447"/>
      <c r="C54" s="1386"/>
      <c r="D54" s="1386" t="s">
        <v>102</v>
      </c>
      <c r="E54" s="1386" t="s">
        <v>103</v>
      </c>
      <c r="F54" s="1387" t="s">
        <v>426</v>
      </c>
      <c r="G54" s="1384"/>
    </row>
    <row r="55" spans="2:8" ht="12.75">
      <c r="B55" s="32"/>
      <c r="C55" s="127"/>
      <c r="D55" s="127"/>
      <c r="E55" s="127"/>
      <c r="F55" s="1434"/>
      <c r="G55" s="1384"/>
    </row>
    <row r="56" spans="2:8" ht="12.75">
      <c r="B56" s="1448" t="s">
        <v>1112</v>
      </c>
      <c r="C56" s="1435">
        <f>0</f>
        <v>0</v>
      </c>
      <c r="D56" s="1435">
        <f>0</f>
        <v>0</v>
      </c>
      <c r="E56" s="1436">
        <f>0</f>
        <v>0</v>
      </c>
      <c r="F56" s="1437">
        <f>0</f>
        <v>0</v>
      </c>
      <c r="G56" s="1388"/>
    </row>
    <row r="57" spans="2:8" ht="12.75">
      <c r="B57" s="1448"/>
      <c r="C57" s="509"/>
      <c r="D57" s="509"/>
      <c r="E57" s="1436"/>
      <c r="F57" s="1437"/>
      <c r="G57" s="1388"/>
    </row>
    <row r="58" spans="2:8" ht="12.75">
      <c r="B58" s="1448" t="s">
        <v>1113</v>
      </c>
      <c r="C58" s="1435">
        <f>D9+D19+D29+D39</f>
        <v>0</v>
      </c>
      <c r="D58" s="1435">
        <f>E58*1.1023</f>
        <v>0</v>
      </c>
      <c r="E58" s="1436">
        <f>D11+D21+D31+D41</f>
        <v>0</v>
      </c>
      <c r="F58" s="1437">
        <f>E58/1000000</f>
        <v>0</v>
      </c>
      <c r="G58" s="1388"/>
    </row>
    <row r="59" spans="2:8" ht="12.75">
      <c r="B59" s="1448"/>
      <c r="C59" s="509"/>
      <c r="D59" s="509"/>
      <c r="E59" s="1436"/>
      <c r="F59" s="1437"/>
      <c r="G59" s="1388"/>
    </row>
    <row r="60" spans="2:8" ht="12.75">
      <c r="B60" s="1448" t="s">
        <v>1114</v>
      </c>
      <c r="C60" s="1435">
        <f>E9+F9+E19+F19+E29+F29+E39+F39</f>
        <v>0</v>
      </c>
      <c r="D60" s="1435">
        <f>E60*1.1023</f>
        <v>0</v>
      </c>
      <c r="E60" s="1436">
        <f>E11+F11+E21+F21+E31+F31+E41+F41</f>
        <v>0</v>
      </c>
      <c r="F60" s="1437">
        <f>E60/1000000</f>
        <v>0</v>
      </c>
      <c r="G60" s="1388"/>
      <c r="H60" s="52"/>
    </row>
    <row r="61" spans="2:8" ht="13.5" thickBot="1">
      <c r="B61" s="500"/>
      <c r="C61" s="1438"/>
      <c r="D61" s="1438"/>
      <c r="E61" s="1439"/>
      <c r="F61" s="1440"/>
      <c r="G61" s="1389"/>
    </row>
    <row r="62" spans="2:8" ht="13.5" thickBot="1">
      <c r="B62" s="1449" t="s">
        <v>190</v>
      </c>
      <c r="C62" s="1441">
        <f>SUM(C56:C61)</f>
        <v>0</v>
      </c>
      <c r="D62" s="1441">
        <f>D56+D58+D60</f>
        <v>0</v>
      </c>
      <c r="E62" s="487">
        <f>E56+E58+E60</f>
        <v>0</v>
      </c>
      <c r="F62" s="1390">
        <f>E62/1000000</f>
        <v>0</v>
      </c>
      <c r="G62" s="1391"/>
    </row>
    <row r="63" spans="2:8" ht="12" thickBot="1">
      <c r="B63" s="488"/>
      <c r="C63" s="96"/>
      <c r="D63" s="96"/>
      <c r="E63" s="96"/>
      <c r="F63" s="97"/>
      <c r="G63" s="917"/>
    </row>
    <row r="64" spans="2:8" ht="12" thickTop="1"/>
    <row r="66" spans="2:6" ht="12" thickBot="1"/>
    <row r="67" spans="2:6" ht="15" thickTop="1">
      <c r="B67" s="1381"/>
      <c r="C67" s="1432" t="s">
        <v>100</v>
      </c>
      <c r="D67" s="1382" t="s">
        <v>427</v>
      </c>
      <c r="E67" s="1382" t="s">
        <v>427</v>
      </c>
      <c r="F67" s="1383" t="s">
        <v>427</v>
      </c>
    </row>
    <row r="68" spans="2:6" ht="13.5" thickBot="1">
      <c r="B68" s="1385"/>
      <c r="C68" s="1433"/>
      <c r="D68" s="1386" t="s">
        <v>102</v>
      </c>
      <c r="E68" s="1386" t="s">
        <v>103</v>
      </c>
      <c r="F68" s="1387" t="s">
        <v>426</v>
      </c>
    </row>
    <row r="69" spans="2:6" ht="12.75">
      <c r="B69" s="32"/>
      <c r="C69" s="127"/>
      <c r="D69" s="127"/>
      <c r="E69" s="127"/>
      <c r="F69" s="1434"/>
    </row>
    <row r="70" spans="2:6" ht="12.75">
      <c r="B70" s="1448" t="s">
        <v>1112</v>
      </c>
      <c r="C70" s="1435">
        <v>0</v>
      </c>
      <c r="D70" s="1435">
        <f>0</f>
        <v>0</v>
      </c>
      <c r="E70" s="1451">
        <f>0</f>
        <v>0</v>
      </c>
      <c r="F70" s="1437">
        <f>0</f>
        <v>0</v>
      </c>
    </row>
    <row r="71" spans="2:6" ht="12.75">
      <c r="B71" s="1448"/>
      <c r="C71" s="509"/>
      <c r="D71" s="509"/>
      <c r="E71" s="1451"/>
      <c r="F71" s="1437"/>
    </row>
    <row r="72" spans="2:6" ht="12.75">
      <c r="B72" s="1448" t="s">
        <v>1113</v>
      </c>
      <c r="C72" s="1435"/>
      <c r="D72" s="1435">
        <f>E72*1.1023</f>
        <v>0</v>
      </c>
      <c r="E72" s="1451">
        <f>D12+D22+D32+D42</f>
        <v>0</v>
      </c>
      <c r="F72" s="1437">
        <f>(E72/1000000)*21</f>
        <v>0</v>
      </c>
    </row>
    <row r="73" spans="2:6" ht="12.75">
      <c r="B73" s="1448"/>
      <c r="C73" s="509"/>
      <c r="D73" s="509"/>
      <c r="E73" s="1436"/>
      <c r="F73" s="1437"/>
    </row>
    <row r="74" spans="2:6" ht="12.75">
      <c r="B74" s="1448" t="s">
        <v>1114</v>
      </c>
      <c r="C74" s="1435"/>
      <c r="D74" s="1452">
        <f>E74*1.1023</f>
        <v>0</v>
      </c>
      <c r="E74" s="1453">
        <f>F12+E12+F22+E22+F32+E32+F42+E42</f>
        <v>0</v>
      </c>
      <c r="F74" s="1437">
        <f>(E74/1000000)*21</f>
        <v>0</v>
      </c>
    </row>
    <row r="75" spans="2:6" ht="13.5" thickBot="1">
      <c r="B75" s="500"/>
      <c r="C75" s="1438"/>
      <c r="D75" s="1438"/>
      <c r="E75" s="1439"/>
      <c r="F75" s="1440"/>
    </row>
    <row r="76" spans="2:6" ht="13.5" thickBot="1">
      <c r="B76" s="1450" t="s">
        <v>190</v>
      </c>
      <c r="C76" s="1454"/>
      <c r="D76" s="1455">
        <f>D70+D72+D74</f>
        <v>0</v>
      </c>
      <c r="E76" s="1456">
        <f>D76*0.9072</f>
        <v>0</v>
      </c>
      <c r="F76" s="1457">
        <f>(E76/1000000)*21</f>
        <v>0</v>
      </c>
    </row>
    <row r="77" spans="2:6" ht="12" thickBot="1">
      <c r="B77" s="26"/>
      <c r="C77" s="1458"/>
      <c r="D77" s="1458"/>
      <c r="E77" s="1458"/>
      <c r="F77" s="1459"/>
    </row>
    <row r="78" spans="2:6" ht="12" thickTop="1"/>
    <row r="79" spans="2:6" ht="12" thickBot="1"/>
    <row r="80" spans="2:6" ht="15" thickTop="1">
      <c r="B80" s="1381"/>
      <c r="C80" s="1432" t="s">
        <v>100</v>
      </c>
      <c r="D80" s="1382" t="s">
        <v>428</v>
      </c>
      <c r="E80" s="1382" t="s">
        <v>428</v>
      </c>
      <c r="F80" s="1383" t="s">
        <v>428</v>
      </c>
    </row>
    <row r="81" spans="2:6" ht="13.5" thickBot="1">
      <c r="B81" s="1447"/>
      <c r="C81" s="1386"/>
      <c r="D81" s="1386" t="s">
        <v>102</v>
      </c>
      <c r="E81" s="1386" t="s">
        <v>103</v>
      </c>
      <c r="F81" s="1387" t="s">
        <v>426</v>
      </c>
    </row>
    <row r="82" spans="2:6" ht="12.75">
      <c r="B82" s="32"/>
      <c r="C82" s="127"/>
      <c r="D82" s="127"/>
      <c r="E82" s="127"/>
      <c r="F82" s="1434"/>
    </row>
    <row r="83" spans="2:6" ht="12.75">
      <c r="B83" s="1448" t="s">
        <v>1112</v>
      </c>
      <c r="C83" s="1435">
        <v>0</v>
      </c>
      <c r="D83" s="1435">
        <f>0</f>
        <v>0</v>
      </c>
      <c r="E83" s="1436">
        <f>0</f>
        <v>0</v>
      </c>
      <c r="F83" s="1437">
        <f>0</f>
        <v>0</v>
      </c>
    </row>
    <row r="84" spans="2:6" ht="12.75">
      <c r="B84" s="1448"/>
      <c r="C84" s="509"/>
      <c r="D84" s="509"/>
      <c r="E84" s="1436"/>
      <c r="F84" s="1437"/>
    </row>
    <row r="85" spans="2:6" ht="12.75">
      <c r="B85" s="1448" t="s">
        <v>1113</v>
      </c>
      <c r="C85" s="1435"/>
      <c r="D85" s="1435">
        <f>E85*1.1023</f>
        <v>0</v>
      </c>
      <c r="E85" s="1436">
        <f>D13+D23+D33+D43</f>
        <v>0</v>
      </c>
      <c r="F85" s="1437">
        <f>(E85/1000000)*310</f>
        <v>0</v>
      </c>
    </row>
    <row r="86" spans="2:6" ht="12.75">
      <c r="B86" s="1448"/>
      <c r="C86" s="509"/>
      <c r="D86" s="509"/>
      <c r="E86" s="1436"/>
      <c r="F86" s="1437"/>
    </row>
    <row r="87" spans="2:6" ht="12.75">
      <c r="B87" s="1448" t="s">
        <v>1114</v>
      </c>
      <c r="C87" s="1435"/>
      <c r="D87" s="1442">
        <f>E87*1.1023</f>
        <v>0</v>
      </c>
      <c r="E87" s="1443">
        <f>F13+E13+F23+E23+F33+E33+F43+E43</f>
        <v>0</v>
      </c>
      <c r="F87" s="1437">
        <f>(E87/1000000)*310</f>
        <v>0</v>
      </c>
    </row>
    <row r="88" spans="2:6" ht="13.5" thickBot="1">
      <c r="B88" s="500"/>
      <c r="C88" s="1438"/>
      <c r="D88" s="1438"/>
      <c r="E88" s="1439"/>
      <c r="F88" s="1440"/>
    </row>
    <row r="89" spans="2:6" ht="13.5" thickBot="1">
      <c r="B89" s="1460" t="s">
        <v>190</v>
      </c>
      <c r="C89" s="1461"/>
      <c r="D89" s="1444">
        <f>D83+D85+D87</f>
        <v>0</v>
      </c>
      <c r="E89" s="1445">
        <f>D89*0.9072</f>
        <v>0</v>
      </c>
      <c r="F89" s="1446">
        <f>(E89/1000000)*310</f>
        <v>0</v>
      </c>
    </row>
    <row r="90" spans="2:6" ht="12" thickBot="1">
      <c r="B90" s="488"/>
      <c r="C90" s="96"/>
      <c r="D90" s="96"/>
      <c r="E90" s="96"/>
      <c r="F90" s="97"/>
    </row>
    <row r="91" spans="2:6" ht="12" thickTop="1"/>
  </sheetData>
  <sheetProtection password="CD58" sheet="1" objects="1" scenarios="1"/>
  <mergeCells count="1">
    <mergeCell ref="D4:F4"/>
  </mergeCells>
  <phoneticPr fontId="0" type="noConversion"/>
  <pageMargins left="0.75" right="0.75" top="1" bottom="1" header="0.5" footer="0.5"/>
  <pageSetup orientation="portrait" r:id="rId1"/>
  <headerFooter alignWithMargins="0"/>
  <drawing r:id="rId2"/>
</worksheet>
</file>

<file path=xl/worksheets/sheet4.xml><?xml version="1.0" encoding="utf-8"?>
<worksheet xmlns="http://schemas.openxmlformats.org/spreadsheetml/2006/main" xmlns:r="http://schemas.openxmlformats.org/officeDocument/2006/relationships">
  <dimension ref="A2:O74"/>
  <sheetViews>
    <sheetView topLeftCell="A37" workbookViewId="0">
      <selection activeCell="J41" sqref="J41"/>
    </sheetView>
  </sheetViews>
  <sheetFormatPr defaultRowHeight="11.25"/>
  <cols>
    <col min="1" max="1" width="2.5" customWidth="1"/>
    <col min="2" max="2" width="11.6640625" customWidth="1"/>
    <col min="3" max="3" width="33.33203125" bestFit="1" customWidth="1"/>
    <col min="4" max="4" width="16.5" customWidth="1"/>
    <col min="5" max="7" width="16" bestFit="1" customWidth="1"/>
    <col min="8" max="8" width="17.83203125" bestFit="1" customWidth="1"/>
    <col min="9" max="9" width="15.5" customWidth="1"/>
    <col min="10" max="10" width="12" bestFit="1" customWidth="1"/>
    <col min="11" max="11" width="14" bestFit="1" customWidth="1"/>
    <col min="13" max="13" width="12.33203125" bestFit="1" customWidth="1"/>
    <col min="14" max="14" width="11.5" bestFit="1" customWidth="1"/>
    <col min="15" max="15" width="10.5" bestFit="1" customWidth="1"/>
  </cols>
  <sheetData>
    <row r="2" spans="1:13" ht="15">
      <c r="A2" s="1639"/>
      <c r="B2" s="1639"/>
      <c r="C2" s="1639"/>
      <c r="D2" s="1639"/>
      <c r="E2" s="1639"/>
      <c r="F2" s="1639"/>
      <c r="G2" s="1639"/>
      <c r="H2" s="1639"/>
      <c r="I2" s="1639"/>
      <c r="J2" s="1639"/>
      <c r="K2" s="1639"/>
      <c r="L2" s="1639"/>
      <c r="M2" s="1639"/>
    </row>
    <row r="3" spans="1:13" ht="15.75" thickBot="1">
      <c r="A3" s="1639"/>
      <c r="B3" s="1639"/>
      <c r="C3" s="1639"/>
      <c r="D3" s="1639"/>
      <c r="E3" s="1639"/>
      <c r="F3" s="1639"/>
      <c r="G3" s="3499" t="s">
        <v>429</v>
      </c>
      <c r="H3" s="3499"/>
      <c r="I3" s="3499"/>
      <c r="J3" s="3499"/>
      <c r="K3" s="1640"/>
      <c r="L3" s="1639"/>
      <c r="M3" s="1639"/>
    </row>
    <row r="4" spans="1:13" ht="18">
      <c r="A4" s="1639"/>
      <c r="B4" s="1639"/>
      <c r="C4" s="1707" t="s">
        <v>1370</v>
      </c>
      <c r="D4" s="1639"/>
      <c r="E4" s="1639"/>
      <c r="F4" s="1641" t="s">
        <v>1236</v>
      </c>
      <c r="G4" s="1642" t="s">
        <v>396</v>
      </c>
      <c r="H4" s="1642" t="s">
        <v>396</v>
      </c>
      <c r="I4" s="1642" t="s">
        <v>396</v>
      </c>
      <c r="J4" s="1642" t="s">
        <v>396</v>
      </c>
      <c r="K4" s="1643" t="s">
        <v>396</v>
      </c>
      <c r="L4" s="1639"/>
      <c r="M4" s="1639"/>
    </row>
    <row r="5" spans="1:13" ht="18">
      <c r="A5" s="1639"/>
      <c r="B5" s="1639"/>
      <c r="C5" s="1644"/>
      <c r="D5" s="1639"/>
      <c r="E5" s="1639"/>
      <c r="F5" s="1645" t="s">
        <v>1237</v>
      </c>
      <c r="G5" s="1646">
        <v>1.0999999999999999E-2</v>
      </c>
      <c r="H5" s="1646">
        <v>3.0000000000000001E-3</v>
      </c>
      <c r="I5" s="1646">
        <v>3.0000000000000001E-3</v>
      </c>
      <c r="J5" s="1646">
        <v>1E-3</v>
      </c>
      <c r="K5" s="1647">
        <v>3.2000000000000001E-2</v>
      </c>
      <c r="L5" s="1639"/>
      <c r="M5" s="1639"/>
    </row>
    <row r="6" spans="1:13" ht="18">
      <c r="A6" s="1639"/>
      <c r="B6" s="1639"/>
      <c r="C6" s="1644"/>
      <c r="D6" s="1639"/>
      <c r="E6" s="1639"/>
      <c r="F6" s="1645" t="s">
        <v>1238</v>
      </c>
      <c r="G6" s="1646">
        <v>1.6000000000000001E-3</v>
      </c>
      <c r="H6" s="1646">
        <v>5.9999999999999995E-4</v>
      </c>
      <c r="I6" s="1646">
        <v>6.0000000000000001E-3</v>
      </c>
      <c r="J6" s="1646">
        <v>1E-3</v>
      </c>
      <c r="K6" s="1648">
        <v>4.1999999999999997E-3</v>
      </c>
      <c r="L6" s="1639"/>
      <c r="M6" s="1639"/>
    </row>
    <row r="7" spans="1:13" ht="15.75" thickBot="1">
      <c r="A7" s="1639"/>
      <c r="B7" s="1639"/>
      <c r="C7" s="1639"/>
      <c r="D7" s="1639"/>
      <c r="E7" s="1639"/>
      <c r="F7" s="1649"/>
      <c r="G7" s="1650" t="s">
        <v>1112</v>
      </c>
      <c r="H7" s="1650" t="s">
        <v>430</v>
      </c>
      <c r="I7" s="1650" t="s">
        <v>431</v>
      </c>
      <c r="J7" s="1650" t="s">
        <v>77</v>
      </c>
      <c r="K7" s="1651" t="s">
        <v>272</v>
      </c>
      <c r="L7" s="1639"/>
      <c r="M7" s="1639"/>
    </row>
    <row r="8" spans="1:13" ht="15">
      <c r="A8" s="1639"/>
      <c r="B8" s="1639"/>
      <c r="C8" s="1639"/>
      <c r="D8" s="1639"/>
      <c r="E8" s="1639"/>
      <c r="F8" s="1639"/>
      <c r="G8" s="1644"/>
      <c r="H8" s="1644"/>
      <c r="I8" s="1644"/>
      <c r="J8" s="1644"/>
      <c r="K8" s="1644"/>
      <c r="L8" s="1639"/>
      <c r="M8" s="1639"/>
    </row>
    <row r="9" spans="1:13" ht="15.75" thickBot="1">
      <c r="A9" s="1639"/>
      <c r="B9" s="1639"/>
      <c r="C9" s="1639"/>
      <c r="D9" s="1639"/>
      <c r="E9" s="1639"/>
      <c r="F9" s="1639"/>
      <c r="G9" s="1639"/>
      <c r="H9" s="1639"/>
      <c r="I9" s="1639"/>
      <c r="J9" s="1639"/>
      <c r="K9" s="1639"/>
      <c r="L9" s="1639"/>
      <c r="M9" s="1639"/>
    </row>
    <row r="10" spans="1:13" ht="15">
      <c r="A10" s="1639"/>
      <c r="B10" s="1652"/>
      <c r="C10" s="1653"/>
      <c r="D10" s="3500">
        <v>2017</v>
      </c>
      <c r="E10" s="3501"/>
      <c r="F10" s="3501"/>
      <c r="G10" s="3502"/>
      <c r="H10" s="3503"/>
      <c r="I10" s="1654" t="s">
        <v>190</v>
      </c>
      <c r="J10" s="1655" t="s">
        <v>432</v>
      </c>
      <c r="K10" s="1656" t="s">
        <v>433</v>
      </c>
      <c r="L10" s="1639"/>
      <c r="M10" s="1639"/>
    </row>
    <row r="11" spans="1:13" ht="15">
      <c r="A11" s="1639"/>
      <c r="B11" s="1657"/>
      <c r="C11" s="1658"/>
      <c r="D11" s="1659" t="s">
        <v>1112</v>
      </c>
      <c r="E11" s="1659" t="s">
        <v>434</v>
      </c>
      <c r="F11" s="1659" t="s">
        <v>435</v>
      </c>
      <c r="G11" s="1660" t="s">
        <v>272</v>
      </c>
      <c r="H11" s="1660" t="s">
        <v>407</v>
      </c>
      <c r="I11" s="1791" t="s">
        <v>1281</v>
      </c>
      <c r="J11" s="1661"/>
      <c r="K11" s="1662"/>
      <c r="L11" s="1639"/>
      <c r="M11" s="1639"/>
    </row>
    <row r="12" spans="1:13" ht="18" thickBot="1">
      <c r="A12" s="1639"/>
      <c r="B12" s="1663"/>
      <c r="C12" s="1658"/>
      <c r="D12" s="1664" t="s">
        <v>1122</v>
      </c>
      <c r="E12" s="1664" t="s">
        <v>409</v>
      </c>
      <c r="F12" s="1664" t="s">
        <v>409</v>
      </c>
      <c r="G12" s="1665" t="s">
        <v>1122</v>
      </c>
      <c r="H12" s="1665" t="s">
        <v>1239</v>
      </c>
      <c r="I12" s="1664"/>
      <c r="J12" s="1664"/>
      <c r="K12" s="1665"/>
      <c r="L12" s="1639"/>
      <c r="M12" s="1639"/>
    </row>
    <row r="13" spans="1:13" ht="15">
      <c r="A13" s="1639"/>
      <c r="B13" s="1666"/>
      <c r="C13" s="1719" t="s">
        <v>412</v>
      </c>
      <c r="D13" s="1720">
        <v>198245</v>
      </c>
      <c r="E13" s="1754">
        <v>0</v>
      </c>
      <c r="F13" s="1720">
        <v>0</v>
      </c>
      <c r="G13" s="1754">
        <v>0</v>
      </c>
      <c r="H13" s="1720">
        <f>1203.3*1000000</f>
        <v>1203300000</v>
      </c>
      <c r="I13" s="1720"/>
      <c r="J13" s="1721"/>
      <c r="K13" s="1722"/>
      <c r="L13" s="1639"/>
      <c r="M13" s="1639"/>
    </row>
    <row r="14" spans="1:13" ht="15">
      <c r="A14" s="1639"/>
      <c r="B14" s="1668"/>
      <c r="C14" s="1667" t="s">
        <v>413</v>
      </c>
      <c r="D14" s="1723">
        <v>10909</v>
      </c>
      <c r="E14" s="1723">
        <v>141324</v>
      </c>
      <c r="F14" s="1723">
        <v>137000</v>
      </c>
      <c r="G14" s="1724">
        <v>4643</v>
      </c>
      <c r="H14" s="1723">
        <v>1044</v>
      </c>
      <c r="I14" s="1723"/>
      <c r="J14" s="1725"/>
      <c r="K14" s="1726"/>
      <c r="L14" s="1639"/>
      <c r="M14" s="1639"/>
    </row>
    <row r="15" spans="1:13" ht="15.75" thickBot="1">
      <c r="A15" s="1639"/>
      <c r="B15" s="1669"/>
      <c r="C15" s="1670" t="s">
        <v>414</v>
      </c>
      <c r="D15" s="1671">
        <f>+D13*D14*2000/1000000</f>
        <v>4325309.41</v>
      </c>
      <c r="E15" s="1672">
        <f>+E13*E14/1000000</f>
        <v>0</v>
      </c>
      <c r="F15" s="1799">
        <f>+F13*F14/1000000</f>
        <v>0</v>
      </c>
      <c r="G15" s="1674">
        <f>+G13*G14*2000/1000000</f>
        <v>0</v>
      </c>
      <c r="H15" s="1673">
        <f>+H13*H14/1000000</f>
        <v>1256245.2</v>
      </c>
      <c r="I15" s="1673">
        <f>SUM(D15:H15)</f>
        <v>5581554.6100000003</v>
      </c>
      <c r="J15" s="1727"/>
      <c r="K15" s="1675"/>
      <c r="L15" s="1639"/>
      <c r="M15" s="1790"/>
    </row>
    <row r="16" spans="1:13" ht="15.75" thickBot="1">
      <c r="A16" s="1639"/>
      <c r="B16" s="1676"/>
      <c r="C16" s="1677"/>
      <c r="D16" s="1728"/>
      <c r="E16" s="1728"/>
      <c r="F16" s="1728"/>
      <c r="G16" s="1728"/>
      <c r="H16" s="1728"/>
      <c r="I16" s="1728"/>
      <c r="J16" s="1729"/>
      <c r="K16" s="1678"/>
      <c r="L16" s="1639"/>
      <c r="M16" s="1639"/>
    </row>
    <row r="17" spans="1:15" ht="15">
      <c r="A17" s="1639"/>
      <c r="B17" s="1657"/>
      <c r="C17" s="1657"/>
      <c r="D17" s="1730"/>
      <c r="E17" s="1730"/>
      <c r="F17" s="1730"/>
      <c r="G17" s="1732"/>
      <c r="H17" s="1730"/>
      <c r="I17" s="1730"/>
      <c r="J17" s="1730"/>
      <c r="K17" s="1731"/>
      <c r="L17" s="1639"/>
      <c r="M17" s="1792"/>
      <c r="N17" s="1793"/>
      <c r="O17" s="1793"/>
    </row>
    <row r="18" spans="1:15" ht="18">
      <c r="A18" s="1639"/>
      <c r="B18" s="1657"/>
      <c r="C18" s="1743" t="s">
        <v>1240</v>
      </c>
      <c r="D18" s="1744">
        <f>(+D$15/I$15)*K18</f>
        <v>76227.305577727995</v>
      </c>
      <c r="E18" s="1745">
        <f>(+E$15/I$15)*K18</f>
        <v>0</v>
      </c>
      <c r="F18" s="1800">
        <f>(+F$15/I$15)*K18</f>
        <v>0</v>
      </c>
      <c r="G18" s="1745">
        <f>(+G$15/I$15)*K18</f>
        <v>0</v>
      </c>
      <c r="H18" s="1746">
        <f>(+H$15/I$15)*K18</f>
        <v>22139.499782271996</v>
      </c>
      <c r="I18" s="1747">
        <v>687303</v>
      </c>
      <c r="J18" s="1747">
        <v>0.14312</v>
      </c>
      <c r="K18" s="1748">
        <f>I18*J18</f>
        <v>98366.805359999998</v>
      </c>
      <c r="L18" s="1639"/>
      <c r="M18" s="1790"/>
      <c r="N18" s="14"/>
      <c r="O18" s="14"/>
    </row>
    <row r="19" spans="1:15" ht="18">
      <c r="A19" s="1639"/>
      <c r="B19" s="1679" t="s">
        <v>436</v>
      </c>
      <c r="C19" s="1680" t="s">
        <v>1241</v>
      </c>
      <c r="D19" s="1708">
        <f>(+D$15/I$15)*K19</f>
        <v>5.9701701567563328</v>
      </c>
      <c r="E19" s="1733">
        <f>(+E$15/I$15)*K19</f>
        <v>0</v>
      </c>
      <c r="F19" s="1801">
        <f>(+F$15/I$15)*K19</f>
        <v>0</v>
      </c>
      <c r="G19" s="1733">
        <f>(+G$15/I$15)*K19</f>
        <v>0</v>
      </c>
      <c r="H19" s="1734">
        <f>(+H$15/I$15)*K19</f>
        <v>1.7339794432436662</v>
      </c>
      <c r="I19" s="1709">
        <v>53.83</v>
      </c>
      <c r="J19" s="1709">
        <v>0.14312</v>
      </c>
      <c r="K19" s="1741">
        <f>I19*J19</f>
        <v>7.7041496</v>
      </c>
      <c r="L19" s="1639"/>
      <c r="M19" s="14"/>
      <c r="N19" s="14"/>
      <c r="O19" s="14"/>
    </row>
    <row r="20" spans="1:15" ht="18.75" thickBot="1">
      <c r="A20" s="1639"/>
      <c r="B20" s="1663"/>
      <c r="C20" s="1681" t="s">
        <v>1242</v>
      </c>
      <c r="D20" s="1710">
        <f>(+D$15/I$15)*K20</f>
        <v>0.86175407984389207</v>
      </c>
      <c r="E20" s="1735">
        <f>(+E$15/I$15)*K20</f>
        <v>0</v>
      </c>
      <c r="F20" s="1802">
        <f>(+F$15/I$15)*K20</f>
        <v>0</v>
      </c>
      <c r="G20" s="1735">
        <f>(+G$15/I$15)*K20</f>
        <v>0</v>
      </c>
      <c r="H20" s="1736">
        <f>(+H$15/I$15)*K20</f>
        <v>0.25028832015610786</v>
      </c>
      <c r="I20" s="1711">
        <v>7.77</v>
      </c>
      <c r="J20" s="1711">
        <v>0.14312</v>
      </c>
      <c r="K20" s="1742">
        <f>I20*J20</f>
        <v>1.1120424</v>
      </c>
      <c r="L20" s="1639"/>
      <c r="M20" s="1790"/>
      <c r="N20" s="14"/>
      <c r="O20" s="14"/>
    </row>
    <row r="21" spans="1:15" ht="15">
      <c r="A21" s="1639"/>
      <c r="B21" s="1657"/>
      <c r="C21" s="1715"/>
      <c r="D21" s="1716"/>
      <c r="E21" s="1737"/>
      <c r="F21" s="1803"/>
      <c r="G21" s="1737"/>
      <c r="H21" s="1738"/>
      <c r="I21" s="1716"/>
      <c r="J21" s="1716"/>
      <c r="K21" s="1716"/>
      <c r="L21" s="1639"/>
      <c r="M21" s="1639"/>
    </row>
    <row r="22" spans="1:15" ht="18">
      <c r="A22" s="1639"/>
      <c r="B22" s="1682"/>
      <c r="C22" s="1743" t="s">
        <v>1240</v>
      </c>
      <c r="D22" s="1747">
        <f>(+D$15/I$15)*K22</f>
        <v>444815.51513621659</v>
      </c>
      <c r="E22" s="1745">
        <f>(+E$15/I$15)*K22</f>
        <v>0</v>
      </c>
      <c r="F22" s="1800">
        <f>(+F$15/I$15)*K22</f>
        <v>0</v>
      </c>
      <c r="G22" s="1745">
        <f>(+G$15/I$15)*K22</f>
        <v>0</v>
      </c>
      <c r="H22" s="1746">
        <f>(+H$15/I$15)*K22</f>
        <v>129192.45834378341</v>
      </c>
      <c r="I22" s="1747">
        <v>687303</v>
      </c>
      <c r="J22" s="1747">
        <v>0.83516000000000001</v>
      </c>
      <c r="K22" s="1747">
        <f>I22*J22</f>
        <v>574007.97348000004</v>
      </c>
      <c r="L22" s="1639"/>
      <c r="M22" s="1639"/>
    </row>
    <row r="23" spans="1:15" ht="18">
      <c r="A23" s="1639"/>
      <c r="B23" s="1679" t="s">
        <v>437</v>
      </c>
      <c r="C23" s="1717" t="s">
        <v>1241</v>
      </c>
      <c r="D23" s="1709">
        <f>(+D$15/I$15)*K23</f>
        <v>34.838228815795269</v>
      </c>
      <c r="E23" s="1733">
        <f>(+E$15/I$15)*K23</f>
        <v>0</v>
      </c>
      <c r="F23" s="1801">
        <f>(+F$15/I$15)*K23</f>
        <v>0</v>
      </c>
      <c r="G23" s="1733">
        <f>(+G$15/I$15)*K23</f>
        <v>0</v>
      </c>
      <c r="H23" s="1734">
        <f>(+H$15/I$15)*K23</f>
        <v>10.118433984204724</v>
      </c>
      <c r="I23" s="1709">
        <v>53.83</v>
      </c>
      <c r="J23" s="1709">
        <v>0.83516000000000001</v>
      </c>
      <c r="K23" s="1709">
        <f>I23*J23</f>
        <v>44.956662799999997</v>
      </c>
      <c r="L23" s="1639"/>
      <c r="M23" s="1639"/>
    </row>
    <row r="24" spans="1:15" ht="18.75" thickBot="1">
      <c r="A24" s="1639"/>
      <c r="B24" s="1663"/>
      <c r="C24" s="1718" t="s">
        <v>1243</v>
      </c>
      <c r="D24" s="1711">
        <f>(+D$15/I$15)*K24</f>
        <v>5.0286650176245447</v>
      </c>
      <c r="E24" s="1735">
        <f>(+E$15/I$15)*K24</f>
        <v>0</v>
      </c>
      <c r="F24" s="1802">
        <f>(+F$15/I$15)*K24</f>
        <v>0</v>
      </c>
      <c r="G24" s="1735">
        <f>(+G$15/I$15)*K24</f>
        <v>0</v>
      </c>
      <c r="H24" s="1736">
        <f>(+H$15/I$15)*K24</f>
        <v>1.4605281823754546</v>
      </c>
      <c r="I24" s="1711">
        <v>7.77</v>
      </c>
      <c r="J24" s="1711">
        <v>0.83516000000000001</v>
      </c>
      <c r="K24" s="1711">
        <f>I24*J24</f>
        <v>6.4891931999999999</v>
      </c>
      <c r="L24" s="1639"/>
      <c r="M24" s="1639"/>
    </row>
    <row r="25" spans="1:15" ht="15.75" thickBot="1">
      <c r="A25" s="1639"/>
      <c r="B25" s="1657"/>
      <c r="C25" s="1657"/>
      <c r="D25" s="1712"/>
      <c r="E25" s="1739"/>
      <c r="F25" s="1804"/>
      <c r="G25" s="1739"/>
      <c r="H25" s="1740"/>
      <c r="I25" s="1713"/>
      <c r="J25" s="1713"/>
      <c r="K25" s="1714"/>
      <c r="L25" s="1639"/>
      <c r="M25" s="1639"/>
    </row>
    <row r="26" spans="1:15" ht="18">
      <c r="A26" s="1639"/>
      <c r="B26" s="1652"/>
      <c r="C26" s="1749" t="s">
        <v>1240</v>
      </c>
      <c r="D26" s="1750">
        <f>(+D$15/I$15)*K26</f>
        <v>11568.313842567441</v>
      </c>
      <c r="E26" s="1751">
        <f>(+E$15/I$15)*K26</f>
        <v>0</v>
      </c>
      <c r="F26" s="1795">
        <f>(+F$15/I$15)*K26</f>
        <v>0</v>
      </c>
      <c r="G26" s="1751">
        <f>(+G$15/I$15)*K26</f>
        <v>0</v>
      </c>
      <c r="H26" s="1750">
        <f>(+H$15/I$15)*K26</f>
        <v>3359.9073174325581</v>
      </c>
      <c r="I26" s="1752">
        <v>687303</v>
      </c>
      <c r="J26" s="1796">
        <v>2.172E-2</v>
      </c>
      <c r="K26" s="1795">
        <f>I26*J26</f>
        <v>14928.221159999999</v>
      </c>
      <c r="L26" s="1639"/>
      <c r="M26" s="1683"/>
    </row>
    <row r="27" spans="1:15" ht="18">
      <c r="A27" s="1639"/>
      <c r="B27" s="1679" t="s">
        <v>438</v>
      </c>
      <c r="C27" s="1717" t="s">
        <v>1241</v>
      </c>
      <c r="D27" s="1709">
        <f>(+D$15/I$15)*K27</f>
        <v>0.90603756152003589</v>
      </c>
      <c r="E27" s="1733">
        <f>(+E$15/I$15)*K27</f>
        <v>0</v>
      </c>
      <c r="F27" s="1801">
        <f>(+F$15/I$15)*K27</f>
        <v>0</v>
      </c>
      <c r="G27" s="1733">
        <f>(+G$15/I$15)*K27</f>
        <v>0</v>
      </c>
      <c r="H27" s="1734">
        <f>(+H$15/I$15)*K27</f>
        <v>0.26315003847996388</v>
      </c>
      <c r="I27" s="1709">
        <v>53.83</v>
      </c>
      <c r="J27" s="1797">
        <v>2.172E-2</v>
      </c>
      <c r="K27" s="1734">
        <f>I27*J27</f>
        <v>1.1691875999999999</v>
      </c>
      <c r="L27" s="1639"/>
      <c r="M27" s="1639"/>
    </row>
    <row r="28" spans="1:15" ht="18.75" thickBot="1">
      <c r="A28" s="1639"/>
      <c r="B28" s="1663"/>
      <c r="C28" s="1718" t="s">
        <v>1242</v>
      </c>
      <c r="D28" s="1711">
        <f>(+D$15/I$15)*K28</f>
        <v>0.13078045426362028</v>
      </c>
      <c r="E28" s="1735">
        <f>(+E$15/I$15)*K28</f>
        <v>0</v>
      </c>
      <c r="F28" s="1802">
        <f>(+F$15/I$15)*K28</f>
        <v>0</v>
      </c>
      <c r="G28" s="1735">
        <f>(+G$15/I$15)*K28</f>
        <v>0</v>
      </c>
      <c r="H28" s="1736">
        <f>(+H$15/I$15)*K28</f>
        <v>3.7983945736379698E-2</v>
      </c>
      <c r="I28" s="1711">
        <v>7.77</v>
      </c>
      <c r="J28" s="1798">
        <v>2.172E-2</v>
      </c>
      <c r="K28" s="1736">
        <f>I28*J28</f>
        <v>0.16876439999999998</v>
      </c>
      <c r="L28" s="1639"/>
      <c r="M28" s="1639"/>
    </row>
    <row r="29" spans="1:15" ht="15.75" thickBot="1">
      <c r="A29" s="1639"/>
      <c r="B29" s="1684"/>
      <c r="C29" s="1685"/>
      <c r="D29" s="1686"/>
      <c r="E29" s="1686"/>
      <c r="F29" s="1686"/>
      <c r="G29" s="1686"/>
      <c r="H29" s="1686"/>
      <c r="I29" s="1686"/>
      <c r="J29" s="1686"/>
      <c r="K29" s="1687"/>
      <c r="L29" s="1639"/>
      <c r="M29" s="1639"/>
    </row>
    <row r="30" spans="1:15" ht="15">
      <c r="A30" s="1639"/>
      <c r="B30" s="1639"/>
      <c r="C30" s="1639"/>
      <c r="D30" s="1639"/>
      <c r="E30" s="1639"/>
      <c r="F30" s="1639"/>
      <c r="G30" s="1639"/>
      <c r="H30" s="1639"/>
      <c r="I30" s="1639"/>
      <c r="J30" s="1639"/>
      <c r="K30" s="1639"/>
      <c r="L30" s="1639"/>
      <c r="M30" s="1639"/>
    </row>
    <row r="31" spans="1:15" ht="15">
      <c r="A31" s="1639"/>
      <c r="B31" s="1639"/>
      <c r="C31" s="1639"/>
      <c r="D31" s="1639"/>
      <c r="E31" s="1639"/>
      <c r="F31" s="1639"/>
      <c r="G31" s="1639"/>
      <c r="H31" s="1639"/>
      <c r="I31" s="1639"/>
      <c r="J31" s="1639"/>
      <c r="K31" s="1639"/>
      <c r="L31" s="1639"/>
      <c r="M31" s="1639"/>
    </row>
    <row r="32" spans="1:15" ht="15.75" thickBot="1">
      <c r="A32" s="1639"/>
      <c r="B32" s="1639"/>
      <c r="C32" s="1639"/>
      <c r="D32" s="1639"/>
      <c r="E32" s="1639"/>
      <c r="F32" s="1639"/>
      <c r="G32" s="1639"/>
      <c r="H32" s="1639"/>
      <c r="I32" s="1639"/>
      <c r="J32" s="1639"/>
      <c r="L32" s="1794"/>
      <c r="M32" s="1639"/>
    </row>
    <row r="33" spans="1:13" ht="18.75" thickTop="1">
      <c r="A33" s="1639"/>
      <c r="B33" s="1639"/>
      <c r="C33" s="1688"/>
      <c r="D33" s="1689" t="s">
        <v>100</v>
      </c>
      <c r="E33" s="1689" t="s">
        <v>1244</v>
      </c>
      <c r="F33" s="1689" t="s">
        <v>1244</v>
      </c>
      <c r="G33" s="1690" t="s">
        <v>1244</v>
      </c>
      <c r="H33" s="1691"/>
      <c r="I33" s="1639"/>
      <c r="J33" s="1639"/>
      <c r="K33" s="1639"/>
      <c r="L33" s="1639"/>
      <c r="M33" s="1639"/>
    </row>
    <row r="34" spans="1:13" ht="18.75" thickBot="1">
      <c r="A34" s="1639"/>
      <c r="B34" s="1639"/>
      <c r="C34" s="1692"/>
      <c r="D34" s="1693"/>
      <c r="E34" s="1693" t="s">
        <v>102</v>
      </c>
      <c r="F34" s="1693" t="s">
        <v>103</v>
      </c>
      <c r="G34" s="1694" t="s">
        <v>1246</v>
      </c>
      <c r="H34" s="1691"/>
      <c r="I34" s="1639"/>
      <c r="J34" s="1639"/>
      <c r="K34" s="1639"/>
      <c r="L34" s="1639"/>
      <c r="M34" s="1639"/>
    </row>
    <row r="35" spans="1:13" ht="15">
      <c r="A35" s="1639"/>
      <c r="B35" s="1639"/>
      <c r="C35" s="499"/>
      <c r="D35" s="493"/>
      <c r="E35" s="493"/>
      <c r="F35" s="493"/>
      <c r="G35" s="1807"/>
      <c r="H35" s="1691"/>
      <c r="I35" s="1639"/>
      <c r="J35" s="1639"/>
      <c r="K35" s="1639"/>
      <c r="L35" s="1639"/>
      <c r="M35" s="1639"/>
    </row>
    <row r="36" spans="1:13" ht="15">
      <c r="A36" s="1639"/>
      <c r="B36" s="1639"/>
      <c r="C36" s="1753" t="s">
        <v>1112</v>
      </c>
      <c r="D36" s="1811">
        <f>+D15+G15</f>
        <v>4325309.41</v>
      </c>
      <c r="E36" s="1811">
        <f>+D18+G18+D22+G22+D26+G26</f>
        <v>532611.13455651212</v>
      </c>
      <c r="F36" s="1812">
        <f>E36*0.907184</f>
        <v>483176.29949151486</v>
      </c>
      <c r="G36" s="1808">
        <f>F36/1000000</f>
        <v>0.48317629949151486</v>
      </c>
      <c r="H36" s="1695"/>
      <c r="I36" s="1639"/>
      <c r="J36" s="1639"/>
      <c r="K36" s="1639"/>
      <c r="L36" s="1639"/>
      <c r="M36" s="1639"/>
    </row>
    <row r="37" spans="1:13" ht="15">
      <c r="A37" s="1639"/>
      <c r="B37" s="1639"/>
      <c r="C37" s="1753"/>
      <c r="D37" s="1813"/>
      <c r="E37" s="1813"/>
      <c r="F37" s="1812"/>
      <c r="G37" s="1808"/>
      <c r="H37" s="1695"/>
      <c r="I37" s="1639"/>
      <c r="J37" s="1639"/>
      <c r="K37" s="1639"/>
      <c r="L37" s="1639"/>
      <c r="M37" s="1639"/>
    </row>
    <row r="38" spans="1:13" ht="15">
      <c r="A38" s="1639"/>
      <c r="B38" s="1639"/>
      <c r="C38" s="1753" t="s">
        <v>1113</v>
      </c>
      <c r="D38" s="1830">
        <f>+E15+F15</f>
        <v>0</v>
      </c>
      <c r="E38" s="1830">
        <f>+E18+F18+E22+F22+E26+F26</f>
        <v>0</v>
      </c>
      <c r="F38" s="1831">
        <f>E38*0.907184</f>
        <v>0</v>
      </c>
      <c r="G38" s="1808">
        <f>F38/1000000</f>
        <v>0</v>
      </c>
      <c r="H38" s="1695"/>
      <c r="I38" s="1639"/>
      <c r="J38" s="1639"/>
      <c r="K38" s="1639"/>
      <c r="L38" s="1639"/>
      <c r="M38" s="1639"/>
    </row>
    <row r="39" spans="1:13" ht="15">
      <c r="A39" s="1639"/>
      <c r="B39" s="1639"/>
      <c r="C39" s="1753"/>
      <c r="D39" s="1813"/>
      <c r="E39" s="1813"/>
      <c r="F39" s="1812"/>
      <c r="G39" s="1808"/>
      <c r="H39" s="1695"/>
      <c r="I39" s="1639"/>
      <c r="J39" s="1639"/>
      <c r="K39" s="1639"/>
      <c r="L39" s="1639"/>
      <c r="M39" s="1639"/>
    </row>
    <row r="40" spans="1:13" ht="15">
      <c r="A40" s="1639"/>
      <c r="B40" s="1639"/>
      <c r="C40" s="1753" t="s">
        <v>1114</v>
      </c>
      <c r="D40" s="1811">
        <f>+H15</f>
        <v>1256245.2</v>
      </c>
      <c r="E40" s="1811">
        <f>+H18+H22+H26</f>
        <v>154691.86544348794</v>
      </c>
      <c r="F40" s="1812">
        <f>E40*0.907184</f>
        <v>140333.98526048518</v>
      </c>
      <c r="G40" s="1808">
        <f>F40/1000000</f>
        <v>0.14033398526048518</v>
      </c>
      <c r="H40" s="1695"/>
      <c r="I40" s="1639"/>
      <c r="J40" s="1639"/>
      <c r="K40" s="1639"/>
      <c r="L40" s="1639"/>
      <c r="M40" s="1639"/>
    </row>
    <row r="41" spans="1:13" ht="15.75" thickBot="1">
      <c r="A41" s="1639"/>
      <c r="B41" s="1639"/>
      <c r="C41" s="1805"/>
      <c r="D41" s="1814"/>
      <c r="E41" s="1814"/>
      <c r="F41" s="1815"/>
      <c r="G41" s="1809"/>
      <c r="H41" s="1696"/>
      <c r="I41" s="1639"/>
      <c r="J41" s="1639"/>
      <c r="K41" s="1639"/>
      <c r="L41" s="1639"/>
      <c r="M41" s="1639"/>
    </row>
    <row r="42" spans="1:13" ht="15.75" thickBot="1">
      <c r="A42" s="1639"/>
      <c r="B42" s="1639"/>
      <c r="C42" s="1806" t="s">
        <v>190</v>
      </c>
      <c r="D42" s="1816">
        <f>SUM(D36:D41)</f>
        <v>5581554.6100000003</v>
      </c>
      <c r="E42" s="1816">
        <f>SUM(E36:E41)</f>
        <v>687303</v>
      </c>
      <c r="F42" s="1817">
        <f>SUM(F36:F41)</f>
        <v>623510.28475200001</v>
      </c>
      <c r="G42" s="1810">
        <f>SUM(G36:G41)</f>
        <v>0.62351028475199999</v>
      </c>
      <c r="H42" s="1697"/>
      <c r="I42" s="1639"/>
      <c r="J42" s="1639"/>
      <c r="K42" s="1639"/>
      <c r="L42" s="1639"/>
      <c r="M42" s="1639"/>
    </row>
    <row r="43" spans="1:13" ht="15.75" thickBot="1">
      <c r="A43" s="1639"/>
      <c r="B43" s="1639"/>
      <c r="C43" s="1698"/>
      <c r="D43" s="1699"/>
      <c r="E43" s="1699"/>
      <c r="F43" s="1699"/>
      <c r="G43" s="1700"/>
      <c r="H43" s="1701"/>
      <c r="I43" s="1639"/>
      <c r="J43" s="1639"/>
      <c r="K43" s="1639"/>
      <c r="L43" s="1639"/>
      <c r="M43" s="1639"/>
    </row>
    <row r="44" spans="1:13" ht="15.75" thickTop="1">
      <c r="A44" s="1639"/>
      <c r="B44" s="1639"/>
      <c r="C44" s="1639"/>
      <c r="D44" s="1639"/>
      <c r="E44" s="1639"/>
      <c r="F44" s="1639"/>
      <c r="G44" s="1702"/>
      <c r="H44" s="1703"/>
      <c r="I44" s="1639"/>
      <c r="J44" s="1639"/>
      <c r="K44" s="1639"/>
      <c r="L44" s="1639"/>
      <c r="M44" s="1639"/>
    </row>
    <row r="45" spans="1:13" ht="15">
      <c r="A45" s="1639"/>
      <c r="B45" s="1639"/>
      <c r="C45" s="1639"/>
      <c r="D45" s="1639"/>
      <c r="E45" s="1639"/>
      <c r="F45" s="1639"/>
      <c r="G45" s="1704"/>
      <c r="H45" s="1703"/>
      <c r="I45" s="1639"/>
      <c r="J45" s="1639"/>
      <c r="K45" s="1639"/>
      <c r="L45" s="1639"/>
      <c r="M45" s="1639"/>
    </row>
    <row r="46" spans="1:13" ht="15.75" thickBot="1">
      <c r="A46" s="1639"/>
      <c r="B46" s="1639"/>
      <c r="C46" s="1639"/>
      <c r="D46" s="1639"/>
      <c r="E46" s="1639"/>
      <c r="F46" s="1639"/>
      <c r="G46" s="1705"/>
      <c r="H46" s="1703"/>
      <c r="I46" s="1639"/>
      <c r="J46" s="1639"/>
      <c r="K46" s="1639"/>
      <c r="L46" s="1639"/>
      <c r="M46" s="1639"/>
    </row>
    <row r="47" spans="1:13" ht="18.75" thickTop="1">
      <c r="A47" s="1639"/>
      <c r="B47" s="1639"/>
      <c r="C47" s="1688"/>
      <c r="D47" s="1689" t="s">
        <v>100</v>
      </c>
      <c r="E47" s="1689" t="s">
        <v>1245</v>
      </c>
      <c r="F47" s="1689" t="s">
        <v>1245</v>
      </c>
      <c r="G47" s="1690" t="s">
        <v>1245</v>
      </c>
      <c r="H47" s="1691"/>
      <c r="I47" s="1639"/>
      <c r="J47" s="1639"/>
      <c r="K47" s="1639"/>
      <c r="L47" s="1639"/>
      <c r="M47" s="1639"/>
    </row>
    <row r="48" spans="1:13" ht="18.75" thickBot="1">
      <c r="A48" s="1639"/>
      <c r="B48" s="1639"/>
      <c r="C48" s="1692"/>
      <c r="D48" s="1693"/>
      <c r="E48" s="1693" t="s">
        <v>102</v>
      </c>
      <c r="F48" s="1693" t="s">
        <v>103</v>
      </c>
      <c r="G48" s="1694" t="s">
        <v>1246</v>
      </c>
      <c r="H48" s="1691"/>
      <c r="I48" s="3504" t="s">
        <v>1172</v>
      </c>
      <c r="J48" s="3504"/>
      <c r="K48" s="3504"/>
      <c r="L48" s="1639"/>
      <c r="M48" s="1639"/>
    </row>
    <row r="49" spans="1:13" ht="15.75">
      <c r="A49" s="1639"/>
      <c r="B49" s="1639"/>
      <c r="C49" s="499"/>
      <c r="D49" s="493"/>
      <c r="E49" s="493"/>
      <c r="F49" s="493"/>
      <c r="G49" s="1807"/>
      <c r="H49" s="1691"/>
      <c r="I49" s="1755" t="s">
        <v>379</v>
      </c>
      <c r="J49">
        <v>1</v>
      </c>
      <c r="K49" s="1611"/>
      <c r="L49" s="1639"/>
      <c r="M49" s="1639"/>
    </row>
    <row r="50" spans="1:13" ht="15.75">
      <c r="A50" s="1639"/>
      <c r="B50" s="1639"/>
      <c r="C50" s="1753" t="s">
        <v>1112</v>
      </c>
      <c r="D50" s="1811">
        <f>+D15+G15</f>
        <v>4325309.41</v>
      </c>
      <c r="E50" s="1826">
        <f>+D19+G19+D23+G23+D27+G27</f>
        <v>41.714436534071638</v>
      </c>
      <c r="F50" s="1820">
        <f>E50*0.907184</f>
        <v>37.842669392725242</v>
      </c>
      <c r="G50" s="1823">
        <f>(+F50*21)/1000000</f>
        <v>7.9469605724723008E-4</v>
      </c>
      <c r="H50" s="1706"/>
      <c r="I50" s="1755" t="s">
        <v>381</v>
      </c>
      <c r="J50">
        <v>21</v>
      </c>
      <c r="K50" s="1611"/>
      <c r="L50" s="1639"/>
      <c r="M50" s="1639"/>
    </row>
    <row r="51" spans="1:13" ht="15.75">
      <c r="A51" s="1639"/>
      <c r="B51" s="1639"/>
      <c r="C51" s="1753"/>
      <c r="D51" s="1813"/>
      <c r="E51" s="1827"/>
      <c r="F51" s="1821"/>
      <c r="G51" s="1823"/>
      <c r="H51" s="1706"/>
      <c r="I51" s="1755" t="s">
        <v>1201</v>
      </c>
      <c r="J51">
        <v>310</v>
      </c>
      <c r="K51" s="1611"/>
      <c r="L51" s="1639"/>
      <c r="M51" s="1639"/>
    </row>
    <row r="52" spans="1:13" ht="15">
      <c r="A52" s="1639"/>
      <c r="B52" s="1639"/>
      <c r="C52" s="1753" t="s">
        <v>1113</v>
      </c>
      <c r="D52" s="1819">
        <f>+E15+F15</f>
        <v>0</v>
      </c>
      <c r="E52" s="1828">
        <f>+E19+F19+E23+F23+E27+F27</f>
        <v>0</v>
      </c>
      <c r="F52" s="1820">
        <f>E52*0.907184</f>
        <v>0</v>
      </c>
      <c r="G52" s="1823">
        <f>(+F52*21)/1000000</f>
        <v>0</v>
      </c>
      <c r="H52" s="1706"/>
      <c r="I52" s="1611"/>
      <c r="J52" s="1611"/>
      <c r="K52" s="1611"/>
      <c r="L52" s="1639"/>
      <c r="M52" s="1639"/>
    </row>
    <row r="53" spans="1:13" ht="15">
      <c r="A53" s="1639"/>
      <c r="B53" s="1639"/>
      <c r="C53" s="1753"/>
      <c r="D53" s="1813"/>
      <c r="E53" s="1827"/>
      <c r="F53" s="1820"/>
      <c r="G53" s="1823"/>
      <c r="H53" s="1706"/>
      <c r="I53" s="1639"/>
      <c r="J53" s="1639"/>
      <c r="K53" s="1639"/>
      <c r="L53" s="1639"/>
      <c r="M53" s="1639"/>
    </row>
    <row r="54" spans="1:13" ht="15">
      <c r="A54" s="1639"/>
      <c r="B54" s="1639"/>
      <c r="C54" s="1753" t="s">
        <v>1114</v>
      </c>
      <c r="D54" s="1811">
        <f>+H15</f>
        <v>1256245.2</v>
      </c>
      <c r="E54" s="1828">
        <f>+H19+H23+H27</f>
        <v>12.115563465928354</v>
      </c>
      <c r="F54" s="1820">
        <f>E54*0.907184</f>
        <v>10.991045327274747</v>
      </c>
      <c r="G54" s="1823">
        <f>(+F54*21)/1000000</f>
        <v>2.3081195187276969E-4</v>
      </c>
      <c r="H54" s="1706"/>
      <c r="I54" s="1639"/>
      <c r="J54" s="1639"/>
      <c r="K54" s="1639"/>
      <c r="L54" s="1639"/>
      <c r="M54" s="1639"/>
    </row>
    <row r="55" spans="1:13" ht="15.75" thickBot="1">
      <c r="A55" s="1639"/>
      <c r="B55" s="1639"/>
      <c r="C55" s="1805"/>
      <c r="D55" s="1818"/>
      <c r="E55" s="1829"/>
      <c r="F55" s="1822"/>
      <c r="G55" s="1824"/>
      <c r="H55" s="1696"/>
      <c r="I55" s="1639"/>
      <c r="J55" s="1639"/>
      <c r="K55" s="1639"/>
      <c r="L55" s="1639"/>
      <c r="M55" s="1639"/>
    </row>
    <row r="56" spans="1:13" ht="15.75" thickBot="1">
      <c r="A56" s="1639"/>
      <c r="B56" s="1639"/>
      <c r="C56" s="1832" t="s">
        <v>190</v>
      </c>
      <c r="D56" s="1833">
        <f>SUM(D50:D55)</f>
        <v>5581554.6100000003</v>
      </c>
      <c r="E56" s="1834">
        <f>SUM(E50:E55)</f>
        <v>53.829999999999991</v>
      </c>
      <c r="F56" s="1835">
        <f>SUM(F50:F55)</f>
        <v>48.833714719999989</v>
      </c>
      <c r="G56" s="1825">
        <f>SUM(G50:G55)</f>
        <v>1.0255080091199997E-3</v>
      </c>
      <c r="H56" s="1696"/>
      <c r="I56" s="1639"/>
      <c r="J56" s="1639"/>
      <c r="K56" s="1639"/>
      <c r="L56" s="1639"/>
      <c r="M56" s="1639"/>
    </row>
    <row r="57" spans="1:13" ht="15.75" thickBot="1">
      <c r="A57" s="1639"/>
      <c r="B57" s="1639"/>
      <c r="C57" s="26"/>
      <c r="D57" s="96"/>
      <c r="E57" s="96"/>
      <c r="F57" s="96"/>
      <c r="G57" s="97"/>
      <c r="H57" s="1701"/>
      <c r="I57" s="1639"/>
      <c r="J57" s="1639"/>
      <c r="K57" s="1639"/>
      <c r="L57" s="1639"/>
      <c r="M57" s="1639"/>
    </row>
    <row r="58" spans="1:13" ht="15.75" thickTop="1">
      <c r="A58" s="1639"/>
      <c r="B58" s="1639"/>
      <c r="C58" s="1639"/>
      <c r="D58" s="1639"/>
      <c r="E58" s="1639"/>
      <c r="F58" s="1639"/>
      <c r="G58" s="1702"/>
      <c r="H58" s="1703"/>
      <c r="I58" s="1639"/>
      <c r="J58" s="1639"/>
      <c r="K58" s="1639"/>
      <c r="L58" s="1639"/>
      <c r="M58" s="1639"/>
    </row>
    <row r="59" spans="1:13" ht="15.75" thickBot="1">
      <c r="A59" s="1639"/>
      <c r="B59" s="1639"/>
      <c r="C59" s="1639"/>
      <c r="D59" s="1639"/>
      <c r="E59" s="1639"/>
      <c r="F59" s="1639"/>
      <c r="G59" s="1705"/>
      <c r="H59" s="1703"/>
      <c r="I59" s="1639"/>
      <c r="J59" s="1639"/>
      <c r="K59" s="1639"/>
      <c r="L59" s="1639"/>
      <c r="M59" s="1639"/>
    </row>
    <row r="60" spans="1:13" ht="18.75" thickTop="1">
      <c r="A60" s="1639"/>
      <c r="B60" s="1639"/>
      <c r="C60" s="1688"/>
      <c r="D60" s="1689" t="s">
        <v>100</v>
      </c>
      <c r="E60" s="1689" t="s">
        <v>1247</v>
      </c>
      <c r="F60" s="1689" t="s">
        <v>1247</v>
      </c>
      <c r="G60" s="1690" t="s">
        <v>1247</v>
      </c>
      <c r="H60" s="1691"/>
      <c r="I60" s="1639"/>
      <c r="J60" s="1639"/>
      <c r="K60" s="1639"/>
      <c r="L60" s="1639"/>
      <c r="M60" s="1639"/>
    </row>
    <row r="61" spans="1:13" ht="18.75" thickBot="1">
      <c r="A61" s="1639"/>
      <c r="B61" s="1639"/>
      <c r="C61" s="1692"/>
      <c r="D61" s="1693"/>
      <c r="E61" s="1693" t="s">
        <v>102</v>
      </c>
      <c r="F61" s="1693" t="s">
        <v>103</v>
      </c>
      <c r="G61" s="1694" t="s">
        <v>1246</v>
      </c>
      <c r="H61" s="1691"/>
      <c r="I61" s="1639"/>
      <c r="J61" s="1639"/>
      <c r="K61" s="1639"/>
      <c r="L61" s="1639"/>
      <c r="M61" s="1639"/>
    </row>
    <row r="62" spans="1:13" ht="15">
      <c r="A62" s="1639"/>
      <c r="B62" s="1639"/>
      <c r="C62" s="499"/>
      <c r="D62" s="493"/>
      <c r="E62" s="493"/>
      <c r="F62" s="493"/>
      <c r="G62" s="1807"/>
      <c r="H62" s="1691"/>
      <c r="I62" s="1639"/>
      <c r="J62" s="1639"/>
      <c r="K62" s="1639"/>
      <c r="L62" s="1639"/>
      <c r="M62" s="1639"/>
    </row>
    <row r="63" spans="1:13" ht="15">
      <c r="A63" s="1639"/>
      <c r="B63" s="1639"/>
      <c r="C63" s="1753" t="s">
        <v>1112</v>
      </c>
      <c r="D63" s="1837">
        <f>+D15+G15</f>
        <v>4325309.41</v>
      </c>
      <c r="E63" s="1838">
        <f>+D20+G20+D24+G24+D28+G28</f>
        <v>6.0211995517320567</v>
      </c>
      <c r="F63" s="1838">
        <f>E63*0.907184</f>
        <v>5.4623358941384943</v>
      </c>
      <c r="G63" s="1836">
        <f>(+F63*310)/1000000</f>
        <v>1.6933241271829332E-3</v>
      </c>
      <c r="H63" s="1706"/>
      <c r="I63" s="1639"/>
      <c r="J63" s="1639"/>
      <c r="K63" s="1639"/>
      <c r="L63" s="1639"/>
      <c r="M63" s="1639"/>
    </row>
    <row r="64" spans="1:13" ht="15">
      <c r="A64" s="1639"/>
      <c r="B64" s="1639"/>
      <c r="C64" s="1753"/>
      <c r="D64" s="1837"/>
      <c r="E64" s="1838"/>
      <c r="F64" s="1838"/>
      <c r="G64" s="1836"/>
      <c r="H64" s="1706"/>
      <c r="I64" s="1639"/>
      <c r="J64" s="1639"/>
      <c r="K64" s="1639"/>
      <c r="L64" s="1639"/>
      <c r="M64" s="1639"/>
    </row>
    <row r="65" spans="1:13" ht="15">
      <c r="A65" s="1639"/>
      <c r="B65" s="1639"/>
      <c r="C65" s="1753" t="s">
        <v>1113</v>
      </c>
      <c r="D65" s="1843">
        <f>+E15+F15</f>
        <v>0</v>
      </c>
      <c r="E65" s="1838">
        <f>+E20+F20+E24+F24+E28+F28</f>
        <v>0</v>
      </c>
      <c r="F65" s="1838">
        <f>E65*0.907184</f>
        <v>0</v>
      </c>
      <c r="G65" s="1836">
        <f>(+F65*310)/1000000</f>
        <v>0</v>
      </c>
      <c r="H65" s="1706"/>
      <c r="I65" s="1639"/>
      <c r="J65" s="1639"/>
      <c r="K65" s="1639"/>
      <c r="L65" s="1639"/>
      <c r="M65" s="1639"/>
    </row>
    <row r="66" spans="1:13" ht="15">
      <c r="A66" s="1639"/>
      <c r="B66" s="1639"/>
      <c r="C66" s="1753"/>
      <c r="D66" s="1837"/>
      <c r="E66" s="1838"/>
      <c r="F66" s="1838"/>
      <c r="G66" s="1836"/>
      <c r="H66" s="1706"/>
      <c r="I66" s="1639"/>
      <c r="J66" s="1639"/>
      <c r="K66" s="1639"/>
      <c r="L66" s="1639"/>
      <c r="M66" s="1639"/>
    </row>
    <row r="67" spans="1:13" ht="15">
      <c r="A67" s="1639"/>
      <c r="B67" s="1639"/>
      <c r="C67" s="1753" t="s">
        <v>1114</v>
      </c>
      <c r="D67" s="1837">
        <f>+H15</f>
        <v>1256245.2</v>
      </c>
      <c r="E67" s="1838">
        <f>+H20+H24+H28</f>
        <v>1.7488004482679422</v>
      </c>
      <c r="F67" s="1838">
        <f>E67*0.907184</f>
        <v>1.5864837858615048</v>
      </c>
      <c r="G67" s="1836">
        <f>(+F67*310)/1000000</f>
        <v>4.9180997361706648E-4</v>
      </c>
      <c r="H67" s="1706"/>
      <c r="I67" s="1639"/>
      <c r="J67" s="1639"/>
      <c r="K67" s="1639"/>
      <c r="L67" s="1639"/>
      <c r="M67" s="1639"/>
    </row>
    <row r="68" spans="1:13" ht="15">
      <c r="A68" s="1639"/>
      <c r="B68" s="1639"/>
      <c r="C68" s="1753"/>
      <c r="D68" s="1837"/>
      <c r="E68" s="1838"/>
      <c r="F68" s="1838"/>
      <c r="G68" s="1836"/>
      <c r="H68" s="1696"/>
      <c r="I68" s="1639"/>
      <c r="J68" s="1639"/>
      <c r="K68" s="1639"/>
      <c r="L68" s="1639"/>
      <c r="M68" s="1639"/>
    </row>
    <row r="69" spans="1:13" ht="15">
      <c r="A69" s="1639"/>
      <c r="B69" s="1639"/>
      <c r="C69" s="1839" t="s">
        <v>190</v>
      </c>
      <c r="D69" s="1840">
        <f>SUM(D63:D68)</f>
        <v>5581554.6100000003</v>
      </c>
      <c r="E69" s="1841">
        <f>SUM(E63:E68)</f>
        <v>7.7699999999999987</v>
      </c>
      <c r="F69" s="1841">
        <f>SUM(F63:F68)</f>
        <v>7.0488196799999994</v>
      </c>
      <c r="G69" s="1842">
        <f>SUM(G63:G68)</f>
        <v>2.1851341007999995E-3</v>
      </c>
      <c r="H69" s="1696"/>
      <c r="I69" s="1639"/>
      <c r="J69" s="1639"/>
      <c r="K69" s="1639"/>
      <c r="L69" s="1639"/>
      <c r="M69" s="1639"/>
    </row>
    <row r="70" spans="1:13" ht="15.75" thickBot="1">
      <c r="A70" s="1639"/>
      <c r="B70" s="1639"/>
      <c r="C70" s="39"/>
      <c r="D70" s="40"/>
      <c r="E70" s="40"/>
      <c r="F70" s="40"/>
      <c r="G70" s="41"/>
      <c r="H70" s="1701"/>
      <c r="I70" s="1639"/>
      <c r="J70" s="1639"/>
      <c r="K70" s="1639"/>
      <c r="L70" s="1639"/>
      <c r="M70" s="1639"/>
    </row>
    <row r="71" spans="1:13" ht="15.75" thickTop="1">
      <c r="A71" s="1639"/>
      <c r="B71" s="1639"/>
      <c r="C71" s="1639"/>
      <c r="D71" s="1639"/>
      <c r="E71" s="1639"/>
      <c r="F71" s="1639"/>
      <c r="G71" s="1702"/>
      <c r="H71" s="1703"/>
      <c r="I71" s="1639"/>
      <c r="J71" s="1639"/>
      <c r="K71" s="1639"/>
      <c r="L71" s="1639"/>
      <c r="M71" s="1639"/>
    </row>
    <row r="72" spans="1:13" ht="15">
      <c r="A72" s="1639"/>
      <c r="B72" s="1639"/>
      <c r="C72" s="1639"/>
      <c r="D72" s="1639"/>
      <c r="E72" s="1639"/>
      <c r="F72" s="1639"/>
      <c r="G72" s="1704"/>
      <c r="H72" s="1703"/>
      <c r="I72" s="1639"/>
      <c r="J72" s="1639"/>
      <c r="K72" s="1639"/>
      <c r="L72" s="1639"/>
      <c r="M72" s="1639"/>
    </row>
    <row r="73" spans="1:13" ht="15">
      <c r="A73" s="1639"/>
      <c r="B73" s="1639"/>
      <c r="C73" s="1639"/>
      <c r="D73" s="1639"/>
      <c r="E73" s="1639"/>
      <c r="F73" s="1639"/>
      <c r="G73" s="1704"/>
      <c r="H73" s="1703"/>
      <c r="I73" s="1639"/>
      <c r="J73" s="1639"/>
      <c r="K73" s="1639"/>
      <c r="L73" s="1639"/>
      <c r="M73" s="1639"/>
    </row>
    <row r="74" spans="1:13" ht="15">
      <c r="A74" s="1639"/>
      <c r="B74" s="1639"/>
      <c r="C74" s="1639"/>
      <c r="D74" s="1639"/>
      <c r="E74" s="1639"/>
      <c r="F74" s="1639"/>
      <c r="G74" s="1704"/>
      <c r="H74" s="1703"/>
      <c r="I74" s="1639"/>
      <c r="J74" s="1639"/>
      <c r="K74" s="1639"/>
      <c r="L74" s="1639"/>
      <c r="M74" s="1639"/>
    </row>
  </sheetData>
  <sheetProtection password="CD58" sheet="1" objects="1" scenarios="1"/>
  <mergeCells count="3">
    <mergeCell ref="G3:J3"/>
    <mergeCell ref="D10:H10"/>
    <mergeCell ref="I48:K48"/>
  </mergeCells>
  <phoneticPr fontId="0" type="noConversion"/>
  <pageMargins left="0.75" right="0.75" top="1" bottom="1" header="0.5" footer="0.5"/>
  <pageSetup orientation="portrait"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dimension ref="A2:BJ350"/>
  <sheetViews>
    <sheetView zoomScale="82" zoomScaleNormal="82" workbookViewId="0">
      <selection activeCell="I348" sqref="I348"/>
    </sheetView>
  </sheetViews>
  <sheetFormatPr defaultRowHeight="12.75"/>
  <cols>
    <col min="1" max="1" width="3.83203125" style="10" customWidth="1"/>
    <col min="2" max="2" width="14.33203125" style="10" bestFit="1" customWidth="1"/>
    <col min="3" max="3" width="38" style="10" customWidth="1"/>
    <col min="4" max="4" width="38.83203125" style="10" customWidth="1"/>
    <col min="5" max="5" width="17.33203125" style="10" customWidth="1"/>
    <col min="6" max="6" width="18.5" style="10" customWidth="1"/>
    <col min="7" max="7" width="13.5" style="10" bestFit="1" customWidth="1"/>
    <col min="8" max="8" width="12.33203125" style="10" customWidth="1"/>
    <col min="9" max="9" width="24.6640625" style="10" customWidth="1"/>
    <col min="10" max="10" width="17.6640625" style="10" customWidth="1"/>
    <col min="11" max="11" width="21.33203125" style="10" bestFit="1" customWidth="1"/>
    <col min="12" max="12" width="19.1640625" style="10" customWidth="1"/>
    <col min="13" max="13" width="19.33203125" style="10" customWidth="1"/>
    <col min="14" max="14" width="12.1640625" style="10" bestFit="1" customWidth="1"/>
    <col min="15" max="15" width="20.33203125" style="10" customWidth="1"/>
    <col min="16" max="16" width="20" style="10" customWidth="1"/>
    <col min="17" max="17" width="18.83203125" style="10" customWidth="1"/>
    <col min="18" max="18" width="20.6640625" style="10" customWidth="1"/>
    <col min="19" max="19" width="22" style="10" customWidth="1"/>
    <col min="20" max="16384" width="9.33203125" style="10"/>
  </cols>
  <sheetData>
    <row r="2" spans="1:62" ht="13.5" thickBot="1">
      <c r="A2" s="1511"/>
      <c r="B2" s="1511"/>
      <c r="C2" s="1511"/>
      <c r="D2" s="1511"/>
      <c r="E2" s="1511"/>
      <c r="F2" s="1511"/>
      <c r="G2" s="1511"/>
      <c r="H2" s="1511"/>
      <c r="I2" s="1511"/>
      <c r="J2" s="1759"/>
      <c r="K2" s="1759"/>
      <c r="L2" s="1759"/>
      <c r="M2" s="1759"/>
      <c r="N2" s="1511"/>
      <c r="O2" s="1511"/>
      <c r="P2" s="1511"/>
      <c r="Q2" s="1511"/>
      <c r="R2" s="1511"/>
      <c r="S2" s="1511"/>
      <c r="T2" s="1511"/>
      <c r="U2" s="1511"/>
      <c r="V2" s="1511"/>
      <c r="W2" s="1511"/>
      <c r="X2" s="1511"/>
      <c r="Y2" s="1511"/>
      <c r="Z2" s="1511"/>
      <c r="AA2" s="1511"/>
      <c r="AB2" s="1511"/>
      <c r="AC2" s="1511"/>
      <c r="AD2" s="1511"/>
      <c r="AE2" s="1511"/>
      <c r="AF2" s="1511"/>
      <c r="AG2" s="1511"/>
      <c r="AH2" s="1511"/>
      <c r="AI2" s="1511"/>
      <c r="AJ2" s="1511"/>
      <c r="AK2" s="1511"/>
      <c r="AL2" s="1511"/>
      <c r="AM2" s="1511"/>
      <c r="AN2" s="1511"/>
      <c r="AO2" s="1511"/>
      <c r="AP2" s="1511"/>
      <c r="AQ2" s="1511"/>
      <c r="AR2" s="1511"/>
      <c r="AS2" s="1511"/>
      <c r="AT2" s="1511"/>
      <c r="AU2" s="1511"/>
      <c r="AV2" s="1511"/>
      <c r="AW2" s="1511"/>
      <c r="AX2" s="1511"/>
      <c r="AY2" s="1511"/>
      <c r="AZ2" s="1511"/>
      <c r="BA2" s="1511"/>
      <c r="BB2" s="1511"/>
      <c r="BC2" s="1511"/>
      <c r="BD2" s="1511"/>
      <c r="BE2" s="1511"/>
      <c r="BF2" s="1511"/>
      <c r="BG2" s="1511"/>
      <c r="BH2" s="1511"/>
      <c r="BI2" s="1511"/>
      <c r="BJ2" s="1511"/>
    </row>
    <row r="3" spans="1:62" ht="15" thickTop="1">
      <c r="A3" s="1511"/>
      <c r="B3" s="1593" t="s">
        <v>1117</v>
      </c>
      <c r="C3" s="1594" t="s">
        <v>1118</v>
      </c>
      <c r="D3" s="1594" t="s">
        <v>1119</v>
      </c>
      <c r="E3" s="1594" t="s">
        <v>1120</v>
      </c>
      <c r="F3" s="1594" t="s">
        <v>1121</v>
      </c>
      <c r="G3" s="1594" t="s">
        <v>1121</v>
      </c>
      <c r="H3" s="1594" t="s">
        <v>809</v>
      </c>
      <c r="I3" s="1594" t="s">
        <v>811</v>
      </c>
      <c r="J3" s="1595" t="s">
        <v>813</v>
      </c>
      <c r="K3" s="1594" t="s">
        <v>274</v>
      </c>
      <c r="L3" s="1594" t="s">
        <v>275</v>
      </c>
      <c r="M3" s="1596" t="s">
        <v>276</v>
      </c>
      <c r="N3" s="1511"/>
      <c r="O3" s="1511"/>
      <c r="P3" s="1511"/>
      <c r="Q3" s="1511"/>
      <c r="R3" s="1511"/>
      <c r="S3" s="1511"/>
      <c r="T3" s="1511"/>
      <c r="U3" s="1511"/>
      <c r="V3" s="1511"/>
      <c r="W3" s="1511"/>
      <c r="X3" s="1511"/>
      <c r="Y3" s="1511"/>
      <c r="Z3" s="1511"/>
      <c r="AA3" s="1511"/>
      <c r="AB3" s="1511"/>
      <c r="AC3" s="1511"/>
      <c r="AD3" s="1511"/>
      <c r="AE3" s="1511"/>
      <c r="AF3" s="1511"/>
      <c r="AG3" s="1511"/>
      <c r="AH3" s="1511"/>
      <c r="AI3" s="1511"/>
      <c r="AJ3" s="1511"/>
      <c r="AK3" s="1511"/>
      <c r="AL3" s="1511"/>
      <c r="AM3" s="1511"/>
      <c r="AN3" s="1511"/>
      <c r="AO3" s="1511"/>
      <c r="AP3" s="1511"/>
      <c r="AQ3" s="1511"/>
      <c r="AR3" s="1511"/>
      <c r="AS3" s="1511"/>
      <c r="AT3" s="1511"/>
      <c r="AU3" s="1511"/>
      <c r="AV3" s="1511"/>
      <c r="AW3" s="1511"/>
      <c r="AX3" s="1511"/>
      <c r="AY3" s="1511"/>
      <c r="AZ3" s="1511"/>
      <c r="BA3" s="1511"/>
      <c r="BB3" s="1511"/>
      <c r="BC3" s="1511"/>
      <c r="BD3" s="1511"/>
      <c r="BE3" s="1511"/>
      <c r="BF3" s="1511"/>
      <c r="BG3" s="1511"/>
      <c r="BH3" s="1511"/>
      <c r="BI3" s="1511"/>
      <c r="BJ3" s="1511"/>
    </row>
    <row r="4" spans="1:62">
      <c r="A4" s="1511"/>
      <c r="B4" s="1597"/>
      <c r="C4" s="1598"/>
      <c r="D4" s="1598"/>
      <c r="E4" s="1598"/>
      <c r="F4" s="1598"/>
      <c r="G4" s="1598" t="s">
        <v>1123</v>
      </c>
      <c r="H4" s="1598" t="s">
        <v>810</v>
      </c>
      <c r="I4" s="1598" t="s">
        <v>812</v>
      </c>
      <c r="J4" s="1598" t="s">
        <v>1124</v>
      </c>
      <c r="K4" s="1598" t="s">
        <v>1122</v>
      </c>
      <c r="L4" s="1598" t="s">
        <v>1122</v>
      </c>
      <c r="M4" s="1599" t="s">
        <v>1122</v>
      </c>
      <c r="N4" s="1511"/>
      <c r="O4" s="1511"/>
      <c r="P4" s="1511"/>
      <c r="Q4" s="1511"/>
      <c r="R4" s="1511"/>
      <c r="S4" s="1511"/>
      <c r="T4" s="1511"/>
      <c r="U4" s="1511"/>
      <c r="V4" s="1511"/>
      <c r="W4" s="1511"/>
      <c r="X4" s="1511"/>
      <c r="Y4" s="1511"/>
      <c r="Z4" s="1511"/>
      <c r="AA4" s="1511"/>
      <c r="AB4" s="1511"/>
      <c r="AC4" s="1511"/>
      <c r="AD4" s="1511"/>
      <c r="AE4" s="1511"/>
      <c r="AF4" s="1511"/>
      <c r="AG4" s="1511"/>
      <c r="AH4" s="1511"/>
      <c r="AI4" s="1511"/>
      <c r="AJ4" s="1511"/>
      <c r="AK4" s="1511"/>
      <c r="AL4" s="1511"/>
      <c r="AM4" s="1511"/>
      <c r="AN4" s="1511"/>
      <c r="AO4" s="1511"/>
      <c r="AP4" s="1511"/>
      <c r="AQ4" s="1511"/>
      <c r="AR4" s="1511"/>
      <c r="AS4" s="1511"/>
      <c r="AT4" s="1511"/>
      <c r="AU4" s="1511"/>
      <c r="AV4" s="1511"/>
      <c r="AW4" s="1511"/>
      <c r="AX4" s="1511"/>
      <c r="AY4" s="1511"/>
      <c r="AZ4" s="1511"/>
      <c r="BA4" s="1511"/>
      <c r="BB4" s="1511"/>
      <c r="BC4" s="1511"/>
      <c r="BD4" s="1511"/>
      <c r="BE4" s="1511"/>
      <c r="BF4" s="1511"/>
      <c r="BG4" s="1511"/>
      <c r="BH4" s="1511"/>
      <c r="BI4" s="1511"/>
      <c r="BJ4" s="1511"/>
    </row>
    <row r="5" spans="1:62" ht="13.5" thickBot="1">
      <c r="A5" s="1511"/>
      <c r="B5" s="1532"/>
      <c r="C5" s="1533"/>
      <c r="D5" s="1533"/>
      <c r="E5" s="1533"/>
      <c r="F5" s="1533"/>
      <c r="G5" s="1533"/>
      <c r="H5" s="1533"/>
      <c r="I5" s="1533"/>
      <c r="J5" s="1533"/>
      <c r="K5" s="1540"/>
      <c r="L5" s="1533"/>
      <c r="M5" s="1541"/>
      <c r="N5" s="1511"/>
      <c r="O5" s="1511"/>
      <c r="P5" s="1511"/>
      <c r="Q5" s="1511"/>
      <c r="R5" s="1511"/>
      <c r="S5" s="1511"/>
      <c r="T5" s="1511"/>
      <c r="U5" s="1511"/>
      <c r="V5" s="1511"/>
      <c r="W5" s="1511"/>
      <c r="X5" s="1511"/>
      <c r="Y5" s="1511"/>
      <c r="Z5" s="1511"/>
      <c r="AA5" s="1511"/>
      <c r="AB5" s="1511"/>
      <c r="AC5" s="1511"/>
      <c r="AD5" s="1511"/>
      <c r="AE5" s="1511"/>
      <c r="AF5" s="1511"/>
      <c r="AG5" s="1511"/>
      <c r="AH5" s="1511"/>
      <c r="AI5" s="1511"/>
      <c r="AJ5" s="1511"/>
      <c r="AK5" s="1511"/>
      <c r="AL5" s="1511"/>
      <c r="AM5" s="1511"/>
      <c r="AN5" s="1511"/>
      <c r="AO5" s="1511"/>
      <c r="AP5" s="1511"/>
      <c r="AQ5" s="1511"/>
      <c r="AR5" s="1511"/>
      <c r="AS5" s="1511"/>
      <c r="AT5" s="1511"/>
      <c r="AU5" s="1511"/>
      <c r="AV5" s="1511"/>
      <c r="AW5" s="1511"/>
      <c r="AX5" s="1511"/>
      <c r="AY5" s="1511"/>
      <c r="AZ5" s="1511"/>
      <c r="BA5" s="1511"/>
      <c r="BB5" s="1511"/>
      <c r="BC5" s="1511"/>
      <c r="BD5" s="1511"/>
      <c r="BE5" s="1511"/>
      <c r="BF5" s="1511"/>
      <c r="BG5" s="1511"/>
      <c r="BH5" s="1511"/>
      <c r="BI5" s="1511"/>
      <c r="BJ5" s="1511"/>
    </row>
    <row r="6" spans="1:62">
      <c r="A6" s="1511"/>
      <c r="B6" s="1576" t="s">
        <v>1125</v>
      </c>
      <c r="C6" s="127" t="s">
        <v>1126</v>
      </c>
      <c r="D6" s="1530"/>
      <c r="E6" s="1530"/>
      <c r="F6" s="1508"/>
      <c r="G6" s="1530"/>
      <c r="H6" s="1530"/>
      <c r="I6" s="1530"/>
      <c r="J6" s="1776"/>
      <c r="K6" s="1775"/>
      <c r="L6" s="1530"/>
      <c r="M6" s="1578"/>
      <c r="N6" s="1511"/>
      <c r="O6" s="1511"/>
      <c r="P6" s="1511"/>
      <c r="Q6" s="1511"/>
      <c r="R6" s="1511"/>
      <c r="S6" s="1511"/>
      <c r="T6" s="1511"/>
      <c r="U6" s="1511"/>
      <c r="V6" s="1511"/>
      <c r="W6" s="1511"/>
      <c r="X6" s="1511"/>
      <c r="Y6" s="1511"/>
      <c r="Z6" s="1511"/>
      <c r="AA6" s="1511"/>
      <c r="AB6" s="1511"/>
      <c r="AC6" s="1511"/>
      <c r="AD6" s="1511"/>
      <c r="AE6" s="1511"/>
      <c r="AF6" s="1511"/>
      <c r="AG6" s="1511"/>
      <c r="AH6" s="1511"/>
      <c r="AI6" s="1511"/>
      <c r="AJ6" s="1511"/>
      <c r="AK6" s="1511"/>
      <c r="AL6" s="1511"/>
      <c r="AM6" s="1511"/>
      <c r="AN6" s="1511"/>
      <c r="AO6" s="1511"/>
      <c r="AP6" s="1511"/>
      <c r="AQ6" s="1511"/>
      <c r="AR6" s="1511"/>
      <c r="AS6" s="1511"/>
      <c r="AT6" s="1511"/>
      <c r="AU6" s="1511"/>
      <c r="AV6" s="1511"/>
      <c r="AW6" s="1511"/>
      <c r="AX6" s="1511"/>
      <c r="AY6" s="1511"/>
      <c r="AZ6" s="1511"/>
      <c r="BA6" s="1511"/>
      <c r="BB6" s="1511"/>
      <c r="BC6" s="1511"/>
      <c r="BD6" s="1511"/>
      <c r="BE6" s="1511"/>
      <c r="BF6" s="1511"/>
      <c r="BG6" s="1511"/>
      <c r="BH6" s="1511"/>
      <c r="BI6" s="1511"/>
      <c r="BJ6" s="1511"/>
    </row>
    <row r="7" spans="1:62">
      <c r="A7" s="1511"/>
      <c r="B7" s="1532"/>
      <c r="C7" s="1533" t="s">
        <v>1127</v>
      </c>
      <c r="D7" s="1533" t="s">
        <v>1128</v>
      </c>
      <c r="E7" s="1533" t="s">
        <v>1112</v>
      </c>
      <c r="F7" s="1540">
        <v>570254</v>
      </c>
      <c r="G7" s="1533" t="s">
        <v>271</v>
      </c>
      <c r="H7" s="1537">
        <v>11024</v>
      </c>
      <c r="I7" s="1533" t="s">
        <v>1129</v>
      </c>
      <c r="J7" s="1783">
        <v>13150280</v>
      </c>
      <c r="K7" s="1784">
        <f>+J7/(J7+J8)*K9</f>
        <v>1346069.7628695085</v>
      </c>
      <c r="L7" s="1784">
        <f>+J7/(J7+J8)*L9</f>
        <v>159.22588972772317</v>
      </c>
      <c r="M7" s="1785">
        <f>+J7/(J7+J8)*M9</f>
        <v>23.164302999752131</v>
      </c>
      <c r="N7" s="1511"/>
      <c r="O7" s="1511"/>
      <c r="P7" s="1511"/>
      <c r="Q7" s="1511"/>
      <c r="R7" s="1511"/>
      <c r="S7" s="1511"/>
      <c r="T7" s="1511"/>
      <c r="U7" s="1511"/>
      <c r="V7" s="1511"/>
      <c r="W7" s="1511"/>
      <c r="X7" s="1511"/>
      <c r="Y7" s="1511"/>
      <c r="Z7" s="1511"/>
      <c r="AA7" s="1511"/>
      <c r="AB7" s="1511"/>
      <c r="AC7" s="1511"/>
      <c r="AD7" s="1511"/>
      <c r="AE7" s="1511"/>
      <c r="AF7" s="1511"/>
      <c r="AG7" s="1511"/>
      <c r="AH7" s="1511"/>
      <c r="AI7" s="1511"/>
      <c r="AJ7" s="1511"/>
      <c r="AK7" s="1511"/>
      <c r="AL7" s="1511"/>
      <c r="AM7" s="1511"/>
      <c r="AN7" s="1511"/>
      <c r="AO7" s="1511"/>
      <c r="AP7" s="1511"/>
      <c r="AQ7" s="1511"/>
      <c r="AR7" s="1511"/>
      <c r="AS7" s="1511"/>
      <c r="AT7" s="1511"/>
      <c r="AU7" s="1511"/>
      <c r="AV7" s="1511"/>
      <c r="AW7" s="1511"/>
      <c r="AX7" s="1511"/>
      <c r="AY7" s="1511"/>
      <c r="AZ7" s="1511"/>
      <c r="BA7" s="1511"/>
      <c r="BB7" s="1511"/>
      <c r="BC7" s="1511"/>
      <c r="BD7" s="1511"/>
      <c r="BE7" s="1511"/>
      <c r="BF7" s="1511"/>
      <c r="BG7" s="1511"/>
      <c r="BH7" s="1511"/>
      <c r="BI7" s="1511"/>
      <c r="BJ7" s="1511"/>
    </row>
    <row r="8" spans="1:62">
      <c r="A8" s="1511"/>
      <c r="B8" s="1532"/>
      <c r="C8" s="1533" t="s">
        <v>1127</v>
      </c>
      <c r="D8" s="1533" t="s">
        <v>1128</v>
      </c>
      <c r="E8" s="1533" t="s">
        <v>215</v>
      </c>
      <c r="F8" s="1540">
        <v>185300</v>
      </c>
      <c r="G8" s="1533" t="s">
        <v>67</v>
      </c>
      <c r="H8" s="1537">
        <v>140000</v>
      </c>
      <c r="I8" s="1533" t="s">
        <v>12</v>
      </c>
      <c r="J8" s="1783">
        <v>25942</v>
      </c>
      <c r="K8" s="1784">
        <f>+J8/(J8+J7)*K9</f>
        <v>2655.437130491578</v>
      </c>
      <c r="L8" s="1784">
        <f>+J8/(J8+J7)*L9</f>
        <v>0.31411027227683325</v>
      </c>
      <c r="M8" s="1785">
        <f>+J8/(J8+J7)*M9</f>
        <v>4.5697000247870753E-2</v>
      </c>
      <c r="N8" s="1511"/>
      <c r="O8" s="1511"/>
      <c r="P8" s="1511"/>
      <c r="Q8" s="1511"/>
      <c r="R8" s="1511"/>
      <c r="S8" s="1511"/>
      <c r="T8" s="1511"/>
      <c r="U8" s="1511"/>
      <c r="V8" s="1511"/>
      <c r="W8" s="1511"/>
      <c r="X8" s="1511"/>
      <c r="Y8" s="1511"/>
      <c r="Z8" s="1511"/>
      <c r="AA8" s="1511"/>
      <c r="AB8" s="1511"/>
      <c r="AC8" s="1511"/>
      <c r="AD8" s="1511"/>
      <c r="AE8" s="1511"/>
      <c r="AF8" s="1511"/>
      <c r="AG8" s="1511"/>
      <c r="AH8" s="1511"/>
      <c r="AI8" s="1511"/>
      <c r="AJ8" s="1511"/>
      <c r="AK8" s="1511"/>
      <c r="AL8" s="1511"/>
      <c r="AM8" s="1511"/>
      <c r="AN8" s="1511"/>
      <c r="AO8" s="1511"/>
      <c r="AP8" s="1511"/>
      <c r="AQ8" s="1511"/>
      <c r="AR8" s="1511"/>
      <c r="AS8" s="1511"/>
      <c r="AT8" s="1511"/>
      <c r="AU8" s="1511"/>
      <c r="AV8" s="1511"/>
      <c r="AW8" s="1511"/>
      <c r="AX8" s="1511"/>
      <c r="AY8" s="1511"/>
      <c r="AZ8" s="1511"/>
      <c r="BA8" s="1511"/>
      <c r="BB8" s="1511"/>
      <c r="BC8" s="1511"/>
      <c r="BD8" s="1511"/>
      <c r="BE8" s="1511"/>
      <c r="BF8" s="1511"/>
      <c r="BG8" s="1511"/>
      <c r="BH8" s="1511"/>
      <c r="BI8" s="1511"/>
      <c r="BJ8" s="1511"/>
    </row>
    <row r="9" spans="1:62">
      <c r="A9" s="1511"/>
      <c r="B9" s="1532"/>
      <c r="C9" s="1533"/>
      <c r="D9" s="1533"/>
      <c r="E9" s="1533"/>
      <c r="F9" s="1540"/>
      <c r="G9" s="1533"/>
      <c r="H9" s="1537"/>
      <c r="I9" s="1533"/>
      <c r="J9" s="1777">
        <f>SUM(J7:J8)</f>
        <v>13176222</v>
      </c>
      <c r="K9" s="1780">
        <v>1348725.2</v>
      </c>
      <c r="L9" s="514">
        <v>159.54</v>
      </c>
      <c r="M9" s="1782">
        <v>23.21</v>
      </c>
      <c r="N9" s="1511"/>
      <c r="O9" s="1511"/>
      <c r="P9" s="1511"/>
      <c r="Q9" s="1511"/>
      <c r="R9" s="1511"/>
      <c r="S9" s="1511"/>
      <c r="T9" s="1511"/>
      <c r="U9" s="1511"/>
      <c r="V9" s="1511"/>
      <c r="W9" s="1511"/>
      <c r="X9" s="1511"/>
      <c r="Y9" s="1511"/>
      <c r="Z9" s="1511"/>
      <c r="AA9" s="1511"/>
      <c r="AB9" s="1511"/>
      <c r="AC9" s="1511"/>
      <c r="AD9" s="1511"/>
      <c r="AE9" s="1511"/>
      <c r="AF9" s="1511"/>
      <c r="AG9" s="1511"/>
      <c r="AH9" s="1511"/>
      <c r="AI9" s="1511"/>
      <c r="AJ9" s="1511"/>
      <c r="AK9" s="1511"/>
      <c r="AL9" s="1511"/>
      <c r="AM9" s="1511"/>
      <c r="AN9" s="1511"/>
      <c r="AO9" s="1511"/>
      <c r="AP9" s="1511"/>
      <c r="AQ9" s="1511"/>
      <c r="AR9" s="1511"/>
      <c r="AS9" s="1511"/>
      <c r="AT9" s="1511"/>
      <c r="AU9" s="1511"/>
      <c r="AV9" s="1511"/>
      <c r="AW9" s="1511"/>
      <c r="AX9" s="1511"/>
      <c r="AY9" s="1511"/>
      <c r="AZ9" s="1511"/>
      <c r="BA9" s="1511"/>
      <c r="BB9" s="1511"/>
      <c r="BC9" s="1511"/>
      <c r="BD9" s="1511"/>
      <c r="BE9" s="1511"/>
      <c r="BF9" s="1511"/>
      <c r="BG9" s="1511"/>
      <c r="BH9" s="1511"/>
      <c r="BI9" s="1511"/>
      <c r="BJ9" s="1511"/>
    </row>
    <row r="10" spans="1:62">
      <c r="A10" s="1511"/>
      <c r="B10" s="1532"/>
      <c r="C10" s="1533"/>
      <c r="D10" s="1533"/>
      <c r="E10" s="1533"/>
      <c r="F10" s="1540"/>
      <c r="G10" s="1533"/>
      <c r="H10" s="1537"/>
      <c r="I10" s="1533"/>
      <c r="J10" s="1778"/>
      <c r="K10" s="514"/>
      <c r="L10" s="514"/>
      <c r="M10" s="1609"/>
      <c r="N10" s="1511"/>
      <c r="O10" s="1511"/>
      <c r="P10" s="1511"/>
      <c r="Q10" s="1511"/>
      <c r="R10" s="1511"/>
      <c r="S10" s="1511"/>
      <c r="T10" s="1511"/>
      <c r="U10" s="1511"/>
      <c r="V10" s="1511"/>
      <c r="W10" s="1511"/>
      <c r="X10" s="1511"/>
      <c r="Y10" s="1511"/>
      <c r="Z10" s="1511"/>
      <c r="AA10" s="1511"/>
      <c r="AB10" s="1511"/>
      <c r="AC10" s="1511"/>
      <c r="AD10" s="1511"/>
      <c r="AE10" s="1511"/>
      <c r="AF10" s="1511"/>
      <c r="AG10" s="1511"/>
      <c r="AH10" s="1511"/>
      <c r="AI10" s="1511"/>
      <c r="AJ10" s="1511"/>
      <c r="AK10" s="1511"/>
      <c r="AL10" s="1511"/>
      <c r="AM10" s="1511"/>
      <c r="AN10" s="1511"/>
      <c r="AO10" s="1511"/>
      <c r="AP10" s="1511"/>
      <c r="AQ10" s="1511"/>
      <c r="AR10" s="1511"/>
      <c r="AS10" s="1511"/>
      <c r="AT10" s="1511"/>
      <c r="AU10" s="1511"/>
      <c r="AV10" s="1511"/>
      <c r="AW10" s="1511"/>
      <c r="AX10" s="1511"/>
      <c r="AY10" s="1511"/>
      <c r="AZ10" s="1511"/>
      <c r="BA10" s="1511"/>
      <c r="BB10" s="1511"/>
      <c r="BC10" s="1511"/>
      <c r="BD10" s="1511"/>
      <c r="BE10" s="1511"/>
      <c r="BF10" s="1511"/>
      <c r="BG10" s="1511"/>
      <c r="BH10" s="1511"/>
      <c r="BI10" s="1511"/>
      <c r="BJ10" s="1511"/>
    </row>
    <row r="11" spans="1:62">
      <c r="A11" s="1511"/>
      <c r="B11" s="1532"/>
      <c r="C11" s="1533" t="s">
        <v>277</v>
      </c>
      <c r="D11" s="1533" t="s">
        <v>13</v>
      </c>
      <c r="E11" s="1533" t="s">
        <v>215</v>
      </c>
      <c r="F11" s="1540">
        <v>324</v>
      </c>
      <c r="G11" s="1533" t="s">
        <v>67</v>
      </c>
      <c r="H11" s="1537">
        <v>140000</v>
      </c>
      <c r="I11" s="1533" t="s">
        <v>12</v>
      </c>
      <c r="J11" s="10">
        <f>(F11*H11)/1000000</f>
        <v>45.36</v>
      </c>
      <c r="K11" s="514">
        <v>3.65</v>
      </c>
      <c r="L11" s="1786">
        <v>0</v>
      </c>
      <c r="M11" s="1787">
        <v>0</v>
      </c>
      <c r="N11" s="1511"/>
      <c r="O11" s="1511"/>
      <c r="P11" s="1511"/>
      <c r="Q11" s="1511"/>
      <c r="R11" s="1511"/>
      <c r="S11" s="1511"/>
      <c r="T11" s="1511"/>
      <c r="U11" s="1511"/>
      <c r="V11" s="1511"/>
      <c r="W11" s="1511"/>
      <c r="X11" s="1511"/>
      <c r="Y11" s="1511"/>
      <c r="Z11" s="1511"/>
      <c r="AA11" s="1511"/>
      <c r="AB11" s="1511"/>
      <c r="AC11" s="1511"/>
      <c r="AD11" s="1511"/>
      <c r="AE11" s="1511"/>
      <c r="AF11" s="1511"/>
      <c r="AG11" s="1511"/>
      <c r="AH11" s="1511"/>
      <c r="AI11" s="1511"/>
      <c r="AJ11" s="1511"/>
      <c r="AK11" s="1511"/>
      <c r="AL11" s="1511"/>
      <c r="AM11" s="1511"/>
      <c r="AN11" s="1511"/>
      <c r="AO11" s="1511"/>
      <c r="AP11" s="1511"/>
      <c r="AQ11" s="1511"/>
      <c r="AR11" s="1511"/>
      <c r="AS11" s="1511"/>
      <c r="AT11" s="1511"/>
      <c r="AU11" s="1511"/>
      <c r="AV11" s="1511"/>
      <c r="AW11" s="1511"/>
      <c r="AX11" s="1511"/>
      <c r="AY11" s="1511"/>
      <c r="AZ11" s="1511"/>
      <c r="BA11" s="1511"/>
      <c r="BB11" s="1511"/>
      <c r="BC11" s="1511"/>
      <c r="BD11" s="1511"/>
      <c r="BE11" s="1511"/>
      <c r="BF11" s="1511"/>
      <c r="BG11" s="1511"/>
      <c r="BH11" s="1511"/>
      <c r="BI11" s="1511"/>
      <c r="BJ11" s="1511"/>
    </row>
    <row r="12" spans="1:62">
      <c r="A12" s="1511"/>
      <c r="B12" s="1532"/>
      <c r="C12" s="1533"/>
      <c r="D12" s="1533"/>
      <c r="E12" s="1533"/>
      <c r="F12" s="1533"/>
      <c r="G12" s="1533"/>
      <c r="H12" s="1533"/>
      <c r="I12" s="1533"/>
      <c r="J12" s="1778"/>
      <c r="K12" s="514"/>
      <c r="L12" s="1786"/>
      <c r="M12" s="1787"/>
      <c r="N12" s="1511"/>
      <c r="O12" s="1511"/>
      <c r="P12" s="1511"/>
      <c r="Q12" s="1511"/>
      <c r="R12" s="1511"/>
      <c r="S12" s="1511"/>
      <c r="T12" s="1511"/>
      <c r="U12" s="1511"/>
      <c r="V12" s="1511"/>
      <c r="W12" s="1511"/>
      <c r="X12" s="1511"/>
      <c r="Y12" s="1511"/>
      <c r="Z12" s="1511"/>
      <c r="AA12" s="1511"/>
      <c r="AB12" s="1511"/>
      <c r="AC12" s="1511"/>
      <c r="AD12" s="1511"/>
      <c r="AE12" s="1511"/>
      <c r="AF12" s="1511"/>
      <c r="AG12" s="1511"/>
      <c r="AH12" s="1511"/>
      <c r="AI12" s="1511"/>
      <c r="AJ12" s="1511"/>
      <c r="AK12" s="1511"/>
      <c r="AL12" s="1511"/>
      <c r="AM12" s="1511"/>
      <c r="AN12" s="1511"/>
      <c r="AO12" s="1511"/>
      <c r="AP12" s="1511"/>
      <c r="AQ12" s="1511"/>
      <c r="AR12" s="1511"/>
      <c r="AS12" s="1511"/>
      <c r="AT12" s="1511"/>
      <c r="AU12" s="1511"/>
      <c r="AV12" s="1511"/>
      <c r="AW12" s="1511"/>
      <c r="AX12" s="1511"/>
      <c r="AY12" s="1511"/>
      <c r="AZ12" s="1511"/>
      <c r="BA12" s="1511"/>
      <c r="BB12" s="1511"/>
      <c r="BC12" s="1511"/>
      <c r="BD12" s="1511"/>
      <c r="BE12" s="1511"/>
      <c r="BF12" s="1511"/>
      <c r="BG12" s="1511"/>
      <c r="BH12" s="1511"/>
      <c r="BI12" s="1511"/>
      <c r="BJ12" s="1511"/>
    </row>
    <row r="13" spans="1:62">
      <c r="A13" s="1511"/>
      <c r="B13" s="1532"/>
      <c r="C13" s="1533" t="s">
        <v>72</v>
      </c>
      <c r="D13" s="1533" t="s">
        <v>73</v>
      </c>
      <c r="E13" s="1533" t="s">
        <v>1114</v>
      </c>
      <c r="F13" s="1540">
        <v>3414700</v>
      </c>
      <c r="G13" s="1533" t="s">
        <v>147</v>
      </c>
      <c r="H13" s="1537">
        <v>1020</v>
      </c>
      <c r="I13" s="1533" t="s">
        <v>74</v>
      </c>
      <c r="J13" s="1774">
        <f>(F13*H13)/1000000</f>
        <v>3482.9940000000001</v>
      </c>
      <c r="K13" s="514">
        <v>205.16</v>
      </c>
      <c r="L13" s="1786">
        <v>0</v>
      </c>
      <c r="M13" s="1787">
        <v>0</v>
      </c>
      <c r="N13" s="1511"/>
      <c r="O13" s="1511"/>
      <c r="P13" s="1511"/>
      <c r="Q13" s="1511"/>
      <c r="R13" s="1511"/>
      <c r="S13" s="1511"/>
      <c r="T13" s="1511"/>
      <c r="U13" s="1511"/>
      <c r="V13" s="1511"/>
      <c r="W13" s="1511"/>
      <c r="X13" s="1511"/>
      <c r="Y13" s="1511"/>
      <c r="Z13" s="1511"/>
      <c r="AA13" s="1511"/>
      <c r="AB13" s="1511"/>
      <c r="AC13" s="1511"/>
      <c r="AD13" s="1511"/>
      <c r="AE13" s="1511"/>
      <c r="AF13" s="1511"/>
      <c r="AG13" s="1511"/>
      <c r="AH13" s="1511"/>
      <c r="AI13" s="1511"/>
      <c r="AJ13" s="1511"/>
      <c r="AK13" s="1511"/>
      <c r="AL13" s="1511"/>
      <c r="AM13" s="1511"/>
      <c r="AN13" s="1511"/>
      <c r="AO13" s="1511"/>
      <c r="AP13" s="1511"/>
      <c r="AQ13" s="1511"/>
      <c r="AR13" s="1511"/>
      <c r="AS13" s="1511"/>
      <c r="AT13" s="1511"/>
      <c r="AU13" s="1511"/>
      <c r="AV13" s="1511"/>
      <c r="AW13" s="1511"/>
      <c r="AX13" s="1511"/>
      <c r="AY13" s="1511"/>
      <c r="AZ13" s="1511"/>
      <c r="BA13" s="1511"/>
      <c r="BB13" s="1511"/>
      <c r="BC13" s="1511"/>
      <c r="BD13" s="1511"/>
      <c r="BE13" s="1511"/>
      <c r="BF13" s="1511"/>
      <c r="BG13" s="1511"/>
      <c r="BH13" s="1511"/>
      <c r="BI13" s="1511"/>
      <c r="BJ13" s="1511"/>
    </row>
    <row r="14" spans="1:62" ht="13.5" thickBot="1">
      <c r="A14" s="1511"/>
      <c r="B14" s="1579"/>
      <c r="C14" s="1512"/>
      <c r="D14" s="1512"/>
      <c r="E14" s="1512"/>
      <c r="F14" s="1513"/>
      <c r="G14" s="1512"/>
      <c r="H14" s="1580"/>
      <c r="I14" s="1512"/>
      <c r="J14" s="1779"/>
      <c r="K14" s="1781"/>
      <c r="L14" s="1581"/>
      <c r="M14" s="1582"/>
      <c r="N14" s="1511"/>
      <c r="O14" s="1511"/>
      <c r="P14" s="1511"/>
      <c r="Q14" s="1511"/>
      <c r="R14" s="1511"/>
      <c r="S14" s="1511"/>
      <c r="T14" s="1511"/>
      <c r="U14" s="1511"/>
      <c r="V14" s="1511"/>
      <c r="W14" s="1511"/>
      <c r="X14" s="1511"/>
      <c r="Y14" s="1511"/>
      <c r="Z14" s="1511"/>
      <c r="AA14" s="1511"/>
      <c r="AB14" s="1511"/>
      <c r="AC14" s="1511"/>
      <c r="AD14" s="1511"/>
      <c r="AE14" s="1511"/>
      <c r="AF14" s="1511"/>
      <c r="AG14" s="1511"/>
      <c r="AH14" s="1511"/>
      <c r="AI14" s="1511"/>
      <c r="AJ14" s="1511"/>
      <c r="AK14" s="1511"/>
      <c r="AL14" s="1511"/>
      <c r="AM14" s="1511"/>
      <c r="AN14" s="1511"/>
      <c r="AO14" s="1511"/>
      <c r="AP14" s="1511"/>
      <c r="AQ14" s="1511"/>
      <c r="AR14" s="1511"/>
      <c r="AS14" s="1511"/>
      <c r="AT14" s="1511"/>
      <c r="AU14" s="1511"/>
      <c r="AV14" s="1511"/>
      <c r="AW14" s="1511"/>
      <c r="AX14" s="1511"/>
      <c r="AY14" s="1511"/>
      <c r="AZ14" s="1511"/>
      <c r="BA14" s="1511"/>
      <c r="BB14" s="1511"/>
      <c r="BC14" s="1511"/>
      <c r="BD14" s="1511"/>
      <c r="BE14" s="1511"/>
      <c r="BF14" s="1511"/>
      <c r="BG14" s="1511"/>
      <c r="BH14" s="1511"/>
      <c r="BI14" s="1511"/>
      <c r="BJ14" s="1511"/>
    </row>
    <row r="15" spans="1:62">
      <c r="A15" s="1511"/>
      <c r="B15" s="1532"/>
      <c r="C15" s="1533"/>
      <c r="D15" s="1533"/>
      <c r="E15" s="1533"/>
      <c r="F15" s="1537"/>
      <c r="G15" s="1533"/>
      <c r="H15" s="1537"/>
      <c r="I15" s="1533"/>
      <c r="J15" s="1547"/>
      <c r="K15" s="1508"/>
      <c r="L15" s="1546"/>
      <c r="M15" s="1541"/>
      <c r="N15" s="1511"/>
      <c r="O15" s="1511"/>
      <c r="P15" s="1511"/>
      <c r="Q15" s="1511"/>
      <c r="R15" s="1511"/>
      <c r="S15" s="1511"/>
      <c r="T15" s="1511"/>
      <c r="U15" s="1511"/>
      <c r="V15" s="1511"/>
      <c r="W15" s="1511"/>
      <c r="X15" s="1511"/>
      <c r="Y15" s="1511"/>
      <c r="Z15" s="1511"/>
      <c r="AA15" s="1511"/>
      <c r="AB15" s="1511"/>
      <c r="AC15" s="1511"/>
      <c r="AD15" s="1511"/>
      <c r="AE15" s="1511"/>
      <c r="AF15" s="1511"/>
      <c r="AG15" s="1511"/>
      <c r="AH15" s="1511"/>
      <c r="AI15" s="1511"/>
      <c r="AJ15" s="1511"/>
      <c r="AK15" s="1511"/>
      <c r="AL15" s="1511"/>
      <c r="AM15" s="1511"/>
      <c r="AN15" s="1511"/>
      <c r="AO15" s="1511"/>
      <c r="AP15" s="1511"/>
      <c r="AQ15" s="1511"/>
      <c r="AR15" s="1511"/>
      <c r="AS15" s="1511"/>
      <c r="AT15" s="1511"/>
      <c r="AU15" s="1511"/>
      <c r="AV15" s="1511"/>
      <c r="AW15" s="1511"/>
      <c r="AX15" s="1511"/>
      <c r="AY15" s="1511"/>
      <c r="AZ15" s="1511"/>
      <c r="BA15" s="1511"/>
      <c r="BB15" s="1511"/>
      <c r="BC15" s="1511"/>
      <c r="BD15" s="1511"/>
      <c r="BE15" s="1511"/>
      <c r="BF15" s="1511"/>
      <c r="BG15" s="1511"/>
      <c r="BH15" s="1511"/>
      <c r="BI15" s="1511"/>
      <c r="BJ15" s="1511"/>
    </row>
    <row r="16" spans="1:62">
      <c r="A16" s="1511"/>
      <c r="B16" s="1532" t="s">
        <v>1130</v>
      </c>
      <c r="C16" s="2" t="s">
        <v>1137</v>
      </c>
      <c r="D16" s="1533"/>
      <c r="E16" s="1533"/>
      <c r="F16" s="1537"/>
      <c r="G16" s="1533"/>
      <c r="H16" s="1537"/>
      <c r="I16" s="1533"/>
      <c r="J16" s="1533"/>
      <c r="K16" s="1537"/>
      <c r="L16" s="1546"/>
      <c r="M16" s="1541"/>
      <c r="N16" s="1511"/>
      <c r="O16" s="15" t="s">
        <v>1176</v>
      </c>
      <c r="P16" s="1511"/>
      <c r="Q16" s="1511"/>
      <c r="R16" s="1511"/>
      <c r="S16" s="1511"/>
      <c r="T16" s="1511"/>
      <c r="U16" s="1511"/>
      <c r="V16" s="1511"/>
      <c r="W16" s="1511"/>
      <c r="X16" s="1511"/>
      <c r="Y16" s="1511"/>
      <c r="Z16" s="1511"/>
      <c r="AA16" s="1511"/>
      <c r="AB16" s="1511"/>
      <c r="AC16" s="1511"/>
      <c r="AD16" s="1511"/>
      <c r="AE16" s="1511"/>
      <c r="AF16" s="1511"/>
      <c r="AG16" s="1511"/>
      <c r="AH16" s="1511"/>
      <c r="AI16" s="1511"/>
      <c r="AJ16" s="1511"/>
      <c r="AK16" s="1511"/>
      <c r="AL16" s="1511"/>
      <c r="AM16" s="1511"/>
      <c r="AN16" s="1511"/>
      <c r="AO16" s="1511"/>
      <c r="AP16" s="1511"/>
      <c r="AQ16" s="1511"/>
      <c r="AR16" s="1511"/>
      <c r="AS16" s="1511"/>
      <c r="AT16" s="1511"/>
      <c r="AU16" s="1511"/>
      <c r="AV16" s="1511"/>
      <c r="AW16" s="1511"/>
      <c r="AX16" s="1511"/>
      <c r="AY16" s="1511"/>
      <c r="AZ16" s="1511"/>
      <c r="BA16" s="1511"/>
      <c r="BB16" s="1511"/>
      <c r="BC16" s="1511"/>
      <c r="BD16" s="1511"/>
      <c r="BE16" s="1511"/>
      <c r="BF16" s="1511"/>
      <c r="BG16" s="1511"/>
      <c r="BH16" s="1511"/>
      <c r="BI16" s="1511"/>
      <c r="BJ16" s="1511"/>
    </row>
    <row r="17" spans="1:62">
      <c r="A17" s="1511"/>
      <c r="B17" s="1532"/>
      <c r="C17" s="169"/>
      <c r="D17" s="1533"/>
      <c r="E17" s="1533"/>
      <c r="F17" s="1537"/>
      <c r="G17" s="1533"/>
      <c r="H17" s="1537"/>
      <c r="I17" s="1533"/>
      <c r="J17" s="1533"/>
      <c r="K17" s="1548"/>
      <c r="L17" s="1546"/>
      <c r="M17" s="1541"/>
      <c r="N17" s="1511"/>
      <c r="O17" s="1511" t="s">
        <v>1177</v>
      </c>
      <c r="P17" s="1511" t="s">
        <v>1178</v>
      </c>
      <c r="Q17" s="1511"/>
      <c r="R17" s="1511"/>
      <c r="S17" s="1511"/>
      <c r="T17" s="1511"/>
      <c r="U17" s="1511"/>
      <c r="V17" s="1511"/>
      <c r="W17" s="1511"/>
      <c r="X17" s="1511"/>
      <c r="Y17" s="1511"/>
      <c r="Z17" s="1511"/>
      <c r="AA17" s="1511"/>
      <c r="AB17" s="1511"/>
      <c r="AC17" s="1511"/>
      <c r="AD17" s="1511"/>
      <c r="AE17" s="1511"/>
      <c r="AF17" s="1511"/>
      <c r="AG17" s="1511"/>
      <c r="AH17" s="1511"/>
      <c r="AI17" s="1511"/>
      <c r="AJ17" s="1511"/>
      <c r="AK17" s="1511"/>
      <c r="AL17" s="1511"/>
      <c r="AM17" s="1511"/>
      <c r="AN17" s="1511"/>
      <c r="AO17" s="1511"/>
      <c r="AP17" s="1511"/>
      <c r="AQ17" s="1511"/>
      <c r="AR17" s="1511"/>
      <c r="AS17" s="1511"/>
      <c r="AT17" s="1511"/>
      <c r="AU17" s="1511"/>
      <c r="AV17" s="1511"/>
      <c r="AW17" s="1511"/>
      <c r="AX17" s="1511"/>
      <c r="AY17" s="1511"/>
      <c r="AZ17" s="1511"/>
      <c r="BA17" s="1511"/>
      <c r="BB17" s="1511"/>
      <c r="BC17" s="1511"/>
      <c r="BD17" s="1511"/>
      <c r="BE17" s="1511"/>
      <c r="BF17" s="1511"/>
      <c r="BG17" s="1511"/>
      <c r="BH17" s="1511"/>
      <c r="BI17" s="1511"/>
      <c r="BJ17" s="1511"/>
    </row>
    <row r="18" spans="1:62">
      <c r="A18" s="1511"/>
      <c r="B18" s="1532"/>
      <c r="C18" s="1533" t="s">
        <v>14</v>
      </c>
      <c r="D18" s="1549" t="s">
        <v>1138</v>
      </c>
      <c r="E18" s="1533" t="s">
        <v>15</v>
      </c>
      <c r="F18" s="1540">
        <v>1204681</v>
      </c>
      <c r="G18" s="1533" t="s">
        <v>67</v>
      </c>
      <c r="H18" s="1550">
        <v>0.13800000000000001</v>
      </c>
      <c r="I18" s="1533" t="s">
        <v>1158</v>
      </c>
      <c r="J18" s="1551">
        <f>F18*H18</f>
        <v>166245.978</v>
      </c>
      <c r="K18" s="1552">
        <f>(+J18/(J18+J19))*K20</f>
        <v>17666.009736203665</v>
      </c>
      <c r="L18" s="1600">
        <v>0.55300000000000005</v>
      </c>
      <c r="M18" s="1760">
        <v>0.11</v>
      </c>
      <c r="N18" s="1511"/>
      <c r="O18" s="1511"/>
      <c r="P18" s="1511"/>
      <c r="Q18" s="1511"/>
      <c r="R18" s="1511"/>
      <c r="S18" s="1511"/>
      <c r="T18" s="1511"/>
      <c r="U18" s="1511"/>
      <c r="V18" s="1511"/>
      <c r="W18" s="1511"/>
      <c r="X18" s="1511"/>
      <c r="Y18" s="1511"/>
      <c r="Z18" s="1511"/>
      <c r="AA18" s="1511"/>
      <c r="AB18" s="1511"/>
      <c r="AC18" s="1511"/>
      <c r="AD18" s="1511"/>
      <c r="AE18" s="1511"/>
      <c r="AF18" s="1511"/>
      <c r="AG18" s="1511"/>
      <c r="AH18" s="1511"/>
      <c r="AI18" s="1511"/>
      <c r="AJ18" s="1511"/>
      <c r="AK18" s="1511"/>
      <c r="AL18" s="1511"/>
      <c r="AM18" s="1511"/>
      <c r="AN18" s="1511"/>
      <c r="AO18" s="1511"/>
      <c r="AP18" s="1511"/>
      <c r="AQ18" s="1511"/>
      <c r="AR18" s="1511"/>
      <c r="AS18" s="1511"/>
      <c r="AT18" s="1511"/>
      <c r="AU18" s="1511"/>
      <c r="AV18" s="1511"/>
      <c r="AW18" s="1511"/>
      <c r="AX18" s="1511"/>
      <c r="AY18" s="1511"/>
      <c r="AZ18" s="1511"/>
      <c r="BA18" s="1511"/>
      <c r="BB18" s="1511"/>
      <c r="BC18" s="1511"/>
      <c r="BD18" s="1511"/>
      <c r="BE18" s="1511"/>
      <c r="BF18" s="1511"/>
      <c r="BG18" s="1511"/>
      <c r="BH18" s="1511"/>
      <c r="BI18" s="1511"/>
      <c r="BJ18" s="1511"/>
    </row>
    <row r="19" spans="1:62" ht="15.75">
      <c r="A19" s="1511"/>
      <c r="B19" s="1532"/>
      <c r="C19" s="1533"/>
      <c r="D19" s="1549" t="s">
        <v>1138</v>
      </c>
      <c r="E19" s="1533" t="s">
        <v>1139</v>
      </c>
      <c r="F19" s="1540">
        <v>697617</v>
      </c>
      <c r="G19" s="1533" t="s">
        <v>271</v>
      </c>
      <c r="H19" s="1546">
        <v>26.03</v>
      </c>
      <c r="I19" s="1533" t="s">
        <v>1159</v>
      </c>
      <c r="J19" s="1553">
        <f>(F19*H19)</f>
        <v>18158970.510000002</v>
      </c>
      <c r="K19" s="1552">
        <f>(+J19/(J18+J19))*K20</f>
        <v>1929649.9902637964</v>
      </c>
      <c r="L19" s="1600">
        <v>220.131</v>
      </c>
      <c r="M19" s="1760">
        <v>32.027000000000001</v>
      </c>
      <c r="N19" s="1511"/>
      <c r="O19" s="685"/>
      <c r="P19" s="1511" t="s">
        <v>1199</v>
      </c>
      <c r="Q19" s="1511" t="s">
        <v>1200</v>
      </c>
      <c r="R19" s="1511"/>
      <c r="S19" s="1511"/>
      <c r="T19" s="1511"/>
      <c r="U19" s="1511"/>
      <c r="V19" s="1511"/>
      <c r="W19" s="1511"/>
      <c r="X19" s="1511"/>
      <c r="Y19" s="1511"/>
      <c r="Z19" s="1511"/>
      <c r="AA19" s="1511"/>
      <c r="AB19" s="1511"/>
      <c r="AC19" s="1511"/>
      <c r="AD19" s="1511"/>
      <c r="AE19" s="1511"/>
      <c r="AF19" s="1511"/>
      <c r="AG19" s="1511"/>
      <c r="AH19" s="1511"/>
      <c r="AI19" s="1511"/>
      <c r="AJ19" s="1511"/>
      <c r="AK19" s="1511"/>
      <c r="AL19" s="1511"/>
      <c r="AM19" s="1511"/>
      <c r="AN19" s="1511"/>
      <c r="AO19" s="1511"/>
      <c r="AP19" s="1511"/>
      <c r="AQ19" s="1511"/>
      <c r="AR19" s="1511"/>
      <c r="AS19" s="1511"/>
      <c r="AT19" s="1511"/>
      <c r="AU19" s="1511"/>
      <c r="AV19" s="1511"/>
      <c r="AW19" s="1511"/>
      <c r="AX19" s="1511"/>
      <c r="AY19" s="1511"/>
      <c r="AZ19" s="1511"/>
      <c r="BA19" s="1511"/>
      <c r="BB19" s="1511"/>
      <c r="BC19" s="1511"/>
      <c r="BD19" s="1511"/>
      <c r="BE19" s="1511"/>
      <c r="BF19" s="1511"/>
      <c r="BG19" s="1511"/>
      <c r="BH19" s="1511"/>
      <c r="BI19" s="1511"/>
      <c r="BJ19" s="1511"/>
    </row>
    <row r="20" spans="1:62">
      <c r="A20" s="1511"/>
      <c r="B20" s="1532"/>
      <c r="C20" s="1533"/>
      <c r="D20" s="1549"/>
      <c r="E20" s="1533"/>
      <c r="F20" s="1537"/>
      <c r="G20" s="1533"/>
      <c r="H20" s="1537"/>
      <c r="I20" s="1533"/>
      <c r="J20" s="1542">
        <f>J18+J19</f>
        <v>18325216.488000002</v>
      </c>
      <c r="K20" s="1554">
        <v>1947316</v>
      </c>
      <c r="L20" s="1555">
        <f>L18+L19</f>
        <v>220.684</v>
      </c>
      <c r="M20" s="1570">
        <f>M18+M19</f>
        <v>32.137</v>
      </c>
      <c r="N20" s="1511"/>
      <c r="O20" s="1511" t="s">
        <v>1112</v>
      </c>
      <c r="P20" s="1514">
        <v>2.2000000000000001E-3</v>
      </c>
      <c r="Q20" s="1514">
        <v>3.5200000000000001E-3</v>
      </c>
      <c r="R20" s="1511"/>
      <c r="S20" s="1511"/>
      <c r="T20" s="1511"/>
      <c r="U20" s="1511"/>
      <c r="V20" s="1511"/>
      <c r="W20" s="1511"/>
      <c r="X20" s="1511"/>
      <c r="Y20" s="1511"/>
      <c r="Z20" s="1511"/>
      <c r="AA20" s="1511"/>
      <c r="AB20" s="1511"/>
      <c r="AC20" s="1511"/>
      <c r="AD20" s="1511"/>
      <c r="AE20" s="1511"/>
      <c r="AF20" s="1511"/>
      <c r="AG20" s="1511"/>
      <c r="AH20" s="1511"/>
      <c r="AI20" s="1511"/>
      <c r="AJ20" s="1511"/>
      <c r="AK20" s="1511"/>
      <c r="AL20" s="1511"/>
      <c r="AM20" s="1511"/>
      <c r="AN20" s="1511"/>
      <c r="AO20" s="1511"/>
      <c r="AP20" s="1511"/>
      <c r="AQ20" s="1511"/>
      <c r="AR20" s="1511"/>
      <c r="AS20" s="1511"/>
      <c r="AT20" s="1511"/>
      <c r="AU20" s="1511"/>
      <c r="AV20" s="1511"/>
      <c r="AW20" s="1511"/>
      <c r="AX20" s="1511"/>
      <c r="AY20" s="1511"/>
      <c r="AZ20" s="1511"/>
      <c r="BA20" s="1511"/>
      <c r="BB20" s="1511"/>
      <c r="BC20" s="1511"/>
      <c r="BD20" s="1511"/>
      <c r="BE20" s="1511"/>
      <c r="BF20" s="1511"/>
      <c r="BG20" s="1511"/>
      <c r="BH20" s="1511"/>
      <c r="BI20" s="1511"/>
      <c r="BJ20" s="1511"/>
    </row>
    <row r="21" spans="1:62">
      <c r="A21" s="1511"/>
      <c r="B21" s="1532"/>
      <c r="C21" s="1533"/>
      <c r="D21" s="1549"/>
      <c r="E21" s="1533"/>
      <c r="F21" s="1537"/>
      <c r="G21" s="1533"/>
      <c r="H21" s="1537"/>
      <c r="I21" s="1533"/>
      <c r="J21" s="1542"/>
      <c r="K21" s="1554"/>
      <c r="L21" s="1544"/>
      <c r="M21" s="1760"/>
      <c r="N21" s="1511"/>
      <c r="O21" s="1511" t="s">
        <v>47</v>
      </c>
      <c r="P21" s="1514">
        <v>6.6E-3</v>
      </c>
      <c r="Q21" s="1514">
        <v>1.32E-3</v>
      </c>
      <c r="R21" s="1511"/>
      <c r="S21" s="1511"/>
      <c r="T21" s="1511"/>
      <c r="U21" s="1511"/>
      <c r="V21" s="1511"/>
      <c r="W21" s="1511"/>
      <c r="X21" s="1511"/>
      <c r="Y21" s="1511"/>
      <c r="Z21" s="1511"/>
      <c r="AA21" s="1511"/>
      <c r="AB21" s="1511"/>
      <c r="AC21" s="1511"/>
      <c r="AD21" s="1511"/>
      <c r="AE21" s="1511"/>
      <c r="AF21" s="1511"/>
      <c r="AG21" s="1511"/>
      <c r="AH21" s="1511"/>
      <c r="AI21" s="1511"/>
      <c r="AJ21" s="1511"/>
      <c r="AK21" s="1511"/>
      <c r="AL21" s="1511"/>
      <c r="AM21" s="1511"/>
      <c r="AN21" s="1511"/>
      <c r="AO21" s="1511"/>
      <c r="AP21" s="1511"/>
      <c r="AQ21" s="1511"/>
      <c r="AR21" s="1511"/>
      <c r="AS21" s="1511"/>
      <c r="AT21" s="1511"/>
      <c r="AU21" s="1511"/>
      <c r="AV21" s="1511"/>
      <c r="AW21" s="1511"/>
      <c r="AX21" s="1511"/>
      <c r="AY21" s="1511"/>
      <c r="AZ21" s="1511"/>
      <c r="BA21" s="1511"/>
      <c r="BB21" s="1511"/>
      <c r="BC21" s="1511"/>
      <c r="BD21" s="1511"/>
      <c r="BE21" s="1511"/>
      <c r="BF21" s="1511"/>
      <c r="BG21" s="1511"/>
      <c r="BH21" s="1511"/>
      <c r="BI21" s="1511"/>
      <c r="BJ21" s="1511"/>
    </row>
    <row r="22" spans="1:62">
      <c r="A22" s="1511"/>
      <c r="B22" s="1532"/>
      <c r="C22" s="1533" t="s">
        <v>17</v>
      </c>
      <c r="D22" s="1549" t="s">
        <v>1140</v>
      </c>
      <c r="E22" s="1533" t="s">
        <v>15</v>
      </c>
      <c r="F22" s="1540">
        <v>1214369</v>
      </c>
      <c r="G22" s="1533" t="s">
        <v>67</v>
      </c>
      <c r="H22" s="1548">
        <v>0.13800000000000001</v>
      </c>
      <c r="I22" s="1533" t="s">
        <v>1158</v>
      </c>
      <c r="J22" s="1551">
        <f>F22*H22</f>
        <v>167582.92200000002</v>
      </c>
      <c r="K22" s="1543">
        <f>(J22/(J$23+J$22))*K$24</f>
        <v>17298.243524650614</v>
      </c>
      <c r="L22" s="1556">
        <v>0.55800000000000005</v>
      </c>
      <c r="M22" s="1760">
        <v>0.111</v>
      </c>
      <c r="N22" s="1511"/>
      <c r="O22" s="1511" t="s">
        <v>66</v>
      </c>
      <c r="P22" s="1514">
        <v>6.6E-3</v>
      </c>
      <c r="Q22" s="1514">
        <v>1.32E-3</v>
      </c>
      <c r="R22" s="1511"/>
      <c r="S22" s="1511"/>
      <c r="T22" s="1511"/>
      <c r="U22" s="1511"/>
      <c r="V22" s="1511"/>
      <c r="W22" s="1511"/>
      <c r="X22" s="1511"/>
      <c r="Y22" s="1511"/>
      <c r="Z22" s="1511"/>
      <c r="AA22" s="1511"/>
      <c r="AB22" s="1511"/>
      <c r="AC22" s="1511"/>
      <c r="AD22" s="1511"/>
      <c r="AE22" s="1511"/>
      <c r="AF22" s="1511"/>
      <c r="AG22" s="1511"/>
      <c r="AH22" s="1511"/>
      <c r="AI22" s="1511"/>
      <c r="AJ22" s="1511"/>
      <c r="AK22" s="1511"/>
      <c r="AL22" s="1511"/>
      <c r="AM22" s="1511"/>
      <c r="AN22" s="1511"/>
      <c r="AO22" s="1511"/>
      <c r="AP22" s="1511"/>
      <c r="AQ22" s="1511"/>
      <c r="AR22" s="1511"/>
      <c r="AS22" s="1511"/>
      <c r="AT22" s="1511"/>
      <c r="AU22" s="1511"/>
      <c r="AV22" s="1511"/>
      <c r="AW22" s="1511"/>
      <c r="AX22" s="1511"/>
      <c r="AY22" s="1511"/>
      <c r="AZ22" s="1511"/>
      <c r="BA22" s="1511"/>
      <c r="BB22" s="1511"/>
      <c r="BC22" s="1511"/>
      <c r="BD22" s="1511"/>
      <c r="BE22" s="1511"/>
      <c r="BF22" s="1511"/>
      <c r="BG22" s="1511"/>
      <c r="BH22" s="1511"/>
      <c r="BI22" s="1511"/>
      <c r="BJ22" s="1511"/>
    </row>
    <row r="23" spans="1:62">
      <c r="A23" s="1511"/>
      <c r="B23" s="1532"/>
      <c r="C23" s="1533"/>
      <c r="D23" s="1549" t="s">
        <v>1140</v>
      </c>
      <c r="E23" s="1533" t="s">
        <v>1139</v>
      </c>
      <c r="F23" s="1540">
        <v>960444</v>
      </c>
      <c r="G23" s="1533" t="s">
        <v>271</v>
      </c>
      <c r="H23" s="1546">
        <v>26.03</v>
      </c>
      <c r="I23" s="1533" t="s">
        <v>1159</v>
      </c>
      <c r="J23" s="1553">
        <f>F23*H23</f>
        <v>25000357.32</v>
      </c>
      <c r="K23" s="1543">
        <f>(J23/(J$23+J$22))*K$24</f>
        <v>2580586.7564753494</v>
      </c>
      <c r="L23" s="1556">
        <v>303.13499999999999</v>
      </c>
      <c r="M23" s="1760">
        <v>44.094000000000001</v>
      </c>
      <c r="N23" s="1511"/>
      <c r="O23" s="1511"/>
      <c r="P23" s="1511"/>
      <c r="Q23" s="1511"/>
      <c r="R23" s="1511"/>
      <c r="S23" s="1511"/>
      <c r="T23" s="1511"/>
      <c r="U23" s="1511"/>
      <c r="V23" s="1511"/>
      <c r="W23" s="1511"/>
      <c r="X23" s="1511"/>
      <c r="Y23" s="1511"/>
      <c r="Z23" s="1511"/>
      <c r="AA23" s="1511"/>
      <c r="AB23" s="1511"/>
      <c r="AC23" s="1511"/>
      <c r="AD23" s="1511"/>
      <c r="AE23" s="1511"/>
      <c r="AF23" s="1511"/>
      <c r="AG23" s="1511"/>
      <c r="AH23" s="1511"/>
      <c r="AI23" s="1511"/>
      <c r="AJ23" s="1511"/>
      <c r="AK23" s="1511"/>
      <c r="AL23" s="1511"/>
      <c r="AM23" s="1511"/>
      <c r="AN23" s="1511"/>
      <c r="AO23" s="1511"/>
      <c r="AP23" s="1511"/>
      <c r="AQ23" s="1511"/>
      <c r="AR23" s="1511"/>
      <c r="AS23" s="1511"/>
      <c r="AT23" s="1511"/>
      <c r="AU23" s="1511"/>
      <c r="AV23" s="1511"/>
      <c r="AW23" s="1511"/>
      <c r="AX23" s="1511"/>
      <c r="AY23" s="1511"/>
      <c r="AZ23" s="1511"/>
      <c r="BA23" s="1511"/>
      <c r="BB23" s="1511"/>
      <c r="BC23" s="1511"/>
      <c r="BD23" s="1511"/>
      <c r="BE23" s="1511"/>
      <c r="BF23" s="1511"/>
      <c r="BG23" s="1511"/>
      <c r="BH23" s="1511"/>
      <c r="BI23" s="1511"/>
      <c r="BJ23" s="1511"/>
    </row>
    <row r="24" spans="1:62">
      <c r="A24" s="1511"/>
      <c r="B24" s="1532"/>
      <c r="C24" s="1533"/>
      <c r="D24" s="1549"/>
      <c r="E24" s="1533"/>
      <c r="F24" s="1537"/>
      <c r="G24" s="1533"/>
      <c r="H24" s="1537"/>
      <c r="I24" s="1533"/>
      <c r="J24" s="1542">
        <f>J22+J23</f>
        <v>25167940.241999999</v>
      </c>
      <c r="K24" s="1554">
        <v>2597885</v>
      </c>
      <c r="L24" s="1761">
        <f>L22+L23</f>
        <v>303.69299999999998</v>
      </c>
      <c r="M24" s="1762">
        <f>M22+M23</f>
        <v>44.204999999999998</v>
      </c>
      <c r="N24" s="1511"/>
      <c r="O24" s="1511"/>
      <c r="P24" s="1511"/>
      <c r="Q24" s="1511"/>
      <c r="R24" s="1511"/>
      <c r="S24" s="1511"/>
      <c r="T24" s="1511"/>
      <c r="U24" s="1511"/>
      <c r="V24" s="1511"/>
      <c r="W24" s="1511"/>
      <c r="X24" s="1511"/>
      <c r="Y24" s="1511"/>
      <c r="Z24" s="1511"/>
      <c r="AA24" s="1511"/>
      <c r="AB24" s="1511"/>
      <c r="AC24" s="1511"/>
      <c r="AD24" s="1511"/>
      <c r="AE24" s="1511"/>
      <c r="AF24" s="1511"/>
      <c r="AG24" s="1511"/>
      <c r="AH24" s="1511"/>
      <c r="AI24" s="1511"/>
      <c r="AJ24" s="1511"/>
      <c r="AK24" s="1511"/>
      <c r="AL24" s="1511"/>
      <c r="AM24" s="1511"/>
      <c r="AN24" s="1511"/>
      <c r="AO24" s="1511"/>
      <c r="AP24" s="1511"/>
      <c r="AQ24" s="1511"/>
      <c r="AR24" s="1511"/>
      <c r="AS24" s="1511"/>
      <c r="AT24" s="1511"/>
      <c r="AU24" s="1511"/>
      <c r="AV24" s="1511"/>
      <c r="AW24" s="1511"/>
      <c r="AX24" s="1511"/>
      <c r="AY24" s="1511"/>
      <c r="AZ24" s="1511"/>
      <c r="BA24" s="1511"/>
      <c r="BB24" s="1511"/>
      <c r="BC24" s="1511"/>
      <c r="BD24" s="1511"/>
      <c r="BE24" s="1511"/>
      <c r="BF24" s="1511"/>
      <c r="BG24" s="1511"/>
      <c r="BH24" s="1511"/>
      <c r="BI24" s="1511"/>
      <c r="BJ24" s="1511"/>
    </row>
    <row r="25" spans="1:62" ht="13.5" thickBot="1">
      <c r="A25" s="1511"/>
      <c r="B25" s="1532"/>
      <c r="C25" s="1533"/>
      <c r="D25" s="1549"/>
      <c r="E25" s="1533"/>
      <c r="F25" s="1537"/>
      <c r="G25" s="1533"/>
      <c r="H25" s="1537"/>
      <c r="I25" s="1533"/>
      <c r="J25" s="1533"/>
      <c r="K25" s="1537"/>
      <c r="L25" s="1546"/>
      <c r="M25" s="1541"/>
      <c r="N25" s="1511"/>
      <c r="O25" s="1511"/>
      <c r="P25" s="1511"/>
      <c r="Q25" s="1511"/>
      <c r="R25" s="1511"/>
      <c r="S25" s="1511"/>
      <c r="T25" s="1511"/>
      <c r="U25" s="1511"/>
      <c r="V25" s="1511"/>
      <c r="W25" s="1511"/>
      <c r="X25" s="1511"/>
      <c r="Y25" s="1511"/>
      <c r="Z25" s="1511"/>
      <c r="AA25" s="1511"/>
      <c r="AB25" s="1511"/>
      <c r="AC25" s="1511"/>
      <c r="AD25" s="1511"/>
      <c r="AE25" s="1511"/>
      <c r="AF25" s="1511"/>
      <c r="AG25" s="1511"/>
      <c r="AH25" s="1511"/>
      <c r="AI25" s="1511"/>
      <c r="AJ25" s="1511"/>
      <c r="AK25" s="1511"/>
      <c r="AL25" s="1511"/>
      <c r="AM25" s="1511"/>
      <c r="AN25" s="1511"/>
      <c r="AO25" s="1511"/>
      <c r="AP25" s="1511"/>
      <c r="AQ25" s="1511"/>
      <c r="AR25" s="1511"/>
      <c r="AS25" s="1511"/>
      <c r="AT25" s="1511"/>
      <c r="AU25" s="1511"/>
      <c r="AV25" s="1511"/>
      <c r="AW25" s="1511"/>
      <c r="AX25" s="1511"/>
      <c r="AY25" s="1511"/>
      <c r="AZ25" s="1511"/>
      <c r="BA25" s="1511"/>
      <c r="BB25" s="1511"/>
      <c r="BC25" s="1511"/>
      <c r="BD25" s="1511"/>
      <c r="BE25" s="1511"/>
      <c r="BF25" s="1511"/>
      <c r="BG25" s="1511"/>
      <c r="BH25" s="1511"/>
      <c r="BI25" s="1511"/>
      <c r="BJ25" s="1511"/>
    </row>
    <row r="26" spans="1:62">
      <c r="A26" s="1511"/>
      <c r="B26" s="1576"/>
      <c r="C26" s="1530"/>
      <c r="D26" s="1583"/>
      <c r="E26" s="1530"/>
      <c r="F26" s="1508"/>
      <c r="G26" s="1530"/>
      <c r="H26" s="1508"/>
      <c r="I26" s="1530"/>
      <c r="J26" s="1530"/>
      <c r="K26" s="1508"/>
      <c r="L26" s="1509"/>
      <c r="M26" s="1578"/>
      <c r="N26" s="1511"/>
      <c r="O26" s="1511"/>
      <c r="P26" s="1511"/>
      <c r="Q26" s="1511"/>
      <c r="R26" s="1511"/>
      <c r="S26" s="1511"/>
      <c r="T26" s="1511"/>
      <c r="U26" s="1511"/>
      <c r="V26" s="1511"/>
      <c r="W26" s="1511"/>
      <c r="X26" s="1511"/>
      <c r="Y26" s="1511"/>
      <c r="Z26" s="1511"/>
      <c r="AA26" s="1511"/>
      <c r="AB26" s="1511"/>
      <c r="AC26" s="1511"/>
      <c r="AD26" s="1511"/>
      <c r="AE26" s="1511"/>
      <c r="AF26" s="1511"/>
      <c r="AG26" s="1511"/>
      <c r="AH26" s="1511"/>
      <c r="AI26" s="1511"/>
      <c r="AJ26" s="1511"/>
      <c r="AK26" s="1511"/>
      <c r="AL26" s="1511"/>
      <c r="AM26" s="1511"/>
      <c r="AN26" s="1511"/>
      <c r="AO26" s="1511"/>
      <c r="AP26" s="1511"/>
      <c r="AQ26" s="1511"/>
      <c r="AR26" s="1511"/>
      <c r="AS26" s="1511"/>
      <c r="AT26" s="1511"/>
      <c r="AU26" s="1511"/>
      <c r="AV26" s="1511"/>
      <c r="AW26" s="1511"/>
      <c r="AX26" s="1511"/>
      <c r="AY26" s="1511"/>
      <c r="AZ26" s="1511"/>
      <c r="BA26" s="1511"/>
      <c r="BB26" s="1511"/>
      <c r="BC26" s="1511"/>
      <c r="BD26" s="1511"/>
      <c r="BE26" s="1511"/>
      <c r="BF26" s="1511"/>
      <c r="BG26" s="1511"/>
      <c r="BH26" s="1511"/>
      <c r="BI26" s="1511"/>
      <c r="BJ26" s="1511"/>
    </row>
    <row r="27" spans="1:62">
      <c r="A27" s="1511"/>
      <c r="B27" s="1532" t="s">
        <v>1141</v>
      </c>
      <c r="C27" s="169" t="s">
        <v>1142</v>
      </c>
      <c r="D27" s="1549"/>
      <c r="E27" s="1533"/>
      <c r="F27" s="1537"/>
      <c r="G27" s="1533"/>
      <c r="H27" s="1537"/>
      <c r="I27" s="1533"/>
      <c r="J27" s="1533"/>
      <c r="K27" s="1537"/>
      <c r="L27" s="1546"/>
      <c r="M27" s="1541"/>
      <c r="N27" s="1511"/>
      <c r="O27" s="1511"/>
      <c r="P27" s="1511"/>
      <c r="Q27" s="1511"/>
      <c r="R27" s="1511"/>
      <c r="S27" s="1511"/>
      <c r="T27" s="1511"/>
      <c r="U27" s="1511"/>
      <c r="V27" s="1511"/>
      <c r="W27" s="1511"/>
      <c r="X27" s="1511"/>
      <c r="Y27" s="1511"/>
      <c r="Z27" s="1511"/>
      <c r="AA27" s="1511"/>
      <c r="AB27" s="1511"/>
      <c r="AC27" s="1511"/>
      <c r="AD27" s="1511"/>
      <c r="AE27" s="1511"/>
      <c r="AF27" s="1511"/>
      <c r="AG27" s="1511"/>
      <c r="AH27" s="1511"/>
      <c r="AI27" s="1511"/>
      <c r="AJ27" s="1511"/>
      <c r="AK27" s="1511"/>
      <c r="AL27" s="1511"/>
      <c r="AM27" s="1511"/>
      <c r="AN27" s="1511"/>
      <c r="AO27" s="1511"/>
      <c r="AP27" s="1511"/>
      <c r="AQ27" s="1511"/>
      <c r="AR27" s="1511"/>
      <c r="AS27" s="1511"/>
      <c r="AT27" s="1511"/>
      <c r="AU27" s="1511"/>
      <c r="AV27" s="1511"/>
      <c r="AW27" s="1511"/>
      <c r="AX27" s="1511"/>
      <c r="AY27" s="1511"/>
      <c r="AZ27" s="1511"/>
      <c r="BA27" s="1511"/>
      <c r="BB27" s="1511"/>
      <c r="BC27" s="1511"/>
      <c r="BD27" s="1511"/>
      <c r="BE27" s="1511"/>
      <c r="BF27" s="1511"/>
      <c r="BG27" s="1511"/>
      <c r="BH27" s="1511"/>
      <c r="BI27" s="1511"/>
      <c r="BJ27" s="1511"/>
    </row>
    <row r="28" spans="1:62">
      <c r="A28" s="1511"/>
      <c r="B28" s="1532"/>
      <c r="C28" s="1533" t="s">
        <v>1143</v>
      </c>
      <c r="D28" s="1549" t="s">
        <v>1144</v>
      </c>
      <c r="E28" s="1533" t="s">
        <v>75</v>
      </c>
      <c r="F28" s="1540">
        <v>20272000</v>
      </c>
      <c r="G28" s="1533" t="s">
        <v>147</v>
      </c>
      <c r="H28" s="1537">
        <v>1063</v>
      </c>
      <c r="I28" s="1533" t="s">
        <v>76</v>
      </c>
      <c r="J28" s="1553">
        <f>(F28*H28)/1000000</f>
        <v>21549.135999999999</v>
      </c>
      <c r="K28" s="1537">
        <f>(+J28/(J28+J29+J30))*K31</f>
        <v>2268.3908720086761</v>
      </c>
      <c r="L28" s="1546">
        <v>2.5999999999999999E-2</v>
      </c>
      <c r="M28" s="1541">
        <v>3.0000000000000001E-3</v>
      </c>
      <c r="N28" s="1511"/>
      <c r="O28" s="1511"/>
      <c r="P28" s="1511"/>
      <c r="Q28" s="1511"/>
      <c r="R28" s="1511"/>
      <c r="S28" s="1511"/>
      <c r="T28" s="1511"/>
      <c r="U28" s="1511"/>
      <c r="V28" s="1511"/>
      <c r="W28" s="1511"/>
      <c r="X28" s="1511"/>
      <c r="Y28" s="1511"/>
      <c r="Z28" s="1511"/>
      <c r="AA28" s="1511"/>
      <c r="AB28" s="1511"/>
      <c r="AC28" s="1511"/>
      <c r="AD28" s="1511"/>
      <c r="AE28" s="1511"/>
      <c r="AF28" s="1511"/>
      <c r="AG28" s="1511"/>
      <c r="AH28" s="1511"/>
      <c r="AI28" s="1511"/>
      <c r="AJ28" s="1511"/>
      <c r="AK28" s="1511"/>
      <c r="AL28" s="1511"/>
      <c r="AM28" s="1511"/>
      <c r="AN28" s="1511"/>
      <c r="AO28" s="1511"/>
      <c r="AP28" s="1511"/>
      <c r="AQ28" s="1511"/>
      <c r="AR28" s="1511"/>
      <c r="AS28" s="1511"/>
      <c r="AT28" s="1511"/>
      <c r="AU28" s="1511"/>
      <c r="AV28" s="1511"/>
      <c r="AW28" s="1511"/>
      <c r="AX28" s="1511"/>
      <c r="AY28" s="1511"/>
      <c r="AZ28" s="1511"/>
      <c r="BA28" s="1511"/>
      <c r="BB28" s="1511"/>
      <c r="BC28" s="1511"/>
      <c r="BD28" s="1511"/>
      <c r="BE28" s="1511"/>
      <c r="BF28" s="1511"/>
      <c r="BG28" s="1511"/>
      <c r="BH28" s="1511"/>
      <c r="BI28" s="1511"/>
      <c r="BJ28" s="1511"/>
    </row>
    <row r="29" spans="1:62">
      <c r="A29" s="1511"/>
      <c r="B29" s="1532"/>
      <c r="C29" s="1533"/>
      <c r="D29" s="1549" t="s">
        <v>1144</v>
      </c>
      <c r="E29" s="1533" t="s">
        <v>1183</v>
      </c>
      <c r="F29" s="1540">
        <v>15307</v>
      </c>
      <c r="G29" s="1533" t="s">
        <v>271</v>
      </c>
      <c r="H29" s="1546">
        <v>22.08</v>
      </c>
      <c r="I29" s="1533" t="s">
        <v>1185</v>
      </c>
      <c r="J29" s="1553">
        <f>F29*H29</f>
        <v>337978.56</v>
      </c>
      <c r="K29" s="1537">
        <f>(+J29/(J28+J29+J30))*K31</f>
        <v>35577.643597341281</v>
      </c>
      <c r="L29" s="1546">
        <v>0.41</v>
      </c>
      <c r="M29" s="1541">
        <v>0.65600000000000003</v>
      </c>
      <c r="N29" s="1511"/>
      <c r="O29" s="1511"/>
      <c r="P29" s="1511"/>
      <c r="Q29" s="1511"/>
      <c r="R29" s="1511"/>
      <c r="S29" s="1511"/>
      <c r="T29" s="1511"/>
      <c r="U29" s="1511"/>
      <c r="V29" s="1511"/>
      <c r="W29" s="1511"/>
      <c r="X29" s="1511"/>
      <c r="Y29" s="1511"/>
      <c r="Z29" s="1511"/>
      <c r="AA29" s="1511"/>
      <c r="AB29" s="1511"/>
      <c r="AC29" s="1511"/>
      <c r="AD29" s="1511"/>
      <c r="AE29" s="1511"/>
      <c r="AF29" s="1511"/>
      <c r="AG29" s="1511"/>
      <c r="AH29" s="1511"/>
      <c r="AI29" s="1511"/>
      <c r="AJ29" s="1511"/>
      <c r="AK29" s="1511"/>
      <c r="AL29" s="1511"/>
      <c r="AM29" s="1511"/>
      <c r="AN29" s="1511"/>
      <c r="AO29" s="1511"/>
      <c r="AP29" s="1511"/>
      <c r="AQ29" s="1511"/>
      <c r="AR29" s="1511"/>
      <c r="AS29" s="1511"/>
      <c r="AT29" s="1511"/>
      <c r="AU29" s="1511"/>
      <c r="AV29" s="1511"/>
      <c r="AW29" s="1511"/>
      <c r="AX29" s="1511"/>
      <c r="AY29" s="1511"/>
      <c r="AZ29" s="1511"/>
      <c r="BA29" s="1511"/>
      <c r="BB29" s="1511"/>
      <c r="BC29" s="1511"/>
      <c r="BD29" s="1511"/>
      <c r="BE29" s="1511"/>
      <c r="BF29" s="1511"/>
      <c r="BG29" s="1511"/>
      <c r="BH29" s="1511"/>
      <c r="BI29" s="1511"/>
      <c r="BJ29" s="1511"/>
    </row>
    <row r="30" spans="1:62">
      <c r="A30" s="1511"/>
      <c r="B30" s="1532"/>
      <c r="C30" s="1533"/>
      <c r="D30" s="1549" t="s">
        <v>1144</v>
      </c>
      <c r="E30" s="1533" t="s">
        <v>1184</v>
      </c>
      <c r="F30" s="1540">
        <v>47337</v>
      </c>
      <c r="G30" s="1533" t="s">
        <v>271</v>
      </c>
      <c r="H30" s="1546">
        <v>17.8</v>
      </c>
      <c r="I30" s="1533" t="s">
        <v>1185</v>
      </c>
      <c r="J30" s="1553">
        <f>F30*H30</f>
        <v>842598.6</v>
      </c>
      <c r="K30" s="1537">
        <f>(+J30/(J28+J29+J30))*K31</f>
        <v>88696.965530650021</v>
      </c>
      <c r="L30" s="1546">
        <v>1.01</v>
      </c>
      <c r="M30" s="1541">
        <v>1.6160000000000001</v>
      </c>
      <c r="N30" s="1511"/>
      <c r="O30" s="1511"/>
      <c r="P30" s="1511"/>
      <c r="Q30" s="1511"/>
      <c r="R30" s="1511"/>
      <c r="S30" s="1511"/>
      <c r="T30" s="1511"/>
      <c r="U30" s="1511"/>
      <c r="V30" s="1511"/>
      <c r="W30" s="1511"/>
      <c r="X30" s="1511"/>
      <c r="Y30" s="1511"/>
      <c r="Z30" s="1511"/>
      <c r="AA30" s="1511"/>
      <c r="AB30" s="1511"/>
      <c r="AC30" s="1511"/>
      <c r="AD30" s="1511"/>
      <c r="AE30" s="1511"/>
      <c r="AF30" s="1511"/>
      <c r="AG30" s="1511"/>
      <c r="AH30" s="1511"/>
      <c r="AI30" s="1511"/>
      <c r="AJ30" s="1511"/>
      <c r="AK30" s="1511"/>
      <c r="AL30" s="1511"/>
      <c r="AM30" s="1511"/>
      <c r="AN30" s="1511"/>
      <c r="AO30" s="1511"/>
      <c r="AP30" s="1511"/>
      <c r="AQ30" s="1511"/>
      <c r="AR30" s="1511"/>
      <c r="AS30" s="1511"/>
      <c r="AT30" s="1511"/>
      <c r="AU30" s="1511"/>
      <c r="AV30" s="1511"/>
      <c r="AW30" s="1511"/>
      <c r="AX30" s="1511"/>
      <c r="AY30" s="1511"/>
      <c r="AZ30" s="1511"/>
      <c r="BA30" s="1511"/>
      <c r="BB30" s="1511"/>
      <c r="BC30" s="1511"/>
      <c r="BD30" s="1511"/>
      <c r="BE30" s="1511"/>
      <c r="BF30" s="1511"/>
      <c r="BG30" s="1511"/>
      <c r="BH30" s="1511"/>
      <c r="BI30" s="1511"/>
      <c r="BJ30" s="1511"/>
    </row>
    <row r="31" spans="1:62">
      <c r="A31" s="1511"/>
      <c r="B31" s="1532"/>
      <c r="C31" s="1533"/>
      <c r="D31" s="1549"/>
      <c r="E31" s="1533"/>
      <c r="F31" s="1537"/>
      <c r="G31" s="1533"/>
      <c r="H31" s="1537"/>
      <c r="I31" s="1533"/>
      <c r="J31" s="1542">
        <f>SUM(J28:J30)</f>
        <v>1202126.2960000001</v>
      </c>
      <c r="K31" s="1554">
        <v>126543</v>
      </c>
      <c r="L31" s="1608">
        <f>SUM(L28:L30)</f>
        <v>1.446</v>
      </c>
      <c r="M31" s="1762">
        <f>SUM(M28:M30)</f>
        <v>2.2750000000000004</v>
      </c>
      <c r="N31" s="1511"/>
      <c r="O31" s="1511"/>
      <c r="P31" s="1511"/>
      <c r="Q31" s="1511"/>
      <c r="R31" s="1511"/>
      <c r="S31" s="1511"/>
      <c r="T31" s="1511"/>
      <c r="U31" s="1511"/>
      <c r="V31" s="1511"/>
      <c r="W31" s="1511"/>
      <c r="X31" s="1511"/>
      <c r="Y31" s="1511"/>
      <c r="Z31" s="1511"/>
      <c r="AA31" s="1511"/>
      <c r="AB31" s="1511"/>
      <c r="AC31" s="1511"/>
      <c r="AD31" s="1511"/>
      <c r="AE31" s="1511"/>
      <c r="AF31" s="1511"/>
      <c r="AG31" s="1511"/>
      <c r="AH31" s="1511"/>
      <c r="AI31" s="1511"/>
      <c r="AJ31" s="1511"/>
      <c r="AK31" s="1511"/>
      <c r="AL31" s="1511"/>
      <c r="AM31" s="1511"/>
      <c r="AN31" s="1511"/>
      <c r="AO31" s="1511"/>
      <c r="AP31" s="1511"/>
      <c r="AQ31" s="1511"/>
      <c r="AR31" s="1511"/>
      <c r="AS31" s="1511"/>
      <c r="AT31" s="1511"/>
      <c r="AU31" s="1511"/>
      <c r="AV31" s="1511"/>
      <c r="AW31" s="1511"/>
      <c r="AX31" s="1511"/>
      <c r="AY31" s="1511"/>
      <c r="AZ31" s="1511"/>
      <c r="BA31" s="1511"/>
      <c r="BB31" s="1511"/>
      <c r="BC31" s="1511"/>
      <c r="BD31" s="1511"/>
      <c r="BE31" s="1511"/>
      <c r="BF31" s="1511"/>
      <c r="BG31" s="1511"/>
      <c r="BH31" s="1511"/>
      <c r="BI31" s="1511"/>
      <c r="BJ31" s="1511"/>
    </row>
    <row r="32" spans="1:62">
      <c r="A32" s="1511"/>
      <c r="B32" s="1532"/>
      <c r="C32" s="1533"/>
      <c r="D32" s="1549"/>
      <c r="E32" s="1533"/>
      <c r="F32" s="1537"/>
      <c r="G32" s="1533"/>
      <c r="H32" s="1537"/>
      <c r="I32" s="1533"/>
      <c r="J32" s="1542"/>
      <c r="K32" s="1533"/>
      <c r="L32" s="1533"/>
      <c r="M32" s="1541"/>
      <c r="N32" s="1511"/>
      <c r="O32" s="1511"/>
      <c r="P32" s="1511"/>
      <c r="Q32" s="1511"/>
      <c r="R32" s="1511"/>
      <c r="S32" s="1511"/>
      <c r="T32" s="1511"/>
      <c r="U32" s="1511"/>
      <c r="V32" s="1511"/>
      <c r="W32" s="1511"/>
      <c r="X32" s="1511"/>
      <c r="Y32" s="1511"/>
      <c r="Z32" s="1511"/>
      <c r="AA32" s="1511"/>
      <c r="AB32" s="1511"/>
      <c r="AC32" s="1511"/>
      <c r="AD32" s="1511"/>
      <c r="AE32" s="1511"/>
      <c r="AF32" s="1511"/>
      <c r="AG32" s="1511"/>
      <c r="AH32" s="1511"/>
      <c r="AI32" s="1511"/>
      <c r="AJ32" s="1511"/>
      <c r="AK32" s="1511"/>
      <c r="AL32" s="1511"/>
      <c r="AM32" s="1511"/>
      <c r="AN32" s="1511"/>
      <c r="AO32" s="1511"/>
      <c r="AP32" s="1511"/>
      <c r="AQ32" s="1511"/>
      <c r="AR32" s="1511"/>
      <c r="AS32" s="1511"/>
      <c r="AT32" s="1511"/>
      <c r="AU32" s="1511"/>
      <c r="AV32" s="1511"/>
      <c r="AW32" s="1511"/>
      <c r="AX32" s="1511"/>
      <c r="AY32" s="1511"/>
      <c r="AZ32" s="1511"/>
      <c r="BA32" s="1511"/>
      <c r="BB32" s="1511"/>
      <c r="BC32" s="1511"/>
      <c r="BD32" s="1511"/>
      <c r="BE32" s="1511"/>
      <c r="BF32" s="1511"/>
      <c r="BG32" s="1511"/>
      <c r="BH32" s="1511"/>
      <c r="BI32" s="1511"/>
      <c r="BJ32" s="1511"/>
    </row>
    <row r="33" spans="1:62">
      <c r="A33" s="1511"/>
      <c r="B33" s="1532"/>
      <c r="C33" s="1533" t="s">
        <v>1145</v>
      </c>
      <c r="D33" s="1549" t="s">
        <v>1146</v>
      </c>
      <c r="E33" s="1533" t="s">
        <v>75</v>
      </c>
      <c r="F33" s="1540">
        <v>31279</v>
      </c>
      <c r="G33" s="1533" t="s">
        <v>147</v>
      </c>
      <c r="H33" s="1537">
        <v>1054</v>
      </c>
      <c r="I33" s="1533" t="s">
        <v>76</v>
      </c>
      <c r="J33" s="1553">
        <f>(F33*H33)/1000000</f>
        <v>32.968066</v>
      </c>
      <c r="K33" s="1537">
        <f>(+J33/(J33+J34+J35))*K36</f>
        <v>3.1297323889962043</v>
      </c>
      <c r="L33" s="1546">
        <v>0.04</v>
      </c>
      <c r="M33" s="1541">
        <v>4.0000000000000001E-3</v>
      </c>
      <c r="N33" s="1511"/>
      <c r="O33" s="1511"/>
      <c r="P33" s="1511"/>
      <c r="Q33" s="1511"/>
      <c r="R33" s="1511"/>
      <c r="S33" s="1511"/>
      <c r="T33" s="1511"/>
      <c r="U33" s="1511"/>
      <c r="V33" s="1511"/>
      <c r="W33" s="1511"/>
      <c r="X33" s="1511"/>
      <c r="Y33" s="1511"/>
      <c r="Z33" s="1511"/>
      <c r="AA33" s="1511"/>
      <c r="AB33" s="1511"/>
      <c r="AC33" s="1511"/>
      <c r="AD33" s="1511"/>
      <c r="AE33" s="1511"/>
      <c r="AF33" s="1511"/>
      <c r="AG33" s="1511"/>
      <c r="AH33" s="1511"/>
      <c r="AI33" s="1511"/>
      <c r="AJ33" s="1511"/>
      <c r="AK33" s="1511"/>
      <c r="AL33" s="1511"/>
      <c r="AM33" s="1511"/>
      <c r="AN33" s="1511"/>
      <c r="AO33" s="1511"/>
      <c r="AP33" s="1511"/>
      <c r="AQ33" s="1511"/>
      <c r="AR33" s="1511"/>
      <c r="AS33" s="1511"/>
      <c r="AT33" s="1511"/>
      <c r="AU33" s="1511"/>
      <c r="AV33" s="1511"/>
      <c r="AW33" s="1511"/>
      <c r="AX33" s="1511"/>
      <c r="AY33" s="1511"/>
      <c r="AZ33" s="1511"/>
      <c r="BA33" s="1511"/>
      <c r="BB33" s="1511"/>
      <c r="BC33" s="1511"/>
      <c r="BD33" s="1511"/>
      <c r="BE33" s="1511"/>
      <c r="BF33" s="1511"/>
      <c r="BG33" s="1511"/>
      <c r="BH33" s="1511"/>
      <c r="BI33" s="1511"/>
      <c r="BJ33" s="1511"/>
    </row>
    <row r="34" spans="1:62">
      <c r="A34" s="1511"/>
      <c r="B34" s="1532"/>
      <c r="C34" s="1533"/>
      <c r="D34" s="1549"/>
      <c r="E34" s="1533" t="s">
        <v>1183</v>
      </c>
      <c r="F34" s="1540">
        <v>24630</v>
      </c>
      <c r="G34" s="1533"/>
      <c r="H34" s="1546">
        <v>22.08</v>
      </c>
      <c r="I34" s="1533" t="s">
        <v>1185</v>
      </c>
      <c r="J34" s="1553">
        <f>F34*H34</f>
        <v>543830.39999999991</v>
      </c>
      <c r="K34" s="1537">
        <f>(+J34/(J33+J34+J35))*K36</f>
        <v>51627.038631891875</v>
      </c>
      <c r="L34" s="1546">
        <v>0.65900000000000003</v>
      </c>
      <c r="M34" s="1541">
        <v>1.0549999999999999</v>
      </c>
      <c r="N34" s="1511"/>
      <c r="O34" s="1511"/>
      <c r="P34" s="1511"/>
      <c r="Q34" s="1511"/>
      <c r="R34" s="1511"/>
      <c r="S34" s="1511"/>
      <c r="T34" s="1511"/>
      <c r="U34" s="1511"/>
      <c r="V34" s="1511"/>
      <c r="W34" s="1511"/>
      <c r="X34" s="1511"/>
      <c r="Y34" s="1511"/>
      <c r="Z34" s="1511"/>
      <c r="AA34" s="1511"/>
      <c r="AB34" s="1511"/>
      <c r="AC34" s="1511"/>
      <c r="AD34" s="1511"/>
      <c r="AE34" s="1511"/>
      <c r="AF34" s="1511"/>
      <c r="AG34" s="1511"/>
      <c r="AH34" s="1511"/>
      <c r="AI34" s="1511"/>
      <c r="AJ34" s="1511"/>
      <c r="AK34" s="1511"/>
      <c r="AL34" s="1511"/>
      <c r="AM34" s="1511"/>
      <c r="AN34" s="1511"/>
      <c r="AO34" s="1511"/>
      <c r="AP34" s="1511"/>
      <c r="AQ34" s="1511"/>
      <c r="AR34" s="1511"/>
      <c r="AS34" s="1511"/>
      <c r="AT34" s="1511"/>
      <c r="AU34" s="1511"/>
      <c r="AV34" s="1511"/>
      <c r="AW34" s="1511"/>
      <c r="AX34" s="1511"/>
      <c r="AY34" s="1511"/>
      <c r="AZ34" s="1511"/>
      <c r="BA34" s="1511"/>
      <c r="BB34" s="1511"/>
      <c r="BC34" s="1511"/>
      <c r="BD34" s="1511"/>
      <c r="BE34" s="1511"/>
      <c r="BF34" s="1511"/>
      <c r="BG34" s="1511"/>
      <c r="BH34" s="1511"/>
      <c r="BI34" s="1511"/>
      <c r="BJ34" s="1511"/>
    </row>
    <row r="35" spans="1:62">
      <c r="A35" s="1511"/>
      <c r="B35" s="1532"/>
      <c r="C35" s="1533"/>
      <c r="D35" s="1549" t="s">
        <v>1146</v>
      </c>
      <c r="E35" s="1533" t="s">
        <v>1184</v>
      </c>
      <c r="F35" s="1540">
        <v>62186</v>
      </c>
      <c r="G35" s="1533" t="s">
        <v>271</v>
      </c>
      <c r="H35" s="1546">
        <v>17.600000000000001</v>
      </c>
      <c r="I35" s="1533" t="s">
        <v>1185</v>
      </c>
      <c r="J35" s="1553">
        <f>F35*H35</f>
        <v>1094473.6000000001</v>
      </c>
      <c r="K35" s="1537">
        <f>(+J35/(J33+J34+J35))*K36</f>
        <v>103900.83163571914</v>
      </c>
      <c r="L35" s="1546">
        <v>1.327</v>
      </c>
      <c r="M35" s="1541">
        <v>2.1230000000000002</v>
      </c>
      <c r="N35" s="1511"/>
      <c r="O35" s="15" t="s">
        <v>1176</v>
      </c>
      <c r="P35" s="1511" t="s">
        <v>1180</v>
      </c>
      <c r="Q35" s="1511"/>
      <c r="R35" s="1511"/>
      <c r="S35" s="1511"/>
      <c r="T35" s="1511"/>
      <c r="U35" s="1511"/>
      <c r="V35" s="1511"/>
      <c r="W35" s="1511"/>
      <c r="X35" s="1511"/>
      <c r="Y35" s="1511"/>
      <c r="Z35" s="1511"/>
      <c r="AA35" s="1511"/>
      <c r="AB35" s="1511"/>
      <c r="AC35" s="1511"/>
      <c r="AD35" s="1511"/>
      <c r="AE35" s="1511"/>
      <c r="AF35" s="1511"/>
      <c r="AG35" s="1511"/>
      <c r="AH35" s="1511"/>
      <c r="AI35" s="1511"/>
      <c r="AJ35" s="1511"/>
      <c r="AK35" s="1511"/>
      <c r="AL35" s="1511"/>
      <c r="AM35" s="1511"/>
      <c r="AN35" s="1511"/>
      <c r="AO35" s="1511"/>
      <c r="AP35" s="1511"/>
      <c r="AQ35" s="1511"/>
      <c r="AR35" s="1511"/>
      <c r="AS35" s="1511"/>
      <c r="AT35" s="1511"/>
      <c r="AU35" s="1511"/>
      <c r="AV35" s="1511"/>
      <c r="AW35" s="1511"/>
      <c r="AX35" s="1511"/>
      <c r="AY35" s="1511"/>
      <c r="AZ35" s="1511"/>
      <c r="BA35" s="1511"/>
      <c r="BB35" s="1511"/>
      <c r="BC35" s="1511"/>
      <c r="BD35" s="1511"/>
      <c r="BE35" s="1511"/>
      <c r="BF35" s="1511"/>
      <c r="BG35" s="1511"/>
      <c r="BH35" s="1511"/>
      <c r="BI35" s="1511"/>
      <c r="BJ35" s="1511"/>
    </row>
    <row r="36" spans="1:62">
      <c r="A36" s="1511"/>
      <c r="B36" s="1532"/>
      <c r="C36" s="1533"/>
      <c r="D36" s="1549"/>
      <c r="E36" s="1533"/>
      <c r="F36" s="1537"/>
      <c r="G36" s="1533"/>
      <c r="H36" s="1537"/>
      <c r="I36" s="1533"/>
      <c r="J36" s="1542">
        <f>SUM(J33:J35)</f>
        <v>1638336.9680659999</v>
      </c>
      <c r="K36" s="1554">
        <v>155531</v>
      </c>
      <c r="L36" s="1608">
        <f>SUM(L33:L35)</f>
        <v>2.0259999999999998</v>
      </c>
      <c r="M36" s="1762">
        <f>SUM(M33:M35)</f>
        <v>3.1820000000000004</v>
      </c>
      <c r="N36" s="1511"/>
      <c r="O36" s="1511" t="s">
        <v>1177</v>
      </c>
      <c r="P36" s="1511" t="s">
        <v>1181</v>
      </c>
      <c r="Q36" s="1511"/>
      <c r="R36" s="1511"/>
      <c r="S36" s="1511"/>
      <c r="T36" s="1511"/>
      <c r="U36" s="1511"/>
      <c r="V36" s="1511"/>
      <c r="W36" s="1511"/>
      <c r="X36" s="1511"/>
      <c r="Y36" s="1511"/>
      <c r="Z36" s="1511"/>
      <c r="AA36" s="1511"/>
      <c r="AB36" s="1511"/>
      <c r="AC36" s="1511"/>
      <c r="AD36" s="1511"/>
      <c r="AE36" s="1511"/>
      <c r="AF36" s="1511"/>
      <c r="AG36" s="1511"/>
      <c r="AH36" s="1511"/>
      <c r="AI36" s="1511"/>
      <c r="AJ36" s="1511"/>
      <c r="AK36" s="1511"/>
      <c r="AL36" s="1511"/>
      <c r="AM36" s="1511"/>
      <c r="AN36" s="1511"/>
      <c r="AO36" s="1511"/>
      <c r="AP36" s="1511"/>
      <c r="AQ36" s="1511"/>
      <c r="AR36" s="1511"/>
      <c r="AS36" s="1511"/>
      <c r="AT36" s="1511"/>
      <c r="AU36" s="1511"/>
      <c r="AV36" s="1511"/>
      <c r="AW36" s="1511"/>
      <c r="AX36" s="1511"/>
      <c r="AY36" s="1511"/>
      <c r="AZ36" s="1511"/>
      <c r="BA36" s="1511"/>
      <c r="BB36" s="1511"/>
      <c r="BC36" s="1511"/>
      <c r="BD36" s="1511"/>
      <c r="BE36" s="1511"/>
      <c r="BF36" s="1511"/>
      <c r="BG36" s="1511"/>
      <c r="BH36" s="1511"/>
      <c r="BI36" s="1511"/>
      <c r="BJ36" s="1511"/>
    </row>
    <row r="37" spans="1:62">
      <c r="A37" s="1511"/>
      <c r="B37" s="1532"/>
      <c r="C37" s="1533"/>
      <c r="D37" s="1549"/>
      <c r="E37" s="1533"/>
      <c r="F37" s="1537"/>
      <c r="G37" s="1533"/>
      <c r="H37" s="1537"/>
      <c r="I37" s="1533"/>
      <c r="J37" s="1542"/>
      <c r="K37" s="1543"/>
      <c r="L37" s="1544"/>
      <c r="M37" s="1541"/>
      <c r="N37" s="1511"/>
      <c r="O37" s="1511"/>
      <c r="P37" s="1511"/>
      <c r="Q37" s="1511"/>
      <c r="R37" s="1511"/>
      <c r="S37" s="1511"/>
      <c r="T37" s="1511"/>
      <c r="U37" s="1511"/>
      <c r="V37" s="1511"/>
      <c r="W37" s="1511"/>
      <c r="X37" s="1511"/>
      <c r="Y37" s="1511"/>
      <c r="Z37" s="1511"/>
      <c r="AA37" s="1511"/>
      <c r="AB37" s="1511"/>
      <c r="AC37" s="1511"/>
      <c r="AD37" s="1511"/>
      <c r="AE37" s="1511"/>
      <c r="AF37" s="1511"/>
      <c r="AG37" s="1511"/>
      <c r="AH37" s="1511"/>
      <c r="AI37" s="1511"/>
      <c r="AJ37" s="1511"/>
      <c r="AK37" s="1511"/>
      <c r="AL37" s="1511"/>
      <c r="AM37" s="1511"/>
      <c r="AN37" s="1511"/>
      <c r="AO37" s="1511"/>
      <c r="AP37" s="1511"/>
      <c r="AQ37" s="1511"/>
      <c r="AR37" s="1511"/>
      <c r="AS37" s="1511"/>
      <c r="AT37" s="1511"/>
      <c r="AU37" s="1511"/>
      <c r="AV37" s="1511"/>
      <c r="AW37" s="1511"/>
      <c r="AX37" s="1511"/>
      <c r="AY37" s="1511"/>
      <c r="AZ37" s="1511"/>
      <c r="BA37" s="1511"/>
      <c r="BB37" s="1511"/>
      <c r="BC37" s="1511"/>
      <c r="BD37" s="1511"/>
      <c r="BE37" s="1511"/>
      <c r="BF37" s="1511"/>
      <c r="BG37" s="1511"/>
      <c r="BH37" s="1511"/>
      <c r="BI37" s="1511"/>
      <c r="BJ37" s="1511"/>
    </row>
    <row r="38" spans="1:62">
      <c r="A38" s="1511"/>
      <c r="B38" s="1532"/>
      <c r="C38" s="1533" t="s">
        <v>116</v>
      </c>
      <c r="D38" s="1549" t="s">
        <v>117</v>
      </c>
      <c r="E38" s="1533" t="s">
        <v>15</v>
      </c>
      <c r="F38" s="1540">
        <v>54</v>
      </c>
      <c r="G38" s="1533" t="s">
        <v>67</v>
      </c>
      <c r="H38" s="1537">
        <v>139</v>
      </c>
      <c r="I38" s="1533" t="s">
        <v>16</v>
      </c>
      <c r="J38" s="1542">
        <f>(F38*H38)/1000</f>
        <v>7.5060000000000002</v>
      </c>
      <c r="K38" s="1554">
        <v>0.61</v>
      </c>
      <c r="L38" s="1608">
        <f>0.0000248</f>
        <v>2.48E-5</v>
      </c>
      <c r="M38" s="1762">
        <f>0.00000497</f>
        <v>4.9699999999999998E-6</v>
      </c>
      <c r="N38" s="1511"/>
      <c r="O38" s="1511" t="s">
        <v>1179</v>
      </c>
      <c r="P38" s="15" t="s">
        <v>1176</v>
      </c>
      <c r="Q38" s="1511" t="s">
        <v>1178</v>
      </c>
      <c r="R38" s="15" t="s">
        <v>1176</v>
      </c>
      <c r="S38" s="15" t="s">
        <v>1176</v>
      </c>
      <c r="T38" s="1511"/>
      <c r="U38" s="1511"/>
      <c r="V38" s="1511"/>
      <c r="W38" s="1511"/>
      <c r="X38" s="1511"/>
      <c r="Y38" s="1511"/>
      <c r="Z38" s="1511"/>
      <c r="AA38" s="1511"/>
      <c r="AB38" s="1511"/>
      <c r="AC38" s="1511"/>
      <c r="AD38" s="1511"/>
      <c r="AE38" s="1511"/>
      <c r="AF38" s="1511"/>
      <c r="AG38" s="1511"/>
      <c r="AH38" s="1511"/>
      <c r="AI38" s="1511"/>
      <c r="AJ38" s="1511"/>
      <c r="AK38" s="1511"/>
      <c r="AL38" s="1511"/>
      <c r="AM38" s="1511"/>
      <c r="AN38" s="1511"/>
      <c r="AO38" s="1511"/>
      <c r="AP38" s="1511"/>
      <c r="AQ38" s="1511"/>
      <c r="AR38" s="1511"/>
      <c r="AS38" s="1511"/>
      <c r="AT38" s="1511"/>
      <c r="AU38" s="1511"/>
      <c r="AV38" s="1511"/>
      <c r="AW38" s="1511"/>
      <c r="AX38" s="1511"/>
      <c r="AY38" s="1511"/>
      <c r="AZ38" s="1511"/>
      <c r="BA38" s="1511"/>
      <c r="BB38" s="1511"/>
      <c r="BC38" s="1511"/>
      <c r="BD38" s="1511"/>
      <c r="BE38" s="1511"/>
      <c r="BF38" s="1511"/>
      <c r="BG38" s="1511"/>
      <c r="BH38" s="1511"/>
      <c r="BI38" s="1511"/>
      <c r="BJ38" s="1511"/>
    </row>
    <row r="39" spans="1:62">
      <c r="A39" s="1511"/>
      <c r="B39" s="1532"/>
      <c r="C39" s="1533"/>
      <c r="D39" s="1549"/>
      <c r="E39" s="1533"/>
      <c r="F39" s="1537"/>
      <c r="G39" s="1533"/>
      <c r="H39" s="1537"/>
      <c r="I39" s="1533"/>
      <c r="J39" s="1547"/>
      <c r="K39" s="1533"/>
      <c r="L39" s="1548"/>
      <c r="M39" s="1557"/>
      <c r="N39" s="1511"/>
      <c r="O39" s="1511"/>
      <c r="P39" s="1511" t="s">
        <v>1177</v>
      </c>
      <c r="Q39" s="1511"/>
      <c r="R39" s="1511" t="s">
        <v>1187</v>
      </c>
      <c r="S39" s="1511" t="s">
        <v>1188</v>
      </c>
      <c r="T39" s="1511"/>
      <c r="U39" s="1511"/>
      <c r="V39" s="1511"/>
      <c r="W39" s="1511"/>
      <c r="X39" s="1511"/>
      <c r="Y39" s="1511"/>
      <c r="Z39" s="1511"/>
      <c r="AA39" s="1511"/>
      <c r="AB39" s="1511"/>
      <c r="AC39" s="1511"/>
      <c r="AD39" s="1511"/>
      <c r="AE39" s="1511"/>
      <c r="AF39" s="1511"/>
      <c r="AG39" s="1511"/>
      <c r="AH39" s="1511"/>
      <c r="AI39" s="1511"/>
      <c r="AJ39" s="1511"/>
      <c r="AK39" s="1511"/>
      <c r="AL39" s="1511"/>
      <c r="AM39" s="1511"/>
      <c r="AN39" s="1511"/>
      <c r="AO39" s="1511"/>
      <c r="AP39" s="1511"/>
      <c r="AQ39" s="1511"/>
      <c r="AR39" s="1511"/>
      <c r="AS39" s="1511"/>
      <c r="AT39" s="1511"/>
      <c r="AU39" s="1511"/>
      <c r="AV39" s="1511"/>
      <c r="AW39" s="1511"/>
      <c r="AX39" s="1511"/>
      <c r="AY39" s="1511"/>
      <c r="AZ39" s="1511"/>
      <c r="BA39" s="1511"/>
      <c r="BB39" s="1511"/>
      <c r="BC39" s="1511"/>
      <c r="BD39" s="1511"/>
      <c r="BE39" s="1511"/>
      <c r="BF39" s="1511"/>
      <c r="BG39" s="1511"/>
      <c r="BH39" s="1511"/>
      <c r="BI39" s="1511"/>
      <c r="BJ39" s="1511"/>
    </row>
    <row r="40" spans="1:62">
      <c r="A40" s="1511"/>
      <c r="B40" s="1532"/>
      <c r="C40" s="1533" t="s">
        <v>118</v>
      </c>
      <c r="D40" s="1549" t="s">
        <v>119</v>
      </c>
      <c r="E40" s="1533" t="s">
        <v>15</v>
      </c>
      <c r="F40" s="1540">
        <v>14210</v>
      </c>
      <c r="G40" s="1533" t="s">
        <v>67</v>
      </c>
      <c r="H40" s="1537">
        <v>139</v>
      </c>
      <c r="I40" s="1533" t="s">
        <v>16</v>
      </c>
      <c r="J40" s="1542">
        <f>(F40*H40)/1000</f>
        <v>1975.19</v>
      </c>
      <c r="K40" s="1554">
        <v>898</v>
      </c>
      <c r="L40" s="1555">
        <v>1.7000000000000001E-2</v>
      </c>
      <c r="M40" s="1763">
        <v>1.6999999999999999E-3</v>
      </c>
      <c r="N40" s="1511"/>
      <c r="O40" s="1511" t="s">
        <v>1179</v>
      </c>
      <c r="P40" s="1511"/>
      <c r="Q40" s="1511" t="s">
        <v>77</v>
      </c>
      <c r="R40" s="1511">
        <v>2.2000000000000001E-3</v>
      </c>
      <c r="S40" s="1511">
        <v>2.2000000000000001E-4</v>
      </c>
      <c r="T40" s="1511"/>
      <c r="U40" s="1511"/>
      <c r="V40" s="1511"/>
      <c r="W40" s="1511"/>
      <c r="X40" s="1511"/>
      <c r="Y40" s="1511"/>
      <c r="Z40" s="1511"/>
      <c r="AA40" s="1511"/>
      <c r="AB40" s="1511"/>
      <c r="AC40" s="1511"/>
      <c r="AD40" s="1511"/>
      <c r="AE40" s="1511"/>
      <c r="AF40" s="1511"/>
      <c r="AG40" s="1511"/>
      <c r="AH40" s="1511"/>
      <c r="AI40" s="1511"/>
      <c r="AJ40" s="1511"/>
      <c r="AK40" s="1511"/>
      <c r="AL40" s="1511"/>
      <c r="AM40" s="1511"/>
      <c r="AN40" s="1511"/>
      <c r="AO40" s="1511"/>
      <c r="AP40" s="1511"/>
      <c r="AQ40" s="1511"/>
      <c r="AR40" s="1511"/>
      <c r="AS40" s="1511"/>
      <c r="AT40" s="1511"/>
      <c r="AU40" s="1511"/>
      <c r="AV40" s="1511"/>
      <c r="AW40" s="1511"/>
      <c r="AX40" s="1511"/>
      <c r="AY40" s="1511"/>
      <c r="AZ40" s="1511"/>
      <c r="BA40" s="1511"/>
      <c r="BB40" s="1511"/>
      <c r="BC40" s="1511"/>
      <c r="BD40" s="1511"/>
      <c r="BE40" s="1511"/>
      <c r="BF40" s="1511"/>
      <c r="BG40" s="1511"/>
      <c r="BH40" s="1511"/>
      <c r="BI40" s="1511"/>
      <c r="BJ40" s="1511"/>
    </row>
    <row r="41" spans="1:62">
      <c r="A41" s="1511"/>
      <c r="B41" s="1532"/>
      <c r="C41" s="1533"/>
      <c r="D41" s="1549"/>
      <c r="E41" s="1533"/>
      <c r="F41" s="1540"/>
      <c r="G41" s="1533"/>
      <c r="H41" s="1537"/>
      <c r="I41" s="1533"/>
      <c r="J41" s="1547"/>
      <c r="K41" s="1533"/>
      <c r="L41" s="1533"/>
      <c r="M41" s="1557"/>
      <c r="N41" s="1511"/>
      <c r="O41" s="1511"/>
      <c r="P41" s="1515" t="s">
        <v>1182</v>
      </c>
      <c r="Q41" s="1511" t="s">
        <v>1183</v>
      </c>
      <c r="R41" s="1511">
        <v>2.2000000000000001E-3</v>
      </c>
      <c r="S41" s="1511">
        <v>3.5200000000000001E-3</v>
      </c>
      <c r="T41" s="1511"/>
      <c r="U41" s="1511"/>
      <c r="V41" s="1511"/>
      <c r="W41" s="1511"/>
      <c r="X41" s="1511"/>
      <c r="Y41" s="1511"/>
      <c r="Z41" s="1511"/>
      <c r="AA41" s="1511"/>
      <c r="AB41" s="1511"/>
      <c r="AC41" s="1511"/>
      <c r="AD41" s="1511"/>
      <c r="AE41" s="1511"/>
      <c r="AF41" s="1511"/>
      <c r="AG41" s="1511"/>
      <c r="AH41" s="1511"/>
      <c r="AI41" s="1511"/>
      <c r="AJ41" s="1511"/>
      <c r="AK41" s="1511"/>
      <c r="AL41" s="1511"/>
      <c r="AM41" s="1511"/>
      <c r="AN41" s="1511"/>
      <c r="AO41" s="1511"/>
      <c r="AP41" s="1511"/>
      <c r="AQ41" s="1511"/>
      <c r="AR41" s="1511"/>
      <c r="AS41" s="1511"/>
      <c r="AT41" s="1511"/>
      <c r="AU41" s="1511"/>
      <c r="AV41" s="1511"/>
      <c r="AW41" s="1511"/>
      <c r="AX41" s="1511"/>
      <c r="AY41" s="1511"/>
      <c r="AZ41" s="1511"/>
      <c r="BA41" s="1511"/>
      <c r="BB41" s="1511"/>
      <c r="BC41" s="1511"/>
      <c r="BD41" s="1511"/>
      <c r="BE41" s="1511"/>
      <c r="BF41" s="1511"/>
      <c r="BG41" s="1511"/>
      <c r="BH41" s="1511"/>
      <c r="BI41" s="1511"/>
      <c r="BJ41" s="1511"/>
    </row>
    <row r="42" spans="1:62">
      <c r="A42" s="1511"/>
      <c r="B42" s="1532"/>
      <c r="C42" s="1533" t="s">
        <v>120</v>
      </c>
      <c r="D42" s="1549" t="s">
        <v>121</v>
      </c>
      <c r="E42" s="1533" t="s">
        <v>15</v>
      </c>
      <c r="F42" s="1540">
        <v>39986</v>
      </c>
      <c r="G42" s="1533" t="s">
        <v>67</v>
      </c>
      <c r="H42" s="1537">
        <v>139</v>
      </c>
      <c r="I42" s="1533" t="s">
        <v>16</v>
      </c>
      <c r="J42" s="1542">
        <f>(F42*H42)/1000</f>
        <v>5558.0540000000001</v>
      </c>
      <c r="K42" s="1554">
        <v>453</v>
      </c>
      <c r="L42" s="1555">
        <f>0.00000364</f>
        <v>3.6399999999999999E-6</v>
      </c>
      <c r="M42" s="1763">
        <v>4.0000000000000001E-3</v>
      </c>
      <c r="N42" s="1511"/>
      <c r="O42" s="1511" t="s">
        <v>1179</v>
      </c>
      <c r="P42" s="1511"/>
      <c r="Q42" s="1511" t="s">
        <v>1186</v>
      </c>
      <c r="R42" s="1511">
        <v>2.2000000000000001E-3</v>
      </c>
      <c r="S42" s="1511">
        <v>3.5200000000000001E-3</v>
      </c>
      <c r="T42" s="1511"/>
      <c r="U42" s="1511"/>
      <c r="V42" s="1511"/>
      <c r="W42" s="1511"/>
      <c r="X42" s="1511"/>
      <c r="Y42" s="1511"/>
      <c r="Z42" s="1511"/>
      <c r="AA42" s="1511"/>
      <c r="AB42" s="1511"/>
      <c r="AC42" s="1511"/>
      <c r="AD42" s="1511"/>
      <c r="AE42" s="1511"/>
      <c r="AF42" s="1511"/>
      <c r="AG42" s="1511"/>
      <c r="AH42" s="1511"/>
      <c r="AI42" s="1511"/>
      <c r="AJ42" s="1511"/>
      <c r="AK42" s="1511"/>
      <c r="AL42" s="1511"/>
      <c r="AM42" s="1511"/>
      <c r="AN42" s="1511"/>
      <c r="AO42" s="1511"/>
      <c r="AP42" s="1511"/>
      <c r="AQ42" s="1511"/>
      <c r="AR42" s="1511"/>
      <c r="AS42" s="1511"/>
      <c r="AT42" s="1511"/>
      <c r="AU42" s="1511"/>
      <c r="AV42" s="1511"/>
      <c r="AW42" s="1511"/>
      <c r="AX42" s="1511"/>
      <c r="AY42" s="1511"/>
      <c r="AZ42" s="1511"/>
      <c r="BA42" s="1511"/>
      <c r="BB42" s="1511"/>
      <c r="BC42" s="1511"/>
      <c r="BD42" s="1511"/>
      <c r="BE42" s="1511"/>
      <c r="BF42" s="1511"/>
      <c r="BG42" s="1511"/>
      <c r="BH42" s="1511"/>
      <c r="BI42" s="1511"/>
      <c r="BJ42" s="1511"/>
    </row>
    <row r="43" spans="1:62" ht="13.5" thickBot="1">
      <c r="A43" s="1511"/>
      <c r="B43" s="1532"/>
      <c r="C43" s="1533"/>
      <c r="D43" s="1533"/>
      <c r="E43" s="1533"/>
      <c r="F43" s="1537"/>
      <c r="G43" s="1533"/>
      <c r="H43" s="1537"/>
      <c r="I43" s="1533"/>
      <c r="J43" s="1547"/>
      <c r="K43" s="1537"/>
      <c r="L43" s="1546"/>
      <c r="M43" s="1541"/>
      <c r="N43" s="1511"/>
      <c r="O43" s="1511"/>
      <c r="P43" s="1511"/>
      <c r="Q43" s="1511"/>
      <c r="R43" s="1511"/>
      <c r="S43" s="1511"/>
      <c r="T43" s="1511"/>
      <c r="U43" s="1511"/>
      <c r="V43" s="1511"/>
      <c r="W43" s="1511"/>
      <c r="X43" s="1511"/>
      <c r="Y43" s="1511"/>
      <c r="Z43" s="1511"/>
      <c r="AA43" s="1511"/>
      <c r="AB43" s="1511"/>
      <c r="AC43" s="1511"/>
      <c r="AD43" s="1511"/>
      <c r="AE43" s="1511"/>
      <c r="AF43" s="1511"/>
      <c r="AG43" s="1511"/>
      <c r="AH43" s="1511"/>
      <c r="AI43" s="1511"/>
      <c r="AJ43" s="1511"/>
      <c r="AK43" s="1511"/>
      <c r="AL43" s="1511"/>
      <c r="AM43" s="1511"/>
      <c r="AN43" s="1511"/>
      <c r="AO43" s="1511"/>
      <c r="AP43" s="1511"/>
      <c r="AQ43" s="1511"/>
      <c r="AR43" s="1511"/>
      <c r="AS43" s="1511"/>
      <c r="AT43" s="1511"/>
      <c r="AU43" s="1511"/>
      <c r="AV43" s="1511"/>
      <c r="AW43" s="1511"/>
      <c r="AX43" s="1511"/>
      <c r="AY43" s="1511"/>
      <c r="AZ43" s="1511"/>
      <c r="BA43" s="1511"/>
      <c r="BB43" s="1511"/>
      <c r="BC43" s="1511"/>
      <c r="BD43" s="1511"/>
      <c r="BE43" s="1511"/>
      <c r="BF43" s="1511"/>
      <c r="BG43" s="1511"/>
      <c r="BH43" s="1511"/>
      <c r="BI43" s="1511"/>
      <c r="BJ43" s="1511"/>
    </row>
    <row r="44" spans="1:62">
      <c r="A44" s="1511"/>
      <c r="B44" s="1576"/>
      <c r="C44" s="1510"/>
      <c r="D44" s="1530"/>
      <c r="E44" s="1530"/>
      <c r="F44" s="1508"/>
      <c r="G44" s="1530"/>
      <c r="H44" s="1508"/>
      <c r="I44" s="1530"/>
      <c r="J44" s="1531"/>
      <c r="K44" s="1508"/>
      <c r="L44" s="1509"/>
      <c r="M44" s="1578"/>
      <c r="N44" s="1511"/>
      <c r="O44" s="1511"/>
      <c r="P44" s="1511"/>
      <c r="Q44" s="1511"/>
      <c r="R44" s="1511"/>
      <c r="S44" s="1511"/>
      <c r="T44" s="1511"/>
      <c r="U44" s="1511"/>
      <c r="V44" s="1511"/>
      <c r="W44" s="1511"/>
      <c r="X44" s="1511"/>
      <c r="Y44" s="1511"/>
      <c r="Z44" s="1511"/>
      <c r="AA44" s="1511"/>
      <c r="AB44" s="1511"/>
      <c r="AC44" s="1511"/>
      <c r="AD44" s="1511"/>
      <c r="AE44" s="1511"/>
      <c r="AF44" s="1511"/>
      <c r="AG44" s="1511"/>
      <c r="AH44" s="1511"/>
      <c r="AI44" s="1511"/>
      <c r="AJ44" s="1511"/>
      <c r="AK44" s="1511"/>
      <c r="AL44" s="1511"/>
      <c r="AM44" s="1511"/>
      <c r="AN44" s="1511"/>
      <c r="AO44" s="1511"/>
      <c r="AP44" s="1511"/>
      <c r="AQ44" s="1511"/>
      <c r="AR44" s="1511"/>
      <c r="AS44" s="1511"/>
      <c r="AT44" s="1511"/>
      <c r="AU44" s="1511"/>
      <c r="AV44" s="1511"/>
      <c r="AW44" s="1511"/>
      <c r="AX44" s="1511"/>
      <c r="AY44" s="1511"/>
      <c r="AZ44" s="1511"/>
      <c r="BA44" s="1511"/>
      <c r="BB44" s="1511"/>
      <c r="BC44" s="1511"/>
      <c r="BD44" s="1511"/>
      <c r="BE44" s="1511"/>
      <c r="BF44" s="1511"/>
      <c r="BG44" s="1511"/>
      <c r="BH44" s="1511"/>
      <c r="BI44" s="1511"/>
      <c r="BJ44" s="1511"/>
    </row>
    <row r="45" spans="1:62">
      <c r="A45" s="1511"/>
      <c r="B45" s="1532" t="s">
        <v>1147</v>
      </c>
      <c r="C45" s="2" t="s">
        <v>1148</v>
      </c>
      <c r="D45" s="1533"/>
      <c r="E45" s="1533"/>
      <c r="F45" s="1537"/>
      <c r="G45" s="1533"/>
      <c r="H45" s="1537"/>
      <c r="I45" s="1533"/>
      <c r="J45" s="1547"/>
      <c r="K45" s="1537"/>
      <c r="L45" s="1546"/>
      <c r="M45" s="1558"/>
      <c r="N45" s="1511"/>
      <c r="O45" s="1511"/>
      <c r="P45" s="1511"/>
      <c r="Q45" s="1511"/>
      <c r="R45" s="1511"/>
      <c r="S45" s="1511"/>
      <c r="T45" s="1511"/>
      <c r="U45" s="1511"/>
      <c r="V45" s="1511"/>
      <c r="W45" s="1511"/>
      <c r="X45" s="1511"/>
      <c r="Y45" s="1511"/>
      <c r="Z45" s="1511"/>
      <c r="AA45" s="1511"/>
      <c r="AB45" s="1511"/>
      <c r="AC45" s="1511"/>
      <c r="AD45" s="1511"/>
      <c r="AE45" s="1511"/>
      <c r="AF45" s="1511"/>
      <c r="AG45" s="1511"/>
      <c r="AH45" s="1511"/>
      <c r="AI45" s="1511"/>
      <c r="AJ45" s="1511"/>
      <c r="AK45" s="1511"/>
      <c r="AL45" s="1511"/>
      <c r="AM45" s="1511"/>
      <c r="AN45" s="1511"/>
      <c r="AO45" s="1511"/>
      <c r="AP45" s="1511"/>
      <c r="AQ45" s="1511"/>
      <c r="AR45" s="1511"/>
      <c r="AS45" s="1511"/>
      <c r="AT45" s="1511"/>
      <c r="AU45" s="1511"/>
      <c r="AV45" s="1511"/>
      <c r="AW45" s="1511"/>
      <c r="AX45" s="1511"/>
      <c r="AY45" s="1511"/>
      <c r="AZ45" s="1511"/>
      <c r="BA45" s="1511"/>
      <c r="BB45" s="1511"/>
      <c r="BC45" s="1511"/>
      <c r="BD45" s="1511"/>
      <c r="BE45" s="1511"/>
      <c r="BF45" s="1511"/>
      <c r="BG45" s="1511"/>
      <c r="BH45" s="1511"/>
      <c r="BI45" s="1511"/>
      <c r="BJ45" s="1511"/>
    </row>
    <row r="46" spans="1:62">
      <c r="A46" s="1511"/>
      <c r="B46" s="1532"/>
      <c r="C46" s="1533" t="s">
        <v>1149</v>
      </c>
      <c r="D46" s="1549" t="s">
        <v>1138</v>
      </c>
      <c r="E46" s="1533" t="s">
        <v>1112</v>
      </c>
      <c r="F46" s="1540">
        <v>114840</v>
      </c>
      <c r="G46" s="1533" t="s">
        <v>271</v>
      </c>
      <c r="H46" s="1537">
        <v>12884</v>
      </c>
      <c r="I46" s="1533" t="s">
        <v>1150</v>
      </c>
      <c r="J46" s="1547">
        <f>(F46*H46*2000)/1000000</f>
        <v>2959197.12</v>
      </c>
      <c r="K46" s="1537">
        <f>(J46/(J$46+J$47+J$48+J$49))*K$50</f>
        <v>321589.47431884549</v>
      </c>
      <c r="L46" s="1546">
        <f>J46*Q56*0.001102</f>
        <v>35.871387488639996</v>
      </c>
      <c r="M46" s="1609">
        <f>J46*R57*0.001102</f>
        <v>5.217656361984</v>
      </c>
      <c r="N46" s="1511"/>
      <c r="O46" s="1511"/>
      <c r="P46" s="1511"/>
      <c r="Q46" s="1511"/>
      <c r="R46" s="1511"/>
      <c r="S46" s="1511"/>
      <c r="T46" s="1511"/>
      <c r="U46" s="1511"/>
      <c r="V46" s="1511"/>
      <c r="W46" s="1511"/>
      <c r="X46" s="1511"/>
      <c r="Y46" s="1511"/>
      <c r="Z46" s="1511"/>
      <c r="AA46" s="1511"/>
      <c r="AB46" s="1511"/>
      <c r="AC46" s="1511"/>
      <c r="AD46" s="1511"/>
      <c r="AE46" s="1511"/>
      <c r="AF46" s="1511"/>
      <c r="AG46" s="1511"/>
      <c r="AH46" s="1511"/>
      <c r="AI46" s="1511"/>
      <c r="AJ46" s="1511"/>
      <c r="AK46" s="1511"/>
      <c r="AL46" s="1511"/>
      <c r="AM46" s="1511"/>
      <c r="AN46" s="1511"/>
      <c r="AO46" s="1511"/>
      <c r="AP46" s="1511"/>
      <c r="AQ46" s="1511"/>
      <c r="AR46" s="1511"/>
      <c r="AS46" s="1511"/>
      <c r="AT46" s="1511"/>
      <c r="AU46" s="1511"/>
      <c r="AV46" s="1511"/>
      <c r="AW46" s="1511"/>
      <c r="AX46" s="1511"/>
      <c r="AY46" s="1511"/>
      <c r="AZ46" s="1511"/>
      <c r="BA46" s="1511"/>
      <c r="BB46" s="1511"/>
      <c r="BC46" s="1511"/>
      <c r="BD46" s="1511"/>
      <c r="BE46" s="1511"/>
      <c r="BF46" s="1511"/>
      <c r="BG46" s="1511"/>
      <c r="BH46" s="1511"/>
      <c r="BI46" s="1511"/>
      <c r="BJ46" s="1511"/>
    </row>
    <row r="47" spans="1:62">
      <c r="A47" s="1511"/>
      <c r="B47" s="1532"/>
      <c r="C47" s="1533"/>
      <c r="D47" s="1533"/>
      <c r="E47" s="1533" t="s">
        <v>18</v>
      </c>
      <c r="F47" s="1540">
        <v>873983</v>
      </c>
      <c r="G47" s="1533" t="s">
        <v>67</v>
      </c>
      <c r="H47" s="1537">
        <v>136253</v>
      </c>
      <c r="I47" s="1533" t="s">
        <v>12</v>
      </c>
      <c r="J47" s="1547">
        <f>(F47*H47)/1000000</f>
        <v>119082.805699</v>
      </c>
      <c r="K47" s="1537">
        <f>(J47/(J$46+J$47+$J48+J$49))*K$50</f>
        <v>12941.272693978099</v>
      </c>
      <c r="L47" s="1546">
        <f>J47*Q59*0.001102</f>
        <v>0.39368775564089398</v>
      </c>
      <c r="M47" s="1609">
        <f>J47*R59*0.001102</f>
        <v>7.873755112817879E-2</v>
      </c>
      <c r="N47" s="1511"/>
      <c r="O47" s="1511"/>
      <c r="P47" s="1511"/>
      <c r="Q47" s="1511"/>
      <c r="R47" s="1511"/>
      <c r="S47" s="1511"/>
      <c r="T47" s="1511"/>
      <c r="U47" s="1511"/>
      <c r="V47" s="1511"/>
      <c r="W47" s="1511"/>
      <c r="X47" s="1511"/>
      <c r="Y47" s="1511"/>
      <c r="Z47" s="1511"/>
      <c r="AA47" s="1511"/>
      <c r="AB47" s="1511"/>
      <c r="AC47" s="1511"/>
      <c r="AD47" s="1511"/>
      <c r="AE47" s="1511"/>
      <c r="AF47" s="1511"/>
      <c r="AG47" s="1511"/>
      <c r="AH47" s="1511"/>
      <c r="AI47" s="1511"/>
      <c r="AJ47" s="1511"/>
      <c r="AK47" s="1511"/>
      <c r="AL47" s="1511"/>
      <c r="AM47" s="1511"/>
      <c r="AN47" s="1511"/>
      <c r="AO47" s="1511"/>
      <c r="AP47" s="1511"/>
      <c r="AQ47" s="1511"/>
      <c r="AR47" s="1511"/>
      <c r="AS47" s="1511"/>
      <c r="AT47" s="1511"/>
      <c r="AU47" s="1511"/>
      <c r="AV47" s="1511"/>
      <c r="AW47" s="1511"/>
      <c r="AX47" s="1511"/>
      <c r="AY47" s="1511"/>
      <c r="AZ47" s="1511"/>
      <c r="BA47" s="1511"/>
      <c r="BB47" s="1511"/>
      <c r="BC47" s="1511"/>
      <c r="BD47" s="1511"/>
      <c r="BE47" s="1511"/>
      <c r="BF47" s="1511"/>
      <c r="BG47" s="1511"/>
      <c r="BH47" s="1511"/>
      <c r="BI47" s="1511"/>
      <c r="BJ47" s="1511"/>
    </row>
    <row r="48" spans="1:62">
      <c r="A48" s="1511"/>
      <c r="B48" s="1532"/>
      <c r="C48" s="1533"/>
      <c r="D48" s="1533"/>
      <c r="E48" s="1533" t="s">
        <v>1164</v>
      </c>
      <c r="F48" s="1540">
        <v>4923</v>
      </c>
      <c r="G48" s="1533" t="s">
        <v>67</v>
      </c>
      <c r="H48" s="1537">
        <v>136253</v>
      </c>
      <c r="I48" s="1533" t="s">
        <v>12</v>
      </c>
      <c r="J48" s="1547">
        <f>(F48*H48)/1000000</f>
        <v>670.77351899999996</v>
      </c>
      <c r="K48" s="1537">
        <f>(J48/(J$46+J$47+$J48+J$49))*K$50</f>
        <v>72.896023689767617</v>
      </c>
      <c r="L48" s="1546">
        <f>J48*Q64*0.001102</f>
        <v>2.2175772538139994E-3</v>
      </c>
      <c r="M48" s="1609">
        <f>J48*R64*0.001102</f>
        <v>4.4351545076279987E-4</v>
      </c>
      <c r="N48" s="1511"/>
      <c r="O48" s="1511"/>
      <c r="P48" s="1511"/>
      <c r="Q48" s="1511"/>
      <c r="R48" s="1511"/>
      <c r="S48" s="1511"/>
      <c r="T48" s="1511"/>
      <c r="U48" s="1511"/>
      <c r="V48" s="1511"/>
      <c r="W48" s="1511"/>
      <c r="X48" s="1511"/>
      <c r="Y48" s="1511"/>
      <c r="Z48" s="1511"/>
      <c r="AA48" s="1511"/>
      <c r="AB48" s="1511"/>
      <c r="AC48" s="1511"/>
      <c r="AD48" s="1511"/>
      <c r="AE48" s="1511"/>
      <c r="AF48" s="1511"/>
      <c r="AG48" s="1511"/>
      <c r="AH48" s="1511"/>
      <c r="AI48" s="1511"/>
      <c r="AJ48" s="1511"/>
      <c r="AK48" s="1511"/>
      <c r="AL48" s="1511"/>
      <c r="AM48" s="1511"/>
      <c r="AN48" s="1511"/>
      <c r="AO48" s="1511"/>
      <c r="AP48" s="1511"/>
      <c r="AQ48" s="1511"/>
      <c r="AR48" s="1511"/>
      <c r="AS48" s="1511"/>
      <c r="AT48" s="1511"/>
      <c r="AU48" s="1511"/>
      <c r="AV48" s="1511"/>
      <c r="AW48" s="1511"/>
      <c r="AX48" s="1511"/>
      <c r="AY48" s="1511"/>
      <c r="AZ48" s="1511"/>
      <c r="BA48" s="1511"/>
      <c r="BB48" s="1511"/>
      <c r="BC48" s="1511"/>
      <c r="BD48" s="1511"/>
      <c r="BE48" s="1511"/>
      <c r="BF48" s="1511"/>
      <c r="BG48" s="1511"/>
      <c r="BH48" s="1511"/>
      <c r="BI48" s="1511"/>
      <c r="BJ48" s="1511"/>
    </row>
    <row r="49" spans="1:62">
      <c r="A49" s="1511"/>
      <c r="B49" s="1532"/>
      <c r="C49" s="1533"/>
      <c r="D49" s="1533"/>
      <c r="E49" s="1533" t="s">
        <v>77</v>
      </c>
      <c r="F49" s="1540">
        <v>53600</v>
      </c>
      <c r="G49" s="1533" t="s">
        <v>147</v>
      </c>
      <c r="H49" s="1537">
        <v>1057.7</v>
      </c>
      <c r="I49" s="1533" t="s">
        <v>76</v>
      </c>
      <c r="J49" s="1547">
        <f>(F49*H49)/1000</f>
        <v>56692.72</v>
      </c>
      <c r="K49" s="1537">
        <f>(J49/(J$46+J$47+$J48+J$49))*K$50</f>
        <v>6161.0569634866024</v>
      </c>
      <c r="L49" s="1546">
        <f>J49*Q58*0.001102</f>
        <v>6.2475377439999993E-2</v>
      </c>
      <c r="M49" s="1609">
        <f>J49*R58*0.001102</f>
        <v>6.2475377439999997E-3</v>
      </c>
      <c r="N49" s="1511"/>
      <c r="O49" s="1511"/>
      <c r="P49" s="1511"/>
      <c r="Q49" s="1511"/>
      <c r="R49" s="1511"/>
      <c r="S49" s="1511"/>
      <c r="T49" s="1511"/>
      <c r="U49" s="1511"/>
      <c r="V49" s="1511"/>
      <c r="W49" s="1511"/>
      <c r="X49" s="1511"/>
      <c r="Y49" s="1511"/>
      <c r="Z49" s="1511"/>
      <c r="AA49" s="1511"/>
      <c r="AB49" s="1511"/>
      <c r="AC49" s="1511"/>
      <c r="AD49" s="1511"/>
      <c r="AE49" s="1511"/>
      <c r="AF49" s="1511"/>
      <c r="AG49" s="1511"/>
      <c r="AH49" s="1511"/>
      <c r="AI49" s="1511"/>
      <c r="AJ49" s="1511"/>
      <c r="AK49" s="1511"/>
      <c r="AL49" s="1511"/>
      <c r="AM49" s="1511"/>
      <c r="AN49" s="1511"/>
      <c r="AO49" s="1511"/>
      <c r="AP49" s="1511"/>
      <c r="AQ49" s="1511"/>
      <c r="AR49" s="1511"/>
      <c r="AS49" s="1511"/>
      <c r="AT49" s="1511"/>
      <c r="AU49" s="1511"/>
      <c r="AV49" s="1511"/>
      <c r="AW49" s="1511"/>
      <c r="AX49" s="1511"/>
      <c r="AY49" s="1511"/>
      <c r="AZ49" s="1511"/>
      <c r="BA49" s="1511"/>
      <c r="BB49" s="1511"/>
      <c r="BC49" s="1511"/>
      <c r="BD49" s="1511"/>
      <c r="BE49" s="1511"/>
      <c r="BF49" s="1511"/>
      <c r="BG49" s="1511"/>
      <c r="BH49" s="1511"/>
      <c r="BI49" s="1511"/>
      <c r="BJ49" s="1511"/>
    </row>
    <row r="50" spans="1:62">
      <c r="A50" s="1511"/>
      <c r="B50" s="1532"/>
      <c r="C50" s="1533"/>
      <c r="D50" s="1533"/>
      <c r="E50" s="1533"/>
      <c r="F50" s="1537"/>
      <c r="G50" s="1533"/>
      <c r="H50" s="1537"/>
      <c r="I50" s="1533"/>
      <c r="J50" s="1542">
        <f>SUM(J46:J49)</f>
        <v>3135643.4192180005</v>
      </c>
      <c r="K50" s="1554">
        <v>340764.7</v>
      </c>
      <c r="L50" s="1555">
        <f>SUM(L46:L49)</f>
        <v>36.329768198974712</v>
      </c>
      <c r="M50" s="1764">
        <f>SUM(M46:M49)</f>
        <v>5.3030849663069413</v>
      </c>
      <c r="N50" s="1511"/>
      <c r="P50" s="1511"/>
      <c r="Q50" s="1511"/>
      <c r="R50" s="1511"/>
      <c r="S50" s="1511"/>
      <c r="T50" s="1511"/>
      <c r="U50" s="1511"/>
      <c r="V50" s="1511"/>
      <c r="W50" s="1511"/>
      <c r="X50" s="1511"/>
      <c r="Y50" s="1511"/>
      <c r="Z50" s="1511"/>
      <c r="AA50" s="1511"/>
      <c r="AB50" s="1511"/>
      <c r="AC50" s="1511"/>
      <c r="AD50" s="1511"/>
      <c r="AE50" s="1511"/>
      <c r="AF50" s="1511"/>
      <c r="AG50" s="1511"/>
      <c r="AH50" s="1511"/>
      <c r="AI50" s="1511"/>
      <c r="AJ50" s="1511"/>
      <c r="AK50" s="1511"/>
      <c r="AL50" s="1511"/>
      <c r="AM50" s="1511"/>
      <c r="AN50" s="1511"/>
      <c r="AO50" s="1511"/>
      <c r="AP50" s="1511"/>
      <c r="AQ50" s="1511"/>
      <c r="AR50" s="1511"/>
      <c r="AS50" s="1511"/>
      <c r="AT50" s="1511"/>
      <c r="AU50" s="1511"/>
      <c r="AV50" s="1511"/>
      <c r="AW50" s="1511"/>
      <c r="AX50" s="1511"/>
      <c r="AY50" s="1511"/>
      <c r="AZ50" s="1511"/>
      <c r="BA50" s="1511"/>
      <c r="BB50" s="1511"/>
      <c r="BC50" s="1511"/>
      <c r="BD50" s="1511"/>
      <c r="BE50" s="1511"/>
      <c r="BF50" s="1511"/>
      <c r="BG50" s="1511"/>
      <c r="BH50" s="1511"/>
      <c r="BI50" s="1511"/>
      <c r="BJ50" s="1511"/>
    </row>
    <row r="51" spans="1:62">
      <c r="A51" s="1511"/>
      <c r="B51" s="1532"/>
      <c r="C51" s="1533"/>
      <c r="D51" s="1533"/>
      <c r="E51" s="1533"/>
      <c r="F51" s="1537"/>
      <c r="G51" s="1533"/>
      <c r="H51" s="1537"/>
      <c r="I51" s="1533"/>
      <c r="J51" s="1542"/>
      <c r="K51" s="1554"/>
      <c r="L51" s="1555"/>
      <c r="M51" s="1609"/>
      <c r="N51" s="1511"/>
      <c r="O51" s="15"/>
      <c r="P51" s="1511"/>
      <c r="Q51" s="1511"/>
      <c r="R51" s="1511"/>
      <c r="S51" s="1511"/>
      <c r="T51" s="1511"/>
      <c r="U51" s="1511"/>
      <c r="V51" s="1511"/>
      <c r="W51" s="1511"/>
      <c r="X51" s="1511"/>
      <c r="Y51" s="1511"/>
      <c r="Z51" s="1511"/>
      <c r="AA51" s="1511"/>
      <c r="AB51" s="1511"/>
      <c r="AC51" s="1511"/>
      <c r="AD51" s="1511"/>
      <c r="AE51" s="1511"/>
      <c r="AF51" s="1511"/>
      <c r="AG51" s="1511"/>
      <c r="AH51" s="1511"/>
      <c r="AI51" s="1511"/>
      <c r="AJ51" s="1511"/>
      <c r="AK51" s="1511"/>
      <c r="AL51" s="1511"/>
      <c r="AM51" s="1511"/>
      <c r="AN51" s="1511"/>
      <c r="AO51" s="1511"/>
      <c r="AP51" s="1511"/>
      <c r="AQ51" s="1511"/>
      <c r="AR51" s="1511"/>
      <c r="AS51" s="1511"/>
      <c r="AT51" s="1511"/>
      <c r="AU51" s="1511"/>
      <c r="AV51" s="1511"/>
      <c r="AW51" s="1511"/>
      <c r="AX51" s="1511"/>
      <c r="AY51" s="1511"/>
      <c r="AZ51" s="1511"/>
      <c r="BA51" s="1511"/>
      <c r="BB51" s="1511"/>
      <c r="BC51" s="1511"/>
      <c r="BD51" s="1511"/>
      <c r="BE51" s="1511"/>
      <c r="BF51" s="1511"/>
      <c r="BG51" s="1511"/>
      <c r="BH51" s="1511"/>
      <c r="BI51" s="1511"/>
      <c r="BJ51" s="1511"/>
    </row>
    <row r="52" spans="1:62">
      <c r="A52" s="1511"/>
      <c r="B52" s="1532"/>
      <c r="C52" s="1533" t="s">
        <v>1151</v>
      </c>
      <c r="D52" s="1549" t="s">
        <v>1140</v>
      </c>
      <c r="E52" s="1533" t="s">
        <v>1112</v>
      </c>
      <c r="F52" s="1540">
        <v>84220</v>
      </c>
      <c r="G52" s="1533" t="s">
        <v>271</v>
      </c>
      <c r="H52" s="1537">
        <v>12855</v>
      </c>
      <c r="I52" s="1533" t="s">
        <v>1150</v>
      </c>
      <c r="J52" s="1547">
        <f>(F52*H52*2000)/1000000</f>
        <v>2165296.2000000002</v>
      </c>
      <c r="K52" s="1537">
        <f>(J52/(J$52+J$53+J$54+J$55))*K$56</f>
        <v>235005.38371135606</v>
      </c>
      <c r="L52" s="1546">
        <f>J52*Q57*0.001102</f>
        <v>26.247720536399999</v>
      </c>
      <c r="M52" s="1609">
        <f>J52*R57*0.0011023</f>
        <v>3.8188896020160006</v>
      </c>
      <c r="N52" s="1511"/>
      <c r="O52" s="15" t="s">
        <v>1165</v>
      </c>
      <c r="P52" s="1511"/>
      <c r="Q52" s="1511"/>
      <c r="R52" s="1511"/>
      <c r="S52" s="1511"/>
      <c r="T52" s="1511"/>
      <c r="U52" s="1511"/>
      <c r="V52" s="1511"/>
      <c r="W52" s="1511"/>
      <c r="X52" s="1511"/>
      <c r="Y52" s="1511"/>
      <c r="Z52" s="1511"/>
      <c r="AA52" s="1511"/>
      <c r="AB52" s="1511"/>
      <c r="AC52" s="1511"/>
      <c r="AD52" s="1511"/>
      <c r="AE52" s="1511"/>
      <c r="AF52" s="1511"/>
      <c r="AG52" s="1511"/>
      <c r="AH52" s="1511"/>
      <c r="AI52" s="1511"/>
      <c r="AJ52" s="1511"/>
      <c r="AK52" s="1511"/>
      <c r="AL52" s="1511"/>
      <c r="AM52" s="1511"/>
      <c r="AN52" s="1511"/>
      <c r="AO52" s="1511"/>
      <c r="AP52" s="1511"/>
      <c r="AQ52" s="1511"/>
      <c r="AR52" s="1511"/>
      <c r="AS52" s="1511"/>
      <c r="AT52" s="1511"/>
      <c r="AU52" s="1511"/>
      <c r="AV52" s="1511"/>
      <c r="AW52" s="1511"/>
      <c r="AX52" s="1511"/>
      <c r="AY52" s="1511"/>
      <c r="AZ52" s="1511"/>
      <c r="BA52" s="1511"/>
      <c r="BB52" s="1511"/>
      <c r="BC52" s="1511"/>
      <c r="BD52" s="1511"/>
      <c r="BE52" s="1511"/>
      <c r="BF52" s="1511"/>
      <c r="BG52" s="1511"/>
      <c r="BH52" s="1511"/>
      <c r="BI52" s="1511"/>
      <c r="BJ52" s="1511"/>
    </row>
    <row r="53" spans="1:62" ht="13.5" thickBot="1">
      <c r="A53" s="1511"/>
      <c r="B53" s="1532"/>
      <c r="C53" s="1533"/>
      <c r="D53" s="1549"/>
      <c r="E53" s="1533" t="s">
        <v>18</v>
      </c>
      <c r="F53" s="1540">
        <v>890693</v>
      </c>
      <c r="G53" s="1533" t="s">
        <v>67</v>
      </c>
      <c r="H53" s="1537">
        <v>136253</v>
      </c>
      <c r="I53" s="1533" t="s">
        <v>12</v>
      </c>
      <c r="J53" s="1547">
        <f>(F53*H53)/1000000</f>
        <v>121359.593329</v>
      </c>
      <c r="K53" s="1537">
        <f>(J53/(J$52+J$53+J$54+J$55))*K$56</f>
        <v>13171.481018317847</v>
      </c>
      <c r="L53" s="1546">
        <f>J53*Q59*0.001102</f>
        <v>0.40121481554567401</v>
      </c>
      <c r="M53" s="1609">
        <f>J53*R59*0.001102</f>
        <v>8.0242963109134785E-2</v>
      </c>
      <c r="N53" s="1511"/>
      <c r="O53" s="1511"/>
      <c r="P53" s="1511"/>
      <c r="Q53" s="1511"/>
      <c r="R53" s="1511"/>
      <c r="S53" s="1511"/>
      <c r="T53" s="1511"/>
      <c r="U53" s="1511"/>
      <c r="V53" s="1511"/>
      <c r="W53" s="1511"/>
      <c r="X53" s="1511"/>
      <c r="Y53" s="1511"/>
      <c r="Z53" s="1511"/>
      <c r="AA53" s="1511"/>
      <c r="AB53" s="1511"/>
      <c r="AC53" s="1511"/>
      <c r="AD53" s="1511"/>
      <c r="AE53" s="1511"/>
      <c r="AF53" s="1511"/>
      <c r="AG53" s="1511"/>
      <c r="AH53" s="1511"/>
      <c r="AI53" s="1511"/>
      <c r="AJ53" s="1511"/>
      <c r="AK53" s="1511"/>
      <c r="AL53" s="1511"/>
      <c r="AM53" s="1511"/>
      <c r="AN53" s="1511"/>
      <c r="AO53" s="1511"/>
      <c r="AP53" s="1511"/>
      <c r="AQ53" s="1511"/>
      <c r="AR53" s="1511"/>
      <c r="AS53" s="1511"/>
      <c r="AT53" s="1511"/>
      <c r="AU53" s="1511"/>
      <c r="AV53" s="1511"/>
      <c r="AW53" s="1511"/>
      <c r="AX53" s="1511"/>
      <c r="AY53" s="1511"/>
      <c r="AZ53" s="1511"/>
      <c r="BA53" s="1511"/>
      <c r="BB53" s="1511"/>
      <c r="BC53" s="1511"/>
      <c r="BD53" s="1511"/>
      <c r="BE53" s="1511"/>
      <c r="BF53" s="1511"/>
      <c r="BG53" s="1511"/>
      <c r="BH53" s="1511"/>
      <c r="BI53" s="1511"/>
      <c r="BJ53" s="1511"/>
    </row>
    <row r="54" spans="1:62">
      <c r="A54" s="1511"/>
      <c r="B54" s="1532"/>
      <c r="C54" s="1533"/>
      <c r="D54" s="1549"/>
      <c r="E54" s="1533" t="s">
        <v>1164</v>
      </c>
      <c r="F54" s="1540">
        <v>9873</v>
      </c>
      <c r="G54" s="1533" t="s">
        <v>67</v>
      </c>
      <c r="H54" s="1537">
        <v>140366</v>
      </c>
      <c r="I54" s="1533" t="s">
        <v>12</v>
      </c>
      <c r="J54" s="1547">
        <f>(F54*H54)/1000000</f>
        <v>1385.8335179999999</v>
      </c>
      <c r="K54" s="1537">
        <f>(J54/(J$52+J$54+$J54+J$55))*K$56</f>
        <v>158.57728038937941</v>
      </c>
      <c r="L54" s="1546">
        <f>J54*Q64*0.001102</f>
        <v>4.5815656105079993E-3</v>
      </c>
      <c r="M54" s="1609">
        <f>J54*R64*0.001102</f>
        <v>9.1631312210159975E-4</v>
      </c>
      <c r="N54" s="1511"/>
      <c r="O54" s="1516" t="s">
        <v>1166</v>
      </c>
      <c r="P54" s="607" t="s">
        <v>1171</v>
      </c>
      <c r="Q54" s="607"/>
      <c r="R54" s="608"/>
      <c r="S54" s="1511"/>
      <c r="T54" s="1511"/>
      <c r="U54" s="1511"/>
      <c r="V54" s="1511"/>
      <c r="W54" s="1511"/>
      <c r="X54" s="1511"/>
      <c r="Y54" s="1511"/>
      <c r="Z54" s="1511"/>
      <c r="AA54" s="1511"/>
      <c r="AB54" s="1511"/>
      <c r="AC54" s="1511"/>
      <c r="AD54" s="1511"/>
      <c r="AE54" s="1511"/>
      <c r="AF54" s="1511"/>
      <c r="AG54" s="1511"/>
      <c r="AH54" s="1511"/>
      <c r="AI54" s="1511"/>
      <c r="AJ54" s="1511"/>
      <c r="AK54" s="1511"/>
      <c r="AL54" s="1511"/>
      <c r="AM54" s="1511"/>
      <c r="AN54" s="1511"/>
      <c r="AO54" s="1511"/>
      <c r="AP54" s="1511"/>
      <c r="AQ54" s="1511"/>
      <c r="AR54" s="1511"/>
      <c r="AS54" s="1511"/>
      <c r="AT54" s="1511"/>
      <c r="AU54" s="1511"/>
      <c r="AV54" s="1511"/>
      <c r="AW54" s="1511"/>
      <c r="AX54" s="1511"/>
      <c r="AY54" s="1511"/>
      <c r="AZ54" s="1511"/>
      <c r="BA54" s="1511"/>
      <c r="BB54" s="1511"/>
      <c r="BC54" s="1511"/>
      <c r="BD54" s="1511"/>
      <c r="BE54" s="1511"/>
      <c r="BF54" s="1511"/>
      <c r="BG54" s="1511"/>
      <c r="BH54" s="1511"/>
      <c r="BI54" s="1511"/>
      <c r="BJ54" s="1511"/>
    </row>
    <row r="55" spans="1:62" ht="15" thickBot="1">
      <c r="A55" s="1511"/>
      <c r="B55" s="1532"/>
      <c r="C55" s="1533"/>
      <c r="D55" s="1549"/>
      <c r="E55" s="1533" t="s">
        <v>77</v>
      </c>
      <c r="F55" s="1540">
        <v>38650</v>
      </c>
      <c r="G55" s="1533" t="s">
        <v>147</v>
      </c>
      <c r="H55" s="1537">
        <v>1057.7</v>
      </c>
      <c r="I55" s="1533" t="s">
        <v>76</v>
      </c>
      <c r="J55" s="1547">
        <f>(F55*H55)/1000</f>
        <v>40880.105000000003</v>
      </c>
      <c r="K55" s="1537">
        <f>(J55/(J$52+J$53+J$55))*K$56</f>
        <v>4439.4687771083809</v>
      </c>
      <c r="L55" s="1546">
        <f>J55*Q58*0.001102</f>
        <v>4.5049875710000006E-2</v>
      </c>
      <c r="M55" s="1609">
        <f>J55*R58*0.0011023</f>
        <v>4.5062139741500005E-3</v>
      </c>
      <c r="N55" s="1511"/>
      <c r="O55" s="1517"/>
      <c r="P55" s="1518" t="s">
        <v>156</v>
      </c>
      <c r="Q55" s="1518" t="s">
        <v>158</v>
      </c>
      <c r="R55" s="1519" t="s">
        <v>157</v>
      </c>
      <c r="S55" s="1511"/>
      <c r="T55" s="1511"/>
      <c r="U55" s="1511"/>
      <c r="V55" s="1511"/>
      <c r="W55" s="1511"/>
      <c r="X55" s="1511"/>
      <c r="Y55" s="1511"/>
      <c r="Z55" s="1511"/>
      <c r="AA55" s="1511"/>
      <c r="AB55" s="1511"/>
      <c r="AC55" s="1511"/>
      <c r="AD55" s="1511"/>
      <c r="AE55" s="1511"/>
      <c r="AF55" s="1511"/>
      <c r="AG55" s="1511"/>
      <c r="AH55" s="1511"/>
      <c r="AI55" s="1511"/>
      <c r="AJ55" s="1511"/>
      <c r="AK55" s="1511"/>
      <c r="AL55" s="1511"/>
      <c r="AM55" s="1511"/>
      <c r="AN55" s="1511"/>
      <c r="AO55" s="1511"/>
      <c r="AP55" s="1511"/>
      <c r="AQ55" s="1511"/>
      <c r="AR55" s="1511"/>
      <c r="AS55" s="1511"/>
      <c r="AT55" s="1511"/>
      <c r="AU55" s="1511"/>
      <c r="AV55" s="1511"/>
      <c r="AW55" s="1511"/>
      <c r="AX55" s="1511"/>
      <c r="AY55" s="1511"/>
      <c r="AZ55" s="1511"/>
      <c r="BA55" s="1511"/>
      <c r="BB55" s="1511"/>
      <c r="BC55" s="1511"/>
      <c r="BD55" s="1511"/>
      <c r="BE55" s="1511"/>
      <c r="BF55" s="1511"/>
      <c r="BG55" s="1511"/>
      <c r="BH55" s="1511"/>
      <c r="BI55" s="1511"/>
      <c r="BJ55" s="1511"/>
    </row>
    <row r="56" spans="1:62">
      <c r="A56" s="1511"/>
      <c r="B56" s="1532"/>
      <c r="C56" s="1533"/>
      <c r="D56" s="1549"/>
      <c r="E56" s="1533"/>
      <c r="F56" s="1537"/>
      <c r="G56" s="1533"/>
      <c r="H56" s="1537"/>
      <c r="I56" s="1533"/>
      <c r="J56" s="1542">
        <f>SUM(J52:J55)</f>
        <v>2328921.7318469998</v>
      </c>
      <c r="K56" s="1554">
        <v>252764.1</v>
      </c>
      <c r="L56" s="1555">
        <f>SUM(L52:L55)</f>
        <v>26.698566793266181</v>
      </c>
      <c r="M56" s="1764">
        <f>SUM(M52:M55)</f>
        <v>3.9045550922213872</v>
      </c>
      <c r="N56" s="1511"/>
      <c r="O56" s="1520" t="s">
        <v>1167</v>
      </c>
      <c r="P56" s="1521">
        <v>93.28</v>
      </c>
      <c r="Q56" s="1522">
        <v>1.0999999999999999E-2</v>
      </c>
      <c r="R56" s="1523">
        <v>1.6000000000000001E-3</v>
      </c>
      <c r="S56" s="1511"/>
      <c r="T56" s="1511"/>
      <c r="U56" s="1511"/>
      <c r="V56" s="1511"/>
      <c r="W56" s="1511"/>
      <c r="X56" s="1511"/>
      <c r="Y56" s="1511"/>
      <c r="Z56" s="1511"/>
      <c r="AA56" s="1511"/>
      <c r="AB56" s="1511"/>
      <c r="AC56" s="1511"/>
      <c r="AD56" s="1511"/>
      <c r="AE56" s="1511"/>
      <c r="AF56" s="1511"/>
      <c r="AG56" s="1511"/>
      <c r="AH56" s="1511"/>
      <c r="AI56" s="1511"/>
      <c r="AJ56" s="1511"/>
      <c r="AK56" s="1511"/>
      <c r="AL56" s="1511"/>
      <c r="AM56" s="1511"/>
      <c r="AN56" s="1511"/>
      <c r="AO56" s="1511"/>
      <c r="AP56" s="1511"/>
      <c r="AQ56" s="1511"/>
      <c r="AR56" s="1511"/>
      <c r="AS56" s="1511"/>
      <c r="AT56" s="1511"/>
      <c r="AU56" s="1511"/>
      <c r="AV56" s="1511"/>
      <c r="AW56" s="1511"/>
      <c r="AX56" s="1511"/>
      <c r="AY56" s="1511"/>
      <c r="AZ56" s="1511"/>
      <c r="BA56" s="1511"/>
      <c r="BB56" s="1511"/>
      <c r="BC56" s="1511"/>
      <c r="BD56" s="1511"/>
      <c r="BE56" s="1511"/>
      <c r="BF56" s="1511"/>
      <c r="BG56" s="1511"/>
      <c r="BH56" s="1511"/>
      <c r="BI56" s="1511"/>
      <c r="BJ56" s="1511"/>
    </row>
    <row r="57" spans="1:62">
      <c r="A57" s="1511"/>
      <c r="B57" s="1532"/>
      <c r="C57" s="1533"/>
      <c r="D57" s="1549"/>
      <c r="E57" s="1533"/>
      <c r="F57" s="1537"/>
      <c r="G57" s="1533"/>
      <c r="H57" s="1537"/>
      <c r="I57" s="1533"/>
      <c r="J57" s="1547"/>
      <c r="K57" s="1537"/>
      <c r="L57" s="1546"/>
      <c r="M57" s="1610"/>
      <c r="N57" s="1511"/>
      <c r="O57" s="1524" t="s">
        <v>1168</v>
      </c>
      <c r="P57" s="685">
        <v>97.17</v>
      </c>
      <c r="Q57" s="1514">
        <v>1.0999999999999999E-2</v>
      </c>
      <c r="R57" s="1525">
        <v>1.6000000000000001E-3</v>
      </c>
      <c r="S57" s="1511"/>
      <c r="T57" s="1511"/>
      <c r="U57" s="1511"/>
      <c r="V57" s="1511"/>
      <c r="W57" s="1511"/>
      <c r="X57" s="1511"/>
      <c r="Y57" s="1511"/>
      <c r="Z57" s="1511"/>
      <c r="AA57" s="1511"/>
      <c r="AB57" s="1511"/>
      <c r="AC57" s="1511"/>
      <c r="AD57" s="1511"/>
      <c r="AE57" s="1511"/>
      <c r="AF57" s="1511"/>
      <c r="AG57" s="1511"/>
      <c r="AH57" s="1511"/>
      <c r="AI57" s="1511"/>
      <c r="AJ57" s="1511"/>
      <c r="AK57" s="1511"/>
      <c r="AL57" s="1511"/>
      <c r="AM57" s="1511"/>
      <c r="AN57" s="1511"/>
      <c r="AO57" s="1511"/>
      <c r="AP57" s="1511"/>
      <c r="AQ57" s="1511"/>
      <c r="AR57" s="1511"/>
      <c r="AS57" s="1511"/>
      <c r="AT57" s="1511"/>
      <c r="AU57" s="1511"/>
      <c r="AV57" s="1511"/>
      <c r="AW57" s="1511"/>
      <c r="AX57" s="1511"/>
      <c r="AY57" s="1511"/>
      <c r="AZ57" s="1511"/>
      <c r="BA57" s="1511"/>
      <c r="BB57" s="1511"/>
      <c r="BC57" s="1511"/>
      <c r="BD57" s="1511"/>
      <c r="BE57" s="1511"/>
      <c r="BF57" s="1511"/>
      <c r="BG57" s="1511"/>
      <c r="BH57" s="1511"/>
      <c r="BI57" s="1511"/>
      <c r="BJ57" s="1511"/>
    </row>
    <row r="58" spans="1:62">
      <c r="A58" s="1511"/>
      <c r="B58" s="1532"/>
      <c r="C58" s="1533" t="s">
        <v>19</v>
      </c>
      <c r="D58" s="1549" t="s">
        <v>1157</v>
      </c>
      <c r="E58" s="1533" t="s">
        <v>1112</v>
      </c>
      <c r="F58" s="1921">
        <v>0</v>
      </c>
      <c r="G58" s="1533" t="s">
        <v>271</v>
      </c>
      <c r="H58" s="1537">
        <v>12865</v>
      </c>
      <c r="I58" s="1533" t="s">
        <v>1150</v>
      </c>
      <c r="J58" s="1547">
        <f>(F58*H58*2000)/1000000</f>
        <v>0</v>
      </c>
      <c r="K58" s="1537">
        <f>(J58/(J$58+J$59+J$60))*K$61</f>
        <v>0</v>
      </c>
      <c r="L58" s="1546">
        <f>J58*Q57*0.0011023</f>
        <v>0</v>
      </c>
      <c r="M58" s="1609">
        <f>J58*R57*0.001102</f>
        <v>0</v>
      </c>
      <c r="N58" s="1511"/>
      <c r="O58" s="1524" t="s">
        <v>1114</v>
      </c>
      <c r="P58" s="685">
        <v>53.06</v>
      </c>
      <c r="Q58" s="1514">
        <v>1E-3</v>
      </c>
      <c r="R58" s="1525">
        <v>1E-4</v>
      </c>
      <c r="S58" s="1511"/>
      <c r="T58" s="1511"/>
      <c r="U58" s="1511"/>
      <c r="V58" s="1511"/>
      <c r="W58" s="1511"/>
      <c r="X58" s="1511"/>
      <c r="Y58" s="1511"/>
      <c r="Z58" s="1511"/>
      <c r="AA58" s="1511"/>
      <c r="AB58" s="1511"/>
      <c r="AC58" s="1511"/>
      <c r="AD58" s="1511"/>
      <c r="AE58" s="1511"/>
      <c r="AF58" s="1511"/>
      <c r="AG58" s="1511"/>
      <c r="AH58" s="1511"/>
      <c r="AI58" s="1511"/>
      <c r="AJ58" s="1511"/>
      <c r="AK58" s="1511"/>
      <c r="AL58" s="1511"/>
      <c r="AM58" s="1511"/>
      <c r="AN58" s="1511"/>
      <c r="AO58" s="1511"/>
      <c r="AP58" s="1511"/>
      <c r="AQ58" s="1511"/>
      <c r="AR58" s="1511"/>
      <c r="AS58" s="1511"/>
      <c r="AT58" s="1511"/>
      <c r="AU58" s="1511"/>
      <c r="AV58" s="1511"/>
      <c r="AW58" s="1511"/>
      <c r="AX58" s="1511"/>
      <c r="AY58" s="1511"/>
      <c r="AZ58" s="1511"/>
      <c r="BA58" s="1511"/>
      <c r="BB58" s="1511"/>
      <c r="BC58" s="1511"/>
      <c r="BD58" s="1511"/>
      <c r="BE58" s="1511"/>
      <c r="BF58" s="1511"/>
      <c r="BG58" s="1511"/>
      <c r="BH58" s="1511"/>
      <c r="BI58" s="1511"/>
      <c r="BJ58" s="1511"/>
    </row>
    <row r="59" spans="1:62">
      <c r="A59" s="1511"/>
      <c r="B59" s="1532"/>
      <c r="C59" s="1533"/>
      <c r="D59" s="1549"/>
      <c r="E59" s="1533" t="s">
        <v>18</v>
      </c>
      <c r="F59" s="1540">
        <v>192360</v>
      </c>
      <c r="G59" s="1533" t="s">
        <v>67</v>
      </c>
      <c r="H59" s="1537">
        <v>136253</v>
      </c>
      <c r="I59" s="1533" t="s">
        <v>12</v>
      </c>
      <c r="J59" s="1547">
        <f>(F59*H59)/1000000</f>
        <v>26209.627079999998</v>
      </c>
      <c r="K59" s="1537">
        <f>(J59/(J$58+J$59+J$60))*K$61</f>
        <v>1364.6843981801997</v>
      </c>
      <c r="L59" s="1546">
        <f>J59*Q59*0.001102</f>
        <v>8.6649027126479997E-2</v>
      </c>
      <c r="M59" s="1609">
        <f>J59*R59*0.001102</f>
        <v>1.7329805425295997E-2</v>
      </c>
      <c r="N59" s="1511"/>
      <c r="O59" s="1524" t="s">
        <v>1169</v>
      </c>
      <c r="P59" s="685">
        <v>73.959999999999994</v>
      </c>
      <c r="Q59" s="1514">
        <v>3.0000000000000001E-3</v>
      </c>
      <c r="R59" s="1525">
        <v>5.9999999999999995E-4</v>
      </c>
      <c r="S59" s="1511"/>
      <c r="T59" s="1511"/>
      <c r="U59" s="1511"/>
      <c r="V59" s="1511"/>
      <c r="W59" s="1511"/>
      <c r="X59" s="1511"/>
      <c r="Y59" s="1511"/>
      <c r="Z59" s="1511"/>
      <c r="AA59" s="1511"/>
      <c r="AB59" s="1511"/>
      <c r="AC59" s="1511"/>
      <c r="AD59" s="1511"/>
      <c r="AE59" s="1511"/>
      <c r="AF59" s="1511"/>
      <c r="AG59" s="1511"/>
      <c r="AH59" s="1511"/>
      <c r="AI59" s="1511"/>
      <c r="AJ59" s="1511"/>
      <c r="AK59" s="1511"/>
      <c r="AL59" s="1511"/>
      <c r="AM59" s="1511"/>
      <c r="AN59" s="1511"/>
      <c r="AO59" s="1511"/>
      <c r="AP59" s="1511"/>
      <c r="AQ59" s="1511"/>
      <c r="AR59" s="1511"/>
      <c r="AS59" s="1511"/>
      <c r="AT59" s="1511"/>
      <c r="AU59" s="1511"/>
      <c r="AV59" s="1511"/>
      <c r="AW59" s="1511"/>
      <c r="AX59" s="1511"/>
      <c r="AY59" s="1511"/>
      <c r="AZ59" s="1511"/>
      <c r="BA59" s="1511"/>
      <c r="BB59" s="1511"/>
      <c r="BC59" s="1511"/>
      <c r="BD59" s="1511"/>
      <c r="BE59" s="1511"/>
      <c r="BF59" s="1511"/>
      <c r="BG59" s="1511"/>
      <c r="BH59" s="1511"/>
      <c r="BI59" s="1511"/>
      <c r="BJ59" s="1511"/>
    </row>
    <row r="60" spans="1:62">
      <c r="A60" s="1511"/>
      <c r="B60" s="1532"/>
      <c r="C60" s="1533"/>
      <c r="D60" s="1549"/>
      <c r="E60" s="1533" t="s">
        <v>77</v>
      </c>
      <c r="F60" s="1540">
        <v>1079160</v>
      </c>
      <c r="G60" s="1533" t="s">
        <v>147</v>
      </c>
      <c r="H60" s="1537">
        <v>1057.7</v>
      </c>
      <c r="I60" s="1533" t="s">
        <v>76</v>
      </c>
      <c r="J60" s="1547">
        <f>(F60*H60)/1000</f>
        <v>1141427.5319999999</v>
      </c>
      <c r="K60" s="1537">
        <f>(J60/(J$58+J$59+J$60))*K$61</f>
        <v>59431.915601819797</v>
      </c>
      <c r="L60" s="1546">
        <f>J60*Q58*0.001102</f>
        <v>1.2578531402639999</v>
      </c>
      <c r="M60" s="1609">
        <f>J60*R58*0.001102</f>
        <v>0.1257853140264</v>
      </c>
      <c r="N60" s="1511"/>
      <c r="O60" s="1524" t="s">
        <v>1170</v>
      </c>
      <c r="P60" s="685">
        <v>75.099999999999994</v>
      </c>
      <c r="Q60" s="1514">
        <v>3.0000000000000001E-3</v>
      </c>
      <c r="R60" s="1525">
        <v>5.9999999999999995E-4</v>
      </c>
      <c r="S60" s="1511"/>
      <c r="T60" s="1511"/>
      <c r="U60" s="1511"/>
      <c r="V60" s="1511"/>
      <c r="W60" s="1511"/>
      <c r="X60" s="1511"/>
      <c r="Y60" s="1511"/>
      <c r="Z60" s="1511"/>
      <c r="AA60" s="1511"/>
      <c r="AB60" s="1511"/>
      <c r="AC60" s="1511"/>
      <c r="AD60" s="1511"/>
      <c r="AE60" s="1511"/>
      <c r="AF60" s="1511"/>
      <c r="AG60" s="1511"/>
      <c r="AH60" s="1511"/>
      <c r="AI60" s="1511"/>
      <c r="AJ60" s="1511"/>
      <c r="AK60" s="1511"/>
      <c r="AL60" s="1511"/>
      <c r="AM60" s="1511"/>
      <c r="AN60" s="1511"/>
      <c r="AO60" s="1511"/>
      <c r="AP60" s="1511"/>
      <c r="AQ60" s="1511"/>
      <c r="AR60" s="1511"/>
      <c r="AS60" s="1511"/>
      <c r="AT60" s="1511"/>
      <c r="AU60" s="1511"/>
      <c r="AV60" s="1511"/>
      <c r="AW60" s="1511"/>
      <c r="AX60" s="1511"/>
      <c r="AY60" s="1511"/>
      <c r="AZ60" s="1511"/>
      <c r="BA60" s="1511"/>
      <c r="BB60" s="1511"/>
      <c r="BC60" s="1511"/>
      <c r="BD60" s="1511"/>
      <c r="BE60" s="1511"/>
      <c r="BF60" s="1511"/>
      <c r="BG60" s="1511"/>
      <c r="BH60" s="1511"/>
      <c r="BI60" s="1511"/>
      <c r="BJ60" s="1511"/>
    </row>
    <row r="61" spans="1:62">
      <c r="A61" s="1511"/>
      <c r="B61" s="1532"/>
      <c r="C61" s="1533"/>
      <c r="D61" s="1549"/>
      <c r="E61" s="1533"/>
      <c r="F61" s="1537"/>
      <c r="G61" s="1533"/>
      <c r="H61" s="1537"/>
      <c r="I61" s="1533"/>
      <c r="J61" s="1542">
        <f>SUM(J58:J60)</f>
        <v>1167637.1590799999</v>
      </c>
      <c r="K61" s="1554">
        <v>60796.6</v>
      </c>
      <c r="L61" s="1555">
        <f>SUM(L58:L60)</f>
        <v>1.3445021673904798</v>
      </c>
      <c r="M61" s="1764">
        <f>SUM(M58:M60)</f>
        <v>0.143115119451696</v>
      </c>
      <c r="N61" s="1511"/>
      <c r="O61" s="1524" t="s">
        <v>922</v>
      </c>
      <c r="P61" s="685">
        <v>75.2</v>
      </c>
      <c r="Q61" s="1514">
        <v>3.0000000000000001E-3</v>
      </c>
      <c r="R61" s="1525">
        <v>5.9999999999999995E-4</v>
      </c>
      <c r="S61" s="1511"/>
      <c r="T61" s="1511"/>
      <c r="U61" s="1511"/>
      <c r="V61" s="1511"/>
      <c r="W61" s="1511"/>
      <c r="X61" s="1511"/>
      <c r="Y61" s="1511"/>
      <c r="Z61" s="1511"/>
      <c r="AA61" s="1511"/>
      <c r="AB61" s="1511"/>
      <c r="AC61" s="1511"/>
      <c r="AD61" s="1511"/>
      <c r="AE61" s="1511"/>
      <c r="AF61" s="1511"/>
      <c r="AG61" s="1511"/>
      <c r="AH61" s="1511"/>
      <c r="AI61" s="1511"/>
      <c r="AJ61" s="1511"/>
      <c r="AK61" s="1511"/>
      <c r="AL61" s="1511"/>
      <c r="AM61" s="1511"/>
      <c r="AN61" s="1511"/>
      <c r="AO61" s="1511"/>
      <c r="AP61" s="1511"/>
      <c r="AQ61" s="1511"/>
      <c r="AR61" s="1511"/>
      <c r="AS61" s="1511"/>
      <c r="AT61" s="1511"/>
      <c r="AU61" s="1511"/>
      <c r="AV61" s="1511"/>
      <c r="AW61" s="1511"/>
      <c r="AX61" s="1511"/>
      <c r="AY61" s="1511"/>
      <c r="AZ61" s="1511"/>
      <c r="BA61" s="1511"/>
      <c r="BB61" s="1511"/>
      <c r="BC61" s="1511"/>
      <c r="BD61" s="1511"/>
      <c r="BE61" s="1511"/>
      <c r="BF61" s="1511"/>
      <c r="BG61" s="1511"/>
      <c r="BH61" s="1511"/>
      <c r="BI61" s="1511"/>
      <c r="BJ61" s="1511"/>
    </row>
    <row r="62" spans="1:62">
      <c r="A62" s="1511"/>
      <c r="B62" s="1532"/>
      <c r="C62" s="1533"/>
      <c r="D62" s="1549"/>
      <c r="E62" s="1533"/>
      <c r="F62" s="1537"/>
      <c r="G62" s="1533"/>
      <c r="H62" s="1537"/>
      <c r="I62" s="1533"/>
      <c r="J62" s="1547"/>
      <c r="K62" s="1537"/>
      <c r="L62" s="1546"/>
      <c r="M62" s="1610"/>
      <c r="N62" s="1511"/>
      <c r="O62" s="1524" t="s">
        <v>807</v>
      </c>
      <c r="P62" s="685">
        <v>62.87</v>
      </c>
      <c r="Q62" s="1514">
        <v>3.0000000000000001E-3</v>
      </c>
      <c r="R62" s="1525">
        <v>5.9999999999999995E-4</v>
      </c>
      <c r="S62" s="1511"/>
      <c r="T62" s="1511"/>
      <c r="U62" s="1511"/>
      <c r="V62" s="1511"/>
      <c r="W62" s="1511"/>
      <c r="X62" s="1511"/>
      <c r="Y62" s="1511"/>
      <c r="Z62" s="1511"/>
      <c r="AA62" s="1511"/>
      <c r="AB62" s="1511"/>
      <c r="AC62" s="1511"/>
      <c r="AD62" s="1511"/>
      <c r="AE62" s="1511"/>
      <c r="AF62" s="1511"/>
      <c r="AG62" s="1511"/>
      <c r="AH62" s="1511"/>
      <c r="AI62" s="1511"/>
      <c r="AJ62" s="1511"/>
      <c r="AK62" s="1511"/>
      <c r="AL62" s="1511"/>
      <c r="AM62" s="1511"/>
      <c r="AN62" s="1511"/>
      <c r="AO62" s="1511"/>
      <c r="AP62" s="1511"/>
      <c r="AQ62" s="1511"/>
      <c r="AR62" s="1511"/>
      <c r="AS62" s="1511"/>
      <c r="AT62" s="1511"/>
      <c r="AU62" s="1511"/>
      <c r="AV62" s="1511"/>
      <c r="AW62" s="1511"/>
      <c r="AX62" s="1511"/>
      <c r="AY62" s="1511"/>
      <c r="AZ62" s="1511"/>
      <c r="BA62" s="1511"/>
      <c r="BB62" s="1511"/>
      <c r="BC62" s="1511"/>
      <c r="BD62" s="1511"/>
      <c r="BE62" s="1511"/>
      <c r="BF62" s="1511"/>
      <c r="BG62" s="1511"/>
      <c r="BH62" s="1511"/>
      <c r="BI62" s="1511"/>
      <c r="BJ62" s="1511"/>
    </row>
    <row r="63" spans="1:62">
      <c r="A63" s="1511"/>
      <c r="B63" s="1532"/>
      <c r="C63" s="1533" t="s">
        <v>21</v>
      </c>
      <c r="D63" s="1549" t="s">
        <v>20</v>
      </c>
      <c r="E63" s="1533" t="s">
        <v>1112</v>
      </c>
      <c r="F63" s="1921">
        <v>0</v>
      </c>
      <c r="G63" s="1533" t="s">
        <v>271</v>
      </c>
      <c r="H63" s="1537">
        <v>12865</v>
      </c>
      <c r="I63" s="1533" t="s">
        <v>1150</v>
      </c>
      <c r="J63" s="1547">
        <f>(F63*H63*2000)/1000000</f>
        <v>0</v>
      </c>
      <c r="K63" s="1537">
        <f>(J63/(J$63+J$64+J$65))*K$66</f>
        <v>0</v>
      </c>
      <c r="L63" s="1546">
        <f>J63*Q57*0.001102</f>
        <v>0</v>
      </c>
      <c r="M63" s="1609">
        <f>J63*R57*0.001102</f>
        <v>0</v>
      </c>
      <c r="N63" s="1511"/>
      <c r="O63" s="1524" t="s">
        <v>213</v>
      </c>
      <c r="P63" s="685">
        <v>66.88</v>
      </c>
      <c r="Q63" s="1514">
        <v>3.0000000000000001E-3</v>
      </c>
      <c r="R63" s="1525">
        <v>5.9999999999999995E-4</v>
      </c>
      <c r="S63" s="1511"/>
      <c r="T63" s="1511"/>
      <c r="U63" s="1511"/>
      <c r="V63" s="1511"/>
      <c r="W63" s="1511"/>
      <c r="X63" s="1511"/>
      <c r="Y63" s="1511"/>
      <c r="Z63" s="1511"/>
      <c r="AA63" s="1511"/>
      <c r="AB63" s="1511"/>
      <c r="AC63" s="1511"/>
      <c r="AD63" s="1511"/>
      <c r="AE63" s="1511"/>
      <c r="AF63" s="1511"/>
      <c r="AG63" s="1511"/>
      <c r="AH63" s="1511"/>
      <c r="AI63" s="1511"/>
      <c r="AJ63" s="1511"/>
      <c r="AK63" s="1511"/>
      <c r="AL63" s="1511"/>
      <c r="AM63" s="1511"/>
      <c r="AN63" s="1511"/>
      <c r="AO63" s="1511"/>
      <c r="AP63" s="1511"/>
      <c r="AQ63" s="1511"/>
      <c r="AR63" s="1511"/>
      <c r="AS63" s="1511"/>
      <c r="AT63" s="1511"/>
      <c r="AU63" s="1511"/>
      <c r="AV63" s="1511"/>
      <c r="AW63" s="1511"/>
      <c r="AX63" s="1511"/>
      <c r="AY63" s="1511"/>
      <c r="AZ63" s="1511"/>
      <c r="BA63" s="1511"/>
      <c r="BB63" s="1511"/>
      <c r="BC63" s="1511"/>
      <c r="BD63" s="1511"/>
      <c r="BE63" s="1511"/>
      <c r="BF63" s="1511"/>
      <c r="BG63" s="1511"/>
      <c r="BH63" s="1511"/>
      <c r="BI63" s="1511"/>
      <c r="BJ63" s="1511"/>
    </row>
    <row r="64" spans="1:62" ht="13.5" thickBot="1">
      <c r="A64" s="1511"/>
      <c r="B64" s="1532"/>
      <c r="C64" s="1533"/>
      <c r="D64" s="1549"/>
      <c r="E64" s="1533" t="s">
        <v>18</v>
      </c>
      <c r="F64" s="1540">
        <v>616980</v>
      </c>
      <c r="G64" s="1533" t="s">
        <v>67</v>
      </c>
      <c r="H64" s="1537">
        <v>136253</v>
      </c>
      <c r="I64" s="1533" t="s">
        <v>12</v>
      </c>
      <c r="J64" s="1547">
        <f>(F64*H64)/1000000</f>
        <v>84065.375939999998</v>
      </c>
      <c r="K64" s="1537">
        <f>(J64/(J$63+J$64+J$65))*K$66</f>
        <v>4660.8644791135912</v>
      </c>
      <c r="L64" s="1546">
        <f>J64*Q59*0.001102</f>
        <v>0.27792013285763995</v>
      </c>
      <c r="M64" s="1609">
        <f>J64*R59*0.001102</f>
        <v>5.5584026571527993E-2</v>
      </c>
      <c r="N64" s="1511"/>
      <c r="O64" s="1517" t="s">
        <v>1164</v>
      </c>
      <c r="P64" s="1526">
        <v>74</v>
      </c>
      <c r="Q64" s="1527">
        <v>3.0000000000000001E-3</v>
      </c>
      <c r="R64" s="1528">
        <v>5.9999999999999995E-4</v>
      </c>
      <c r="S64" s="1511"/>
      <c r="T64" s="1511"/>
      <c r="U64" s="1511"/>
      <c r="V64" s="1511"/>
      <c r="W64" s="1511"/>
      <c r="X64" s="1511"/>
      <c r="Y64" s="1511"/>
      <c r="Z64" s="1511"/>
      <c r="AA64" s="1511"/>
      <c r="AB64" s="1511"/>
      <c r="AC64" s="1511"/>
      <c r="AD64" s="1511"/>
      <c r="AE64" s="1511"/>
      <c r="AF64" s="1511"/>
      <c r="AG64" s="1511"/>
      <c r="AH64" s="1511"/>
      <c r="AI64" s="1511"/>
      <c r="AJ64" s="1511"/>
      <c r="AK64" s="1511"/>
      <c r="AL64" s="1511"/>
      <c r="AM64" s="1511"/>
      <c r="AN64" s="1511"/>
      <c r="AO64" s="1511"/>
      <c r="AP64" s="1511"/>
      <c r="AQ64" s="1511"/>
      <c r="AR64" s="1511"/>
      <c r="AS64" s="1511"/>
      <c r="AT64" s="1511"/>
      <c r="AU64" s="1511"/>
      <c r="AV64" s="1511"/>
      <c r="AW64" s="1511"/>
      <c r="AX64" s="1511"/>
      <c r="AY64" s="1511"/>
      <c r="AZ64" s="1511"/>
      <c r="BA64" s="1511"/>
      <c r="BB64" s="1511"/>
      <c r="BC64" s="1511"/>
      <c r="BD64" s="1511"/>
      <c r="BE64" s="1511"/>
      <c r="BF64" s="1511"/>
      <c r="BG64" s="1511"/>
      <c r="BH64" s="1511"/>
      <c r="BI64" s="1511"/>
      <c r="BJ64" s="1511"/>
    </row>
    <row r="65" spans="1:62">
      <c r="A65" s="1511"/>
      <c r="B65" s="1532"/>
      <c r="C65" s="1533"/>
      <c r="D65" s="1549"/>
      <c r="E65" s="1533" t="s">
        <v>77</v>
      </c>
      <c r="F65" s="1540">
        <v>3583460</v>
      </c>
      <c r="G65" s="1533" t="s">
        <v>147</v>
      </c>
      <c r="H65" s="1537">
        <v>1057.7</v>
      </c>
      <c r="I65" s="1533" t="s">
        <v>76</v>
      </c>
      <c r="J65" s="1547">
        <f>(F65*H65)/1000</f>
        <v>3790225.642</v>
      </c>
      <c r="K65" s="1537">
        <f>(J65/(J$63+J$64+J$65))*K$66</f>
        <v>210142.7355208864</v>
      </c>
      <c r="L65" s="1546">
        <f>J65*Q58*0.001102</f>
        <v>4.1768286574839992</v>
      </c>
      <c r="M65" s="1609">
        <f>J65*R58*0.001102</f>
        <v>0.41768286574840002</v>
      </c>
      <c r="N65" s="1511"/>
      <c r="O65" s="1511"/>
      <c r="P65" s="1511"/>
      <c r="Q65" s="1511"/>
      <c r="R65" s="1511"/>
      <c r="S65" s="1511"/>
      <c r="T65" s="1511"/>
      <c r="U65" s="1511"/>
      <c r="V65" s="1511"/>
      <c r="W65" s="1511"/>
      <c r="X65" s="1511"/>
      <c r="Y65" s="1511"/>
      <c r="Z65" s="1511"/>
      <c r="AA65" s="1511"/>
      <c r="AB65" s="1511"/>
      <c r="AC65" s="1511"/>
      <c r="AD65" s="1511"/>
      <c r="AE65" s="1511"/>
      <c r="AF65" s="1511"/>
      <c r="AG65" s="1511"/>
      <c r="AH65" s="1511"/>
      <c r="AI65" s="1511"/>
      <c r="AJ65" s="1511"/>
      <c r="AK65" s="1511"/>
      <c r="AL65" s="1511"/>
      <c r="AM65" s="1511"/>
      <c r="AN65" s="1511"/>
      <c r="AO65" s="1511"/>
      <c r="AP65" s="1511"/>
      <c r="AQ65" s="1511"/>
      <c r="AR65" s="1511"/>
      <c r="AS65" s="1511"/>
      <c r="AT65" s="1511"/>
      <c r="AU65" s="1511"/>
      <c r="AV65" s="1511"/>
      <c r="AW65" s="1511"/>
      <c r="AX65" s="1511"/>
      <c r="AY65" s="1511"/>
      <c r="AZ65" s="1511"/>
      <c r="BA65" s="1511"/>
      <c r="BB65" s="1511"/>
      <c r="BC65" s="1511"/>
      <c r="BD65" s="1511"/>
      <c r="BE65" s="1511"/>
      <c r="BF65" s="1511"/>
      <c r="BG65" s="1511"/>
      <c r="BH65" s="1511"/>
      <c r="BI65" s="1511"/>
      <c r="BJ65" s="1511"/>
    </row>
    <row r="66" spans="1:62">
      <c r="A66" s="1511"/>
      <c r="B66" s="1532"/>
      <c r="C66" s="1533"/>
      <c r="D66" s="1549"/>
      <c r="E66" s="1533"/>
      <c r="F66" s="1537"/>
      <c r="G66" s="1533"/>
      <c r="H66" s="1537"/>
      <c r="I66" s="1533"/>
      <c r="J66" s="1542">
        <f>SUM(J63:J65)</f>
        <v>3874291.0179400002</v>
      </c>
      <c r="K66" s="1554">
        <v>214803.6</v>
      </c>
      <c r="L66" s="1555">
        <f>SUM(L63:L65)</f>
        <v>4.4547487903416396</v>
      </c>
      <c r="M66" s="1764">
        <f>SUM(M63:M65)</f>
        <v>0.47326689231992802</v>
      </c>
      <c r="N66" s="1511"/>
      <c r="O66" s="1511"/>
      <c r="P66" s="1511"/>
      <c r="Q66" s="1511"/>
      <c r="R66" s="1511"/>
      <c r="S66" s="1511"/>
      <c r="T66" s="1511"/>
      <c r="U66" s="1511"/>
      <c r="V66" s="1511"/>
      <c r="W66" s="1511"/>
      <c r="X66" s="1511"/>
      <c r="Y66" s="1511"/>
      <c r="Z66" s="1511"/>
      <c r="AA66" s="1511"/>
      <c r="AB66" s="1511"/>
      <c r="AC66" s="1511"/>
      <c r="AD66" s="1511"/>
      <c r="AE66" s="1511"/>
      <c r="AF66" s="1511"/>
      <c r="AG66" s="1511"/>
      <c r="AH66" s="1511"/>
      <c r="AI66" s="1511"/>
      <c r="AJ66" s="1511"/>
      <c r="AK66" s="1511"/>
      <c r="AL66" s="1511"/>
      <c r="AM66" s="1511"/>
      <c r="AN66" s="1511"/>
      <c r="AO66" s="1511"/>
      <c r="AP66" s="1511"/>
      <c r="AQ66" s="1511"/>
      <c r="AR66" s="1511"/>
      <c r="AS66" s="1511"/>
      <c r="AT66" s="1511"/>
      <c r="AU66" s="1511"/>
      <c r="AV66" s="1511"/>
      <c r="AW66" s="1511"/>
      <c r="AX66" s="1511"/>
      <c r="AY66" s="1511"/>
      <c r="AZ66" s="1511"/>
      <c r="BA66" s="1511"/>
      <c r="BB66" s="1511"/>
      <c r="BC66" s="1511"/>
      <c r="BD66" s="1511"/>
      <c r="BE66" s="1511"/>
      <c r="BF66" s="1511"/>
      <c r="BG66" s="1511"/>
      <c r="BH66" s="1511"/>
      <c r="BI66" s="1511"/>
      <c r="BJ66" s="1511"/>
    </row>
    <row r="67" spans="1:62" ht="13.5" thickBot="1">
      <c r="A67" s="1511"/>
      <c r="B67" s="1532"/>
      <c r="C67" s="1533"/>
      <c r="D67" s="1549"/>
      <c r="E67" s="1533"/>
      <c r="F67" s="1537"/>
      <c r="G67" s="1533"/>
      <c r="H67" s="1537"/>
      <c r="I67" s="1533"/>
      <c r="J67" s="1542"/>
      <c r="K67" s="1537"/>
      <c r="L67" s="1546"/>
      <c r="M67" s="1610"/>
      <c r="N67" s="1511"/>
      <c r="O67" s="3505" t="s">
        <v>1172</v>
      </c>
      <c r="P67" s="3506"/>
      <c r="Q67" s="3506"/>
      <c r="R67" s="1511"/>
      <c r="S67" s="1511"/>
      <c r="T67" s="1511"/>
      <c r="U67" s="1511"/>
      <c r="V67" s="1511"/>
      <c r="W67" s="1511"/>
      <c r="X67" s="1511"/>
      <c r="Y67" s="1511"/>
      <c r="Z67" s="1511"/>
      <c r="AA67" s="1511"/>
      <c r="AB67" s="1511"/>
      <c r="AC67" s="1511"/>
      <c r="AD67" s="1511"/>
      <c r="AE67" s="1511"/>
      <c r="AF67" s="1511"/>
      <c r="AG67" s="1511"/>
      <c r="AH67" s="1511"/>
      <c r="AI67" s="1511"/>
      <c r="AJ67" s="1511"/>
      <c r="AK67" s="1511"/>
      <c r="AL67" s="1511"/>
      <c r="AM67" s="1511"/>
      <c r="AN67" s="1511"/>
      <c r="AO67" s="1511"/>
      <c r="AP67" s="1511"/>
      <c r="AQ67" s="1511"/>
      <c r="AR67" s="1511"/>
      <c r="AS67" s="1511"/>
      <c r="AT67" s="1511"/>
      <c r="AU67" s="1511"/>
      <c r="AV67" s="1511"/>
      <c r="AW67" s="1511"/>
      <c r="AX67" s="1511"/>
      <c r="AY67" s="1511"/>
      <c r="AZ67" s="1511"/>
      <c r="BA67" s="1511"/>
      <c r="BB67" s="1511"/>
      <c r="BC67" s="1511"/>
      <c r="BD67" s="1511"/>
      <c r="BE67" s="1511"/>
      <c r="BF67" s="1511"/>
      <c r="BG67" s="1511"/>
      <c r="BH67" s="1511"/>
      <c r="BI67" s="1511"/>
      <c r="BJ67" s="1511"/>
    </row>
    <row r="68" spans="1:62" ht="16.5" thickBot="1">
      <c r="A68" s="1511"/>
      <c r="B68" s="1532"/>
      <c r="C68" s="1533" t="s">
        <v>278</v>
      </c>
      <c r="D68" s="1559" t="s">
        <v>22</v>
      </c>
      <c r="E68" s="1533" t="s">
        <v>18</v>
      </c>
      <c r="F68" s="1540">
        <v>42000</v>
      </c>
      <c r="G68" s="1533" t="s">
        <v>67</v>
      </c>
      <c r="H68" s="1537">
        <v>136253</v>
      </c>
      <c r="I68" s="1533" t="s">
        <v>12</v>
      </c>
      <c r="J68" s="1542">
        <f>(F68*H68)/1000000</f>
        <v>5722.6260000000002</v>
      </c>
      <c r="K68" s="1554">
        <v>466.54</v>
      </c>
      <c r="L68" s="1560">
        <f>J68*Q59*0.001102</f>
        <v>1.8919001556000001E-2</v>
      </c>
      <c r="M68" s="1764">
        <f>J68*R59*0.001102</f>
        <v>3.7838003111999993E-3</v>
      </c>
      <c r="N68" s="1511"/>
      <c r="O68" s="1529" t="s">
        <v>379</v>
      </c>
      <c r="P68" s="1529">
        <v>1</v>
      </c>
      <c r="Q68" s="1511"/>
      <c r="R68" s="1511"/>
      <c r="S68" s="1511"/>
      <c r="T68" s="1511"/>
      <c r="U68" s="1511"/>
      <c r="V68" s="1511"/>
      <c r="W68" s="1511"/>
      <c r="X68" s="1511"/>
      <c r="Y68" s="1511"/>
      <c r="Z68" s="1511"/>
      <c r="AA68" s="1511"/>
      <c r="AB68" s="1511"/>
      <c r="AC68" s="1511"/>
      <c r="AD68" s="1511"/>
      <c r="AE68" s="1511"/>
      <c r="AF68" s="1511"/>
      <c r="AG68" s="1511"/>
      <c r="AH68" s="1511"/>
      <c r="AI68" s="1511"/>
      <c r="AJ68" s="1511"/>
      <c r="AK68" s="1511"/>
      <c r="AL68" s="1511"/>
      <c r="AM68" s="1511"/>
      <c r="AN68" s="1511"/>
      <c r="AO68" s="1511"/>
      <c r="AP68" s="1511"/>
      <c r="AQ68" s="1511"/>
      <c r="AR68" s="1511"/>
      <c r="AS68" s="1511"/>
      <c r="AT68" s="1511"/>
      <c r="AU68" s="1511"/>
      <c r="AV68" s="1511"/>
      <c r="AW68" s="1511"/>
      <c r="AX68" s="1511"/>
      <c r="AY68" s="1511"/>
      <c r="AZ68" s="1511"/>
      <c r="BA68" s="1511"/>
      <c r="BB68" s="1511"/>
      <c r="BC68" s="1511"/>
      <c r="BD68" s="1511"/>
      <c r="BE68" s="1511"/>
      <c r="BF68" s="1511"/>
      <c r="BG68" s="1511"/>
      <c r="BH68" s="1511"/>
      <c r="BI68" s="1511"/>
      <c r="BJ68" s="1511"/>
    </row>
    <row r="69" spans="1:62" ht="16.5" thickBot="1">
      <c r="A69" s="1511"/>
      <c r="B69" s="1532"/>
      <c r="C69" s="1533"/>
      <c r="D69" s="1549"/>
      <c r="E69" s="1533"/>
      <c r="F69" s="1537"/>
      <c r="G69" s="1533"/>
      <c r="H69" s="1537"/>
      <c r="I69" s="1533"/>
      <c r="J69" s="1547"/>
      <c r="K69" s="1537"/>
      <c r="L69" s="1546"/>
      <c r="M69" s="1610"/>
      <c r="N69" s="1511"/>
      <c r="O69" s="1529" t="s">
        <v>381</v>
      </c>
      <c r="P69" s="1529">
        <v>21</v>
      </c>
      <c r="Q69" s="1511"/>
      <c r="R69" s="1511"/>
      <c r="S69" s="1511"/>
      <c r="T69" s="1511"/>
      <c r="U69" s="1511"/>
      <c r="V69" s="1511"/>
      <c r="W69" s="1511"/>
      <c r="X69" s="1511"/>
      <c r="Y69" s="1511"/>
      <c r="Z69" s="1511"/>
      <c r="AA69" s="1511"/>
      <c r="AB69" s="1511"/>
      <c r="AC69" s="1511"/>
      <c r="AD69" s="1511"/>
      <c r="AE69" s="1511"/>
      <c r="AF69" s="1511"/>
      <c r="AG69" s="1511"/>
      <c r="AH69" s="1511"/>
      <c r="AI69" s="1511"/>
      <c r="AJ69" s="1511"/>
      <c r="AK69" s="1511"/>
      <c r="AL69" s="1511"/>
      <c r="AM69" s="1511"/>
      <c r="AN69" s="1511"/>
      <c r="AO69" s="1511"/>
      <c r="AP69" s="1511"/>
      <c r="AQ69" s="1511"/>
      <c r="AR69" s="1511"/>
      <c r="AS69" s="1511"/>
      <c r="AT69" s="1511"/>
      <c r="AU69" s="1511"/>
      <c r="AV69" s="1511"/>
      <c r="AW69" s="1511"/>
      <c r="AX69" s="1511"/>
      <c r="AY69" s="1511"/>
      <c r="AZ69" s="1511"/>
      <c r="BA69" s="1511"/>
      <c r="BB69" s="1511"/>
      <c r="BC69" s="1511"/>
      <c r="BD69" s="1511"/>
      <c r="BE69" s="1511"/>
      <c r="BF69" s="1511"/>
      <c r="BG69" s="1511"/>
      <c r="BH69" s="1511"/>
      <c r="BI69" s="1511"/>
      <c r="BJ69" s="1511"/>
    </row>
    <row r="70" spans="1:62" ht="16.5" thickBot="1">
      <c r="A70" s="1511"/>
      <c r="B70" s="1532"/>
      <c r="C70" s="1533" t="s">
        <v>23</v>
      </c>
      <c r="D70" s="1549" t="s">
        <v>24</v>
      </c>
      <c r="E70" s="1533" t="s">
        <v>18</v>
      </c>
      <c r="F70" s="1540">
        <v>18060</v>
      </c>
      <c r="G70" s="1533" t="s">
        <v>67</v>
      </c>
      <c r="H70" s="1537">
        <v>136253</v>
      </c>
      <c r="I70" s="1533" t="s">
        <v>12</v>
      </c>
      <c r="J70" s="1542">
        <v>10527</v>
      </c>
      <c r="K70" s="1554">
        <v>199.3</v>
      </c>
      <c r="L70" s="1560">
        <f>J70*Q59*0.001102</f>
        <v>3.4802261999999994E-2</v>
      </c>
      <c r="M70" s="1764">
        <f>J70*R59*0.001102</f>
        <v>6.9604523999999991E-3</v>
      </c>
      <c r="N70" s="1511"/>
      <c r="O70" s="1529" t="s">
        <v>1201</v>
      </c>
      <c r="P70" s="1529">
        <v>310</v>
      </c>
      <c r="Q70" s="1511"/>
      <c r="R70" s="1511"/>
      <c r="S70" s="1511"/>
      <c r="T70" s="1511"/>
      <c r="U70" s="1511"/>
      <c r="V70" s="1511"/>
      <c r="W70" s="1511"/>
      <c r="X70" s="1511"/>
      <c r="Y70" s="1511"/>
      <c r="Z70" s="1511"/>
      <c r="AA70" s="1511"/>
      <c r="AB70" s="1511"/>
      <c r="AC70" s="1511"/>
      <c r="AD70" s="1511"/>
      <c r="AE70" s="1511"/>
      <c r="AF70" s="1511"/>
      <c r="AG70" s="1511"/>
      <c r="AH70" s="1511"/>
      <c r="AI70" s="1511"/>
      <c r="AJ70" s="1511"/>
      <c r="AK70" s="1511"/>
      <c r="AL70" s="1511"/>
      <c r="AM70" s="1511"/>
      <c r="AN70" s="1511"/>
      <c r="AO70" s="1511"/>
      <c r="AP70" s="1511"/>
      <c r="AQ70" s="1511"/>
      <c r="AR70" s="1511"/>
      <c r="AS70" s="1511"/>
      <c r="AT70" s="1511"/>
      <c r="AU70" s="1511"/>
      <c r="AV70" s="1511"/>
      <c r="AW70" s="1511"/>
      <c r="AX70" s="1511"/>
      <c r="AY70" s="1511"/>
      <c r="AZ70" s="1511"/>
      <c r="BA70" s="1511"/>
      <c r="BB70" s="1511"/>
      <c r="BC70" s="1511"/>
      <c r="BD70" s="1511"/>
      <c r="BE70" s="1511"/>
      <c r="BF70" s="1511"/>
      <c r="BG70" s="1511"/>
      <c r="BH70" s="1511"/>
      <c r="BI70" s="1511"/>
      <c r="BJ70" s="1511"/>
    </row>
    <row r="71" spans="1:62">
      <c r="A71" s="1511"/>
      <c r="B71" s="1532"/>
      <c r="C71" s="1533"/>
      <c r="D71" s="1549"/>
      <c r="E71" s="1533"/>
      <c r="F71" s="1537"/>
      <c r="G71" s="1533"/>
      <c r="H71" s="1537"/>
      <c r="I71" s="1533"/>
      <c r="J71" s="1547"/>
      <c r="K71" s="1537"/>
      <c r="L71" s="1546"/>
      <c r="M71" s="1610"/>
      <c r="N71" s="1511"/>
      <c r="O71" s="1511"/>
      <c r="P71" s="1511"/>
      <c r="Q71" s="1511"/>
      <c r="R71" s="1511"/>
      <c r="S71" s="1511"/>
      <c r="T71" s="1511"/>
      <c r="U71" s="1511"/>
      <c r="V71" s="1511"/>
      <c r="W71" s="1511"/>
      <c r="X71" s="1511"/>
      <c r="Y71" s="1511"/>
      <c r="Z71" s="1511"/>
      <c r="AA71" s="1511"/>
      <c r="AB71" s="1511"/>
      <c r="AC71" s="1511"/>
      <c r="AD71" s="1511"/>
      <c r="AE71" s="1511"/>
      <c r="AF71" s="1511"/>
      <c r="AG71" s="1511"/>
      <c r="AH71" s="1511"/>
      <c r="AI71" s="1511"/>
      <c r="AJ71" s="1511"/>
      <c r="AK71" s="1511"/>
      <c r="AL71" s="1511"/>
      <c r="AM71" s="1511"/>
      <c r="AN71" s="1511"/>
      <c r="AO71" s="1511"/>
      <c r="AP71" s="1511"/>
      <c r="AQ71" s="1511"/>
      <c r="AR71" s="1511"/>
      <c r="AS71" s="1511"/>
      <c r="AT71" s="1511"/>
      <c r="AU71" s="1511"/>
      <c r="AV71" s="1511"/>
      <c r="AW71" s="1511"/>
      <c r="AX71" s="1511"/>
      <c r="AY71" s="1511"/>
      <c r="AZ71" s="1511"/>
      <c r="BA71" s="1511"/>
      <c r="BB71" s="1511"/>
      <c r="BC71" s="1511"/>
      <c r="BD71" s="1511"/>
      <c r="BE71" s="1511"/>
      <c r="BF71" s="1511"/>
      <c r="BG71" s="1511"/>
      <c r="BH71" s="1511"/>
      <c r="BI71" s="1511"/>
      <c r="BJ71" s="1511"/>
    </row>
    <row r="72" spans="1:62">
      <c r="A72" s="1511"/>
      <c r="B72" s="1532"/>
      <c r="C72" s="1533" t="s">
        <v>26</v>
      </c>
      <c r="D72" s="1559" t="s">
        <v>27</v>
      </c>
      <c r="E72" s="1533" t="s">
        <v>18</v>
      </c>
      <c r="F72" s="1540">
        <v>110040</v>
      </c>
      <c r="G72" s="1533" t="s">
        <v>67</v>
      </c>
      <c r="H72" s="1537">
        <v>136253</v>
      </c>
      <c r="I72" s="1533" t="s">
        <v>12</v>
      </c>
      <c r="J72" s="1547">
        <f>(F72*H72)/1000000</f>
        <v>14993.280119999999</v>
      </c>
      <c r="K72" s="1543">
        <f>(J72/(J$72+J$73))*K$74</f>
        <v>1116.8197852797623</v>
      </c>
      <c r="L72" s="1546">
        <f>J72*Q59*0.001102</f>
        <v>4.9567784076719995E-2</v>
      </c>
      <c r="M72" s="1609">
        <f>J72*R59*0.001102</f>
        <v>9.9135568153439976E-3</v>
      </c>
      <c r="N72" s="1511"/>
      <c r="O72" s="1511"/>
      <c r="P72" s="1511"/>
      <c r="Q72" s="1511"/>
      <c r="R72" s="1511"/>
      <c r="S72" s="1511"/>
      <c r="T72" s="1511"/>
      <c r="U72" s="1511"/>
      <c r="V72" s="1511"/>
      <c r="W72" s="1511"/>
      <c r="X72" s="1511"/>
      <c r="Y72" s="1511"/>
      <c r="Z72" s="1511"/>
      <c r="AA72" s="1511"/>
      <c r="AB72" s="1511"/>
      <c r="AC72" s="1511"/>
      <c r="AD72" s="1511"/>
      <c r="AE72" s="1511"/>
      <c r="AF72" s="1511"/>
      <c r="AG72" s="1511"/>
      <c r="AH72" s="1511"/>
      <c r="AI72" s="1511"/>
      <c r="AJ72" s="1511"/>
      <c r="AK72" s="1511"/>
      <c r="AL72" s="1511"/>
      <c r="AM72" s="1511"/>
      <c r="AN72" s="1511"/>
      <c r="AO72" s="1511"/>
      <c r="AP72" s="1511"/>
      <c r="AQ72" s="1511"/>
      <c r="AR72" s="1511"/>
      <c r="AS72" s="1511"/>
      <c r="AT72" s="1511"/>
      <c r="AU72" s="1511"/>
      <c r="AV72" s="1511"/>
      <c r="AW72" s="1511"/>
      <c r="AX72" s="1511"/>
      <c r="AY72" s="1511"/>
      <c r="AZ72" s="1511"/>
      <c r="BA72" s="1511"/>
      <c r="BB72" s="1511"/>
      <c r="BC72" s="1511"/>
      <c r="BD72" s="1511"/>
      <c r="BE72" s="1511"/>
      <c r="BF72" s="1511"/>
      <c r="BG72" s="1511"/>
      <c r="BH72" s="1511"/>
      <c r="BI72" s="1511"/>
      <c r="BJ72" s="1511"/>
    </row>
    <row r="73" spans="1:62">
      <c r="A73" s="1511"/>
      <c r="B73" s="1532"/>
      <c r="C73" s="1533"/>
      <c r="D73" s="1549"/>
      <c r="E73" s="1533" t="s">
        <v>77</v>
      </c>
      <c r="F73" s="1540">
        <v>8830</v>
      </c>
      <c r="G73" s="1533" t="s">
        <v>147</v>
      </c>
      <c r="H73" s="1537">
        <v>1057.7</v>
      </c>
      <c r="I73" s="1533" t="s">
        <v>76</v>
      </c>
      <c r="J73" s="1547">
        <f>(F73*H73)/1000</f>
        <v>9339.491</v>
      </c>
      <c r="K73" s="1543">
        <f>(J73/(J$72+J$73))*K$74</f>
        <v>695.68021472023781</v>
      </c>
      <c r="L73" s="1546">
        <f>J73*Q58*0.001102</f>
        <v>1.0292119081999999E-2</v>
      </c>
      <c r="M73" s="1609">
        <f>J73*R58*0.001102</f>
        <v>1.0292119081999999E-3</v>
      </c>
      <c r="N73" s="1511"/>
      <c r="O73" s="1511"/>
      <c r="P73" s="1511"/>
      <c r="Q73" s="1511"/>
      <c r="R73" s="1511"/>
      <c r="S73" s="1511"/>
      <c r="T73" s="1511"/>
      <c r="U73" s="1511"/>
      <c r="V73" s="1511"/>
      <c r="W73" s="1511"/>
      <c r="X73" s="1511"/>
      <c r="Y73" s="1511"/>
      <c r="Z73" s="1511"/>
      <c r="AA73" s="1511"/>
      <c r="AB73" s="1511"/>
      <c r="AC73" s="1511"/>
      <c r="AD73" s="1511"/>
      <c r="AE73" s="1511"/>
      <c r="AF73" s="1511"/>
      <c r="AG73" s="1511"/>
      <c r="AH73" s="1511"/>
      <c r="AI73" s="1511"/>
      <c r="AJ73" s="1511"/>
      <c r="AK73" s="1511"/>
      <c r="AL73" s="1511"/>
      <c r="AM73" s="1511"/>
      <c r="AN73" s="1511"/>
      <c r="AO73" s="1511"/>
      <c r="AP73" s="1511"/>
      <c r="AQ73" s="1511"/>
      <c r="AR73" s="1511"/>
      <c r="AS73" s="1511"/>
      <c r="AT73" s="1511"/>
      <c r="AU73" s="1511"/>
      <c r="AV73" s="1511"/>
      <c r="AW73" s="1511"/>
      <c r="AX73" s="1511"/>
      <c r="AY73" s="1511"/>
      <c r="AZ73" s="1511"/>
      <c r="BA73" s="1511"/>
      <c r="BB73" s="1511"/>
      <c r="BC73" s="1511"/>
      <c r="BD73" s="1511"/>
      <c r="BE73" s="1511"/>
      <c r="BF73" s="1511"/>
      <c r="BG73" s="1511"/>
      <c r="BH73" s="1511"/>
      <c r="BI73" s="1511"/>
      <c r="BJ73" s="1511"/>
    </row>
    <row r="74" spans="1:62">
      <c r="A74" s="1511"/>
      <c r="B74" s="1532"/>
      <c r="C74" s="1533"/>
      <c r="D74" s="1549"/>
      <c r="E74" s="1533"/>
      <c r="F74" s="1537"/>
      <c r="G74" s="1533"/>
      <c r="H74" s="1537"/>
      <c r="I74" s="1533"/>
      <c r="J74" s="1543">
        <f>SUM(J72:J73)</f>
        <v>24332.771119999998</v>
      </c>
      <c r="K74" s="1554">
        <v>1812.5</v>
      </c>
      <c r="L74" s="1555">
        <f>SUM(L72:L73)</f>
        <v>5.9859903158719995E-2</v>
      </c>
      <c r="M74" s="1764">
        <f>SUM(M72:M73)</f>
        <v>1.0942768723543998E-2</v>
      </c>
      <c r="N74" s="1511"/>
      <c r="O74" s="1511"/>
      <c r="P74" s="1511"/>
      <c r="Q74" s="1511"/>
      <c r="R74" s="1511"/>
      <c r="S74" s="1511"/>
      <c r="T74" s="1511"/>
      <c r="U74" s="1511"/>
      <c r="V74" s="1511"/>
      <c r="W74" s="1511"/>
      <c r="X74" s="1511"/>
      <c r="Y74" s="1511"/>
      <c r="Z74" s="1511"/>
      <c r="AA74" s="1511"/>
      <c r="AB74" s="1511"/>
      <c r="AC74" s="1511"/>
      <c r="AD74" s="1511"/>
      <c r="AE74" s="1511"/>
      <c r="AF74" s="1511"/>
      <c r="AG74" s="1511"/>
      <c r="AH74" s="1511"/>
      <c r="AI74" s="1511"/>
      <c r="AJ74" s="1511"/>
      <c r="AK74" s="1511"/>
      <c r="AL74" s="1511"/>
      <c r="AM74" s="1511"/>
      <c r="AN74" s="1511"/>
      <c r="AO74" s="1511"/>
      <c r="AP74" s="1511"/>
      <c r="AQ74" s="1511"/>
      <c r="AR74" s="1511"/>
      <c r="AS74" s="1511"/>
      <c r="AT74" s="1511"/>
      <c r="AU74" s="1511"/>
      <c r="AV74" s="1511"/>
      <c r="AW74" s="1511"/>
      <c r="AX74" s="1511"/>
      <c r="AY74" s="1511"/>
      <c r="AZ74" s="1511"/>
      <c r="BA74" s="1511"/>
      <c r="BB74" s="1511"/>
      <c r="BC74" s="1511"/>
      <c r="BD74" s="1511"/>
      <c r="BE74" s="1511"/>
      <c r="BF74" s="1511"/>
      <c r="BG74" s="1511"/>
      <c r="BH74" s="1511"/>
      <c r="BI74" s="1511"/>
      <c r="BJ74" s="1511"/>
    </row>
    <row r="75" spans="1:62">
      <c r="A75" s="1511"/>
      <c r="B75" s="1532"/>
      <c r="C75" s="1533"/>
      <c r="D75" s="1549"/>
      <c r="E75" s="1533"/>
      <c r="F75" s="1537"/>
      <c r="G75" s="1533"/>
      <c r="H75" s="1537"/>
      <c r="I75" s="1533"/>
      <c r="J75" s="1543"/>
      <c r="K75" s="1543"/>
      <c r="L75" s="1544"/>
      <c r="M75" s="1609"/>
      <c r="N75" s="1511"/>
      <c r="O75" s="1511"/>
      <c r="P75" s="1511"/>
      <c r="Q75" s="1511"/>
      <c r="R75" s="1511"/>
      <c r="S75" s="1511"/>
      <c r="T75" s="1511"/>
      <c r="U75" s="1511"/>
      <c r="V75" s="1511"/>
      <c r="W75" s="1511"/>
      <c r="X75" s="1511"/>
      <c r="Y75" s="1511"/>
      <c r="Z75" s="1511"/>
      <c r="AA75" s="1511"/>
      <c r="AB75" s="1511"/>
      <c r="AC75" s="1511"/>
      <c r="AD75" s="1511"/>
      <c r="AE75" s="1511"/>
      <c r="AF75" s="1511"/>
      <c r="AG75" s="1511"/>
      <c r="AH75" s="1511"/>
      <c r="AI75" s="1511"/>
      <c r="AJ75" s="1511"/>
      <c r="AK75" s="1511"/>
      <c r="AL75" s="1511"/>
      <c r="AM75" s="1511"/>
      <c r="AN75" s="1511"/>
      <c r="AO75" s="1511"/>
      <c r="AP75" s="1511"/>
      <c r="AQ75" s="1511"/>
      <c r="AR75" s="1511"/>
      <c r="AS75" s="1511"/>
      <c r="AT75" s="1511"/>
      <c r="AU75" s="1511"/>
      <c r="AV75" s="1511"/>
      <c r="AW75" s="1511"/>
      <c r="AX75" s="1511"/>
      <c r="AY75" s="1511"/>
      <c r="AZ75" s="1511"/>
      <c r="BA75" s="1511"/>
      <c r="BB75" s="1511"/>
      <c r="BC75" s="1511"/>
      <c r="BD75" s="1511"/>
      <c r="BE75" s="1511"/>
      <c r="BF75" s="1511"/>
      <c r="BG75" s="1511"/>
      <c r="BH75" s="1511"/>
      <c r="BI75" s="1511"/>
      <c r="BJ75" s="1511"/>
    </row>
    <row r="76" spans="1:62">
      <c r="A76" s="1511"/>
      <c r="B76" s="1532"/>
      <c r="C76" s="1533" t="s">
        <v>28</v>
      </c>
      <c r="D76" s="1559" t="s">
        <v>29</v>
      </c>
      <c r="E76" s="1533" t="s">
        <v>18</v>
      </c>
      <c r="F76" s="1540">
        <v>92400</v>
      </c>
      <c r="G76" s="1533" t="s">
        <v>67</v>
      </c>
      <c r="H76" s="1537">
        <v>136253</v>
      </c>
      <c r="I76" s="1533" t="s">
        <v>12</v>
      </c>
      <c r="J76" s="1547">
        <f>(F76*H76)/1000000</f>
        <v>12589.7772</v>
      </c>
      <c r="K76" s="1543">
        <f>(J76/(J$76+J$77))*K$78</f>
        <v>889.65296379482027</v>
      </c>
      <c r="L76" s="1546">
        <f>J76*Q59*0.001102</f>
        <v>4.1621803423199995E-2</v>
      </c>
      <c r="M76" s="1609">
        <f>J76*R59*0.001102</f>
        <v>8.3243606846399986E-3</v>
      </c>
      <c r="N76" s="1511"/>
      <c r="O76" s="1511"/>
      <c r="P76" s="1511"/>
      <c r="Q76" s="1511"/>
      <c r="R76" s="1511"/>
      <c r="S76" s="1511"/>
      <c r="T76" s="1511"/>
      <c r="U76" s="1511"/>
      <c r="V76" s="1511"/>
      <c r="W76" s="1511"/>
      <c r="X76" s="1511"/>
      <c r="Y76" s="1511"/>
      <c r="Z76" s="1511"/>
      <c r="AA76" s="1511"/>
      <c r="AB76" s="1511"/>
      <c r="AC76" s="1511"/>
      <c r="AD76" s="1511"/>
      <c r="AE76" s="1511"/>
      <c r="AF76" s="1511"/>
      <c r="AG76" s="1511"/>
      <c r="AH76" s="1511"/>
      <c r="AI76" s="1511"/>
      <c r="AJ76" s="1511"/>
      <c r="AK76" s="1511"/>
      <c r="AL76" s="1511"/>
      <c r="AM76" s="1511"/>
      <c r="AN76" s="1511"/>
      <c r="AO76" s="1511"/>
      <c r="AP76" s="1511"/>
      <c r="AQ76" s="1511"/>
      <c r="AR76" s="1511"/>
      <c r="AS76" s="1511"/>
      <c r="AT76" s="1511"/>
      <c r="AU76" s="1511"/>
      <c r="AV76" s="1511"/>
      <c r="AW76" s="1511"/>
      <c r="AX76" s="1511"/>
      <c r="AY76" s="1511"/>
      <c r="AZ76" s="1511"/>
      <c r="BA76" s="1511"/>
      <c r="BB76" s="1511"/>
      <c r="BC76" s="1511"/>
      <c r="BD76" s="1511"/>
      <c r="BE76" s="1511"/>
      <c r="BF76" s="1511"/>
      <c r="BG76" s="1511"/>
      <c r="BH76" s="1511"/>
      <c r="BI76" s="1511"/>
      <c r="BJ76" s="1511"/>
    </row>
    <row r="77" spans="1:62">
      <c r="A77" s="1511"/>
      <c r="B77" s="1532"/>
      <c r="C77" s="1533"/>
      <c r="D77" s="1549"/>
      <c r="E77" s="1533" t="s">
        <v>77</v>
      </c>
      <c r="F77" s="1540">
        <v>12030</v>
      </c>
      <c r="G77" s="1533" t="s">
        <v>147</v>
      </c>
      <c r="H77" s="1537">
        <v>1057.7</v>
      </c>
      <c r="I77" s="1533" t="s">
        <v>76</v>
      </c>
      <c r="J77" s="1547">
        <f>(F77*H77)/1000</f>
        <v>12724.130999999999</v>
      </c>
      <c r="K77" s="1543">
        <f>(J77/(J$76+J$77))*K$78</f>
        <v>899.14703620517992</v>
      </c>
      <c r="L77" s="1546">
        <f>J77*Q58*0.001102</f>
        <v>1.4021992361999998E-2</v>
      </c>
      <c r="M77" s="1609">
        <f>J77*R58*0.001102</f>
        <v>1.4021992361999999E-3</v>
      </c>
      <c r="N77" s="1511"/>
      <c r="O77" s="1511"/>
      <c r="P77" s="1511"/>
      <c r="Q77" s="1511"/>
      <c r="R77" s="1511"/>
      <c r="S77" s="1511"/>
      <c r="T77" s="1511"/>
      <c r="U77" s="1511"/>
      <c r="V77" s="1511"/>
      <c r="W77" s="1511"/>
      <c r="X77" s="1511"/>
      <c r="Y77" s="1511"/>
      <c r="Z77" s="1511"/>
      <c r="AA77" s="1511"/>
      <c r="AB77" s="1511"/>
      <c r="AC77" s="1511"/>
      <c r="AD77" s="1511"/>
      <c r="AE77" s="1511"/>
      <c r="AF77" s="1511"/>
      <c r="AG77" s="1511"/>
      <c r="AH77" s="1511"/>
      <c r="AI77" s="1511"/>
      <c r="AJ77" s="1511"/>
      <c r="AK77" s="1511"/>
      <c r="AL77" s="1511"/>
      <c r="AM77" s="1511"/>
      <c r="AN77" s="1511"/>
      <c r="AO77" s="1511"/>
      <c r="AP77" s="1511"/>
      <c r="AQ77" s="1511"/>
      <c r="AR77" s="1511"/>
      <c r="AS77" s="1511"/>
      <c r="AT77" s="1511"/>
      <c r="AU77" s="1511"/>
      <c r="AV77" s="1511"/>
      <c r="AW77" s="1511"/>
      <c r="AX77" s="1511"/>
      <c r="AY77" s="1511"/>
      <c r="AZ77" s="1511"/>
      <c r="BA77" s="1511"/>
      <c r="BB77" s="1511"/>
      <c r="BC77" s="1511"/>
      <c r="BD77" s="1511"/>
      <c r="BE77" s="1511"/>
      <c r="BF77" s="1511"/>
      <c r="BG77" s="1511"/>
      <c r="BH77" s="1511"/>
      <c r="BI77" s="1511"/>
      <c r="BJ77" s="1511"/>
    </row>
    <row r="78" spans="1:62">
      <c r="A78" s="1511"/>
      <c r="B78" s="1532"/>
      <c r="C78" s="1533"/>
      <c r="D78" s="1549"/>
      <c r="E78" s="1533"/>
      <c r="F78" s="1540"/>
      <c r="G78" s="1533"/>
      <c r="H78" s="1537"/>
      <c r="I78" s="1533"/>
      <c r="J78" s="1543">
        <f>SUM(J76:J77)</f>
        <v>25313.908199999998</v>
      </c>
      <c r="K78" s="1554">
        <v>1788.8</v>
      </c>
      <c r="L78" s="1555">
        <f>SUM(L76:L77)</f>
        <v>5.5643795785199991E-2</v>
      </c>
      <c r="M78" s="1764">
        <f>SUM(M76:M77)</f>
        <v>9.7265599208399989E-3</v>
      </c>
      <c r="N78" s="1511"/>
      <c r="O78" s="1511"/>
      <c r="P78" s="1511"/>
      <c r="Q78" s="1511"/>
      <c r="R78" s="1511"/>
      <c r="S78" s="1511"/>
      <c r="T78" s="1511"/>
      <c r="U78" s="1511"/>
      <c r="V78" s="1511"/>
      <c r="W78" s="1511"/>
      <c r="X78" s="1511"/>
      <c r="Y78" s="1511"/>
      <c r="Z78" s="1511"/>
      <c r="AA78" s="1511"/>
      <c r="AB78" s="1511"/>
      <c r="AC78" s="1511"/>
      <c r="AD78" s="1511"/>
      <c r="AE78" s="1511"/>
      <c r="AF78" s="1511"/>
      <c r="AG78" s="1511"/>
      <c r="AH78" s="1511"/>
      <c r="AI78" s="1511"/>
      <c r="AJ78" s="1511"/>
      <c r="AK78" s="1511"/>
      <c r="AL78" s="1511"/>
      <c r="AM78" s="1511"/>
      <c r="AN78" s="1511"/>
      <c r="AO78" s="1511"/>
      <c r="AP78" s="1511"/>
      <c r="AQ78" s="1511"/>
      <c r="AR78" s="1511"/>
      <c r="AS78" s="1511"/>
      <c r="AT78" s="1511"/>
      <c r="AU78" s="1511"/>
      <c r="AV78" s="1511"/>
      <c r="AW78" s="1511"/>
      <c r="AX78" s="1511"/>
      <c r="AY78" s="1511"/>
      <c r="AZ78" s="1511"/>
      <c r="BA78" s="1511"/>
      <c r="BB78" s="1511"/>
      <c r="BC78" s="1511"/>
      <c r="BD78" s="1511"/>
      <c r="BE78" s="1511"/>
      <c r="BF78" s="1511"/>
      <c r="BG78" s="1511"/>
      <c r="BH78" s="1511"/>
      <c r="BI78" s="1511"/>
      <c r="BJ78" s="1511"/>
    </row>
    <row r="79" spans="1:62">
      <c r="A79" s="1511"/>
      <c r="B79" s="1532"/>
      <c r="C79" s="1533"/>
      <c r="D79" s="1549"/>
      <c r="E79" s="1533"/>
      <c r="F79" s="1540"/>
      <c r="G79" s="1533"/>
      <c r="H79" s="1537"/>
      <c r="I79" s="1533"/>
      <c r="J79" s="1542"/>
      <c r="K79" s="1543"/>
      <c r="L79" s="1544"/>
      <c r="M79" s="1609"/>
      <c r="N79" s="1511"/>
      <c r="O79" s="1511"/>
      <c r="P79" s="1511"/>
      <c r="Q79" s="1511"/>
      <c r="R79" s="1511"/>
      <c r="S79" s="1511"/>
      <c r="T79" s="1511"/>
      <c r="U79" s="1511"/>
      <c r="V79" s="1511"/>
      <c r="W79" s="1511"/>
      <c r="X79" s="1511"/>
      <c r="Y79" s="1511"/>
      <c r="Z79" s="1511"/>
      <c r="AA79" s="1511"/>
      <c r="AB79" s="1511"/>
      <c r="AC79" s="1511"/>
      <c r="AD79" s="1511"/>
      <c r="AE79" s="1511"/>
      <c r="AF79" s="1511"/>
      <c r="AG79" s="1511"/>
      <c r="AH79" s="1511"/>
      <c r="AI79" s="1511"/>
      <c r="AJ79" s="1511"/>
      <c r="AK79" s="1511"/>
      <c r="AL79" s="1511"/>
      <c r="AM79" s="1511"/>
      <c r="AN79" s="1511"/>
      <c r="AO79" s="1511"/>
      <c r="AP79" s="1511"/>
      <c r="AQ79" s="1511"/>
      <c r="AR79" s="1511"/>
      <c r="AS79" s="1511"/>
      <c r="AT79" s="1511"/>
      <c r="AU79" s="1511"/>
      <c r="AV79" s="1511"/>
      <c r="AW79" s="1511"/>
      <c r="AX79" s="1511"/>
      <c r="AY79" s="1511"/>
      <c r="AZ79" s="1511"/>
      <c r="BA79" s="1511"/>
      <c r="BB79" s="1511"/>
      <c r="BC79" s="1511"/>
      <c r="BD79" s="1511"/>
      <c r="BE79" s="1511"/>
      <c r="BF79" s="1511"/>
      <c r="BG79" s="1511"/>
      <c r="BH79" s="1511"/>
      <c r="BI79" s="1511"/>
      <c r="BJ79" s="1511"/>
    </row>
    <row r="80" spans="1:62">
      <c r="A80" s="1511"/>
      <c r="B80" s="1532"/>
      <c r="C80" s="1533"/>
      <c r="D80" s="1559" t="s">
        <v>764</v>
      </c>
      <c r="E80" s="1533" t="s">
        <v>18</v>
      </c>
      <c r="F80" s="1540">
        <v>222180</v>
      </c>
      <c r="G80" s="1533" t="s">
        <v>67</v>
      </c>
      <c r="H80" s="1537">
        <v>136253</v>
      </c>
      <c r="I80" s="1533" t="s">
        <v>12</v>
      </c>
      <c r="J80" s="1547">
        <f>(F80*H80)/1000000</f>
        <v>30272.69154</v>
      </c>
      <c r="K80" s="1543">
        <f>(J80/(J$76+J$77))*K$78</f>
        <v>2139.2109902157267</v>
      </c>
      <c r="L80" s="1546">
        <f>J80*Q59*0.001102</f>
        <v>0.10008151823123999</v>
      </c>
      <c r="M80" s="1609">
        <f>J80*R59*0.001102</f>
        <v>2.0016303646247995E-2</v>
      </c>
      <c r="N80" s="1511"/>
      <c r="O80" s="1511"/>
      <c r="P80" s="1511"/>
      <c r="Q80" s="1511"/>
      <c r="R80" s="1511"/>
      <c r="S80" s="1511"/>
      <c r="T80" s="1511"/>
      <c r="U80" s="1511"/>
      <c r="V80" s="1511"/>
      <c r="W80" s="1511"/>
      <c r="X80" s="1511"/>
      <c r="Y80" s="1511"/>
      <c r="Z80" s="1511"/>
      <c r="AA80" s="1511"/>
      <c r="AB80" s="1511"/>
      <c r="AC80" s="1511"/>
      <c r="AD80" s="1511"/>
      <c r="AE80" s="1511"/>
      <c r="AF80" s="1511"/>
      <c r="AG80" s="1511"/>
      <c r="AH80" s="1511"/>
      <c r="AI80" s="1511"/>
      <c r="AJ80" s="1511"/>
      <c r="AK80" s="1511"/>
      <c r="AL80" s="1511"/>
      <c r="AM80" s="1511"/>
      <c r="AN80" s="1511"/>
      <c r="AO80" s="1511"/>
      <c r="AP80" s="1511"/>
      <c r="AQ80" s="1511"/>
      <c r="AR80" s="1511"/>
      <c r="AS80" s="1511"/>
      <c r="AT80" s="1511"/>
      <c r="AU80" s="1511"/>
      <c r="AV80" s="1511"/>
      <c r="AW80" s="1511"/>
      <c r="AX80" s="1511"/>
      <c r="AY80" s="1511"/>
      <c r="AZ80" s="1511"/>
      <c r="BA80" s="1511"/>
      <c r="BB80" s="1511"/>
      <c r="BC80" s="1511"/>
      <c r="BD80" s="1511"/>
      <c r="BE80" s="1511"/>
      <c r="BF80" s="1511"/>
      <c r="BG80" s="1511"/>
      <c r="BH80" s="1511"/>
      <c r="BI80" s="1511"/>
      <c r="BJ80" s="1511"/>
    </row>
    <row r="81" spans="1:62">
      <c r="A81" s="1511"/>
      <c r="B81" s="1532"/>
      <c r="C81" s="1533"/>
      <c r="D81" s="1549"/>
      <c r="E81" s="1533" t="s">
        <v>77</v>
      </c>
      <c r="F81" s="1540">
        <v>15520</v>
      </c>
      <c r="G81" s="1533" t="s">
        <v>147</v>
      </c>
      <c r="H81" s="1537">
        <v>1057.7</v>
      </c>
      <c r="I81" s="1533" t="s">
        <v>76</v>
      </c>
      <c r="J81" s="1547">
        <f>(F81*H81)/1000</f>
        <v>16415.504000000001</v>
      </c>
      <c r="K81" s="1543">
        <f>(J81/(J$76+J$77))*K$78</f>
        <v>1159.9968413885613</v>
      </c>
      <c r="L81" s="1546">
        <f>J81*Q58*0.001102</f>
        <v>1.8089885408000002E-2</v>
      </c>
      <c r="M81" s="1609">
        <f>J81*R58*0.001102</f>
        <v>1.8089885407999999E-3</v>
      </c>
      <c r="N81" s="1511"/>
      <c r="O81" s="1511"/>
      <c r="P81" s="1511"/>
      <c r="Q81" s="1511"/>
      <c r="R81" s="1511"/>
      <c r="S81" s="1511"/>
      <c r="T81" s="1511"/>
      <c r="U81" s="1511"/>
      <c r="V81" s="1511"/>
      <c r="W81" s="1511"/>
      <c r="X81" s="1511"/>
      <c r="Y81" s="1511"/>
      <c r="Z81" s="1511"/>
      <c r="AA81" s="1511"/>
      <c r="AB81" s="1511"/>
      <c r="AC81" s="1511"/>
      <c r="AD81" s="1511"/>
      <c r="AE81" s="1511"/>
      <c r="AF81" s="1511"/>
      <c r="AG81" s="1511"/>
      <c r="AH81" s="1511"/>
      <c r="AI81" s="1511"/>
      <c r="AJ81" s="1511"/>
      <c r="AK81" s="1511"/>
      <c r="AL81" s="1511"/>
      <c r="AM81" s="1511"/>
      <c r="AN81" s="1511"/>
      <c r="AO81" s="1511"/>
      <c r="AP81" s="1511"/>
      <c r="AQ81" s="1511"/>
      <c r="AR81" s="1511"/>
      <c r="AS81" s="1511"/>
      <c r="AT81" s="1511"/>
      <c r="AU81" s="1511"/>
      <c r="AV81" s="1511"/>
      <c r="AW81" s="1511"/>
      <c r="AX81" s="1511"/>
      <c r="AY81" s="1511"/>
      <c r="AZ81" s="1511"/>
      <c r="BA81" s="1511"/>
      <c r="BB81" s="1511"/>
      <c r="BC81" s="1511"/>
      <c r="BD81" s="1511"/>
      <c r="BE81" s="1511"/>
      <c r="BF81" s="1511"/>
      <c r="BG81" s="1511"/>
      <c r="BH81" s="1511"/>
      <c r="BI81" s="1511"/>
      <c r="BJ81" s="1511"/>
    </row>
    <row r="82" spans="1:62">
      <c r="A82" s="1511"/>
      <c r="B82" s="1532"/>
      <c r="C82" s="1533"/>
      <c r="D82" s="1549"/>
      <c r="E82" s="1533"/>
      <c r="F82" s="1540"/>
      <c r="G82" s="1533"/>
      <c r="H82" s="1537"/>
      <c r="I82" s="1533"/>
      <c r="J82" s="1543">
        <f>SUM(J80:J81)</f>
        <v>46688.195540000001</v>
      </c>
      <c r="K82" s="1554">
        <v>3473.2</v>
      </c>
      <c r="L82" s="1555">
        <f>SUM(L80:L81)</f>
        <v>0.11817140363924</v>
      </c>
      <c r="M82" s="1764">
        <f>SUM(M80:M81)</f>
        <v>2.1825292187047995E-2</v>
      </c>
      <c r="N82" s="1511"/>
      <c r="O82" s="1511"/>
      <c r="P82" s="1511"/>
      <c r="Q82" s="1511"/>
      <c r="R82" s="1511"/>
      <c r="S82" s="1511"/>
      <c r="T82" s="1511"/>
      <c r="U82" s="1511"/>
      <c r="V82" s="1511"/>
      <c r="W82" s="1511"/>
      <c r="X82" s="1511"/>
      <c r="Y82" s="1511"/>
      <c r="Z82" s="1511"/>
      <c r="AA82" s="1511"/>
      <c r="AB82" s="1511"/>
      <c r="AC82" s="1511"/>
      <c r="AD82" s="1511"/>
      <c r="AE82" s="1511"/>
      <c r="AF82" s="1511"/>
      <c r="AG82" s="1511"/>
      <c r="AH82" s="1511"/>
      <c r="AI82" s="1511"/>
      <c r="AJ82" s="1511"/>
      <c r="AK82" s="1511"/>
      <c r="AL82" s="1511"/>
      <c r="AM82" s="1511"/>
      <c r="AN82" s="1511"/>
      <c r="AO82" s="1511"/>
      <c r="AP82" s="1511"/>
      <c r="AQ82" s="1511"/>
      <c r="AR82" s="1511"/>
      <c r="AS82" s="1511"/>
      <c r="AT82" s="1511"/>
      <c r="AU82" s="1511"/>
      <c r="AV82" s="1511"/>
      <c r="AW82" s="1511"/>
      <c r="AX82" s="1511"/>
      <c r="AY82" s="1511"/>
      <c r="AZ82" s="1511"/>
      <c r="BA82" s="1511"/>
      <c r="BB82" s="1511"/>
      <c r="BC82" s="1511"/>
      <c r="BD82" s="1511"/>
      <c r="BE82" s="1511"/>
      <c r="BF82" s="1511"/>
      <c r="BG82" s="1511"/>
      <c r="BH82" s="1511"/>
      <c r="BI82" s="1511"/>
      <c r="BJ82" s="1511"/>
    </row>
    <row r="83" spans="1:62">
      <c r="A83" s="1511"/>
      <c r="B83" s="1532"/>
      <c r="C83" s="1533"/>
      <c r="D83" s="1549"/>
      <c r="E83" s="1533"/>
      <c r="F83" s="1537"/>
      <c r="G83" s="1533"/>
      <c r="H83" s="1537"/>
      <c r="I83" s="1533"/>
      <c r="J83" s="1542"/>
      <c r="K83" s="1543"/>
      <c r="L83" s="1544"/>
      <c r="M83" s="1609"/>
      <c r="N83" s="1511"/>
      <c r="O83" s="1511"/>
      <c r="P83" s="1511"/>
      <c r="Q83" s="1511"/>
      <c r="R83" s="1511"/>
      <c r="S83" s="1511"/>
      <c r="T83" s="1511"/>
      <c r="U83" s="1511"/>
      <c r="V83" s="1511"/>
      <c r="W83" s="1511"/>
      <c r="X83" s="1511"/>
      <c r="Y83" s="1511"/>
      <c r="Z83" s="1511"/>
      <c r="AA83" s="1511"/>
      <c r="AB83" s="1511"/>
      <c r="AC83" s="1511"/>
      <c r="AD83" s="1511"/>
      <c r="AE83" s="1511"/>
      <c r="AF83" s="1511"/>
      <c r="AG83" s="1511"/>
      <c r="AH83" s="1511"/>
      <c r="AI83" s="1511"/>
      <c r="AJ83" s="1511"/>
      <c r="AK83" s="1511"/>
      <c r="AL83" s="1511"/>
      <c r="AM83" s="1511"/>
      <c r="AN83" s="1511"/>
      <c r="AO83" s="1511"/>
      <c r="AP83" s="1511"/>
      <c r="AQ83" s="1511"/>
      <c r="AR83" s="1511"/>
      <c r="AS83" s="1511"/>
      <c r="AT83" s="1511"/>
      <c r="AU83" s="1511"/>
      <c r="AV83" s="1511"/>
      <c r="AW83" s="1511"/>
      <c r="AX83" s="1511"/>
      <c r="AY83" s="1511"/>
      <c r="AZ83" s="1511"/>
      <c r="BA83" s="1511"/>
      <c r="BB83" s="1511"/>
      <c r="BC83" s="1511"/>
      <c r="BD83" s="1511"/>
      <c r="BE83" s="1511"/>
      <c r="BF83" s="1511"/>
      <c r="BG83" s="1511"/>
      <c r="BH83" s="1511"/>
      <c r="BI83" s="1511"/>
      <c r="BJ83" s="1511"/>
    </row>
    <row r="84" spans="1:62">
      <c r="A84" s="1511"/>
      <c r="B84" s="1532"/>
      <c r="C84" s="1533" t="s">
        <v>30</v>
      </c>
      <c r="D84" s="1559" t="s">
        <v>31</v>
      </c>
      <c r="E84" s="1533" t="s">
        <v>18</v>
      </c>
      <c r="F84" s="1540">
        <v>136418</v>
      </c>
      <c r="G84" s="1533" t="s">
        <v>67</v>
      </c>
      <c r="H84" s="1537">
        <v>136253</v>
      </c>
      <c r="I84" s="1533" t="s">
        <v>12</v>
      </c>
      <c r="J84" s="1547">
        <f>(F84*H84)/1000000</f>
        <v>18587.361754000001</v>
      </c>
      <c r="K84" s="1543">
        <f>(J84/(J$84+J$85))*K$86</f>
        <v>1416.8324559762209</v>
      </c>
      <c r="L84" s="1546">
        <f>J84*Q59*0.001102</f>
        <v>6.1449817958724E-2</v>
      </c>
      <c r="M84" s="1609">
        <f>J84*R59*0.001102</f>
        <v>1.22899635917448E-2</v>
      </c>
      <c r="N84" s="1511"/>
      <c r="O84" s="1511"/>
      <c r="P84" s="1511"/>
      <c r="Q84" s="1511"/>
      <c r="R84" s="1511"/>
      <c r="S84" s="1511"/>
      <c r="T84" s="1511"/>
      <c r="U84" s="1511"/>
      <c r="V84" s="1511"/>
      <c r="W84" s="1511"/>
      <c r="X84" s="1511"/>
      <c r="Y84" s="1511"/>
      <c r="Z84" s="1511"/>
      <c r="AA84" s="1511"/>
      <c r="AB84" s="1511"/>
      <c r="AC84" s="1511"/>
      <c r="AD84" s="1511"/>
      <c r="AE84" s="1511"/>
      <c r="AF84" s="1511"/>
      <c r="AG84" s="1511"/>
      <c r="AH84" s="1511"/>
      <c r="AI84" s="1511"/>
      <c r="AJ84" s="1511"/>
      <c r="AK84" s="1511"/>
      <c r="AL84" s="1511"/>
      <c r="AM84" s="1511"/>
      <c r="AN84" s="1511"/>
      <c r="AO84" s="1511"/>
      <c r="AP84" s="1511"/>
      <c r="AQ84" s="1511"/>
      <c r="AR84" s="1511"/>
      <c r="AS84" s="1511"/>
      <c r="AT84" s="1511"/>
      <c r="AU84" s="1511"/>
      <c r="AV84" s="1511"/>
      <c r="AW84" s="1511"/>
      <c r="AX84" s="1511"/>
      <c r="AY84" s="1511"/>
      <c r="AZ84" s="1511"/>
      <c r="BA84" s="1511"/>
      <c r="BB84" s="1511"/>
      <c r="BC84" s="1511"/>
      <c r="BD84" s="1511"/>
      <c r="BE84" s="1511"/>
      <c r="BF84" s="1511"/>
      <c r="BG84" s="1511"/>
      <c r="BH84" s="1511"/>
      <c r="BI84" s="1511"/>
      <c r="BJ84" s="1511"/>
    </row>
    <row r="85" spans="1:62">
      <c r="A85" s="1511"/>
      <c r="B85" s="1532"/>
      <c r="C85" s="1533"/>
      <c r="D85" s="1533"/>
      <c r="E85" s="1533" t="s">
        <v>77</v>
      </c>
      <c r="F85" s="1540">
        <v>6200</v>
      </c>
      <c r="G85" s="1533" t="s">
        <v>147</v>
      </c>
      <c r="H85" s="1537">
        <v>1057.7</v>
      </c>
      <c r="I85" s="1533" t="s">
        <v>76</v>
      </c>
      <c r="J85" s="1547">
        <f>(F85*H85)/1000</f>
        <v>6557.74</v>
      </c>
      <c r="K85" s="1543">
        <f>(J85/(J$84+J$85))*K$86</f>
        <v>499.86754402377903</v>
      </c>
      <c r="L85" s="1546">
        <f>J85*Q58*0.001102</f>
        <v>7.226629479999999E-3</v>
      </c>
      <c r="M85" s="1609">
        <f>K85*R58*0.001102</f>
        <v>5.5085403351420445E-5</v>
      </c>
      <c r="N85" s="1511"/>
      <c r="O85" s="1511"/>
      <c r="P85" s="1511"/>
      <c r="Q85" s="1511"/>
      <c r="R85" s="1511"/>
      <c r="S85" s="1511"/>
      <c r="T85" s="1511"/>
      <c r="U85" s="1511"/>
      <c r="V85" s="1511"/>
      <c r="W85" s="1511"/>
      <c r="X85" s="1511"/>
      <c r="Y85" s="1511"/>
      <c r="Z85" s="1511"/>
      <c r="AA85" s="1511"/>
      <c r="AB85" s="1511"/>
      <c r="AC85" s="1511"/>
      <c r="AD85" s="1511"/>
      <c r="AE85" s="1511"/>
      <c r="AF85" s="1511"/>
      <c r="AG85" s="1511"/>
      <c r="AH85" s="1511"/>
      <c r="AI85" s="1511"/>
      <c r="AJ85" s="1511"/>
      <c r="AK85" s="1511"/>
      <c r="AL85" s="1511"/>
      <c r="AM85" s="1511"/>
      <c r="AN85" s="1511"/>
      <c r="AO85" s="1511"/>
      <c r="AP85" s="1511"/>
      <c r="AQ85" s="1511"/>
      <c r="AR85" s="1511"/>
      <c r="AS85" s="1511"/>
      <c r="AT85" s="1511"/>
      <c r="AU85" s="1511"/>
      <c r="AV85" s="1511"/>
      <c r="AW85" s="1511"/>
      <c r="AX85" s="1511"/>
      <c r="AY85" s="1511"/>
      <c r="AZ85" s="1511"/>
      <c r="BA85" s="1511"/>
      <c r="BB85" s="1511"/>
      <c r="BC85" s="1511"/>
      <c r="BD85" s="1511"/>
      <c r="BE85" s="1511"/>
      <c r="BF85" s="1511"/>
      <c r="BG85" s="1511"/>
      <c r="BH85" s="1511"/>
      <c r="BI85" s="1511"/>
      <c r="BJ85" s="1511"/>
    </row>
    <row r="86" spans="1:62">
      <c r="A86" s="1511"/>
      <c r="B86" s="1532"/>
      <c r="C86" s="1533"/>
      <c r="D86" s="1549"/>
      <c r="E86" s="1533"/>
      <c r="F86" s="1537"/>
      <c r="G86" s="1533"/>
      <c r="H86" s="1537"/>
      <c r="I86" s="1533"/>
      <c r="J86" s="1542">
        <f>SUM(J84:J85)</f>
        <v>25145.101754000003</v>
      </c>
      <c r="K86" s="1554">
        <v>1916.7</v>
      </c>
      <c r="L86" s="1555">
        <f>SUM(L84:L85)</f>
        <v>6.8676447438724003E-2</v>
      </c>
      <c r="M86" s="1764">
        <f>SUM(M84:M85)</f>
        <v>1.234504899509622E-2</v>
      </c>
      <c r="N86" s="1511"/>
      <c r="O86" s="1511"/>
      <c r="P86" s="1511"/>
      <c r="Q86" s="1511"/>
      <c r="R86" s="1511"/>
      <c r="S86" s="1511"/>
      <c r="T86" s="1511"/>
      <c r="U86" s="1511"/>
      <c r="V86" s="1511"/>
      <c r="W86" s="1511"/>
      <c r="X86" s="1511"/>
      <c r="Y86" s="1511"/>
      <c r="Z86" s="1511"/>
      <c r="AA86" s="1511"/>
      <c r="AB86" s="1511"/>
      <c r="AC86" s="1511"/>
      <c r="AD86" s="1511"/>
      <c r="AE86" s="1511"/>
      <c r="AF86" s="1511"/>
      <c r="AG86" s="1511"/>
      <c r="AH86" s="1511"/>
      <c r="AI86" s="1511"/>
      <c r="AJ86" s="1511"/>
      <c r="AK86" s="1511"/>
      <c r="AL86" s="1511"/>
      <c r="AM86" s="1511"/>
      <c r="AN86" s="1511"/>
      <c r="AO86" s="1511"/>
      <c r="AP86" s="1511"/>
      <c r="AQ86" s="1511"/>
      <c r="AR86" s="1511"/>
      <c r="AS86" s="1511"/>
      <c r="AT86" s="1511"/>
      <c r="AU86" s="1511"/>
      <c r="AV86" s="1511"/>
      <c r="AW86" s="1511"/>
      <c r="AX86" s="1511"/>
      <c r="AY86" s="1511"/>
      <c r="AZ86" s="1511"/>
      <c r="BA86" s="1511"/>
      <c r="BB86" s="1511"/>
      <c r="BC86" s="1511"/>
      <c r="BD86" s="1511"/>
      <c r="BE86" s="1511"/>
      <c r="BF86" s="1511"/>
      <c r="BG86" s="1511"/>
      <c r="BH86" s="1511"/>
      <c r="BI86" s="1511"/>
      <c r="BJ86" s="1511"/>
    </row>
    <row r="87" spans="1:62">
      <c r="A87" s="1511"/>
      <c r="B87" s="1532"/>
      <c r="C87" s="1533"/>
      <c r="D87" s="1549"/>
      <c r="E87" s="1533"/>
      <c r="F87" s="1537"/>
      <c r="G87" s="1533"/>
      <c r="H87" s="1537"/>
      <c r="I87" s="1533"/>
      <c r="J87" s="1542"/>
      <c r="K87" s="1537"/>
      <c r="L87" s="1546"/>
      <c r="M87" s="1610"/>
      <c r="N87" s="1511"/>
      <c r="O87" s="1511"/>
      <c r="P87" s="1511"/>
      <c r="Q87" s="1511"/>
      <c r="R87" s="1511"/>
      <c r="S87" s="1511"/>
      <c r="T87" s="1511"/>
      <c r="U87" s="1511"/>
      <c r="V87" s="1511"/>
      <c r="W87" s="1511"/>
      <c r="X87" s="1511"/>
      <c r="Y87" s="1511"/>
      <c r="Z87" s="1511"/>
      <c r="AA87" s="1511"/>
      <c r="AB87" s="1511"/>
      <c r="AC87" s="1511"/>
      <c r="AD87" s="1511"/>
      <c r="AE87" s="1511"/>
      <c r="AF87" s="1511"/>
      <c r="AG87" s="1511"/>
      <c r="AH87" s="1511"/>
      <c r="AI87" s="1511"/>
      <c r="AJ87" s="1511"/>
      <c r="AK87" s="1511"/>
      <c r="AL87" s="1511"/>
      <c r="AM87" s="1511"/>
      <c r="AN87" s="1511"/>
      <c r="AO87" s="1511"/>
      <c r="AP87" s="1511"/>
      <c r="AQ87" s="1511"/>
      <c r="AR87" s="1511"/>
      <c r="AS87" s="1511"/>
      <c r="AT87" s="1511"/>
      <c r="AU87" s="1511"/>
      <c r="AV87" s="1511"/>
      <c r="AW87" s="1511"/>
      <c r="AX87" s="1511"/>
      <c r="AY87" s="1511"/>
      <c r="AZ87" s="1511"/>
      <c r="BA87" s="1511"/>
      <c r="BB87" s="1511"/>
      <c r="BC87" s="1511"/>
      <c r="BD87" s="1511"/>
      <c r="BE87" s="1511"/>
      <c r="BF87" s="1511"/>
      <c r="BG87" s="1511"/>
      <c r="BH87" s="1511"/>
      <c r="BI87" s="1511"/>
      <c r="BJ87" s="1511"/>
    </row>
    <row r="88" spans="1:62">
      <c r="A88" s="1511"/>
      <c r="B88" s="1532"/>
      <c r="C88" s="1533" t="s">
        <v>279</v>
      </c>
      <c r="D88" s="1549" t="s">
        <v>280</v>
      </c>
      <c r="E88" s="1533" t="s">
        <v>18</v>
      </c>
      <c r="F88" s="1540">
        <v>886209</v>
      </c>
      <c r="G88" s="1533" t="s">
        <v>67</v>
      </c>
      <c r="H88" s="1537">
        <v>136253</v>
      </c>
      <c r="I88" s="1533" t="s">
        <v>12</v>
      </c>
      <c r="J88" s="1542">
        <f>(F88*H88)/1000000</f>
        <v>120748.634877</v>
      </c>
      <c r="K88" s="1554">
        <v>7622.5</v>
      </c>
      <c r="L88" s="1555">
        <f>J88*Q59*0.001102</f>
        <v>0.39919498690336197</v>
      </c>
      <c r="M88" s="1764">
        <f>J88*R59*0.001102</f>
        <v>7.9838997380672391E-2</v>
      </c>
      <c r="N88" s="1511"/>
      <c r="O88" s="1511"/>
      <c r="P88" s="1511"/>
      <c r="Q88" s="1511"/>
      <c r="R88" s="1511"/>
      <c r="S88" s="1511"/>
      <c r="T88" s="1511"/>
      <c r="U88" s="1511"/>
      <c r="V88" s="1511"/>
      <c r="W88" s="1511"/>
      <c r="X88" s="1511"/>
      <c r="Y88" s="1511"/>
      <c r="Z88" s="1511"/>
      <c r="AA88" s="1511"/>
      <c r="AB88" s="1511"/>
      <c r="AC88" s="1511"/>
      <c r="AD88" s="1511"/>
      <c r="AE88" s="1511"/>
      <c r="AF88" s="1511"/>
      <c r="AG88" s="1511"/>
      <c r="AH88" s="1511"/>
      <c r="AI88" s="1511"/>
      <c r="AJ88" s="1511"/>
      <c r="AK88" s="1511"/>
      <c r="AL88" s="1511"/>
      <c r="AM88" s="1511"/>
      <c r="AN88" s="1511"/>
      <c r="AO88" s="1511"/>
      <c r="AP88" s="1511"/>
      <c r="AQ88" s="1511"/>
      <c r="AR88" s="1511"/>
      <c r="AS88" s="1511"/>
      <c r="AT88" s="1511"/>
      <c r="AU88" s="1511"/>
      <c r="AV88" s="1511"/>
      <c r="AW88" s="1511"/>
      <c r="AX88" s="1511"/>
      <c r="AY88" s="1511"/>
      <c r="AZ88" s="1511"/>
      <c r="BA88" s="1511"/>
      <c r="BB88" s="1511"/>
      <c r="BC88" s="1511"/>
      <c r="BD88" s="1511"/>
      <c r="BE88" s="1511"/>
      <c r="BF88" s="1511"/>
      <c r="BG88" s="1511"/>
      <c r="BH88" s="1511"/>
      <c r="BI88" s="1511"/>
      <c r="BJ88" s="1511"/>
    </row>
    <row r="89" spans="1:62">
      <c r="A89" s="1511"/>
      <c r="B89" s="1532"/>
      <c r="C89" s="1533" t="s">
        <v>281</v>
      </c>
      <c r="D89" s="1549" t="s">
        <v>282</v>
      </c>
      <c r="E89" s="1533" t="s">
        <v>18</v>
      </c>
      <c r="F89" s="1540">
        <v>59976</v>
      </c>
      <c r="G89" s="1533" t="s">
        <v>67</v>
      </c>
      <c r="H89" s="1537">
        <v>136253</v>
      </c>
      <c r="I89" s="1533" t="s">
        <v>12</v>
      </c>
      <c r="J89" s="1542">
        <f>(F89*H89)/1000000</f>
        <v>8171.909928</v>
      </c>
      <c r="K89" s="1554">
        <v>6609.1</v>
      </c>
      <c r="L89" s="1555">
        <f>J89*Q59*0.001102</f>
        <v>2.7016334221967999E-2</v>
      </c>
      <c r="M89" s="1764">
        <f>J89*R59*0.001102</f>
        <v>5.4032668443935988E-3</v>
      </c>
      <c r="N89" s="1511"/>
      <c r="O89" s="1511"/>
      <c r="P89" s="1511"/>
      <c r="Q89" s="1511"/>
      <c r="R89" s="1511"/>
      <c r="S89" s="1511"/>
      <c r="T89" s="1511"/>
      <c r="U89" s="1511"/>
      <c r="V89" s="1511"/>
      <c r="W89" s="1511"/>
      <c r="X89" s="1511"/>
      <c r="Y89" s="1511"/>
      <c r="Z89" s="1511"/>
      <c r="AA89" s="1511"/>
      <c r="AB89" s="1511"/>
      <c r="AC89" s="1511"/>
      <c r="AD89" s="1511"/>
      <c r="AE89" s="1511"/>
      <c r="AF89" s="1511"/>
      <c r="AG89" s="1511"/>
      <c r="AH89" s="1511"/>
      <c r="AI89" s="1511"/>
      <c r="AJ89" s="1511"/>
      <c r="AK89" s="1511"/>
      <c r="AL89" s="1511"/>
      <c r="AM89" s="1511"/>
      <c r="AN89" s="1511"/>
      <c r="AO89" s="1511"/>
      <c r="AP89" s="1511"/>
      <c r="AQ89" s="1511"/>
      <c r="AR89" s="1511"/>
      <c r="AS89" s="1511"/>
      <c r="AT89" s="1511"/>
      <c r="AU89" s="1511"/>
      <c r="AV89" s="1511"/>
      <c r="AW89" s="1511"/>
      <c r="AX89" s="1511"/>
      <c r="AY89" s="1511"/>
      <c r="AZ89" s="1511"/>
      <c r="BA89" s="1511"/>
      <c r="BB89" s="1511"/>
      <c r="BC89" s="1511"/>
      <c r="BD89" s="1511"/>
      <c r="BE89" s="1511"/>
      <c r="BF89" s="1511"/>
      <c r="BG89" s="1511"/>
      <c r="BH89" s="1511"/>
      <c r="BI89" s="1511"/>
      <c r="BJ89" s="1511"/>
    </row>
    <row r="90" spans="1:62">
      <c r="A90" s="1511"/>
      <c r="B90" s="1532"/>
      <c r="C90" s="1533" t="s">
        <v>283</v>
      </c>
      <c r="D90" s="1549" t="s">
        <v>284</v>
      </c>
      <c r="E90" s="1533" t="s">
        <v>18</v>
      </c>
      <c r="F90" s="1540">
        <v>468737</v>
      </c>
      <c r="G90" s="1533" t="s">
        <v>67</v>
      </c>
      <c r="H90" s="1537">
        <v>136253</v>
      </c>
      <c r="I90" s="1533" t="s">
        <v>12</v>
      </c>
      <c r="J90" s="1542">
        <f>(F90*H90)/1000000</f>
        <v>63866.822461000003</v>
      </c>
      <c r="K90" s="1554">
        <v>5206.8</v>
      </c>
      <c r="L90" s="1555">
        <f>J90*Q59*0.001102</f>
        <v>0.21114371505606599</v>
      </c>
      <c r="M90" s="1764">
        <f>J90*R59*0.001102</f>
        <v>4.2228743011213196E-2</v>
      </c>
      <c r="N90" s="1511"/>
      <c r="O90" s="1511"/>
      <c r="P90" s="1511"/>
      <c r="Q90" s="1511"/>
      <c r="R90" s="1511"/>
      <c r="S90" s="1511"/>
      <c r="T90" s="1511"/>
      <c r="U90" s="1511"/>
      <c r="V90" s="1511"/>
      <c r="W90" s="1511"/>
      <c r="X90" s="1511"/>
      <c r="Y90" s="1511"/>
      <c r="Z90" s="1511"/>
      <c r="AA90" s="1511"/>
      <c r="AB90" s="1511"/>
      <c r="AC90" s="1511"/>
      <c r="AD90" s="1511"/>
      <c r="AE90" s="1511"/>
      <c r="AF90" s="1511"/>
      <c r="AG90" s="1511"/>
      <c r="AH90" s="1511"/>
      <c r="AI90" s="1511"/>
      <c r="AJ90" s="1511"/>
      <c r="AK90" s="1511"/>
      <c r="AL90" s="1511"/>
      <c r="AM90" s="1511"/>
      <c r="AN90" s="1511"/>
      <c r="AO90" s="1511"/>
      <c r="AP90" s="1511"/>
      <c r="AQ90" s="1511"/>
      <c r="AR90" s="1511"/>
      <c r="AS90" s="1511"/>
      <c r="AT90" s="1511"/>
      <c r="AU90" s="1511"/>
      <c r="AV90" s="1511"/>
      <c r="AW90" s="1511"/>
      <c r="AX90" s="1511"/>
      <c r="AY90" s="1511"/>
      <c r="AZ90" s="1511"/>
      <c r="BA90" s="1511"/>
      <c r="BB90" s="1511"/>
      <c r="BC90" s="1511"/>
      <c r="BD90" s="1511"/>
      <c r="BE90" s="1511"/>
      <c r="BF90" s="1511"/>
      <c r="BG90" s="1511"/>
      <c r="BH90" s="1511"/>
      <c r="BI90" s="1511"/>
      <c r="BJ90" s="1511"/>
    </row>
    <row r="91" spans="1:62" ht="13.5" thickBot="1">
      <c r="A91" s="1511"/>
      <c r="B91" s="1532"/>
      <c r="C91" s="1533"/>
      <c r="D91" s="1533"/>
      <c r="E91" s="1533"/>
      <c r="F91" s="1537"/>
      <c r="G91" s="1533"/>
      <c r="H91" s="1537"/>
      <c r="I91" s="1533"/>
      <c r="J91" s="1547"/>
      <c r="K91" s="1537"/>
      <c r="L91" s="1546"/>
      <c r="M91" s="1541"/>
      <c r="N91" s="1511"/>
      <c r="O91" s="1511"/>
      <c r="P91" s="1511"/>
      <c r="Q91" s="1511"/>
      <c r="R91" s="1511"/>
      <c r="S91" s="1511"/>
      <c r="T91" s="1511"/>
      <c r="U91" s="1511"/>
      <c r="V91" s="1511"/>
      <c r="W91" s="1511"/>
      <c r="X91" s="1511"/>
      <c r="Y91" s="1511"/>
      <c r="Z91" s="1511"/>
      <c r="AA91" s="1511"/>
      <c r="AB91" s="1511"/>
      <c r="AC91" s="1511"/>
      <c r="AD91" s="1511"/>
      <c r="AE91" s="1511"/>
      <c r="AF91" s="1511"/>
      <c r="AG91" s="1511"/>
      <c r="AH91" s="1511"/>
      <c r="AI91" s="1511"/>
      <c r="AJ91" s="1511"/>
      <c r="AK91" s="1511"/>
      <c r="AL91" s="1511"/>
      <c r="AM91" s="1511"/>
      <c r="AN91" s="1511"/>
      <c r="AO91" s="1511"/>
      <c r="AP91" s="1511"/>
      <c r="AQ91" s="1511"/>
      <c r="AR91" s="1511"/>
      <c r="AS91" s="1511"/>
      <c r="AT91" s="1511"/>
      <c r="AU91" s="1511"/>
      <c r="AV91" s="1511"/>
      <c r="AW91" s="1511"/>
      <c r="AX91" s="1511"/>
      <c r="AY91" s="1511"/>
      <c r="AZ91" s="1511"/>
      <c r="BA91" s="1511"/>
      <c r="BB91" s="1511"/>
      <c r="BC91" s="1511"/>
      <c r="BD91" s="1511"/>
      <c r="BE91" s="1511"/>
      <c r="BF91" s="1511"/>
      <c r="BG91" s="1511"/>
      <c r="BH91" s="1511"/>
      <c r="BI91" s="1511"/>
      <c r="BJ91" s="1511"/>
    </row>
    <row r="92" spans="1:62">
      <c r="A92" s="1511"/>
      <c r="B92" s="1576"/>
      <c r="C92" s="1530"/>
      <c r="D92" s="1530"/>
      <c r="E92" s="1530"/>
      <c r="F92" s="1508"/>
      <c r="G92" s="1530"/>
      <c r="H92" s="1508"/>
      <c r="I92" s="1530"/>
      <c r="J92" s="1531"/>
      <c r="K92" s="1508"/>
      <c r="L92" s="1509"/>
      <c r="M92" s="1578"/>
      <c r="N92" s="1511"/>
      <c r="O92" s="1511"/>
      <c r="P92" s="1511"/>
      <c r="Q92" s="1511"/>
      <c r="R92" s="1511"/>
      <c r="S92" s="1511"/>
      <c r="T92" s="1511"/>
      <c r="U92" s="1511"/>
      <c r="V92" s="1511"/>
      <c r="W92" s="1511"/>
      <c r="X92" s="1511"/>
      <c r="Y92" s="1511"/>
      <c r="Z92" s="1511"/>
      <c r="AA92" s="1511"/>
      <c r="AB92" s="1511"/>
      <c r="AC92" s="1511"/>
      <c r="AD92" s="1511"/>
      <c r="AE92" s="1511"/>
      <c r="AF92" s="1511"/>
      <c r="AG92" s="1511"/>
      <c r="AH92" s="1511"/>
      <c r="AI92" s="1511"/>
      <c r="AJ92" s="1511"/>
      <c r="AK92" s="1511"/>
      <c r="AL92" s="1511"/>
      <c r="AM92" s="1511"/>
      <c r="AN92" s="1511"/>
      <c r="AO92" s="1511"/>
      <c r="AP92" s="1511"/>
      <c r="AQ92" s="1511"/>
      <c r="AR92" s="1511"/>
      <c r="AS92" s="1511"/>
      <c r="AT92" s="1511"/>
      <c r="AU92" s="1511"/>
      <c r="AV92" s="1511"/>
      <c r="AW92" s="1511"/>
      <c r="AX92" s="1511"/>
      <c r="AY92" s="1511"/>
      <c r="AZ92" s="1511"/>
      <c r="BA92" s="1511"/>
      <c r="BB92" s="1511"/>
      <c r="BC92" s="1511"/>
      <c r="BD92" s="1511"/>
      <c r="BE92" s="1511"/>
      <c r="BF92" s="1511"/>
      <c r="BG92" s="1511"/>
      <c r="BH92" s="1511"/>
      <c r="BI92" s="1511"/>
      <c r="BJ92" s="1511"/>
    </row>
    <row r="93" spans="1:62">
      <c r="A93" s="1511"/>
      <c r="B93" s="1532"/>
      <c r="C93" s="1533"/>
      <c r="D93" s="1533"/>
      <c r="E93" s="1533"/>
      <c r="F93" s="1537"/>
      <c r="G93" s="1533"/>
      <c r="H93" s="1537"/>
      <c r="I93" s="1533"/>
      <c r="J93" s="1547"/>
      <c r="K93" s="1537"/>
      <c r="L93" s="1546"/>
      <c r="M93" s="1541"/>
      <c r="N93" s="1511"/>
      <c r="O93" s="1511"/>
      <c r="P93" s="1511"/>
      <c r="Q93" s="1511"/>
      <c r="R93" s="1511"/>
      <c r="S93" s="1511"/>
      <c r="T93" s="1511"/>
      <c r="U93" s="1511"/>
      <c r="V93" s="1511"/>
      <c r="W93" s="1511"/>
      <c r="X93" s="1511"/>
      <c r="Y93" s="1511"/>
      <c r="Z93" s="1511"/>
      <c r="AA93" s="1511"/>
      <c r="AB93" s="1511"/>
      <c r="AC93" s="1511"/>
      <c r="AD93" s="1511"/>
      <c r="AE93" s="1511"/>
      <c r="AF93" s="1511"/>
      <c r="AG93" s="1511"/>
      <c r="AH93" s="1511"/>
      <c r="AI93" s="1511"/>
      <c r="AJ93" s="1511"/>
      <c r="AK93" s="1511"/>
      <c r="AL93" s="1511"/>
      <c r="AM93" s="1511"/>
      <c r="AN93" s="1511"/>
      <c r="AO93" s="1511"/>
      <c r="AP93" s="1511"/>
      <c r="AQ93" s="1511"/>
      <c r="AR93" s="1511"/>
      <c r="AS93" s="1511"/>
      <c r="AT93" s="1511"/>
      <c r="AU93" s="1511"/>
      <c r="AV93" s="1511"/>
      <c r="AW93" s="1511"/>
      <c r="AX93" s="1511"/>
      <c r="AY93" s="1511"/>
      <c r="AZ93" s="1511"/>
      <c r="BA93" s="1511"/>
      <c r="BB93" s="1511"/>
      <c r="BC93" s="1511"/>
      <c r="BD93" s="1511"/>
      <c r="BE93" s="1511"/>
      <c r="BF93" s="1511"/>
      <c r="BG93" s="1511"/>
      <c r="BH93" s="1511"/>
      <c r="BI93" s="1511"/>
      <c r="BJ93" s="1511"/>
    </row>
    <row r="94" spans="1:62">
      <c r="A94" s="1511"/>
      <c r="B94" s="1532" t="s">
        <v>78</v>
      </c>
      <c r="C94" s="2" t="s">
        <v>79</v>
      </c>
      <c r="D94" s="1533"/>
      <c r="E94" s="1533"/>
      <c r="F94" s="1537"/>
      <c r="G94" s="1533"/>
      <c r="H94" s="1537"/>
      <c r="I94" s="1533"/>
      <c r="J94" s="1547"/>
      <c r="K94" s="1537"/>
      <c r="L94" s="1546"/>
      <c r="M94" s="1541"/>
      <c r="N94" s="1511"/>
      <c r="O94" s="1511"/>
      <c r="P94" s="1511"/>
      <c r="Q94" s="1511"/>
      <c r="R94" s="1511"/>
      <c r="S94" s="1511"/>
      <c r="T94" s="1511"/>
      <c r="U94" s="1511"/>
      <c r="V94" s="1511"/>
      <c r="W94" s="1511"/>
      <c r="X94" s="1511"/>
      <c r="Y94" s="1511"/>
      <c r="Z94" s="1511"/>
      <c r="AA94" s="1511"/>
      <c r="AB94" s="1511"/>
      <c r="AC94" s="1511"/>
      <c r="AD94" s="1511"/>
      <c r="AE94" s="1511"/>
      <c r="AF94" s="1511"/>
      <c r="AG94" s="1511"/>
      <c r="AH94" s="1511"/>
      <c r="AI94" s="1511"/>
      <c r="AJ94" s="1511"/>
      <c r="AK94" s="1511"/>
      <c r="AL94" s="1511"/>
      <c r="AM94" s="1511"/>
      <c r="AN94" s="1511"/>
      <c r="AO94" s="1511"/>
      <c r="AP94" s="1511"/>
      <c r="AQ94" s="1511"/>
      <c r="AR94" s="1511"/>
      <c r="AS94" s="1511"/>
      <c r="AT94" s="1511"/>
      <c r="AU94" s="1511"/>
      <c r="AV94" s="1511"/>
      <c r="AW94" s="1511"/>
      <c r="AX94" s="1511"/>
      <c r="AY94" s="1511"/>
      <c r="AZ94" s="1511"/>
      <c r="BA94" s="1511"/>
      <c r="BB94" s="1511"/>
      <c r="BC94" s="1511"/>
      <c r="BD94" s="1511"/>
      <c r="BE94" s="1511"/>
      <c r="BF94" s="1511"/>
      <c r="BG94" s="1511"/>
      <c r="BH94" s="1511"/>
      <c r="BI94" s="1511"/>
      <c r="BJ94" s="1511"/>
    </row>
    <row r="95" spans="1:62">
      <c r="A95" s="1511"/>
      <c r="B95" s="1532"/>
      <c r="C95" s="1533" t="s">
        <v>285</v>
      </c>
      <c r="D95" s="1533" t="s">
        <v>80</v>
      </c>
      <c r="E95" s="1533" t="s">
        <v>77</v>
      </c>
      <c r="F95" s="1540">
        <v>4900</v>
      </c>
      <c r="G95" s="1533" t="s">
        <v>147</v>
      </c>
      <c r="H95" s="1537">
        <v>1057.7</v>
      </c>
      <c r="I95" s="1533" t="s">
        <v>74</v>
      </c>
      <c r="J95" s="1547">
        <f>(F95*H95)/1000</f>
        <v>5182.7299999999996</v>
      </c>
      <c r="K95" s="1540">
        <f>+J95/(J$95+J$96)*K$97</f>
        <v>330.85078492139968</v>
      </c>
      <c r="L95" s="1551">
        <f>J95*Q58*0.001102</f>
        <v>5.7113684599999987E-3</v>
      </c>
      <c r="M95" s="1765">
        <f>J95*R58*0.001102</f>
        <v>5.7113684599999996E-4</v>
      </c>
      <c r="N95" s="1511"/>
      <c r="O95" s="1511"/>
      <c r="P95" s="1511"/>
      <c r="Q95" s="1511"/>
      <c r="R95" s="1511"/>
      <c r="S95" s="1511"/>
      <c r="T95" s="1511"/>
      <c r="U95" s="1511"/>
      <c r="V95" s="1511"/>
      <c r="W95" s="1511"/>
      <c r="X95" s="1511"/>
      <c r="Y95" s="1511"/>
      <c r="Z95" s="1511"/>
      <c r="AA95" s="1511"/>
      <c r="AB95" s="1511"/>
      <c r="AC95" s="1511"/>
      <c r="AD95" s="1511"/>
      <c r="AE95" s="1511"/>
      <c r="AF95" s="1511"/>
      <c r="AG95" s="1511"/>
      <c r="AH95" s="1511"/>
      <c r="AI95" s="1511"/>
      <c r="AJ95" s="1511"/>
      <c r="AK95" s="1511"/>
      <c r="AL95" s="1511"/>
      <c r="AM95" s="1511"/>
      <c r="AN95" s="1511"/>
      <c r="AO95" s="1511"/>
      <c r="AP95" s="1511"/>
      <c r="AQ95" s="1511"/>
      <c r="AR95" s="1511"/>
      <c r="AS95" s="1511"/>
      <c r="AT95" s="1511"/>
      <c r="AU95" s="1511"/>
      <c r="AV95" s="1511"/>
      <c r="AW95" s="1511"/>
      <c r="AX95" s="1511"/>
      <c r="AY95" s="1511"/>
      <c r="AZ95" s="1511"/>
      <c r="BA95" s="1511"/>
      <c r="BB95" s="1511"/>
      <c r="BC95" s="1511"/>
      <c r="BD95" s="1511"/>
      <c r="BE95" s="1511"/>
      <c r="BF95" s="1511"/>
      <c r="BG95" s="1511"/>
      <c r="BH95" s="1511"/>
      <c r="BI95" s="1511"/>
      <c r="BJ95" s="1511"/>
    </row>
    <row r="96" spans="1:62">
      <c r="A96" s="1511"/>
      <c r="B96" s="1532"/>
      <c r="C96" s="1533"/>
      <c r="D96" s="1533"/>
      <c r="E96" s="1533" t="s">
        <v>18</v>
      </c>
      <c r="F96" s="1540">
        <v>26460</v>
      </c>
      <c r="G96" s="1533" t="s">
        <v>67</v>
      </c>
      <c r="H96" s="1537">
        <v>136253</v>
      </c>
      <c r="I96" s="1533" t="s">
        <v>12</v>
      </c>
      <c r="J96" s="1547">
        <f>(F96*H96)/1000000</f>
        <v>3605.2543799999999</v>
      </c>
      <c r="K96" s="1540">
        <f>+J96/(J$95+J$96)*K$97</f>
        <v>230.14921507860029</v>
      </c>
      <c r="L96" s="1551">
        <f>J96*Q59*0.001102</f>
        <v>1.1918970980279999E-2</v>
      </c>
      <c r="M96" s="1765">
        <f>J96*R59*0.001102</f>
        <v>2.3837941960559994E-3</v>
      </c>
      <c r="N96" s="1511"/>
      <c r="O96" s="1511"/>
      <c r="P96" s="1511"/>
      <c r="Q96" s="1511"/>
      <c r="R96" s="1511"/>
      <c r="S96" s="1511"/>
      <c r="T96" s="1511"/>
      <c r="U96" s="1511"/>
      <c r="V96" s="1511"/>
      <c r="W96" s="1511"/>
      <c r="X96" s="1511"/>
      <c r="Y96" s="1511"/>
      <c r="Z96" s="1511"/>
      <c r="AA96" s="1511"/>
      <c r="AB96" s="1511"/>
      <c r="AC96" s="1511"/>
      <c r="AD96" s="1511"/>
      <c r="AE96" s="1511"/>
      <c r="AF96" s="1511"/>
      <c r="AG96" s="1511"/>
      <c r="AH96" s="1511"/>
      <c r="AI96" s="1511"/>
      <c r="AJ96" s="1511"/>
      <c r="AK96" s="1511"/>
      <c r="AL96" s="1511"/>
      <c r="AM96" s="1511"/>
      <c r="AN96" s="1511"/>
      <c r="AO96" s="1511"/>
      <c r="AP96" s="1511"/>
      <c r="AQ96" s="1511"/>
      <c r="AR96" s="1511"/>
      <c r="AS96" s="1511"/>
      <c r="AT96" s="1511"/>
      <c r="AU96" s="1511"/>
      <c r="AV96" s="1511"/>
      <c r="AW96" s="1511"/>
      <c r="AX96" s="1511"/>
      <c r="AY96" s="1511"/>
      <c r="AZ96" s="1511"/>
      <c r="BA96" s="1511"/>
      <c r="BB96" s="1511"/>
      <c r="BC96" s="1511"/>
      <c r="BD96" s="1511"/>
      <c r="BE96" s="1511"/>
      <c r="BF96" s="1511"/>
      <c r="BG96" s="1511"/>
      <c r="BH96" s="1511"/>
      <c r="BI96" s="1511"/>
      <c r="BJ96" s="1511"/>
    </row>
    <row r="97" spans="1:62">
      <c r="A97" s="1511"/>
      <c r="B97" s="1532"/>
      <c r="C97" s="1533"/>
      <c r="D97" s="1533"/>
      <c r="E97" s="1533"/>
      <c r="F97" s="1540"/>
      <c r="G97" s="1533"/>
      <c r="H97" s="1537"/>
      <c r="I97" s="1533"/>
      <c r="J97" s="1542">
        <f>SUM(J95:J96)</f>
        <v>8787.9843799999999</v>
      </c>
      <c r="K97" s="1554">
        <v>561</v>
      </c>
      <c r="L97" s="1555">
        <f>SUM(L95:L96)</f>
        <v>1.7630339440279998E-2</v>
      </c>
      <c r="M97" s="1764">
        <f>SUM(M95:M96)</f>
        <v>2.9549310420559994E-3</v>
      </c>
      <c r="N97" s="1511"/>
      <c r="O97" s="1511"/>
      <c r="P97" s="1511"/>
      <c r="Q97" s="1511"/>
      <c r="R97" s="1511"/>
      <c r="S97" s="1511"/>
      <c r="T97" s="1511"/>
      <c r="U97" s="1511"/>
      <c r="V97" s="1511"/>
      <c r="W97" s="1511"/>
      <c r="X97" s="1511"/>
      <c r="Y97" s="1511"/>
      <c r="Z97" s="1511"/>
      <c r="AA97" s="1511"/>
      <c r="AB97" s="1511"/>
      <c r="AC97" s="1511"/>
      <c r="AD97" s="1511"/>
      <c r="AE97" s="1511"/>
      <c r="AF97" s="1511"/>
      <c r="AG97" s="1511"/>
      <c r="AH97" s="1511"/>
      <c r="AI97" s="1511"/>
      <c r="AJ97" s="1511"/>
      <c r="AK97" s="1511"/>
      <c r="AL97" s="1511"/>
      <c r="AM97" s="1511"/>
      <c r="AN97" s="1511"/>
      <c r="AO97" s="1511"/>
      <c r="AP97" s="1511"/>
      <c r="AQ97" s="1511"/>
      <c r="AR97" s="1511"/>
      <c r="AS97" s="1511"/>
      <c r="AT97" s="1511"/>
      <c r="AU97" s="1511"/>
      <c r="AV97" s="1511"/>
      <c r="AW97" s="1511"/>
      <c r="AX97" s="1511"/>
      <c r="AY97" s="1511"/>
      <c r="AZ97" s="1511"/>
      <c r="BA97" s="1511"/>
      <c r="BB97" s="1511"/>
      <c r="BC97" s="1511"/>
      <c r="BD97" s="1511"/>
      <c r="BE97" s="1511"/>
      <c r="BF97" s="1511"/>
      <c r="BG97" s="1511"/>
      <c r="BH97" s="1511"/>
      <c r="BI97" s="1511"/>
      <c r="BJ97" s="1511"/>
    </row>
    <row r="98" spans="1:62" ht="13.5" thickBot="1">
      <c r="A98" s="1511"/>
      <c r="B98" s="1532"/>
      <c r="C98" s="1533"/>
      <c r="D98" s="1533"/>
      <c r="E98" s="1533"/>
      <c r="F98" s="1540"/>
      <c r="G98" s="1533"/>
      <c r="H98" s="1537"/>
      <c r="I98" s="1533"/>
      <c r="J98" s="1533"/>
      <c r="K98" s="1533"/>
      <c r="L98" s="1533"/>
      <c r="M98" s="1541"/>
      <c r="N98" s="1511"/>
      <c r="O98" s="1511"/>
      <c r="P98" s="1511"/>
      <c r="Q98" s="1511"/>
      <c r="R98" s="1511"/>
      <c r="S98" s="1511"/>
      <c r="T98" s="1511"/>
      <c r="U98" s="1511"/>
      <c r="V98" s="1511"/>
      <c r="W98" s="1511"/>
      <c r="X98" s="1511"/>
      <c r="Y98" s="1511"/>
      <c r="Z98" s="1511"/>
      <c r="AA98" s="1511"/>
      <c r="AB98" s="1511"/>
      <c r="AC98" s="1511"/>
      <c r="AD98" s="1511"/>
      <c r="AE98" s="1511"/>
      <c r="AF98" s="1511"/>
      <c r="AG98" s="1511"/>
      <c r="AH98" s="1511"/>
      <c r="AI98" s="1511"/>
      <c r="AJ98" s="1511"/>
      <c r="AK98" s="1511"/>
      <c r="AL98" s="1511"/>
      <c r="AM98" s="1511"/>
      <c r="AN98" s="1511"/>
      <c r="AO98" s="1511"/>
      <c r="AP98" s="1511"/>
      <c r="AQ98" s="1511"/>
      <c r="AR98" s="1511"/>
      <c r="AS98" s="1511"/>
      <c r="AT98" s="1511"/>
      <c r="AU98" s="1511"/>
      <c r="AV98" s="1511"/>
      <c r="AW98" s="1511"/>
      <c r="AX98" s="1511"/>
      <c r="AY98" s="1511"/>
      <c r="AZ98" s="1511"/>
      <c r="BA98" s="1511"/>
      <c r="BB98" s="1511"/>
      <c r="BC98" s="1511"/>
      <c r="BD98" s="1511"/>
      <c r="BE98" s="1511"/>
      <c r="BF98" s="1511"/>
      <c r="BG98" s="1511"/>
      <c r="BH98" s="1511"/>
      <c r="BI98" s="1511"/>
      <c r="BJ98" s="1511"/>
    </row>
    <row r="99" spans="1:62">
      <c r="A99" s="1511"/>
      <c r="B99" s="1576"/>
      <c r="C99" s="1530"/>
      <c r="D99" s="1530"/>
      <c r="E99" s="1530"/>
      <c r="F99" s="1577"/>
      <c r="G99" s="1530"/>
      <c r="H99" s="1508"/>
      <c r="I99" s="1530"/>
      <c r="J99" s="1530"/>
      <c r="K99" s="1530"/>
      <c r="L99" s="1530"/>
      <c r="M99" s="1578"/>
      <c r="N99" s="1511"/>
      <c r="O99" s="1511"/>
      <c r="P99" s="1511"/>
      <c r="Q99" s="1511"/>
      <c r="R99" s="1511"/>
      <c r="S99" s="1511"/>
      <c r="T99" s="1511"/>
      <c r="U99" s="1511"/>
      <c r="V99" s="1511"/>
      <c r="W99" s="1511"/>
      <c r="X99" s="1511"/>
      <c r="Y99" s="1511"/>
      <c r="Z99" s="1511"/>
      <c r="AA99" s="1511"/>
      <c r="AB99" s="1511"/>
      <c r="AC99" s="1511"/>
      <c r="AD99" s="1511"/>
      <c r="AE99" s="1511"/>
      <c r="AF99" s="1511"/>
      <c r="AG99" s="1511"/>
      <c r="AH99" s="1511"/>
      <c r="AI99" s="1511"/>
      <c r="AJ99" s="1511"/>
      <c r="AK99" s="1511"/>
      <c r="AL99" s="1511"/>
      <c r="AM99" s="1511"/>
      <c r="AN99" s="1511"/>
      <c r="AO99" s="1511"/>
      <c r="AP99" s="1511"/>
      <c r="AQ99" s="1511"/>
      <c r="AR99" s="1511"/>
      <c r="AS99" s="1511"/>
      <c r="AT99" s="1511"/>
      <c r="AU99" s="1511"/>
      <c r="AV99" s="1511"/>
      <c r="AW99" s="1511"/>
      <c r="AX99" s="1511"/>
      <c r="AY99" s="1511"/>
      <c r="AZ99" s="1511"/>
      <c r="BA99" s="1511"/>
      <c r="BB99" s="1511"/>
      <c r="BC99" s="1511"/>
      <c r="BD99" s="1511"/>
      <c r="BE99" s="1511"/>
      <c r="BF99" s="1511"/>
      <c r="BG99" s="1511"/>
      <c r="BH99" s="1511"/>
      <c r="BI99" s="1511"/>
      <c r="BJ99" s="1511"/>
    </row>
    <row r="100" spans="1:62">
      <c r="A100" s="1511"/>
      <c r="B100" s="1532"/>
      <c r="C100" s="1533"/>
      <c r="D100" s="1533"/>
      <c r="E100" s="1533"/>
      <c r="F100" s="1537"/>
      <c r="G100" s="1533"/>
      <c r="H100" s="1537"/>
      <c r="I100" s="1533"/>
      <c r="J100" s="1533"/>
      <c r="K100" s="1533"/>
      <c r="L100" s="1533"/>
      <c r="M100" s="1541"/>
      <c r="N100" s="1511"/>
      <c r="O100" s="1511"/>
      <c r="P100" s="1511"/>
      <c r="Q100" s="1511"/>
      <c r="R100" s="1511"/>
      <c r="S100" s="1511"/>
      <c r="T100" s="1511"/>
      <c r="U100" s="1511"/>
      <c r="V100" s="1511"/>
      <c r="W100" s="1511"/>
      <c r="X100" s="1511"/>
      <c r="Y100" s="1511"/>
      <c r="Z100" s="1511"/>
      <c r="AA100" s="1511"/>
      <c r="AB100" s="1511"/>
      <c r="AC100" s="1511"/>
      <c r="AD100" s="1511"/>
      <c r="AE100" s="1511"/>
      <c r="AF100" s="1511"/>
      <c r="AG100" s="1511"/>
      <c r="AH100" s="1511"/>
      <c r="AI100" s="1511"/>
      <c r="AJ100" s="1511"/>
      <c r="AK100" s="1511"/>
      <c r="AL100" s="1511"/>
      <c r="AM100" s="1511"/>
      <c r="AN100" s="1511"/>
      <c r="AO100" s="1511"/>
      <c r="AP100" s="1511"/>
      <c r="AQ100" s="1511"/>
      <c r="AR100" s="1511"/>
      <c r="AS100" s="1511"/>
      <c r="AT100" s="1511"/>
      <c r="AU100" s="1511"/>
      <c r="AV100" s="1511"/>
      <c r="AW100" s="1511"/>
      <c r="AX100" s="1511"/>
      <c r="AY100" s="1511"/>
      <c r="AZ100" s="1511"/>
      <c r="BA100" s="1511"/>
      <c r="BB100" s="1511"/>
      <c r="BC100" s="1511"/>
      <c r="BD100" s="1511"/>
      <c r="BE100" s="1511"/>
      <c r="BF100" s="1511"/>
      <c r="BG100" s="1511"/>
      <c r="BH100" s="1511"/>
      <c r="BI100" s="1511"/>
      <c r="BJ100" s="1511"/>
    </row>
    <row r="101" spans="1:62">
      <c r="A101" s="1511"/>
      <c r="B101" s="1532" t="s">
        <v>1152</v>
      </c>
      <c r="C101" s="2" t="s">
        <v>1153</v>
      </c>
      <c r="D101" s="1533"/>
      <c r="E101" s="1533"/>
      <c r="F101" s="1537"/>
      <c r="G101" s="1533"/>
      <c r="H101" s="1537"/>
      <c r="I101" s="1533"/>
      <c r="J101" s="1547"/>
      <c r="K101" s="1537"/>
      <c r="L101" s="1546"/>
      <c r="M101" s="1541"/>
      <c r="N101" s="1511"/>
      <c r="O101" s="15" t="s">
        <v>1176</v>
      </c>
      <c r="P101" s="1511"/>
      <c r="Q101" s="1511"/>
      <c r="R101" s="1511"/>
      <c r="S101" s="1511"/>
      <c r="T101" s="1511"/>
      <c r="U101" s="1511"/>
      <c r="V101" s="1511"/>
      <c r="W101" s="1511"/>
      <c r="X101" s="1511"/>
      <c r="Y101" s="1511"/>
      <c r="Z101" s="1511"/>
      <c r="AA101" s="1511"/>
      <c r="AB101" s="1511"/>
      <c r="AC101" s="1511"/>
      <c r="AD101" s="1511"/>
      <c r="AE101" s="1511"/>
      <c r="AF101" s="1511"/>
      <c r="AG101" s="1511"/>
      <c r="AH101" s="1511"/>
      <c r="AI101" s="1511"/>
      <c r="AJ101" s="1511"/>
      <c r="AK101" s="1511"/>
      <c r="AL101" s="1511"/>
      <c r="AM101" s="1511"/>
      <c r="AN101" s="1511"/>
      <c r="AO101" s="1511"/>
      <c r="AP101" s="1511"/>
      <c r="AQ101" s="1511"/>
      <c r="AR101" s="1511"/>
      <c r="AS101" s="1511"/>
      <c r="AT101" s="1511"/>
      <c r="AU101" s="1511"/>
      <c r="AV101" s="1511"/>
      <c r="AW101" s="1511"/>
      <c r="AX101" s="1511"/>
      <c r="AY101" s="1511"/>
      <c r="AZ101" s="1511"/>
      <c r="BA101" s="1511"/>
      <c r="BB101" s="1511"/>
      <c r="BC101" s="1511"/>
      <c r="BD101" s="1511"/>
      <c r="BE101" s="1511"/>
      <c r="BF101" s="1511"/>
      <c r="BG101" s="1511"/>
      <c r="BH101" s="1511"/>
      <c r="BI101" s="1511"/>
      <c r="BJ101" s="1511"/>
    </row>
    <row r="102" spans="1:62">
      <c r="A102" s="1511"/>
      <c r="B102" s="1532"/>
      <c r="C102" s="1533" t="s">
        <v>68</v>
      </c>
      <c r="D102" s="1533" t="s">
        <v>1138</v>
      </c>
      <c r="E102" s="1533" t="s">
        <v>77</v>
      </c>
      <c r="F102" s="1540">
        <v>137890000</v>
      </c>
      <c r="G102" s="1533" t="s">
        <v>1162</v>
      </c>
      <c r="H102" s="1561">
        <v>1.083</v>
      </c>
      <c r="I102" s="1533" t="s">
        <v>1163</v>
      </c>
      <c r="J102" s="1553">
        <f>F102*H102</f>
        <v>149334870</v>
      </c>
      <c r="K102" s="1552">
        <f>(+J102/(J102+J103))*K104</f>
        <v>8546.5688901669037</v>
      </c>
      <c r="L102" s="1561">
        <v>0.16200000000000001</v>
      </c>
      <c r="M102" s="1607">
        <v>1.7000000000000001E-2</v>
      </c>
      <c r="N102" s="1511"/>
      <c r="O102" s="1511" t="s">
        <v>1177</v>
      </c>
      <c r="P102" s="1511" t="s">
        <v>1178</v>
      </c>
      <c r="Q102" s="1511"/>
      <c r="R102" s="1511"/>
      <c r="S102" s="1511"/>
      <c r="T102" s="1511"/>
      <c r="U102" s="1511"/>
      <c r="V102" s="1511"/>
      <c r="W102" s="1511"/>
      <c r="X102" s="1511"/>
      <c r="Y102" s="1511"/>
      <c r="Z102" s="1511"/>
      <c r="AA102" s="1511"/>
      <c r="AB102" s="1511"/>
      <c r="AC102" s="1511"/>
      <c r="AD102" s="1511"/>
      <c r="AE102" s="1511"/>
      <c r="AF102" s="1511"/>
      <c r="AG102" s="1511"/>
      <c r="AH102" s="1511"/>
      <c r="AI102" s="1511"/>
      <c r="AJ102" s="1511"/>
      <c r="AK102" s="1511"/>
      <c r="AL102" s="1511"/>
      <c r="AM102" s="1511"/>
      <c r="AN102" s="1511"/>
      <c r="AO102" s="1511"/>
      <c r="AP102" s="1511"/>
      <c r="AQ102" s="1511"/>
      <c r="AR102" s="1511"/>
      <c r="AS102" s="1511"/>
      <c r="AT102" s="1511"/>
      <c r="AU102" s="1511"/>
      <c r="AV102" s="1511"/>
      <c r="AW102" s="1511"/>
      <c r="AX102" s="1511"/>
      <c r="AY102" s="1511"/>
      <c r="AZ102" s="1511"/>
      <c r="BA102" s="1511"/>
      <c r="BB102" s="1511"/>
      <c r="BC102" s="1511"/>
      <c r="BD102" s="1511"/>
      <c r="BE102" s="1511"/>
      <c r="BF102" s="1511"/>
      <c r="BG102" s="1511"/>
      <c r="BH102" s="1511"/>
      <c r="BI102" s="1511"/>
      <c r="BJ102" s="1511"/>
    </row>
    <row r="103" spans="1:62">
      <c r="A103" s="1511"/>
      <c r="B103" s="1532"/>
      <c r="C103" s="1533"/>
      <c r="D103" s="1533" t="s">
        <v>1138</v>
      </c>
      <c r="E103" s="1533" t="s">
        <v>71</v>
      </c>
      <c r="F103" s="1540">
        <v>49558</v>
      </c>
      <c r="G103" s="1533" t="s">
        <v>67</v>
      </c>
      <c r="H103" s="1561">
        <v>0.152</v>
      </c>
      <c r="I103" s="1533" t="s">
        <v>1160</v>
      </c>
      <c r="J103" s="1551">
        <f>F103*H103</f>
        <v>7532.8159999999998</v>
      </c>
      <c r="K103" s="1552">
        <f>(+J103/(J103+J104))*K104</f>
        <v>0.4310880890544232</v>
      </c>
      <c r="L103" s="1561">
        <v>2.4E-2</v>
      </c>
      <c r="M103" s="1607">
        <v>4.0000000000000001E-3</v>
      </c>
      <c r="N103" s="1511"/>
      <c r="O103" s="1511"/>
      <c r="P103" s="1511"/>
      <c r="Q103" s="1511"/>
      <c r="R103" s="1511"/>
      <c r="S103" s="1511"/>
      <c r="T103" s="1511"/>
      <c r="U103" s="1511"/>
      <c r="V103" s="1511"/>
      <c r="W103" s="1511"/>
      <c r="X103" s="1511"/>
      <c r="Y103" s="1511"/>
      <c r="Z103" s="1511"/>
      <c r="AA103" s="1511"/>
      <c r="AB103" s="1511"/>
      <c r="AC103" s="1511"/>
      <c r="AD103" s="1511"/>
      <c r="AE103" s="1511"/>
      <c r="AF103" s="1511"/>
      <c r="AG103" s="1511"/>
      <c r="AH103" s="1511"/>
      <c r="AI103" s="1511"/>
      <c r="AJ103" s="1511"/>
      <c r="AK103" s="1511"/>
      <c r="AL103" s="1511"/>
      <c r="AM103" s="1511"/>
      <c r="AN103" s="1511"/>
      <c r="AO103" s="1511"/>
      <c r="AP103" s="1511"/>
      <c r="AQ103" s="1511"/>
      <c r="AR103" s="1511"/>
      <c r="AS103" s="1511"/>
      <c r="AT103" s="1511"/>
      <c r="AU103" s="1511"/>
      <c r="AV103" s="1511"/>
      <c r="AW103" s="1511"/>
      <c r="AX103" s="1511"/>
      <c r="AY103" s="1511"/>
      <c r="AZ103" s="1511"/>
      <c r="BA103" s="1511"/>
      <c r="BB103" s="1511"/>
      <c r="BC103" s="1511"/>
      <c r="BD103" s="1511"/>
      <c r="BE103" s="1511"/>
      <c r="BF103" s="1511"/>
      <c r="BG103" s="1511"/>
      <c r="BH103" s="1511"/>
      <c r="BI103" s="1511"/>
      <c r="BJ103" s="1511"/>
    </row>
    <row r="104" spans="1:62" ht="15.75">
      <c r="A104" s="1511"/>
      <c r="B104" s="1532"/>
      <c r="C104" s="1533"/>
      <c r="D104" s="1533"/>
      <c r="E104" s="1533"/>
      <c r="F104" s="1537"/>
      <c r="G104" s="1533"/>
      <c r="H104" s="1537"/>
      <c r="I104" s="1533"/>
      <c r="J104" s="1542">
        <f>J102+J103</f>
        <v>149342402.81600001</v>
      </c>
      <c r="K104" s="1554">
        <v>8547</v>
      </c>
      <c r="L104" s="1555">
        <f>L102+L103</f>
        <v>0.186</v>
      </c>
      <c r="M104" s="1762">
        <f>M102+M103</f>
        <v>2.1000000000000001E-2</v>
      </c>
      <c r="N104" s="1511"/>
      <c r="O104" s="685"/>
      <c r="P104" s="1511" t="s">
        <v>1199</v>
      </c>
      <c r="Q104" s="1511" t="s">
        <v>1200</v>
      </c>
      <c r="R104" s="1511"/>
      <c r="S104" s="1511"/>
      <c r="T104" s="1511"/>
      <c r="U104" s="1511"/>
      <c r="V104" s="1511"/>
      <c r="W104" s="1511"/>
      <c r="X104" s="1511"/>
      <c r="Y104" s="1511"/>
      <c r="Z104" s="1511"/>
      <c r="AA104" s="1511"/>
      <c r="AB104" s="1511"/>
      <c r="AC104" s="1511"/>
      <c r="AD104" s="1511"/>
      <c r="AE104" s="1511"/>
      <c r="AF104" s="1511"/>
      <c r="AG104" s="1511"/>
      <c r="AH104" s="1511"/>
      <c r="AI104" s="1511"/>
      <c r="AJ104" s="1511"/>
      <c r="AK104" s="1511"/>
      <c r="AL104" s="1511"/>
      <c r="AM104" s="1511"/>
      <c r="AN104" s="1511"/>
      <c r="AO104" s="1511"/>
      <c r="AP104" s="1511"/>
      <c r="AQ104" s="1511"/>
      <c r="AR104" s="1511"/>
      <c r="AS104" s="1511"/>
      <c r="AT104" s="1511"/>
      <c r="AU104" s="1511"/>
      <c r="AV104" s="1511"/>
      <c r="AW104" s="1511"/>
      <c r="AX104" s="1511"/>
      <c r="AY104" s="1511"/>
      <c r="AZ104" s="1511"/>
      <c r="BA104" s="1511"/>
      <c r="BB104" s="1511"/>
      <c r="BC104" s="1511"/>
      <c r="BD104" s="1511"/>
      <c r="BE104" s="1511"/>
      <c r="BF104" s="1511"/>
      <c r="BG104" s="1511"/>
      <c r="BH104" s="1511"/>
      <c r="BI104" s="1511"/>
      <c r="BJ104" s="1511"/>
    </row>
    <row r="105" spans="1:62">
      <c r="A105" s="1511"/>
      <c r="B105" s="1532"/>
      <c r="C105" s="1533"/>
      <c r="D105" s="1533"/>
      <c r="E105" s="1533"/>
      <c r="F105" s="1537"/>
      <c r="G105" s="1533"/>
      <c r="H105" s="1537"/>
      <c r="I105" s="1533"/>
      <c r="J105" s="1542"/>
      <c r="K105" s="1554"/>
      <c r="L105" s="1544"/>
      <c r="M105" s="1541"/>
      <c r="N105" s="1511"/>
      <c r="O105" s="1511" t="s">
        <v>1112</v>
      </c>
      <c r="P105" s="1514">
        <v>2.2000000000000001E-3</v>
      </c>
      <c r="Q105" s="1514">
        <v>3.5200000000000001E-3</v>
      </c>
      <c r="R105" s="1511"/>
      <c r="S105" s="1511"/>
      <c r="T105" s="1511"/>
      <c r="U105" s="1511"/>
      <c r="V105" s="1511"/>
      <c r="W105" s="1511"/>
      <c r="X105" s="1511"/>
      <c r="Y105" s="1511"/>
      <c r="Z105" s="1511"/>
      <c r="AA105" s="1511"/>
      <c r="AB105" s="1511"/>
      <c r="AC105" s="1511"/>
      <c r="AD105" s="1511"/>
      <c r="AE105" s="1511"/>
      <c r="AF105" s="1511"/>
      <c r="AG105" s="1511"/>
      <c r="AH105" s="1511"/>
      <c r="AI105" s="1511"/>
      <c r="AJ105" s="1511"/>
      <c r="AK105" s="1511"/>
      <c r="AL105" s="1511"/>
      <c r="AM105" s="1511"/>
      <c r="AN105" s="1511"/>
      <c r="AO105" s="1511"/>
      <c r="AP105" s="1511"/>
      <c r="AQ105" s="1511"/>
      <c r="AR105" s="1511"/>
      <c r="AS105" s="1511"/>
      <c r="AT105" s="1511"/>
      <c r="AU105" s="1511"/>
      <c r="AV105" s="1511"/>
      <c r="AW105" s="1511"/>
      <c r="AX105" s="1511"/>
      <c r="AY105" s="1511"/>
      <c r="AZ105" s="1511"/>
      <c r="BA105" s="1511"/>
      <c r="BB105" s="1511"/>
      <c r="BC105" s="1511"/>
      <c r="BD105" s="1511"/>
      <c r="BE105" s="1511"/>
      <c r="BF105" s="1511"/>
      <c r="BG105" s="1511"/>
      <c r="BH105" s="1511"/>
      <c r="BI105" s="1511"/>
      <c r="BJ105" s="1511"/>
    </row>
    <row r="106" spans="1:62">
      <c r="A106" s="1511"/>
      <c r="B106" s="1532"/>
      <c r="C106" s="1533" t="s">
        <v>1154</v>
      </c>
      <c r="D106" s="1533" t="s">
        <v>1140</v>
      </c>
      <c r="E106" s="1533" t="s">
        <v>75</v>
      </c>
      <c r="F106" s="1540">
        <v>152620000</v>
      </c>
      <c r="G106" s="1533" t="s">
        <v>1162</v>
      </c>
      <c r="H106" s="1533">
        <v>1.079</v>
      </c>
      <c r="I106" s="1533" t="s">
        <v>1163</v>
      </c>
      <c r="J106" s="1553">
        <f>(F106*H106)</f>
        <v>164676980</v>
      </c>
      <c r="K106" s="1543">
        <f>(J106/(J$106+J$107))*K$108</f>
        <v>34972.701542857976</v>
      </c>
      <c r="L106" s="1556">
        <v>0.18</v>
      </c>
      <c r="M106" s="1607">
        <v>1.7999999999999999E-2</v>
      </c>
      <c r="N106" s="1511"/>
      <c r="O106" s="1511" t="s">
        <v>47</v>
      </c>
      <c r="P106" s="1514">
        <v>6.6E-3</v>
      </c>
      <c r="Q106" s="1514">
        <v>1.32E-3</v>
      </c>
      <c r="R106" s="1511"/>
      <c r="S106" s="1511"/>
      <c r="T106" s="1511"/>
      <c r="U106" s="1511"/>
      <c r="V106" s="1511"/>
      <c r="W106" s="1511"/>
      <c r="X106" s="1511"/>
      <c r="Y106" s="1511"/>
      <c r="Z106" s="1511"/>
      <c r="AA106" s="1511"/>
      <c r="AB106" s="1511"/>
      <c r="AC106" s="1511"/>
      <c r="AD106" s="1511"/>
      <c r="AE106" s="1511"/>
      <c r="AF106" s="1511"/>
      <c r="AG106" s="1511"/>
      <c r="AH106" s="1511"/>
      <c r="AI106" s="1511"/>
      <c r="AJ106" s="1511"/>
      <c r="AK106" s="1511"/>
      <c r="AL106" s="1511"/>
      <c r="AM106" s="1511"/>
      <c r="AN106" s="1511"/>
      <c r="AO106" s="1511"/>
      <c r="AP106" s="1511"/>
      <c r="AQ106" s="1511"/>
      <c r="AR106" s="1511"/>
      <c r="AS106" s="1511"/>
      <c r="AT106" s="1511"/>
      <c r="AU106" s="1511"/>
      <c r="AV106" s="1511"/>
      <c r="AW106" s="1511"/>
      <c r="AX106" s="1511"/>
      <c r="AY106" s="1511"/>
      <c r="AZ106" s="1511"/>
      <c r="BA106" s="1511"/>
      <c r="BB106" s="1511"/>
      <c r="BC106" s="1511"/>
      <c r="BD106" s="1511"/>
      <c r="BE106" s="1511"/>
      <c r="BF106" s="1511"/>
      <c r="BG106" s="1511"/>
      <c r="BH106" s="1511"/>
      <c r="BI106" s="1511"/>
      <c r="BJ106" s="1511"/>
    </row>
    <row r="107" spans="1:62">
      <c r="A107" s="1511"/>
      <c r="B107" s="1532"/>
      <c r="C107" s="1533"/>
      <c r="D107" s="1533" t="s">
        <v>1140</v>
      </c>
      <c r="E107" s="1533" t="s">
        <v>1139</v>
      </c>
      <c r="F107" s="1540">
        <v>10457</v>
      </c>
      <c r="G107" s="1533" t="s">
        <v>271</v>
      </c>
      <c r="H107" s="1533">
        <v>24</v>
      </c>
      <c r="I107" s="1533" t="s">
        <v>1155</v>
      </c>
      <c r="J107" s="1553">
        <f>(F107*H107)</f>
        <v>250968</v>
      </c>
      <c r="K107" s="1543">
        <f>(J107/(J$106+J$107))*K$108</f>
        <v>53.298457142024226</v>
      </c>
      <c r="L107" s="1556">
        <v>2.859</v>
      </c>
      <c r="M107" s="1607">
        <v>0.41599999999999998</v>
      </c>
      <c r="N107" s="1511"/>
      <c r="O107" s="1511" t="s">
        <v>66</v>
      </c>
      <c r="P107" s="1514">
        <v>6.6E-3</v>
      </c>
      <c r="Q107" s="1514">
        <v>1.32E-3</v>
      </c>
      <c r="R107" s="1511"/>
      <c r="S107" s="1511"/>
      <c r="T107" s="1511"/>
      <c r="U107" s="1511"/>
      <c r="V107" s="1511"/>
      <c r="W107" s="1511"/>
      <c r="X107" s="1511"/>
      <c r="Y107" s="1511"/>
      <c r="Z107" s="1511"/>
      <c r="AA107" s="1511"/>
      <c r="AB107" s="1511"/>
      <c r="AC107" s="1511"/>
      <c r="AD107" s="1511"/>
      <c r="AE107" s="1511"/>
      <c r="AF107" s="1511"/>
      <c r="AG107" s="1511"/>
      <c r="AH107" s="1511"/>
      <c r="AI107" s="1511"/>
      <c r="AJ107" s="1511"/>
      <c r="AK107" s="1511"/>
      <c r="AL107" s="1511"/>
      <c r="AM107" s="1511"/>
      <c r="AN107" s="1511"/>
      <c r="AO107" s="1511"/>
      <c r="AP107" s="1511"/>
      <c r="AQ107" s="1511"/>
      <c r="AR107" s="1511"/>
      <c r="AS107" s="1511"/>
      <c r="AT107" s="1511"/>
      <c r="AU107" s="1511"/>
      <c r="AV107" s="1511"/>
      <c r="AW107" s="1511"/>
      <c r="AX107" s="1511"/>
      <c r="AY107" s="1511"/>
      <c r="AZ107" s="1511"/>
      <c r="BA107" s="1511"/>
      <c r="BB107" s="1511"/>
      <c r="BC107" s="1511"/>
      <c r="BD107" s="1511"/>
      <c r="BE107" s="1511"/>
      <c r="BF107" s="1511"/>
      <c r="BG107" s="1511"/>
      <c r="BH107" s="1511"/>
      <c r="BI107" s="1511"/>
      <c r="BJ107" s="1511"/>
    </row>
    <row r="108" spans="1:62">
      <c r="A108" s="1511"/>
      <c r="B108" s="1532"/>
      <c r="C108" s="1533"/>
      <c r="D108" s="1533"/>
      <c r="E108" s="1533"/>
      <c r="F108" s="1537"/>
      <c r="G108" s="1533"/>
      <c r="H108" s="1537"/>
      <c r="I108" s="1533"/>
      <c r="J108" s="1542">
        <f>J106+J107</f>
        <v>164927948</v>
      </c>
      <c r="K108" s="1554">
        <v>35026</v>
      </c>
      <c r="L108" s="1555">
        <f>L106+L107</f>
        <v>3.0390000000000001</v>
      </c>
      <c r="M108" s="1762">
        <f>M106+M107</f>
        <v>0.434</v>
      </c>
      <c r="N108" s="1511"/>
      <c r="O108" s="1511"/>
      <c r="P108" s="1511"/>
      <c r="Q108" s="1511"/>
      <c r="R108" s="1511"/>
      <c r="S108" s="1511"/>
      <c r="T108" s="1511"/>
      <c r="U108" s="1511"/>
      <c r="V108" s="1511"/>
      <c r="W108" s="1511"/>
      <c r="X108" s="1511"/>
      <c r="Y108" s="1511"/>
      <c r="Z108" s="1511"/>
      <c r="AA108" s="1511"/>
      <c r="AB108" s="1511"/>
      <c r="AC108" s="1511"/>
      <c r="AD108" s="1511"/>
      <c r="AE108" s="1511"/>
      <c r="AF108" s="1511"/>
      <c r="AG108" s="1511"/>
      <c r="AH108" s="1511"/>
      <c r="AI108" s="1511"/>
      <c r="AJ108" s="1511"/>
      <c r="AK108" s="1511"/>
      <c r="AL108" s="1511"/>
      <c r="AM108" s="1511"/>
      <c r="AN108" s="1511"/>
      <c r="AO108" s="1511"/>
      <c r="AP108" s="1511"/>
      <c r="AQ108" s="1511"/>
      <c r="AR108" s="1511"/>
      <c r="AS108" s="1511"/>
      <c r="AT108" s="1511"/>
      <c r="AU108" s="1511"/>
      <c r="AV108" s="1511"/>
      <c r="AW108" s="1511"/>
      <c r="AX108" s="1511"/>
      <c r="AY108" s="1511"/>
      <c r="AZ108" s="1511"/>
      <c r="BA108" s="1511"/>
      <c r="BB108" s="1511"/>
      <c r="BC108" s="1511"/>
      <c r="BD108" s="1511"/>
      <c r="BE108" s="1511"/>
      <c r="BF108" s="1511"/>
      <c r="BG108" s="1511"/>
      <c r="BH108" s="1511"/>
      <c r="BI108" s="1511"/>
      <c r="BJ108" s="1511"/>
    </row>
    <row r="109" spans="1:62">
      <c r="A109" s="1511"/>
      <c r="B109" s="1532"/>
      <c r="C109" s="1533"/>
      <c r="D109" s="1533"/>
      <c r="E109" s="1533"/>
      <c r="F109" s="1537"/>
      <c r="G109" s="1533"/>
      <c r="H109" s="1537"/>
      <c r="I109" s="1533"/>
      <c r="J109" s="1542"/>
      <c r="K109" s="1554"/>
      <c r="L109" s="1544"/>
      <c r="M109" s="1541"/>
      <c r="N109" s="1511"/>
      <c r="O109" s="1511"/>
      <c r="P109" s="1511"/>
      <c r="Q109" s="1511"/>
      <c r="R109" s="1511"/>
      <c r="S109" s="1511"/>
      <c r="T109" s="1511"/>
      <c r="U109" s="1511"/>
      <c r="V109" s="1511"/>
      <c r="W109" s="1511"/>
      <c r="X109" s="1511"/>
      <c r="Y109" s="1511"/>
      <c r="Z109" s="1511"/>
      <c r="AA109" s="1511"/>
      <c r="AB109" s="1511"/>
      <c r="AC109" s="1511"/>
      <c r="AD109" s="1511"/>
      <c r="AE109" s="1511"/>
      <c r="AF109" s="1511"/>
      <c r="AG109" s="1511"/>
      <c r="AH109" s="1511"/>
      <c r="AI109" s="1511"/>
      <c r="AJ109" s="1511"/>
      <c r="AK109" s="1511"/>
      <c r="AL109" s="1511"/>
      <c r="AM109" s="1511"/>
      <c r="AN109" s="1511"/>
      <c r="AO109" s="1511"/>
      <c r="AP109" s="1511"/>
      <c r="AQ109" s="1511"/>
      <c r="AR109" s="1511"/>
      <c r="AS109" s="1511"/>
      <c r="AT109" s="1511"/>
      <c r="AU109" s="1511"/>
      <c r="AV109" s="1511"/>
      <c r="AW109" s="1511"/>
      <c r="AX109" s="1511"/>
      <c r="AY109" s="1511"/>
      <c r="AZ109" s="1511"/>
      <c r="BA109" s="1511"/>
      <c r="BB109" s="1511"/>
      <c r="BC109" s="1511"/>
      <c r="BD109" s="1511"/>
      <c r="BE109" s="1511"/>
      <c r="BF109" s="1511"/>
      <c r="BG109" s="1511"/>
      <c r="BH109" s="1511"/>
      <c r="BI109" s="1511"/>
      <c r="BJ109" s="1511"/>
    </row>
    <row r="110" spans="1:62">
      <c r="A110" s="1511"/>
      <c r="B110" s="1532"/>
      <c r="C110" s="1533" t="s">
        <v>1156</v>
      </c>
      <c r="D110" s="1533" t="s">
        <v>1157</v>
      </c>
      <c r="E110" s="1533" t="s">
        <v>75</v>
      </c>
      <c r="F110" s="1540">
        <v>44820000</v>
      </c>
      <c r="G110" s="1533" t="s">
        <v>1162</v>
      </c>
      <c r="H110" s="1561">
        <v>1.0780000000000001</v>
      </c>
      <c r="I110" s="1533" t="s">
        <v>1163</v>
      </c>
      <c r="J110" s="1553">
        <f>(F110*H110)</f>
        <v>48315960</v>
      </c>
      <c r="K110" s="1543">
        <f>J110/(J$110+J$111)*K$112</f>
        <v>195843.74436401241</v>
      </c>
      <c r="L110" s="1561">
        <v>5.2999999999999999E-2</v>
      </c>
      <c r="M110" s="1607">
        <v>6.0000000000000001E-3</v>
      </c>
      <c r="N110" s="1511"/>
      <c r="O110" s="1511"/>
      <c r="P110" s="1511"/>
      <c r="Q110" s="1511"/>
      <c r="R110" s="1511"/>
      <c r="S110" s="1511"/>
      <c r="T110" s="1511"/>
      <c r="U110" s="1511"/>
      <c r="V110" s="1511"/>
      <c r="W110" s="1511"/>
      <c r="X110" s="1511"/>
      <c r="Y110" s="1511"/>
      <c r="Z110" s="1511"/>
      <c r="AA110" s="1511"/>
      <c r="AB110" s="1511"/>
      <c r="AC110" s="1511"/>
      <c r="AD110" s="1511"/>
      <c r="AE110" s="1511"/>
      <c r="AF110" s="1511"/>
      <c r="AG110" s="1511"/>
      <c r="AH110" s="1511"/>
      <c r="AI110" s="1511"/>
      <c r="AJ110" s="1511"/>
      <c r="AK110" s="1511"/>
      <c r="AL110" s="1511"/>
      <c r="AM110" s="1511"/>
      <c r="AN110" s="1511"/>
      <c r="AO110" s="1511"/>
      <c r="AP110" s="1511"/>
      <c r="AQ110" s="1511"/>
      <c r="AR110" s="1511"/>
      <c r="AS110" s="1511"/>
      <c r="AT110" s="1511"/>
      <c r="AU110" s="1511"/>
      <c r="AV110" s="1511"/>
      <c r="AW110" s="1511"/>
      <c r="AX110" s="1511"/>
      <c r="AY110" s="1511"/>
      <c r="AZ110" s="1511"/>
      <c r="BA110" s="1511"/>
      <c r="BB110" s="1511"/>
      <c r="BC110" s="1511"/>
      <c r="BD110" s="1511"/>
      <c r="BE110" s="1511"/>
      <c r="BF110" s="1511"/>
      <c r="BG110" s="1511"/>
      <c r="BH110" s="1511"/>
      <c r="BI110" s="1511"/>
      <c r="BJ110" s="1511"/>
    </row>
    <row r="111" spans="1:62">
      <c r="A111" s="1511"/>
      <c r="B111" s="1532"/>
      <c r="C111" s="1533"/>
      <c r="D111" s="1533" t="s">
        <v>1157</v>
      </c>
      <c r="E111" s="1533" t="s">
        <v>1139</v>
      </c>
      <c r="F111" s="1540">
        <v>81675</v>
      </c>
      <c r="G111" s="1533" t="s">
        <v>271</v>
      </c>
      <c r="H111" s="1556">
        <v>23.8</v>
      </c>
      <c r="I111" s="1533" t="s">
        <v>1155</v>
      </c>
      <c r="J111" s="1553">
        <f>(F111*H111)</f>
        <v>1943865</v>
      </c>
      <c r="K111" s="1543">
        <f>J111/(J$110+J$111)*K$112</f>
        <v>7879.2556359875898</v>
      </c>
      <c r="L111" s="1562">
        <v>23.738</v>
      </c>
      <c r="M111" s="1607">
        <v>3.452</v>
      </c>
      <c r="N111" s="1511"/>
      <c r="O111" s="1511"/>
      <c r="P111" s="1511"/>
      <c r="Q111" s="1511"/>
      <c r="R111" s="1511"/>
      <c r="S111" s="1511"/>
      <c r="T111" s="1511"/>
      <c r="U111" s="1511"/>
      <c r="V111" s="1511"/>
      <c r="W111" s="1511"/>
      <c r="X111" s="1511"/>
      <c r="Y111" s="1511"/>
      <c r="Z111" s="1511"/>
      <c r="AA111" s="1511"/>
      <c r="AB111" s="1511"/>
      <c r="AC111" s="1511"/>
      <c r="AD111" s="1511"/>
      <c r="AE111" s="1511"/>
      <c r="AF111" s="1511"/>
      <c r="AG111" s="1511"/>
      <c r="AH111" s="1511"/>
      <c r="AI111" s="1511"/>
      <c r="AJ111" s="1511"/>
      <c r="AK111" s="1511"/>
      <c r="AL111" s="1511"/>
      <c r="AM111" s="1511"/>
      <c r="AN111" s="1511"/>
      <c r="AO111" s="1511"/>
      <c r="AP111" s="1511"/>
      <c r="AQ111" s="1511"/>
      <c r="AR111" s="1511"/>
      <c r="AS111" s="1511"/>
      <c r="AT111" s="1511"/>
      <c r="AU111" s="1511"/>
      <c r="AV111" s="1511"/>
      <c r="AW111" s="1511"/>
      <c r="AX111" s="1511"/>
      <c r="AY111" s="1511"/>
      <c r="AZ111" s="1511"/>
      <c r="BA111" s="1511"/>
      <c r="BB111" s="1511"/>
      <c r="BC111" s="1511"/>
      <c r="BD111" s="1511"/>
      <c r="BE111" s="1511"/>
      <c r="BF111" s="1511"/>
      <c r="BG111" s="1511"/>
      <c r="BH111" s="1511"/>
      <c r="BI111" s="1511"/>
      <c r="BJ111" s="1511"/>
    </row>
    <row r="112" spans="1:62">
      <c r="A112" s="1511"/>
      <c r="B112" s="1532"/>
      <c r="C112" s="1533"/>
      <c r="D112" s="1533"/>
      <c r="E112" s="1533"/>
      <c r="F112" s="1537"/>
      <c r="G112" s="1533"/>
      <c r="H112" s="1537"/>
      <c r="I112" s="1533"/>
      <c r="J112" s="1542">
        <f>J110+J111</f>
        <v>50259825</v>
      </c>
      <c r="K112" s="1554">
        <v>203723</v>
      </c>
      <c r="L112" s="1555">
        <f>L110+L111</f>
        <v>23.791</v>
      </c>
      <c r="M112" s="1762">
        <f>M110+M111</f>
        <v>3.4579999999999997</v>
      </c>
      <c r="N112" s="1511"/>
      <c r="O112" s="1511"/>
      <c r="P112" s="1511"/>
      <c r="Q112" s="1511"/>
      <c r="R112" s="1511"/>
      <c r="S112" s="1511"/>
      <c r="T112" s="1511"/>
      <c r="U112" s="1511"/>
      <c r="V112" s="1511"/>
      <c r="W112" s="1511"/>
      <c r="X112" s="1511"/>
      <c r="Y112" s="1511"/>
      <c r="Z112" s="1511"/>
      <c r="AA112" s="1511"/>
      <c r="AB112" s="1511"/>
      <c r="AC112" s="1511"/>
      <c r="AD112" s="1511"/>
      <c r="AE112" s="1511"/>
      <c r="AF112" s="1511"/>
      <c r="AG112" s="1511"/>
      <c r="AH112" s="1511"/>
      <c r="AI112" s="1511"/>
      <c r="AJ112" s="1511"/>
      <c r="AK112" s="1511"/>
      <c r="AL112" s="1511"/>
      <c r="AM112" s="1511"/>
      <c r="AN112" s="1511"/>
      <c r="AO112" s="1511"/>
      <c r="AP112" s="1511"/>
      <c r="AQ112" s="1511"/>
      <c r="AR112" s="1511"/>
      <c r="AS112" s="1511"/>
      <c r="AT112" s="1511"/>
      <c r="AU112" s="1511"/>
      <c r="AV112" s="1511"/>
      <c r="AW112" s="1511"/>
      <c r="AX112" s="1511"/>
      <c r="AY112" s="1511"/>
      <c r="AZ112" s="1511"/>
      <c r="BA112" s="1511"/>
      <c r="BB112" s="1511"/>
      <c r="BC112" s="1511"/>
      <c r="BD112" s="1511"/>
      <c r="BE112" s="1511"/>
      <c r="BF112" s="1511"/>
      <c r="BG112" s="1511"/>
      <c r="BH112" s="1511"/>
      <c r="BI112" s="1511"/>
      <c r="BJ112" s="1511"/>
    </row>
    <row r="113" spans="1:62">
      <c r="A113" s="1511"/>
      <c r="B113" s="1532"/>
      <c r="C113" s="1533"/>
      <c r="D113" s="1533"/>
      <c r="E113" s="1533"/>
      <c r="F113" s="1537"/>
      <c r="G113" s="1533"/>
      <c r="H113" s="1537"/>
      <c r="I113" s="1533"/>
      <c r="J113" s="1542"/>
      <c r="K113" s="1554"/>
      <c r="L113" s="1544"/>
      <c r="M113" s="1541"/>
      <c r="N113" s="1511"/>
      <c r="O113" s="1511"/>
      <c r="P113" s="1511"/>
      <c r="Q113" s="1511"/>
      <c r="R113" s="1511"/>
      <c r="S113" s="1511"/>
      <c r="T113" s="1511"/>
      <c r="U113" s="1511"/>
      <c r="V113" s="1511"/>
      <c r="W113" s="1511"/>
      <c r="X113" s="1511"/>
      <c r="Y113" s="1511"/>
      <c r="Z113" s="1511"/>
      <c r="AA113" s="1511"/>
      <c r="AB113" s="1511"/>
      <c r="AC113" s="1511"/>
      <c r="AD113" s="1511"/>
      <c r="AE113" s="1511"/>
      <c r="AF113" s="1511"/>
      <c r="AG113" s="1511"/>
      <c r="AH113" s="1511"/>
      <c r="AI113" s="1511"/>
      <c r="AJ113" s="1511"/>
      <c r="AK113" s="1511"/>
      <c r="AL113" s="1511"/>
      <c r="AM113" s="1511"/>
      <c r="AN113" s="1511"/>
      <c r="AO113" s="1511"/>
      <c r="AP113" s="1511"/>
      <c r="AQ113" s="1511"/>
      <c r="AR113" s="1511"/>
      <c r="AS113" s="1511"/>
      <c r="AT113" s="1511"/>
      <c r="AU113" s="1511"/>
      <c r="AV113" s="1511"/>
      <c r="AW113" s="1511"/>
      <c r="AX113" s="1511"/>
      <c r="AY113" s="1511"/>
      <c r="AZ113" s="1511"/>
      <c r="BA113" s="1511"/>
      <c r="BB113" s="1511"/>
      <c r="BC113" s="1511"/>
      <c r="BD113" s="1511"/>
      <c r="BE113" s="1511"/>
      <c r="BF113" s="1511"/>
      <c r="BG113" s="1511"/>
      <c r="BH113" s="1511"/>
      <c r="BI113" s="1511"/>
      <c r="BJ113" s="1511"/>
    </row>
    <row r="114" spans="1:62">
      <c r="A114" s="1511"/>
      <c r="B114" s="1532"/>
      <c r="C114" s="1533" t="s">
        <v>69</v>
      </c>
      <c r="D114" s="1533" t="s">
        <v>70</v>
      </c>
      <c r="E114" s="1533" t="s">
        <v>75</v>
      </c>
      <c r="F114" s="1540">
        <v>32710000</v>
      </c>
      <c r="G114" s="1533" t="s">
        <v>1162</v>
      </c>
      <c r="H114" s="1561">
        <v>1.0880000000000001</v>
      </c>
      <c r="I114" s="1533" t="s">
        <v>1163</v>
      </c>
      <c r="J114" s="1553">
        <f>(F114*H114)</f>
        <v>35588480</v>
      </c>
      <c r="K114" s="1546">
        <f>(J114/(J114+J115))*K116</f>
        <v>15193.468458815614</v>
      </c>
      <c r="L114" s="1561">
        <v>3.9E-2</v>
      </c>
      <c r="M114" s="1607">
        <v>3.0000000000000001E-3</v>
      </c>
      <c r="N114" s="1511"/>
      <c r="O114" s="1511"/>
      <c r="P114" s="1511"/>
      <c r="Q114" s="1511"/>
      <c r="R114" s="1511"/>
      <c r="S114" s="1511"/>
      <c r="T114" s="1511"/>
      <c r="U114" s="1511"/>
      <c r="V114" s="1511"/>
      <c r="W114" s="1511"/>
      <c r="X114" s="1511"/>
      <c r="Y114" s="1511"/>
      <c r="Z114" s="1511"/>
      <c r="AA114" s="1511"/>
      <c r="AB114" s="1511"/>
      <c r="AC114" s="1511"/>
      <c r="AD114" s="1511"/>
      <c r="AE114" s="1511"/>
      <c r="AF114" s="1511"/>
      <c r="AG114" s="1511"/>
      <c r="AH114" s="1511"/>
      <c r="AI114" s="1511"/>
      <c r="AJ114" s="1511"/>
      <c r="AK114" s="1511"/>
      <c r="AL114" s="1511"/>
      <c r="AM114" s="1511"/>
      <c r="AN114" s="1511"/>
      <c r="AO114" s="1511"/>
      <c r="AP114" s="1511"/>
      <c r="AQ114" s="1511"/>
      <c r="AR114" s="1511"/>
      <c r="AS114" s="1511"/>
      <c r="AT114" s="1511"/>
      <c r="AU114" s="1511"/>
      <c r="AV114" s="1511"/>
      <c r="AW114" s="1511"/>
      <c r="AX114" s="1511"/>
      <c r="AY114" s="1511"/>
      <c r="AZ114" s="1511"/>
      <c r="BA114" s="1511"/>
      <c r="BB114" s="1511"/>
      <c r="BC114" s="1511"/>
      <c r="BD114" s="1511"/>
      <c r="BE114" s="1511"/>
      <c r="BF114" s="1511"/>
      <c r="BG114" s="1511"/>
      <c r="BH114" s="1511"/>
      <c r="BI114" s="1511"/>
      <c r="BJ114" s="1511"/>
    </row>
    <row r="115" spans="1:62">
      <c r="A115" s="1511"/>
      <c r="B115" s="1532"/>
      <c r="C115" s="1533"/>
      <c r="D115" s="1533" t="s">
        <v>70</v>
      </c>
      <c r="E115" s="1533" t="s">
        <v>71</v>
      </c>
      <c r="F115" s="1540">
        <v>1102317</v>
      </c>
      <c r="G115" s="1533" t="s">
        <v>67</v>
      </c>
      <c r="H115" s="1561">
        <v>0.152</v>
      </c>
      <c r="I115" s="1533" t="s">
        <v>1161</v>
      </c>
      <c r="J115" s="1553">
        <f>(F115*H115)</f>
        <v>167552.18400000001</v>
      </c>
      <c r="K115" s="1537">
        <f>(J115/(J114+J115))*K116</f>
        <v>71.531541184385247</v>
      </c>
      <c r="L115" s="1556">
        <v>0.55000000000000004</v>
      </c>
      <c r="M115" s="1607">
        <v>0.11</v>
      </c>
      <c r="N115" s="1511"/>
      <c r="O115" s="1511"/>
      <c r="P115" s="1511"/>
      <c r="Q115" s="1511"/>
      <c r="R115" s="1511"/>
      <c r="S115" s="1511"/>
      <c r="T115" s="1511"/>
      <c r="U115" s="1511"/>
      <c r="V115" s="1511"/>
      <c r="W115" s="1511"/>
      <c r="X115" s="1511"/>
      <c r="Y115" s="1511"/>
      <c r="Z115" s="1511"/>
      <c r="AA115" s="1511"/>
      <c r="AB115" s="1511"/>
      <c r="AC115" s="1511"/>
      <c r="AD115" s="1511"/>
      <c r="AE115" s="1511"/>
      <c r="AF115" s="1511"/>
      <c r="AG115" s="1511"/>
      <c r="AH115" s="1511"/>
      <c r="AI115" s="1511"/>
      <c r="AJ115" s="1511"/>
      <c r="AK115" s="1511"/>
      <c r="AL115" s="1511"/>
      <c r="AM115" s="1511"/>
      <c r="AN115" s="1511"/>
      <c r="AO115" s="1511"/>
      <c r="AP115" s="1511"/>
      <c r="AQ115" s="1511"/>
      <c r="AR115" s="1511"/>
      <c r="AS115" s="1511"/>
      <c r="AT115" s="1511"/>
      <c r="AU115" s="1511"/>
      <c r="AV115" s="1511"/>
      <c r="AW115" s="1511"/>
      <c r="AX115" s="1511"/>
      <c r="AY115" s="1511"/>
      <c r="AZ115" s="1511"/>
      <c r="BA115" s="1511"/>
      <c r="BB115" s="1511"/>
      <c r="BC115" s="1511"/>
      <c r="BD115" s="1511"/>
      <c r="BE115" s="1511"/>
      <c r="BF115" s="1511"/>
      <c r="BG115" s="1511"/>
      <c r="BH115" s="1511"/>
      <c r="BI115" s="1511"/>
      <c r="BJ115" s="1511"/>
    </row>
    <row r="116" spans="1:62">
      <c r="A116" s="1511"/>
      <c r="B116" s="1532"/>
      <c r="C116" s="1533"/>
      <c r="D116" s="1533"/>
      <c r="E116" s="1533"/>
      <c r="F116" s="1537"/>
      <c r="G116" s="1533"/>
      <c r="H116" s="1537"/>
      <c r="I116" s="1533"/>
      <c r="J116" s="1542">
        <f>J114+J115</f>
        <v>35756032.184</v>
      </c>
      <c r="K116" s="1554">
        <v>15265</v>
      </c>
      <c r="L116" s="1555">
        <f>L114+L115</f>
        <v>0.58900000000000008</v>
      </c>
      <c r="M116" s="1762">
        <f>M114+M115</f>
        <v>0.113</v>
      </c>
      <c r="N116" s="1511"/>
      <c r="O116" s="1511"/>
      <c r="P116" s="1511"/>
      <c r="Q116" s="1511"/>
      <c r="R116" s="1511"/>
      <c r="S116" s="1511"/>
      <c r="T116" s="1511"/>
      <c r="U116" s="1511"/>
      <c r="V116" s="1511"/>
      <c r="W116" s="1511"/>
      <c r="X116" s="1511"/>
      <c r="Y116" s="1511"/>
      <c r="Z116" s="1511"/>
      <c r="AA116" s="1511"/>
      <c r="AB116" s="1511"/>
      <c r="AC116" s="1511"/>
      <c r="AD116" s="1511"/>
      <c r="AE116" s="1511"/>
      <c r="AF116" s="1511"/>
      <c r="AG116" s="1511"/>
      <c r="AH116" s="1511"/>
      <c r="AI116" s="1511"/>
      <c r="AJ116" s="1511"/>
      <c r="AK116" s="1511"/>
      <c r="AL116" s="1511"/>
      <c r="AM116" s="1511"/>
      <c r="AN116" s="1511"/>
      <c r="AO116" s="1511"/>
      <c r="AP116" s="1511"/>
      <c r="AQ116" s="1511"/>
      <c r="AR116" s="1511"/>
      <c r="AS116" s="1511"/>
      <c r="AT116" s="1511"/>
      <c r="AU116" s="1511"/>
      <c r="AV116" s="1511"/>
      <c r="AW116" s="1511"/>
      <c r="AX116" s="1511"/>
      <c r="AY116" s="1511"/>
      <c r="AZ116" s="1511"/>
      <c r="BA116" s="1511"/>
      <c r="BB116" s="1511"/>
      <c r="BC116" s="1511"/>
      <c r="BD116" s="1511"/>
      <c r="BE116" s="1511"/>
      <c r="BF116" s="1511"/>
      <c r="BG116" s="1511"/>
      <c r="BH116" s="1511"/>
      <c r="BI116" s="1511"/>
      <c r="BJ116" s="1511"/>
    </row>
    <row r="117" spans="1:62">
      <c r="A117" s="1511"/>
      <c r="B117" s="1532"/>
      <c r="C117" s="1533"/>
      <c r="D117" s="1533"/>
      <c r="E117" s="1533"/>
      <c r="F117" s="1537"/>
      <c r="G117" s="1533"/>
      <c r="H117" s="1537"/>
      <c r="I117" s="1533"/>
      <c r="J117" s="1547"/>
      <c r="K117" s="1537"/>
      <c r="L117" s="1546"/>
      <c r="M117" s="1558"/>
      <c r="N117" s="1511"/>
      <c r="O117" s="1511"/>
      <c r="P117" s="1511"/>
      <c r="Q117" s="1511"/>
      <c r="R117" s="1511"/>
      <c r="S117" s="1511"/>
      <c r="T117" s="1511"/>
      <c r="U117" s="1511"/>
      <c r="V117" s="1511"/>
      <c r="W117" s="1511"/>
      <c r="X117" s="1511"/>
      <c r="Y117" s="1511"/>
      <c r="Z117" s="1511"/>
      <c r="AA117" s="1511"/>
      <c r="AB117" s="1511"/>
      <c r="AC117" s="1511"/>
      <c r="AD117" s="1511"/>
      <c r="AE117" s="1511"/>
      <c r="AF117" s="1511"/>
      <c r="AG117" s="1511"/>
      <c r="AH117" s="1511"/>
      <c r="AI117" s="1511"/>
      <c r="AJ117" s="1511"/>
      <c r="AK117" s="1511"/>
      <c r="AL117" s="1511"/>
      <c r="AM117" s="1511"/>
      <c r="AN117" s="1511"/>
      <c r="AO117" s="1511"/>
      <c r="AP117" s="1511"/>
      <c r="AQ117" s="1511"/>
      <c r="AR117" s="1511"/>
      <c r="AS117" s="1511"/>
      <c r="AT117" s="1511"/>
      <c r="AU117" s="1511"/>
      <c r="AV117" s="1511"/>
      <c r="AW117" s="1511"/>
      <c r="AX117" s="1511"/>
      <c r="AY117" s="1511"/>
      <c r="AZ117" s="1511"/>
      <c r="BA117" s="1511"/>
      <c r="BB117" s="1511"/>
      <c r="BC117" s="1511"/>
      <c r="BD117" s="1511"/>
      <c r="BE117" s="1511"/>
      <c r="BF117" s="1511"/>
      <c r="BG117" s="1511"/>
      <c r="BH117" s="1511"/>
      <c r="BI117" s="1511"/>
      <c r="BJ117" s="1511"/>
    </row>
    <row r="118" spans="1:62">
      <c r="A118" s="1511"/>
      <c r="B118" s="1532"/>
      <c r="C118" s="1533" t="s">
        <v>32</v>
      </c>
      <c r="D118" s="1533" t="s">
        <v>189</v>
      </c>
      <c r="E118" s="1533" t="s">
        <v>33</v>
      </c>
      <c r="F118" s="1540">
        <v>22785</v>
      </c>
      <c r="G118" s="1533" t="s">
        <v>67</v>
      </c>
      <c r="H118" s="1561">
        <v>0.13700000000000001</v>
      </c>
      <c r="I118" s="1533" t="s">
        <v>1160</v>
      </c>
      <c r="J118" s="1542">
        <f>F118*H118</f>
        <v>3121.5450000000001</v>
      </c>
      <c r="K118" s="1554">
        <v>234</v>
      </c>
      <c r="L118" s="1563">
        <v>1.0999999999999999E-2</v>
      </c>
      <c r="M118" s="1762">
        <v>2.2000000000000001E-3</v>
      </c>
      <c r="N118" s="1511"/>
      <c r="O118" s="1511"/>
      <c r="P118" s="1511"/>
      <c r="Q118" s="1511"/>
      <c r="R118" s="1511"/>
      <c r="S118" s="1511"/>
      <c r="T118" s="1511"/>
      <c r="U118" s="1511"/>
      <c r="V118" s="1511"/>
      <c r="W118" s="1511"/>
      <c r="X118" s="1511"/>
      <c r="Y118" s="1511"/>
      <c r="Z118" s="1511"/>
      <c r="AA118" s="1511"/>
      <c r="AB118" s="1511"/>
      <c r="AC118" s="1511"/>
      <c r="AD118" s="1511"/>
      <c r="AE118" s="1511"/>
      <c r="AF118" s="1511"/>
      <c r="AG118" s="1511"/>
      <c r="AH118" s="1511"/>
      <c r="AI118" s="1511"/>
      <c r="AJ118" s="1511"/>
      <c r="AK118" s="1511"/>
      <c r="AL118" s="1511"/>
      <c r="AM118" s="1511"/>
      <c r="AN118" s="1511"/>
      <c r="AO118" s="1511"/>
      <c r="AP118" s="1511"/>
      <c r="AQ118" s="1511"/>
      <c r="AR118" s="1511"/>
      <c r="AS118" s="1511"/>
      <c r="AT118" s="1511"/>
      <c r="AU118" s="1511"/>
      <c r="AV118" s="1511"/>
      <c r="AW118" s="1511"/>
      <c r="AX118" s="1511"/>
      <c r="AY118" s="1511"/>
      <c r="AZ118" s="1511"/>
      <c r="BA118" s="1511"/>
      <c r="BB118" s="1511"/>
      <c r="BC118" s="1511"/>
      <c r="BD118" s="1511"/>
      <c r="BE118" s="1511"/>
      <c r="BF118" s="1511"/>
      <c r="BG118" s="1511"/>
      <c r="BH118" s="1511"/>
      <c r="BI118" s="1511"/>
      <c r="BJ118" s="1511"/>
    </row>
    <row r="119" spans="1:62" ht="13.5" thickBot="1">
      <c r="A119" s="1511"/>
      <c r="B119" s="1532"/>
      <c r="C119" s="1533"/>
      <c r="D119" s="1533"/>
      <c r="E119" s="1533"/>
      <c r="F119" s="1540"/>
      <c r="G119" s="1533"/>
      <c r="H119" s="1561"/>
      <c r="I119" s="1533"/>
      <c r="J119" s="1542"/>
      <c r="K119" s="1554"/>
      <c r="L119" s="1563"/>
      <c r="M119" s="1541"/>
      <c r="N119" s="1511"/>
      <c r="O119" s="1511"/>
      <c r="P119" s="1511"/>
      <c r="Q119" s="1511"/>
      <c r="R119" s="1511"/>
      <c r="S119" s="1511"/>
      <c r="T119" s="1511"/>
      <c r="U119" s="1511"/>
      <c r="V119" s="1511"/>
      <c r="W119" s="1511"/>
      <c r="X119" s="1511"/>
      <c r="Y119" s="1511"/>
      <c r="Z119" s="1511"/>
      <c r="AA119" s="1511"/>
      <c r="AB119" s="1511"/>
      <c r="AC119" s="1511"/>
      <c r="AD119" s="1511"/>
      <c r="AE119" s="1511"/>
      <c r="AF119" s="1511"/>
      <c r="AG119" s="1511"/>
      <c r="AH119" s="1511"/>
      <c r="AI119" s="1511"/>
      <c r="AJ119" s="1511"/>
      <c r="AK119" s="1511"/>
      <c r="AL119" s="1511"/>
      <c r="AM119" s="1511"/>
      <c r="AN119" s="1511"/>
      <c r="AO119" s="1511"/>
      <c r="AP119" s="1511"/>
      <c r="AQ119" s="1511"/>
      <c r="AR119" s="1511"/>
      <c r="AS119" s="1511"/>
      <c r="AT119" s="1511"/>
      <c r="AU119" s="1511"/>
      <c r="AV119" s="1511"/>
      <c r="AW119" s="1511"/>
      <c r="AX119" s="1511"/>
      <c r="AY119" s="1511"/>
      <c r="AZ119" s="1511"/>
      <c r="BA119" s="1511"/>
      <c r="BB119" s="1511"/>
      <c r="BC119" s="1511"/>
      <c r="BD119" s="1511"/>
      <c r="BE119" s="1511"/>
      <c r="BF119" s="1511"/>
      <c r="BG119" s="1511"/>
      <c r="BH119" s="1511"/>
      <c r="BI119" s="1511"/>
      <c r="BJ119" s="1511"/>
    </row>
    <row r="120" spans="1:62">
      <c r="A120" s="1511"/>
      <c r="B120" s="1576"/>
      <c r="C120" s="1530"/>
      <c r="D120" s="1530"/>
      <c r="E120" s="1530"/>
      <c r="F120" s="1577"/>
      <c r="G120" s="1530"/>
      <c r="H120" s="1584"/>
      <c r="I120" s="1530"/>
      <c r="J120" s="1585"/>
      <c r="K120" s="1586"/>
      <c r="L120" s="1587"/>
      <c r="M120" s="1578"/>
      <c r="N120" s="1511"/>
      <c r="O120" s="1511"/>
      <c r="P120" s="1511"/>
      <c r="Q120" s="1511"/>
      <c r="R120" s="1511"/>
      <c r="S120" s="1511"/>
      <c r="T120" s="1511"/>
      <c r="U120" s="1511"/>
      <c r="V120" s="1511"/>
      <c r="W120" s="1511"/>
      <c r="X120" s="1511"/>
      <c r="Y120" s="1511"/>
      <c r="Z120" s="1511"/>
      <c r="AA120" s="1511"/>
      <c r="AB120" s="1511"/>
      <c r="AC120" s="1511"/>
      <c r="AD120" s="1511"/>
      <c r="AE120" s="1511"/>
      <c r="AF120" s="1511"/>
      <c r="AG120" s="1511"/>
      <c r="AH120" s="1511"/>
      <c r="AI120" s="1511"/>
      <c r="AJ120" s="1511"/>
      <c r="AK120" s="1511"/>
      <c r="AL120" s="1511"/>
      <c r="AM120" s="1511"/>
      <c r="AN120" s="1511"/>
      <c r="AO120" s="1511"/>
      <c r="AP120" s="1511"/>
      <c r="AQ120" s="1511"/>
      <c r="AR120" s="1511"/>
      <c r="AS120" s="1511"/>
      <c r="AT120" s="1511"/>
      <c r="AU120" s="1511"/>
      <c r="AV120" s="1511"/>
      <c r="AW120" s="1511"/>
      <c r="AX120" s="1511"/>
      <c r="AY120" s="1511"/>
      <c r="AZ120" s="1511"/>
      <c r="BA120" s="1511"/>
      <c r="BB120" s="1511"/>
      <c r="BC120" s="1511"/>
      <c r="BD120" s="1511"/>
      <c r="BE120" s="1511"/>
      <c r="BF120" s="1511"/>
      <c r="BG120" s="1511"/>
      <c r="BH120" s="1511"/>
      <c r="BI120" s="1511"/>
      <c r="BJ120" s="1511"/>
    </row>
    <row r="121" spans="1:62">
      <c r="A121" s="1511"/>
      <c r="B121" s="1532"/>
      <c r="C121" s="1533"/>
      <c r="D121" s="1533"/>
      <c r="E121" s="1533"/>
      <c r="F121" s="1537"/>
      <c r="G121" s="1533"/>
      <c r="H121" s="1537"/>
      <c r="I121" s="1533"/>
      <c r="J121" s="1533"/>
      <c r="K121" s="1537"/>
      <c r="L121" s="1546"/>
      <c r="M121" s="1541"/>
      <c r="N121" s="1511"/>
      <c r="O121" s="1511"/>
      <c r="P121" s="1511"/>
      <c r="Q121" s="1511"/>
      <c r="R121" s="1511"/>
      <c r="S121" s="1511"/>
      <c r="T121" s="1511"/>
      <c r="U121" s="1511"/>
      <c r="V121" s="1511"/>
      <c r="W121" s="1511"/>
      <c r="X121" s="1511"/>
      <c r="Y121" s="1511"/>
      <c r="Z121" s="1511"/>
      <c r="AA121" s="1511"/>
      <c r="AB121" s="1511"/>
      <c r="AC121" s="1511"/>
      <c r="AD121" s="1511"/>
      <c r="AE121" s="1511"/>
      <c r="AF121" s="1511"/>
      <c r="AG121" s="1511"/>
      <c r="AH121" s="1511"/>
      <c r="AI121" s="1511"/>
      <c r="AJ121" s="1511"/>
      <c r="AK121" s="1511"/>
      <c r="AL121" s="1511"/>
      <c r="AM121" s="1511"/>
      <c r="AN121" s="1511"/>
      <c r="AO121" s="1511"/>
      <c r="AP121" s="1511"/>
      <c r="AQ121" s="1511"/>
      <c r="AR121" s="1511"/>
      <c r="AS121" s="1511"/>
      <c r="AT121" s="1511"/>
      <c r="AU121" s="1511"/>
      <c r="AV121" s="1511"/>
      <c r="AW121" s="1511"/>
      <c r="AX121" s="1511"/>
      <c r="AY121" s="1511"/>
      <c r="AZ121" s="1511"/>
      <c r="BA121" s="1511"/>
      <c r="BB121" s="1511"/>
      <c r="BC121" s="1511"/>
      <c r="BD121" s="1511"/>
      <c r="BE121" s="1511"/>
      <c r="BF121" s="1511"/>
      <c r="BG121" s="1511"/>
      <c r="BH121" s="1511"/>
      <c r="BI121" s="1511"/>
      <c r="BJ121" s="1511"/>
    </row>
    <row r="122" spans="1:62">
      <c r="A122" s="1511"/>
      <c r="B122" s="1532" t="s">
        <v>35</v>
      </c>
      <c r="C122" s="169" t="s">
        <v>36</v>
      </c>
      <c r="D122" s="1533"/>
      <c r="E122" s="1533"/>
      <c r="F122" s="1537"/>
      <c r="G122" s="1533"/>
      <c r="H122" s="1537"/>
      <c r="I122" s="1533"/>
      <c r="J122" s="1547"/>
      <c r="K122" s="1537"/>
      <c r="L122" s="1546"/>
      <c r="M122" s="1541"/>
      <c r="N122" s="1511"/>
      <c r="O122" s="1511"/>
      <c r="P122" s="1511"/>
      <c r="Q122" s="1511"/>
      <c r="R122" s="1511"/>
      <c r="S122" s="1511"/>
      <c r="T122" s="1511"/>
      <c r="U122" s="1511"/>
      <c r="V122" s="1511"/>
      <c r="W122" s="1511"/>
      <c r="X122" s="1511"/>
      <c r="Y122" s="1511"/>
      <c r="Z122" s="1511"/>
      <c r="AA122" s="1511"/>
      <c r="AB122" s="1511"/>
      <c r="AC122" s="1511"/>
      <c r="AD122" s="1511"/>
      <c r="AE122" s="1511"/>
      <c r="AF122" s="1511"/>
      <c r="AG122" s="1511"/>
      <c r="AH122" s="1511"/>
      <c r="AI122" s="1511"/>
      <c r="AJ122" s="1511"/>
      <c r="AK122" s="1511"/>
      <c r="AL122" s="1511"/>
      <c r="AM122" s="1511"/>
      <c r="AN122" s="1511"/>
      <c r="AO122" s="1511"/>
      <c r="AP122" s="1511"/>
      <c r="AQ122" s="1511"/>
      <c r="AR122" s="1511"/>
      <c r="AS122" s="1511"/>
      <c r="AT122" s="1511"/>
      <c r="AU122" s="1511"/>
      <c r="AV122" s="1511"/>
      <c r="AW122" s="1511"/>
      <c r="AX122" s="1511"/>
      <c r="AY122" s="1511"/>
      <c r="AZ122" s="1511"/>
      <c r="BA122" s="1511"/>
      <c r="BB122" s="1511"/>
      <c r="BC122" s="1511"/>
      <c r="BD122" s="1511"/>
      <c r="BE122" s="1511"/>
      <c r="BF122" s="1511"/>
      <c r="BG122" s="1511"/>
      <c r="BH122" s="1511"/>
      <c r="BI122" s="1511"/>
      <c r="BJ122" s="1511"/>
    </row>
    <row r="123" spans="1:62">
      <c r="A123" s="1511"/>
      <c r="B123" s="1532"/>
      <c r="C123" s="1533" t="s">
        <v>37</v>
      </c>
      <c r="D123" s="1533" t="s">
        <v>38</v>
      </c>
      <c r="E123" s="1533" t="s">
        <v>77</v>
      </c>
      <c r="F123" s="1540">
        <f>822*1000000</f>
        <v>822000000</v>
      </c>
      <c r="G123" s="1533" t="s">
        <v>147</v>
      </c>
      <c r="H123" s="1537">
        <v>1040</v>
      </c>
      <c r="I123" s="1533" t="s">
        <v>81</v>
      </c>
      <c r="J123" s="1547">
        <f>(F123*H123)/1000000</f>
        <v>854880</v>
      </c>
      <c r="K123" s="1537">
        <f>(+J123/(J$123+J$124))*K$125</f>
        <v>51445.784017912389</v>
      </c>
      <c r="L123" s="1546">
        <f>(+J123/(J$123+J$124))*L$125</f>
        <v>1.1088432857243098</v>
      </c>
      <c r="M123" s="1601">
        <f>(+J123/(J$123+J$124))*M$125</f>
        <v>0.13633319086774301</v>
      </c>
      <c r="N123" s="1511"/>
      <c r="O123" s="1511"/>
      <c r="P123" s="1511"/>
      <c r="Q123" s="1511"/>
      <c r="R123" s="1511"/>
      <c r="S123" s="1511"/>
      <c r="T123" s="1511"/>
      <c r="U123" s="1511"/>
      <c r="V123" s="1511"/>
      <c r="W123" s="1511"/>
      <c r="X123" s="1511"/>
      <c r="Y123" s="1511"/>
      <c r="Z123" s="1511"/>
      <c r="AA123" s="1511"/>
      <c r="AB123" s="1511"/>
      <c r="AC123" s="1511"/>
      <c r="AD123" s="1511"/>
      <c r="AE123" s="1511"/>
      <c r="AF123" s="1511"/>
      <c r="AG123" s="1511"/>
      <c r="AH123" s="1511"/>
      <c r="AI123" s="1511"/>
      <c r="AJ123" s="1511"/>
      <c r="AK123" s="1511"/>
      <c r="AL123" s="1511"/>
      <c r="AM123" s="1511"/>
      <c r="AN123" s="1511"/>
      <c r="AO123" s="1511"/>
      <c r="AP123" s="1511"/>
      <c r="AQ123" s="1511"/>
      <c r="AR123" s="1511"/>
      <c r="AS123" s="1511"/>
      <c r="AT123" s="1511"/>
      <c r="AU123" s="1511"/>
      <c r="AV123" s="1511"/>
      <c r="AW123" s="1511"/>
      <c r="AX123" s="1511"/>
      <c r="AY123" s="1511"/>
      <c r="AZ123" s="1511"/>
      <c r="BA123" s="1511"/>
      <c r="BB123" s="1511"/>
      <c r="BC123" s="1511"/>
      <c r="BD123" s="1511"/>
      <c r="BE123" s="1511"/>
      <c r="BF123" s="1511"/>
      <c r="BG123" s="1511"/>
      <c r="BH123" s="1511"/>
      <c r="BI123" s="1511"/>
      <c r="BJ123" s="1511"/>
    </row>
    <row r="124" spans="1:62">
      <c r="A124" s="1511"/>
      <c r="B124" s="1532"/>
      <c r="C124" s="1533"/>
      <c r="D124" s="1533" t="s">
        <v>38</v>
      </c>
      <c r="E124" s="1533" t="s">
        <v>33</v>
      </c>
      <c r="F124" s="1540">
        <f>621*1000</f>
        <v>621000</v>
      </c>
      <c r="G124" s="1533" t="s">
        <v>67</v>
      </c>
      <c r="H124" s="1537">
        <v>138</v>
      </c>
      <c r="I124" s="1533" t="s">
        <v>34</v>
      </c>
      <c r="J124" s="1547">
        <f>(F124*H124)/1000</f>
        <v>85698</v>
      </c>
      <c r="K124" s="1537">
        <f>(+J124/(J$123+J$124))*K$125</f>
        <v>5157.2159820876095</v>
      </c>
      <c r="L124" s="1546">
        <f>(+J124/(J$123+J$124))*L$125</f>
        <v>0.11115671427569004</v>
      </c>
      <c r="M124" s="1601">
        <f>(+J124/(J$123+J$124))*M$125</f>
        <v>1.3666809132256973E-2</v>
      </c>
      <c r="N124" s="1511"/>
      <c r="O124" s="1511"/>
      <c r="P124" s="1511"/>
      <c r="Q124" s="1511"/>
      <c r="R124" s="1511"/>
      <c r="S124" s="1511"/>
      <c r="T124" s="1511"/>
      <c r="U124" s="1511"/>
      <c r="V124" s="1511"/>
      <c r="W124" s="1511"/>
      <c r="X124" s="1511"/>
      <c r="Y124" s="1511"/>
      <c r="Z124" s="1511"/>
      <c r="AA124" s="1511"/>
      <c r="AB124" s="1511"/>
      <c r="AC124" s="1511"/>
      <c r="AD124" s="1511"/>
      <c r="AE124" s="1511"/>
      <c r="AF124" s="1511"/>
      <c r="AG124" s="1511"/>
      <c r="AH124" s="1511"/>
      <c r="AI124" s="1511"/>
      <c r="AJ124" s="1511"/>
      <c r="AK124" s="1511"/>
      <c r="AL124" s="1511"/>
      <c r="AM124" s="1511"/>
      <c r="AN124" s="1511"/>
      <c r="AO124" s="1511"/>
      <c r="AP124" s="1511"/>
      <c r="AQ124" s="1511"/>
      <c r="AR124" s="1511"/>
      <c r="AS124" s="1511"/>
      <c r="AT124" s="1511"/>
      <c r="AU124" s="1511"/>
      <c r="AV124" s="1511"/>
      <c r="AW124" s="1511"/>
      <c r="AX124" s="1511"/>
      <c r="AY124" s="1511"/>
      <c r="AZ124" s="1511"/>
      <c r="BA124" s="1511"/>
      <c r="BB124" s="1511"/>
      <c r="BC124" s="1511"/>
      <c r="BD124" s="1511"/>
      <c r="BE124" s="1511"/>
      <c r="BF124" s="1511"/>
      <c r="BG124" s="1511"/>
      <c r="BH124" s="1511"/>
      <c r="BI124" s="1511"/>
      <c r="BJ124" s="1511"/>
    </row>
    <row r="125" spans="1:62">
      <c r="A125" s="1511"/>
      <c r="B125" s="1532"/>
      <c r="C125" s="1533"/>
      <c r="D125" s="1533"/>
      <c r="E125" s="1533"/>
      <c r="F125" s="1540"/>
      <c r="G125" s="1533"/>
      <c r="H125" s="1537"/>
      <c r="I125" s="1533"/>
      <c r="J125" s="1542">
        <f>J123+J124</f>
        <v>940578</v>
      </c>
      <c r="K125" s="1554">
        <v>56603</v>
      </c>
      <c r="L125" s="1555">
        <v>1.22</v>
      </c>
      <c r="M125" s="1763">
        <v>0.15</v>
      </c>
      <c r="N125" s="1511"/>
      <c r="O125" s="1511"/>
      <c r="P125" s="1511"/>
      <c r="Q125" s="1511"/>
      <c r="R125" s="1511"/>
      <c r="S125" s="1511"/>
      <c r="T125" s="1511"/>
      <c r="U125" s="1511"/>
      <c r="V125" s="1511"/>
      <c r="W125" s="1511"/>
      <c r="X125" s="1511"/>
      <c r="Y125" s="1511"/>
      <c r="Z125" s="1511"/>
      <c r="AA125" s="1511"/>
      <c r="AB125" s="1511"/>
      <c r="AC125" s="1511"/>
      <c r="AD125" s="1511"/>
      <c r="AE125" s="1511"/>
      <c r="AF125" s="1511"/>
      <c r="AG125" s="1511"/>
      <c r="AH125" s="1511"/>
      <c r="AI125" s="1511"/>
      <c r="AJ125" s="1511"/>
      <c r="AK125" s="1511"/>
      <c r="AL125" s="1511"/>
      <c r="AM125" s="1511"/>
      <c r="AN125" s="1511"/>
      <c r="AO125" s="1511"/>
      <c r="AP125" s="1511"/>
      <c r="AQ125" s="1511"/>
      <c r="AR125" s="1511"/>
      <c r="AS125" s="1511"/>
      <c r="AT125" s="1511"/>
      <c r="AU125" s="1511"/>
      <c r="AV125" s="1511"/>
      <c r="AW125" s="1511"/>
      <c r="AX125" s="1511"/>
      <c r="AY125" s="1511"/>
      <c r="AZ125" s="1511"/>
      <c r="BA125" s="1511"/>
      <c r="BB125" s="1511"/>
      <c r="BC125" s="1511"/>
      <c r="BD125" s="1511"/>
      <c r="BE125" s="1511"/>
      <c r="BF125" s="1511"/>
      <c r="BG125" s="1511"/>
      <c r="BH125" s="1511"/>
      <c r="BI125" s="1511"/>
      <c r="BJ125" s="1511"/>
    </row>
    <row r="126" spans="1:62">
      <c r="A126" s="1511"/>
      <c r="B126" s="1532"/>
      <c r="C126" s="1533"/>
      <c r="D126" s="1533"/>
      <c r="E126" s="1533"/>
      <c r="F126" s="1540"/>
      <c r="G126" s="1533"/>
      <c r="H126" s="1537"/>
      <c r="I126" s="1533"/>
      <c r="J126" s="1547"/>
      <c r="K126" s="1537"/>
      <c r="L126" s="1546"/>
      <c r="M126" s="1558"/>
      <c r="N126" s="1511"/>
      <c r="O126" s="1511"/>
      <c r="P126" s="1511"/>
      <c r="Q126" s="1511"/>
      <c r="R126" s="1511"/>
      <c r="S126" s="1511"/>
      <c r="T126" s="1511"/>
      <c r="U126" s="1511"/>
      <c r="V126" s="1511"/>
      <c r="W126" s="1511"/>
      <c r="X126" s="1511"/>
      <c r="Y126" s="1511"/>
      <c r="Z126" s="1511"/>
      <c r="AA126" s="1511"/>
      <c r="AB126" s="1511"/>
      <c r="AC126" s="1511"/>
      <c r="AD126" s="1511"/>
      <c r="AE126" s="1511"/>
      <c r="AF126" s="1511"/>
      <c r="AG126" s="1511"/>
      <c r="AH126" s="1511"/>
      <c r="AI126" s="1511"/>
      <c r="AJ126" s="1511"/>
      <c r="AK126" s="1511"/>
      <c r="AL126" s="1511"/>
      <c r="AM126" s="1511"/>
      <c r="AN126" s="1511"/>
      <c r="AO126" s="1511"/>
      <c r="AP126" s="1511"/>
      <c r="AQ126" s="1511"/>
      <c r="AR126" s="1511"/>
      <c r="AS126" s="1511"/>
      <c r="AT126" s="1511"/>
      <c r="AU126" s="1511"/>
      <c r="AV126" s="1511"/>
      <c r="AW126" s="1511"/>
      <c r="AX126" s="1511"/>
      <c r="AY126" s="1511"/>
      <c r="AZ126" s="1511"/>
      <c r="BA126" s="1511"/>
      <c r="BB126" s="1511"/>
      <c r="BC126" s="1511"/>
      <c r="BD126" s="1511"/>
      <c r="BE126" s="1511"/>
      <c r="BF126" s="1511"/>
      <c r="BG126" s="1511"/>
      <c r="BH126" s="1511"/>
      <c r="BI126" s="1511"/>
      <c r="BJ126" s="1511"/>
    </row>
    <row r="127" spans="1:62">
      <c r="A127" s="1511"/>
      <c r="B127" s="1532"/>
      <c r="C127" s="1533" t="s">
        <v>39</v>
      </c>
      <c r="D127" s="1533" t="s">
        <v>40</v>
      </c>
      <c r="E127" s="1533" t="s">
        <v>33</v>
      </c>
      <c r="F127" s="1540">
        <f>408*1000</f>
        <v>408000</v>
      </c>
      <c r="G127" s="1533" t="s">
        <v>67</v>
      </c>
      <c r="H127" s="1537">
        <v>138.07300000000001</v>
      </c>
      <c r="I127" s="1533" t="s">
        <v>34</v>
      </c>
      <c r="J127" s="1542">
        <f>(F127*H127)/1000</f>
        <v>56333.784</v>
      </c>
      <c r="K127" s="1554">
        <v>4015</v>
      </c>
      <c r="L127" s="1766">
        <v>0.19</v>
      </c>
      <c r="M127" s="1767">
        <v>0.04</v>
      </c>
      <c r="N127" s="1511"/>
      <c r="O127" s="1511"/>
      <c r="P127" s="1511"/>
      <c r="Q127" s="1511"/>
      <c r="R127" s="1511"/>
      <c r="S127" s="1511"/>
      <c r="T127" s="1511"/>
      <c r="U127" s="1511"/>
      <c r="V127" s="1511"/>
      <c r="W127" s="1511"/>
      <c r="X127" s="1511"/>
      <c r="Y127" s="1511"/>
      <c r="Z127" s="1511"/>
      <c r="AA127" s="1511"/>
      <c r="AB127" s="1511"/>
      <c r="AC127" s="1511"/>
      <c r="AD127" s="1511"/>
      <c r="AE127" s="1511"/>
      <c r="AF127" s="1511"/>
      <c r="AG127" s="1511"/>
      <c r="AH127" s="1511"/>
      <c r="AI127" s="1511"/>
      <c r="AJ127" s="1511"/>
      <c r="AK127" s="1511"/>
      <c r="AL127" s="1511"/>
      <c r="AM127" s="1511"/>
      <c r="AN127" s="1511"/>
      <c r="AO127" s="1511"/>
      <c r="AP127" s="1511"/>
      <c r="AQ127" s="1511"/>
      <c r="AR127" s="1511"/>
      <c r="AS127" s="1511"/>
      <c r="AT127" s="1511"/>
      <c r="AU127" s="1511"/>
      <c r="AV127" s="1511"/>
      <c r="AW127" s="1511"/>
      <c r="AX127" s="1511"/>
      <c r="AY127" s="1511"/>
      <c r="AZ127" s="1511"/>
      <c r="BA127" s="1511"/>
      <c r="BB127" s="1511"/>
      <c r="BC127" s="1511"/>
      <c r="BD127" s="1511"/>
      <c r="BE127" s="1511"/>
      <c r="BF127" s="1511"/>
      <c r="BG127" s="1511"/>
      <c r="BH127" s="1511"/>
      <c r="BI127" s="1511"/>
      <c r="BJ127" s="1511"/>
    </row>
    <row r="128" spans="1:62">
      <c r="A128" s="1511"/>
      <c r="B128" s="1532"/>
      <c r="C128" s="1533"/>
      <c r="D128" s="1533"/>
      <c r="E128" s="1533"/>
      <c r="F128" s="1540"/>
      <c r="G128" s="1533"/>
      <c r="H128" s="1537"/>
      <c r="I128" s="1533"/>
      <c r="J128" s="1547"/>
      <c r="K128" s="1554"/>
      <c r="L128" s="1766"/>
      <c r="M128" s="1767"/>
      <c r="N128" s="1511"/>
      <c r="O128" s="1511"/>
      <c r="P128" s="1511"/>
      <c r="Q128" s="1511"/>
      <c r="R128" s="1511"/>
      <c r="S128" s="1511"/>
      <c r="T128" s="1511"/>
      <c r="U128" s="1511"/>
      <c r="V128" s="1511"/>
      <c r="W128" s="1511"/>
      <c r="X128" s="1511"/>
      <c r="Y128" s="1511"/>
      <c r="Z128" s="1511"/>
      <c r="AA128" s="1511"/>
      <c r="AB128" s="1511"/>
      <c r="AC128" s="1511"/>
      <c r="AD128" s="1511"/>
      <c r="AE128" s="1511"/>
      <c r="AF128" s="1511"/>
      <c r="AG128" s="1511"/>
      <c r="AH128" s="1511"/>
      <c r="AI128" s="1511"/>
      <c r="AJ128" s="1511"/>
      <c r="AK128" s="1511"/>
      <c r="AL128" s="1511"/>
      <c r="AM128" s="1511"/>
      <c r="AN128" s="1511"/>
      <c r="AO128" s="1511"/>
      <c r="AP128" s="1511"/>
      <c r="AQ128" s="1511"/>
      <c r="AR128" s="1511"/>
      <c r="AS128" s="1511"/>
      <c r="AT128" s="1511"/>
      <c r="AU128" s="1511"/>
      <c r="AV128" s="1511"/>
      <c r="AW128" s="1511"/>
      <c r="AX128" s="1511"/>
      <c r="AY128" s="1511"/>
      <c r="AZ128" s="1511"/>
      <c r="BA128" s="1511"/>
      <c r="BB128" s="1511"/>
      <c r="BC128" s="1511"/>
      <c r="BD128" s="1511"/>
      <c r="BE128" s="1511"/>
      <c r="BF128" s="1511"/>
      <c r="BG128" s="1511"/>
      <c r="BH128" s="1511"/>
      <c r="BI128" s="1511"/>
      <c r="BJ128" s="1511"/>
    </row>
    <row r="129" spans="1:62">
      <c r="A129" s="1511"/>
      <c r="B129" s="1532"/>
      <c r="C129" s="1533" t="s">
        <v>41</v>
      </c>
      <c r="D129" s="1533" t="s">
        <v>42</v>
      </c>
      <c r="E129" s="1533" t="s">
        <v>33</v>
      </c>
      <c r="F129" s="1540">
        <f>0*1000</f>
        <v>0</v>
      </c>
      <c r="G129" s="1533" t="s">
        <v>67</v>
      </c>
      <c r="H129" s="1537">
        <v>138.07300000000001</v>
      </c>
      <c r="I129" s="1533" t="s">
        <v>34</v>
      </c>
      <c r="J129" s="1989">
        <f>(F129*H129)/1000</f>
        <v>0</v>
      </c>
      <c r="K129" s="1990">
        <v>0</v>
      </c>
      <c r="L129" s="1766">
        <v>0</v>
      </c>
      <c r="M129" s="1767">
        <v>0</v>
      </c>
      <c r="N129" s="1511"/>
      <c r="O129" s="1511"/>
      <c r="P129" s="1511"/>
      <c r="Q129" s="1511"/>
      <c r="R129" s="1511"/>
      <c r="S129" s="1511"/>
      <c r="T129" s="1511"/>
      <c r="U129" s="1511"/>
      <c r="V129" s="1511"/>
      <c r="W129" s="1511"/>
      <c r="X129" s="1511"/>
      <c r="Y129" s="1511"/>
      <c r="Z129" s="1511"/>
      <c r="AA129" s="1511"/>
      <c r="AB129" s="1511"/>
      <c r="AC129" s="1511"/>
      <c r="AD129" s="1511"/>
      <c r="AE129" s="1511"/>
      <c r="AF129" s="1511"/>
      <c r="AG129" s="1511"/>
      <c r="AH129" s="1511"/>
      <c r="AI129" s="1511"/>
      <c r="AJ129" s="1511"/>
      <c r="AK129" s="1511"/>
      <c r="AL129" s="1511"/>
      <c r="AM129" s="1511"/>
      <c r="AN129" s="1511"/>
      <c r="AO129" s="1511"/>
      <c r="AP129" s="1511"/>
      <c r="AQ129" s="1511"/>
      <c r="AR129" s="1511"/>
      <c r="AS129" s="1511"/>
      <c r="AT129" s="1511"/>
      <c r="AU129" s="1511"/>
      <c r="AV129" s="1511"/>
      <c r="AW129" s="1511"/>
      <c r="AX129" s="1511"/>
      <c r="AY129" s="1511"/>
      <c r="AZ129" s="1511"/>
      <c r="BA129" s="1511"/>
      <c r="BB129" s="1511"/>
      <c r="BC129" s="1511"/>
      <c r="BD129" s="1511"/>
      <c r="BE129" s="1511"/>
      <c r="BF129" s="1511"/>
      <c r="BG129" s="1511"/>
      <c r="BH129" s="1511"/>
      <c r="BI129" s="1511"/>
      <c r="BJ129" s="1511"/>
    </row>
    <row r="130" spans="1:62">
      <c r="A130" s="1511"/>
      <c r="B130" s="1532"/>
      <c r="C130" s="1533"/>
      <c r="D130" s="1533"/>
      <c r="E130" s="1533"/>
      <c r="F130" s="1540"/>
      <c r="G130" s="1533"/>
      <c r="H130" s="1537"/>
      <c r="I130" s="1533"/>
      <c r="J130" s="1547"/>
      <c r="K130" s="1554"/>
      <c r="L130" s="1766"/>
      <c r="M130" s="1767"/>
      <c r="N130" s="1511"/>
      <c r="O130" s="1511"/>
      <c r="P130" s="1511"/>
      <c r="Q130" s="1511"/>
      <c r="R130" s="1511"/>
      <c r="S130" s="1511"/>
      <c r="T130" s="1511"/>
      <c r="U130" s="1511"/>
      <c r="V130" s="1511"/>
      <c r="W130" s="1511"/>
      <c r="X130" s="1511"/>
      <c r="Y130" s="1511"/>
      <c r="Z130" s="1511"/>
      <c r="AA130" s="1511"/>
      <c r="AB130" s="1511"/>
      <c r="AC130" s="1511"/>
      <c r="AD130" s="1511"/>
      <c r="AE130" s="1511"/>
      <c r="AF130" s="1511"/>
      <c r="AG130" s="1511"/>
      <c r="AH130" s="1511"/>
      <c r="AI130" s="1511"/>
      <c r="AJ130" s="1511"/>
      <c r="AK130" s="1511"/>
      <c r="AL130" s="1511"/>
      <c r="AM130" s="1511"/>
      <c r="AN130" s="1511"/>
      <c r="AO130" s="1511"/>
      <c r="AP130" s="1511"/>
      <c r="AQ130" s="1511"/>
      <c r="AR130" s="1511"/>
      <c r="AS130" s="1511"/>
      <c r="AT130" s="1511"/>
      <c r="AU130" s="1511"/>
      <c r="AV130" s="1511"/>
      <c r="AW130" s="1511"/>
      <c r="AX130" s="1511"/>
      <c r="AY130" s="1511"/>
      <c r="AZ130" s="1511"/>
      <c r="BA130" s="1511"/>
      <c r="BB130" s="1511"/>
      <c r="BC130" s="1511"/>
      <c r="BD130" s="1511"/>
      <c r="BE130" s="1511"/>
      <c r="BF130" s="1511"/>
      <c r="BG130" s="1511"/>
      <c r="BH130" s="1511"/>
      <c r="BI130" s="1511"/>
      <c r="BJ130" s="1511"/>
    </row>
    <row r="131" spans="1:62">
      <c r="A131" s="1511"/>
      <c r="B131" s="1532"/>
      <c r="C131" s="1533" t="s">
        <v>43</v>
      </c>
      <c r="D131" s="1533" t="s">
        <v>44</v>
      </c>
      <c r="E131" s="1533" t="s">
        <v>33</v>
      </c>
      <c r="F131" s="1540">
        <f>233*1000</f>
        <v>233000</v>
      </c>
      <c r="G131" s="1533" t="s">
        <v>67</v>
      </c>
      <c r="H131" s="1537">
        <v>138.07300000000001</v>
      </c>
      <c r="I131" s="1533" t="s">
        <v>34</v>
      </c>
      <c r="J131" s="1542">
        <f>(F131*H131)/1000</f>
        <v>32171.008999999998</v>
      </c>
      <c r="K131" s="1554">
        <v>2083</v>
      </c>
      <c r="L131" s="1766">
        <v>0.11</v>
      </c>
      <c r="M131" s="1767">
        <v>0.02</v>
      </c>
      <c r="N131" s="1511"/>
      <c r="O131" s="1511"/>
      <c r="P131" s="1511"/>
      <c r="Q131" s="1511"/>
      <c r="R131" s="1511"/>
      <c r="S131" s="1511"/>
      <c r="T131" s="1511"/>
      <c r="U131" s="1511"/>
      <c r="V131" s="1511"/>
      <c r="W131" s="1511"/>
      <c r="X131" s="1511"/>
      <c r="Y131" s="1511"/>
      <c r="Z131" s="1511"/>
      <c r="AA131" s="1511"/>
      <c r="AB131" s="1511"/>
      <c r="AC131" s="1511"/>
      <c r="AD131" s="1511"/>
      <c r="AE131" s="1511"/>
      <c r="AF131" s="1511"/>
      <c r="AG131" s="1511"/>
      <c r="AH131" s="1511"/>
      <c r="AI131" s="1511"/>
      <c r="AJ131" s="1511"/>
      <c r="AK131" s="1511"/>
      <c r="AL131" s="1511"/>
      <c r="AM131" s="1511"/>
      <c r="AN131" s="1511"/>
      <c r="AO131" s="1511"/>
      <c r="AP131" s="1511"/>
      <c r="AQ131" s="1511"/>
      <c r="AR131" s="1511"/>
      <c r="AS131" s="1511"/>
      <c r="AT131" s="1511"/>
      <c r="AU131" s="1511"/>
      <c r="AV131" s="1511"/>
      <c r="AW131" s="1511"/>
      <c r="AX131" s="1511"/>
      <c r="AY131" s="1511"/>
      <c r="AZ131" s="1511"/>
      <c r="BA131" s="1511"/>
      <c r="BB131" s="1511"/>
      <c r="BC131" s="1511"/>
      <c r="BD131" s="1511"/>
      <c r="BE131" s="1511"/>
      <c r="BF131" s="1511"/>
      <c r="BG131" s="1511"/>
      <c r="BH131" s="1511"/>
      <c r="BI131" s="1511"/>
      <c r="BJ131" s="1511"/>
    </row>
    <row r="132" spans="1:62">
      <c r="A132" s="1511"/>
      <c r="B132" s="1532"/>
      <c r="C132" s="1533"/>
      <c r="D132" s="1533"/>
      <c r="E132" s="1533"/>
      <c r="F132" s="1540"/>
      <c r="G132" s="1533"/>
      <c r="H132" s="1537"/>
      <c r="I132" s="1533"/>
      <c r="J132" s="1547"/>
      <c r="K132" s="1554"/>
      <c r="L132" s="1766"/>
      <c r="M132" s="1767"/>
      <c r="N132" s="1511"/>
      <c r="O132" s="1511"/>
      <c r="P132" s="1511"/>
      <c r="Q132" s="1511"/>
      <c r="R132" s="1511"/>
      <c r="S132" s="1511"/>
      <c r="T132" s="1511"/>
      <c r="U132" s="1511"/>
      <c r="V132" s="1511"/>
      <c r="W132" s="1511"/>
      <c r="X132" s="1511"/>
      <c r="Y132" s="1511"/>
      <c r="Z132" s="1511"/>
      <c r="AA132" s="1511"/>
      <c r="AB132" s="1511"/>
      <c r="AC132" s="1511"/>
      <c r="AD132" s="1511"/>
      <c r="AE132" s="1511"/>
      <c r="AF132" s="1511"/>
      <c r="AG132" s="1511"/>
      <c r="AH132" s="1511"/>
      <c r="AI132" s="1511"/>
      <c r="AJ132" s="1511"/>
      <c r="AK132" s="1511"/>
      <c r="AL132" s="1511"/>
      <c r="AM132" s="1511"/>
      <c r="AN132" s="1511"/>
      <c r="AO132" s="1511"/>
      <c r="AP132" s="1511"/>
      <c r="AQ132" s="1511"/>
      <c r="AR132" s="1511"/>
      <c r="AS132" s="1511"/>
      <c r="AT132" s="1511"/>
      <c r="AU132" s="1511"/>
      <c r="AV132" s="1511"/>
      <c r="AW132" s="1511"/>
      <c r="AX132" s="1511"/>
      <c r="AY132" s="1511"/>
      <c r="AZ132" s="1511"/>
      <c r="BA132" s="1511"/>
      <c r="BB132" s="1511"/>
      <c r="BC132" s="1511"/>
      <c r="BD132" s="1511"/>
      <c r="BE132" s="1511"/>
      <c r="BF132" s="1511"/>
      <c r="BG132" s="1511"/>
      <c r="BH132" s="1511"/>
      <c r="BI132" s="1511"/>
      <c r="BJ132" s="1511"/>
    </row>
    <row r="133" spans="1:62">
      <c r="A133" s="1511"/>
      <c r="B133" s="1532"/>
      <c r="C133" s="1533" t="s">
        <v>45</v>
      </c>
      <c r="D133" s="1533" t="s">
        <v>46</v>
      </c>
      <c r="E133" s="1533" t="s">
        <v>33</v>
      </c>
      <c r="F133" s="1540">
        <f>224*1000</f>
        <v>224000</v>
      </c>
      <c r="G133" s="1533" t="s">
        <v>67</v>
      </c>
      <c r="H133" s="1537">
        <v>138.07300000000001</v>
      </c>
      <c r="I133" s="1533" t="s">
        <v>34</v>
      </c>
      <c r="J133" s="1542">
        <f>(F133*H133)/1000</f>
        <v>30928.351999999999</v>
      </c>
      <c r="K133" s="1554">
        <v>2018</v>
      </c>
      <c r="L133" s="1766">
        <v>0.1</v>
      </c>
      <c r="M133" s="1767" t="s">
        <v>1304</v>
      </c>
      <c r="N133" s="1511"/>
      <c r="O133" s="1511"/>
      <c r="P133" s="1511"/>
      <c r="Q133" s="1511"/>
      <c r="R133" s="1511"/>
      <c r="S133" s="1511"/>
      <c r="T133" s="1511"/>
      <c r="U133" s="1511"/>
      <c r="V133" s="1511"/>
      <c r="W133" s="1511"/>
      <c r="X133" s="1511"/>
      <c r="Y133" s="1511"/>
      <c r="Z133" s="1511"/>
      <c r="AA133" s="1511"/>
      <c r="AB133" s="1511"/>
      <c r="AC133" s="1511"/>
      <c r="AD133" s="1511"/>
      <c r="AE133" s="1511"/>
      <c r="AF133" s="1511"/>
      <c r="AG133" s="1511"/>
      <c r="AH133" s="1511"/>
      <c r="AI133" s="1511"/>
      <c r="AJ133" s="1511"/>
      <c r="AK133" s="1511"/>
      <c r="AL133" s="1511"/>
      <c r="AM133" s="1511"/>
      <c r="AN133" s="1511"/>
      <c r="AO133" s="1511"/>
      <c r="AP133" s="1511"/>
      <c r="AQ133" s="1511"/>
      <c r="AR133" s="1511"/>
      <c r="AS133" s="1511"/>
      <c r="AT133" s="1511"/>
      <c r="AU133" s="1511"/>
      <c r="AV133" s="1511"/>
      <c r="AW133" s="1511"/>
      <c r="AX133" s="1511"/>
      <c r="AY133" s="1511"/>
      <c r="AZ133" s="1511"/>
      <c r="BA133" s="1511"/>
      <c r="BB133" s="1511"/>
      <c r="BC133" s="1511"/>
      <c r="BD133" s="1511"/>
      <c r="BE133" s="1511"/>
      <c r="BF133" s="1511"/>
      <c r="BG133" s="1511"/>
      <c r="BH133" s="1511"/>
      <c r="BI133" s="1511"/>
      <c r="BJ133" s="1511"/>
    </row>
    <row r="134" spans="1:62">
      <c r="A134" s="1511"/>
      <c r="B134" s="1532"/>
      <c r="C134" s="1533"/>
      <c r="D134" s="1533"/>
      <c r="E134" s="1533"/>
      <c r="F134" s="1540"/>
      <c r="G134" s="1533"/>
      <c r="H134" s="1537"/>
      <c r="I134" s="1533"/>
      <c r="J134" s="1542"/>
      <c r="K134" s="1554"/>
      <c r="L134" s="1766"/>
      <c r="M134" s="1767"/>
      <c r="N134" s="1511"/>
      <c r="O134" s="1511"/>
      <c r="P134" s="1511"/>
      <c r="Q134" s="1511"/>
      <c r="R134" s="1511"/>
      <c r="S134" s="1511"/>
      <c r="T134" s="1511"/>
      <c r="U134" s="1511"/>
      <c r="V134" s="1511"/>
      <c r="W134" s="1511"/>
      <c r="X134" s="1511"/>
      <c r="Y134" s="1511"/>
      <c r="Z134" s="1511"/>
      <c r="AA134" s="1511"/>
      <c r="AB134" s="1511"/>
      <c r="AC134" s="1511"/>
      <c r="AD134" s="1511"/>
      <c r="AE134" s="1511"/>
      <c r="AF134" s="1511"/>
      <c r="AG134" s="1511"/>
      <c r="AH134" s="1511"/>
      <c r="AI134" s="1511"/>
      <c r="AJ134" s="1511"/>
      <c r="AK134" s="1511"/>
      <c r="AL134" s="1511"/>
      <c r="AM134" s="1511"/>
      <c r="AN134" s="1511"/>
      <c r="AO134" s="1511"/>
      <c r="AP134" s="1511"/>
      <c r="AQ134" s="1511"/>
      <c r="AR134" s="1511"/>
      <c r="AS134" s="1511"/>
      <c r="AT134" s="1511"/>
      <c r="AU134" s="1511"/>
      <c r="AV134" s="1511"/>
      <c r="AW134" s="1511"/>
      <c r="AX134" s="1511"/>
      <c r="AY134" s="1511"/>
      <c r="AZ134" s="1511"/>
      <c r="BA134" s="1511"/>
      <c r="BB134" s="1511"/>
      <c r="BC134" s="1511"/>
      <c r="BD134" s="1511"/>
      <c r="BE134" s="1511"/>
      <c r="BF134" s="1511"/>
      <c r="BG134" s="1511"/>
      <c r="BH134" s="1511"/>
      <c r="BI134" s="1511"/>
      <c r="BJ134" s="1511"/>
    </row>
    <row r="135" spans="1:62">
      <c r="A135" s="1511"/>
      <c r="B135" s="1532"/>
      <c r="C135" s="1533" t="s">
        <v>1253</v>
      </c>
      <c r="D135" s="1533" t="s">
        <v>1249</v>
      </c>
      <c r="E135" s="1533" t="s">
        <v>77</v>
      </c>
      <c r="F135" s="1540">
        <f>750*1000000</f>
        <v>750000000</v>
      </c>
      <c r="G135" s="1533" t="s">
        <v>147</v>
      </c>
      <c r="H135" s="1537">
        <v>1049</v>
      </c>
      <c r="I135" s="1533" t="s">
        <v>81</v>
      </c>
      <c r="J135" s="1547">
        <f>(F135*H135)/1000000</f>
        <v>786750</v>
      </c>
      <c r="K135" s="1537">
        <f>(+J135/(J$123+J$124))*K$125</f>
        <v>47345.791896046903</v>
      </c>
      <c r="L135" s="1546">
        <f>(+J135/(J$135+J$136))*L$137</f>
        <v>0.90755425398904499</v>
      </c>
      <c r="M135" s="1601">
        <f>(+J135/(J$135+J$136))*M$137</f>
        <v>9.7586478923553224E-2</v>
      </c>
      <c r="N135" s="1511"/>
      <c r="O135" s="1511"/>
      <c r="P135" s="1511"/>
      <c r="Q135" s="1511"/>
      <c r="R135" s="1511"/>
      <c r="S135" s="1511"/>
      <c r="T135" s="1511"/>
      <c r="U135" s="1511"/>
      <c r="V135" s="1511"/>
      <c r="W135" s="1511"/>
      <c r="X135" s="1511"/>
      <c r="Y135" s="1511"/>
      <c r="Z135" s="1511"/>
      <c r="AA135" s="1511"/>
      <c r="AB135" s="1511"/>
      <c r="AC135" s="1511"/>
      <c r="AD135" s="1511"/>
      <c r="AE135" s="1511"/>
      <c r="AF135" s="1511"/>
      <c r="AG135" s="1511"/>
      <c r="AH135" s="1511"/>
      <c r="AI135" s="1511"/>
      <c r="AJ135" s="1511"/>
      <c r="AK135" s="1511"/>
      <c r="AL135" s="1511"/>
      <c r="AM135" s="1511"/>
      <c r="AN135" s="1511"/>
      <c r="AO135" s="1511"/>
      <c r="AP135" s="1511"/>
      <c r="AQ135" s="1511"/>
      <c r="AR135" s="1511"/>
      <c r="AS135" s="1511"/>
      <c r="AT135" s="1511"/>
      <c r="AU135" s="1511"/>
      <c r="AV135" s="1511"/>
      <c r="AW135" s="1511"/>
      <c r="AX135" s="1511"/>
      <c r="AY135" s="1511"/>
      <c r="AZ135" s="1511"/>
      <c r="BA135" s="1511"/>
      <c r="BB135" s="1511"/>
      <c r="BC135" s="1511"/>
      <c r="BD135" s="1511"/>
      <c r="BE135" s="1511"/>
      <c r="BF135" s="1511"/>
      <c r="BG135" s="1511"/>
      <c r="BH135" s="1511"/>
      <c r="BI135" s="1511"/>
      <c r="BJ135" s="1511"/>
    </row>
    <row r="136" spans="1:62">
      <c r="A136" s="1511"/>
      <c r="B136" s="1532"/>
      <c r="C136" s="1533"/>
      <c r="D136" s="1533" t="s">
        <v>1250</v>
      </c>
      <c r="E136" s="1533" t="s">
        <v>33</v>
      </c>
      <c r="F136" s="1540">
        <f>141*1000</f>
        <v>141000</v>
      </c>
      <c r="G136" s="1533" t="s">
        <v>67</v>
      </c>
      <c r="H136" s="1537">
        <v>138</v>
      </c>
      <c r="I136" s="1533" t="s">
        <v>34</v>
      </c>
      <c r="J136" s="1547">
        <f>(F136*H136)/1000</f>
        <v>19458</v>
      </c>
      <c r="K136" s="1537">
        <f>(+J136/(J$123+J$124))*K$125</f>
        <v>1170.9620828894574</v>
      </c>
      <c r="L136" s="1546">
        <f>(+J136/(J$135+J$136))*L$137</f>
        <v>2.2445746010954989E-2</v>
      </c>
      <c r="M136" s="1601">
        <f>(+J136/(J$135+J$136))*M$137</f>
        <v>2.413521076446773E-3</v>
      </c>
      <c r="N136" s="1511"/>
      <c r="O136" s="1511"/>
      <c r="P136" s="1511"/>
      <c r="Q136" s="1511"/>
      <c r="R136" s="1511"/>
      <c r="S136" s="1511"/>
      <c r="T136" s="1511"/>
      <c r="U136" s="1511"/>
      <c r="V136" s="1511"/>
      <c r="W136" s="1511"/>
      <c r="X136" s="1511"/>
      <c r="Y136" s="1511"/>
      <c r="Z136" s="1511"/>
      <c r="AA136" s="1511"/>
      <c r="AB136" s="1511"/>
      <c r="AC136" s="1511"/>
      <c r="AD136" s="1511"/>
      <c r="AE136" s="1511"/>
      <c r="AF136" s="1511"/>
      <c r="AG136" s="1511"/>
      <c r="AH136" s="1511"/>
      <c r="AI136" s="1511"/>
      <c r="AJ136" s="1511"/>
      <c r="AK136" s="1511"/>
      <c r="AL136" s="1511"/>
      <c r="AM136" s="1511"/>
      <c r="AN136" s="1511"/>
      <c r="AO136" s="1511"/>
      <c r="AP136" s="1511"/>
      <c r="AQ136" s="1511"/>
      <c r="AR136" s="1511"/>
      <c r="AS136" s="1511"/>
      <c r="AT136" s="1511"/>
      <c r="AU136" s="1511"/>
      <c r="AV136" s="1511"/>
      <c r="AW136" s="1511"/>
      <c r="AX136" s="1511"/>
      <c r="AY136" s="1511"/>
      <c r="AZ136" s="1511"/>
      <c r="BA136" s="1511"/>
      <c r="BB136" s="1511"/>
      <c r="BC136" s="1511"/>
      <c r="BD136" s="1511"/>
      <c r="BE136" s="1511"/>
      <c r="BF136" s="1511"/>
      <c r="BG136" s="1511"/>
      <c r="BH136" s="1511"/>
      <c r="BI136" s="1511"/>
      <c r="BJ136" s="1511"/>
    </row>
    <row r="137" spans="1:62">
      <c r="A137" s="1511"/>
      <c r="B137" s="1532"/>
      <c r="C137" s="1533"/>
      <c r="D137" s="1533"/>
      <c r="E137" s="1533"/>
      <c r="F137" s="1540"/>
      <c r="G137" s="1533"/>
      <c r="H137" s="1537"/>
      <c r="I137" s="1533"/>
      <c r="J137" s="1542">
        <f>J135+J136</f>
        <v>806208</v>
      </c>
      <c r="K137" s="1554">
        <v>45574</v>
      </c>
      <c r="L137" s="1555">
        <v>0.93</v>
      </c>
      <c r="M137" s="1763">
        <v>0.1</v>
      </c>
      <c r="N137" s="1511"/>
      <c r="O137" s="1511"/>
      <c r="P137" s="1511"/>
      <c r="Q137" s="1511"/>
      <c r="R137" s="1511"/>
      <c r="S137" s="1511"/>
      <c r="T137" s="1511"/>
      <c r="U137" s="1511"/>
      <c r="V137" s="1511"/>
      <c r="W137" s="1511"/>
      <c r="X137" s="1511"/>
      <c r="Y137" s="1511"/>
      <c r="Z137" s="1511"/>
      <c r="AA137" s="1511"/>
      <c r="AB137" s="1511"/>
      <c r="AC137" s="1511"/>
      <c r="AD137" s="1511"/>
      <c r="AE137" s="1511"/>
      <c r="AF137" s="1511"/>
      <c r="AG137" s="1511"/>
      <c r="AH137" s="1511"/>
      <c r="AI137" s="1511"/>
      <c r="AJ137" s="1511"/>
      <c r="AK137" s="1511"/>
      <c r="AL137" s="1511"/>
      <c r="AM137" s="1511"/>
      <c r="AN137" s="1511"/>
      <c r="AO137" s="1511"/>
      <c r="AP137" s="1511"/>
      <c r="AQ137" s="1511"/>
      <c r="AR137" s="1511"/>
      <c r="AS137" s="1511"/>
      <c r="AT137" s="1511"/>
      <c r="AU137" s="1511"/>
      <c r="AV137" s="1511"/>
      <c r="AW137" s="1511"/>
      <c r="AX137" s="1511"/>
      <c r="AY137" s="1511"/>
      <c r="AZ137" s="1511"/>
      <c r="BA137" s="1511"/>
      <c r="BB137" s="1511"/>
      <c r="BC137" s="1511"/>
      <c r="BD137" s="1511"/>
      <c r="BE137" s="1511"/>
      <c r="BF137" s="1511"/>
      <c r="BG137" s="1511"/>
      <c r="BH137" s="1511"/>
      <c r="BI137" s="1511"/>
      <c r="BJ137" s="1511"/>
    </row>
    <row r="138" spans="1:62">
      <c r="A138" s="1511"/>
      <c r="B138" s="1532"/>
      <c r="C138" s="1533"/>
      <c r="D138" s="1533"/>
      <c r="E138" s="1533"/>
      <c r="F138" s="1540"/>
      <c r="G138" s="1533"/>
      <c r="H138" s="1537"/>
      <c r="I138" s="1533"/>
      <c r="J138" s="1542"/>
      <c r="K138" s="1554"/>
      <c r="L138" s="1766"/>
      <c r="M138" s="1767"/>
      <c r="N138" s="1511"/>
      <c r="O138" s="1511"/>
      <c r="P138" s="1511"/>
      <c r="Q138" s="1511"/>
      <c r="R138" s="1511"/>
      <c r="S138" s="1511"/>
      <c r="T138" s="1511"/>
      <c r="U138" s="1511"/>
      <c r="V138" s="1511"/>
      <c r="W138" s="1511"/>
      <c r="X138" s="1511"/>
      <c r="Y138" s="1511"/>
      <c r="Z138" s="1511"/>
      <c r="AA138" s="1511"/>
      <c r="AB138" s="1511"/>
      <c r="AC138" s="1511"/>
      <c r="AD138" s="1511"/>
      <c r="AE138" s="1511"/>
      <c r="AF138" s="1511"/>
      <c r="AG138" s="1511"/>
      <c r="AH138" s="1511"/>
      <c r="AI138" s="1511"/>
      <c r="AJ138" s="1511"/>
      <c r="AK138" s="1511"/>
      <c r="AL138" s="1511"/>
      <c r="AM138" s="1511"/>
      <c r="AN138" s="1511"/>
      <c r="AO138" s="1511"/>
      <c r="AP138" s="1511"/>
      <c r="AQ138" s="1511"/>
      <c r="AR138" s="1511"/>
      <c r="AS138" s="1511"/>
      <c r="AT138" s="1511"/>
      <c r="AU138" s="1511"/>
      <c r="AV138" s="1511"/>
      <c r="AW138" s="1511"/>
      <c r="AX138" s="1511"/>
      <c r="AY138" s="1511"/>
      <c r="AZ138" s="1511"/>
      <c r="BA138" s="1511"/>
      <c r="BB138" s="1511"/>
      <c r="BC138" s="1511"/>
      <c r="BD138" s="1511"/>
      <c r="BE138" s="1511"/>
      <c r="BF138" s="1511"/>
      <c r="BG138" s="1511"/>
      <c r="BH138" s="1511"/>
      <c r="BI138" s="1511"/>
      <c r="BJ138" s="1511"/>
    </row>
    <row r="139" spans="1:62">
      <c r="A139" s="1511"/>
      <c r="B139" s="1532"/>
      <c r="C139" s="1533" t="s">
        <v>1254</v>
      </c>
      <c r="D139" s="1533" t="s">
        <v>1251</v>
      </c>
      <c r="E139" s="1533" t="s">
        <v>77</v>
      </c>
      <c r="F139" s="1540">
        <f>722*1000000</f>
        <v>722000000</v>
      </c>
      <c r="G139" s="1533" t="s">
        <v>147</v>
      </c>
      <c r="H139" s="1537">
        <v>1049</v>
      </c>
      <c r="I139" s="1533" t="s">
        <v>81</v>
      </c>
      <c r="J139" s="1547">
        <f>(F139*H139)/1000000</f>
        <v>757378</v>
      </c>
      <c r="K139" s="1537">
        <f>(+J139/(J$139+J$140))*K$141</f>
        <v>42785.202390389029</v>
      </c>
      <c r="L139" s="1546">
        <f>(+J139/(J$139+J$140))*L$141</f>
        <v>0.87714537930182523</v>
      </c>
      <c r="M139" s="1601">
        <f>(+J139/(J$139+J$140))*M$141</f>
        <v>9.7460597700202808E-2</v>
      </c>
      <c r="N139" s="1511"/>
      <c r="O139" s="1511"/>
      <c r="P139" s="1511"/>
      <c r="Q139" s="1511"/>
      <c r="R139" s="1511"/>
      <c r="S139" s="1511"/>
      <c r="T139" s="1511"/>
      <c r="U139" s="1511"/>
      <c r="V139" s="1511"/>
      <c r="W139" s="1511"/>
      <c r="X139" s="1511"/>
      <c r="Y139" s="1511"/>
      <c r="Z139" s="1511"/>
      <c r="AA139" s="1511"/>
      <c r="AB139" s="1511"/>
      <c r="AC139" s="1511"/>
      <c r="AD139" s="1511"/>
      <c r="AE139" s="1511"/>
      <c r="AF139" s="1511"/>
      <c r="AG139" s="1511"/>
      <c r="AH139" s="1511"/>
      <c r="AI139" s="1511"/>
      <c r="AJ139" s="1511"/>
      <c r="AK139" s="1511"/>
      <c r="AL139" s="1511"/>
      <c r="AM139" s="1511"/>
      <c r="AN139" s="1511"/>
      <c r="AO139" s="1511"/>
      <c r="AP139" s="1511"/>
      <c r="AQ139" s="1511"/>
      <c r="AR139" s="1511"/>
      <c r="AS139" s="1511"/>
      <c r="AT139" s="1511"/>
      <c r="AU139" s="1511"/>
      <c r="AV139" s="1511"/>
      <c r="AW139" s="1511"/>
      <c r="AX139" s="1511"/>
      <c r="AY139" s="1511"/>
      <c r="AZ139" s="1511"/>
      <c r="BA139" s="1511"/>
      <c r="BB139" s="1511"/>
      <c r="BC139" s="1511"/>
      <c r="BD139" s="1511"/>
      <c r="BE139" s="1511"/>
      <c r="BF139" s="1511"/>
      <c r="BG139" s="1511"/>
      <c r="BH139" s="1511"/>
      <c r="BI139" s="1511"/>
      <c r="BJ139" s="1511"/>
    </row>
    <row r="140" spans="1:62">
      <c r="A140" s="1511"/>
      <c r="B140" s="1532"/>
      <c r="C140" s="1533"/>
      <c r="D140" s="1533" t="s">
        <v>1252</v>
      </c>
      <c r="E140" s="1533" t="s">
        <v>33</v>
      </c>
      <c r="F140" s="1540">
        <f>143*1000</f>
        <v>143000</v>
      </c>
      <c r="G140" s="1533" t="s">
        <v>67</v>
      </c>
      <c r="H140" s="1537">
        <v>138</v>
      </c>
      <c r="I140" s="1533" t="s">
        <v>34</v>
      </c>
      <c r="J140" s="1547">
        <f>(F140*H140)/1000</f>
        <v>19734</v>
      </c>
      <c r="K140" s="1537">
        <f>(+J140/(J$139+J$140))*K$141</f>
        <v>1114.7976096109699</v>
      </c>
      <c r="L140" s="1546">
        <f>(+J140/(J$139+J$140))*L$141</f>
        <v>2.2854620698174781E-2</v>
      </c>
      <c r="M140" s="1601">
        <f>(+J140/(J$139+J$140))*M$141</f>
        <v>2.539402299797198E-3</v>
      </c>
      <c r="N140" s="1511"/>
      <c r="O140" s="1511"/>
      <c r="P140" s="1511"/>
      <c r="Q140" s="1511"/>
      <c r="R140" s="1511"/>
      <c r="S140" s="1511"/>
      <c r="T140" s="1511"/>
      <c r="U140" s="1511"/>
      <c r="V140" s="1511"/>
      <c r="W140" s="1511"/>
      <c r="X140" s="1511"/>
      <c r="Y140" s="1511"/>
      <c r="Z140" s="1511"/>
      <c r="AA140" s="1511"/>
      <c r="AB140" s="1511"/>
      <c r="AC140" s="1511"/>
      <c r="AD140" s="1511"/>
      <c r="AE140" s="1511"/>
      <c r="AF140" s="1511"/>
      <c r="AG140" s="1511"/>
      <c r="AH140" s="1511"/>
      <c r="AI140" s="1511"/>
      <c r="AJ140" s="1511"/>
      <c r="AK140" s="1511"/>
      <c r="AL140" s="1511"/>
      <c r="AM140" s="1511"/>
      <c r="AN140" s="1511"/>
      <c r="AO140" s="1511"/>
      <c r="AP140" s="1511"/>
      <c r="AQ140" s="1511"/>
      <c r="AR140" s="1511"/>
      <c r="AS140" s="1511"/>
      <c r="AT140" s="1511"/>
      <c r="AU140" s="1511"/>
      <c r="AV140" s="1511"/>
      <c r="AW140" s="1511"/>
      <c r="AX140" s="1511"/>
      <c r="AY140" s="1511"/>
      <c r="AZ140" s="1511"/>
      <c r="BA140" s="1511"/>
      <c r="BB140" s="1511"/>
      <c r="BC140" s="1511"/>
      <c r="BD140" s="1511"/>
      <c r="BE140" s="1511"/>
      <c r="BF140" s="1511"/>
      <c r="BG140" s="1511"/>
      <c r="BH140" s="1511"/>
      <c r="BI140" s="1511"/>
      <c r="BJ140" s="1511"/>
    </row>
    <row r="141" spans="1:62">
      <c r="A141" s="1511"/>
      <c r="B141" s="1532"/>
      <c r="C141" s="1533"/>
      <c r="D141" s="1533"/>
      <c r="E141" s="1533"/>
      <c r="F141" s="1540"/>
      <c r="G141" s="1533"/>
      <c r="H141" s="1537"/>
      <c r="I141" s="1533"/>
      <c r="J141" s="1542">
        <f>J139+J140</f>
        <v>777112</v>
      </c>
      <c r="K141" s="1554">
        <v>43900</v>
      </c>
      <c r="L141" s="1555">
        <v>0.9</v>
      </c>
      <c r="M141" s="1763">
        <v>0.1</v>
      </c>
      <c r="N141" s="1511"/>
      <c r="O141" s="1511"/>
      <c r="P141" s="1511"/>
      <c r="Q141" s="1511"/>
      <c r="R141" s="1511"/>
      <c r="S141" s="1511"/>
      <c r="T141" s="1511"/>
      <c r="U141" s="1511"/>
      <c r="V141" s="1511"/>
      <c r="W141" s="1511"/>
      <c r="X141" s="1511"/>
      <c r="Y141" s="1511"/>
      <c r="Z141" s="1511"/>
      <c r="AA141" s="1511"/>
      <c r="AB141" s="1511"/>
      <c r="AC141" s="1511"/>
      <c r="AD141" s="1511"/>
      <c r="AE141" s="1511"/>
      <c r="AF141" s="1511"/>
      <c r="AG141" s="1511"/>
      <c r="AH141" s="1511"/>
      <c r="AI141" s="1511"/>
      <c r="AJ141" s="1511"/>
      <c r="AK141" s="1511"/>
      <c r="AL141" s="1511"/>
      <c r="AM141" s="1511"/>
      <c r="AN141" s="1511"/>
      <c r="AO141" s="1511"/>
      <c r="AP141" s="1511"/>
      <c r="AQ141" s="1511"/>
      <c r="AR141" s="1511"/>
      <c r="AS141" s="1511"/>
      <c r="AT141" s="1511"/>
      <c r="AU141" s="1511"/>
      <c r="AV141" s="1511"/>
      <c r="AW141" s="1511"/>
      <c r="AX141" s="1511"/>
      <c r="AY141" s="1511"/>
      <c r="AZ141" s="1511"/>
      <c r="BA141" s="1511"/>
      <c r="BB141" s="1511"/>
      <c r="BC141" s="1511"/>
      <c r="BD141" s="1511"/>
      <c r="BE141" s="1511"/>
      <c r="BF141" s="1511"/>
      <c r="BG141" s="1511"/>
      <c r="BH141" s="1511"/>
      <c r="BI141" s="1511"/>
      <c r="BJ141" s="1511"/>
    </row>
    <row r="142" spans="1:62">
      <c r="A142" s="1511"/>
      <c r="B142" s="1532"/>
      <c r="C142" s="1533"/>
      <c r="D142" s="1533"/>
      <c r="E142" s="1533"/>
      <c r="F142" s="1537"/>
      <c r="G142" s="1533"/>
      <c r="H142" s="1537"/>
      <c r="I142" s="1533"/>
      <c r="J142" s="1547"/>
      <c r="K142" s="1537"/>
      <c r="L142" s="1546"/>
      <c r="M142" s="1541"/>
      <c r="N142" s="1511"/>
      <c r="O142" s="1511"/>
      <c r="P142" s="1511"/>
      <c r="Q142" s="1511"/>
      <c r="R142" s="1511"/>
      <c r="S142" s="1511"/>
      <c r="T142" s="1511"/>
      <c r="U142" s="1511"/>
      <c r="V142" s="1511"/>
      <c r="W142" s="1511"/>
      <c r="X142" s="1511"/>
      <c r="Y142" s="1511"/>
      <c r="Z142" s="1511"/>
      <c r="AA142" s="1511"/>
      <c r="AB142" s="1511"/>
      <c r="AC142" s="1511"/>
      <c r="AD142" s="1511"/>
      <c r="AE142" s="1511"/>
      <c r="AF142" s="1511"/>
      <c r="AG142" s="1511"/>
      <c r="AH142" s="1511"/>
      <c r="AI142" s="1511"/>
      <c r="AJ142" s="1511"/>
      <c r="AK142" s="1511"/>
      <c r="AL142" s="1511"/>
      <c r="AM142" s="1511"/>
      <c r="AN142" s="1511"/>
      <c r="AO142" s="1511"/>
      <c r="AP142" s="1511"/>
      <c r="AQ142" s="1511"/>
      <c r="AR142" s="1511"/>
      <c r="AS142" s="1511"/>
      <c r="AT142" s="1511"/>
      <c r="AU142" s="1511"/>
      <c r="AV142" s="1511"/>
      <c r="AW142" s="1511"/>
      <c r="AX142" s="1511"/>
      <c r="AY142" s="1511"/>
      <c r="AZ142" s="1511"/>
      <c r="BA142" s="1511"/>
      <c r="BB142" s="1511"/>
      <c r="BC142" s="1511"/>
      <c r="BD142" s="1511"/>
      <c r="BE142" s="1511"/>
      <c r="BF142" s="1511"/>
      <c r="BG142" s="1511"/>
      <c r="BH142" s="1511"/>
      <c r="BI142" s="1511"/>
      <c r="BJ142" s="1511"/>
    </row>
    <row r="143" spans="1:62" ht="13.5" thickBot="1">
      <c r="A143" s="1511"/>
      <c r="B143" s="1532"/>
      <c r="C143" s="1533"/>
      <c r="D143" s="1533"/>
      <c r="E143" s="1533"/>
      <c r="F143" s="1540"/>
      <c r="G143" s="1533"/>
      <c r="H143" s="1537"/>
      <c r="I143" s="1533"/>
      <c r="J143" s="1547"/>
      <c r="K143" s="1543"/>
      <c r="L143" s="1544"/>
      <c r="M143" s="1541"/>
      <c r="N143" s="1511"/>
      <c r="O143" s="1511"/>
      <c r="P143" s="1511"/>
      <c r="Q143" s="1511"/>
      <c r="R143" s="1511"/>
      <c r="S143" s="1511"/>
      <c r="T143" s="1511"/>
      <c r="U143" s="1511"/>
      <c r="V143" s="1511"/>
      <c r="W143" s="1511"/>
      <c r="X143" s="1511"/>
      <c r="Y143" s="1511"/>
      <c r="Z143" s="1511"/>
      <c r="AA143" s="1511"/>
      <c r="AB143" s="1511"/>
      <c r="AC143" s="1511"/>
      <c r="AD143" s="1511"/>
      <c r="AE143" s="1511"/>
      <c r="AF143" s="1511"/>
      <c r="AG143" s="1511"/>
      <c r="AH143" s="1511"/>
      <c r="AI143" s="1511"/>
      <c r="AJ143" s="1511"/>
      <c r="AK143" s="1511"/>
      <c r="AL143" s="1511"/>
      <c r="AM143" s="1511"/>
      <c r="AN143" s="1511"/>
      <c r="AO143" s="1511"/>
      <c r="AP143" s="1511"/>
      <c r="AQ143" s="1511"/>
      <c r="AR143" s="1511"/>
      <c r="AS143" s="1511"/>
      <c r="AT143" s="1511"/>
      <c r="AU143" s="1511"/>
      <c r="AV143" s="1511"/>
      <c r="AW143" s="1511"/>
      <c r="AX143" s="1511"/>
      <c r="AY143" s="1511"/>
      <c r="AZ143" s="1511"/>
      <c r="BA143" s="1511"/>
      <c r="BB143" s="1511"/>
      <c r="BC143" s="1511"/>
      <c r="BD143" s="1511"/>
      <c r="BE143" s="1511"/>
      <c r="BF143" s="1511"/>
      <c r="BG143" s="1511"/>
      <c r="BH143" s="1511"/>
      <c r="BI143" s="1511"/>
      <c r="BJ143" s="1511"/>
    </row>
    <row r="144" spans="1:62">
      <c r="A144" s="1511"/>
      <c r="B144" s="1576"/>
      <c r="C144" s="1530"/>
      <c r="D144" s="1530"/>
      <c r="E144" s="1530"/>
      <c r="F144" s="1577"/>
      <c r="G144" s="1530"/>
      <c r="H144" s="1508"/>
      <c r="I144" s="1530"/>
      <c r="J144" s="1531"/>
      <c r="K144" s="1588"/>
      <c r="L144" s="1589"/>
      <c r="M144" s="1578"/>
      <c r="N144" s="1511"/>
      <c r="O144" s="1511"/>
      <c r="P144" s="1511"/>
      <c r="Q144" s="1511"/>
      <c r="R144" s="1511"/>
      <c r="S144" s="1511"/>
      <c r="T144" s="1511"/>
      <c r="U144" s="1511"/>
      <c r="V144" s="1511"/>
      <c r="W144" s="1511"/>
      <c r="X144" s="1511"/>
      <c r="Y144" s="1511"/>
      <c r="Z144" s="1511"/>
      <c r="AA144" s="1511"/>
      <c r="AB144" s="1511"/>
      <c r="AC144" s="1511"/>
      <c r="AD144" s="1511"/>
      <c r="AE144" s="1511"/>
      <c r="AF144" s="1511"/>
      <c r="AG144" s="1511"/>
      <c r="AH144" s="1511"/>
      <c r="AI144" s="1511"/>
      <c r="AJ144" s="1511"/>
      <c r="AK144" s="1511"/>
      <c r="AL144" s="1511"/>
      <c r="AM144" s="1511"/>
      <c r="AN144" s="1511"/>
      <c r="AO144" s="1511"/>
      <c r="AP144" s="1511"/>
      <c r="AQ144" s="1511"/>
      <c r="AR144" s="1511"/>
      <c r="AS144" s="1511"/>
      <c r="AT144" s="1511"/>
      <c r="AU144" s="1511"/>
      <c r="AV144" s="1511"/>
      <c r="AW144" s="1511"/>
      <c r="AX144" s="1511"/>
      <c r="AY144" s="1511"/>
      <c r="AZ144" s="1511"/>
      <c r="BA144" s="1511"/>
      <c r="BB144" s="1511"/>
      <c r="BC144" s="1511"/>
      <c r="BD144" s="1511"/>
      <c r="BE144" s="1511"/>
      <c r="BF144" s="1511"/>
      <c r="BG144" s="1511"/>
      <c r="BH144" s="1511"/>
      <c r="BI144" s="1511"/>
      <c r="BJ144" s="1511"/>
    </row>
    <row r="145" spans="1:62">
      <c r="A145" s="1511"/>
      <c r="B145" s="1532"/>
      <c r="C145" s="1533"/>
      <c r="D145" s="1533"/>
      <c r="E145" s="1533"/>
      <c r="F145" s="1540"/>
      <c r="G145" s="1533"/>
      <c r="H145" s="1537"/>
      <c r="I145" s="1533"/>
      <c r="J145" s="1547"/>
      <c r="K145" s="1543"/>
      <c r="L145" s="1546"/>
      <c r="M145" s="1541"/>
      <c r="N145" s="1511"/>
      <c r="O145" s="1511"/>
      <c r="P145" s="1511"/>
      <c r="Q145" s="1511"/>
      <c r="R145" s="1511"/>
      <c r="S145" s="1511"/>
      <c r="T145" s="1511"/>
      <c r="U145" s="1511"/>
      <c r="V145" s="1511"/>
      <c r="W145" s="1511"/>
      <c r="X145" s="1511"/>
      <c r="Y145" s="1511"/>
      <c r="Z145" s="1511"/>
      <c r="AA145" s="1511"/>
      <c r="AB145" s="1511"/>
      <c r="AC145" s="1511"/>
      <c r="AD145" s="1511"/>
      <c r="AE145" s="1511"/>
      <c r="AF145" s="1511"/>
      <c r="AG145" s="1511"/>
      <c r="AH145" s="1511"/>
      <c r="AI145" s="1511"/>
      <c r="AJ145" s="1511"/>
      <c r="AK145" s="1511"/>
      <c r="AL145" s="1511"/>
      <c r="AM145" s="1511"/>
      <c r="AN145" s="1511"/>
      <c r="AO145" s="1511"/>
      <c r="AP145" s="1511"/>
      <c r="AQ145" s="1511"/>
      <c r="AR145" s="1511"/>
      <c r="AS145" s="1511"/>
      <c r="AT145" s="1511"/>
      <c r="AU145" s="1511"/>
      <c r="AV145" s="1511"/>
      <c r="AW145" s="1511"/>
      <c r="AX145" s="1511"/>
      <c r="AY145" s="1511"/>
      <c r="AZ145" s="1511"/>
      <c r="BA145" s="1511"/>
      <c r="BB145" s="1511"/>
      <c r="BC145" s="1511"/>
      <c r="BD145" s="1511"/>
      <c r="BE145" s="1511"/>
      <c r="BF145" s="1511"/>
      <c r="BG145" s="1511"/>
      <c r="BH145" s="1511"/>
      <c r="BI145" s="1511"/>
      <c r="BJ145" s="1511"/>
    </row>
    <row r="146" spans="1:62">
      <c r="A146" s="1511"/>
      <c r="B146" s="1532" t="s">
        <v>48</v>
      </c>
      <c r="C146" s="2" t="s">
        <v>49</v>
      </c>
      <c r="D146" s="1533"/>
      <c r="E146" s="1533"/>
      <c r="F146" s="1537"/>
      <c r="G146" s="1533"/>
      <c r="H146" s="1537"/>
      <c r="I146" s="1533"/>
      <c r="J146" s="1533"/>
      <c r="K146" s="1537"/>
      <c r="L146" s="1546"/>
      <c r="M146" s="1541"/>
      <c r="N146" s="1511"/>
      <c r="O146" s="1511"/>
      <c r="P146" s="1511"/>
      <c r="Q146" s="1511"/>
      <c r="R146" s="1511"/>
      <c r="S146" s="1511"/>
      <c r="T146" s="1511"/>
      <c r="U146" s="1511"/>
      <c r="V146" s="1511"/>
      <c r="W146" s="1511"/>
      <c r="X146" s="1511"/>
      <c r="Y146" s="1511"/>
      <c r="Z146" s="1511"/>
      <c r="AA146" s="1511"/>
      <c r="AB146" s="1511"/>
      <c r="AC146" s="1511"/>
      <c r="AD146" s="1511"/>
      <c r="AE146" s="1511"/>
      <c r="AF146" s="1511"/>
      <c r="AG146" s="1511"/>
      <c r="AH146" s="1511"/>
      <c r="AI146" s="1511"/>
      <c r="AJ146" s="1511"/>
      <c r="AK146" s="1511"/>
      <c r="AL146" s="1511"/>
      <c r="AM146" s="1511"/>
      <c r="AN146" s="1511"/>
      <c r="AO146" s="1511"/>
      <c r="AP146" s="1511"/>
      <c r="AQ146" s="1511"/>
      <c r="AR146" s="1511"/>
      <c r="AS146" s="1511"/>
      <c r="AT146" s="1511"/>
      <c r="AU146" s="1511"/>
      <c r="AV146" s="1511"/>
      <c r="AW146" s="1511"/>
      <c r="AX146" s="1511"/>
      <c r="AY146" s="1511"/>
      <c r="AZ146" s="1511"/>
      <c r="BA146" s="1511"/>
      <c r="BB146" s="1511"/>
      <c r="BC146" s="1511"/>
      <c r="BD146" s="1511"/>
      <c r="BE146" s="1511"/>
      <c r="BF146" s="1511"/>
      <c r="BG146" s="1511"/>
      <c r="BH146" s="1511"/>
      <c r="BI146" s="1511"/>
      <c r="BJ146" s="1511"/>
    </row>
    <row r="147" spans="1:62">
      <c r="A147" s="1511"/>
      <c r="B147" s="1532"/>
      <c r="C147" s="1533" t="s">
        <v>64</v>
      </c>
      <c r="D147" s="1533" t="s">
        <v>65</v>
      </c>
      <c r="E147" s="1533" t="s">
        <v>47</v>
      </c>
      <c r="F147" s="10">
        <f>0*1000</f>
        <v>0</v>
      </c>
      <c r="G147" s="1533" t="s">
        <v>67</v>
      </c>
      <c r="H147" s="1537">
        <v>138.774</v>
      </c>
      <c r="I147" s="1533" t="s">
        <v>82</v>
      </c>
      <c r="J147" s="1542">
        <f>(F147*H147)/1000</f>
        <v>0</v>
      </c>
      <c r="K147" s="10">
        <v>0</v>
      </c>
      <c r="L147" s="1608">
        <v>0</v>
      </c>
      <c r="M147" s="1768">
        <v>0</v>
      </c>
      <c r="N147" s="1511"/>
      <c r="O147" s="1511"/>
      <c r="P147" s="1511"/>
      <c r="Q147" s="1511"/>
      <c r="R147" s="1511"/>
      <c r="S147" s="1511"/>
      <c r="T147" s="1511"/>
      <c r="U147" s="1511"/>
      <c r="V147" s="1511"/>
      <c r="W147" s="1511"/>
      <c r="X147" s="1511"/>
      <c r="Y147" s="1511"/>
      <c r="Z147" s="1511"/>
      <c r="AA147" s="1511"/>
      <c r="AB147" s="1511"/>
      <c r="AC147" s="1511"/>
      <c r="AD147" s="1511"/>
      <c r="AE147" s="1511"/>
      <c r="AF147" s="1511"/>
      <c r="AG147" s="1511"/>
      <c r="AH147" s="1511"/>
      <c r="AI147" s="1511"/>
      <c r="AJ147" s="1511"/>
      <c r="AK147" s="1511"/>
      <c r="AL147" s="1511"/>
      <c r="AM147" s="1511"/>
      <c r="AN147" s="1511"/>
      <c r="AO147" s="1511"/>
      <c r="AP147" s="1511"/>
      <c r="AQ147" s="1511"/>
      <c r="AR147" s="1511"/>
      <c r="AS147" s="1511"/>
      <c r="AT147" s="1511"/>
      <c r="AU147" s="1511"/>
      <c r="AV147" s="1511"/>
      <c r="AW147" s="1511"/>
      <c r="AX147" s="1511"/>
      <c r="AY147" s="1511"/>
      <c r="AZ147" s="1511"/>
      <c r="BA147" s="1511"/>
      <c r="BB147" s="1511"/>
      <c r="BC147" s="1511"/>
      <c r="BD147" s="1511"/>
      <c r="BE147" s="1511"/>
      <c r="BF147" s="1511"/>
      <c r="BG147" s="1511"/>
      <c r="BH147" s="1511"/>
      <c r="BI147" s="1511"/>
      <c r="BJ147" s="1511"/>
    </row>
    <row r="148" spans="1:62">
      <c r="A148" s="1511"/>
      <c r="B148" s="1532"/>
      <c r="C148" s="1533"/>
      <c r="D148" s="1533"/>
      <c r="E148" s="1564"/>
      <c r="G148" s="1564"/>
      <c r="H148" s="1537"/>
      <c r="I148" s="1564"/>
      <c r="J148" s="1547"/>
      <c r="K148" s="1554"/>
      <c r="L148" s="1608"/>
      <c r="M148" s="1768"/>
      <c r="N148" s="1511"/>
      <c r="O148" s="1511"/>
      <c r="P148" s="1511"/>
      <c r="Q148" s="1511"/>
      <c r="R148" s="1511"/>
      <c r="S148" s="1511"/>
      <c r="T148" s="1511"/>
      <c r="U148" s="1511"/>
      <c r="V148" s="1511"/>
      <c r="W148" s="1511"/>
      <c r="X148" s="1511"/>
      <c r="Y148" s="1511"/>
      <c r="Z148" s="1511"/>
      <c r="AA148" s="1511"/>
      <c r="AB148" s="1511"/>
      <c r="AC148" s="1511"/>
      <c r="AD148" s="1511"/>
      <c r="AE148" s="1511"/>
      <c r="AF148" s="1511"/>
      <c r="AG148" s="1511"/>
      <c r="AH148" s="1511"/>
      <c r="AI148" s="1511"/>
      <c r="AJ148" s="1511"/>
      <c r="AK148" s="1511"/>
      <c r="AL148" s="1511"/>
      <c r="AM148" s="1511"/>
      <c r="AN148" s="1511"/>
      <c r="AO148" s="1511"/>
      <c r="AP148" s="1511"/>
      <c r="AQ148" s="1511"/>
      <c r="AR148" s="1511"/>
      <c r="AS148" s="1511"/>
      <c r="AT148" s="1511"/>
      <c r="AU148" s="1511"/>
      <c r="AV148" s="1511"/>
      <c r="AW148" s="1511"/>
      <c r="AX148" s="1511"/>
      <c r="AY148" s="1511"/>
      <c r="AZ148" s="1511"/>
      <c r="BA148" s="1511"/>
      <c r="BB148" s="1511"/>
      <c r="BC148" s="1511"/>
      <c r="BD148" s="1511"/>
      <c r="BE148" s="1511"/>
      <c r="BF148" s="1511"/>
      <c r="BG148" s="1511"/>
      <c r="BH148" s="1511"/>
      <c r="BI148" s="1511"/>
      <c r="BJ148" s="1511"/>
    </row>
    <row r="149" spans="1:62">
      <c r="A149" s="1511"/>
      <c r="B149" s="1532"/>
      <c r="C149" s="1533" t="s">
        <v>83</v>
      </c>
      <c r="D149" s="1533" t="s">
        <v>84</v>
      </c>
      <c r="E149" s="1533" t="s">
        <v>77</v>
      </c>
      <c r="F149" s="10">
        <f>0*1000000</f>
        <v>0</v>
      </c>
      <c r="G149" s="1533" t="s">
        <v>147</v>
      </c>
      <c r="H149" s="1537">
        <v>1020</v>
      </c>
      <c r="I149" s="1533" t="s">
        <v>82</v>
      </c>
      <c r="J149" s="1542">
        <f>(F149*H149)/1000000</f>
        <v>0</v>
      </c>
      <c r="K149" s="10">
        <v>0</v>
      </c>
      <c r="L149" s="1608">
        <v>0</v>
      </c>
      <c r="M149" s="1768">
        <v>0</v>
      </c>
      <c r="N149" s="1511"/>
      <c r="O149" s="1511"/>
      <c r="P149" s="1511"/>
      <c r="Q149" s="1511"/>
      <c r="R149" s="1511"/>
      <c r="S149" s="1511"/>
      <c r="T149" s="1511"/>
      <c r="U149" s="1511"/>
      <c r="V149" s="1511"/>
      <c r="W149" s="1511"/>
      <c r="X149" s="1511"/>
      <c r="Y149" s="1511"/>
      <c r="Z149" s="1511"/>
      <c r="AA149" s="1511"/>
      <c r="AB149" s="1511"/>
      <c r="AC149" s="1511"/>
      <c r="AD149" s="1511"/>
      <c r="AE149" s="1511"/>
      <c r="AF149" s="1511"/>
      <c r="AG149" s="1511"/>
      <c r="AH149" s="1511"/>
      <c r="AI149" s="1511"/>
      <c r="AJ149" s="1511"/>
      <c r="AK149" s="1511"/>
      <c r="AL149" s="1511"/>
      <c r="AM149" s="1511"/>
      <c r="AN149" s="1511"/>
      <c r="AO149" s="1511"/>
      <c r="AP149" s="1511"/>
      <c r="AQ149" s="1511"/>
      <c r="AR149" s="1511"/>
      <c r="AS149" s="1511"/>
      <c r="AT149" s="1511"/>
      <c r="AU149" s="1511"/>
      <c r="AV149" s="1511"/>
      <c r="AW149" s="1511"/>
      <c r="AX149" s="1511"/>
      <c r="AY149" s="1511"/>
      <c r="AZ149" s="1511"/>
      <c r="BA149" s="1511"/>
      <c r="BB149" s="1511"/>
      <c r="BC149" s="1511"/>
      <c r="BD149" s="1511"/>
      <c r="BE149" s="1511"/>
      <c r="BF149" s="1511"/>
      <c r="BG149" s="1511"/>
      <c r="BH149" s="1511"/>
      <c r="BI149" s="1511"/>
      <c r="BJ149" s="1511"/>
    </row>
    <row r="150" spans="1:62">
      <c r="A150" s="1511"/>
      <c r="B150" s="1532"/>
      <c r="C150" s="1533"/>
      <c r="D150" s="1533"/>
      <c r="E150" s="1564"/>
      <c r="F150" s="1540"/>
      <c r="G150" s="1564"/>
      <c r="H150" s="1537"/>
      <c r="I150" s="1564"/>
      <c r="J150" s="1547"/>
      <c r="K150" s="1554"/>
      <c r="L150" s="1608"/>
      <c r="M150" s="1768"/>
      <c r="N150" s="1511"/>
      <c r="O150" s="1511"/>
      <c r="P150" s="1511"/>
      <c r="Q150" s="1511"/>
      <c r="R150" s="1511"/>
      <c r="S150" s="1511"/>
      <c r="T150" s="1511"/>
      <c r="U150" s="1511"/>
      <c r="V150" s="1511"/>
      <c r="W150" s="1511"/>
      <c r="X150" s="1511"/>
      <c r="Y150" s="1511"/>
      <c r="Z150" s="1511"/>
      <c r="AA150" s="1511"/>
      <c r="AB150" s="1511"/>
      <c r="AC150" s="1511"/>
      <c r="AD150" s="1511"/>
      <c r="AE150" s="1511"/>
      <c r="AF150" s="1511"/>
      <c r="AG150" s="1511"/>
      <c r="AH150" s="1511"/>
      <c r="AI150" s="1511"/>
      <c r="AJ150" s="1511"/>
      <c r="AK150" s="1511"/>
      <c r="AL150" s="1511"/>
      <c r="AM150" s="1511"/>
      <c r="AN150" s="1511"/>
      <c r="AO150" s="1511"/>
      <c r="AP150" s="1511"/>
      <c r="AQ150" s="1511"/>
      <c r="AR150" s="1511"/>
      <c r="AS150" s="1511"/>
      <c r="AT150" s="1511"/>
      <c r="AU150" s="1511"/>
      <c r="AV150" s="1511"/>
      <c r="AW150" s="1511"/>
      <c r="AX150" s="1511"/>
      <c r="AY150" s="1511"/>
      <c r="AZ150" s="1511"/>
      <c r="BA150" s="1511"/>
      <c r="BB150" s="1511"/>
      <c r="BC150" s="1511"/>
      <c r="BD150" s="1511"/>
      <c r="BE150" s="1511"/>
      <c r="BF150" s="1511"/>
      <c r="BG150" s="1511"/>
      <c r="BH150" s="1511"/>
      <c r="BI150" s="1511"/>
      <c r="BJ150" s="1511"/>
    </row>
    <row r="151" spans="1:62">
      <c r="A151" s="1511"/>
      <c r="B151" s="1532"/>
      <c r="C151" s="1533" t="s">
        <v>50</v>
      </c>
      <c r="D151" s="1533" t="s">
        <v>51</v>
      </c>
      <c r="E151" s="1533" t="s">
        <v>47</v>
      </c>
      <c r="F151" s="1540">
        <f>33*1000</f>
        <v>33000</v>
      </c>
      <c r="G151" s="1533" t="s">
        <v>67</v>
      </c>
      <c r="H151" s="1537">
        <v>137</v>
      </c>
      <c r="I151" s="1564" t="s">
        <v>34</v>
      </c>
      <c r="J151" s="1542">
        <f>(F151*H151)/1000</f>
        <v>4521</v>
      </c>
      <c r="K151" s="1554">
        <v>364</v>
      </c>
      <c r="L151" s="1608">
        <v>7.4</v>
      </c>
      <c r="M151" s="1768">
        <v>0</v>
      </c>
      <c r="N151" s="1511"/>
      <c r="O151" s="1511"/>
      <c r="P151" s="1511"/>
      <c r="Q151" s="1511"/>
      <c r="R151" s="1511"/>
      <c r="S151" s="1511"/>
      <c r="T151" s="1511"/>
      <c r="U151" s="1511"/>
      <c r="V151" s="1511"/>
      <c r="W151" s="1511"/>
      <c r="X151" s="1511"/>
      <c r="Y151" s="1511"/>
      <c r="Z151" s="1511"/>
      <c r="AA151" s="1511"/>
      <c r="AB151" s="1511"/>
      <c r="AC151" s="1511"/>
      <c r="AD151" s="1511"/>
      <c r="AE151" s="1511"/>
      <c r="AF151" s="1511"/>
      <c r="AG151" s="1511"/>
      <c r="AH151" s="1511"/>
      <c r="AI151" s="1511"/>
      <c r="AJ151" s="1511"/>
      <c r="AK151" s="1511"/>
      <c r="AL151" s="1511"/>
      <c r="AM151" s="1511"/>
      <c r="AN151" s="1511"/>
      <c r="AO151" s="1511"/>
      <c r="AP151" s="1511"/>
      <c r="AQ151" s="1511"/>
      <c r="AR151" s="1511"/>
      <c r="AS151" s="1511"/>
      <c r="AT151" s="1511"/>
      <c r="AU151" s="1511"/>
      <c r="AV151" s="1511"/>
      <c r="AW151" s="1511"/>
      <c r="AX151" s="1511"/>
      <c r="AY151" s="1511"/>
      <c r="AZ151" s="1511"/>
      <c r="BA151" s="1511"/>
      <c r="BB151" s="1511"/>
      <c r="BC151" s="1511"/>
      <c r="BD151" s="1511"/>
      <c r="BE151" s="1511"/>
      <c r="BF151" s="1511"/>
      <c r="BG151" s="1511"/>
      <c r="BH151" s="1511"/>
      <c r="BI151" s="1511"/>
      <c r="BJ151" s="1511"/>
    </row>
    <row r="152" spans="1:62">
      <c r="A152" s="1511"/>
      <c r="B152" s="1532"/>
      <c r="C152" s="1533"/>
      <c r="D152" s="1533"/>
      <c r="E152" s="1564"/>
      <c r="F152" s="1540"/>
      <c r="G152" s="1564"/>
      <c r="H152" s="1537"/>
      <c r="I152" s="1564"/>
      <c r="J152" s="1547"/>
      <c r="K152" s="1554"/>
      <c r="L152" s="1608"/>
      <c r="M152" s="1768"/>
      <c r="N152" s="1511"/>
      <c r="O152" s="1511"/>
      <c r="P152" s="1511"/>
      <c r="Q152" s="1511"/>
      <c r="R152" s="1511"/>
      <c r="S152" s="1511"/>
      <c r="T152" s="1511"/>
      <c r="U152" s="1511"/>
      <c r="V152" s="1511"/>
      <c r="W152" s="1511"/>
      <c r="X152" s="1511"/>
      <c r="Y152" s="1511"/>
      <c r="Z152" s="1511"/>
      <c r="AA152" s="1511"/>
      <c r="AB152" s="1511"/>
      <c r="AC152" s="1511"/>
      <c r="AD152" s="1511"/>
      <c r="AE152" s="1511"/>
      <c r="AF152" s="1511"/>
      <c r="AG152" s="1511"/>
      <c r="AH152" s="1511"/>
      <c r="AI152" s="1511"/>
      <c r="AJ152" s="1511"/>
      <c r="AK152" s="1511"/>
      <c r="AL152" s="1511"/>
      <c r="AM152" s="1511"/>
      <c r="AN152" s="1511"/>
      <c r="AO152" s="1511"/>
      <c r="AP152" s="1511"/>
      <c r="AQ152" s="1511"/>
      <c r="AR152" s="1511"/>
      <c r="AS152" s="1511"/>
      <c r="AT152" s="1511"/>
      <c r="AU152" s="1511"/>
      <c r="AV152" s="1511"/>
      <c r="AW152" s="1511"/>
      <c r="AX152" s="1511"/>
      <c r="AY152" s="1511"/>
      <c r="AZ152" s="1511"/>
      <c r="BA152" s="1511"/>
      <c r="BB152" s="1511"/>
      <c r="BC152" s="1511"/>
      <c r="BD152" s="1511"/>
      <c r="BE152" s="1511"/>
      <c r="BF152" s="1511"/>
      <c r="BG152" s="1511"/>
      <c r="BH152" s="1511"/>
      <c r="BI152" s="1511"/>
      <c r="BJ152" s="1511"/>
    </row>
    <row r="153" spans="1:62">
      <c r="A153" s="1511"/>
      <c r="B153" s="1532"/>
      <c r="C153" s="1533" t="s">
        <v>52</v>
      </c>
      <c r="D153" s="1533" t="s">
        <v>53</v>
      </c>
      <c r="E153" s="1533" t="s">
        <v>47</v>
      </c>
      <c r="F153" s="1540">
        <f>27*1000</f>
        <v>27000</v>
      </c>
      <c r="G153" s="1533" t="s">
        <v>67</v>
      </c>
      <c r="H153" s="1537">
        <v>137</v>
      </c>
      <c r="I153" s="1564" t="s">
        <v>34</v>
      </c>
      <c r="J153" s="1542">
        <f>(F153*H153)/1000</f>
        <v>3699</v>
      </c>
      <c r="K153" s="1554">
        <v>297</v>
      </c>
      <c r="L153" s="1608">
        <v>4.8</v>
      </c>
      <c r="M153" s="1768">
        <v>0</v>
      </c>
      <c r="N153" s="1511"/>
      <c r="O153" s="1511"/>
      <c r="P153" s="1511"/>
      <c r="Q153" s="1511"/>
      <c r="R153" s="1511"/>
      <c r="S153" s="1511"/>
      <c r="T153" s="1511"/>
      <c r="U153" s="1511"/>
      <c r="V153" s="1511"/>
      <c r="W153" s="1511"/>
      <c r="X153" s="1511"/>
      <c r="Y153" s="1511"/>
      <c r="Z153" s="1511"/>
      <c r="AA153" s="1511"/>
      <c r="AB153" s="1511"/>
      <c r="AC153" s="1511"/>
      <c r="AD153" s="1511"/>
      <c r="AE153" s="1511"/>
      <c r="AF153" s="1511"/>
      <c r="AG153" s="1511"/>
      <c r="AH153" s="1511"/>
      <c r="AI153" s="1511"/>
      <c r="AJ153" s="1511"/>
      <c r="AK153" s="1511"/>
      <c r="AL153" s="1511"/>
      <c r="AM153" s="1511"/>
      <c r="AN153" s="1511"/>
      <c r="AO153" s="1511"/>
      <c r="AP153" s="1511"/>
      <c r="AQ153" s="1511"/>
      <c r="AR153" s="1511"/>
      <c r="AS153" s="1511"/>
      <c r="AT153" s="1511"/>
      <c r="AU153" s="1511"/>
      <c r="AV153" s="1511"/>
      <c r="AW153" s="1511"/>
      <c r="AX153" s="1511"/>
      <c r="AY153" s="1511"/>
      <c r="AZ153" s="1511"/>
      <c r="BA153" s="1511"/>
      <c r="BB153" s="1511"/>
      <c r="BC153" s="1511"/>
      <c r="BD153" s="1511"/>
      <c r="BE153" s="1511"/>
      <c r="BF153" s="1511"/>
      <c r="BG153" s="1511"/>
      <c r="BH153" s="1511"/>
      <c r="BI153" s="1511"/>
      <c r="BJ153" s="1511"/>
    </row>
    <row r="154" spans="1:62" ht="13.5" thickBot="1">
      <c r="A154" s="1511"/>
      <c r="B154" s="1532"/>
      <c r="C154" s="1533"/>
      <c r="D154" s="1533"/>
      <c r="E154" s="1533"/>
      <c r="F154" s="1540"/>
      <c r="G154" s="1533"/>
      <c r="H154" s="1537"/>
      <c r="I154" s="1564"/>
      <c r="J154" s="1542"/>
      <c r="K154" s="1533"/>
      <c r="L154" s="1533"/>
      <c r="M154" s="1541"/>
      <c r="N154" s="1511"/>
      <c r="O154" s="1511"/>
      <c r="P154" s="1511"/>
      <c r="Q154" s="1511"/>
      <c r="R154" s="1511"/>
      <c r="S154" s="1511"/>
      <c r="T154" s="1511"/>
      <c r="U154" s="1511"/>
      <c r="V154" s="1511"/>
      <c r="W154" s="1511"/>
      <c r="X154" s="1511"/>
      <c r="Y154" s="1511"/>
      <c r="Z154" s="1511"/>
      <c r="AA154" s="1511"/>
      <c r="AB154" s="1511"/>
      <c r="AC154" s="1511"/>
      <c r="AD154" s="1511"/>
      <c r="AE154" s="1511"/>
      <c r="AF154" s="1511"/>
      <c r="AG154" s="1511"/>
      <c r="AH154" s="1511"/>
      <c r="AI154" s="1511"/>
      <c r="AJ154" s="1511"/>
      <c r="AK154" s="1511"/>
      <c r="AL154" s="1511"/>
      <c r="AM154" s="1511"/>
      <c r="AN154" s="1511"/>
      <c r="AO154" s="1511"/>
      <c r="AP154" s="1511"/>
      <c r="AQ154" s="1511"/>
      <c r="AR154" s="1511"/>
      <c r="AS154" s="1511"/>
      <c r="AT154" s="1511"/>
      <c r="AU154" s="1511"/>
      <c r="AV154" s="1511"/>
      <c r="AW154" s="1511"/>
      <c r="AX154" s="1511"/>
      <c r="AY154" s="1511"/>
      <c r="AZ154" s="1511"/>
      <c r="BA154" s="1511"/>
      <c r="BB154" s="1511"/>
      <c r="BC154" s="1511"/>
      <c r="BD154" s="1511"/>
      <c r="BE154" s="1511"/>
      <c r="BF154" s="1511"/>
      <c r="BG154" s="1511"/>
      <c r="BH154" s="1511"/>
      <c r="BI154" s="1511"/>
      <c r="BJ154" s="1511"/>
    </row>
    <row r="155" spans="1:62">
      <c r="A155" s="1511"/>
      <c r="B155" s="1576"/>
      <c r="C155" s="1530"/>
      <c r="D155" s="1530"/>
      <c r="E155" s="1530"/>
      <c r="F155" s="1577"/>
      <c r="G155" s="1530"/>
      <c r="H155" s="1508"/>
      <c r="I155" s="1590"/>
      <c r="J155" s="1585"/>
      <c r="K155" s="1530"/>
      <c r="L155" s="1530"/>
      <c r="M155" s="1578"/>
      <c r="N155" s="1511"/>
      <c r="O155" s="1511"/>
      <c r="P155" s="1511"/>
      <c r="Q155" s="1511"/>
      <c r="R155" s="1511"/>
      <c r="S155" s="1511"/>
      <c r="T155" s="1511"/>
      <c r="U155" s="1511"/>
      <c r="V155" s="1511"/>
      <c r="W155" s="1511"/>
      <c r="X155" s="1511"/>
      <c r="Y155" s="1511"/>
      <c r="Z155" s="1511"/>
      <c r="AA155" s="1511"/>
      <c r="AB155" s="1511"/>
      <c r="AC155" s="1511"/>
      <c r="AD155" s="1511"/>
      <c r="AE155" s="1511"/>
      <c r="AF155" s="1511"/>
      <c r="AG155" s="1511"/>
      <c r="AH155" s="1511"/>
      <c r="AI155" s="1511"/>
      <c r="AJ155" s="1511"/>
      <c r="AK155" s="1511"/>
      <c r="AL155" s="1511"/>
      <c r="AM155" s="1511"/>
      <c r="AN155" s="1511"/>
      <c r="AO155" s="1511"/>
      <c r="AP155" s="1511"/>
      <c r="AQ155" s="1511"/>
      <c r="AR155" s="1511"/>
      <c r="AS155" s="1511"/>
      <c r="AT155" s="1511"/>
      <c r="AU155" s="1511"/>
      <c r="AV155" s="1511"/>
      <c r="AW155" s="1511"/>
      <c r="AX155" s="1511"/>
      <c r="AY155" s="1511"/>
      <c r="AZ155" s="1511"/>
      <c r="BA155" s="1511"/>
      <c r="BB155" s="1511"/>
      <c r="BC155" s="1511"/>
      <c r="BD155" s="1511"/>
      <c r="BE155" s="1511"/>
      <c r="BF155" s="1511"/>
      <c r="BG155" s="1511"/>
      <c r="BH155" s="1511"/>
      <c r="BI155" s="1511"/>
      <c r="BJ155" s="1511"/>
    </row>
    <row r="156" spans="1:62">
      <c r="A156" s="1511"/>
      <c r="B156" s="1532"/>
      <c r="C156" s="1533"/>
      <c r="D156" s="1533"/>
      <c r="E156" s="1564"/>
      <c r="F156" s="1537"/>
      <c r="G156" s="1564"/>
      <c r="H156" s="1537"/>
      <c r="I156" s="1533"/>
      <c r="J156" s="1533"/>
      <c r="K156" s="1533"/>
      <c r="L156" s="1533"/>
      <c r="M156" s="1541"/>
      <c r="N156" s="1511"/>
      <c r="O156" s="1511"/>
      <c r="P156" s="1511"/>
      <c r="Q156" s="1511"/>
      <c r="R156" s="1511"/>
      <c r="S156" s="1511"/>
      <c r="T156" s="1511"/>
      <c r="U156" s="1511"/>
      <c r="V156" s="1511"/>
      <c r="W156" s="1511"/>
      <c r="X156" s="1511"/>
      <c r="Y156" s="1511"/>
      <c r="Z156" s="1511"/>
      <c r="AA156" s="1511"/>
      <c r="AB156" s="1511"/>
      <c r="AC156" s="1511"/>
      <c r="AD156" s="1511"/>
      <c r="AE156" s="1511"/>
      <c r="AF156" s="1511"/>
      <c r="AG156" s="1511"/>
      <c r="AH156" s="1511"/>
      <c r="AI156" s="1511"/>
      <c r="AJ156" s="1511"/>
      <c r="AK156" s="1511"/>
      <c r="AL156" s="1511"/>
      <c r="AM156" s="1511"/>
      <c r="AN156" s="1511"/>
      <c r="AO156" s="1511"/>
      <c r="AP156" s="1511"/>
      <c r="AQ156" s="1511"/>
      <c r="AR156" s="1511"/>
      <c r="AS156" s="1511"/>
      <c r="AT156" s="1511"/>
      <c r="AU156" s="1511"/>
      <c r="AV156" s="1511"/>
      <c r="AW156" s="1511"/>
      <c r="AX156" s="1511"/>
      <c r="AY156" s="1511"/>
      <c r="AZ156" s="1511"/>
      <c r="BA156" s="1511"/>
      <c r="BB156" s="1511"/>
      <c r="BC156" s="1511"/>
      <c r="BD156" s="1511"/>
      <c r="BE156" s="1511"/>
      <c r="BF156" s="1511"/>
      <c r="BG156" s="1511"/>
      <c r="BH156" s="1511"/>
      <c r="BI156" s="1511"/>
      <c r="BJ156" s="1511"/>
    </row>
    <row r="157" spans="1:62">
      <c r="A157" s="1511"/>
      <c r="B157" s="1532" t="s">
        <v>54</v>
      </c>
      <c r="C157" s="2" t="s">
        <v>55</v>
      </c>
      <c r="D157" s="1533"/>
      <c r="E157" s="1533"/>
      <c r="F157" s="1533"/>
      <c r="G157" s="1533"/>
      <c r="H157" s="1533"/>
      <c r="I157" s="1533"/>
      <c r="J157" s="1533"/>
      <c r="K157" s="1533"/>
      <c r="L157" s="1533"/>
      <c r="M157" s="1541"/>
      <c r="N157" s="1511"/>
      <c r="O157" s="1511"/>
      <c r="P157" s="1511"/>
      <c r="Q157" s="1511"/>
      <c r="R157" s="1511"/>
      <c r="S157" s="1511"/>
      <c r="T157" s="1511"/>
      <c r="U157" s="1511"/>
      <c r="V157" s="1511"/>
      <c r="W157" s="1511"/>
      <c r="X157" s="1511"/>
      <c r="Y157" s="1511"/>
      <c r="Z157" s="1511"/>
      <c r="AA157" s="1511"/>
      <c r="AB157" s="1511"/>
      <c r="AC157" s="1511"/>
      <c r="AD157" s="1511"/>
      <c r="AE157" s="1511"/>
      <c r="AF157" s="1511"/>
      <c r="AG157" s="1511"/>
      <c r="AH157" s="1511"/>
      <c r="AI157" s="1511"/>
      <c r="AJ157" s="1511"/>
      <c r="AK157" s="1511"/>
      <c r="AL157" s="1511"/>
      <c r="AM157" s="1511"/>
      <c r="AN157" s="1511"/>
      <c r="AO157" s="1511"/>
      <c r="AP157" s="1511"/>
      <c r="AQ157" s="1511"/>
      <c r="AR157" s="1511"/>
      <c r="AS157" s="1511"/>
      <c r="AT157" s="1511"/>
      <c r="AU157" s="1511"/>
      <c r="AV157" s="1511"/>
      <c r="AW157" s="1511"/>
      <c r="AX157" s="1511"/>
      <c r="AY157" s="1511"/>
      <c r="AZ157" s="1511"/>
      <c r="BA157" s="1511"/>
      <c r="BB157" s="1511"/>
      <c r="BC157" s="1511"/>
      <c r="BD157" s="1511"/>
      <c r="BE157" s="1511"/>
      <c r="BF157" s="1511"/>
      <c r="BG157" s="1511"/>
      <c r="BH157" s="1511"/>
      <c r="BI157" s="1511"/>
      <c r="BJ157" s="1511"/>
    </row>
    <row r="158" spans="1:62">
      <c r="A158" s="1511"/>
      <c r="B158" s="1532"/>
      <c r="C158" s="1533" t="s">
        <v>286</v>
      </c>
      <c r="D158" s="1533" t="s">
        <v>56</v>
      </c>
      <c r="E158" s="1533" t="s">
        <v>66</v>
      </c>
      <c r="F158" s="1565">
        <v>249656</v>
      </c>
      <c r="G158" s="1533" t="s">
        <v>67</v>
      </c>
      <c r="H158" s="1565">
        <v>152802</v>
      </c>
      <c r="I158" s="1533" t="s">
        <v>57</v>
      </c>
      <c r="J158" s="1535">
        <f>F158*H158/1000000</f>
        <v>38147.936112000003</v>
      </c>
      <c r="K158" s="1535">
        <f>J158/J160*K160</f>
        <v>2790.5670959514705</v>
      </c>
      <c r="L158" s="1591">
        <v>0.11</v>
      </c>
      <c r="M158" s="1607">
        <v>0</v>
      </c>
      <c r="N158" s="1511"/>
      <c r="O158" s="1511"/>
      <c r="P158" s="1511"/>
      <c r="Q158" s="1511"/>
      <c r="R158" s="1511"/>
      <c r="S158" s="1511"/>
      <c r="T158" s="1511"/>
      <c r="U158" s="1511"/>
      <c r="V158" s="1511"/>
      <c r="W158" s="1511"/>
      <c r="X158" s="1511"/>
      <c r="Y158" s="1511"/>
      <c r="Z158" s="1511"/>
      <c r="AA158" s="1511"/>
      <c r="AB158" s="1511"/>
      <c r="AC158" s="1511"/>
      <c r="AD158" s="1511"/>
      <c r="AE158" s="1511"/>
      <c r="AF158" s="1511"/>
      <c r="AG158" s="1511"/>
      <c r="AH158" s="1511"/>
      <c r="AI158" s="1511"/>
      <c r="AJ158" s="1511"/>
      <c r="AK158" s="1511"/>
      <c r="AL158" s="1511"/>
      <c r="AM158" s="1511"/>
      <c r="AN158" s="1511"/>
      <c r="AO158" s="1511"/>
      <c r="AP158" s="1511"/>
      <c r="AQ158" s="1511"/>
      <c r="AR158" s="1511"/>
      <c r="AS158" s="1511"/>
      <c r="AT158" s="1511"/>
      <c r="AU158" s="1511"/>
      <c r="AV158" s="1511"/>
      <c r="AW158" s="1511"/>
      <c r="AX158" s="1511"/>
      <c r="AY158" s="1511"/>
      <c r="AZ158" s="1511"/>
      <c r="BA158" s="1511"/>
      <c r="BB158" s="1511"/>
      <c r="BC158" s="1511"/>
      <c r="BD158" s="1511"/>
      <c r="BE158" s="1511"/>
      <c r="BF158" s="1511"/>
      <c r="BG158" s="1511"/>
      <c r="BH158" s="1511"/>
      <c r="BI158" s="1511"/>
      <c r="BJ158" s="1511"/>
    </row>
    <row r="159" spans="1:62">
      <c r="A159" s="1511"/>
      <c r="B159" s="1532"/>
      <c r="C159" s="1533"/>
      <c r="D159" s="1533"/>
      <c r="E159" s="1533" t="s">
        <v>47</v>
      </c>
      <c r="F159" s="1565">
        <v>33212</v>
      </c>
      <c r="G159" s="1533" t="s">
        <v>67</v>
      </c>
      <c r="H159" s="1565">
        <v>138890</v>
      </c>
      <c r="I159" s="1533" t="s">
        <v>57</v>
      </c>
      <c r="J159" s="1535">
        <f>F159*H159/1000000</f>
        <v>4612.8146800000004</v>
      </c>
      <c r="K159" s="1566">
        <f>J159/J160*K160</f>
        <v>337.43290404852905</v>
      </c>
      <c r="L159" s="1591">
        <v>1E-3</v>
      </c>
      <c r="M159" s="1607">
        <v>0</v>
      </c>
      <c r="N159" s="1511"/>
      <c r="O159" s="1511"/>
      <c r="P159" s="1511"/>
      <c r="Q159" s="1511"/>
      <c r="R159" s="1511"/>
      <c r="S159" s="1511"/>
      <c r="T159" s="1511"/>
      <c r="U159" s="1511"/>
      <c r="V159" s="1511"/>
      <c r="W159" s="1511"/>
      <c r="X159" s="1511"/>
      <c r="Y159" s="1511"/>
      <c r="Z159" s="1511"/>
      <c r="AA159" s="1511"/>
      <c r="AB159" s="1511"/>
      <c r="AC159" s="1511"/>
      <c r="AD159" s="1511"/>
      <c r="AE159" s="1511"/>
      <c r="AF159" s="1511"/>
      <c r="AG159" s="1511"/>
      <c r="AH159" s="1511"/>
      <c r="AI159" s="1511"/>
      <c r="AJ159" s="1511"/>
      <c r="AK159" s="1511"/>
      <c r="AL159" s="1511"/>
      <c r="AM159" s="1511"/>
      <c r="AN159" s="1511"/>
      <c r="AO159" s="1511"/>
      <c r="AP159" s="1511"/>
      <c r="AQ159" s="1511"/>
      <c r="AR159" s="1511"/>
      <c r="AS159" s="1511"/>
      <c r="AT159" s="1511"/>
      <c r="AU159" s="1511"/>
      <c r="AV159" s="1511"/>
      <c r="AW159" s="1511"/>
      <c r="AX159" s="1511"/>
      <c r="AY159" s="1511"/>
      <c r="AZ159" s="1511"/>
      <c r="BA159" s="1511"/>
      <c r="BB159" s="1511"/>
      <c r="BC159" s="1511"/>
      <c r="BD159" s="1511"/>
      <c r="BE159" s="1511"/>
      <c r="BF159" s="1511"/>
      <c r="BG159" s="1511"/>
      <c r="BH159" s="1511"/>
      <c r="BI159" s="1511"/>
      <c r="BJ159" s="1511"/>
    </row>
    <row r="160" spans="1:62">
      <c r="A160" s="1511"/>
      <c r="B160" s="1532"/>
      <c r="C160" s="1533"/>
      <c r="D160" s="1533"/>
      <c r="E160" s="1533"/>
      <c r="F160" s="1533"/>
      <c r="G160" s="169"/>
      <c r="H160" s="169"/>
      <c r="I160" s="169"/>
      <c r="J160" s="1545">
        <f>SUM(J158:J159)</f>
        <v>42760.750792000006</v>
      </c>
      <c r="K160" s="1567">
        <v>3128</v>
      </c>
      <c r="L160" s="1608">
        <f>SUM(L158:L159)</f>
        <v>0.111</v>
      </c>
      <c r="M160" s="1762">
        <f>SUM(M158:M159)</f>
        <v>0</v>
      </c>
      <c r="N160" s="1511"/>
      <c r="O160" s="1511"/>
      <c r="P160" s="1511"/>
      <c r="Q160" s="1511"/>
      <c r="R160" s="1511"/>
      <c r="S160" s="1511"/>
      <c r="T160" s="1511"/>
      <c r="U160" s="1511"/>
      <c r="V160" s="1511"/>
      <c r="W160" s="1511"/>
      <c r="X160" s="1511"/>
      <c r="Y160" s="1511"/>
      <c r="Z160" s="1511"/>
      <c r="AA160" s="1511"/>
      <c r="AB160" s="1511"/>
      <c r="AC160" s="1511"/>
      <c r="AD160" s="1511"/>
      <c r="AE160" s="1511"/>
      <c r="AF160" s="1511"/>
      <c r="AG160" s="1511"/>
      <c r="AH160" s="1511"/>
      <c r="AI160" s="1511"/>
      <c r="AJ160" s="1511"/>
      <c r="AK160" s="1511"/>
      <c r="AL160" s="1511"/>
      <c r="AM160" s="1511"/>
      <c r="AN160" s="1511"/>
      <c r="AO160" s="1511"/>
      <c r="AP160" s="1511"/>
      <c r="AQ160" s="1511"/>
      <c r="AR160" s="1511"/>
      <c r="AS160" s="1511"/>
      <c r="AT160" s="1511"/>
      <c r="AU160" s="1511"/>
      <c r="AV160" s="1511"/>
      <c r="AW160" s="1511"/>
      <c r="AX160" s="1511"/>
      <c r="AY160" s="1511"/>
      <c r="AZ160" s="1511"/>
      <c r="BA160" s="1511"/>
      <c r="BB160" s="1511"/>
      <c r="BC160" s="1511"/>
      <c r="BD160" s="1511"/>
      <c r="BE160" s="1511"/>
      <c r="BF160" s="1511"/>
      <c r="BG160" s="1511"/>
      <c r="BH160" s="1511"/>
      <c r="BI160" s="1511"/>
      <c r="BJ160" s="1511"/>
    </row>
    <row r="161" spans="1:62">
      <c r="A161" s="1511"/>
      <c r="B161" s="1532"/>
      <c r="C161" s="1533"/>
      <c r="D161" s="1533"/>
      <c r="E161" s="1533"/>
      <c r="F161" s="1533"/>
      <c r="G161" s="1533"/>
      <c r="H161" s="1533"/>
      <c r="I161" s="1533"/>
      <c r="J161" s="1533"/>
      <c r="K161" s="1533"/>
      <c r="L161" s="1533"/>
      <c r="M161" s="1607"/>
      <c r="N161" s="1511"/>
      <c r="O161" s="1511"/>
      <c r="P161" s="1511"/>
      <c r="Q161" s="1511"/>
      <c r="R161" s="1511"/>
      <c r="S161" s="1511"/>
      <c r="T161" s="1511"/>
      <c r="U161" s="1511"/>
      <c r="V161" s="1511"/>
      <c r="W161" s="1511"/>
      <c r="X161" s="1511"/>
      <c r="Y161" s="1511"/>
      <c r="Z161" s="1511"/>
      <c r="AA161" s="1511"/>
      <c r="AB161" s="1511"/>
      <c r="AC161" s="1511"/>
      <c r="AD161" s="1511"/>
      <c r="AE161" s="1511"/>
      <c r="AF161" s="1511"/>
      <c r="AG161" s="1511"/>
      <c r="AH161" s="1511"/>
      <c r="AI161" s="1511"/>
      <c r="AJ161" s="1511"/>
      <c r="AK161" s="1511"/>
      <c r="AL161" s="1511"/>
      <c r="AM161" s="1511"/>
      <c r="AN161" s="1511"/>
      <c r="AO161" s="1511"/>
      <c r="AP161" s="1511"/>
      <c r="AQ161" s="1511"/>
      <c r="AR161" s="1511"/>
      <c r="AS161" s="1511"/>
      <c r="AT161" s="1511"/>
      <c r="AU161" s="1511"/>
      <c r="AV161" s="1511"/>
      <c r="AW161" s="1511"/>
      <c r="AX161" s="1511"/>
      <c r="AY161" s="1511"/>
      <c r="AZ161" s="1511"/>
      <c r="BA161" s="1511"/>
      <c r="BB161" s="1511"/>
      <c r="BC161" s="1511"/>
      <c r="BD161" s="1511"/>
      <c r="BE161" s="1511"/>
      <c r="BF161" s="1511"/>
      <c r="BG161" s="1511"/>
      <c r="BH161" s="1511"/>
      <c r="BI161" s="1511"/>
      <c r="BJ161" s="1511"/>
    </row>
    <row r="162" spans="1:62">
      <c r="A162" s="1511"/>
      <c r="B162" s="1532"/>
      <c r="C162" s="1533" t="s">
        <v>287</v>
      </c>
      <c r="D162" s="1533" t="s">
        <v>755</v>
      </c>
      <c r="E162" s="1533" t="s">
        <v>47</v>
      </c>
      <c r="F162" s="1565">
        <v>12118</v>
      </c>
      <c r="G162" s="1533" t="s">
        <v>67</v>
      </c>
      <c r="H162" s="1565">
        <v>138890</v>
      </c>
      <c r="I162" s="1533" t="s">
        <v>57</v>
      </c>
      <c r="J162" s="1543">
        <f>F162*H162/1000000</f>
        <v>1683.0690199999999</v>
      </c>
      <c r="K162" s="1568">
        <v>137.21</v>
      </c>
      <c r="L162" s="1568">
        <v>6.0000000000000001E-3</v>
      </c>
      <c r="M162" s="1762">
        <v>1E-3</v>
      </c>
      <c r="N162" s="1511"/>
      <c r="O162" s="1511"/>
      <c r="P162" s="1511"/>
      <c r="Q162" s="1511"/>
      <c r="R162" s="1511"/>
      <c r="S162" s="1511"/>
      <c r="T162" s="1511"/>
      <c r="U162" s="1511"/>
      <c r="V162" s="1511"/>
      <c r="W162" s="1511"/>
      <c r="X162" s="1511"/>
      <c r="Y162" s="1511"/>
      <c r="Z162" s="1511"/>
      <c r="AA162" s="1511"/>
      <c r="AB162" s="1511"/>
      <c r="AC162" s="1511"/>
      <c r="AD162" s="1511"/>
      <c r="AE162" s="1511"/>
      <c r="AF162" s="1511"/>
      <c r="AG162" s="1511"/>
      <c r="AH162" s="1511"/>
      <c r="AI162" s="1511"/>
      <c r="AJ162" s="1511"/>
      <c r="AK162" s="1511"/>
      <c r="AL162" s="1511"/>
      <c r="AM162" s="1511"/>
      <c r="AN162" s="1511"/>
      <c r="AO162" s="1511"/>
      <c r="AP162" s="1511"/>
      <c r="AQ162" s="1511"/>
      <c r="AR162" s="1511"/>
      <c r="AS162" s="1511"/>
      <c r="AT162" s="1511"/>
      <c r="AU162" s="1511"/>
      <c r="AV162" s="1511"/>
      <c r="AW162" s="1511"/>
      <c r="AX162" s="1511"/>
      <c r="AY162" s="1511"/>
      <c r="AZ162" s="1511"/>
      <c r="BA162" s="1511"/>
      <c r="BB162" s="1511"/>
      <c r="BC162" s="1511"/>
      <c r="BD162" s="1511"/>
      <c r="BE162" s="1511"/>
      <c r="BF162" s="1511"/>
      <c r="BG162" s="1511"/>
      <c r="BH162" s="1511"/>
      <c r="BI162" s="1511"/>
      <c r="BJ162" s="1511"/>
    </row>
    <row r="163" spans="1:62">
      <c r="A163" s="1511"/>
      <c r="B163" s="1532"/>
      <c r="C163" s="1533"/>
      <c r="D163" s="1533"/>
      <c r="E163" s="1533"/>
      <c r="F163" s="1533"/>
      <c r="G163" s="1533"/>
      <c r="H163" s="1533"/>
      <c r="I163" s="1533"/>
      <c r="J163" s="1569"/>
      <c r="K163" s="1533"/>
      <c r="L163" s="1568"/>
      <c r="M163" s="1607"/>
      <c r="N163" s="1511"/>
      <c r="O163" s="1511"/>
      <c r="P163" s="1511"/>
      <c r="Q163" s="1511"/>
      <c r="R163" s="1511"/>
      <c r="S163" s="1511"/>
      <c r="T163" s="1511"/>
      <c r="U163" s="1511"/>
      <c r="V163" s="1511"/>
      <c r="W163" s="1511"/>
      <c r="X163" s="1511"/>
      <c r="Y163" s="1511"/>
      <c r="Z163" s="1511"/>
      <c r="AA163" s="1511"/>
      <c r="AB163" s="1511"/>
      <c r="AC163" s="1511"/>
      <c r="AD163" s="1511"/>
      <c r="AE163" s="1511"/>
      <c r="AF163" s="1511"/>
      <c r="AG163" s="1511"/>
      <c r="AH163" s="1511"/>
      <c r="AI163" s="1511"/>
      <c r="AJ163" s="1511"/>
      <c r="AK163" s="1511"/>
      <c r="AL163" s="1511"/>
      <c r="AM163" s="1511"/>
      <c r="AN163" s="1511"/>
      <c r="AO163" s="1511"/>
      <c r="AP163" s="1511"/>
      <c r="AQ163" s="1511"/>
      <c r="AR163" s="1511"/>
      <c r="AS163" s="1511"/>
      <c r="AT163" s="1511"/>
      <c r="AU163" s="1511"/>
      <c r="AV163" s="1511"/>
      <c r="AW163" s="1511"/>
      <c r="AX163" s="1511"/>
      <c r="AY163" s="1511"/>
      <c r="AZ163" s="1511"/>
      <c r="BA163" s="1511"/>
      <c r="BB163" s="1511"/>
      <c r="BC163" s="1511"/>
      <c r="BD163" s="1511"/>
      <c r="BE163" s="1511"/>
      <c r="BF163" s="1511"/>
      <c r="BG163" s="1511"/>
      <c r="BH163" s="1511"/>
      <c r="BI163" s="1511"/>
      <c r="BJ163" s="1511"/>
    </row>
    <row r="164" spans="1:62">
      <c r="A164" s="1511"/>
      <c r="B164" s="1532"/>
      <c r="C164" s="1533" t="s">
        <v>288</v>
      </c>
      <c r="D164" s="1533" t="s">
        <v>756</v>
      </c>
      <c r="E164" s="1533" t="s">
        <v>47</v>
      </c>
      <c r="F164" s="1565">
        <v>19739</v>
      </c>
      <c r="G164" s="1533" t="s">
        <v>67</v>
      </c>
      <c r="H164" s="1565">
        <v>138890</v>
      </c>
      <c r="I164" s="1533" t="s">
        <v>57</v>
      </c>
      <c r="J164" s="1543">
        <f>F164*H164/1000000</f>
        <v>2741.5497099999998</v>
      </c>
      <c r="K164" s="1554">
        <v>223.51</v>
      </c>
      <c r="L164" s="1568">
        <v>8.9999999999999993E-3</v>
      </c>
      <c r="M164" s="1762">
        <v>2E-3</v>
      </c>
      <c r="N164" s="1511"/>
      <c r="O164" s="1511"/>
      <c r="P164" s="1511"/>
      <c r="Q164" s="1511"/>
      <c r="R164" s="1511"/>
      <c r="S164" s="1511"/>
      <c r="T164" s="1511"/>
      <c r="U164" s="1511"/>
      <c r="V164" s="1511"/>
      <c r="W164" s="1511"/>
      <c r="X164" s="1511"/>
      <c r="Y164" s="1511"/>
      <c r="Z164" s="1511"/>
      <c r="AA164" s="1511"/>
      <c r="AB164" s="1511"/>
      <c r="AC164" s="1511"/>
      <c r="AD164" s="1511"/>
      <c r="AE164" s="1511"/>
      <c r="AF164" s="1511"/>
      <c r="AG164" s="1511"/>
      <c r="AH164" s="1511"/>
      <c r="AI164" s="1511"/>
      <c r="AJ164" s="1511"/>
      <c r="AK164" s="1511"/>
      <c r="AL164" s="1511"/>
      <c r="AM164" s="1511"/>
      <c r="AN164" s="1511"/>
      <c r="AO164" s="1511"/>
      <c r="AP164" s="1511"/>
      <c r="AQ164" s="1511"/>
      <c r="AR164" s="1511"/>
      <c r="AS164" s="1511"/>
      <c r="AT164" s="1511"/>
      <c r="AU164" s="1511"/>
      <c r="AV164" s="1511"/>
      <c r="AW164" s="1511"/>
      <c r="AX164" s="1511"/>
      <c r="AY164" s="1511"/>
      <c r="AZ164" s="1511"/>
      <c r="BA164" s="1511"/>
      <c r="BB164" s="1511"/>
      <c r="BC164" s="1511"/>
      <c r="BD164" s="1511"/>
      <c r="BE164" s="1511"/>
      <c r="BF164" s="1511"/>
      <c r="BG164" s="1511"/>
      <c r="BH164" s="1511"/>
      <c r="BI164" s="1511"/>
      <c r="BJ164" s="1511"/>
    </row>
    <row r="165" spans="1:62" ht="13.5" thickBot="1">
      <c r="A165" s="1511"/>
      <c r="B165" s="1532"/>
      <c r="C165" s="1533"/>
      <c r="D165" s="1533"/>
      <c r="E165" s="1533"/>
      <c r="F165" s="1535"/>
      <c r="G165" s="1533"/>
      <c r="H165" s="1535"/>
      <c r="I165" s="1533"/>
      <c r="J165" s="1537"/>
      <c r="K165" s="1568"/>
      <c r="L165" s="1533"/>
      <c r="M165" s="1541"/>
      <c r="N165" s="1511"/>
      <c r="O165" s="1511"/>
      <c r="P165" s="1511"/>
      <c r="Q165" s="1511"/>
      <c r="R165" s="1511"/>
      <c r="S165" s="1511"/>
      <c r="T165" s="1511"/>
      <c r="U165" s="1511"/>
      <c r="V165" s="1511"/>
      <c r="W165" s="1511"/>
      <c r="X165" s="1511"/>
      <c r="Y165" s="1511"/>
      <c r="Z165" s="1511"/>
      <c r="AA165" s="1511"/>
      <c r="AB165" s="1511"/>
      <c r="AC165" s="1511"/>
      <c r="AD165" s="1511"/>
      <c r="AE165" s="1511"/>
      <c r="AF165" s="1511"/>
      <c r="AG165" s="1511"/>
      <c r="AH165" s="1511"/>
      <c r="AI165" s="1511"/>
      <c r="AJ165" s="1511"/>
      <c r="AK165" s="1511"/>
      <c r="AL165" s="1511"/>
      <c r="AM165" s="1511"/>
      <c r="AN165" s="1511"/>
      <c r="AO165" s="1511"/>
      <c r="AP165" s="1511"/>
      <c r="AQ165" s="1511"/>
      <c r="AR165" s="1511"/>
      <c r="AS165" s="1511"/>
      <c r="AT165" s="1511"/>
      <c r="AU165" s="1511"/>
      <c r="AV165" s="1511"/>
      <c r="AW165" s="1511"/>
      <c r="AX165" s="1511"/>
      <c r="AY165" s="1511"/>
      <c r="AZ165" s="1511"/>
      <c r="BA165" s="1511"/>
      <c r="BB165" s="1511"/>
      <c r="BC165" s="1511"/>
      <c r="BD165" s="1511"/>
      <c r="BE165" s="1511"/>
      <c r="BF165" s="1511"/>
      <c r="BG165" s="1511"/>
      <c r="BH165" s="1511"/>
      <c r="BI165" s="1511"/>
      <c r="BJ165" s="1511"/>
    </row>
    <row r="166" spans="1:62">
      <c r="A166" s="1511"/>
      <c r="B166" s="1576"/>
      <c r="C166" s="1530"/>
      <c r="D166" s="1530"/>
      <c r="E166" s="1530"/>
      <c r="F166" s="1530"/>
      <c r="G166" s="1530"/>
      <c r="H166" s="1530"/>
      <c r="I166" s="1530"/>
      <c r="J166" s="1530"/>
      <c r="K166" s="1530"/>
      <c r="L166" s="1530"/>
      <c r="M166" s="1578"/>
      <c r="N166" s="1511"/>
      <c r="O166" s="1511"/>
      <c r="P166" s="1511"/>
      <c r="Q166" s="1511"/>
      <c r="R166" s="1511"/>
      <c r="S166" s="1511"/>
      <c r="T166" s="1511"/>
      <c r="U166" s="1511"/>
      <c r="V166" s="1511"/>
      <c r="W166" s="1511"/>
      <c r="X166" s="1511"/>
      <c r="Y166" s="1511"/>
      <c r="Z166" s="1511"/>
      <c r="AA166" s="1511"/>
      <c r="AB166" s="1511"/>
      <c r="AC166" s="1511"/>
      <c r="AD166" s="1511"/>
      <c r="AE166" s="1511"/>
      <c r="AF166" s="1511"/>
      <c r="AG166" s="1511"/>
      <c r="AH166" s="1511"/>
      <c r="AI166" s="1511"/>
      <c r="AJ166" s="1511"/>
      <c r="AK166" s="1511"/>
      <c r="AL166" s="1511"/>
      <c r="AM166" s="1511"/>
      <c r="AN166" s="1511"/>
      <c r="AO166" s="1511"/>
      <c r="AP166" s="1511"/>
      <c r="AQ166" s="1511"/>
      <c r="AR166" s="1511"/>
      <c r="AS166" s="1511"/>
      <c r="AT166" s="1511"/>
      <c r="AU166" s="1511"/>
      <c r="AV166" s="1511"/>
      <c r="AW166" s="1511"/>
      <c r="AX166" s="1511"/>
      <c r="AY166" s="1511"/>
      <c r="AZ166" s="1511"/>
      <c r="BA166" s="1511"/>
      <c r="BB166" s="1511"/>
      <c r="BC166" s="1511"/>
      <c r="BD166" s="1511"/>
      <c r="BE166" s="1511"/>
      <c r="BF166" s="1511"/>
      <c r="BG166" s="1511"/>
      <c r="BH166" s="1511"/>
      <c r="BI166" s="1511"/>
      <c r="BJ166" s="1511"/>
    </row>
    <row r="167" spans="1:62">
      <c r="A167" s="1511"/>
      <c r="B167" s="1532"/>
      <c r="C167" s="1533"/>
      <c r="D167" s="1533"/>
      <c r="E167" s="1533"/>
      <c r="F167" s="1533"/>
      <c r="G167" s="1533"/>
      <c r="H167" s="1533"/>
      <c r="I167" s="1533"/>
      <c r="J167" s="1533"/>
      <c r="K167" s="1533"/>
      <c r="L167" s="1533"/>
      <c r="M167" s="1541"/>
      <c r="N167" s="1511"/>
      <c r="O167" s="1511"/>
      <c r="P167" s="1511"/>
      <c r="Q167" s="1511"/>
      <c r="R167" s="1511"/>
      <c r="S167" s="1511"/>
      <c r="T167" s="1511"/>
      <c r="U167" s="1511"/>
      <c r="V167" s="1511"/>
      <c r="W167" s="1511"/>
      <c r="X167" s="1511"/>
      <c r="Y167" s="1511"/>
      <c r="Z167" s="1511"/>
      <c r="AA167" s="1511"/>
      <c r="AB167" s="1511"/>
      <c r="AC167" s="1511"/>
      <c r="AD167" s="1511"/>
      <c r="AE167" s="1511"/>
      <c r="AF167" s="1511"/>
      <c r="AG167" s="1511"/>
      <c r="AH167" s="1511"/>
      <c r="AI167" s="1511"/>
      <c r="AJ167" s="1511"/>
      <c r="AK167" s="1511"/>
      <c r="AL167" s="1511"/>
      <c r="AM167" s="1511"/>
      <c r="AN167" s="1511"/>
      <c r="AO167" s="1511"/>
      <c r="AP167" s="1511"/>
      <c r="AQ167" s="1511"/>
      <c r="AR167" s="1511"/>
      <c r="AS167" s="1511"/>
      <c r="AT167" s="1511"/>
      <c r="AU167" s="1511"/>
      <c r="AV167" s="1511"/>
      <c r="AW167" s="1511"/>
      <c r="AX167" s="1511"/>
      <c r="AY167" s="1511"/>
      <c r="AZ167" s="1511"/>
      <c r="BA167" s="1511"/>
      <c r="BB167" s="1511"/>
      <c r="BC167" s="1511"/>
      <c r="BD167" s="1511"/>
      <c r="BE167" s="1511"/>
      <c r="BF167" s="1511"/>
      <c r="BG167" s="1511"/>
      <c r="BH167" s="1511"/>
      <c r="BI167" s="1511"/>
      <c r="BJ167" s="1511"/>
    </row>
    <row r="168" spans="1:62">
      <c r="A168" s="1511"/>
      <c r="B168" s="1532" t="s">
        <v>85</v>
      </c>
      <c r="C168" s="2" t="s">
        <v>757</v>
      </c>
      <c r="D168" s="1533"/>
      <c r="E168" s="1533"/>
      <c r="F168" s="1533"/>
      <c r="G168" s="1533"/>
      <c r="H168" s="1533"/>
      <c r="I168" s="1533"/>
      <c r="J168" s="1533"/>
      <c r="K168" s="1533"/>
      <c r="L168" s="1533"/>
      <c r="M168" s="1541"/>
      <c r="N168" s="1511"/>
      <c r="O168" s="1511"/>
      <c r="P168" s="1511"/>
      <c r="Q168" s="1511"/>
      <c r="R168" s="1511"/>
      <c r="S168" s="1511"/>
      <c r="T168" s="1511"/>
      <c r="U168" s="1511"/>
      <c r="V168" s="1511"/>
      <c r="W168" s="1511"/>
      <c r="X168" s="1511"/>
      <c r="Y168" s="1511"/>
      <c r="Z168" s="1511"/>
      <c r="AA168" s="1511"/>
      <c r="AB168" s="1511"/>
      <c r="AC168" s="1511"/>
      <c r="AD168" s="1511"/>
      <c r="AE168" s="1511"/>
      <c r="AF168" s="1511"/>
      <c r="AG168" s="1511"/>
      <c r="AH168" s="1511"/>
      <c r="AI168" s="1511"/>
      <c r="AJ168" s="1511"/>
      <c r="AK168" s="1511"/>
      <c r="AL168" s="1511"/>
      <c r="AM168" s="1511"/>
      <c r="AN168" s="1511"/>
      <c r="AO168" s="1511"/>
      <c r="AP168" s="1511"/>
      <c r="AQ168" s="1511"/>
      <c r="AR168" s="1511"/>
      <c r="AS168" s="1511"/>
      <c r="AT168" s="1511"/>
      <c r="AU168" s="1511"/>
      <c r="AV168" s="1511"/>
      <c r="AW168" s="1511"/>
      <c r="AX168" s="1511"/>
      <c r="AY168" s="1511"/>
      <c r="AZ168" s="1511"/>
      <c r="BA168" s="1511"/>
      <c r="BB168" s="1511"/>
      <c r="BC168" s="1511"/>
      <c r="BD168" s="1511"/>
      <c r="BE168" s="1511"/>
      <c r="BF168" s="1511"/>
      <c r="BG168" s="1511"/>
      <c r="BH168" s="1511"/>
      <c r="BI168" s="1511"/>
      <c r="BJ168" s="1511"/>
    </row>
    <row r="169" spans="1:62">
      <c r="A169" s="1511"/>
      <c r="B169" s="1532"/>
      <c r="C169" s="1533" t="s">
        <v>86</v>
      </c>
      <c r="D169" s="1533" t="s">
        <v>758</v>
      </c>
      <c r="E169" s="1533" t="s">
        <v>77</v>
      </c>
      <c r="F169" s="1540">
        <f>389*1000000</f>
        <v>389000000</v>
      </c>
      <c r="G169" s="1533" t="s">
        <v>147</v>
      </c>
      <c r="H169" s="1535">
        <v>1041</v>
      </c>
      <c r="I169" s="1533" t="s">
        <v>759</v>
      </c>
      <c r="J169" s="1543">
        <f>F169*H169/1000000</f>
        <v>404949</v>
      </c>
      <c r="K169" s="1554">
        <v>19898</v>
      </c>
      <c r="L169" s="1608">
        <v>0.45</v>
      </c>
      <c r="M169" s="1570">
        <v>0.04</v>
      </c>
      <c r="N169" s="1511"/>
      <c r="O169" s="1511"/>
      <c r="P169" s="1511"/>
      <c r="Q169" s="1511"/>
      <c r="R169" s="1511"/>
      <c r="S169" s="1511"/>
      <c r="T169" s="1511"/>
      <c r="U169" s="1511"/>
      <c r="V169" s="1511"/>
      <c r="W169" s="1511"/>
      <c r="X169" s="1511"/>
      <c r="Y169" s="1511"/>
      <c r="Z169" s="1511"/>
      <c r="AA169" s="1511"/>
      <c r="AB169" s="1511"/>
      <c r="AC169" s="1511"/>
      <c r="AD169" s="1511"/>
      <c r="AE169" s="1511"/>
      <c r="AF169" s="1511"/>
      <c r="AG169" s="1511"/>
      <c r="AH169" s="1511"/>
      <c r="AI169" s="1511"/>
      <c r="AJ169" s="1511"/>
      <c r="AK169" s="1511"/>
      <c r="AL169" s="1511"/>
      <c r="AM169" s="1511"/>
      <c r="AN169" s="1511"/>
      <c r="AO169" s="1511"/>
      <c r="AP169" s="1511"/>
      <c r="AQ169" s="1511"/>
      <c r="AR169" s="1511"/>
      <c r="AS169" s="1511"/>
      <c r="AT169" s="1511"/>
      <c r="AU169" s="1511"/>
      <c r="AV169" s="1511"/>
      <c r="AW169" s="1511"/>
      <c r="AX169" s="1511"/>
      <c r="AY169" s="1511"/>
      <c r="AZ169" s="1511"/>
      <c r="BA169" s="1511"/>
      <c r="BB169" s="1511"/>
      <c r="BC169" s="1511"/>
      <c r="BD169" s="1511"/>
      <c r="BE169" s="1511"/>
      <c r="BF169" s="1511"/>
      <c r="BG169" s="1511"/>
      <c r="BH169" s="1511"/>
      <c r="BI169" s="1511"/>
      <c r="BJ169" s="1511"/>
    </row>
    <row r="170" spans="1:62" ht="13.5" thickBot="1">
      <c r="A170" s="1511"/>
      <c r="B170" s="1532"/>
      <c r="C170" s="1533"/>
      <c r="D170" s="1533"/>
      <c r="E170" s="1533"/>
      <c r="F170" s="1534"/>
      <c r="G170" s="1533"/>
      <c r="H170" s="1535"/>
      <c r="I170" s="1533"/>
      <c r="J170" s="1535"/>
      <c r="K170" s="1533"/>
      <c r="L170" s="1533"/>
      <c r="M170" s="1541"/>
      <c r="N170" s="1511"/>
      <c r="O170" s="1511"/>
      <c r="P170" s="1511"/>
      <c r="Q170" s="1511"/>
      <c r="R170" s="1511"/>
      <c r="S170" s="1511"/>
      <c r="T170" s="1511"/>
      <c r="U170" s="1511"/>
      <c r="V170" s="1511"/>
      <c r="W170" s="1511"/>
      <c r="X170" s="1511"/>
      <c r="Y170" s="1511"/>
      <c r="Z170" s="1511"/>
      <c r="AA170" s="1511"/>
      <c r="AB170" s="1511"/>
      <c r="AC170" s="1511"/>
      <c r="AD170" s="1511"/>
      <c r="AE170" s="1511"/>
      <c r="AF170" s="1511"/>
      <c r="AG170" s="1511"/>
      <c r="AH170" s="1511"/>
      <c r="AI170" s="1511"/>
      <c r="AJ170" s="1511"/>
      <c r="AK170" s="1511"/>
      <c r="AL170" s="1511"/>
      <c r="AM170" s="1511"/>
      <c r="AN170" s="1511"/>
      <c r="AO170" s="1511"/>
      <c r="AP170" s="1511"/>
      <c r="AQ170" s="1511"/>
      <c r="AR170" s="1511"/>
      <c r="AS170" s="1511"/>
      <c r="AT170" s="1511"/>
      <c r="AU170" s="1511"/>
      <c r="AV170" s="1511"/>
      <c r="AW170" s="1511"/>
      <c r="AX170" s="1511"/>
      <c r="AY170" s="1511"/>
      <c r="AZ170" s="1511"/>
      <c r="BA170" s="1511"/>
      <c r="BB170" s="1511"/>
      <c r="BC170" s="1511"/>
      <c r="BD170" s="1511"/>
      <c r="BE170" s="1511"/>
      <c r="BF170" s="1511"/>
      <c r="BG170" s="1511"/>
      <c r="BH170" s="1511"/>
      <c r="BI170" s="1511"/>
      <c r="BJ170" s="1511"/>
    </row>
    <row r="171" spans="1:62">
      <c r="A171" s="1511"/>
      <c r="B171" s="1576"/>
      <c r="C171" s="1530"/>
      <c r="D171" s="1530"/>
      <c r="E171" s="1530"/>
      <c r="F171" s="1530"/>
      <c r="G171" s="1530"/>
      <c r="H171" s="1530"/>
      <c r="I171" s="1530"/>
      <c r="J171" s="1530"/>
      <c r="K171" s="1530"/>
      <c r="L171" s="1530"/>
      <c r="M171" s="1578"/>
      <c r="N171" s="1511"/>
      <c r="O171" s="1511"/>
      <c r="P171" s="1511"/>
      <c r="Q171" s="1511"/>
      <c r="R171" s="1511"/>
      <c r="S171" s="1511"/>
      <c r="T171" s="1511"/>
      <c r="U171" s="1511"/>
      <c r="V171" s="1511"/>
      <c r="W171" s="1511"/>
      <c r="X171" s="1511"/>
      <c r="Y171" s="1511"/>
      <c r="Z171" s="1511"/>
      <c r="AA171" s="1511"/>
      <c r="AB171" s="1511"/>
      <c r="AC171" s="1511"/>
      <c r="AD171" s="1511"/>
      <c r="AE171" s="1511"/>
      <c r="AF171" s="1511"/>
      <c r="AG171" s="1511"/>
      <c r="AH171" s="1511"/>
      <c r="AI171" s="1511"/>
      <c r="AJ171" s="1511"/>
      <c r="AK171" s="1511"/>
      <c r="AL171" s="1511"/>
      <c r="AM171" s="1511"/>
      <c r="AN171" s="1511"/>
      <c r="AO171" s="1511"/>
      <c r="AP171" s="1511"/>
      <c r="AQ171" s="1511"/>
      <c r="AR171" s="1511"/>
      <c r="AS171" s="1511"/>
      <c r="AT171" s="1511"/>
      <c r="AU171" s="1511"/>
      <c r="AV171" s="1511"/>
      <c r="AW171" s="1511"/>
      <c r="AX171" s="1511"/>
      <c r="AY171" s="1511"/>
      <c r="AZ171" s="1511"/>
      <c r="BA171" s="1511"/>
      <c r="BB171" s="1511"/>
      <c r="BC171" s="1511"/>
      <c r="BD171" s="1511"/>
      <c r="BE171" s="1511"/>
      <c r="BF171" s="1511"/>
      <c r="BG171" s="1511"/>
      <c r="BH171" s="1511"/>
      <c r="BI171" s="1511"/>
      <c r="BJ171" s="1511"/>
    </row>
    <row r="172" spans="1:62">
      <c r="A172" s="1511"/>
      <c r="B172" s="1532"/>
      <c r="C172" s="1533"/>
      <c r="D172" s="1533"/>
      <c r="E172" s="1533"/>
      <c r="F172" s="1533"/>
      <c r="G172" s="1533"/>
      <c r="H172" s="1533"/>
      <c r="I172" s="1533"/>
      <c r="J172" s="1533"/>
      <c r="K172" s="1533"/>
      <c r="L172" s="1533"/>
      <c r="M172" s="1541"/>
      <c r="N172" s="1511"/>
      <c r="O172" s="1511"/>
      <c r="P172" s="1511"/>
      <c r="Q172" s="1511"/>
      <c r="R172" s="1511"/>
      <c r="S172" s="1511"/>
      <c r="T172" s="1511"/>
      <c r="U172" s="1511"/>
      <c r="V172" s="1511"/>
      <c r="W172" s="1511"/>
      <c r="X172" s="1511"/>
      <c r="Y172" s="1511"/>
      <c r="Z172" s="1511"/>
      <c r="AA172" s="1511"/>
      <c r="AB172" s="1511"/>
      <c r="AC172" s="1511"/>
      <c r="AD172" s="1511"/>
      <c r="AE172" s="1511"/>
      <c r="AF172" s="1511"/>
      <c r="AG172" s="1511"/>
      <c r="AH172" s="1511"/>
      <c r="AI172" s="1511"/>
      <c r="AJ172" s="1511"/>
      <c r="AK172" s="1511"/>
      <c r="AL172" s="1511"/>
      <c r="AM172" s="1511"/>
      <c r="AN172" s="1511"/>
      <c r="AO172" s="1511"/>
      <c r="AP172" s="1511"/>
      <c r="AQ172" s="1511"/>
      <c r="AR172" s="1511"/>
      <c r="AS172" s="1511"/>
      <c r="AT172" s="1511"/>
      <c r="AU172" s="1511"/>
      <c r="AV172" s="1511"/>
      <c r="AW172" s="1511"/>
      <c r="AX172" s="1511"/>
      <c r="AY172" s="1511"/>
      <c r="AZ172" s="1511"/>
      <c r="BA172" s="1511"/>
      <c r="BB172" s="1511"/>
      <c r="BC172" s="1511"/>
      <c r="BD172" s="1511"/>
      <c r="BE172" s="1511"/>
      <c r="BF172" s="1511"/>
      <c r="BG172" s="1511"/>
      <c r="BH172" s="1511"/>
      <c r="BI172" s="1511"/>
      <c r="BJ172" s="1511"/>
    </row>
    <row r="173" spans="1:62">
      <c r="A173" s="1511"/>
      <c r="B173" s="1532" t="s">
        <v>0</v>
      </c>
      <c r="C173" s="169" t="s">
        <v>1</v>
      </c>
      <c r="D173" s="1533"/>
      <c r="E173" s="1533"/>
      <c r="F173" s="1533"/>
      <c r="G173" s="1533"/>
      <c r="H173" s="1533"/>
      <c r="I173" s="1533"/>
      <c r="J173" s="1533"/>
      <c r="K173" s="1533"/>
      <c r="L173" s="1533"/>
      <c r="M173" s="1541"/>
      <c r="N173" s="1511"/>
      <c r="O173" s="15" t="s">
        <v>1165</v>
      </c>
      <c r="P173" s="1511"/>
      <c r="Q173" s="1511"/>
      <c r="R173" s="1511"/>
      <c r="S173" s="1511"/>
      <c r="T173" s="1511"/>
      <c r="U173" s="1511"/>
      <c r="V173" s="1511"/>
      <c r="W173" s="1511"/>
      <c r="X173" s="1511"/>
      <c r="Y173" s="1511"/>
      <c r="Z173" s="1511"/>
      <c r="AA173" s="1511"/>
      <c r="AB173" s="1511"/>
      <c r="AC173" s="1511"/>
      <c r="AD173" s="1511"/>
      <c r="AE173" s="1511"/>
      <c r="AF173" s="1511"/>
      <c r="AG173" s="1511"/>
      <c r="AH173" s="1511"/>
      <c r="AI173" s="1511"/>
      <c r="AJ173" s="1511"/>
      <c r="AK173" s="1511"/>
      <c r="AL173" s="1511"/>
      <c r="AM173" s="1511"/>
      <c r="AN173" s="1511"/>
      <c r="AO173" s="1511"/>
      <c r="AP173" s="1511"/>
      <c r="AQ173" s="1511"/>
      <c r="AR173" s="1511"/>
      <c r="AS173" s="1511"/>
      <c r="AT173" s="1511"/>
      <c r="AU173" s="1511"/>
      <c r="AV173" s="1511"/>
      <c r="AW173" s="1511"/>
      <c r="AX173" s="1511"/>
      <c r="AY173" s="1511"/>
      <c r="AZ173" s="1511"/>
      <c r="BA173" s="1511"/>
      <c r="BB173" s="1511"/>
      <c r="BC173" s="1511"/>
      <c r="BD173" s="1511"/>
      <c r="BE173" s="1511"/>
      <c r="BF173" s="1511"/>
      <c r="BG173" s="1511"/>
      <c r="BH173" s="1511"/>
      <c r="BI173" s="1511"/>
      <c r="BJ173" s="1511"/>
    </row>
    <row r="174" spans="1:62" ht="13.5" thickBot="1">
      <c r="A174" s="1511"/>
      <c r="B174" s="1532"/>
      <c r="C174" s="1533" t="s">
        <v>2</v>
      </c>
      <c r="D174" s="1533" t="s">
        <v>3</v>
      </c>
      <c r="E174" s="1533" t="s">
        <v>1112</v>
      </c>
      <c r="F174" s="1565">
        <v>27910</v>
      </c>
      <c r="G174" s="1533" t="s">
        <v>271</v>
      </c>
      <c r="H174" s="1535">
        <v>12959</v>
      </c>
      <c r="I174" s="1533" t="s">
        <v>1129</v>
      </c>
      <c r="J174" s="1540">
        <f>F174*H174*2000/1000000</f>
        <v>723371.38</v>
      </c>
      <c r="K174" s="1537">
        <f>J174/J176*K176</f>
        <v>68657.702231617848</v>
      </c>
      <c r="L174" s="1603">
        <f>J174*Q178/907.184</f>
        <v>8.7711921506552155</v>
      </c>
      <c r="M174" s="1601">
        <f>J174*R178/907.1847</f>
        <v>1.275808782930312</v>
      </c>
      <c r="N174" s="1511"/>
      <c r="O174" s="1511"/>
      <c r="P174" s="1511"/>
      <c r="Q174" s="1511"/>
      <c r="R174" s="1511"/>
      <c r="S174" s="1511"/>
      <c r="T174" s="1511"/>
      <c r="U174" s="1511"/>
      <c r="V174" s="1511"/>
      <c r="W174" s="1511"/>
      <c r="X174" s="1511"/>
      <c r="Y174" s="1511"/>
      <c r="Z174" s="1511"/>
      <c r="AA174" s="1511"/>
      <c r="AB174" s="1511"/>
      <c r="AC174" s="1511"/>
      <c r="AD174" s="1511"/>
      <c r="AE174" s="1511"/>
      <c r="AF174" s="1511"/>
      <c r="AG174" s="1511"/>
      <c r="AH174" s="1511"/>
      <c r="AI174" s="1511"/>
      <c r="AJ174" s="1511"/>
      <c r="AK174" s="1511"/>
      <c r="AL174" s="1511"/>
      <c r="AM174" s="1511"/>
      <c r="AN174" s="1511"/>
      <c r="AO174" s="1511"/>
      <c r="AP174" s="1511"/>
      <c r="AQ174" s="1511"/>
      <c r="AR174" s="1511"/>
      <c r="AS174" s="1511"/>
      <c r="AT174" s="1511"/>
      <c r="AU174" s="1511"/>
      <c r="AV174" s="1511"/>
      <c r="AW174" s="1511"/>
      <c r="AX174" s="1511"/>
      <c r="AY174" s="1511"/>
      <c r="AZ174" s="1511"/>
      <c r="BA174" s="1511"/>
      <c r="BB174" s="1511"/>
      <c r="BC174" s="1511"/>
      <c r="BD174" s="1511"/>
      <c r="BE174" s="1511"/>
      <c r="BF174" s="1511"/>
      <c r="BG174" s="1511"/>
      <c r="BH174" s="1511"/>
      <c r="BI174" s="1511"/>
      <c r="BJ174" s="1511"/>
    </row>
    <row r="175" spans="1:62">
      <c r="A175" s="1511"/>
      <c r="B175" s="1532"/>
      <c r="C175" s="1533"/>
      <c r="D175" s="1533"/>
      <c r="E175" s="1533" t="s">
        <v>47</v>
      </c>
      <c r="F175" s="1565">
        <v>85260</v>
      </c>
      <c r="G175" s="1533" t="s">
        <v>67</v>
      </c>
      <c r="H175" s="1535">
        <v>139181</v>
      </c>
      <c r="I175" s="1533" t="s">
        <v>57</v>
      </c>
      <c r="J175" s="1540">
        <f>F175*H175/1000000</f>
        <v>11866.57206</v>
      </c>
      <c r="K175" s="1537">
        <f>J175/J176*K176</f>
        <v>1126.2977683821498</v>
      </c>
      <c r="L175" s="1603">
        <f>J175*Q181/907.1847</f>
        <v>3.9241971541186707E-2</v>
      </c>
      <c r="M175" s="1601">
        <f>J175*R181/907.1847</f>
        <v>7.84839430823734E-3</v>
      </c>
      <c r="N175" s="1511"/>
      <c r="O175" s="1516" t="s">
        <v>1166</v>
      </c>
      <c r="P175" s="607" t="s">
        <v>1171</v>
      </c>
      <c r="Q175" s="607"/>
      <c r="R175" s="608"/>
      <c r="S175" s="1511"/>
      <c r="T175" s="1511"/>
      <c r="U175" s="1511"/>
      <c r="V175" s="1511"/>
      <c r="W175" s="1511"/>
      <c r="X175" s="1511"/>
      <c r="Y175" s="1511"/>
      <c r="Z175" s="1511"/>
      <c r="AA175" s="1511"/>
      <c r="AB175" s="1511"/>
      <c r="AC175" s="1511"/>
      <c r="AD175" s="1511"/>
      <c r="AE175" s="1511"/>
      <c r="AF175" s="1511"/>
      <c r="AG175" s="1511"/>
      <c r="AH175" s="1511"/>
      <c r="AI175" s="1511"/>
      <c r="AJ175" s="1511"/>
      <c r="AK175" s="1511"/>
      <c r="AL175" s="1511"/>
      <c r="AM175" s="1511"/>
      <c r="AN175" s="1511"/>
      <c r="AO175" s="1511"/>
      <c r="AP175" s="1511"/>
      <c r="AQ175" s="1511"/>
      <c r="AR175" s="1511"/>
      <c r="AS175" s="1511"/>
      <c r="AT175" s="1511"/>
      <c r="AU175" s="1511"/>
      <c r="AV175" s="1511"/>
      <c r="AW175" s="1511"/>
      <c r="AX175" s="1511"/>
      <c r="AY175" s="1511"/>
      <c r="AZ175" s="1511"/>
      <c r="BA175" s="1511"/>
      <c r="BB175" s="1511"/>
      <c r="BC175" s="1511"/>
      <c r="BD175" s="1511"/>
      <c r="BE175" s="1511"/>
      <c r="BF175" s="1511"/>
      <c r="BG175" s="1511"/>
      <c r="BH175" s="1511"/>
      <c r="BI175" s="1511"/>
      <c r="BJ175" s="1511"/>
    </row>
    <row r="176" spans="1:62" ht="15" thickBot="1">
      <c r="A176" s="1511"/>
      <c r="B176" s="1532"/>
      <c r="C176" s="1533"/>
      <c r="D176" s="1533"/>
      <c r="E176" s="1533"/>
      <c r="F176" s="1533"/>
      <c r="G176" s="1533"/>
      <c r="H176" s="1533"/>
      <c r="I176" s="1533"/>
      <c r="J176" s="1543">
        <f>SUM(J174:J175)</f>
        <v>735237.95206000004</v>
      </c>
      <c r="K176" s="1567">
        <v>69784</v>
      </c>
      <c r="L176" s="1608">
        <f>SUM(L174:L175)</f>
        <v>8.8104341221964031</v>
      </c>
      <c r="M176" s="1762">
        <f>SUM(M174:M175)</f>
        <v>1.2836571772385492</v>
      </c>
      <c r="N176" s="1511"/>
      <c r="O176" s="1517"/>
      <c r="P176" s="1518" t="s">
        <v>156</v>
      </c>
      <c r="Q176" s="1518" t="s">
        <v>158</v>
      </c>
      <c r="R176" s="1519" t="s">
        <v>157</v>
      </c>
      <c r="S176" s="1511"/>
      <c r="T176" s="1511"/>
      <c r="U176" s="1511"/>
      <c r="V176" s="1511"/>
      <c r="W176" s="1511"/>
      <c r="X176" s="1511"/>
      <c r="Y176" s="1511"/>
      <c r="Z176" s="1511"/>
      <c r="AA176" s="1511"/>
      <c r="AB176" s="1511"/>
      <c r="AC176" s="1511"/>
      <c r="AD176" s="1511"/>
      <c r="AE176" s="1511"/>
      <c r="AF176" s="1511"/>
      <c r="AG176" s="1511"/>
      <c r="AH176" s="1511"/>
      <c r="AI176" s="1511"/>
      <c r="AJ176" s="1511"/>
      <c r="AK176" s="1511"/>
      <c r="AL176" s="1511"/>
      <c r="AM176" s="1511"/>
      <c r="AN176" s="1511"/>
      <c r="AO176" s="1511"/>
      <c r="AP176" s="1511"/>
      <c r="AQ176" s="1511"/>
      <c r="AR176" s="1511"/>
      <c r="AS176" s="1511"/>
      <c r="AT176" s="1511"/>
      <c r="AU176" s="1511"/>
      <c r="AV176" s="1511"/>
      <c r="AW176" s="1511"/>
      <c r="AX176" s="1511"/>
      <c r="AY176" s="1511"/>
      <c r="AZ176" s="1511"/>
      <c r="BA176" s="1511"/>
      <c r="BB176" s="1511"/>
      <c r="BC176" s="1511"/>
      <c r="BD176" s="1511"/>
      <c r="BE176" s="1511"/>
      <c r="BF176" s="1511"/>
      <c r="BG176" s="1511"/>
      <c r="BH176" s="1511"/>
      <c r="BI176" s="1511"/>
      <c r="BJ176" s="1511"/>
    </row>
    <row r="177" spans="1:62">
      <c r="A177" s="1511"/>
      <c r="B177" s="1532"/>
      <c r="C177" s="1533"/>
      <c r="D177" s="1533"/>
      <c r="E177" s="1533"/>
      <c r="F177" s="1533"/>
      <c r="G177" s="1533"/>
      <c r="H177" s="1533"/>
      <c r="I177" s="1533"/>
      <c r="J177" s="1533"/>
      <c r="K177" s="1533"/>
      <c r="L177" s="1533"/>
      <c r="M177" s="1541"/>
      <c r="N177" s="1511"/>
      <c r="O177" s="1520" t="s">
        <v>1167</v>
      </c>
      <c r="P177" s="1521">
        <v>93.28</v>
      </c>
      <c r="Q177" s="1522">
        <v>1.0999999999999999E-2</v>
      </c>
      <c r="R177" s="1523">
        <v>1.6000000000000001E-3</v>
      </c>
      <c r="S177" s="1511"/>
      <c r="T177" s="1511"/>
      <c r="U177" s="1511"/>
      <c r="V177" s="1511"/>
      <c r="W177" s="1511"/>
      <c r="X177" s="1511"/>
      <c r="Y177" s="1511"/>
      <c r="Z177" s="1511"/>
      <c r="AA177" s="1511"/>
      <c r="AB177" s="1511"/>
      <c r="AC177" s="1511"/>
      <c r="AD177" s="1511"/>
      <c r="AE177" s="1511"/>
      <c r="AF177" s="1511"/>
      <c r="AG177" s="1511"/>
      <c r="AH177" s="1511"/>
      <c r="AI177" s="1511"/>
      <c r="AJ177" s="1511"/>
      <c r="AK177" s="1511"/>
      <c r="AL177" s="1511"/>
      <c r="AM177" s="1511"/>
      <c r="AN177" s="1511"/>
      <c r="AO177" s="1511"/>
      <c r="AP177" s="1511"/>
      <c r="AQ177" s="1511"/>
      <c r="AR177" s="1511"/>
      <c r="AS177" s="1511"/>
      <c r="AT177" s="1511"/>
      <c r="AU177" s="1511"/>
      <c r="AV177" s="1511"/>
      <c r="AW177" s="1511"/>
      <c r="AX177" s="1511"/>
      <c r="AY177" s="1511"/>
      <c r="AZ177" s="1511"/>
      <c r="BA177" s="1511"/>
      <c r="BB177" s="1511"/>
      <c r="BC177" s="1511"/>
      <c r="BD177" s="1511"/>
      <c r="BE177" s="1511"/>
      <c r="BF177" s="1511"/>
      <c r="BG177" s="1511"/>
      <c r="BH177" s="1511"/>
      <c r="BI177" s="1511"/>
      <c r="BJ177" s="1511"/>
    </row>
    <row r="178" spans="1:62">
      <c r="A178" s="1511"/>
      <c r="B178" s="1532"/>
      <c r="C178" s="1533" t="s">
        <v>4</v>
      </c>
      <c r="D178" s="1533" t="s">
        <v>5</v>
      </c>
      <c r="E178" s="1533" t="s">
        <v>1112</v>
      </c>
      <c r="F178" s="1565">
        <v>35920</v>
      </c>
      <c r="G178" s="1533" t="s">
        <v>271</v>
      </c>
      <c r="H178" s="1535">
        <v>12959</v>
      </c>
      <c r="I178" s="1533" t="s">
        <v>1129</v>
      </c>
      <c r="J178" s="1540">
        <f>F178*H178*2000/1000000</f>
        <v>930974.56</v>
      </c>
      <c r="K178" s="1537">
        <f>J178/J181*K181</f>
        <v>88362.370540407981</v>
      </c>
      <c r="L178" s="1603">
        <f>J178*Q178/907.1847</f>
        <v>11.288462162115389</v>
      </c>
      <c r="M178" s="1601">
        <f>J178*R178/907.1847</f>
        <v>1.6419581326713293</v>
      </c>
      <c r="N178" s="1511"/>
      <c r="O178" s="1524" t="s">
        <v>1168</v>
      </c>
      <c r="P178" s="685">
        <v>97.14</v>
      </c>
      <c r="Q178" s="1514">
        <v>1.0999999999999999E-2</v>
      </c>
      <c r="R178" s="1525">
        <v>1.6000000000000001E-3</v>
      </c>
      <c r="S178" s="1511"/>
      <c r="T178" s="1511"/>
      <c r="U178" s="1511"/>
      <c r="V178" s="1511"/>
      <c r="W178" s="1511"/>
      <c r="X178" s="1511"/>
      <c r="Y178" s="1511"/>
      <c r="Z178" s="1511"/>
      <c r="AA178" s="1511"/>
      <c r="AB178" s="1511"/>
      <c r="AC178" s="1511"/>
      <c r="AD178" s="1511"/>
      <c r="AE178" s="1511"/>
      <c r="AF178" s="1511"/>
      <c r="AG178" s="1511"/>
      <c r="AH178" s="1511"/>
      <c r="AI178" s="1511"/>
      <c r="AJ178" s="1511"/>
      <c r="AK178" s="1511"/>
      <c r="AL178" s="1511"/>
      <c r="AM178" s="1511"/>
      <c r="AN178" s="1511"/>
      <c r="AO178" s="1511"/>
      <c r="AP178" s="1511"/>
      <c r="AQ178" s="1511"/>
      <c r="AR178" s="1511"/>
      <c r="AS178" s="1511"/>
      <c r="AT178" s="1511"/>
      <c r="AU178" s="1511"/>
      <c r="AV178" s="1511"/>
      <c r="AW178" s="1511"/>
      <c r="AX178" s="1511"/>
      <c r="AY178" s="1511"/>
      <c r="AZ178" s="1511"/>
      <c r="BA178" s="1511"/>
      <c r="BB178" s="1511"/>
      <c r="BC178" s="1511"/>
      <c r="BD178" s="1511"/>
      <c r="BE178" s="1511"/>
      <c r="BF178" s="1511"/>
      <c r="BG178" s="1511"/>
      <c r="BH178" s="1511"/>
      <c r="BI178" s="1511"/>
      <c r="BJ178" s="1511"/>
    </row>
    <row r="179" spans="1:62">
      <c r="A179" s="1511"/>
      <c r="B179" s="1532"/>
      <c r="C179" s="1533"/>
      <c r="D179" s="1533"/>
      <c r="E179" s="1533" t="s">
        <v>47</v>
      </c>
      <c r="F179" s="1565">
        <v>133278</v>
      </c>
      <c r="G179" s="1533" t="s">
        <v>67</v>
      </c>
      <c r="H179" s="1535">
        <v>139181</v>
      </c>
      <c r="I179" s="1533" t="s">
        <v>57</v>
      </c>
      <c r="J179" s="1540">
        <f>F179*H179/1000000</f>
        <v>18549.765318000002</v>
      </c>
      <c r="K179" s="1537">
        <f>J179/J181*K181</f>
        <v>1760.6294595920267</v>
      </c>
      <c r="L179" s="1603">
        <f>J179*Q181/907.1847</f>
        <v>6.1342851079829723E-2</v>
      </c>
      <c r="M179" s="1601">
        <f>J179*R181/907.1847</f>
        <v>1.2268570215965943E-2</v>
      </c>
      <c r="N179" s="1511"/>
      <c r="O179" s="1524" t="s">
        <v>1114</v>
      </c>
      <c r="P179" s="685">
        <v>53.06</v>
      </c>
      <c r="Q179" s="1514">
        <v>1E-3</v>
      </c>
      <c r="R179" s="1525">
        <v>1E-4</v>
      </c>
      <c r="S179" s="1511"/>
      <c r="T179" s="1511"/>
      <c r="U179" s="1511"/>
      <c r="V179" s="1511"/>
      <c r="W179" s="1511"/>
      <c r="X179" s="1511"/>
      <c r="Y179" s="1511"/>
      <c r="Z179" s="1511"/>
      <c r="AA179" s="1511"/>
      <c r="AB179" s="1511"/>
      <c r="AC179" s="1511"/>
      <c r="AD179" s="1511"/>
      <c r="AE179" s="1511"/>
      <c r="AF179" s="1511"/>
      <c r="AG179" s="1511"/>
      <c r="AH179" s="1511"/>
      <c r="AI179" s="1511"/>
      <c r="AJ179" s="1511"/>
      <c r="AK179" s="1511"/>
      <c r="AL179" s="1511"/>
      <c r="AM179" s="1511"/>
      <c r="AN179" s="1511"/>
      <c r="AO179" s="1511"/>
      <c r="AP179" s="1511"/>
      <c r="AQ179" s="1511"/>
      <c r="AR179" s="1511"/>
      <c r="AS179" s="1511"/>
      <c r="AT179" s="1511"/>
      <c r="AU179" s="1511"/>
      <c r="AV179" s="1511"/>
      <c r="AW179" s="1511"/>
      <c r="AX179" s="1511"/>
      <c r="AY179" s="1511"/>
      <c r="AZ179" s="1511"/>
      <c r="BA179" s="1511"/>
      <c r="BB179" s="1511"/>
      <c r="BC179" s="1511"/>
      <c r="BD179" s="1511"/>
      <c r="BE179" s="1511"/>
      <c r="BF179" s="1511"/>
      <c r="BG179" s="1511"/>
      <c r="BH179" s="1511"/>
      <c r="BI179" s="1511"/>
      <c r="BJ179" s="1511"/>
    </row>
    <row r="180" spans="1:62">
      <c r="A180" s="1511"/>
      <c r="B180" s="1532"/>
      <c r="C180" s="1533"/>
      <c r="D180" s="1533"/>
      <c r="E180" s="1533" t="s">
        <v>1164</v>
      </c>
      <c r="F180" s="1565">
        <v>9935</v>
      </c>
      <c r="G180" s="1533" t="s">
        <v>67</v>
      </c>
      <c r="H180" s="1535">
        <v>139181</v>
      </c>
      <c r="I180" s="1533" t="s">
        <v>57</v>
      </c>
      <c r="J180" s="1540">
        <f>F180*H180/1000000</f>
        <v>1382.7632349999999</v>
      </c>
      <c r="K180" s="1758">
        <f>J180/J181*K181</f>
        <v>131.24336860582227</v>
      </c>
      <c r="L180" s="1603">
        <f>J180*Q182/907.1847</f>
        <v>4.5727068644345519E-3</v>
      </c>
      <c r="M180" s="1601">
        <f>J180*R182/907.1847</f>
        <v>9.1454137288691031E-4</v>
      </c>
      <c r="N180" s="1511"/>
      <c r="O180" s="1524"/>
      <c r="P180" s="685"/>
      <c r="Q180" s="1514"/>
      <c r="R180" s="1525"/>
      <c r="S180" s="1511"/>
      <c r="T180" s="1511"/>
      <c r="U180" s="1511"/>
      <c r="V180" s="1511"/>
      <c r="W180" s="1511"/>
      <c r="X180" s="1511"/>
      <c r="Y180" s="1511"/>
      <c r="Z180" s="1511"/>
      <c r="AA180" s="1511"/>
      <c r="AB180" s="1511"/>
      <c r="AC180" s="1511"/>
      <c r="AD180" s="1511"/>
      <c r="AE180" s="1511"/>
      <c r="AF180" s="1511"/>
      <c r="AG180" s="1511"/>
      <c r="AH180" s="1511"/>
      <c r="AI180" s="1511"/>
      <c r="AJ180" s="1511"/>
      <c r="AK180" s="1511"/>
      <c r="AL180" s="1511"/>
      <c r="AM180" s="1511"/>
      <c r="AN180" s="1511"/>
      <c r="AO180" s="1511"/>
      <c r="AP180" s="1511"/>
      <c r="AQ180" s="1511"/>
      <c r="AR180" s="1511"/>
      <c r="AS180" s="1511"/>
      <c r="AT180" s="1511"/>
      <c r="AU180" s="1511"/>
      <c r="AV180" s="1511"/>
      <c r="AW180" s="1511"/>
      <c r="AX180" s="1511"/>
      <c r="AY180" s="1511"/>
      <c r="AZ180" s="1511"/>
      <c r="BA180" s="1511"/>
      <c r="BB180" s="1511"/>
      <c r="BC180" s="1511"/>
      <c r="BD180" s="1511"/>
      <c r="BE180" s="1511"/>
      <c r="BF180" s="1511"/>
      <c r="BG180" s="1511"/>
      <c r="BH180" s="1511"/>
      <c r="BI180" s="1511"/>
      <c r="BJ180" s="1511"/>
    </row>
    <row r="181" spans="1:62">
      <c r="A181" s="1511"/>
      <c r="B181" s="1532"/>
      <c r="C181" s="1533"/>
      <c r="D181" s="1533"/>
      <c r="E181" s="1533"/>
      <c r="F181" s="1533"/>
      <c r="G181" s="1533"/>
      <c r="H181" s="1533"/>
      <c r="I181" s="1533"/>
      <c r="J181" s="1543">
        <f>SUM(J178:J179)</f>
        <v>949524.32531800005</v>
      </c>
      <c r="K181" s="1567">
        <v>90123</v>
      </c>
      <c r="L181" s="1608">
        <f>SUM(L178:L179)</f>
        <v>11.349805013195219</v>
      </c>
      <c r="M181" s="1762">
        <f>SUM(M178:M179)</f>
        <v>1.6542267028872952</v>
      </c>
      <c r="N181" s="1511"/>
      <c r="O181" s="1524" t="s">
        <v>1169</v>
      </c>
      <c r="P181" s="685">
        <v>73.959999999999994</v>
      </c>
      <c r="Q181" s="1514">
        <v>3.0000000000000001E-3</v>
      </c>
      <c r="R181" s="1525">
        <v>5.9999999999999995E-4</v>
      </c>
      <c r="S181" s="1511"/>
      <c r="T181" s="1511"/>
      <c r="U181" s="1511"/>
      <c r="V181" s="1511"/>
      <c r="W181" s="1511"/>
      <c r="X181" s="1511"/>
      <c r="Y181" s="1511"/>
      <c r="Z181" s="1511"/>
      <c r="AA181" s="1511"/>
      <c r="AB181" s="1511"/>
      <c r="AC181" s="1511"/>
      <c r="AD181" s="1511"/>
      <c r="AE181" s="1511"/>
      <c r="AF181" s="1511"/>
      <c r="AG181" s="1511"/>
      <c r="AH181" s="1511"/>
      <c r="AI181" s="1511"/>
      <c r="AJ181" s="1511"/>
      <c r="AK181" s="1511"/>
      <c r="AL181" s="1511"/>
      <c r="AM181" s="1511"/>
      <c r="AN181" s="1511"/>
      <c r="AO181" s="1511"/>
      <c r="AP181" s="1511"/>
      <c r="AQ181" s="1511"/>
      <c r="AR181" s="1511"/>
      <c r="AS181" s="1511"/>
      <c r="AT181" s="1511"/>
      <c r="AU181" s="1511"/>
      <c r="AV181" s="1511"/>
      <c r="AW181" s="1511"/>
      <c r="AX181" s="1511"/>
      <c r="AY181" s="1511"/>
      <c r="AZ181" s="1511"/>
      <c r="BA181" s="1511"/>
      <c r="BB181" s="1511"/>
      <c r="BC181" s="1511"/>
      <c r="BD181" s="1511"/>
      <c r="BE181" s="1511"/>
      <c r="BF181" s="1511"/>
      <c r="BG181" s="1511"/>
      <c r="BH181" s="1511"/>
      <c r="BI181" s="1511"/>
      <c r="BJ181" s="1511"/>
    </row>
    <row r="182" spans="1:62">
      <c r="A182" s="1511"/>
      <c r="B182" s="1532"/>
      <c r="C182" s="1533"/>
      <c r="D182" s="1533"/>
      <c r="E182" s="1533"/>
      <c r="F182" s="1533"/>
      <c r="G182" s="1533"/>
      <c r="H182" s="1533"/>
      <c r="I182" s="1533"/>
      <c r="J182" s="1533"/>
      <c r="K182" s="1533"/>
      <c r="L182" s="1533"/>
      <c r="M182" s="1541"/>
      <c r="N182" s="1511"/>
      <c r="O182" s="1524" t="s">
        <v>1170</v>
      </c>
      <c r="P182" s="685">
        <v>75.099999999999994</v>
      </c>
      <c r="Q182" s="1514">
        <v>3.0000000000000001E-3</v>
      </c>
      <c r="R182" s="1525">
        <v>5.9999999999999995E-4</v>
      </c>
      <c r="S182" s="1511"/>
      <c r="T182" s="1511"/>
      <c r="U182" s="1511"/>
      <c r="V182" s="1511"/>
      <c r="W182" s="1511"/>
      <c r="X182" s="1511"/>
      <c r="Y182" s="1511"/>
      <c r="Z182" s="1511"/>
      <c r="AA182" s="1511"/>
      <c r="AB182" s="1511"/>
      <c r="AC182" s="1511"/>
      <c r="AD182" s="1511"/>
      <c r="AE182" s="1511"/>
      <c r="AF182" s="1511"/>
      <c r="AG182" s="1511"/>
      <c r="AH182" s="1511"/>
      <c r="AI182" s="1511"/>
      <c r="AJ182" s="1511"/>
      <c r="AK182" s="1511"/>
      <c r="AL182" s="1511"/>
      <c r="AM182" s="1511"/>
      <c r="AN182" s="1511"/>
      <c r="AO182" s="1511"/>
      <c r="AP182" s="1511"/>
      <c r="AQ182" s="1511"/>
      <c r="AR182" s="1511"/>
      <c r="AS182" s="1511"/>
      <c r="AT182" s="1511"/>
      <c r="AU182" s="1511"/>
      <c r="AV182" s="1511"/>
      <c r="AW182" s="1511"/>
      <c r="AX182" s="1511"/>
      <c r="AY182" s="1511"/>
      <c r="AZ182" s="1511"/>
      <c r="BA182" s="1511"/>
      <c r="BB182" s="1511"/>
      <c r="BC182" s="1511"/>
      <c r="BD182" s="1511"/>
      <c r="BE182" s="1511"/>
      <c r="BF182" s="1511"/>
      <c r="BG182" s="1511"/>
      <c r="BH182" s="1511"/>
      <c r="BI182" s="1511"/>
      <c r="BJ182" s="1511"/>
    </row>
    <row r="183" spans="1:62">
      <c r="A183" s="1511"/>
      <c r="B183" s="1532"/>
      <c r="C183" s="1533" t="s">
        <v>6</v>
      </c>
      <c r="D183" s="1533" t="s">
        <v>7</v>
      </c>
      <c r="E183" s="1533" t="s">
        <v>1112</v>
      </c>
      <c r="F183" s="1565">
        <v>36200</v>
      </c>
      <c r="G183" s="1533" t="s">
        <v>271</v>
      </c>
      <c r="H183" s="1535">
        <v>12959</v>
      </c>
      <c r="I183" s="1533" t="s">
        <v>1129</v>
      </c>
      <c r="J183" s="1540">
        <f>F183*H183*2000/1000000</f>
        <v>938231.6</v>
      </c>
      <c r="K183" s="1537">
        <f>J183/J185*K185</f>
        <v>89050.742200916749</v>
      </c>
      <c r="L183" s="1603">
        <f>J183*Q178/907.1847</f>
        <v>11.376456856029428</v>
      </c>
      <c r="M183" s="1601">
        <f>J183*R178/907.1847</f>
        <v>1.6547573608770076</v>
      </c>
      <c r="N183" s="1511"/>
      <c r="O183" s="1524" t="s">
        <v>922</v>
      </c>
      <c r="P183" s="685">
        <v>75.2</v>
      </c>
      <c r="Q183" s="1514">
        <v>3.0000000000000001E-3</v>
      </c>
      <c r="R183" s="1525">
        <v>5.9999999999999995E-4</v>
      </c>
      <c r="S183" s="1511"/>
      <c r="T183" s="1511"/>
      <c r="U183" s="1511"/>
      <c r="V183" s="1511"/>
      <c r="W183" s="1511"/>
      <c r="X183" s="1511"/>
      <c r="Y183" s="1511"/>
      <c r="Z183" s="1511"/>
      <c r="AA183" s="1511"/>
      <c r="AB183" s="1511"/>
      <c r="AC183" s="1511"/>
      <c r="AD183" s="1511"/>
      <c r="AE183" s="1511"/>
      <c r="AF183" s="1511"/>
      <c r="AG183" s="1511"/>
      <c r="AH183" s="1511"/>
      <c r="AI183" s="1511"/>
      <c r="AJ183" s="1511"/>
      <c r="AK183" s="1511"/>
      <c r="AL183" s="1511"/>
      <c r="AM183" s="1511"/>
      <c r="AN183" s="1511"/>
      <c r="AO183" s="1511"/>
      <c r="AP183" s="1511"/>
      <c r="AQ183" s="1511"/>
      <c r="AR183" s="1511"/>
      <c r="AS183" s="1511"/>
      <c r="AT183" s="1511"/>
      <c r="AU183" s="1511"/>
      <c r="AV183" s="1511"/>
      <c r="AW183" s="1511"/>
      <c r="AX183" s="1511"/>
      <c r="AY183" s="1511"/>
      <c r="AZ183" s="1511"/>
      <c r="BA183" s="1511"/>
      <c r="BB183" s="1511"/>
      <c r="BC183" s="1511"/>
      <c r="BD183" s="1511"/>
      <c r="BE183" s="1511"/>
      <c r="BF183" s="1511"/>
      <c r="BG183" s="1511"/>
      <c r="BH183" s="1511"/>
      <c r="BI183" s="1511"/>
      <c r="BJ183" s="1511"/>
    </row>
    <row r="184" spans="1:62">
      <c r="A184" s="1511"/>
      <c r="B184" s="1532"/>
      <c r="C184" s="1533"/>
      <c r="D184" s="1533"/>
      <c r="E184" s="1533" t="s">
        <v>47</v>
      </c>
      <c r="F184" s="1565">
        <v>106680</v>
      </c>
      <c r="G184" s="1533" t="s">
        <v>67</v>
      </c>
      <c r="H184" s="1535">
        <v>139181</v>
      </c>
      <c r="I184" s="1533" t="s">
        <v>57</v>
      </c>
      <c r="J184" s="1540">
        <f>F184*H184/1000000</f>
        <v>14847.82908</v>
      </c>
      <c r="K184" s="1537">
        <f>J184/J185*K185</f>
        <v>1409.2577990832488</v>
      </c>
      <c r="L184" s="1603">
        <f>J184*Q181/907.1847</f>
        <v>4.9100791977642479E-2</v>
      </c>
      <c r="M184" s="1601">
        <f>J184*R181/907.1847</f>
        <v>9.8201583955284943E-3</v>
      </c>
      <c r="N184" s="1511"/>
      <c r="O184" s="1524" t="s">
        <v>807</v>
      </c>
      <c r="P184" s="685">
        <v>62.87</v>
      </c>
      <c r="Q184" s="1514">
        <v>3.0000000000000001E-3</v>
      </c>
      <c r="R184" s="1525">
        <v>5.9999999999999995E-4</v>
      </c>
      <c r="S184" s="1511"/>
      <c r="T184" s="1511"/>
      <c r="U184" s="1511"/>
      <c r="V184" s="1511"/>
      <c r="W184" s="1511"/>
      <c r="X184" s="1511"/>
      <c r="Y184" s="1511"/>
      <c r="Z184" s="1511"/>
      <c r="AA184" s="1511"/>
      <c r="AB184" s="1511"/>
      <c r="AC184" s="1511"/>
      <c r="AD184" s="1511"/>
      <c r="AE184" s="1511"/>
      <c r="AF184" s="1511"/>
      <c r="AG184" s="1511"/>
      <c r="AH184" s="1511"/>
      <c r="AI184" s="1511"/>
      <c r="AJ184" s="1511"/>
      <c r="AK184" s="1511"/>
      <c r="AL184" s="1511"/>
      <c r="AM184" s="1511"/>
      <c r="AN184" s="1511"/>
      <c r="AO184" s="1511"/>
      <c r="AP184" s="1511"/>
      <c r="AQ184" s="1511"/>
      <c r="AR184" s="1511"/>
      <c r="AS184" s="1511"/>
      <c r="AT184" s="1511"/>
      <c r="AU184" s="1511"/>
      <c r="AV184" s="1511"/>
      <c r="AW184" s="1511"/>
      <c r="AX184" s="1511"/>
      <c r="AY184" s="1511"/>
      <c r="AZ184" s="1511"/>
      <c r="BA184" s="1511"/>
      <c r="BB184" s="1511"/>
      <c r="BC184" s="1511"/>
      <c r="BD184" s="1511"/>
      <c r="BE184" s="1511"/>
      <c r="BF184" s="1511"/>
      <c r="BG184" s="1511"/>
      <c r="BH184" s="1511"/>
      <c r="BI184" s="1511"/>
      <c r="BJ184" s="1511"/>
    </row>
    <row r="185" spans="1:62">
      <c r="A185" s="1511"/>
      <c r="B185" s="1532"/>
      <c r="C185" s="1533"/>
      <c r="D185" s="1533"/>
      <c r="E185" s="1533"/>
      <c r="F185" s="1533"/>
      <c r="G185" s="1533"/>
      <c r="H185" s="1533"/>
      <c r="I185" s="1533"/>
      <c r="J185" s="1543">
        <f>SUM(J183:J184)</f>
        <v>953079.42908000003</v>
      </c>
      <c r="K185" s="1567">
        <v>90460</v>
      </c>
      <c r="L185" s="1608">
        <f>SUM(L183:L184)</f>
        <v>11.42555764800707</v>
      </c>
      <c r="M185" s="1762">
        <f>SUM(M183:M184)</f>
        <v>1.6645775192725361</v>
      </c>
      <c r="N185" s="1511"/>
      <c r="O185" s="1524" t="s">
        <v>213</v>
      </c>
      <c r="P185" s="685">
        <v>66.88</v>
      </c>
      <c r="Q185" s="1514">
        <v>3.0000000000000001E-3</v>
      </c>
      <c r="R185" s="1525">
        <v>5.9999999999999995E-4</v>
      </c>
      <c r="S185" s="1511"/>
      <c r="T185" s="1511"/>
      <c r="U185" s="1511"/>
      <c r="V185" s="1511"/>
      <c r="W185" s="1511"/>
      <c r="X185" s="1511"/>
      <c r="Y185" s="1511"/>
      <c r="Z185" s="1511"/>
      <c r="AA185" s="1511"/>
      <c r="AB185" s="1511"/>
      <c r="AC185" s="1511"/>
      <c r="AD185" s="1511"/>
      <c r="AE185" s="1511"/>
      <c r="AF185" s="1511"/>
      <c r="AG185" s="1511"/>
      <c r="AH185" s="1511"/>
      <c r="AI185" s="1511"/>
      <c r="AJ185" s="1511"/>
      <c r="AK185" s="1511"/>
      <c r="AL185" s="1511"/>
      <c r="AM185" s="1511"/>
      <c r="AN185" s="1511"/>
      <c r="AO185" s="1511"/>
      <c r="AP185" s="1511"/>
      <c r="AQ185" s="1511"/>
      <c r="AR185" s="1511"/>
      <c r="AS185" s="1511"/>
      <c r="AT185" s="1511"/>
      <c r="AU185" s="1511"/>
      <c r="AV185" s="1511"/>
      <c r="AW185" s="1511"/>
      <c r="AX185" s="1511"/>
      <c r="AY185" s="1511"/>
      <c r="AZ185" s="1511"/>
      <c r="BA185" s="1511"/>
      <c r="BB185" s="1511"/>
      <c r="BC185" s="1511"/>
      <c r="BD185" s="1511"/>
      <c r="BE185" s="1511"/>
      <c r="BF185" s="1511"/>
      <c r="BG185" s="1511"/>
      <c r="BH185" s="1511"/>
      <c r="BI185" s="1511"/>
      <c r="BJ185" s="1511"/>
    </row>
    <row r="186" spans="1:62" ht="13.5" thickBot="1">
      <c r="A186" s="1511"/>
      <c r="B186" s="1532"/>
      <c r="C186" s="1533"/>
      <c r="D186" s="1533"/>
      <c r="E186" s="1533"/>
      <c r="F186" s="1533"/>
      <c r="G186" s="1533"/>
      <c r="H186" s="1533"/>
      <c r="I186" s="1533"/>
      <c r="J186" s="1533"/>
      <c r="K186" s="1533"/>
      <c r="L186" s="1533"/>
      <c r="M186" s="1541"/>
      <c r="N186" s="1511"/>
      <c r="O186" s="1517" t="s">
        <v>1164</v>
      </c>
      <c r="P186" s="1526">
        <v>74</v>
      </c>
      <c r="Q186" s="1527">
        <v>3.0000000000000001E-3</v>
      </c>
      <c r="R186" s="1528">
        <v>5.9999999999999995E-4</v>
      </c>
      <c r="S186" s="1511"/>
      <c r="T186" s="1511"/>
      <c r="U186" s="1511"/>
      <c r="V186" s="1511"/>
      <c r="W186" s="1511"/>
      <c r="X186" s="1511"/>
      <c r="Y186" s="1511"/>
      <c r="Z186" s="1511"/>
      <c r="AA186" s="1511"/>
      <c r="AB186" s="1511"/>
      <c r="AC186" s="1511"/>
      <c r="AD186" s="1511"/>
      <c r="AE186" s="1511"/>
      <c r="AF186" s="1511"/>
      <c r="AG186" s="1511"/>
      <c r="AH186" s="1511"/>
      <c r="AI186" s="1511"/>
      <c r="AJ186" s="1511"/>
      <c r="AK186" s="1511"/>
      <c r="AL186" s="1511"/>
      <c r="AM186" s="1511"/>
      <c r="AN186" s="1511"/>
      <c r="AO186" s="1511"/>
      <c r="AP186" s="1511"/>
      <c r="AQ186" s="1511"/>
      <c r="AR186" s="1511"/>
      <c r="AS186" s="1511"/>
      <c r="AT186" s="1511"/>
      <c r="AU186" s="1511"/>
      <c r="AV186" s="1511"/>
      <c r="AW186" s="1511"/>
      <c r="AX186" s="1511"/>
      <c r="AY186" s="1511"/>
      <c r="AZ186" s="1511"/>
      <c r="BA186" s="1511"/>
      <c r="BB186" s="1511"/>
      <c r="BC186" s="1511"/>
      <c r="BD186" s="1511"/>
      <c r="BE186" s="1511"/>
      <c r="BF186" s="1511"/>
      <c r="BG186" s="1511"/>
      <c r="BH186" s="1511"/>
      <c r="BI186" s="1511"/>
      <c r="BJ186" s="1511"/>
    </row>
    <row r="187" spans="1:62">
      <c r="A187" s="1511"/>
      <c r="B187" s="1532"/>
      <c r="C187" s="1533" t="s">
        <v>289</v>
      </c>
      <c r="D187" s="1533" t="s">
        <v>756</v>
      </c>
      <c r="E187" s="1533" t="s">
        <v>47</v>
      </c>
      <c r="F187" s="1565">
        <v>28560</v>
      </c>
      <c r="G187" s="1533" t="s">
        <v>67</v>
      </c>
      <c r="H187" s="1535">
        <v>139181</v>
      </c>
      <c r="I187" s="1533" t="s">
        <v>57</v>
      </c>
      <c r="J187" s="1543">
        <f>F187*H187/1000000</f>
        <v>3975.00936</v>
      </c>
      <c r="K187" s="1568">
        <v>324</v>
      </c>
      <c r="L187" s="1608">
        <f>K187*Q181/907.1847</f>
        <v>1.0714466414612151E-3</v>
      </c>
      <c r="M187" s="1607">
        <f>K187*R181/907.1847</f>
        <v>2.1428932829224299E-4</v>
      </c>
      <c r="N187" s="1511"/>
      <c r="O187" s="1511"/>
      <c r="P187" s="1511"/>
      <c r="Q187" s="1511"/>
      <c r="R187" s="1511"/>
      <c r="S187" s="1511"/>
      <c r="T187" s="1511"/>
      <c r="U187" s="1511"/>
      <c r="V187" s="1511"/>
      <c r="W187" s="1511"/>
      <c r="X187" s="1511"/>
      <c r="Y187" s="1511"/>
      <c r="Z187" s="1511"/>
      <c r="AA187" s="1511"/>
      <c r="AB187" s="1511"/>
      <c r="AC187" s="1511"/>
      <c r="AD187" s="1511"/>
      <c r="AE187" s="1511"/>
      <c r="AF187" s="1511"/>
      <c r="AG187" s="1511"/>
      <c r="AH187" s="1511"/>
      <c r="AI187" s="1511"/>
      <c r="AJ187" s="1511"/>
      <c r="AK187" s="1511"/>
      <c r="AL187" s="1511"/>
      <c r="AM187" s="1511"/>
      <c r="AN187" s="1511"/>
      <c r="AO187" s="1511"/>
      <c r="AP187" s="1511"/>
      <c r="AQ187" s="1511"/>
      <c r="AR187" s="1511"/>
      <c r="AS187" s="1511"/>
      <c r="AT187" s="1511"/>
      <c r="AU187" s="1511"/>
      <c r="AV187" s="1511"/>
      <c r="AW187" s="1511"/>
      <c r="AX187" s="1511"/>
      <c r="AY187" s="1511"/>
      <c r="AZ187" s="1511"/>
      <c r="BA187" s="1511"/>
      <c r="BB187" s="1511"/>
      <c r="BC187" s="1511"/>
      <c r="BD187" s="1511"/>
      <c r="BE187" s="1511"/>
      <c r="BF187" s="1511"/>
      <c r="BG187" s="1511"/>
      <c r="BH187" s="1511"/>
      <c r="BI187" s="1511"/>
      <c r="BJ187" s="1511"/>
    </row>
    <row r="188" spans="1:62" ht="13.5" thickBot="1">
      <c r="A188" s="1511"/>
      <c r="B188" s="1532"/>
      <c r="C188" s="1533"/>
      <c r="D188" s="1533"/>
      <c r="E188" s="1533"/>
      <c r="F188" s="1533"/>
      <c r="G188" s="1533"/>
      <c r="H188" s="1533"/>
      <c r="I188" s="1533"/>
      <c r="J188" s="1533"/>
      <c r="K188" s="1533"/>
      <c r="L188" s="1533"/>
      <c r="M188" s="1541"/>
      <c r="N188" s="1511"/>
      <c r="O188" s="1511"/>
      <c r="P188" s="1511"/>
      <c r="Q188" s="1511"/>
      <c r="R188" s="1511"/>
      <c r="S188" s="1511"/>
      <c r="T188" s="1511"/>
      <c r="U188" s="1511"/>
      <c r="V188" s="1511"/>
      <c r="W188" s="1511"/>
      <c r="X188" s="1511"/>
      <c r="Y188" s="1511"/>
      <c r="Z188" s="1511"/>
      <c r="AA188" s="1511"/>
      <c r="AB188" s="1511"/>
      <c r="AC188" s="1511"/>
      <c r="AD188" s="1511"/>
      <c r="AE188" s="1511"/>
      <c r="AF188" s="1511"/>
      <c r="AG188" s="1511"/>
      <c r="AH188" s="1511"/>
      <c r="AI188" s="1511"/>
      <c r="AJ188" s="1511"/>
      <c r="AK188" s="1511"/>
      <c r="AL188" s="1511"/>
      <c r="AM188" s="1511"/>
      <c r="AN188" s="1511"/>
      <c r="AO188" s="1511"/>
      <c r="AP188" s="1511"/>
      <c r="AQ188" s="1511"/>
      <c r="AR188" s="1511"/>
      <c r="AS188" s="1511"/>
      <c r="AT188" s="1511"/>
      <c r="AU188" s="1511"/>
      <c r="AV188" s="1511"/>
      <c r="AW188" s="1511"/>
      <c r="AX188" s="1511"/>
      <c r="AY188" s="1511"/>
      <c r="AZ188" s="1511"/>
      <c r="BA188" s="1511"/>
      <c r="BB188" s="1511"/>
      <c r="BC188" s="1511"/>
      <c r="BD188" s="1511"/>
      <c r="BE188" s="1511"/>
      <c r="BF188" s="1511"/>
      <c r="BG188" s="1511"/>
      <c r="BH188" s="1511"/>
      <c r="BI188" s="1511"/>
      <c r="BJ188" s="1511"/>
    </row>
    <row r="189" spans="1:62">
      <c r="A189" s="1511"/>
      <c r="B189" s="1576"/>
      <c r="C189" s="1530"/>
      <c r="D189" s="1530"/>
      <c r="E189" s="1530"/>
      <c r="F189" s="1530"/>
      <c r="G189" s="1530"/>
      <c r="H189" s="1530"/>
      <c r="I189" s="1530"/>
      <c r="J189" s="1530"/>
      <c r="K189" s="1530"/>
      <c r="L189" s="1530"/>
      <c r="M189" s="1578"/>
      <c r="N189" s="1511"/>
      <c r="O189" s="1511"/>
      <c r="P189" s="1511"/>
      <c r="Q189" s="1511"/>
      <c r="R189" s="1511"/>
      <c r="S189" s="1511"/>
      <c r="T189" s="1511"/>
      <c r="U189" s="1511"/>
      <c r="V189" s="1511"/>
      <c r="W189" s="1511"/>
      <c r="X189" s="1511"/>
      <c r="Y189" s="1511"/>
      <c r="Z189" s="1511"/>
      <c r="AA189" s="1511"/>
      <c r="AB189" s="1511"/>
      <c r="AC189" s="1511"/>
      <c r="AD189" s="1511"/>
      <c r="AE189" s="1511"/>
      <c r="AF189" s="1511"/>
      <c r="AG189" s="1511"/>
      <c r="AH189" s="1511"/>
      <c r="AI189" s="1511"/>
      <c r="AJ189" s="1511"/>
      <c r="AK189" s="1511"/>
      <c r="AL189" s="1511"/>
      <c r="AM189" s="1511"/>
      <c r="AN189" s="1511"/>
      <c r="AO189" s="1511"/>
      <c r="AP189" s="1511"/>
      <c r="AQ189" s="1511"/>
      <c r="AR189" s="1511"/>
      <c r="AS189" s="1511"/>
      <c r="AT189" s="1511"/>
      <c r="AU189" s="1511"/>
      <c r="AV189" s="1511"/>
      <c r="AW189" s="1511"/>
      <c r="AX189" s="1511"/>
      <c r="AY189" s="1511"/>
      <c r="AZ189" s="1511"/>
      <c r="BA189" s="1511"/>
      <c r="BB189" s="1511"/>
      <c r="BC189" s="1511"/>
      <c r="BD189" s="1511"/>
      <c r="BE189" s="1511"/>
      <c r="BF189" s="1511"/>
      <c r="BG189" s="1511"/>
      <c r="BH189" s="1511"/>
      <c r="BI189" s="1511"/>
      <c r="BJ189" s="1511"/>
    </row>
    <row r="190" spans="1:62">
      <c r="A190" s="1511"/>
      <c r="B190" s="1532"/>
      <c r="C190" s="1533"/>
      <c r="D190" s="1533"/>
      <c r="E190" s="1533"/>
      <c r="F190" s="1533"/>
      <c r="G190" s="1533"/>
      <c r="H190" s="1533"/>
      <c r="I190" s="1533"/>
      <c r="J190" s="1533"/>
      <c r="K190" s="1533"/>
      <c r="L190" s="1533"/>
      <c r="M190" s="1541"/>
      <c r="N190" s="1511"/>
      <c r="O190" s="1511"/>
      <c r="P190" s="1511"/>
      <c r="Q190" s="1511"/>
      <c r="R190" s="1511"/>
      <c r="S190" s="1511"/>
      <c r="T190" s="1511"/>
      <c r="U190" s="1511"/>
      <c r="V190" s="1511"/>
      <c r="W190" s="1511"/>
      <c r="X190" s="1511"/>
      <c r="Y190" s="1511"/>
      <c r="Z190" s="1511"/>
      <c r="AA190" s="1511"/>
      <c r="AB190" s="1511"/>
      <c r="AC190" s="1511"/>
      <c r="AD190" s="1511"/>
      <c r="AE190" s="1511"/>
      <c r="AF190" s="1511"/>
      <c r="AG190" s="1511"/>
      <c r="AH190" s="1511"/>
      <c r="AI190" s="1511"/>
      <c r="AJ190" s="1511"/>
      <c r="AK190" s="1511"/>
      <c r="AL190" s="1511"/>
      <c r="AM190" s="1511"/>
      <c r="AN190" s="1511"/>
      <c r="AO190" s="1511"/>
      <c r="AP190" s="1511"/>
      <c r="AQ190" s="1511"/>
      <c r="AR190" s="1511"/>
      <c r="AS190" s="1511"/>
      <c r="AT190" s="1511"/>
      <c r="AU190" s="1511"/>
      <c r="AV190" s="1511"/>
      <c r="AW190" s="1511"/>
      <c r="AX190" s="1511"/>
      <c r="AY190" s="1511"/>
      <c r="AZ190" s="1511"/>
      <c r="BA190" s="1511"/>
      <c r="BB190" s="1511"/>
      <c r="BC190" s="1511"/>
      <c r="BD190" s="1511"/>
      <c r="BE190" s="1511"/>
      <c r="BF190" s="1511"/>
      <c r="BG190" s="1511"/>
      <c r="BH190" s="1511"/>
      <c r="BI190" s="1511"/>
      <c r="BJ190" s="1511"/>
    </row>
    <row r="191" spans="1:62">
      <c r="A191" s="1511"/>
      <c r="B191" s="1532" t="s">
        <v>58</v>
      </c>
      <c r="C191" s="169" t="s">
        <v>59</v>
      </c>
      <c r="D191" s="1533"/>
      <c r="E191" s="1533"/>
      <c r="F191" s="1533"/>
      <c r="G191" s="1533"/>
      <c r="H191" s="1533"/>
      <c r="I191" s="1533"/>
      <c r="J191" s="1533"/>
      <c r="K191" s="1533"/>
      <c r="L191" s="1533"/>
      <c r="M191" s="1541"/>
      <c r="N191" s="1511"/>
      <c r="O191" s="1511"/>
      <c r="P191" s="1511"/>
      <c r="Q191" s="1511"/>
      <c r="R191" s="1511"/>
      <c r="S191" s="1511"/>
      <c r="T191" s="1511"/>
      <c r="U191" s="1511"/>
      <c r="V191" s="1511"/>
      <c r="W191" s="1511"/>
      <c r="X191" s="1511"/>
      <c r="Y191" s="1511"/>
      <c r="Z191" s="1511"/>
      <c r="AA191" s="1511"/>
      <c r="AB191" s="1511"/>
      <c r="AC191" s="1511"/>
      <c r="AD191" s="1511"/>
      <c r="AE191" s="1511"/>
      <c r="AF191" s="1511"/>
      <c r="AG191" s="1511"/>
      <c r="AH191" s="1511"/>
      <c r="AI191" s="1511"/>
      <c r="AJ191" s="1511"/>
      <c r="AK191" s="1511"/>
      <c r="AL191" s="1511"/>
      <c r="AM191" s="1511"/>
      <c r="AN191" s="1511"/>
      <c r="AO191" s="1511"/>
      <c r="AP191" s="1511"/>
      <c r="AQ191" s="1511"/>
      <c r="AR191" s="1511"/>
      <c r="AS191" s="1511"/>
      <c r="AT191" s="1511"/>
      <c r="AU191" s="1511"/>
      <c r="AV191" s="1511"/>
      <c r="AW191" s="1511"/>
      <c r="AX191" s="1511"/>
      <c r="AY191" s="1511"/>
      <c r="AZ191" s="1511"/>
      <c r="BA191" s="1511"/>
      <c r="BB191" s="1511"/>
      <c r="BC191" s="1511"/>
      <c r="BD191" s="1511"/>
      <c r="BE191" s="1511"/>
      <c r="BF191" s="1511"/>
      <c r="BG191" s="1511"/>
      <c r="BH191" s="1511"/>
      <c r="BI191" s="1511"/>
      <c r="BJ191" s="1511"/>
    </row>
    <row r="192" spans="1:62">
      <c r="A192" s="1511"/>
      <c r="B192" s="1532"/>
      <c r="C192" s="1533" t="s">
        <v>60</v>
      </c>
      <c r="D192" s="1533" t="s">
        <v>1255</v>
      </c>
      <c r="E192" s="1533" t="s">
        <v>77</v>
      </c>
      <c r="F192" s="1565">
        <v>684480000</v>
      </c>
      <c r="G192" s="1533" t="s">
        <v>147</v>
      </c>
      <c r="H192" s="1535">
        <v>1055.5999999999999</v>
      </c>
      <c r="I192" s="1533" t="s">
        <v>761</v>
      </c>
      <c r="J192" s="1540">
        <f>F192*H192/1000000</f>
        <v>722537.08799999987</v>
      </c>
      <c r="K192" s="1537">
        <f>J192/J194*K194</f>
        <v>35452.350190995559</v>
      </c>
      <c r="L192" s="1603">
        <f>J192*Q179/907.1847</f>
        <v>0.79646083978268145</v>
      </c>
      <c r="M192" s="1604">
        <f>J192*R179/907.1847</f>
        <v>7.964608397826814E-2</v>
      </c>
      <c r="N192" s="1511"/>
      <c r="O192" s="1511"/>
      <c r="P192" s="1511"/>
      <c r="Q192" s="1511"/>
      <c r="R192" s="1511"/>
      <c r="S192" s="1511"/>
      <c r="T192" s="1511"/>
      <c r="U192" s="1511"/>
      <c r="V192" s="1511"/>
      <c r="W192" s="1511"/>
      <c r="X192" s="1511"/>
      <c r="Y192" s="1511"/>
      <c r="Z192" s="1511"/>
      <c r="AA192" s="1511"/>
      <c r="AB192" s="1511"/>
      <c r="AC192" s="1511"/>
      <c r="AD192" s="1511"/>
      <c r="AE192" s="1511"/>
      <c r="AF192" s="1511"/>
      <c r="AG192" s="1511"/>
      <c r="AH192" s="1511"/>
      <c r="AI192" s="1511"/>
      <c r="AJ192" s="1511"/>
      <c r="AK192" s="1511"/>
      <c r="AL192" s="1511"/>
      <c r="AM192" s="1511"/>
      <c r="AN192" s="1511"/>
      <c r="AO192" s="1511"/>
      <c r="AP192" s="1511"/>
      <c r="AQ192" s="1511"/>
      <c r="AR192" s="1511"/>
      <c r="AS192" s="1511"/>
      <c r="AT192" s="1511"/>
      <c r="AU192" s="1511"/>
      <c r="AV192" s="1511"/>
      <c r="AW192" s="1511"/>
      <c r="AX192" s="1511"/>
      <c r="AY192" s="1511"/>
      <c r="AZ192" s="1511"/>
      <c r="BA192" s="1511"/>
      <c r="BB192" s="1511"/>
      <c r="BC192" s="1511"/>
      <c r="BD192" s="1511"/>
      <c r="BE192" s="1511"/>
      <c r="BF192" s="1511"/>
      <c r="BG192" s="1511"/>
      <c r="BH192" s="1511"/>
      <c r="BI192" s="1511"/>
      <c r="BJ192" s="1511"/>
    </row>
    <row r="193" spans="1:62">
      <c r="A193" s="1511"/>
      <c r="B193" s="1532"/>
      <c r="C193" s="1533"/>
      <c r="D193" s="1533"/>
      <c r="E193" s="1533" t="s">
        <v>47</v>
      </c>
      <c r="F193" s="1565">
        <v>192360</v>
      </c>
      <c r="G193" s="1533" t="s">
        <v>67</v>
      </c>
      <c r="H193" s="1535">
        <v>139181</v>
      </c>
      <c r="I193" s="1533" t="s">
        <v>57</v>
      </c>
      <c r="J193" s="1540">
        <f>F193*H193/1000000</f>
        <v>26772.85716</v>
      </c>
      <c r="K193" s="1537">
        <f>J193/J194*K194</f>
        <v>1313.6498090044383</v>
      </c>
      <c r="L193" s="1603">
        <f>J193*Q181/907.1847</f>
        <v>8.8536073723465572E-2</v>
      </c>
      <c r="M193" s="1604">
        <f>J193*R181/907.1847</f>
        <v>1.7707214744693112E-2</v>
      </c>
      <c r="N193" s="1511"/>
      <c r="O193" s="1511"/>
      <c r="P193" s="1511"/>
      <c r="Q193" s="1511"/>
      <c r="R193" s="1511"/>
      <c r="S193" s="1511"/>
      <c r="T193" s="1511"/>
      <c r="U193" s="1511"/>
      <c r="V193" s="1511"/>
      <c r="W193" s="1511"/>
      <c r="X193" s="1511"/>
      <c r="Y193" s="1511"/>
      <c r="Z193" s="1511"/>
      <c r="AA193" s="1511"/>
      <c r="AB193" s="1511"/>
      <c r="AC193" s="1511"/>
      <c r="AD193" s="1511"/>
      <c r="AE193" s="1511"/>
      <c r="AF193" s="1511"/>
      <c r="AG193" s="1511"/>
      <c r="AH193" s="1511"/>
      <c r="AI193" s="1511"/>
      <c r="AJ193" s="1511"/>
      <c r="AK193" s="1511"/>
      <c r="AL193" s="1511"/>
      <c r="AM193" s="1511"/>
      <c r="AN193" s="1511"/>
      <c r="AO193" s="1511"/>
      <c r="AP193" s="1511"/>
      <c r="AQ193" s="1511"/>
      <c r="AR193" s="1511"/>
      <c r="AS193" s="1511"/>
      <c r="AT193" s="1511"/>
      <c r="AU193" s="1511"/>
      <c r="AV193" s="1511"/>
      <c r="AW193" s="1511"/>
      <c r="AX193" s="1511"/>
      <c r="AY193" s="1511"/>
      <c r="AZ193" s="1511"/>
      <c r="BA193" s="1511"/>
      <c r="BB193" s="1511"/>
      <c r="BC193" s="1511"/>
      <c r="BD193" s="1511"/>
      <c r="BE193" s="1511"/>
      <c r="BF193" s="1511"/>
      <c r="BG193" s="1511"/>
      <c r="BH193" s="1511"/>
      <c r="BI193" s="1511"/>
      <c r="BJ193" s="1511"/>
    </row>
    <row r="194" spans="1:62">
      <c r="A194" s="1511"/>
      <c r="B194" s="1532"/>
      <c r="C194" s="1533"/>
      <c r="D194" s="1533"/>
      <c r="E194" s="1533"/>
      <c r="F194" s="1533"/>
      <c r="G194" s="1533"/>
      <c r="H194" s="1533"/>
      <c r="I194" s="1533"/>
      <c r="J194" s="1543">
        <f>SUM(J192:J193)</f>
        <v>749309.94515999989</v>
      </c>
      <c r="K194" s="1567">
        <v>36766</v>
      </c>
      <c r="L194" s="1608">
        <f>SUM(L192:L193)</f>
        <v>0.88499691350614706</v>
      </c>
      <c r="M194" s="1762">
        <f>SUM(M192:M193)</f>
        <v>9.7353298722961251E-2</v>
      </c>
      <c r="N194" s="1511"/>
      <c r="O194" s="1511"/>
      <c r="P194" s="1511"/>
      <c r="Q194" s="1511"/>
      <c r="R194" s="1511"/>
      <c r="S194" s="1511"/>
      <c r="T194" s="1511"/>
      <c r="U194" s="1511"/>
      <c r="V194" s="1511"/>
      <c r="W194" s="1511"/>
      <c r="X194" s="1511"/>
      <c r="Y194" s="1511"/>
      <c r="Z194" s="1511"/>
      <c r="AA194" s="1511"/>
      <c r="AB194" s="1511"/>
      <c r="AC194" s="1511"/>
      <c r="AD194" s="1511"/>
      <c r="AE194" s="1511"/>
      <c r="AF194" s="1511"/>
      <c r="AG194" s="1511"/>
      <c r="AH194" s="1511"/>
      <c r="AI194" s="1511"/>
      <c r="AJ194" s="1511"/>
      <c r="AK194" s="1511"/>
      <c r="AL194" s="1511"/>
      <c r="AM194" s="1511"/>
      <c r="AN194" s="1511"/>
      <c r="AO194" s="1511"/>
      <c r="AP194" s="1511"/>
      <c r="AQ194" s="1511"/>
      <c r="AR194" s="1511"/>
      <c r="AS194" s="1511"/>
      <c r="AT194" s="1511"/>
      <c r="AU194" s="1511"/>
      <c r="AV194" s="1511"/>
      <c r="AW194" s="1511"/>
      <c r="AX194" s="1511"/>
      <c r="AY194" s="1511"/>
      <c r="AZ194" s="1511"/>
      <c r="BA194" s="1511"/>
      <c r="BB194" s="1511"/>
      <c r="BC194" s="1511"/>
      <c r="BD194" s="1511"/>
      <c r="BE194" s="1511"/>
      <c r="BF194" s="1511"/>
      <c r="BG194" s="1511"/>
      <c r="BH194" s="1511"/>
      <c r="BI194" s="1511"/>
      <c r="BJ194" s="1511"/>
    </row>
    <row r="195" spans="1:62">
      <c r="A195" s="1511"/>
      <c r="B195" s="1532"/>
      <c r="C195" s="1533"/>
      <c r="D195" s="1533"/>
      <c r="E195" s="1533"/>
      <c r="F195" s="1533"/>
      <c r="G195" s="1533"/>
      <c r="H195" s="1533"/>
      <c r="I195" s="1533"/>
      <c r="J195" s="1533"/>
      <c r="K195" s="1533"/>
      <c r="L195" s="1533"/>
      <c r="M195" s="1541"/>
      <c r="N195" s="1756">
        <f>K176+K181+K185</f>
        <v>250367</v>
      </c>
      <c r="O195" s="1539">
        <f>J176+J181+J185</f>
        <v>2637841.706458</v>
      </c>
      <c r="P195" s="1511"/>
      <c r="Q195" s="1511"/>
      <c r="R195" s="1511"/>
      <c r="S195" s="1511"/>
      <c r="T195" s="1511"/>
      <c r="U195" s="1511"/>
      <c r="V195" s="1511"/>
      <c r="W195" s="1511"/>
      <c r="X195" s="1511"/>
      <c r="Y195" s="1511"/>
      <c r="Z195" s="1511"/>
      <c r="AA195" s="1511"/>
      <c r="AB195" s="1511"/>
      <c r="AC195" s="1511"/>
      <c r="AD195" s="1511"/>
      <c r="AE195" s="1511"/>
      <c r="AF195" s="1511"/>
      <c r="AG195" s="1511"/>
      <c r="AH195" s="1511"/>
      <c r="AI195" s="1511"/>
      <c r="AJ195" s="1511"/>
      <c r="AK195" s="1511"/>
      <c r="AL195" s="1511"/>
      <c r="AM195" s="1511"/>
      <c r="AN195" s="1511"/>
      <c r="AO195" s="1511"/>
      <c r="AP195" s="1511"/>
      <c r="AQ195" s="1511"/>
      <c r="AR195" s="1511"/>
      <c r="AS195" s="1511"/>
      <c r="AT195" s="1511"/>
      <c r="AU195" s="1511"/>
      <c r="AV195" s="1511"/>
      <c r="AW195" s="1511"/>
      <c r="AX195" s="1511"/>
      <c r="AY195" s="1511"/>
      <c r="AZ195" s="1511"/>
      <c r="BA195" s="1511"/>
      <c r="BB195" s="1511"/>
      <c r="BC195" s="1511"/>
      <c r="BD195" s="1511"/>
      <c r="BE195" s="1511"/>
      <c r="BF195" s="1511"/>
      <c r="BG195" s="1511"/>
      <c r="BH195" s="1511"/>
      <c r="BI195" s="1511"/>
      <c r="BJ195" s="1511"/>
    </row>
    <row r="196" spans="1:62">
      <c r="A196" s="1511"/>
      <c r="B196" s="1532"/>
      <c r="C196" s="1533" t="s">
        <v>60</v>
      </c>
      <c r="D196" s="1533" t="s">
        <v>1256</v>
      </c>
      <c r="E196" s="1533" t="s">
        <v>77</v>
      </c>
      <c r="F196" s="1565">
        <v>749420000</v>
      </c>
      <c r="G196" s="1533" t="s">
        <v>147</v>
      </c>
      <c r="H196" s="1535">
        <v>1055.5999999999999</v>
      </c>
      <c r="I196" s="1533" t="s">
        <v>761</v>
      </c>
      <c r="J196" s="1540">
        <f>F196*H196/1000000</f>
        <v>791087.75199999986</v>
      </c>
      <c r="K196" s="1537">
        <f>J196/J198*K198</f>
        <v>37802.280332268456</v>
      </c>
      <c r="L196" s="1603">
        <f>J196*Q179/907.1847</f>
        <v>0.87202501541306843</v>
      </c>
      <c r="M196" s="1604">
        <f>J196*R179/907.1847</f>
        <v>8.7202501541306848E-2</v>
      </c>
      <c r="N196" s="1511"/>
      <c r="O196" s="1511"/>
      <c r="P196" s="1511"/>
      <c r="Q196" s="1511"/>
      <c r="R196" s="1511"/>
      <c r="S196" s="1511"/>
      <c r="T196" s="1511"/>
      <c r="U196" s="1511"/>
      <c r="V196" s="1511"/>
      <c r="W196" s="1511"/>
      <c r="X196" s="1511"/>
      <c r="Y196" s="1511"/>
      <c r="Z196" s="1511"/>
      <c r="AA196" s="1511"/>
      <c r="AB196" s="1511"/>
      <c r="AC196" s="1511"/>
      <c r="AD196" s="1511"/>
      <c r="AE196" s="1511"/>
      <c r="AF196" s="1511"/>
      <c r="AG196" s="1511"/>
      <c r="AH196" s="1511"/>
      <c r="AI196" s="1511"/>
      <c r="AJ196" s="1511"/>
      <c r="AK196" s="1511"/>
      <c r="AL196" s="1511"/>
      <c r="AM196" s="1511"/>
      <c r="AN196" s="1511"/>
      <c r="AO196" s="1511"/>
      <c r="AP196" s="1511"/>
      <c r="AQ196" s="1511"/>
      <c r="AR196" s="1511"/>
      <c r="AS196" s="1511"/>
      <c r="AT196" s="1511"/>
      <c r="AU196" s="1511"/>
      <c r="AV196" s="1511"/>
      <c r="AW196" s="1511"/>
      <c r="AX196" s="1511"/>
      <c r="AY196" s="1511"/>
      <c r="AZ196" s="1511"/>
      <c r="BA196" s="1511"/>
      <c r="BB196" s="1511"/>
      <c r="BC196" s="1511"/>
      <c r="BD196" s="1511"/>
      <c r="BE196" s="1511"/>
      <c r="BF196" s="1511"/>
      <c r="BG196" s="1511"/>
      <c r="BH196" s="1511"/>
      <c r="BI196" s="1511"/>
      <c r="BJ196" s="1511"/>
    </row>
    <row r="197" spans="1:62">
      <c r="A197" s="1511"/>
      <c r="B197" s="1532"/>
      <c r="C197" s="1533"/>
      <c r="D197" s="1533"/>
      <c r="E197" s="1533" t="s">
        <v>47</v>
      </c>
      <c r="F197" s="1565">
        <v>118440</v>
      </c>
      <c r="G197" s="1533" t="s">
        <v>67</v>
      </c>
      <c r="H197" s="1535">
        <v>139181</v>
      </c>
      <c r="I197" s="1533" t="s">
        <v>57</v>
      </c>
      <c r="J197" s="1540">
        <f>F197*H197/1000000</f>
        <v>16484.59764</v>
      </c>
      <c r="K197" s="1537">
        <f>J197/J198*K198</f>
        <v>787.71966773154031</v>
      </c>
      <c r="L197" s="1603">
        <f>J197*Q181/907.1847</f>
        <v>5.451347770746133E-2</v>
      </c>
      <c r="M197" s="1604">
        <f>J197*R181/907.1847</f>
        <v>1.0902695541492265E-2</v>
      </c>
      <c r="N197" s="1511"/>
      <c r="O197" s="1511"/>
      <c r="P197" s="1511"/>
      <c r="Q197" s="1511"/>
      <c r="R197" s="1511"/>
      <c r="S197" s="1511"/>
      <c r="T197" s="1511"/>
      <c r="U197" s="1511"/>
      <c r="V197" s="1511"/>
      <c r="W197" s="1511"/>
      <c r="X197" s="1511"/>
      <c r="Y197" s="1511"/>
      <c r="Z197" s="1511"/>
      <c r="AA197" s="1511"/>
      <c r="AB197" s="1511"/>
      <c r="AC197" s="1511"/>
      <c r="AD197" s="1511"/>
      <c r="AE197" s="1511"/>
      <c r="AF197" s="1511"/>
      <c r="AG197" s="1511"/>
      <c r="AH197" s="1511"/>
      <c r="AI197" s="1511"/>
      <c r="AJ197" s="1511"/>
      <c r="AK197" s="1511"/>
      <c r="AL197" s="1511"/>
      <c r="AM197" s="1511"/>
      <c r="AN197" s="1511"/>
      <c r="AO197" s="1511"/>
      <c r="AP197" s="1511"/>
      <c r="AQ197" s="1511"/>
      <c r="AR197" s="1511"/>
      <c r="AS197" s="1511"/>
      <c r="AT197" s="1511"/>
      <c r="AU197" s="1511"/>
      <c r="AV197" s="1511"/>
      <c r="AW197" s="1511"/>
      <c r="AX197" s="1511"/>
      <c r="AY197" s="1511"/>
      <c r="AZ197" s="1511"/>
      <c r="BA197" s="1511"/>
      <c r="BB197" s="1511"/>
      <c r="BC197" s="1511"/>
      <c r="BD197" s="1511"/>
      <c r="BE197" s="1511"/>
      <c r="BF197" s="1511"/>
      <c r="BG197" s="1511"/>
      <c r="BH197" s="1511"/>
      <c r="BI197" s="1511"/>
      <c r="BJ197" s="1511"/>
    </row>
    <row r="198" spans="1:62">
      <c r="A198" s="1511"/>
      <c r="B198" s="1532"/>
      <c r="C198" s="1533"/>
      <c r="D198" s="1533"/>
      <c r="E198" s="1533"/>
      <c r="F198" s="1533"/>
      <c r="G198" s="1533"/>
      <c r="H198" s="1533"/>
      <c r="I198" s="1533"/>
      <c r="J198" s="1543">
        <f>SUM(J196:J197)</f>
        <v>807572.34963999991</v>
      </c>
      <c r="K198" s="1554">
        <v>38590</v>
      </c>
      <c r="L198" s="1608">
        <f>SUM(L196:L197)</f>
        <v>0.92653849312052972</v>
      </c>
      <c r="M198" s="1762">
        <f>SUM(M196:M197)</f>
        <v>9.8105197082799106E-2</v>
      </c>
      <c r="N198" s="1511"/>
      <c r="O198" s="1757">
        <f>F174+F178+F183</f>
        <v>100030</v>
      </c>
      <c r="P198" s="1511"/>
      <c r="Q198" s="1511"/>
      <c r="R198" s="1511"/>
      <c r="S198" s="1511"/>
      <c r="T198" s="1511"/>
      <c r="U198" s="1511"/>
      <c r="V198" s="1511"/>
      <c r="W198" s="1511"/>
      <c r="X198" s="1511"/>
      <c r="Y198" s="1511"/>
      <c r="Z198" s="1511"/>
      <c r="AA198" s="1511"/>
      <c r="AB198" s="1511"/>
      <c r="AC198" s="1511"/>
      <c r="AD198" s="1511"/>
      <c r="AE198" s="1511"/>
      <c r="AF198" s="1511"/>
      <c r="AG198" s="1511"/>
      <c r="AH198" s="1511"/>
      <c r="AI198" s="1511"/>
      <c r="AJ198" s="1511"/>
      <c r="AK198" s="1511"/>
      <c r="AL198" s="1511"/>
      <c r="AM198" s="1511"/>
      <c r="AN198" s="1511"/>
      <c r="AO198" s="1511"/>
      <c r="AP198" s="1511"/>
      <c r="AQ198" s="1511"/>
      <c r="AR198" s="1511"/>
      <c r="AS198" s="1511"/>
      <c r="AT198" s="1511"/>
      <c r="AU198" s="1511"/>
      <c r="AV198" s="1511"/>
      <c r="AW198" s="1511"/>
      <c r="AX198" s="1511"/>
      <c r="AY198" s="1511"/>
      <c r="AZ198" s="1511"/>
      <c r="BA198" s="1511"/>
      <c r="BB198" s="1511"/>
      <c r="BC198" s="1511"/>
      <c r="BD198" s="1511"/>
      <c r="BE198" s="1511"/>
      <c r="BF198" s="1511"/>
      <c r="BG198" s="1511"/>
      <c r="BH198" s="1511"/>
      <c r="BI198" s="1511"/>
      <c r="BJ198" s="1511"/>
    </row>
    <row r="199" spans="1:62" ht="13.5" thickBot="1">
      <c r="A199" s="1511"/>
      <c r="B199" s="1532"/>
      <c r="C199" s="1533"/>
      <c r="D199" s="1533"/>
      <c r="E199" s="1533"/>
      <c r="F199" s="1533"/>
      <c r="G199" s="1533"/>
      <c r="H199" s="1533"/>
      <c r="I199" s="1533"/>
      <c r="J199" s="1533"/>
      <c r="K199" s="1533"/>
      <c r="L199" s="1533"/>
      <c r="M199" s="1541"/>
      <c r="N199" s="1511"/>
      <c r="O199" s="1511"/>
      <c r="P199" s="1511"/>
      <c r="Q199" s="1511"/>
      <c r="R199" s="1511"/>
      <c r="S199" s="1511"/>
      <c r="T199" s="1511"/>
      <c r="U199" s="1511"/>
      <c r="V199" s="1511"/>
      <c r="W199" s="1511"/>
      <c r="X199" s="1511"/>
      <c r="Y199" s="1511"/>
      <c r="Z199" s="1511"/>
      <c r="AA199" s="1511"/>
      <c r="AB199" s="1511"/>
      <c r="AC199" s="1511"/>
      <c r="AD199" s="1511"/>
      <c r="AE199" s="1511"/>
      <c r="AF199" s="1511"/>
      <c r="AG199" s="1511"/>
      <c r="AH199" s="1511"/>
      <c r="AI199" s="1511"/>
      <c r="AJ199" s="1511"/>
      <c r="AK199" s="1511"/>
      <c r="AL199" s="1511"/>
      <c r="AM199" s="1511"/>
      <c r="AN199" s="1511"/>
      <c r="AO199" s="1511"/>
      <c r="AP199" s="1511"/>
      <c r="AQ199" s="1511"/>
      <c r="AR199" s="1511"/>
      <c r="AS199" s="1511"/>
      <c r="AT199" s="1511"/>
      <c r="AU199" s="1511"/>
      <c r="AV199" s="1511"/>
      <c r="AW199" s="1511"/>
      <c r="AX199" s="1511"/>
      <c r="AY199" s="1511"/>
      <c r="AZ199" s="1511"/>
      <c r="BA199" s="1511"/>
      <c r="BB199" s="1511"/>
      <c r="BC199" s="1511"/>
      <c r="BD199" s="1511"/>
      <c r="BE199" s="1511"/>
      <c r="BF199" s="1511"/>
      <c r="BG199" s="1511"/>
      <c r="BH199" s="1511"/>
      <c r="BI199" s="1511"/>
      <c r="BJ199" s="1511"/>
    </row>
    <row r="200" spans="1:62">
      <c r="A200" s="1511"/>
      <c r="B200" s="1576"/>
      <c r="C200" s="1530"/>
      <c r="D200" s="1530"/>
      <c r="E200" s="1530"/>
      <c r="F200" s="1530"/>
      <c r="G200" s="1530"/>
      <c r="H200" s="1530"/>
      <c r="I200" s="1530"/>
      <c r="J200" s="1530"/>
      <c r="K200" s="1530"/>
      <c r="L200" s="1530"/>
      <c r="M200" s="1578"/>
      <c r="N200" s="1511"/>
      <c r="O200" s="1511"/>
      <c r="P200" s="1511"/>
      <c r="Q200" s="1511"/>
      <c r="R200" s="1511"/>
      <c r="S200" s="1511"/>
      <c r="T200" s="1511"/>
      <c r="U200" s="1511"/>
      <c r="V200" s="1511"/>
      <c r="W200" s="1511"/>
      <c r="X200" s="1511"/>
      <c r="Y200" s="1511"/>
      <c r="Z200" s="1511"/>
      <c r="AA200" s="1511"/>
      <c r="AB200" s="1511"/>
      <c r="AC200" s="1511"/>
      <c r="AD200" s="1511"/>
      <c r="AE200" s="1511"/>
      <c r="AF200" s="1511"/>
      <c r="AG200" s="1511"/>
      <c r="AH200" s="1511"/>
      <c r="AI200" s="1511"/>
      <c r="AJ200" s="1511"/>
      <c r="AK200" s="1511"/>
      <c r="AL200" s="1511"/>
      <c r="AM200" s="1511"/>
      <c r="AN200" s="1511"/>
      <c r="AO200" s="1511"/>
      <c r="AP200" s="1511"/>
      <c r="AQ200" s="1511"/>
      <c r="AR200" s="1511"/>
      <c r="AS200" s="1511"/>
      <c r="AT200" s="1511"/>
      <c r="AU200" s="1511"/>
      <c r="AV200" s="1511"/>
      <c r="AW200" s="1511"/>
      <c r="AX200" s="1511"/>
      <c r="AY200" s="1511"/>
      <c r="AZ200" s="1511"/>
      <c r="BA200" s="1511"/>
      <c r="BB200" s="1511"/>
      <c r="BC200" s="1511"/>
      <c r="BD200" s="1511"/>
      <c r="BE200" s="1511"/>
      <c r="BF200" s="1511"/>
      <c r="BG200" s="1511"/>
      <c r="BH200" s="1511"/>
      <c r="BI200" s="1511"/>
      <c r="BJ200" s="1511"/>
    </row>
    <row r="201" spans="1:62">
      <c r="A201" s="1511"/>
      <c r="B201" s="1532"/>
      <c r="C201" s="1533"/>
      <c r="D201" s="1533"/>
      <c r="E201" s="1533"/>
      <c r="F201" s="1533"/>
      <c r="G201" s="1533"/>
      <c r="H201" s="1533"/>
      <c r="I201" s="1533"/>
      <c r="J201" s="1533"/>
      <c r="K201" s="1533"/>
      <c r="L201" s="1533"/>
      <c r="M201" s="1541"/>
      <c r="N201" s="1511"/>
      <c r="O201" s="1511"/>
      <c r="P201" s="1511"/>
      <c r="Q201" s="1511"/>
      <c r="R201" s="1511"/>
      <c r="S201" s="1511"/>
      <c r="T201" s="1511"/>
      <c r="U201" s="1511"/>
      <c r="V201" s="1511"/>
      <c r="W201" s="1511"/>
      <c r="X201" s="1511"/>
      <c r="Y201" s="1511"/>
      <c r="Z201" s="1511"/>
      <c r="AA201" s="1511"/>
      <c r="AB201" s="1511"/>
      <c r="AC201" s="1511"/>
      <c r="AD201" s="1511"/>
      <c r="AE201" s="1511"/>
      <c r="AF201" s="1511"/>
      <c r="AG201" s="1511"/>
      <c r="AH201" s="1511"/>
      <c r="AI201" s="1511"/>
      <c r="AJ201" s="1511"/>
      <c r="AK201" s="1511"/>
      <c r="AL201" s="1511"/>
      <c r="AM201" s="1511"/>
      <c r="AN201" s="1511"/>
      <c r="AO201" s="1511"/>
      <c r="AP201" s="1511"/>
      <c r="AQ201" s="1511"/>
      <c r="AR201" s="1511"/>
      <c r="AS201" s="1511"/>
      <c r="AT201" s="1511"/>
      <c r="AU201" s="1511"/>
      <c r="AV201" s="1511"/>
      <c r="AW201" s="1511"/>
      <c r="AX201" s="1511"/>
      <c r="AY201" s="1511"/>
      <c r="AZ201" s="1511"/>
      <c r="BA201" s="1511"/>
      <c r="BB201" s="1511"/>
      <c r="BC201" s="1511"/>
      <c r="BD201" s="1511"/>
      <c r="BE201" s="1511"/>
      <c r="BF201" s="1511"/>
      <c r="BG201" s="1511"/>
      <c r="BH201" s="1511"/>
      <c r="BI201" s="1511"/>
      <c r="BJ201" s="1511"/>
    </row>
    <row r="202" spans="1:62">
      <c r="A202" s="1511"/>
      <c r="B202" s="1532"/>
      <c r="C202" s="1533"/>
      <c r="D202" s="1533"/>
      <c r="E202" s="1533"/>
      <c r="F202" s="1533"/>
      <c r="G202" s="1533"/>
      <c r="H202" s="1533"/>
      <c r="I202" s="1533"/>
      <c r="J202" s="1533"/>
      <c r="K202" s="1533"/>
      <c r="L202" s="1533"/>
      <c r="M202" s="1541"/>
      <c r="N202" s="1511"/>
      <c r="O202" s="1511"/>
      <c r="P202" s="1511"/>
      <c r="Q202" s="1511"/>
      <c r="R202" s="1511"/>
      <c r="S202" s="1511"/>
      <c r="T202" s="1511"/>
      <c r="U202" s="1511"/>
      <c r="V202" s="1511"/>
      <c r="W202" s="1511"/>
      <c r="X202" s="1511"/>
      <c r="Y202" s="1511"/>
      <c r="Z202" s="1511"/>
      <c r="AA202" s="1511"/>
      <c r="AB202" s="1511"/>
      <c r="AC202" s="1511"/>
      <c r="AD202" s="1511"/>
      <c r="AE202" s="1511"/>
      <c r="AF202" s="1511"/>
      <c r="AG202" s="1511"/>
      <c r="AH202" s="1511"/>
      <c r="AI202" s="1511"/>
      <c r="AJ202" s="1511"/>
      <c r="AK202" s="1511"/>
      <c r="AL202" s="1511"/>
      <c r="AM202" s="1511"/>
      <c r="AN202" s="1511"/>
      <c r="AO202" s="1511"/>
      <c r="AP202" s="1511"/>
      <c r="AQ202" s="1511"/>
      <c r="AR202" s="1511"/>
      <c r="AS202" s="1511"/>
      <c r="AT202" s="1511"/>
      <c r="AU202" s="1511"/>
      <c r="AV202" s="1511"/>
      <c r="AW202" s="1511"/>
      <c r="AX202" s="1511"/>
      <c r="AY202" s="1511"/>
      <c r="AZ202" s="1511"/>
      <c r="BA202" s="1511"/>
      <c r="BB202" s="1511"/>
      <c r="BC202" s="1511"/>
      <c r="BD202" s="1511"/>
      <c r="BE202" s="1511"/>
      <c r="BF202" s="1511"/>
      <c r="BG202" s="1511"/>
      <c r="BH202" s="1511"/>
      <c r="BI202" s="1511"/>
      <c r="BJ202" s="1511"/>
    </row>
    <row r="203" spans="1:62">
      <c r="A203" s="1511"/>
      <c r="B203" s="1532" t="s">
        <v>8</v>
      </c>
      <c r="C203" s="169" t="s">
        <v>9</v>
      </c>
      <c r="D203" s="1533"/>
      <c r="E203" s="1533"/>
      <c r="F203" s="1533"/>
      <c r="G203" s="1533"/>
      <c r="H203" s="1533"/>
      <c r="I203" s="1533"/>
      <c r="J203" s="1533"/>
      <c r="K203" s="1533"/>
      <c r="L203" s="1533"/>
      <c r="M203" s="1541"/>
      <c r="N203" s="1511"/>
      <c r="O203" s="1511"/>
      <c r="P203" s="1511"/>
      <c r="Q203" s="1511"/>
      <c r="R203" s="1511"/>
      <c r="S203" s="1511"/>
      <c r="T203" s="1511"/>
      <c r="U203" s="1511"/>
      <c r="V203" s="1511"/>
      <c r="W203" s="1511"/>
      <c r="X203" s="1511"/>
      <c r="Y203" s="1511"/>
      <c r="Z203" s="1511"/>
      <c r="AA203" s="1511"/>
      <c r="AB203" s="1511"/>
      <c r="AC203" s="1511"/>
      <c r="AD203" s="1511"/>
      <c r="AE203" s="1511"/>
      <c r="AF203" s="1511"/>
      <c r="AG203" s="1511"/>
      <c r="AH203" s="1511"/>
      <c r="AI203" s="1511"/>
      <c r="AJ203" s="1511"/>
      <c r="AK203" s="1511"/>
      <c r="AL203" s="1511"/>
      <c r="AM203" s="1511"/>
      <c r="AN203" s="1511"/>
      <c r="AO203" s="1511"/>
      <c r="AP203" s="1511"/>
      <c r="AQ203" s="1511"/>
      <c r="AR203" s="1511"/>
      <c r="AS203" s="1511"/>
      <c r="AT203" s="1511"/>
      <c r="AU203" s="1511"/>
      <c r="AV203" s="1511"/>
      <c r="AW203" s="1511"/>
      <c r="AX203" s="1511"/>
      <c r="AY203" s="1511"/>
      <c r="AZ203" s="1511"/>
      <c r="BA203" s="1511"/>
      <c r="BB203" s="1511"/>
      <c r="BC203" s="1511"/>
      <c r="BD203" s="1511"/>
      <c r="BE203" s="1511"/>
      <c r="BF203" s="1511"/>
      <c r="BG203" s="1511"/>
      <c r="BH203" s="1511"/>
      <c r="BI203" s="1511"/>
      <c r="BJ203" s="1511"/>
    </row>
    <row r="204" spans="1:62">
      <c r="A204" s="1511"/>
      <c r="B204" s="1532"/>
      <c r="C204" s="1533" t="s">
        <v>10</v>
      </c>
      <c r="D204" s="1533" t="s">
        <v>1138</v>
      </c>
      <c r="E204" s="1533" t="s">
        <v>1112</v>
      </c>
      <c r="F204" s="1565">
        <v>467991</v>
      </c>
      <c r="G204" s="1533" t="s">
        <v>271</v>
      </c>
      <c r="H204" s="1535">
        <v>12917.97</v>
      </c>
      <c r="I204" s="1533" t="s">
        <v>1129</v>
      </c>
      <c r="J204" s="1540">
        <f>F204*H204*2000/1000000</f>
        <v>12090987.396539997</v>
      </c>
      <c r="K204" s="1537">
        <f>J204/J207*K207</f>
        <v>1147325.4465995142</v>
      </c>
      <c r="L204" s="1603">
        <f>J204/J207*L207</f>
        <v>134.61382665990391</v>
      </c>
      <c r="M204" s="1601">
        <f>J204/J207*M207</f>
        <v>19.603955338820956</v>
      </c>
      <c r="N204" s="1511"/>
      <c r="O204" s="1511"/>
      <c r="P204" s="1511"/>
      <c r="Q204" s="1511"/>
      <c r="R204" s="1511"/>
      <c r="S204" s="1511"/>
      <c r="T204" s="1511"/>
      <c r="U204" s="1511"/>
      <c r="V204" s="1511"/>
      <c r="W204" s="1511"/>
      <c r="X204" s="1511"/>
      <c r="Y204" s="1511"/>
      <c r="Z204" s="1511"/>
      <c r="AA204" s="1511"/>
      <c r="AB204" s="1511"/>
      <c r="AC204" s="1511"/>
      <c r="AD204" s="1511"/>
      <c r="AE204" s="1511"/>
      <c r="AF204" s="1511"/>
      <c r="AG204" s="1511"/>
      <c r="AH204" s="1511"/>
      <c r="AI204" s="1511"/>
      <c r="AJ204" s="1511"/>
      <c r="AK204" s="1511"/>
      <c r="AL204" s="1511"/>
      <c r="AM204" s="1511"/>
      <c r="AN204" s="1511"/>
      <c r="AO204" s="1511"/>
      <c r="AP204" s="1511"/>
      <c r="AQ204" s="1511"/>
      <c r="AR204" s="1511"/>
      <c r="AS204" s="1511"/>
      <c r="AT204" s="1511"/>
      <c r="AU204" s="1511"/>
      <c r="AV204" s="1511"/>
      <c r="AW204" s="1511"/>
      <c r="AX204" s="1511"/>
      <c r="AY204" s="1511"/>
      <c r="AZ204" s="1511"/>
      <c r="BA204" s="1511"/>
      <c r="BB204" s="1511"/>
      <c r="BC204" s="1511"/>
      <c r="BD204" s="1511"/>
      <c r="BE204" s="1511"/>
      <c r="BF204" s="1511"/>
      <c r="BG204" s="1511"/>
      <c r="BH204" s="1511"/>
      <c r="BI204" s="1511"/>
      <c r="BJ204" s="1511"/>
    </row>
    <row r="205" spans="1:62">
      <c r="A205" s="1511"/>
      <c r="B205" s="1532"/>
      <c r="C205" s="1533"/>
      <c r="D205" s="1533"/>
      <c r="E205" s="1533" t="s">
        <v>47</v>
      </c>
      <c r="F205" s="1565">
        <v>878154</v>
      </c>
      <c r="G205" s="1533" t="s">
        <v>67</v>
      </c>
      <c r="H205" s="1535">
        <v>137690</v>
      </c>
      <c r="I205" s="1533" t="s">
        <v>57</v>
      </c>
      <c r="J205" s="1540">
        <f>F205*H205/1000000</f>
        <v>120913.02426000001</v>
      </c>
      <c r="K205" s="1537">
        <f>J205/J207*K207</f>
        <v>11473.553400485798</v>
      </c>
      <c r="L205" s="1603">
        <f>J205/J207*L207</f>
        <v>1.3461733400961247</v>
      </c>
      <c r="M205" s="1601">
        <f>J205/J207*M207</f>
        <v>0.19604466117904729</v>
      </c>
      <c r="N205" s="1511"/>
      <c r="O205" s="1511"/>
      <c r="P205" s="1511"/>
      <c r="Q205" s="1511"/>
      <c r="R205" s="1511"/>
      <c r="S205" s="1511"/>
      <c r="T205" s="1511"/>
      <c r="U205" s="1511"/>
      <c r="V205" s="1511"/>
      <c r="W205" s="1511"/>
      <c r="X205" s="1511"/>
      <c r="Y205" s="1511"/>
      <c r="Z205" s="1511"/>
      <c r="AA205" s="1511"/>
      <c r="AB205" s="1511"/>
      <c r="AC205" s="1511"/>
      <c r="AD205" s="1511"/>
      <c r="AE205" s="1511"/>
      <c r="AF205" s="1511"/>
      <c r="AG205" s="1511"/>
      <c r="AH205" s="1511"/>
      <c r="AI205" s="1511"/>
      <c r="AJ205" s="1511"/>
      <c r="AK205" s="1511"/>
      <c r="AL205" s="1511"/>
      <c r="AM205" s="1511"/>
      <c r="AN205" s="1511"/>
      <c r="AO205" s="1511"/>
      <c r="AP205" s="1511"/>
      <c r="AQ205" s="1511"/>
      <c r="AR205" s="1511"/>
      <c r="AS205" s="1511"/>
      <c r="AT205" s="1511"/>
      <c r="AU205" s="1511"/>
      <c r="AV205" s="1511"/>
      <c r="AW205" s="1511"/>
      <c r="AX205" s="1511"/>
      <c r="AY205" s="1511"/>
      <c r="AZ205" s="1511"/>
      <c r="BA205" s="1511"/>
      <c r="BB205" s="1511"/>
      <c r="BC205" s="1511"/>
      <c r="BD205" s="1511"/>
      <c r="BE205" s="1511"/>
      <c r="BF205" s="1511"/>
      <c r="BG205" s="1511"/>
      <c r="BH205" s="1511"/>
      <c r="BI205" s="1511"/>
      <c r="BJ205" s="1511"/>
    </row>
    <row r="206" spans="1:62">
      <c r="A206" s="1511"/>
      <c r="B206" s="1532"/>
      <c r="C206" s="1533"/>
      <c r="D206" s="1533"/>
      <c r="E206" s="1533" t="s">
        <v>1164</v>
      </c>
      <c r="F206" s="1565">
        <v>7699</v>
      </c>
      <c r="G206" s="1533" t="s">
        <v>67</v>
      </c>
      <c r="H206" s="1535">
        <v>137690</v>
      </c>
      <c r="I206" s="1533" t="s">
        <v>57</v>
      </c>
      <c r="J206" s="1540">
        <f>F206*H206/1000000</f>
        <v>1060.0753099999999</v>
      </c>
      <c r="K206" s="1537">
        <f>J206/J207*K207</f>
        <v>100.59156780056819</v>
      </c>
      <c r="L206" s="1603">
        <f>J206/J207*L207</f>
        <v>1.1802244874361517E-2</v>
      </c>
      <c r="M206" s="1601">
        <f>J206/J207*M207</f>
        <v>1.7187735253924538E-3</v>
      </c>
      <c r="N206" s="1511"/>
      <c r="O206" s="1511"/>
      <c r="P206" s="1511"/>
      <c r="Q206" s="1511"/>
      <c r="R206" s="1511"/>
      <c r="S206" s="1511"/>
      <c r="T206" s="1511"/>
      <c r="U206" s="1511"/>
      <c r="V206" s="1511"/>
      <c r="W206" s="1511"/>
      <c r="X206" s="1511"/>
      <c r="Y206" s="1511"/>
      <c r="Z206" s="1511"/>
      <c r="AA206" s="1511"/>
      <c r="AB206" s="1511"/>
      <c r="AC206" s="1511"/>
      <c r="AD206" s="1511"/>
      <c r="AE206" s="1511"/>
      <c r="AF206" s="1511"/>
      <c r="AG206" s="1511"/>
      <c r="AH206" s="1511"/>
      <c r="AI206" s="1511"/>
      <c r="AJ206" s="1511"/>
      <c r="AK206" s="1511"/>
      <c r="AL206" s="1511"/>
      <c r="AM206" s="1511"/>
      <c r="AN206" s="1511"/>
      <c r="AO206" s="1511"/>
      <c r="AP206" s="1511"/>
      <c r="AQ206" s="1511"/>
      <c r="AR206" s="1511"/>
      <c r="AS206" s="1511"/>
      <c r="AT206" s="1511"/>
      <c r="AU206" s="1511"/>
      <c r="AV206" s="1511"/>
      <c r="AW206" s="1511"/>
      <c r="AX206" s="1511"/>
      <c r="AY206" s="1511"/>
      <c r="AZ206" s="1511"/>
      <c r="BA206" s="1511"/>
      <c r="BB206" s="1511"/>
      <c r="BC206" s="1511"/>
      <c r="BD206" s="1511"/>
      <c r="BE206" s="1511"/>
      <c r="BF206" s="1511"/>
      <c r="BG206" s="1511"/>
      <c r="BH206" s="1511"/>
      <c r="BI206" s="1511"/>
      <c r="BJ206" s="1511"/>
    </row>
    <row r="207" spans="1:62">
      <c r="A207" s="1511"/>
      <c r="B207" s="1532"/>
      <c r="C207" s="1533"/>
      <c r="D207" s="1533"/>
      <c r="E207" s="1533"/>
      <c r="F207" s="1533"/>
      <c r="G207" s="1533"/>
      <c r="H207" s="1533"/>
      <c r="I207" s="1533"/>
      <c r="J207" s="1543">
        <f>SUM(J204:J205)</f>
        <v>12211900.420799997</v>
      </c>
      <c r="K207" s="1567">
        <v>1158799</v>
      </c>
      <c r="L207" s="1608">
        <v>135.96</v>
      </c>
      <c r="M207" s="1762">
        <v>19.8</v>
      </c>
      <c r="N207" s="1511"/>
      <c r="O207" s="1511"/>
      <c r="P207" s="1511"/>
      <c r="Q207" s="1511"/>
      <c r="R207" s="1511"/>
      <c r="S207" s="1511"/>
      <c r="T207" s="1511"/>
      <c r="U207" s="1511"/>
      <c r="V207" s="1511"/>
      <c r="W207" s="1511"/>
      <c r="X207" s="1511"/>
      <c r="Y207" s="1511"/>
      <c r="Z207" s="1511"/>
      <c r="AA207" s="1511"/>
      <c r="AB207" s="1511"/>
      <c r="AC207" s="1511"/>
      <c r="AD207" s="1511"/>
      <c r="AE207" s="1511"/>
      <c r="AF207" s="1511"/>
      <c r="AG207" s="1511"/>
      <c r="AH207" s="1511"/>
      <c r="AI207" s="1511"/>
      <c r="AJ207" s="1511"/>
      <c r="AK207" s="1511"/>
      <c r="AL207" s="1511"/>
      <c r="AM207" s="1511"/>
      <c r="AN207" s="1511"/>
      <c r="AO207" s="1511"/>
      <c r="AP207" s="1511"/>
      <c r="AQ207" s="1511"/>
      <c r="AR207" s="1511"/>
      <c r="AS207" s="1511"/>
      <c r="AT207" s="1511"/>
      <c r="AU207" s="1511"/>
      <c r="AV207" s="1511"/>
      <c r="AW207" s="1511"/>
      <c r="AX207" s="1511"/>
      <c r="AY207" s="1511"/>
      <c r="AZ207" s="1511"/>
      <c r="BA207" s="1511"/>
      <c r="BB207" s="1511"/>
      <c r="BC207" s="1511"/>
      <c r="BD207" s="1511"/>
      <c r="BE207" s="1511"/>
      <c r="BF207" s="1511"/>
      <c r="BG207" s="1511"/>
      <c r="BH207" s="1511"/>
      <c r="BI207" s="1511"/>
      <c r="BJ207" s="1511"/>
    </row>
    <row r="208" spans="1:62">
      <c r="A208" s="1511"/>
      <c r="B208" s="1532"/>
      <c r="C208" s="1533"/>
      <c r="D208" s="1533"/>
      <c r="E208" s="1533"/>
      <c r="F208" s="1533"/>
      <c r="G208" s="1533"/>
      <c r="H208" s="1533"/>
      <c r="I208" s="1533"/>
      <c r="J208" s="1547"/>
      <c r="K208" s="1535"/>
      <c r="L208" s="1533"/>
      <c r="M208" s="1541"/>
      <c r="N208" s="1511"/>
      <c r="O208" s="1511"/>
      <c r="P208" s="1511"/>
      <c r="Q208" s="1511"/>
      <c r="R208" s="1511"/>
      <c r="S208" s="1511"/>
      <c r="T208" s="1511"/>
      <c r="U208" s="1511"/>
      <c r="V208" s="1511"/>
      <c r="W208" s="1511"/>
      <c r="X208" s="1511"/>
      <c r="Y208" s="1511"/>
      <c r="Z208" s="1511"/>
      <c r="AA208" s="1511"/>
      <c r="AB208" s="1511"/>
      <c r="AC208" s="1511"/>
      <c r="AD208" s="1511"/>
      <c r="AE208" s="1511"/>
      <c r="AF208" s="1511"/>
      <c r="AG208" s="1511"/>
      <c r="AH208" s="1511"/>
      <c r="AI208" s="1511"/>
      <c r="AJ208" s="1511"/>
      <c r="AK208" s="1511"/>
      <c r="AL208" s="1511"/>
      <c r="AM208" s="1511"/>
      <c r="AN208" s="1511"/>
      <c r="AO208" s="1511"/>
      <c r="AP208" s="1511"/>
      <c r="AQ208" s="1511"/>
      <c r="AR208" s="1511"/>
      <c r="AS208" s="1511"/>
      <c r="AT208" s="1511"/>
      <c r="AU208" s="1511"/>
      <c r="AV208" s="1511"/>
      <c r="AW208" s="1511"/>
      <c r="AX208" s="1511"/>
      <c r="AY208" s="1511"/>
      <c r="AZ208" s="1511"/>
      <c r="BA208" s="1511"/>
      <c r="BB208" s="1511"/>
      <c r="BC208" s="1511"/>
      <c r="BD208" s="1511"/>
      <c r="BE208" s="1511"/>
      <c r="BF208" s="1511"/>
      <c r="BG208" s="1511"/>
      <c r="BH208" s="1511"/>
      <c r="BI208" s="1511"/>
      <c r="BJ208" s="1511"/>
    </row>
    <row r="209" spans="1:62">
      <c r="A209" s="1511"/>
      <c r="B209" s="1532"/>
      <c r="C209" s="1533" t="s">
        <v>11</v>
      </c>
      <c r="D209" s="1533" t="s">
        <v>1140</v>
      </c>
      <c r="E209" s="1533" t="s">
        <v>1112</v>
      </c>
      <c r="F209" s="1565">
        <v>1175132</v>
      </c>
      <c r="G209" s="1533" t="s">
        <v>271</v>
      </c>
      <c r="H209" s="1535">
        <v>12917.97</v>
      </c>
      <c r="I209" s="1533" t="s">
        <v>1129</v>
      </c>
      <c r="J209" s="1540">
        <f>F209*H209*2000/1000000</f>
        <v>30360639.844079997</v>
      </c>
      <c r="K209" s="1537">
        <f>J209/J212*K212</f>
        <v>1477069.9136081592</v>
      </c>
      <c r="L209" s="1603">
        <f>J209/J212*L212</f>
        <v>173.24311434592872</v>
      </c>
      <c r="M209" s="1601">
        <f>J209/J212*M212</f>
        <v>25.230064812750605</v>
      </c>
      <c r="N209" s="1511"/>
      <c r="O209" s="1511"/>
      <c r="P209" s="1511"/>
      <c r="Q209" s="1511"/>
      <c r="R209" s="1511"/>
      <c r="S209" s="1511"/>
      <c r="T209" s="1511"/>
      <c r="U209" s="1511"/>
      <c r="V209" s="1511"/>
      <c r="W209" s="1511"/>
      <c r="X209" s="1511"/>
      <c r="Y209" s="1511"/>
      <c r="Z209" s="1511"/>
      <c r="AA209" s="1511"/>
      <c r="AB209" s="1511"/>
      <c r="AC209" s="1511"/>
      <c r="AD209" s="1511"/>
      <c r="AE209" s="1511"/>
      <c r="AF209" s="1511"/>
      <c r="AG209" s="1511"/>
      <c r="AH209" s="1511"/>
      <c r="AI209" s="1511"/>
      <c r="AJ209" s="1511"/>
      <c r="AK209" s="1511"/>
      <c r="AL209" s="1511"/>
      <c r="AM209" s="1511"/>
      <c r="AN209" s="1511"/>
      <c r="AO209" s="1511"/>
      <c r="AP209" s="1511"/>
      <c r="AQ209" s="1511"/>
      <c r="AR209" s="1511"/>
      <c r="AS209" s="1511"/>
      <c r="AT209" s="1511"/>
      <c r="AU209" s="1511"/>
      <c r="AV209" s="1511"/>
      <c r="AW209" s="1511"/>
      <c r="AX209" s="1511"/>
      <c r="AY209" s="1511"/>
      <c r="AZ209" s="1511"/>
      <c r="BA209" s="1511"/>
      <c r="BB209" s="1511"/>
      <c r="BC209" s="1511"/>
      <c r="BD209" s="1511"/>
      <c r="BE209" s="1511"/>
      <c r="BF209" s="1511"/>
      <c r="BG209" s="1511"/>
      <c r="BH209" s="1511"/>
      <c r="BI209" s="1511"/>
      <c r="BJ209" s="1511"/>
    </row>
    <row r="210" spans="1:62">
      <c r="A210" s="1511"/>
      <c r="B210" s="1532"/>
      <c r="C210" s="1533"/>
      <c r="D210" s="1533"/>
      <c r="E210" s="1533" t="s">
        <v>47</v>
      </c>
      <c r="F210" s="1565">
        <v>174225</v>
      </c>
      <c r="G210" s="1533" t="s">
        <v>67</v>
      </c>
      <c r="H210" s="1535">
        <v>137690</v>
      </c>
      <c r="I210" s="1533" t="s">
        <v>57</v>
      </c>
      <c r="J210" s="1540">
        <f>F210*H210/1000000</f>
        <v>23989.040249999998</v>
      </c>
      <c r="K210" s="1537">
        <f>J210/J212*K212</f>
        <v>1167.086391840958</v>
      </c>
      <c r="L210" s="1603">
        <f>J210/J212*L212</f>
        <v>0.13688565407129255</v>
      </c>
      <c r="M210" s="1601">
        <f>J210/J212*M212</f>
        <v>1.9935187249395182E-2</v>
      </c>
      <c r="N210" s="1511"/>
      <c r="O210" s="1511"/>
      <c r="P210" s="1511"/>
      <c r="Q210" s="1511"/>
      <c r="R210" s="1511"/>
      <c r="S210" s="1511"/>
      <c r="T210" s="1511"/>
      <c r="U210" s="1511"/>
      <c r="V210" s="1511"/>
      <c r="W210" s="1511"/>
      <c r="X210" s="1511"/>
      <c r="Y210" s="1511"/>
      <c r="Z210" s="1511"/>
      <c r="AA210" s="1511"/>
      <c r="AB210" s="1511"/>
      <c r="AC210" s="1511"/>
      <c r="AD210" s="1511"/>
      <c r="AE210" s="1511"/>
      <c r="AF210" s="1511"/>
      <c r="AG210" s="1511"/>
      <c r="AH210" s="1511"/>
      <c r="AI210" s="1511"/>
      <c r="AJ210" s="1511"/>
      <c r="AK210" s="1511"/>
      <c r="AL210" s="1511"/>
      <c r="AM210" s="1511"/>
      <c r="AN210" s="1511"/>
      <c r="AO210" s="1511"/>
      <c r="AP210" s="1511"/>
      <c r="AQ210" s="1511"/>
      <c r="AR210" s="1511"/>
      <c r="AS210" s="1511"/>
      <c r="AT210" s="1511"/>
      <c r="AU210" s="1511"/>
      <c r="AV210" s="1511"/>
      <c r="AW210" s="1511"/>
      <c r="AX210" s="1511"/>
      <c r="AY210" s="1511"/>
      <c r="AZ210" s="1511"/>
      <c r="BA210" s="1511"/>
      <c r="BB210" s="1511"/>
      <c r="BC210" s="1511"/>
      <c r="BD210" s="1511"/>
      <c r="BE210" s="1511"/>
      <c r="BF210" s="1511"/>
      <c r="BG210" s="1511"/>
      <c r="BH210" s="1511"/>
      <c r="BI210" s="1511"/>
      <c r="BJ210" s="1511"/>
    </row>
    <row r="211" spans="1:62">
      <c r="A211" s="1511"/>
      <c r="B211" s="1532"/>
      <c r="C211" s="1533"/>
      <c r="D211" s="1533"/>
      <c r="E211" s="1533" t="s">
        <v>1164</v>
      </c>
      <c r="F211" s="1565">
        <v>12750</v>
      </c>
      <c r="G211" s="1533" t="s">
        <v>67</v>
      </c>
      <c r="H211" s="1535">
        <v>137690</v>
      </c>
      <c r="I211" s="1533" t="s">
        <v>57</v>
      </c>
      <c r="J211" s="1540">
        <f>F211*H211/1000000</f>
        <v>1755.5474999999999</v>
      </c>
      <c r="K211" s="1537">
        <f>J211/J212*K212</f>
        <v>85.408819032700322</v>
      </c>
      <c r="L211" s="1603">
        <f>J211/J212*L212</f>
        <v>1.0017460693981805E-2</v>
      </c>
      <c r="M211" s="1601">
        <f>J211/J212*M212</f>
        <v>1.4588815464473444E-3</v>
      </c>
      <c r="N211" s="1511"/>
      <c r="O211" s="1511"/>
      <c r="P211" s="1511"/>
      <c r="Q211" s="1511"/>
      <c r="R211" s="1511"/>
      <c r="S211" s="1511"/>
      <c r="T211" s="1511"/>
      <c r="U211" s="1511"/>
      <c r="V211" s="1511"/>
      <c r="W211" s="1511"/>
      <c r="X211" s="1511"/>
      <c r="Y211" s="1511"/>
      <c r="Z211" s="1511"/>
      <c r="AA211" s="1511"/>
      <c r="AB211" s="1511"/>
      <c r="AC211" s="1511"/>
      <c r="AD211" s="1511"/>
      <c r="AE211" s="1511"/>
      <c r="AF211" s="1511"/>
      <c r="AG211" s="1511"/>
      <c r="AH211" s="1511"/>
      <c r="AI211" s="1511"/>
      <c r="AJ211" s="1511"/>
      <c r="AK211" s="1511"/>
      <c r="AL211" s="1511"/>
      <c r="AM211" s="1511"/>
      <c r="AN211" s="1511"/>
      <c r="AO211" s="1511"/>
      <c r="AP211" s="1511"/>
      <c r="AQ211" s="1511"/>
      <c r="AR211" s="1511"/>
      <c r="AS211" s="1511"/>
      <c r="AT211" s="1511"/>
      <c r="AU211" s="1511"/>
      <c r="AV211" s="1511"/>
      <c r="AW211" s="1511"/>
      <c r="AX211" s="1511"/>
      <c r="AY211" s="1511"/>
      <c r="AZ211" s="1511"/>
      <c r="BA211" s="1511"/>
      <c r="BB211" s="1511"/>
      <c r="BC211" s="1511"/>
      <c r="BD211" s="1511"/>
      <c r="BE211" s="1511"/>
      <c r="BF211" s="1511"/>
      <c r="BG211" s="1511"/>
      <c r="BH211" s="1511"/>
      <c r="BI211" s="1511"/>
      <c r="BJ211" s="1511"/>
    </row>
    <row r="212" spans="1:62">
      <c r="A212" s="1511"/>
      <c r="B212" s="1532"/>
      <c r="C212" s="1533"/>
      <c r="D212" s="1533"/>
      <c r="E212" s="1533"/>
      <c r="F212" s="1533"/>
      <c r="G212" s="1533"/>
      <c r="H212" s="1533"/>
      <c r="I212" s="1533"/>
      <c r="J212" s="1543">
        <f>SUM(J209:J210)</f>
        <v>30384628.884329997</v>
      </c>
      <c r="K212" s="1567">
        <v>1478237</v>
      </c>
      <c r="L212" s="1608">
        <v>173.38</v>
      </c>
      <c r="M212" s="1762">
        <v>25.25</v>
      </c>
      <c r="N212" s="1511"/>
      <c r="O212" s="1511"/>
      <c r="P212" s="1511"/>
      <c r="Q212" s="1511"/>
      <c r="R212" s="1511"/>
      <c r="S212" s="1511"/>
      <c r="T212" s="1511"/>
      <c r="U212" s="1511"/>
      <c r="V212" s="1511"/>
      <c r="W212" s="1511"/>
      <c r="X212" s="1511"/>
      <c r="Y212" s="1511"/>
      <c r="Z212" s="1511"/>
      <c r="AA212" s="1511"/>
      <c r="AB212" s="1511"/>
      <c r="AC212" s="1511"/>
      <c r="AD212" s="1511"/>
      <c r="AE212" s="1511"/>
      <c r="AF212" s="1511"/>
      <c r="AG212" s="1511"/>
      <c r="AH212" s="1511"/>
      <c r="AI212" s="1511"/>
      <c r="AJ212" s="1511"/>
      <c r="AK212" s="1511"/>
      <c r="AL212" s="1511"/>
      <c r="AM212" s="1511"/>
      <c r="AN212" s="1511"/>
      <c r="AO212" s="1511"/>
      <c r="AP212" s="1511"/>
      <c r="AQ212" s="1511"/>
      <c r="AR212" s="1511"/>
      <c r="AS212" s="1511"/>
      <c r="AT212" s="1511"/>
      <c r="AU212" s="1511"/>
      <c r="AV212" s="1511"/>
      <c r="AW212" s="1511"/>
      <c r="AX212" s="1511"/>
      <c r="AY212" s="1511"/>
      <c r="AZ212" s="1511"/>
      <c r="BA212" s="1511"/>
      <c r="BB212" s="1511"/>
      <c r="BC212" s="1511"/>
      <c r="BD212" s="1511"/>
      <c r="BE212" s="1511"/>
      <c r="BF212" s="1511"/>
      <c r="BG212" s="1511"/>
      <c r="BH212" s="1511"/>
      <c r="BI212" s="1511"/>
      <c r="BJ212" s="1511"/>
    </row>
    <row r="213" spans="1:62">
      <c r="A213" s="1511"/>
      <c r="B213" s="1532"/>
      <c r="C213" s="1533"/>
      <c r="D213" s="1533"/>
      <c r="E213" s="1533"/>
      <c r="F213" s="1533"/>
      <c r="G213" s="1533"/>
      <c r="H213" s="1533"/>
      <c r="I213" s="1533"/>
      <c r="J213" s="1543"/>
      <c r="K213" s="1567"/>
      <c r="L213" s="1608"/>
      <c r="M213" s="1607"/>
      <c r="N213" s="1511"/>
      <c r="O213" s="1511"/>
      <c r="P213" s="1511"/>
      <c r="Q213" s="1511"/>
      <c r="R213" s="1511"/>
      <c r="S213" s="1511"/>
      <c r="T213" s="1511"/>
      <c r="U213" s="1511"/>
      <c r="V213" s="1511"/>
      <c r="W213" s="1511"/>
      <c r="X213" s="1511"/>
      <c r="Y213" s="1511"/>
      <c r="Z213" s="1511"/>
      <c r="AA213" s="1511"/>
      <c r="AB213" s="1511"/>
      <c r="AC213" s="1511"/>
      <c r="AD213" s="1511"/>
      <c r="AE213" s="1511"/>
      <c r="AF213" s="1511"/>
      <c r="AG213" s="1511"/>
      <c r="AH213" s="1511"/>
      <c r="AI213" s="1511"/>
      <c r="AJ213" s="1511"/>
      <c r="AK213" s="1511"/>
      <c r="AL213" s="1511"/>
      <c r="AM213" s="1511"/>
      <c r="AN213" s="1511"/>
      <c r="AO213" s="1511"/>
      <c r="AP213" s="1511"/>
      <c r="AQ213" s="1511"/>
      <c r="AR213" s="1511"/>
      <c r="AS213" s="1511"/>
      <c r="AT213" s="1511"/>
      <c r="AU213" s="1511"/>
      <c r="AV213" s="1511"/>
      <c r="AW213" s="1511"/>
      <c r="AX213" s="1511"/>
      <c r="AY213" s="1511"/>
      <c r="AZ213" s="1511"/>
      <c r="BA213" s="1511"/>
      <c r="BB213" s="1511"/>
      <c r="BC213" s="1511"/>
      <c r="BD213" s="1511"/>
      <c r="BE213" s="1511"/>
      <c r="BF213" s="1511"/>
      <c r="BG213" s="1511"/>
      <c r="BH213" s="1511"/>
      <c r="BI213" s="1511"/>
      <c r="BJ213" s="1511"/>
    </row>
    <row r="214" spans="1:62">
      <c r="A214" s="1511"/>
      <c r="B214" s="1532"/>
      <c r="C214" s="1533" t="s">
        <v>290</v>
      </c>
      <c r="D214" s="1533" t="s">
        <v>291</v>
      </c>
      <c r="E214" s="1533" t="s">
        <v>47</v>
      </c>
      <c r="F214" s="1565">
        <v>686881</v>
      </c>
      <c r="G214" s="1533" t="s">
        <v>67</v>
      </c>
      <c r="H214" s="1535">
        <v>137690</v>
      </c>
      <c r="I214" s="1533" t="s">
        <v>57</v>
      </c>
      <c r="J214" s="1554">
        <f t="shared" ref="J214" si="0">F214*H214/1000000</f>
        <v>94576.644889999996</v>
      </c>
      <c r="K214" s="1554">
        <v>7710</v>
      </c>
      <c r="L214" s="1568">
        <v>0.31</v>
      </c>
      <c r="M214" s="1570">
        <v>0.06</v>
      </c>
      <c r="N214" s="1511"/>
      <c r="O214" s="1511"/>
      <c r="P214" s="1511"/>
      <c r="Q214" s="1511"/>
      <c r="R214" s="1511"/>
      <c r="S214" s="1511"/>
      <c r="T214" s="1511"/>
      <c r="U214" s="1511"/>
      <c r="V214" s="1511"/>
      <c r="W214" s="1511"/>
      <c r="X214" s="1511"/>
      <c r="Y214" s="1511"/>
      <c r="Z214" s="1511"/>
      <c r="AA214" s="1511"/>
      <c r="AB214" s="1511"/>
      <c r="AC214" s="1511"/>
      <c r="AD214" s="1511"/>
      <c r="AE214" s="1511"/>
      <c r="AF214" s="1511"/>
      <c r="AG214" s="1511"/>
      <c r="AH214" s="1511"/>
      <c r="AI214" s="1511"/>
      <c r="AJ214" s="1511"/>
      <c r="AK214" s="1511"/>
      <c r="AL214" s="1511"/>
      <c r="AM214" s="1511"/>
      <c r="AN214" s="1511"/>
      <c r="AO214" s="1511"/>
      <c r="AP214" s="1511"/>
      <c r="AQ214" s="1511"/>
      <c r="AR214" s="1511"/>
      <c r="AS214" s="1511"/>
      <c r="AT214" s="1511"/>
      <c r="AU214" s="1511"/>
      <c r="AV214" s="1511"/>
      <c r="AW214" s="1511"/>
      <c r="AX214" s="1511"/>
      <c r="AY214" s="1511"/>
      <c r="AZ214" s="1511"/>
      <c r="BA214" s="1511"/>
      <c r="BB214" s="1511"/>
      <c r="BC214" s="1511"/>
      <c r="BD214" s="1511"/>
      <c r="BE214" s="1511"/>
      <c r="BF214" s="1511"/>
      <c r="BG214" s="1511"/>
      <c r="BH214" s="1511"/>
      <c r="BI214" s="1511"/>
      <c r="BJ214" s="1511"/>
    </row>
    <row r="215" spans="1:62">
      <c r="A215" s="1511"/>
      <c r="B215" s="1532"/>
      <c r="C215" s="1533" t="s">
        <v>292</v>
      </c>
      <c r="D215" s="1533" t="s">
        <v>293</v>
      </c>
      <c r="E215" s="1533" t="s">
        <v>47</v>
      </c>
      <c r="F215" s="1565">
        <v>420949</v>
      </c>
      <c r="G215" s="1533" t="s">
        <v>67</v>
      </c>
      <c r="H215" s="1535">
        <v>137690</v>
      </c>
      <c r="I215" s="1533" t="s">
        <v>57</v>
      </c>
      <c r="J215" s="1554">
        <f t="shared" ref="J215:J221" si="1">F215*H215/1000000</f>
        <v>57960.467810000002</v>
      </c>
      <c r="K215" s="1554">
        <v>4725</v>
      </c>
      <c r="L215" s="1568">
        <v>0.19</v>
      </c>
      <c r="M215" s="1570">
        <v>0.04</v>
      </c>
      <c r="N215" s="1511"/>
      <c r="O215" s="1511"/>
      <c r="P215" s="1511"/>
      <c r="Q215" s="1511"/>
      <c r="R215" s="1511"/>
      <c r="S215" s="1511"/>
      <c r="T215" s="1511"/>
      <c r="U215" s="1511"/>
      <c r="V215" s="1511"/>
      <c r="W215" s="1511"/>
      <c r="X215" s="1511"/>
      <c r="Y215" s="1511"/>
      <c r="Z215" s="1511"/>
      <c r="AA215" s="1511"/>
      <c r="AB215" s="1511"/>
      <c r="AC215" s="1511"/>
      <c r="AD215" s="1511"/>
      <c r="AE215" s="1511"/>
      <c r="AF215" s="1511"/>
      <c r="AG215" s="1511"/>
      <c r="AH215" s="1511"/>
      <c r="AI215" s="1511"/>
      <c r="AJ215" s="1511"/>
      <c r="AK215" s="1511"/>
      <c r="AL215" s="1511"/>
      <c r="AM215" s="1511"/>
      <c r="AN215" s="1511"/>
      <c r="AO215" s="1511"/>
      <c r="AP215" s="1511"/>
      <c r="AQ215" s="1511"/>
      <c r="AR215" s="1511"/>
      <c r="AS215" s="1511"/>
      <c r="AT215" s="1511"/>
      <c r="AU215" s="1511"/>
      <c r="AV215" s="1511"/>
      <c r="AW215" s="1511"/>
      <c r="AX215" s="1511"/>
      <c r="AY215" s="1511"/>
      <c r="AZ215" s="1511"/>
      <c r="BA215" s="1511"/>
      <c r="BB215" s="1511"/>
      <c r="BC215" s="1511"/>
      <c r="BD215" s="1511"/>
      <c r="BE215" s="1511"/>
      <c r="BF215" s="1511"/>
      <c r="BG215" s="1511"/>
      <c r="BH215" s="1511"/>
      <c r="BI215" s="1511"/>
      <c r="BJ215" s="1511"/>
    </row>
    <row r="216" spans="1:62">
      <c r="A216" s="1511"/>
      <c r="B216" s="1532"/>
      <c r="C216" s="1533" t="s">
        <v>294</v>
      </c>
      <c r="D216" s="1533" t="s">
        <v>760</v>
      </c>
      <c r="E216" s="1533" t="s">
        <v>47</v>
      </c>
      <c r="F216" s="1565">
        <v>24736</v>
      </c>
      <c r="G216" s="1533" t="s">
        <v>67</v>
      </c>
      <c r="H216" s="1535">
        <v>137690</v>
      </c>
      <c r="I216" s="1533" t="s">
        <v>57</v>
      </c>
      <c r="J216" s="1540">
        <f t="shared" si="1"/>
        <v>3405.89984</v>
      </c>
      <c r="K216" s="1554">
        <v>278</v>
      </c>
      <c r="L216" s="1568">
        <v>0.01</v>
      </c>
      <c r="M216" s="1570">
        <v>0</v>
      </c>
      <c r="N216" s="1511"/>
      <c r="O216" s="1511"/>
      <c r="P216" s="1511"/>
      <c r="Q216" s="1511"/>
      <c r="R216" s="1511"/>
      <c r="S216" s="1511"/>
      <c r="T216" s="1511"/>
      <c r="U216" s="1511"/>
      <c r="V216" s="1511"/>
      <c r="W216" s="1511"/>
      <c r="X216" s="1511"/>
      <c r="Y216" s="1511"/>
      <c r="Z216" s="1511"/>
      <c r="AA216" s="1511"/>
      <c r="AB216" s="1511"/>
      <c r="AC216" s="1511"/>
      <c r="AD216" s="1511"/>
      <c r="AE216" s="1511"/>
      <c r="AF216" s="1511"/>
      <c r="AG216" s="1511"/>
      <c r="AH216" s="1511"/>
      <c r="AI216" s="1511"/>
      <c r="AJ216" s="1511"/>
      <c r="AK216" s="1511"/>
      <c r="AL216" s="1511"/>
      <c r="AM216" s="1511"/>
      <c r="AN216" s="1511"/>
      <c r="AO216" s="1511"/>
      <c r="AP216" s="1511"/>
      <c r="AQ216" s="1511"/>
      <c r="AR216" s="1511"/>
      <c r="AS216" s="1511"/>
      <c r="AT216" s="1511"/>
      <c r="AU216" s="1511"/>
      <c r="AV216" s="1511"/>
      <c r="AW216" s="1511"/>
      <c r="AX216" s="1511"/>
      <c r="AY216" s="1511"/>
      <c r="AZ216" s="1511"/>
      <c r="BA216" s="1511"/>
      <c r="BB216" s="1511"/>
      <c r="BC216" s="1511"/>
      <c r="BD216" s="1511"/>
      <c r="BE216" s="1511"/>
      <c r="BF216" s="1511"/>
      <c r="BG216" s="1511"/>
      <c r="BH216" s="1511"/>
      <c r="BI216" s="1511"/>
      <c r="BJ216" s="1511"/>
    </row>
    <row r="217" spans="1:62">
      <c r="A217" s="1511"/>
      <c r="B217" s="1532"/>
      <c r="C217" s="1533" t="s">
        <v>295</v>
      </c>
      <c r="D217" s="1533" t="s">
        <v>24</v>
      </c>
      <c r="E217" s="1533" t="s">
        <v>47</v>
      </c>
      <c r="F217" s="1565">
        <v>31094</v>
      </c>
      <c r="G217" s="1533" t="s">
        <v>67</v>
      </c>
      <c r="H217" s="1535">
        <v>137690</v>
      </c>
      <c r="I217" s="1533" t="s">
        <v>57</v>
      </c>
      <c r="J217" s="1540">
        <f t="shared" si="1"/>
        <v>4281.3328600000004</v>
      </c>
      <c r="K217" s="1554">
        <v>349</v>
      </c>
      <c r="L217" s="1568">
        <v>0.01</v>
      </c>
      <c r="M217" s="1570">
        <v>0</v>
      </c>
      <c r="N217" s="1511"/>
      <c r="O217" s="1511"/>
      <c r="P217" s="1511"/>
      <c r="Q217" s="1511"/>
      <c r="R217" s="1511"/>
      <c r="S217" s="1511"/>
      <c r="T217" s="1511"/>
      <c r="U217" s="1511"/>
      <c r="V217" s="1511"/>
      <c r="W217" s="1511"/>
      <c r="X217" s="1511"/>
      <c r="Y217" s="1511"/>
      <c r="Z217" s="1511"/>
      <c r="AA217" s="1511"/>
      <c r="AB217" s="1511"/>
      <c r="AC217" s="1511"/>
      <c r="AD217" s="1511"/>
      <c r="AE217" s="1511"/>
      <c r="AF217" s="1511"/>
      <c r="AG217" s="1511"/>
      <c r="AH217" s="1511"/>
      <c r="AI217" s="1511"/>
      <c r="AJ217" s="1511"/>
      <c r="AK217" s="1511"/>
      <c r="AL217" s="1511"/>
      <c r="AM217" s="1511"/>
      <c r="AN217" s="1511"/>
      <c r="AO217" s="1511"/>
      <c r="AP217" s="1511"/>
      <c r="AQ217" s="1511"/>
      <c r="AR217" s="1511"/>
      <c r="AS217" s="1511"/>
      <c r="AT217" s="1511"/>
      <c r="AU217" s="1511"/>
      <c r="AV217" s="1511"/>
      <c r="AW217" s="1511"/>
      <c r="AX217" s="1511"/>
      <c r="AY217" s="1511"/>
      <c r="AZ217" s="1511"/>
      <c r="BA217" s="1511"/>
      <c r="BB217" s="1511"/>
      <c r="BC217" s="1511"/>
      <c r="BD217" s="1511"/>
      <c r="BE217" s="1511"/>
      <c r="BF217" s="1511"/>
      <c r="BG217" s="1511"/>
      <c r="BH217" s="1511"/>
      <c r="BI217" s="1511"/>
      <c r="BJ217" s="1511"/>
    </row>
    <row r="218" spans="1:62">
      <c r="A218" s="1511"/>
      <c r="B218" s="1532"/>
      <c r="C218" s="1533" t="s">
        <v>61</v>
      </c>
      <c r="D218" s="1533" t="s">
        <v>762</v>
      </c>
      <c r="E218" s="1533" t="s">
        <v>47</v>
      </c>
      <c r="F218" s="1565">
        <v>134574</v>
      </c>
      <c r="G218" s="1533" t="s">
        <v>67</v>
      </c>
      <c r="H218" s="1535">
        <v>137690</v>
      </c>
      <c r="I218" s="1533" t="s">
        <v>57</v>
      </c>
      <c r="J218" s="1540">
        <f t="shared" si="1"/>
        <v>18529.494060000001</v>
      </c>
      <c r="K218" s="1554">
        <v>1500</v>
      </c>
      <c r="L218" s="1568">
        <v>0.06</v>
      </c>
      <c r="M218" s="1570">
        <v>0.01</v>
      </c>
      <c r="N218" s="1511"/>
      <c r="O218" s="1511"/>
      <c r="P218" s="1511"/>
      <c r="Q218" s="1511"/>
      <c r="R218" s="1511"/>
      <c r="S218" s="1511"/>
      <c r="T218" s="1511"/>
      <c r="U218" s="1511"/>
      <c r="V218" s="1511"/>
      <c r="W218" s="1511"/>
      <c r="X218" s="1511"/>
      <c r="Y218" s="1511"/>
      <c r="Z218" s="1511"/>
      <c r="AA218" s="1511"/>
      <c r="AB218" s="1511"/>
      <c r="AC218" s="1511"/>
      <c r="AD218" s="1511"/>
      <c r="AE218" s="1511"/>
      <c r="AF218" s="1511"/>
      <c r="AG218" s="1511"/>
      <c r="AH218" s="1511"/>
      <c r="AI218" s="1511"/>
      <c r="AJ218" s="1511"/>
      <c r="AK218" s="1511"/>
      <c r="AL218" s="1511"/>
      <c r="AM218" s="1511"/>
      <c r="AN218" s="1511"/>
      <c r="AO218" s="1511"/>
      <c r="AP218" s="1511"/>
      <c r="AQ218" s="1511"/>
      <c r="AR218" s="1511"/>
      <c r="AS218" s="1511"/>
      <c r="AT218" s="1511"/>
      <c r="AU218" s="1511"/>
      <c r="AV218" s="1511"/>
      <c r="AW218" s="1511"/>
      <c r="AX218" s="1511"/>
      <c r="AY218" s="1511"/>
      <c r="AZ218" s="1511"/>
      <c r="BA218" s="1511"/>
      <c r="BB218" s="1511"/>
      <c r="BC218" s="1511"/>
      <c r="BD218" s="1511"/>
      <c r="BE218" s="1511"/>
      <c r="BF218" s="1511"/>
      <c r="BG218" s="1511"/>
      <c r="BH218" s="1511"/>
      <c r="BI218" s="1511"/>
      <c r="BJ218" s="1511"/>
    </row>
    <row r="219" spans="1:62">
      <c r="A219" s="1511"/>
      <c r="B219" s="1532"/>
      <c r="C219" s="1533" t="s">
        <v>296</v>
      </c>
      <c r="D219" s="1533" t="s">
        <v>763</v>
      </c>
      <c r="E219" s="1533" t="s">
        <v>47</v>
      </c>
      <c r="F219" s="1565">
        <v>118314</v>
      </c>
      <c r="G219" s="1533" t="s">
        <v>67</v>
      </c>
      <c r="H219" s="1535">
        <v>137690</v>
      </c>
      <c r="I219" s="1533" t="s">
        <v>57</v>
      </c>
      <c r="J219" s="1540">
        <f t="shared" si="1"/>
        <v>16290.65466</v>
      </c>
      <c r="K219" s="1554">
        <v>1321</v>
      </c>
      <c r="L219" s="1568">
        <v>0.05</v>
      </c>
      <c r="M219" s="1570">
        <v>0.01</v>
      </c>
      <c r="N219" s="1511"/>
      <c r="O219" s="1511"/>
      <c r="P219" s="1511"/>
      <c r="Q219" s="1511"/>
      <c r="R219" s="1511"/>
      <c r="S219" s="1511"/>
      <c r="T219" s="1511"/>
      <c r="U219" s="1511"/>
      <c r="V219" s="1511"/>
      <c r="W219" s="1511"/>
      <c r="X219" s="1511"/>
      <c r="Y219" s="1511"/>
      <c r="Z219" s="1511"/>
      <c r="AA219" s="1511"/>
      <c r="AB219" s="1511"/>
      <c r="AC219" s="1511"/>
      <c r="AD219" s="1511"/>
      <c r="AE219" s="1511"/>
      <c r="AF219" s="1511"/>
      <c r="AG219" s="1511"/>
      <c r="AH219" s="1511"/>
      <c r="AI219" s="1511"/>
      <c r="AJ219" s="1511"/>
      <c r="AK219" s="1511"/>
      <c r="AL219" s="1511"/>
      <c r="AM219" s="1511"/>
      <c r="AN219" s="1511"/>
      <c r="AO219" s="1511"/>
      <c r="AP219" s="1511"/>
      <c r="AQ219" s="1511"/>
      <c r="AR219" s="1511"/>
      <c r="AS219" s="1511"/>
      <c r="AT219" s="1511"/>
      <c r="AU219" s="1511"/>
      <c r="AV219" s="1511"/>
      <c r="AW219" s="1511"/>
      <c r="AX219" s="1511"/>
      <c r="AY219" s="1511"/>
      <c r="AZ219" s="1511"/>
      <c r="BA219" s="1511"/>
      <c r="BB219" s="1511"/>
      <c r="BC219" s="1511"/>
      <c r="BD219" s="1511"/>
      <c r="BE219" s="1511"/>
      <c r="BF219" s="1511"/>
      <c r="BG219" s="1511"/>
      <c r="BH219" s="1511"/>
      <c r="BI219" s="1511"/>
      <c r="BJ219" s="1511"/>
    </row>
    <row r="220" spans="1:62">
      <c r="A220" s="1511"/>
      <c r="B220" s="1532"/>
      <c r="C220" s="1533" t="s">
        <v>62</v>
      </c>
      <c r="D220" s="1533" t="s">
        <v>764</v>
      </c>
      <c r="E220" s="1533" t="s">
        <v>47</v>
      </c>
      <c r="F220" s="1565">
        <v>122502</v>
      </c>
      <c r="G220" s="1533" t="s">
        <v>67</v>
      </c>
      <c r="H220" s="1535">
        <v>137690</v>
      </c>
      <c r="I220" s="1533" t="s">
        <v>57</v>
      </c>
      <c r="J220" s="1540">
        <f t="shared" si="1"/>
        <v>16867.300380000001</v>
      </c>
      <c r="K220" s="1554">
        <v>1368</v>
      </c>
      <c r="L220" s="1568">
        <v>0.06</v>
      </c>
      <c r="M220" s="1570">
        <v>0.01</v>
      </c>
      <c r="N220" s="1511"/>
      <c r="O220" s="1511"/>
      <c r="P220" s="1511"/>
      <c r="Q220" s="1511"/>
      <c r="R220" s="1511"/>
      <c r="S220" s="1511"/>
      <c r="T220" s="1511"/>
      <c r="U220" s="1511"/>
      <c r="V220" s="1511"/>
      <c r="W220" s="1511"/>
      <c r="X220" s="1511"/>
      <c r="Y220" s="1511"/>
      <c r="Z220" s="1511"/>
      <c r="AA220" s="1511"/>
      <c r="AB220" s="1511"/>
      <c r="AC220" s="1511"/>
      <c r="AD220" s="1511"/>
      <c r="AE220" s="1511"/>
      <c r="AF220" s="1511"/>
      <c r="AG220" s="1511"/>
      <c r="AH220" s="1511"/>
      <c r="AI220" s="1511"/>
      <c r="AJ220" s="1511"/>
      <c r="AK220" s="1511"/>
      <c r="AL220" s="1511"/>
      <c r="AM220" s="1511"/>
      <c r="AN220" s="1511"/>
      <c r="AO220" s="1511"/>
      <c r="AP220" s="1511"/>
      <c r="AQ220" s="1511"/>
      <c r="AR220" s="1511"/>
      <c r="AS220" s="1511"/>
      <c r="AT220" s="1511"/>
      <c r="AU220" s="1511"/>
      <c r="AV220" s="1511"/>
      <c r="AW220" s="1511"/>
      <c r="AX220" s="1511"/>
      <c r="AY220" s="1511"/>
      <c r="AZ220" s="1511"/>
      <c r="BA220" s="1511"/>
      <c r="BB220" s="1511"/>
      <c r="BC220" s="1511"/>
      <c r="BD220" s="1511"/>
      <c r="BE220" s="1511"/>
      <c r="BF220" s="1511"/>
      <c r="BG220" s="1511"/>
      <c r="BH220" s="1511"/>
      <c r="BI220" s="1511"/>
      <c r="BJ220" s="1511"/>
    </row>
    <row r="221" spans="1:62">
      <c r="A221" s="1511"/>
      <c r="B221" s="1532"/>
      <c r="C221" s="1533" t="s">
        <v>63</v>
      </c>
      <c r="D221" s="1533" t="s">
        <v>765</v>
      </c>
      <c r="E221" s="1533" t="s">
        <v>47</v>
      </c>
      <c r="F221" s="1565">
        <v>118370</v>
      </c>
      <c r="G221" s="1533" t="s">
        <v>67</v>
      </c>
      <c r="H221" s="1535">
        <v>137690</v>
      </c>
      <c r="I221" s="1533" t="s">
        <v>57</v>
      </c>
      <c r="J221" s="1540">
        <f t="shared" si="1"/>
        <v>16298.365299999999</v>
      </c>
      <c r="K221" s="1554">
        <v>1321.1</v>
      </c>
      <c r="L221" s="1568">
        <v>0.05</v>
      </c>
      <c r="M221" s="1570">
        <v>0.01</v>
      </c>
      <c r="N221" s="1511"/>
      <c r="O221" s="1511"/>
      <c r="P221" s="1511"/>
      <c r="Q221" s="1511"/>
      <c r="R221" s="1511"/>
      <c r="S221" s="1511"/>
      <c r="T221" s="1511"/>
      <c r="U221" s="1511"/>
      <c r="V221" s="1511"/>
      <c r="W221" s="1511"/>
      <c r="X221" s="1511"/>
      <c r="Y221" s="1511"/>
      <c r="Z221" s="1511"/>
      <c r="AA221" s="1511"/>
      <c r="AB221" s="1511"/>
      <c r="AC221" s="1511"/>
      <c r="AD221" s="1511"/>
      <c r="AE221" s="1511"/>
      <c r="AF221" s="1511"/>
      <c r="AG221" s="1511"/>
      <c r="AH221" s="1511"/>
      <c r="AI221" s="1511"/>
      <c r="AJ221" s="1511"/>
      <c r="AK221" s="1511"/>
      <c r="AL221" s="1511"/>
      <c r="AM221" s="1511"/>
      <c r="AN221" s="1511"/>
      <c r="AO221" s="1511"/>
      <c r="AP221" s="1511"/>
      <c r="AQ221" s="1511"/>
      <c r="AR221" s="1511"/>
      <c r="AS221" s="1511"/>
      <c r="AT221" s="1511"/>
      <c r="AU221" s="1511"/>
      <c r="AV221" s="1511"/>
      <c r="AW221" s="1511"/>
      <c r="AX221" s="1511"/>
      <c r="AY221" s="1511"/>
      <c r="AZ221" s="1511"/>
      <c r="BA221" s="1511"/>
      <c r="BB221" s="1511"/>
      <c r="BC221" s="1511"/>
      <c r="BD221" s="1511"/>
      <c r="BE221" s="1511"/>
      <c r="BF221" s="1511"/>
      <c r="BG221" s="1511"/>
      <c r="BH221" s="1511"/>
      <c r="BI221" s="1511"/>
      <c r="BJ221" s="1511"/>
    </row>
    <row r="222" spans="1:62">
      <c r="A222" s="1511"/>
      <c r="B222" s="1532"/>
      <c r="C222" s="1533"/>
      <c r="D222" s="1533"/>
      <c r="E222" s="1533"/>
      <c r="F222" s="1565"/>
      <c r="G222" s="1533"/>
      <c r="H222" s="1535"/>
      <c r="I222" s="1533"/>
      <c r="J222" s="1540"/>
      <c r="K222" s="1554"/>
      <c r="L222" s="1568"/>
      <c r="M222" s="1570"/>
      <c r="N222" s="1511"/>
      <c r="O222" s="1511"/>
      <c r="P222" s="1511"/>
      <c r="Q222" s="1511"/>
      <c r="R222" s="1511"/>
      <c r="S222" s="1511"/>
      <c r="T222" s="1511"/>
      <c r="U222" s="1511"/>
      <c r="V222" s="1511"/>
      <c r="W222" s="1511"/>
      <c r="X222" s="1511"/>
      <c r="Y222" s="1511"/>
      <c r="Z222" s="1511"/>
      <c r="AA222" s="1511"/>
      <c r="AB222" s="1511"/>
      <c r="AC222" s="1511"/>
      <c r="AD222" s="1511"/>
      <c r="AE222" s="1511"/>
      <c r="AF222" s="1511"/>
      <c r="AG222" s="1511"/>
      <c r="AH222" s="1511"/>
      <c r="AI222" s="1511"/>
      <c r="AJ222" s="1511"/>
      <c r="AK222" s="1511"/>
      <c r="AL222" s="1511"/>
      <c r="AM222" s="1511"/>
      <c r="AN222" s="1511"/>
      <c r="AO222" s="1511"/>
      <c r="AP222" s="1511"/>
      <c r="AQ222" s="1511"/>
      <c r="AR222" s="1511"/>
      <c r="AS222" s="1511"/>
      <c r="AT222" s="1511"/>
      <c r="AU222" s="1511"/>
      <c r="AV222" s="1511"/>
      <c r="AW222" s="1511"/>
      <c r="AX222" s="1511"/>
      <c r="AY222" s="1511"/>
      <c r="AZ222" s="1511"/>
      <c r="BA222" s="1511"/>
      <c r="BB222" s="1511"/>
      <c r="BC222" s="1511"/>
      <c r="BD222" s="1511"/>
      <c r="BE222" s="1511"/>
      <c r="BF222" s="1511"/>
      <c r="BG222" s="1511"/>
      <c r="BH222" s="1511"/>
      <c r="BI222" s="1511"/>
      <c r="BJ222" s="1511"/>
    </row>
    <row r="223" spans="1:62" ht="13.5" thickBot="1">
      <c r="A223" s="1511"/>
      <c r="B223" s="1532"/>
      <c r="C223" s="1533"/>
      <c r="D223" s="1533"/>
      <c r="E223" s="1533"/>
      <c r="F223" s="1533"/>
      <c r="G223" s="1533"/>
      <c r="H223" s="1533"/>
      <c r="I223" s="1533"/>
      <c r="J223" s="1533"/>
      <c r="K223" s="1533"/>
      <c r="L223" s="1533"/>
      <c r="M223" s="1582"/>
      <c r="N223" s="1511"/>
      <c r="O223" s="1511"/>
      <c r="P223" s="1511"/>
      <c r="Q223" s="1511"/>
      <c r="R223" s="1511"/>
      <c r="S223" s="1511"/>
      <c r="T223" s="1511"/>
      <c r="U223" s="1511"/>
      <c r="V223" s="1511"/>
      <c r="W223" s="1511"/>
      <c r="X223" s="1511"/>
      <c r="Y223" s="1511"/>
      <c r="Z223" s="1511"/>
      <c r="AA223" s="1511"/>
      <c r="AB223" s="1511"/>
      <c r="AC223" s="1511"/>
      <c r="AD223" s="1511"/>
      <c r="AE223" s="1511"/>
      <c r="AF223" s="1511"/>
      <c r="AG223" s="1511"/>
      <c r="AH223" s="1511"/>
      <c r="AI223" s="1511"/>
      <c r="AJ223" s="1511"/>
      <c r="AK223" s="1511"/>
      <c r="AL223" s="1511"/>
      <c r="AM223" s="1511"/>
      <c r="AN223" s="1511"/>
      <c r="AO223" s="1511"/>
      <c r="AP223" s="1511"/>
      <c r="AQ223" s="1511"/>
      <c r="AR223" s="1511"/>
      <c r="AS223" s="1511"/>
      <c r="AT223" s="1511"/>
      <c r="AU223" s="1511"/>
      <c r="AV223" s="1511"/>
      <c r="AW223" s="1511"/>
      <c r="AX223" s="1511"/>
      <c r="AY223" s="1511"/>
      <c r="AZ223" s="1511"/>
      <c r="BA223" s="1511"/>
      <c r="BB223" s="1511"/>
      <c r="BC223" s="1511"/>
      <c r="BD223" s="1511"/>
      <c r="BE223" s="1511"/>
      <c r="BF223" s="1511"/>
      <c r="BG223" s="1511"/>
      <c r="BH223" s="1511"/>
      <c r="BI223" s="1511"/>
      <c r="BJ223" s="1511"/>
    </row>
    <row r="224" spans="1:62">
      <c r="A224" s="1511"/>
      <c r="B224" s="1576"/>
      <c r="C224" s="1530"/>
      <c r="D224" s="1530"/>
      <c r="E224" s="1530"/>
      <c r="F224" s="1530"/>
      <c r="G224" s="1530"/>
      <c r="H224" s="1530"/>
      <c r="I224" s="1530"/>
      <c r="J224" s="1530"/>
      <c r="K224" s="1530"/>
      <c r="L224" s="1530"/>
      <c r="M224" s="1578"/>
      <c r="N224" s="1511"/>
      <c r="O224" s="1511"/>
      <c r="P224" s="1511"/>
      <c r="Q224" s="1511"/>
      <c r="R224" s="1511"/>
      <c r="S224" s="1511"/>
      <c r="T224" s="1511"/>
      <c r="U224" s="1511"/>
      <c r="V224" s="1511"/>
      <c r="W224" s="1511"/>
      <c r="X224" s="1511"/>
      <c r="Y224" s="1511"/>
      <c r="Z224" s="1511"/>
      <c r="AA224" s="1511"/>
      <c r="AB224" s="1511"/>
      <c r="AC224" s="1511"/>
      <c r="AD224" s="1511"/>
      <c r="AE224" s="1511"/>
      <c r="AF224" s="1511"/>
      <c r="AG224" s="1511"/>
      <c r="AH224" s="1511"/>
      <c r="AI224" s="1511"/>
      <c r="AJ224" s="1511"/>
      <c r="AK224" s="1511"/>
      <c r="AL224" s="1511"/>
      <c r="AM224" s="1511"/>
      <c r="AN224" s="1511"/>
      <c r="AO224" s="1511"/>
      <c r="AP224" s="1511"/>
      <c r="AQ224" s="1511"/>
      <c r="AR224" s="1511"/>
      <c r="AS224" s="1511"/>
      <c r="AT224" s="1511"/>
      <c r="AU224" s="1511"/>
      <c r="AV224" s="1511"/>
      <c r="AW224" s="1511"/>
      <c r="AX224" s="1511"/>
      <c r="AY224" s="1511"/>
      <c r="AZ224" s="1511"/>
      <c r="BA224" s="1511"/>
      <c r="BB224" s="1511"/>
      <c r="BC224" s="1511"/>
      <c r="BD224" s="1511"/>
      <c r="BE224" s="1511"/>
      <c r="BF224" s="1511"/>
      <c r="BG224" s="1511"/>
      <c r="BH224" s="1511"/>
      <c r="BI224" s="1511"/>
      <c r="BJ224" s="1511"/>
    </row>
    <row r="225" spans="1:62">
      <c r="A225" s="1511"/>
      <c r="B225" s="1532"/>
      <c r="C225" s="1533"/>
      <c r="D225" s="1533"/>
      <c r="E225" s="1533"/>
      <c r="F225" s="1533"/>
      <c r="G225" s="1533"/>
      <c r="H225" s="1533"/>
      <c r="I225" s="1533"/>
      <c r="J225" s="1533"/>
      <c r="K225" s="1533"/>
      <c r="L225" s="1533"/>
      <c r="M225" s="1541"/>
      <c r="N225" s="1511"/>
      <c r="O225" s="1511"/>
      <c r="P225" s="1511"/>
      <c r="Q225" s="1511"/>
      <c r="R225" s="1511"/>
      <c r="S225" s="1511"/>
      <c r="T225" s="1511"/>
      <c r="U225" s="1511"/>
      <c r="V225" s="1511"/>
      <c r="W225" s="1511"/>
      <c r="X225" s="1511"/>
      <c r="Y225" s="1511"/>
      <c r="Z225" s="1511"/>
      <c r="AA225" s="1511"/>
      <c r="AB225" s="1511"/>
      <c r="AC225" s="1511"/>
      <c r="AD225" s="1511"/>
      <c r="AE225" s="1511"/>
      <c r="AF225" s="1511"/>
      <c r="AG225" s="1511"/>
      <c r="AH225" s="1511"/>
      <c r="AI225" s="1511"/>
      <c r="AJ225" s="1511"/>
      <c r="AK225" s="1511"/>
      <c r="AL225" s="1511"/>
      <c r="AM225" s="1511"/>
      <c r="AN225" s="1511"/>
      <c r="AO225" s="1511"/>
      <c r="AP225" s="1511"/>
      <c r="AQ225" s="1511"/>
      <c r="AR225" s="1511"/>
      <c r="AS225" s="1511"/>
      <c r="AT225" s="1511"/>
      <c r="AU225" s="1511"/>
      <c r="AV225" s="1511"/>
      <c r="AW225" s="1511"/>
      <c r="AX225" s="1511"/>
      <c r="AY225" s="1511"/>
      <c r="AZ225" s="1511"/>
      <c r="BA225" s="1511"/>
      <c r="BB225" s="1511"/>
      <c r="BC225" s="1511"/>
      <c r="BD225" s="1511"/>
      <c r="BE225" s="1511"/>
      <c r="BF225" s="1511"/>
      <c r="BG225" s="1511"/>
      <c r="BH225" s="1511"/>
      <c r="BI225" s="1511"/>
      <c r="BJ225" s="1511"/>
    </row>
    <row r="226" spans="1:62">
      <c r="A226" s="1511"/>
      <c r="B226" s="1532" t="s">
        <v>87</v>
      </c>
      <c r="C226" s="169" t="s">
        <v>88</v>
      </c>
      <c r="D226" s="1533"/>
      <c r="E226" s="1533"/>
      <c r="F226" s="1533"/>
      <c r="G226" s="1533"/>
      <c r="H226" s="1533"/>
      <c r="I226" s="1533"/>
      <c r="J226" s="1533"/>
      <c r="K226" s="1533"/>
      <c r="L226" s="1533"/>
      <c r="M226" s="1541"/>
      <c r="N226" s="1511"/>
      <c r="O226" s="1511"/>
      <c r="P226" s="1511"/>
      <c r="Q226" s="1511"/>
      <c r="R226" s="1511"/>
      <c r="S226" s="1511"/>
      <c r="T226" s="1511"/>
      <c r="U226" s="1511"/>
      <c r="V226" s="1511"/>
      <c r="W226" s="1511"/>
      <c r="X226" s="1511"/>
      <c r="Y226" s="1511"/>
      <c r="Z226" s="1511"/>
      <c r="AA226" s="1511"/>
      <c r="AB226" s="1511"/>
      <c r="AC226" s="1511"/>
      <c r="AD226" s="1511"/>
      <c r="AE226" s="1511"/>
      <c r="AF226" s="1511"/>
      <c r="AG226" s="1511"/>
      <c r="AH226" s="1511"/>
      <c r="AI226" s="1511"/>
      <c r="AJ226" s="1511"/>
      <c r="AK226" s="1511"/>
      <c r="AL226" s="1511"/>
      <c r="AM226" s="1511"/>
      <c r="AN226" s="1511"/>
      <c r="AO226" s="1511"/>
      <c r="AP226" s="1511"/>
      <c r="AQ226" s="1511"/>
      <c r="AR226" s="1511"/>
      <c r="AS226" s="1511"/>
      <c r="AT226" s="1511"/>
      <c r="AU226" s="1511"/>
      <c r="AV226" s="1511"/>
      <c r="AW226" s="1511"/>
      <c r="AX226" s="1511"/>
      <c r="AY226" s="1511"/>
      <c r="AZ226" s="1511"/>
      <c r="BA226" s="1511"/>
      <c r="BB226" s="1511"/>
      <c r="BC226" s="1511"/>
      <c r="BD226" s="1511"/>
      <c r="BE226" s="1511"/>
      <c r="BF226" s="1511"/>
      <c r="BG226" s="1511"/>
      <c r="BH226" s="1511"/>
      <c r="BI226" s="1511"/>
      <c r="BJ226" s="1511"/>
    </row>
    <row r="227" spans="1:62">
      <c r="A227" s="1511"/>
      <c r="B227" s="1532"/>
      <c r="C227" s="1533" t="s">
        <v>89</v>
      </c>
      <c r="D227" s="1533" t="s">
        <v>1138</v>
      </c>
      <c r="E227" s="1533" t="s">
        <v>1114</v>
      </c>
      <c r="F227" s="1565">
        <f>J227/H227</f>
        <v>2508181.9923371645</v>
      </c>
      <c r="G227" s="1533" t="s">
        <v>147</v>
      </c>
      <c r="H227" s="1533">
        <v>1.044</v>
      </c>
      <c r="I227" s="1533" t="s">
        <v>766</v>
      </c>
      <c r="J227" s="1540">
        <v>2618542</v>
      </c>
      <c r="K227" s="1537">
        <f>(J227/(J227+J228))*K229</f>
        <v>155717.06178143556</v>
      </c>
      <c r="L227" s="1603">
        <f>(K227/(K227+K228))*L229</f>
        <v>11.279938960025527</v>
      </c>
      <c r="M227" s="1601">
        <f>(L227/(L227+L228))*M229</f>
        <v>3.8930762782388983</v>
      </c>
      <c r="N227" s="1511"/>
      <c r="O227" s="1511"/>
      <c r="P227" s="1511"/>
      <c r="Q227" s="1511"/>
      <c r="R227" s="1511"/>
      <c r="S227" s="1511"/>
      <c r="T227" s="1511"/>
      <c r="U227" s="1511"/>
      <c r="V227" s="1511"/>
      <c r="W227" s="1511"/>
      <c r="X227" s="1511"/>
      <c r="Y227" s="1511"/>
      <c r="Z227" s="1511"/>
      <c r="AA227" s="1511"/>
      <c r="AB227" s="1511"/>
      <c r="AC227" s="1511"/>
      <c r="AD227" s="1511"/>
      <c r="AE227" s="1511"/>
      <c r="AF227" s="1511"/>
      <c r="AG227" s="1511"/>
      <c r="AH227" s="1511"/>
      <c r="AI227" s="1511"/>
      <c r="AJ227" s="1511"/>
      <c r="AK227" s="1511"/>
      <c r="AL227" s="1511"/>
      <c r="AM227" s="1511"/>
      <c r="AN227" s="1511"/>
      <c r="AO227" s="1511"/>
      <c r="AP227" s="1511"/>
      <c r="AQ227" s="1511"/>
      <c r="AR227" s="1511"/>
      <c r="AS227" s="1511"/>
      <c r="AT227" s="1511"/>
      <c r="AU227" s="1511"/>
      <c r="AV227" s="1511"/>
      <c r="AW227" s="1511"/>
      <c r="AX227" s="1511"/>
      <c r="AY227" s="1511"/>
      <c r="AZ227" s="1511"/>
      <c r="BA227" s="1511"/>
      <c r="BB227" s="1511"/>
      <c r="BC227" s="1511"/>
      <c r="BD227" s="1511"/>
      <c r="BE227" s="1511"/>
      <c r="BF227" s="1511"/>
      <c r="BG227" s="1511"/>
      <c r="BH227" s="1511"/>
      <c r="BI227" s="1511"/>
      <c r="BJ227" s="1511"/>
    </row>
    <row r="228" spans="1:62">
      <c r="A228" s="1511"/>
      <c r="B228" s="1532"/>
      <c r="C228" s="1533"/>
      <c r="D228" s="1533"/>
      <c r="E228" s="1533" t="s">
        <v>297</v>
      </c>
      <c r="F228" s="1540">
        <f>(J228/H228)*1000000</f>
        <v>33264.28571428571</v>
      </c>
      <c r="G228" s="1533" t="s">
        <v>67</v>
      </c>
      <c r="H228" s="1535">
        <v>140000</v>
      </c>
      <c r="I228" s="1533" t="s">
        <v>140</v>
      </c>
      <c r="J228" s="1540">
        <v>4657</v>
      </c>
      <c r="K228" s="1537">
        <f>(J228/(J228+J227))*K229</f>
        <v>276.93821856443219</v>
      </c>
      <c r="L228" s="1603">
        <f>(K228/(K228+K227))*L229</f>
        <v>2.0061039974473917E-2</v>
      </c>
      <c r="M228" s="1601">
        <f>(L228/(L228+L227))*M229</f>
        <v>6.9237217611016174E-3</v>
      </c>
      <c r="N228" s="1511"/>
      <c r="O228" s="1511"/>
      <c r="P228" s="1511"/>
      <c r="Q228" s="1511"/>
      <c r="R228" s="1511"/>
      <c r="S228" s="1511"/>
      <c r="T228" s="1511"/>
      <c r="U228" s="1511"/>
      <c r="V228" s="1511"/>
      <c r="W228" s="1511"/>
      <c r="X228" s="1511"/>
      <c r="Y228" s="1511"/>
      <c r="Z228" s="1511"/>
      <c r="AA228" s="1511"/>
      <c r="AB228" s="1511"/>
      <c r="AC228" s="1511"/>
      <c r="AD228" s="1511"/>
      <c r="AE228" s="1511"/>
      <c r="AF228" s="1511"/>
      <c r="AG228" s="1511"/>
      <c r="AH228" s="1511"/>
      <c r="AI228" s="1511"/>
      <c r="AJ228" s="1511"/>
      <c r="AK228" s="1511"/>
      <c r="AL228" s="1511"/>
      <c r="AM228" s="1511"/>
      <c r="AN228" s="1511"/>
      <c r="AO228" s="1511"/>
      <c r="AP228" s="1511"/>
      <c r="AQ228" s="1511"/>
      <c r="AR228" s="1511"/>
      <c r="AS228" s="1511"/>
      <c r="AT228" s="1511"/>
      <c r="AU228" s="1511"/>
      <c r="AV228" s="1511"/>
      <c r="AW228" s="1511"/>
      <c r="AX228" s="1511"/>
      <c r="AY228" s="1511"/>
      <c r="AZ228" s="1511"/>
      <c r="BA228" s="1511"/>
      <c r="BB228" s="1511"/>
      <c r="BC228" s="1511"/>
      <c r="BD228" s="1511"/>
      <c r="BE228" s="1511"/>
      <c r="BF228" s="1511"/>
      <c r="BG228" s="1511"/>
      <c r="BH228" s="1511"/>
      <c r="BI228" s="1511"/>
      <c r="BJ228" s="1511"/>
    </row>
    <row r="229" spans="1:62">
      <c r="A229" s="1511"/>
      <c r="B229" s="1532"/>
      <c r="C229" s="1533"/>
      <c r="D229" s="1533"/>
      <c r="E229" s="1533"/>
      <c r="F229" s="1533"/>
      <c r="G229" s="1533"/>
      <c r="H229" s="1533"/>
      <c r="I229" s="1533"/>
      <c r="J229" s="1543">
        <f>SUM(J227:J228)</f>
        <v>2623199</v>
      </c>
      <c r="K229" s="1554">
        <v>155994</v>
      </c>
      <c r="L229" s="1555">
        <v>11.3</v>
      </c>
      <c r="M229" s="1763">
        <v>3.9</v>
      </c>
      <c r="N229" s="1511"/>
      <c r="O229" s="1511"/>
      <c r="P229" s="1511"/>
      <c r="Q229" s="1511"/>
      <c r="R229" s="1511"/>
      <c r="S229" s="1511"/>
      <c r="T229" s="1511"/>
      <c r="U229" s="1511"/>
      <c r="V229" s="1511"/>
      <c r="W229" s="1511"/>
      <c r="X229" s="1511"/>
      <c r="Y229" s="1511"/>
      <c r="Z229" s="1511"/>
      <c r="AA229" s="1511"/>
      <c r="AB229" s="1511"/>
      <c r="AC229" s="1511"/>
      <c r="AD229" s="1511"/>
      <c r="AE229" s="1511"/>
      <c r="AF229" s="1511"/>
      <c r="AG229" s="1511"/>
      <c r="AH229" s="1511"/>
      <c r="AI229" s="1511"/>
      <c r="AJ229" s="1511"/>
      <c r="AK229" s="1511"/>
      <c r="AL229" s="1511"/>
      <c r="AM229" s="1511"/>
      <c r="AN229" s="1511"/>
      <c r="AO229" s="1511"/>
      <c r="AP229" s="1511"/>
      <c r="AQ229" s="1511"/>
      <c r="AR229" s="1511"/>
      <c r="AS229" s="1511"/>
      <c r="AT229" s="1511"/>
      <c r="AU229" s="1511"/>
      <c r="AV229" s="1511"/>
      <c r="AW229" s="1511"/>
      <c r="AX229" s="1511"/>
      <c r="AY229" s="1511"/>
      <c r="AZ229" s="1511"/>
      <c r="BA229" s="1511"/>
      <c r="BB229" s="1511"/>
      <c r="BC229" s="1511"/>
      <c r="BD229" s="1511"/>
      <c r="BE229" s="1511"/>
      <c r="BF229" s="1511"/>
      <c r="BG229" s="1511"/>
      <c r="BH229" s="1511"/>
      <c r="BI229" s="1511"/>
      <c r="BJ229" s="1511"/>
    </row>
    <row r="230" spans="1:62">
      <c r="A230" s="1511"/>
      <c r="B230" s="1532"/>
      <c r="C230" s="1533"/>
      <c r="D230" s="1533"/>
      <c r="E230" s="1533"/>
      <c r="F230" s="1533"/>
      <c r="G230" s="1533"/>
      <c r="H230" s="1533"/>
      <c r="I230" s="1533"/>
      <c r="J230" s="1547"/>
      <c r="K230" s="1533"/>
      <c r="L230" s="1533"/>
      <c r="M230" s="1541"/>
      <c r="N230" s="1511"/>
      <c r="O230" s="1511"/>
      <c r="P230" s="1511"/>
      <c r="Q230" s="1511"/>
      <c r="R230" s="1511"/>
      <c r="S230" s="1511"/>
      <c r="T230" s="1511"/>
      <c r="U230" s="1511"/>
      <c r="V230" s="1511"/>
      <c r="W230" s="1511"/>
      <c r="X230" s="1511"/>
      <c r="Y230" s="1511"/>
      <c r="Z230" s="1511"/>
      <c r="AA230" s="1511"/>
      <c r="AB230" s="1511"/>
      <c r="AC230" s="1511"/>
      <c r="AD230" s="1511"/>
      <c r="AE230" s="1511"/>
      <c r="AF230" s="1511"/>
      <c r="AG230" s="1511"/>
      <c r="AH230" s="1511"/>
      <c r="AI230" s="1511"/>
      <c r="AJ230" s="1511"/>
      <c r="AK230" s="1511"/>
      <c r="AL230" s="1511"/>
      <c r="AM230" s="1511"/>
      <c r="AN230" s="1511"/>
      <c r="AO230" s="1511"/>
      <c r="AP230" s="1511"/>
      <c r="AQ230" s="1511"/>
      <c r="AR230" s="1511"/>
      <c r="AS230" s="1511"/>
      <c r="AT230" s="1511"/>
      <c r="AU230" s="1511"/>
      <c r="AV230" s="1511"/>
      <c r="AW230" s="1511"/>
      <c r="AX230" s="1511"/>
      <c r="AY230" s="1511"/>
      <c r="AZ230" s="1511"/>
      <c r="BA230" s="1511"/>
      <c r="BB230" s="1511"/>
      <c r="BC230" s="1511"/>
      <c r="BD230" s="1511"/>
      <c r="BE230" s="1511"/>
      <c r="BF230" s="1511"/>
      <c r="BG230" s="1511"/>
      <c r="BH230" s="1511"/>
      <c r="BI230" s="1511"/>
      <c r="BJ230" s="1511"/>
    </row>
    <row r="231" spans="1:62">
      <c r="A231" s="1511"/>
      <c r="B231" s="1532"/>
      <c r="C231" s="1533" t="s">
        <v>90</v>
      </c>
      <c r="D231" s="1533" t="s">
        <v>1140</v>
      </c>
      <c r="E231" s="1533" t="s">
        <v>1114</v>
      </c>
      <c r="F231" s="1540">
        <f>J231/H231</f>
        <v>2942385.0574712642</v>
      </c>
      <c r="G231" s="1533" t="s">
        <v>147</v>
      </c>
      <c r="H231" s="1533">
        <v>1.044</v>
      </c>
      <c r="I231" s="1533" t="s">
        <v>766</v>
      </c>
      <c r="J231" s="1540">
        <v>3071850</v>
      </c>
      <c r="K231" s="1537">
        <f>(J231/(J231+J232))*K233</f>
        <v>182727.26264964786</v>
      </c>
      <c r="L231" s="1603">
        <f>(K231/(K231+K232))*L233</f>
        <v>13.16622561068665</v>
      </c>
      <c r="M231" s="1601">
        <f>(L231/(L231+L232))*M233</f>
        <v>4.5882301370574687</v>
      </c>
      <c r="N231" s="1511"/>
      <c r="O231" s="1511"/>
      <c r="P231" s="1511"/>
      <c r="Q231" s="1511"/>
      <c r="R231" s="1511"/>
      <c r="S231" s="1511"/>
      <c r="T231" s="1511"/>
      <c r="U231" s="1511"/>
      <c r="V231" s="1511"/>
      <c r="W231" s="1511"/>
      <c r="X231" s="1511"/>
      <c r="Y231" s="1511"/>
      <c r="Z231" s="1511"/>
      <c r="AA231" s="1511"/>
      <c r="AB231" s="1511"/>
      <c r="AC231" s="1511"/>
      <c r="AD231" s="1511"/>
      <c r="AE231" s="1511"/>
      <c r="AF231" s="1511"/>
      <c r="AG231" s="1511"/>
      <c r="AH231" s="1511"/>
      <c r="AI231" s="1511"/>
      <c r="AJ231" s="1511"/>
      <c r="AK231" s="1511"/>
      <c r="AL231" s="1511"/>
      <c r="AM231" s="1511"/>
      <c r="AN231" s="1511"/>
      <c r="AO231" s="1511"/>
      <c r="AP231" s="1511"/>
      <c r="AQ231" s="1511"/>
      <c r="AR231" s="1511"/>
      <c r="AS231" s="1511"/>
      <c r="AT231" s="1511"/>
      <c r="AU231" s="1511"/>
      <c r="AV231" s="1511"/>
      <c r="AW231" s="1511"/>
      <c r="AX231" s="1511"/>
      <c r="AY231" s="1511"/>
      <c r="AZ231" s="1511"/>
      <c r="BA231" s="1511"/>
      <c r="BB231" s="1511"/>
      <c r="BC231" s="1511"/>
      <c r="BD231" s="1511"/>
      <c r="BE231" s="1511"/>
      <c r="BF231" s="1511"/>
      <c r="BG231" s="1511"/>
      <c r="BH231" s="1511"/>
      <c r="BI231" s="1511"/>
      <c r="BJ231" s="1511"/>
    </row>
    <row r="232" spans="1:62">
      <c r="A232" s="1511"/>
      <c r="B232" s="1532"/>
      <c r="C232" s="1533"/>
      <c r="D232" s="1533"/>
      <c r="E232" s="1533" t="s">
        <v>297</v>
      </c>
      <c r="F232" s="1540">
        <f>(J232/H232)*1000000</f>
        <v>56285.714285714283</v>
      </c>
      <c r="G232" s="1533" t="s">
        <v>67</v>
      </c>
      <c r="H232" s="1535">
        <v>140000</v>
      </c>
      <c r="I232" s="1533" t="s">
        <v>140</v>
      </c>
      <c r="J232" s="1540">
        <v>7880</v>
      </c>
      <c r="K232" s="1537">
        <f>(J232/(J232+J231))*K233</f>
        <v>468.73735035214122</v>
      </c>
      <c r="L232" s="1603">
        <f>(K232/(K232+K231))*L233</f>
        <v>3.377438931334889E-2</v>
      </c>
      <c r="M232" s="1601">
        <f>(L232/(L232+L231))*M233</f>
        <v>1.1769862942530672E-2</v>
      </c>
      <c r="N232" s="1511"/>
      <c r="O232" s="1511"/>
      <c r="P232" s="1511"/>
      <c r="Q232" s="1511"/>
      <c r="R232" s="1511"/>
      <c r="S232" s="1511"/>
      <c r="T232" s="1511"/>
      <c r="U232" s="1511"/>
      <c r="V232" s="1511"/>
      <c r="W232" s="1511"/>
      <c r="X232" s="1511"/>
      <c r="Y232" s="1511"/>
      <c r="Z232" s="1511"/>
      <c r="AA232" s="1511"/>
      <c r="AB232" s="1511"/>
      <c r="AC232" s="1511"/>
      <c r="AD232" s="1511"/>
      <c r="AE232" s="1511"/>
      <c r="AF232" s="1511"/>
      <c r="AG232" s="1511"/>
      <c r="AH232" s="1511"/>
      <c r="AI232" s="1511"/>
      <c r="AJ232" s="1511"/>
      <c r="AK232" s="1511"/>
      <c r="AL232" s="1511"/>
      <c r="AM232" s="1511"/>
      <c r="AN232" s="1511"/>
      <c r="AO232" s="1511"/>
      <c r="AP232" s="1511"/>
      <c r="AQ232" s="1511"/>
      <c r="AR232" s="1511"/>
      <c r="AS232" s="1511"/>
      <c r="AT232" s="1511"/>
      <c r="AU232" s="1511"/>
      <c r="AV232" s="1511"/>
      <c r="AW232" s="1511"/>
      <c r="AX232" s="1511"/>
      <c r="AY232" s="1511"/>
      <c r="AZ232" s="1511"/>
      <c r="BA232" s="1511"/>
      <c r="BB232" s="1511"/>
      <c r="BC232" s="1511"/>
      <c r="BD232" s="1511"/>
      <c r="BE232" s="1511"/>
      <c r="BF232" s="1511"/>
      <c r="BG232" s="1511"/>
      <c r="BH232" s="1511"/>
      <c r="BI232" s="1511"/>
      <c r="BJ232" s="1511"/>
    </row>
    <row r="233" spans="1:62">
      <c r="A233" s="1511"/>
      <c r="B233" s="1532"/>
      <c r="C233" s="1533"/>
      <c r="D233" s="1533"/>
      <c r="E233" s="1533"/>
      <c r="F233" s="1533"/>
      <c r="G233" s="1533"/>
      <c r="H233" s="1533"/>
      <c r="I233" s="1533"/>
      <c r="J233" s="1543">
        <f>SUM(J231:J232)</f>
        <v>3079730</v>
      </c>
      <c r="K233" s="1554">
        <v>183196</v>
      </c>
      <c r="L233" s="1568">
        <v>13.2</v>
      </c>
      <c r="M233" s="1570">
        <v>4.5999999999999996</v>
      </c>
      <c r="N233" s="1511"/>
      <c r="O233" s="1511"/>
      <c r="P233" s="1511"/>
      <c r="Q233" s="1511"/>
      <c r="R233" s="1511"/>
      <c r="S233" s="1511"/>
      <c r="T233" s="1511"/>
      <c r="U233" s="1511"/>
      <c r="V233" s="1511"/>
      <c r="W233" s="1511"/>
      <c r="X233" s="1511"/>
      <c r="Y233" s="1511"/>
      <c r="Z233" s="1511"/>
      <c r="AA233" s="1511"/>
      <c r="AB233" s="1511"/>
      <c r="AC233" s="1511"/>
      <c r="AD233" s="1511"/>
      <c r="AE233" s="1511"/>
      <c r="AF233" s="1511"/>
      <c r="AG233" s="1511"/>
      <c r="AH233" s="1511"/>
      <c r="AI233" s="1511"/>
      <c r="AJ233" s="1511"/>
      <c r="AK233" s="1511"/>
      <c r="AL233" s="1511"/>
      <c r="AM233" s="1511"/>
      <c r="AN233" s="1511"/>
      <c r="AO233" s="1511"/>
      <c r="AP233" s="1511"/>
      <c r="AQ233" s="1511"/>
      <c r="AR233" s="1511"/>
      <c r="AS233" s="1511"/>
      <c r="AT233" s="1511"/>
      <c r="AU233" s="1511"/>
      <c r="AV233" s="1511"/>
      <c r="AW233" s="1511"/>
      <c r="AX233" s="1511"/>
      <c r="AY233" s="1511"/>
      <c r="AZ233" s="1511"/>
      <c r="BA233" s="1511"/>
      <c r="BB233" s="1511"/>
      <c r="BC233" s="1511"/>
      <c r="BD233" s="1511"/>
      <c r="BE233" s="1511"/>
      <c r="BF233" s="1511"/>
      <c r="BG233" s="1511"/>
      <c r="BH233" s="1511"/>
      <c r="BI233" s="1511"/>
      <c r="BJ233" s="1511"/>
    </row>
    <row r="234" spans="1:62" ht="13.5" thickBot="1">
      <c r="A234" s="1511"/>
      <c r="B234" s="1532"/>
      <c r="C234" s="1533"/>
      <c r="D234" s="1533"/>
      <c r="E234" s="1533"/>
      <c r="F234" s="1533"/>
      <c r="G234" s="1533"/>
      <c r="H234" s="1533"/>
      <c r="I234" s="1533"/>
      <c r="J234" s="1533"/>
      <c r="K234" s="1533"/>
      <c r="L234" s="1533"/>
      <c r="M234" s="1541"/>
      <c r="N234" s="1511"/>
      <c r="O234" s="1511"/>
      <c r="P234" s="1511"/>
      <c r="Q234" s="1511"/>
      <c r="R234" s="1511"/>
      <c r="S234" s="1511"/>
      <c r="T234" s="1511"/>
      <c r="U234" s="1511"/>
      <c r="V234" s="1511"/>
      <c r="W234" s="1511"/>
      <c r="X234" s="1511"/>
      <c r="Y234" s="1511"/>
      <c r="Z234" s="1511"/>
      <c r="AA234" s="1511"/>
      <c r="AB234" s="1511"/>
      <c r="AC234" s="1511"/>
      <c r="AD234" s="1511"/>
      <c r="AE234" s="1511"/>
      <c r="AF234" s="1511"/>
      <c r="AG234" s="1511"/>
      <c r="AH234" s="1511"/>
      <c r="AI234" s="1511"/>
      <c r="AJ234" s="1511"/>
      <c r="AK234" s="1511"/>
      <c r="AL234" s="1511"/>
      <c r="AM234" s="1511"/>
      <c r="AN234" s="1511"/>
      <c r="AO234" s="1511"/>
      <c r="AP234" s="1511"/>
      <c r="AQ234" s="1511"/>
      <c r="AR234" s="1511"/>
      <c r="AS234" s="1511"/>
      <c r="AT234" s="1511"/>
      <c r="AU234" s="1511"/>
      <c r="AV234" s="1511"/>
      <c r="AW234" s="1511"/>
      <c r="AX234" s="1511"/>
      <c r="AY234" s="1511"/>
      <c r="AZ234" s="1511"/>
      <c r="BA234" s="1511"/>
      <c r="BB234" s="1511"/>
      <c r="BC234" s="1511"/>
      <c r="BD234" s="1511"/>
      <c r="BE234" s="1511"/>
      <c r="BF234" s="1511"/>
      <c r="BG234" s="1511"/>
      <c r="BH234" s="1511"/>
      <c r="BI234" s="1511"/>
      <c r="BJ234" s="1511"/>
    </row>
    <row r="235" spans="1:62">
      <c r="A235" s="1511"/>
      <c r="B235" s="1576"/>
      <c r="C235" s="1530"/>
      <c r="D235" s="1530"/>
      <c r="E235" s="1530"/>
      <c r="F235" s="1530"/>
      <c r="G235" s="1530"/>
      <c r="H235" s="1530"/>
      <c r="I235" s="1530"/>
      <c r="J235" s="1530"/>
      <c r="K235" s="1530"/>
      <c r="L235" s="1530"/>
      <c r="M235" s="1578"/>
      <c r="N235" s="1511"/>
      <c r="O235" s="1511"/>
      <c r="P235" s="1511"/>
      <c r="Q235" s="1511"/>
      <c r="R235" s="1511"/>
      <c r="S235" s="1511"/>
      <c r="T235" s="1511"/>
      <c r="U235" s="1511"/>
      <c r="V235" s="1511"/>
      <c r="W235" s="1511"/>
      <c r="X235" s="1511"/>
      <c r="Y235" s="1511"/>
      <c r="Z235" s="1511"/>
      <c r="AA235" s="1511"/>
      <c r="AB235" s="1511"/>
      <c r="AC235" s="1511"/>
      <c r="AD235" s="1511"/>
      <c r="AE235" s="1511"/>
      <c r="AF235" s="1511"/>
      <c r="AG235" s="1511"/>
      <c r="AH235" s="1511"/>
      <c r="AI235" s="1511"/>
      <c r="AJ235" s="1511"/>
      <c r="AK235" s="1511"/>
      <c r="AL235" s="1511"/>
      <c r="AM235" s="1511"/>
      <c r="AN235" s="1511"/>
      <c r="AO235" s="1511"/>
      <c r="AP235" s="1511"/>
      <c r="AQ235" s="1511"/>
      <c r="AR235" s="1511"/>
      <c r="AS235" s="1511"/>
      <c r="AT235" s="1511"/>
      <c r="AU235" s="1511"/>
      <c r="AV235" s="1511"/>
      <c r="AW235" s="1511"/>
      <c r="AX235" s="1511"/>
      <c r="AY235" s="1511"/>
      <c r="AZ235" s="1511"/>
      <c r="BA235" s="1511"/>
      <c r="BB235" s="1511"/>
      <c r="BC235" s="1511"/>
      <c r="BD235" s="1511"/>
      <c r="BE235" s="1511"/>
      <c r="BF235" s="1511"/>
      <c r="BG235" s="1511"/>
      <c r="BH235" s="1511"/>
      <c r="BI235" s="1511"/>
      <c r="BJ235" s="1511"/>
    </row>
    <row r="236" spans="1:62">
      <c r="A236" s="1511"/>
      <c r="B236" s="1532"/>
      <c r="C236" s="1533"/>
      <c r="D236" s="1533"/>
      <c r="E236" s="1533"/>
      <c r="F236" s="1533"/>
      <c r="G236" s="1533"/>
      <c r="H236" s="1533"/>
      <c r="I236" s="1533"/>
      <c r="J236" s="1533"/>
      <c r="K236" s="1533"/>
      <c r="L236" s="1533"/>
      <c r="M236" s="1541"/>
      <c r="N236" s="1511"/>
      <c r="O236" s="1511"/>
      <c r="P236" s="1511"/>
      <c r="Q236" s="1511"/>
      <c r="R236" s="1511"/>
      <c r="S236" s="1511"/>
      <c r="T236" s="1511"/>
      <c r="U236" s="1511"/>
      <c r="V236" s="1511"/>
      <c r="W236" s="1511"/>
      <c r="X236" s="1511"/>
      <c r="Y236" s="1511"/>
      <c r="Z236" s="1511"/>
      <c r="AA236" s="1511"/>
      <c r="AB236" s="1511"/>
      <c r="AC236" s="1511"/>
      <c r="AD236" s="1511"/>
      <c r="AE236" s="1511"/>
      <c r="AF236" s="1511"/>
      <c r="AG236" s="1511"/>
      <c r="AH236" s="1511"/>
      <c r="AI236" s="1511"/>
      <c r="AJ236" s="1511"/>
      <c r="AK236" s="1511"/>
      <c r="AL236" s="1511"/>
      <c r="AM236" s="1511"/>
      <c r="AN236" s="1511"/>
      <c r="AO236" s="1511"/>
      <c r="AP236" s="1511"/>
      <c r="AQ236" s="1511"/>
      <c r="AR236" s="1511"/>
      <c r="AS236" s="1511"/>
      <c r="AT236" s="1511"/>
      <c r="AU236" s="1511"/>
      <c r="AV236" s="1511"/>
      <c r="AW236" s="1511"/>
      <c r="AX236" s="1511"/>
      <c r="AY236" s="1511"/>
      <c r="AZ236" s="1511"/>
      <c r="BA236" s="1511"/>
      <c r="BB236" s="1511"/>
      <c r="BC236" s="1511"/>
      <c r="BD236" s="1511"/>
      <c r="BE236" s="1511"/>
      <c r="BF236" s="1511"/>
      <c r="BG236" s="1511"/>
      <c r="BH236" s="1511"/>
      <c r="BI236" s="1511"/>
      <c r="BJ236" s="1511"/>
    </row>
    <row r="237" spans="1:62">
      <c r="A237" s="1511"/>
      <c r="B237" s="1532" t="s">
        <v>767</v>
      </c>
      <c r="C237" s="2" t="s">
        <v>768</v>
      </c>
      <c r="D237" s="1533"/>
      <c r="E237" s="1533"/>
      <c r="F237" s="1533"/>
      <c r="G237" s="1533"/>
      <c r="H237" s="1533"/>
      <c r="I237" s="1533"/>
      <c r="J237" s="1533"/>
      <c r="K237" s="1533"/>
      <c r="L237" s="1533"/>
      <c r="M237" s="1541"/>
      <c r="N237" s="1511"/>
      <c r="O237" s="1511"/>
      <c r="P237" s="1511"/>
      <c r="Q237" s="1511"/>
      <c r="R237" s="1511"/>
      <c r="S237" s="1511"/>
      <c r="T237" s="1511"/>
      <c r="U237" s="1511"/>
      <c r="V237" s="1511"/>
      <c r="W237" s="1511"/>
      <c r="X237" s="1511"/>
      <c r="Y237" s="1511"/>
      <c r="Z237" s="1511"/>
      <c r="AA237" s="1511"/>
      <c r="AB237" s="1511"/>
      <c r="AC237" s="1511"/>
      <c r="AD237" s="1511"/>
      <c r="AE237" s="1511"/>
      <c r="AF237" s="1511"/>
      <c r="AG237" s="1511"/>
      <c r="AH237" s="1511"/>
      <c r="AI237" s="1511"/>
      <c r="AJ237" s="1511"/>
      <c r="AK237" s="1511"/>
      <c r="AL237" s="1511"/>
      <c r="AM237" s="1511"/>
      <c r="AN237" s="1511"/>
      <c r="AO237" s="1511"/>
      <c r="AP237" s="1511"/>
      <c r="AQ237" s="1511"/>
      <c r="AR237" s="1511"/>
      <c r="AS237" s="1511"/>
      <c r="AT237" s="1511"/>
      <c r="AU237" s="1511"/>
      <c r="AV237" s="1511"/>
      <c r="AW237" s="1511"/>
      <c r="AX237" s="1511"/>
      <c r="AY237" s="1511"/>
      <c r="AZ237" s="1511"/>
      <c r="BA237" s="1511"/>
      <c r="BB237" s="1511"/>
      <c r="BC237" s="1511"/>
      <c r="BD237" s="1511"/>
      <c r="BE237" s="1511"/>
      <c r="BF237" s="1511"/>
      <c r="BG237" s="1511"/>
      <c r="BH237" s="1511"/>
      <c r="BI237" s="1511"/>
      <c r="BJ237" s="1511"/>
    </row>
    <row r="238" spans="1:62">
      <c r="A238" s="1511"/>
      <c r="B238" s="1532"/>
      <c r="C238" s="1533" t="s">
        <v>86</v>
      </c>
      <c r="D238" s="1533" t="s">
        <v>40</v>
      </c>
      <c r="E238" s="1533" t="s">
        <v>77</v>
      </c>
      <c r="F238" s="1540">
        <f>2.05*1000000</f>
        <v>2049999.9999999998</v>
      </c>
      <c r="G238" s="1533" t="s">
        <v>147</v>
      </c>
      <c r="H238" s="1535">
        <v>1042</v>
      </c>
      <c r="I238" s="1533" t="s">
        <v>761</v>
      </c>
      <c r="J238" s="1535">
        <f t="shared" ref="J238:J244" si="2">F238*H238/1000000</f>
        <v>2136.1</v>
      </c>
      <c r="K238" s="1540">
        <v>125</v>
      </c>
      <c r="L238" s="1571">
        <v>0</v>
      </c>
      <c r="M238" s="1607">
        <v>0</v>
      </c>
      <c r="N238" s="1511"/>
      <c r="O238" s="1511"/>
      <c r="P238" s="1511"/>
      <c r="Q238" s="1511"/>
      <c r="R238" s="1511"/>
      <c r="S238" s="1511"/>
      <c r="T238" s="1511"/>
      <c r="U238" s="1511"/>
      <c r="V238" s="1511"/>
      <c r="W238" s="1511"/>
      <c r="X238" s="1511"/>
      <c r="Y238" s="1511"/>
      <c r="Z238" s="1511"/>
      <c r="AA238" s="1511"/>
      <c r="AB238" s="1511"/>
      <c r="AC238" s="1511"/>
      <c r="AD238" s="1511"/>
      <c r="AE238" s="1511"/>
      <c r="AF238" s="1511"/>
      <c r="AG238" s="1511"/>
      <c r="AH238" s="1511"/>
      <c r="AI238" s="1511"/>
      <c r="AJ238" s="1511"/>
      <c r="AK238" s="1511"/>
      <c r="AL238" s="1511"/>
      <c r="AM238" s="1511"/>
      <c r="AN238" s="1511"/>
      <c r="AO238" s="1511"/>
      <c r="AP238" s="1511"/>
      <c r="AQ238" s="1511"/>
      <c r="AR238" s="1511"/>
      <c r="AS238" s="1511"/>
      <c r="AT238" s="1511"/>
      <c r="AU238" s="1511"/>
      <c r="AV238" s="1511"/>
      <c r="AW238" s="1511"/>
      <c r="AX238" s="1511"/>
      <c r="AY238" s="1511"/>
      <c r="AZ238" s="1511"/>
      <c r="BA238" s="1511"/>
      <c r="BB238" s="1511"/>
      <c r="BC238" s="1511"/>
      <c r="BD238" s="1511"/>
      <c r="BE238" s="1511"/>
      <c r="BF238" s="1511"/>
      <c r="BG238" s="1511"/>
      <c r="BH238" s="1511"/>
      <c r="BI238" s="1511"/>
      <c r="BJ238" s="1511"/>
    </row>
    <row r="239" spans="1:62">
      <c r="A239" s="1511"/>
      <c r="B239" s="1532"/>
      <c r="C239" s="1533" t="s">
        <v>326</v>
      </c>
      <c r="D239" s="1533" t="s">
        <v>42</v>
      </c>
      <c r="E239" s="1533" t="s">
        <v>77</v>
      </c>
      <c r="F239" s="1540">
        <f>3.66*1000000</f>
        <v>3660000</v>
      </c>
      <c r="G239" s="1533" t="s">
        <v>147</v>
      </c>
      <c r="H239" s="1535">
        <v>1042</v>
      </c>
      <c r="I239" s="1533" t="s">
        <v>761</v>
      </c>
      <c r="J239" s="1535">
        <f t="shared" si="2"/>
        <v>3813.72</v>
      </c>
      <c r="K239" s="1540">
        <v>223</v>
      </c>
      <c r="L239" s="1571">
        <v>0</v>
      </c>
      <c r="M239" s="1607">
        <v>0</v>
      </c>
      <c r="N239" s="1511"/>
      <c r="O239" s="1511"/>
      <c r="P239" s="1511"/>
      <c r="Q239" s="1511"/>
      <c r="R239" s="1511"/>
      <c r="S239" s="1511"/>
      <c r="T239" s="1511"/>
      <c r="U239" s="1511"/>
      <c r="V239" s="1511"/>
      <c r="W239" s="1511"/>
      <c r="X239" s="1511"/>
      <c r="Y239" s="1511"/>
      <c r="Z239" s="1511"/>
      <c r="AA239" s="1511"/>
      <c r="AB239" s="1511"/>
      <c r="AC239" s="1511"/>
      <c r="AD239" s="1511"/>
      <c r="AE239" s="1511"/>
      <c r="AF239" s="1511"/>
      <c r="AG239" s="1511"/>
      <c r="AH239" s="1511"/>
      <c r="AI239" s="1511"/>
      <c r="AJ239" s="1511"/>
      <c r="AK239" s="1511"/>
      <c r="AL239" s="1511"/>
      <c r="AM239" s="1511"/>
      <c r="AN239" s="1511"/>
      <c r="AO239" s="1511"/>
      <c r="AP239" s="1511"/>
      <c r="AQ239" s="1511"/>
      <c r="AR239" s="1511"/>
      <c r="AS239" s="1511"/>
      <c r="AT239" s="1511"/>
      <c r="AU239" s="1511"/>
      <c r="AV239" s="1511"/>
      <c r="AW239" s="1511"/>
      <c r="AX239" s="1511"/>
      <c r="AY239" s="1511"/>
      <c r="AZ239" s="1511"/>
      <c r="BA239" s="1511"/>
      <c r="BB239" s="1511"/>
      <c r="BC239" s="1511"/>
      <c r="BD239" s="1511"/>
      <c r="BE239" s="1511"/>
      <c r="BF239" s="1511"/>
      <c r="BG239" s="1511"/>
      <c r="BH239" s="1511"/>
      <c r="BI239" s="1511"/>
      <c r="BJ239" s="1511"/>
    </row>
    <row r="240" spans="1:62">
      <c r="A240" s="1511"/>
      <c r="B240" s="1532"/>
      <c r="C240" s="1533" t="s">
        <v>327</v>
      </c>
      <c r="D240" s="1533" t="s">
        <v>44</v>
      </c>
      <c r="E240" s="1533" t="s">
        <v>77</v>
      </c>
      <c r="F240" s="1540">
        <f>3.5*1000000</f>
        <v>3500000</v>
      </c>
      <c r="G240" s="1533" t="s">
        <v>147</v>
      </c>
      <c r="H240" s="1535">
        <v>1042</v>
      </c>
      <c r="I240" s="1533" t="s">
        <v>761</v>
      </c>
      <c r="J240" s="1535">
        <f t="shared" si="2"/>
        <v>3647</v>
      </c>
      <c r="K240" s="1540">
        <v>213</v>
      </c>
      <c r="L240" s="1571">
        <v>0</v>
      </c>
      <c r="M240" s="1607">
        <v>0</v>
      </c>
      <c r="N240" s="1511"/>
      <c r="O240" s="1511"/>
      <c r="P240" s="1511"/>
      <c r="Q240" s="1511"/>
      <c r="R240" s="1511"/>
      <c r="S240" s="1511"/>
      <c r="T240" s="1511"/>
      <c r="U240" s="1511"/>
      <c r="V240" s="1511"/>
      <c r="W240" s="1511"/>
      <c r="X240" s="1511"/>
      <c r="Y240" s="1511"/>
      <c r="Z240" s="1511"/>
      <c r="AA240" s="1511"/>
      <c r="AB240" s="1511"/>
      <c r="AC240" s="1511"/>
      <c r="AD240" s="1511"/>
      <c r="AE240" s="1511"/>
      <c r="AF240" s="1511"/>
      <c r="AG240" s="1511"/>
      <c r="AH240" s="1511"/>
      <c r="AI240" s="1511"/>
      <c r="AJ240" s="1511"/>
      <c r="AK240" s="1511"/>
      <c r="AL240" s="1511"/>
      <c r="AM240" s="1511"/>
      <c r="AN240" s="1511"/>
      <c r="AO240" s="1511"/>
      <c r="AP240" s="1511"/>
      <c r="AQ240" s="1511"/>
      <c r="AR240" s="1511"/>
      <c r="AS240" s="1511"/>
      <c r="AT240" s="1511"/>
      <c r="AU240" s="1511"/>
      <c r="AV240" s="1511"/>
      <c r="AW240" s="1511"/>
      <c r="AX240" s="1511"/>
      <c r="AY240" s="1511"/>
      <c r="AZ240" s="1511"/>
      <c r="BA240" s="1511"/>
      <c r="BB240" s="1511"/>
      <c r="BC240" s="1511"/>
      <c r="BD240" s="1511"/>
      <c r="BE240" s="1511"/>
      <c r="BF240" s="1511"/>
      <c r="BG240" s="1511"/>
      <c r="BH240" s="1511"/>
      <c r="BI240" s="1511"/>
      <c r="BJ240" s="1511"/>
    </row>
    <row r="241" spans="1:62">
      <c r="A241" s="1511"/>
      <c r="B241" s="1532"/>
      <c r="C241" s="1533" t="s">
        <v>328</v>
      </c>
      <c r="D241" s="1533" t="s">
        <v>46</v>
      </c>
      <c r="E241" s="1533" t="s">
        <v>77</v>
      </c>
      <c r="F241" s="1540">
        <f>3.65*1000000</f>
        <v>3650000</v>
      </c>
      <c r="G241" s="1533" t="s">
        <v>147</v>
      </c>
      <c r="H241" s="1535">
        <v>1042</v>
      </c>
      <c r="I241" s="1533" t="s">
        <v>761</v>
      </c>
      <c r="J241" s="1535">
        <f t="shared" si="2"/>
        <v>3803.3</v>
      </c>
      <c r="K241" s="1540">
        <v>222</v>
      </c>
      <c r="L241" s="1571">
        <v>0</v>
      </c>
      <c r="M241" s="1607">
        <v>0</v>
      </c>
      <c r="N241" s="1511"/>
      <c r="O241" s="1511"/>
      <c r="P241" s="1511"/>
      <c r="Q241" s="1511"/>
      <c r="R241" s="1511"/>
      <c r="S241" s="1511"/>
      <c r="T241" s="1511"/>
      <c r="U241" s="1511"/>
      <c r="V241" s="1511"/>
      <c r="W241" s="1511"/>
      <c r="X241" s="1511"/>
      <c r="Y241" s="1511"/>
      <c r="Z241" s="1511"/>
      <c r="AA241" s="1511"/>
      <c r="AB241" s="1511"/>
      <c r="AC241" s="1511"/>
      <c r="AD241" s="1511"/>
      <c r="AE241" s="1511"/>
      <c r="AF241" s="1511"/>
      <c r="AG241" s="1511"/>
      <c r="AH241" s="1511"/>
      <c r="AI241" s="1511"/>
      <c r="AJ241" s="1511"/>
      <c r="AK241" s="1511"/>
      <c r="AL241" s="1511"/>
      <c r="AM241" s="1511"/>
      <c r="AN241" s="1511"/>
      <c r="AO241" s="1511"/>
      <c r="AP241" s="1511"/>
      <c r="AQ241" s="1511"/>
      <c r="AR241" s="1511"/>
      <c r="AS241" s="1511"/>
      <c r="AT241" s="1511"/>
      <c r="AU241" s="1511"/>
      <c r="AV241" s="1511"/>
      <c r="AW241" s="1511"/>
      <c r="AX241" s="1511"/>
      <c r="AY241" s="1511"/>
      <c r="AZ241" s="1511"/>
      <c r="BA241" s="1511"/>
      <c r="BB241" s="1511"/>
      <c r="BC241" s="1511"/>
      <c r="BD241" s="1511"/>
      <c r="BE241" s="1511"/>
      <c r="BF241" s="1511"/>
      <c r="BG241" s="1511"/>
      <c r="BH241" s="1511"/>
      <c r="BI241" s="1511"/>
      <c r="BJ241" s="1511"/>
    </row>
    <row r="242" spans="1:62">
      <c r="A242" s="1511"/>
      <c r="B242" s="1532"/>
      <c r="C242" s="1533" t="s">
        <v>329</v>
      </c>
      <c r="D242" s="1533" t="s">
        <v>148</v>
      </c>
      <c r="E242" s="1533" t="s">
        <v>77</v>
      </c>
      <c r="F242" s="1540">
        <f>2.2*1000000</f>
        <v>2200000</v>
      </c>
      <c r="G242" s="1533" t="s">
        <v>147</v>
      </c>
      <c r="H242" s="1535">
        <v>1042</v>
      </c>
      <c r="I242" s="1533" t="s">
        <v>761</v>
      </c>
      <c r="J242" s="1535">
        <f t="shared" si="2"/>
        <v>2292.4</v>
      </c>
      <c r="K242" s="1540">
        <v>134</v>
      </c>
      <c r="L242" s="1591">
        <v>0</v>
      </c>
      <c r="M242" s="1607">
        <v>0</v>
      </c>
      <c r="N242" s="1511"/>
      <c r="O242" s="1511"/>
      <c r="P242" s="1511"/>
      <c r="Q242" s="1511"/>
      <c r="R242" s="1511"/>
      <c r="S242" s="1511"/>
      <c r="T242" s="1511"/>
      <c r="U242" s="1511"/>
      <c r="V242" s="1511"/>
      <c r="W242" s="1511"/>
      <c r="X242" s="1511"/>
      <c r="Y242" s="1511"/>
      <c r="Z242" s="1511"/>
      <c r="AA242" s="1511"/>
      <c r="AB242" s="1511"/>
      <c r="AC242" s="1511"/>
      <c r="AD242" s="1511"/>
      <c r="AE242" s="1511"/>
      <c r="AF242" s="1511"/>
      <c r="AG242" s="1511"/>
      <c r="AH242" s="1511"/>
      <c r="AI242" s="1511"/>
      <c r="AJ242" s="1511"/>
      <c r="AK242" s="1511"/>
      <c r="AL242" s="1511"/>
      <c r="AM242" s="1511"/>
      <c r="AN242" s="1511"/>
      <c r="AO242" s="1511"/>
      <c r="AP242" s="1511"/>
      <c r="AQ242" s="1511"/>
      <c r="AR242" s="1511"/>
      <c r="AS242" s="1511"/>
      <c r="AT242" s="1511"/>
      <c r="AU242" s="1511"/>
      <c r="AV242" s="1511"/>
      <c r="AW242" s="1511"/>
      <c r="AX242" s="1511"/>
      <c r="AY242" s="1511"/>
      <c r="AZ242" s="1511"/>
      <c r="BA242" s="1511"/>
      <c r="BB242" s="1511"/>
      <c r="BC242" s="1511"/>
      <c r="BD242" s="1511"/>
      <c r="BE242" s="1511"/>
      <c r="BF242" s="1511"/>
      <c r="BG242" s="1511"/>
      <c r="BH242" s="1511"/>
      <c r="BI242" s="1511"/>
      <c r="BJ242" s="1511"/>
    </row>
    <row r="243" spans="1:62">
      <c r="A243" s="1511"/>
      <c r="B243" s="1532"/>
      <c r="C243" s="1533" t="s">
        <v>330</v>
      </c>
      <c r="D243" s="1533" t="s">
        <v>149</v>
      </c>
      <c r="E243" s="1533" t="s">
        <v>77</v>
      </c>
      <c r="F243" s="1540">
        <f>3.31*1000000</f>
        <v>3310000</v>
      </c>
      <c r="G243" s="1533" t="s">
        <v>147</v>
      </c>
      <c r="H243" s="1535">
        <v>1042</v>
      </c>
      <c r="I243" s="1533" t="s">
        <v>761</v>
      </c>
      <c r="J243" s="1535">
        <f t="shared" si="2"/>
        <v>3449.02</v>
      </c>
      <c r="K243" s="1540">
        <v>202</v>
      </c>
      <c r="L243" s="1571">
        <v>0</v>
      </c>
      <c r="M243" s="1607">
        <v>0</v>
      </c>
      <c r="N243" s="1511"/>
      <c r="O243" s="1511"/>
      <c r="P243" s="1511"/>
      <c r="Q243" s="1511"/>
      <c r="R243" s="1511"/>
      <c r="S243" s="1511"/>
      <c r="T243" s="1511"/>
      <c r="U243" s="1511"/>
      <c r="V243" s="1511"/>
      <c r="W243" s="1511"/>
      <c r="X243" s="1511"/>
      <c r="Y243" s="1511"/>
      <c r="Z243" s="1511"/>
      <c r="AA243" s="1511"/>
      <c r="AB243" s="1511"/>
      <c r="AC243" s="1511"/>
      <c r="AD243" s="1511"/>
      <c r="AE243" s="1511"/>
      <c r="AF243" s="1511"/>
      <c r="AG243" s="1511"/>
      <c r="AH243" s="1511"/>
      <c r="AI243" s="1511"/>
      <c r="AJ243" s="1511"/>
      <c r="AK243" s="1511"/>
      <c r="AL243" s="1511"/>
      <c r="AM243" s="1511"/>
      <c r="AN243" s="1511"/>
      <c r="AO243" s="1511"/>
      <c r="AP243" s="1511"/>
      <c r="AQ243" s="1511"/>
      <c r="AR243" s="1511"/>
      <c r="AS243" s="1511"/>
      <c r="AT243" s="1511"/>
      <c r="AU243" s="1511"/>
      <c r="AV243" s="1511"/>
      <c r="AW243" s="1511"/>
      <c r="AX243" s="1511"/>
      <c r="AY243" s="1511"/>
      <c r="AZ243" s="1511"/>
      <c r="BA243" s="1511"/>
      <c r="BB243" s="1511"/>
      <c r="BC243" s="1511"/>
      <c r="BD243" s="1511"/>
      <c r="BE243" s="1511"/>
      <c r="BF243" s="1511"/>
      <c r="BG243" s="1511"/>
      <c r="BH243" s="1511"/>
      <c r="BI243" s="1511"/>
      <c r="BJ243" s="1511"/>
    </row>
    <row r="244" spans="1:62">
      <c r="A244" s="1511"/>
      <c r="B244" s="1532"/>
      <c r="C244" s="1533" t="s">
        <v>331</v>
      </c>
      <c r="D244" s="1533" t="s">
        <v>150</v>
      </c>
      <c r="E244" s="1533" t="s">
        <v>77</v>
      </c>
      <c r="F244" s="1540">
        <f>3.3*1000000</f>
        <v>3300000</v>
      </c>
      <c r="G244" s="1533" t="s">
        <v>147</v>
      </c>
      <c r="H244" s="1535">
        <v>1042</v>
      </c>
      <c r="I244" s="1533" t="s">
        <v>761</v>
      </c>
      <c r="J244" s="1535">
        <f t="shared" si="2"/>
        <v>3438.6</v>
      </c>
      <c r="K244" s="1540">
        <v>201</v>
      </c>
      <c r="L244" s="1571">
        <v>0</v>
      </c>
      <c r="M244" s="1607">
        <v>0</v>
      </c>
      <c r="N244" s="1511"/>
      <c r="O244" s="1511"/>
      <c r="P244" s="1511"/>
      <c r="Q244" s="1511"/>
      <c r="R244" s="1511"/>
      <c r="S244" s="1511"/>
      <c r="T244" s="1511"/>
      <c r="U244" s="1511"/>
      <c r="V244" s="1511"/>
      <c r="W244" s="1511"/>
      <c r="X244" s="1511"/>
      <c r="Y244" s="1511"/>
      <c r="Z244" s="1511"/>
      <c r="AA244" s="1511"/>
      <c r="AB244" s="1511"/>
      <c r="AC244" s="1511"/>
      <c r="AD244" s="1511"/>
      <c r="AE244" s="1511"/>
      <c r="AF244" s="1511"/>
      <c r="AG244" s="1511"/>
      <c r="AH244" s="1511"/>
      <c r="AI244" s="1511"/>
      <c r="AJ244" s="1511"/>
      <c r="AK244" s="1511"/>
      <c r="AL244" s="1511"/>
      <c r="AM244" s="1511"/>
      <c r="AN244" s="1511"/>
      <c r="AO244" s="1511"/>
      <c r="AP244" s="1511"/>
      <c r="AQ244" s="1511"/>
      <c r="AR244" s="1511"/>
      <c r="AS244" s="1511"/>
      <c r="AT244" s="1511"/>
      <c r="AU244" s="1511"/>
      <c r="AV244" s="1511"/>
      <c r="AW244" s="1511"/>
      <c r="AX244" s="1511"/>
      <c r="AY244" s="1511"/>
      <c r="AZ244" s="1511"/>
      <c r="BA244" s="1511"/>
      <c r="BB244" s="1511"/>
      <c r="BC244" s="1511"/>
      <c r="BD244" s="1511"/>
      <c r="BE244" s="1511"/>
      <c r="BF244" s="1511"/>
      <c r="BG244" s="1511"/>
      <c r="BH244" s="1511"/>
      <c r="BI244" s="1511"/>
      <c r="BJ244" s="1511"/>
    </row>
    <row r="245" spans="1:62">
      <c r="A245" s="1511"/>
      <c r="B245" s="1532"/>
      <c r="C245" s="1533" t="s">
        <v>332</v>
      </c>
      <c r="D245" s="1533" t="s">
        <v>151</v>
      </c>
      <c r="E245" s="1533" t="s">
        <v>77</v>
      </c>
      <c r="F245" s="1540">
        <f>3.85*1000000</f>
        <v>3850000</v>
      </c>
      <c r="G245" s="1533" t="s">
        <v>147</v>
      </c>
      <c r="H245" s="1535">
        <v>1042</v>
      </c>
      <c r="I245" s="1533" t="s">
        <v>761</v>
      </c>
      <c r="J245" s="1535">
        <f>F245*H245/1000000</f>
        <v>4011.7</v>
      </c>
      <c r="K245" s="1540">
        <v>234</v>
      </c>
      <c r="L245" s="1571">
        <v>0</v>
      </c>
      <c r="M245" s="1607">
        <v>0</v>
      </c>
      <c r="N245" s="1511"/>
      <c r="O245" s="1511"/>
      <c r="P245" s="1511"/>
      <c r="Q245" s="1511"/>
      <c r="R245" s="1511"/>
      <c r="S245" s="1511"/>
      <c r="T245" s="1511"/>
      <c r="U245" s="1511"/>
      <c r="V245" s="1511"/>
      <c r="W245" s="1511"/>
      <c r="X245" s="1511"/>
      <c r="Y245" s="1511"/>
      <c r="Z245" s="1511"/>
      <c r="AA245" s="1511"/>
      <c r="AB245" s="1511"/>
      <c r="AC245" s="1511"/>
      <c r="AD245" s="1511"/>
      <c r="AE245" s="1511"/>
      <c r="AF245" s="1511"/>
      <c r="AG245" s="1511"/>
      <c r="AH245" s="1511"/>
      <c r="AI245" s="1511"/>
      <c r="AJ245" s="1511"/>
      <c r="AK245" s="1511"/>
      <c r="AL245" s="1511"/>
      <c r="AM245" s="1511"/>
      <c r="AN245" s="1511"/>
      <c r="AO245" s="1511"/>
      <c r="AP245" s="1511"/>
      <c r="AQ245" s="1511"/>
      <c r="AR245" s="1511"/>
      <c r="AS245" s="1511"/>
      <c r="AT245" s="1511"/>
      <c r="AU245" s="1511"/>
      <c r="AV245" s="1511"/>
      <c r="AW245" s="1511"/>
      <c r="AX245" s="1511"/>
      <c r="AY245" s="1511"/>
      <c r="AZ245" s="1511"/>
      <c r="BA245" s="1511"/>
      <c r="BB245" s="1511"/>
      <c r="BC245" s="1511"/>
      <c r="BD245" s="1511"/>
      <c r="BE245" s="1511"/>
      <c r="BF245" s="1511"/>
      <c r="BG245" s="1511"/>
      <c r="BH245" s="1511"/>
      <c r="BI245" s="1511"/>
      <c r="BJ245" s="1511"/>
    </row>
    <row r="246" spans="1:62" ht="13.5" thickBot="1">
      <c r="A246" s="1511"/>
      <c r="B246" s="1532"/>
      <c r="C246" s="1533"/>
      <c r="D246" s="1533"/>
      <c r="E246" s="1533"/>
      <c r="F246" s="1533"/>
      <c r="G246" s="1533"/>
      <c r="H246" s="1535"/>
      <c r="I246" s="1533"/>
      <c r="J246" s="1533"/>
      <c r="K246" s="1537"/>
      <c r="L246" s="1533"/>
      <c r="M246" s="1541"/>
      <c r="N246" s="1511"/>
      <c r="O246" s="1511"/>
      <c r="P246" s="1511"/>
      <c r="Q246" s="1511"/>
      <c r="R246" s="1511"/>
      <c r="S246" s="1511"/>
      <c r="T246" s="1511"/>
      <c r="U246" s="1511"/>
      <c r="V246" s="1511"/>
      <c r="W246" s="1511"/>
      <c r="X246" s="1511"/>
      <c r="Y246" s="1511"/>
      <c r="Z246" s="1511"/>
      <c r="AA246" s="1511"/>
      <c r="AB246" s="1511"/>
      <c r="AC246" s="1511"/>
      <c r="AD246" s="1511"/>
      <c r="AE246" s="1511"/>
      <c r="AF246" s="1511"/>
      <c r="AG246" s="1511"/>
      <c r="AH246" s="1511"/>
      <c r="AI246" s="1511"/>
      <c r="AJ246" s="1511"/>
      <c r="AK246" s="1511"/>
      <c r="AL246" s="1511"/>
      <c r="AM246" s="1511"/>
      <c r="AN246" s="1511"/>
      <c r="AO246" s="1511"/>
      <c r="AP246" s="1511"/>
      <c r="AQ246" s="1511"/>
      <c r="AR246" s="1511"/>
      <c r="AS246" s="1511"/>
      <c r="AT246" s="1511"/>
      <c r="AU246" s="1511"/>
      <c r="AV246" s="1511"/>
      <c r="AW246" s="1511"/>
      <c r="AX246" s="1511"/>
      <c r="AY246" s="1511"/>
      <c r="AZ246" s="1511"/>
      <c r="BA246" s="1511"/>
      <c r="BB246" s="1511"/>
      <c r="BC246" s="1511"/>
      <c r="BD246" s="1511"/>
      <c r="BE246" s="1511"/>
      <c r="BF246" s="1511"/>
      <c r="BG246" s="1511"/>
      <c r="BH246" s="1511"/>
      <c r="BI246" s="1511"/>
      <c r="BJ246" s="1511"/>
    </row>
    <row r="247" spans="1:62">
      <c r="A247" s="1511"/>
      <c r="B247" s="1576"/>
      <c r="C247" s="1530"/>
      <c r="D247" s="1530"/>
      <c r="E247" s="1530"/>
      <c r="F247" s="1530"/>
      <c r="G247" s="1530"/>
      <c r="H247" s="1530"/>
      <c r="I247" s="1530"/>
      <c r="J247" s="1530"/>
      <c r="K247" s="1530"/>
      <c r="L247" s="1530"/>
      <c r="M247" s="1578"/>
      <c r="N247" s="1511"/>
      <c r="O247" s="1511"/>
      <c r="P247" s="1511"/>
      <c r="Q247" s="1511"/>
      <c r="R247" s="1511"/>
      <c r="S247" s="1511"/>
      <c r="T247" s="1511"/>
      <c r="U247" s="1511"/>
      <c r="V247" s="1511"/>
      <c r="W247" s="1511"/>
      <c r="X247" s="1511"/>
      <c r="Y247" s="1511"/>
      <c r="Z247" s="1511"/>
      <c r="AA247" s="1511"/>
      <c r="AB247" s="1511"/>
      <c r="AC247" s="1511"/>
      <c r="AD247" s="1511"/>
      <c r="AE247" s="1511"/>
      <c r="AF247" s="1511"/>
      <c r="AG247" s="1511"/>
      <c r="AH247" s="1511"/>
      <c r="AI247" s="1511"/>
      <c r="AJ247" s="1511"/>
      <c r="AK247" s="1511"/>
      <c r="AL247" s="1511"/>
      <c r="AM247" s="1511"/>
      <c r="AN247" s="1511"/>
      <c r="AO247" s="1511"/>
      <c r="AP247" s="1511"/>
      <c r="AQ247" s="1511"/>
      <c r="AR247" s="1511"/>
      <c r="AS247" s="1511"/>
      <c r="AT247" s="1511"/>
      <c r="AU247" s="1511"/>
      <c r="AV247" s="1511"/>
      <c r="AW247" s="1511"/>
      <c r="AX247" s="1511"/>
      <c r="AY247" s="1511"/>
      <c r="AZ247" s="1511"/>
      <c r="BA247" s="1511"/>
      <c r="BB247" s="1511"/>
      <c r="BC247" s="1511"/>
      <c r="BD247" s="1511"/>
      <c r="BE247" s="1511"/>
      <c r="BF247" s="1511"/>
      <c r="BG247" s="1511"/>
      <c r="BH247" s="1511"/>
      <c r="BI247" s="1511"/>
      <c r="BJ247" s="1511"/>
    </row>
    <row r="248" spans="1:62">
      <c r="A248" s="1511"/>
      <c r="B248" s="1532"/>
      <c r="C248" s="1533"/>
      <c r="D248" s="1533"/>
      <c r="E248" s="1533"/>
      <c r="F248" s="1533"/>
      <c r="G248" s="1533"/>
      <c r="H248" s="1533"/>
      <c r="I248" s="1533"/>
      <c r="J248" s="1533"/>
      <c r="K248" s="1533"/>
      <c r="L248" s="1533"/>
      <c r="M248" s="1541"/>
      <c r="N248" s="1511"/>
      <c r="O248" s="1511"/>
      <c r="P248" s="1511"/>
      <c r="Q248" s="1511"/>
      <c r="R248" s="1511"/>
      <c r="S248" s="1511"/>
      <c r="T248" s="1511"/>
      <c r="U248" s="1511"/>
      <c r="V248" s="1511"/>
      <c r="W248" s="1511"/>
      <c r="X248" s="1511"/>
      <c r="Y248" s="1511"/>
      <c r="Z248" s="1511"/>
      <c r="AA248" s="1511"/>
      <c r="AB248" s="1511"/>
      <c r="AC248" s="1511"/>
      <c r="AD248" s="1511"/>
      <c r="AE248" s="1511"/>
      <c r="AF248" s="1511"/>
      <c r="AG248" s="1511"/>
      <c r="AH248" s="1511"/>
      <c r="AI248" s="1511"/>
      <c r="AJ248" s="1511"/>
      <c r="AK248" s="1511"/>
      <c r="AL248" s="1511"/>
      <c r="AM248" s="1511"/>
      <c r="AN248" s="1511"/>
      <c r="AO248" s="1511"/>
      <c r="AP248" s="1511"/>
      <c r="AQ248" s="1511"/>
      <c r="AR248" s="1511"/>
      <c r="AS248" s="1511"/>
      <c r="AT248" s="1511"/>
      <c r="AU248" s="1511"/>
      <c r="AV248" s="1511"/>
      <c r="AW248" s="1511"/>
      <c r="AX248" s="1511"/>
      <c r="AY248" s="1511"/>
      <c r="AZ248" s="1511"/>
      <c r="BA248" s="1511"/>
      <c r="BB248" s="1511"/>
      <c r="BC248" s="1511"/>
      <c r="BD248" s="1511"/>
      <c r="BE248" s="1511"/>
      <c r="BF248" s="1511"/>
      <c r="BG248" s="1511"/>
      <c r="BH248" s="1511"/>
      <c r="BI248" s="1511"/>
      <c r="BJ248" s="1511"/>
    </row>
    <row r="249" spans="1:62">
      <c r="A249" s="1511"/>
      <c r="B249" s="1532" t="s">
        <v>298</v>
      </c>
      <c r="C249" s="2" t="s">
        <v>122</v>
      </c>
      <c r="D249" s="1533"/>
      <c r="E249" s="1533"/>
      <c r="F249" s="1533"/>
      <c r="G249" s="1533"/>
      <c r="H249" s="1533"/>
      <c r="I249" s="1533"/>
      <c r="J249" s="1533"/>
      <c r="K249" s="1533"/>
      <c r="L249" s="1533"/>
      <c r="M249" s="1541"/>
      <c r="N249" s="1511"/>
      <c r="O249" s="1511"/>
      <c r="P249" s="1511"/>
      <c r="Q249" s="1511"/>
      <c r="R249" s="1511"/>
      <c r="S249" s="1511"/>
      <c r="T249" s="1511"/>
      <c r="U249" s="1511"/>
      <c r="V249" s="1511"/>
      <c r="W249" s="1511"/>
      <c r="X249" s="1511"/>
      <c r="Y249" s="1511"/>
      <c r="Z249" s="1511"/>
      <c r="AA249" s="1511"/>
      <c r="AB249" s="1511"/>
      <c r="AC249" s="1511"/>
      <c r="AD249" s="1511"/>
      <c r="AE249" s="1511"/>
      <c r="AF249" s="1511"/>
      <c r="AG249" s="1511"/>
      <c r="AH249" s="1511"/>
      <c r="AI249" s="1511"/>
      <c r="AJ249" s="1511"/>
      <c r="AK249" s="1511"/>
      <c r="AL249" s="1511"/>
      <c r="AM249" s="1511"/>
      <c r="AN249" s="1511"/>
      <c r="AO249" s="1511"/>
      <c r="AP249" s="1511"/>
      <c r="AQ249" s="1511"/>
      <c r="AR249" s="1511"/>
      <c r="AS249" s="1511"/>
      <c r="AT249" s="1511"/>
      <c r="AU249" s="1511"/>
      <c r="AV249" s="1511"/>
      <c r="AW249" s="1511"/>
      <c r="AX249" s="1511"/>
      <c r="AY249" s="1511"/>
      <c r="AZ249" s="1511"/>
      <c r="BA249" s="1511"/>
      <c r="BB249" s="1511"/>
      <c r="BC249" s="1511"/>
      <c r="BD249" s="1511"/>
      <c r="BE249" s="1511"/>
      <c r="BF249" s="1511"/>
      <c r="BG249" s="1511"/>
      <c r="BH249" s="1511"/>
      <c r="BI249" s="1511"/>
      <c r="BJ249" s="1511"/>
    </row>
    <row r="250" spans="1:62">
      <c r="A250" s="1511"/>
      <c r="B250" s="1532"/>
      <c r="C250" s="1533" t="s">
        <v>123</v>
      </c>
      <c r="D250" s="1533" t="s">
        <v>40</v>
      </c>
      <c r="E250" s="1533" t="s">
        <v>47</v>
      </c>
      <c r="F250" s="1540">
        <f>15*1000</f>
        <v>15000</v>
      </c>
      <c r="G250" s="1533" t="s">
        <v>67</v>
      </c>
      <c r="H250" s="1533">
        <v>139</v>
      </c>
      <c r="I250" s="1533" t="s">
        <v>769</v>
      </c>
      <c r="J250" s="1533">
        <f>F250*H250/1000</f>
        <v>2085</v>
      </c>
      <c r="K250" s="1540">
        <v>166</v>
      </c>
      <c r="L250" s="1572">
        <v>0.01</v>
      </c>
      <c r="M250" s="1605">
        <v>0</v>
      </c>
      <c r="N250" s="1511"/>
      <c r="O250" s="1511"/>
      <c r="P250" s="1511"/>
      <c r="Q250" s="1511"/>
      <c r="R250" s="1511"/>
      <c r="S250" s="1511"/>
      <c r="T250" s="1511"/>
      <c r="U250" s="1511"/>
      <c r="V250" s="1511"/>
      <c r="W250" s="1511"/>
      <c r="X250" s="1511"/>
      <c r="Y250" s="1511"/>
      <c r="Z250" s="1511"/>
      <c r="AA250" s="1511"/>
      <c r="AB250" s="1511"/>
      <c r="AC250" s="1511"/>
      <c r="AD250" s="1511"/>
      <c r="AE250" s="1511"/>
      <c r="AF250" s="1511"/>
      <c r="AG250" s="1511"/>
      <c r="AH250" s="1511"/>
      <c r="AI250" s="1511"/>
      <c r="AJ250" s="1511"/>
      <c r="AK250" s="1511"/>
      <c r="AL250" s="1511"/>
      <c r="AM250" s="1511"/>
      <c r="AN250" s="1511"/>
      <c r="AO250" s="1511"/>
      <c r="AP250" s="1511"/>
      <c r="AQ250" s="1511"/>
      <c r="AR250" s="1511"/>
      <c r="AS250" s="1511"/>
      <c r="AT250" s="1511"/>
      <c r="AU250" s="1511"/>
      <c r="AV250" s="1511"/>
      <c r="AW250" s="1511"/>
      <c r="AX250" s="1511"/>
      <c r="AY250" s="1511"/>
      <c r="AZ250" s="1511"/>
      <c r="BA250" s="1511"/>
      <c r="BB250" s="1511"/>
      <c r="BC250" s="1511"/>
      <c r="BD250" s="1511"/>
      <c r="BE250" s="1511"/>
      <c r="BF250" s="1511"/>
      <c r="BG250" s="1511"/>
      <c r="BH250" s="1511"/>
      <c r="BI250" s="1511"/>
      <c r="BJ250" s="1511"/>
    </row>
    <row r="251" spans="1:62">
      <c r="A251" s="1511"/>
      <c r="B251" s="1532"/>
      <c r="C251" s="1533" t="s">
        <v>124</v>
      </c>
      <c r="D251" s="1533" t="s">
        <v>42</v>
      </c>
      <c r="E251" s="1533" t="s">
        <v>47</v>
      </c>
      <c r="F251" s="1540">
        <f>48*1000</f>
        <v>48000</v>
      </c>
      <c r="G251" s="1533" t="s">
        <v>67</v>
      </c>
      <c r="H251" s="1533">
        <v>139</v>
      </c>
      <c r="I251" s="1533" t="s">
        <v>769</v>
      </c>
      <c r="J251" s="1533">
        <f>F251*H251/1000</f>
        <v>6672</v>
      </c>
      <c r="K251" s="1540">
        <v>540</v>
      </c>
      <c r="L251" s="1572">
        <v>0.02</v>
      </c>
      <c r="M251" s="1605">
        <v>0</v>
      </c>
      <c r="N251" s="1511"/>
      <c r="O251" s="1511"/>
      <c r="P251" s="1511"/>
      <c r="Q251" s="1511"/>
      <c r="R251" s="1511"/>
      <c r="S251" s="1511"/>
      <c r="T251" s="1511"/>
      <c r="U251" s="1511"/>
      <c r="V251" s="1511"/>
      <c r="W251" s="1511"/>
      <c r="X251" s="1511"/>
      <c r="Y251" s="1511"/>
      <c r="Z251" s="1511"/>
      <c r="AA251" s="1511"/>
      <c r="AB251" s="1511"/>
      <c r="AC251" s="1511"/>
      <c r="AD251" s="1511"/>
      <c r="AE251" s="1511"/>
      <c r="AF251" s="1511"/>
      <c r="AG251" s="1511"/>
      <c r="AH251" s="1511"/>
      <c r="AI251" s="1511"/>
      <c r="AJ251" s="1511"/>
      <c r="AK251" s="1511"/>
      <c r="AL251" s="1511"/>
      <c r="AM251" s="1511"/>
      <c r="AN251" s="1511"/>
      <c r="AO251" s="1511"/>
      <c r="AP251" s="1511"/>
      <c r="AQ251" s="1511"/>
      <c r="AR251" s="1511"/>
      <c r="AS251" s="1511"/>
      <c r="AT251" s="1511"/>
      <c r="AU251" s="1511"/>
      <c r="AV251" s="1511"/>
      <c r="AW251" s="1511"/>
      <c r="AX251" s="1511"/>
      <c r="AY251" s="1511"/>
      <c r="AZ251" s="1511"/>
      <c r="BA251" s="1511"/>
      <c r="BB251" s="1511"/>
      <c r="BC251" s="1511"/>
      <c r="BD251" s="1511"/>
      <c r="BE251" s="1511"/>
      <c r="BF251" s="1511"/>
      <c r="BG251" s="1511"/>
      <c r="BH251" s="1511"/>
      <c r="BI251" s="1511"/>
      <c r="BJ251" s="1511"/>
    </row>
    <row r="252" spans="1:62">
      <c r="A252" s="1511"/>
      <c r="B252" s="1532"/>
      <c r="C252" s="1533" t="s">
        <v>125</v>
      </c>
      <c r="D252" s="1533" t="s">
        <v>44</v>
      </c>
      <c r="E252" s="1533" t="s">
        <v>47</v>
      </c>
      <c r="F252" s="1540">
        <f>53*1000</f>
        <v>53000</v>
      </c>
      <c r="G252" s="1533" t="s">
        <v>67</v>
      </c>
      <c r="H252" s="1533">
        <v>139</v>
      </c>
      <c r="I252" s="1533" t="s">
        <v>769</v>
      </c>
      <c r="J252" s="1533">
        <f>F252*H252/1000</f>
        <v>7367</v>
      </c>
      <c r="K252" s="1540">
        <v>601</v>
      </c>
      <c r="L252" s="1572">
        <v>0.02</v>
      </c>
      <c r="M252" s="1605">
        <v>0</v>
      </c>
      <c r="N252" s="1511"/>
      <c r="O252" s="1511"/>
      <c r="P252" s="1511"/>
      <c r="Q252" s="1511"/>
      <c r="R252" s="1511"/>
      <c r="S252" s="1511"/>
      <c r="T252" s="1511"/>
      <c r="U252" s="1511"/>
      <c r="V252" s="1511"/>
      <c r="W252" s="1511"/>
      <c r="X252" s="1511"/>
      <c r="Y252" s="1511"/>
      <c r="Z252" s="1511"/>
      <c r="AA252" s="1511"/>
      <c r="AB252" s="1511"/>
      <c r="AC252" s="1511"/>
      <c r="AD252" s="1511"/>
      <c r="AE252" s="1511"/>
      <c r="AF252" s="1511"/>
      <c r="AG252" s="1511"/>
      <c r="AH252" s="1511"/>
      <c r="AI252" s="1511"/>
      <c r="AJ252" s="1511"/>
      <c r="AK252" s="1511"/>
      <c r="AL252" s="1511"/>
      <c r="AM252" s="1511"/>
      <c r="AN252" s="1511"/>
      <c r="AO252" s="1511"/>
      <c r="AP252" s="1511"/>
      <c r="AQ252" s="1511"/>
      <c r="AR252" s="1511"/>
      <c r="AS252" s="1511"/>
      <c r="AT252" s="1511"/>
      <c r="AU252" s="1511"/>
      <c r="AV252" s="1511"/>
      <c r="AW252" s="1511"/>
      <c r="AX252" s="1511"/>
      <c r="AY252" s="1511"/>
      <c r="AZ252" s="1511"/>
      <c r="BA252" s="1511"/>
      <c r="BB252" s="1511"/>
      <c r="BC252" s="1511"/>
      <c r="BD252" s="1511"/>
      <c r="BE252" s="1511"/>
      <c r="BF252" s="1511"/>
      <c r="BG252" s="1511"/>
      <c r="BH252" s="1511"/>
      <c r="BI252" s="1511"/>
      <c r="BJ252" s="1511"/>
    </row>
    <row r="253" spans="1:62">
      <c r="A253" s="1511"/>
      <c r="B253" s="1532"/>
      <c r="C253" s="1533" t="s">
        <v>126</v>
      </c>
      <c r="D253" s="1533" t="s">
        <v>46</v>
      </c>
      <c r="E253" s="1533" t="s">
        <v>47</v>
      </c>
      <c r="F253" s="1540">
        <f>52*1000</f>
        <v>52000</v>
      </c>
      <c r="G253" s="1533" t="s">
        <v>67</v>
      </c>
      <c r="H253" s="1533">
        <v>139</v>
      </c>
      <c r="I253" s="1533" t="s">
        <v>769</v>
      </c>
      <c r="J253" s="1533">
        <f>F253*H253/1000</f>
        <v>7228</v>
      </c>
      <c r="K253" s="1540">
        <v>592</v>
      </c>
      <c r="L253" s="1572">
        <v>0.02</v>
      </c>
      <c r="M253" s="1605">
        <v>0</v>
      </c>
      <c r="N253" s="1511"/>
      <c r="O253" s="1511"/>
      <c r="P253" s="1511"/>
      <c r="Q253" s="1511"/>
      <c r="R253" s="1511"/>
      <c r="S253" s="1511"/>
      <c r="T253" s="1511"/>
      <c r="U253" s="1511"/>
      <c r="V253" s="1511"/>
      <c r="W253" s="1511"/>
      <c r="X253" s="1511"/>
      <c r="Y253" s="1511"/>
      <c r="Z253" s="1511"/>
      <c r="AA253" s="1511"/>
      <c r="AB253" s="1511"/>
      <c r="AC253" s="1511"/>
      <c r="AD253" s="1511"/>
      <c r="AE253" s="1511"/>
      <c r="AF253" s="1511"/>
      <c r="AG253" s="1511"/>
      <c r="AH253" s="1511"/>
      <c r="AI253" s="1511"/>
      <c r="AJ253" s="1511"/>
      <c r="AK253" s="1511"/>
      <c r="AL253" s="1511"/>
      <c r="AM253" s="1511"/>
      <c r="AN253" s="1511"/>
      <c r="AO253" s="1511"/>
      <c r="AP253" s="1511"/>
      <c r="AQ253" s="1511"/>
      <c r="AR253" s="1511"/>
      <c r="AS253" s="1511"/>
      <c r="AT253" s="1511"/>
      <c r="AU253" s="1511"/>
      <c r="AV253" s="1511"/>
      <c r="AW253" s="1511"/>
      <c r="AX253" s="1511"/>
      <c r="AY253" s="1511"/>
      <c r="AZ253" s="1511"/>
      <c r="BA253" s="1511"/>
      <c r="BB253" s="1511"/>
      <c r="BC253" s="1511"/>
      <c r="BD253" s="1511"/>
      <c r="BE253" s="1511"/>
      <c r="BF253" s="1511"/>
      <c r="BG253" s="1511"/>
      <c r="BH253" s="1511"/>
      <c r="BI253" s="1511"/>
      <c r="BJ253" s="1511"/>
    </row>
    <row r="254" spans="1:62" ht="13.5" thickBot="1">
      <c r="A254" s="1511"/>
      <c r="B254" s="1532"/>
      <c r="C254" s="1533"/>
      <c r="D254" s="1533"/>
      <c r="E254" s="1533"/>
      <c r="F254" s="1533"/>
      <c r="G254" s="1533"/>
      <c r="H254" s="1533"/>
      <c r="I254" s="1533"/>
      <c r="J254" s="1533"/>
      <c r="K254" s="1537"/>
      <c r="L254" s="1533"/>
      <c r="M254" s="1541"/>
      <c r="N254" s="1511"/>
      <c r="O254" s="1511"/>
      <c r="P254" s="1511"/>
      <c r="Q254" s="1511"/>
      <c r="R254" s="1511"/>
      <c r="S254" s="1511"/>
      <c r="T254" s="1511"/>
      <c r="U254" s="1511"/>
      <c r="V254" s="1511"/>
      <c r="W254" s="1511"/>
      <c r="X254" s="1511"/>
      <c r="Y254" s="1511"/>
      <c r="Z254" s="1511"/>
      <c r="AA254" s="1511"/>
      <c r="AB254" s="1511"/>
      <c r="AC254" s="1511"/>
      <c r="AD254" s="1511"/>
      <c r="AE254" s="1511"/>
      <c r="AF254" s="1511"/>
      <c r="AG254" s="1511"/>
      <c r="AH254" s="1511"/>
      <c r="AI254" s="1511"/>
      <c r="AJ254" s="1511"/>
      <c r="AK254" s="1511"/>
      <c r="AL254" s="1511"/>
      <c r="AM254" s="1511"/>
      <c r="AN254" s="1511"/>
      <c r="AO254" s="1511"/>
      <c r="AP254" s="1511"/>
      <c r="AQ254" s="1511"/>
      <c r="AR254" s="1511"/>
      <c r="AS254" s="1511"/>
      <c r="AT254" s="1511"/>
      <c r="AU254" s="1511"/>
      <c r="AV254" s="1511"/>
      <c r="AW254" s="1511"/>
      <c r="AX254" s="1511"/>
      <c r="AY254" s="1511"/>
      <c r="AZ254" s="1511"/>
      <c r="BA254" s="1511"/>
      <c r="BB254" s="1511"/>
      <c r="BC254" s="1511"/>
      <c r="BD254" s="1511"/>
      <c r="BE254" s="1511"/>
      <c r="BF254" s="1511"/>
      <c r="BG254" s="1511"/>
      <c r="BH254" s="1511"/>
      <c r="BI254" s="1511"/>
      <c r="BJ254" s="1511"/>
    </row>
    <row r="255" spans="1:62">
      <c r="A255" s="1511"/>
      <c r="B255" s="1576"/>
      <c r="C255" s="1530"/>
      <c r="D255" s="1530"/>
      <c r="E255" s="1530"/>
      <c r="F255" s="1530"/>
      <c r="G255" s="1530"/>
      <c r="H255" s="1530"/>
      <c r="I255" s="1530"/>
      <c r="J255" s="1530"/>
      <c r="K255" s="1530"/>
      <c r="L255" s="1530"/>
      <c r="M255" s="1578"/>
      <c r="N255" s="1511"/>
      <c r="O255" s="1511"/>
      <c r="P255" s="1511"/>
      <c r="Q255" s="1511"/>
      <c r="R255" s="1511"/>
      <c r="S255" s="1511"/>
      <c r="T255" s="1511"/>
      <c r="U255" s="1511"/>
      <c r="V255" s="1511"/>
      <c r="W255" s="1511"/>
      <c r="X255" s="1511"/>
      <c r="Y255" s="1511"/>
      <c r="Z255" s="1511"/>
      <c r="AA255" s="1511"/>
      <c r="AB255" s="1511"/>
      <c r="AC255" s="1511"/>
      <c r="AD255" s="1511"/>
      <c r="AE255" s="1511"/>
      <c r="AF255" s="1511"/>
      <c r="AG255" s="1511"/>
      <c r="AH255" s="1511"/>
      <c r="AI255" s="1511"/>
      <c r="AJ255" s="1511"/>
      <c r="AK255" s="1511"/>
      <c r="AL255" s="1511"/>
      <c r="AM255" s="1511"/>
      <c r="AN255" s="1511"/>
      <c r="AO255" s="1511"/>
      <c r="AP255" s="1511"/>
      <c r="AQ255" s="1511"/>
      <c r="AR255" s="1511"/>
      <c r="AS255" s="1511"/>
      <c r="AT255" s="1511"/>
      <c r="AU255" s="1511"/>
      <c r="AV255" s="1511"/>
      <c r="AW255" s="1511"/>
      <c r="AX255" s="1511"/>
      <c r="AY255" s="1511"/>
      <c r="AZ255" s="1511"/>
      <c r="BA255" s="1511"/>
      <c r="BB255" s="1511"/>
      <c r="BC255" s="1511"/>
      <c r="BD255" s="1511"/>
      <c r="BE255" s="1511"/>
      <c r="BF255" s="1511"/>
      <c r="BG255" s="1511"/>
      <c r="BH255" s="1511"/>
      <c r="BI255" s="1511"/>
      <c r="BJ255" s="1511"/>
    </row>
    <row r="256" spans="1:62">
      <c r="A256" s="1511"/>
      <c r="B256" s="1532"/>
      <c r="C256" s="1533"/>
      <c r="D256" s="1533"/>
      <c r="E256" s="1533"/>
      <c r="F256" s="1533"/>
      <c r="G256" s="1533"/>
      <c r="H256" s="1533"/>
      <c r="I256" s="1533"/>
      <c r="J256" s="1533"/>
      <c r="K256" s="1533"/>
      <c r="L256" s="1533"/>
      <c r="M256" s="1541"/>
      <c r="N256" s="1511"/>
      <c r="O256" s="1511"/>
      <c r="P256" s="1511"/>
      <c r="Q256" s="1511"/>
      <c r="R256" s="1511"/>
      <c r="S256" s="1511"/>
      <c r="T256" s="1511"/>
      <c r="U256" s="1511"/>
      <c r="V256" s="1511"/>
      <c r="W256" s="1511"/>
      <c r="X256" s="1511"/>
      <c r="Y256" s="1511"/>
      <c r="Z256" s="1511"/>
      <c r="AA256" s="1511"/>
      <c r="AB256" s="1511"/>
      <c r="AC256" s="1511"/>
      <c r="AD256" s="1511"/>
      <c r="AE256" s="1511"/>
      <c r="AF256" s="1511"/>
      <c r="AG256" s="1511"/>
      <c r="AH256" s="1511"/>
      <c r="AI256" s="1511"/>
      <c r="AJ256" s="1511"/>
      <c r="AK256" s="1511"/>
      <c r="AL256" s="1511"/>
      <c r="AM256" s="1511"/>
      <c r="AN256" s="1511"/>
      <c r="AO256" s="1511"/>
      <c r="AP256" s="1511"/>
      <c r="AQ256" s="1511"/>
      <c r="AR256" s="1511"/>
      <c r="AS256" s="1511"/>
      <c r="AT256" s="1511"/>
      <c r="AU256" s="1511"/>
      <c r="AV256" s="1511"/>
      <c r="AW256" s="1511"/>
      <c r="AX256" s="1511"/>
      <c r="AY256" s="1511"/>
      <c r="AZ256" s="1511"/>
      <c r="BA256" s="1511"/>
      <c r="BB256" s="1511"/>
      <c r="BC256" s="1511"/>
      <c r="BD256" s="1511"/>
      <c r="BE256" s="1511"/>
      <c r="BF256" s="1511"/>
      <c r="BG256" s="1511"/>
      <c r="BH256" s="1511"/>
      <c r="BI256" s="1511"/>
      <c r="BJ256" s="1511"/>
    </row>
    <row r="257" spans="1:62">
      <c r="A257" s="1511"/>
      <c r="B257" s="1532" t="s">
        <v>91</v>
      </c>
      <c r="C257" s="2" t="s">
        <v>770</v>
      </c>
      <c r="D257" s="1533"/>
      <c r="E257" s="1533"/>
      <c r="F257" s="1533"/>
      <c r="G257" s="1533"/>
      <c r="H257" s="1533"/>
      <c r="I257" s="1533"/>
      <c r="J257" s="1533"/>
      <c r="K257" s="1533"/>
      <c r="L257" s="1533"/>
      <c r="M257" s="1541"/>
      <c r="N257" s="1511"/>
      <c r="O257" s="1511"/>
      <c r="P257" s="1511"/>
      <c r="Q257" s="1511"/>
      <c r="R257" s="1511"/>
      <c r="S257" s="1511"/>
      <c r="T257" s="1511"/>
      <c r="U257" s="1511"/>
      <c r="V257" s="1511"/>
      <c r="W257" s="1511"/>
      <c r="X257" s="1511"/>
      <c r="Y257" s="1511"/>
      <c r="Z257" s="1511"/>
      <c r="AA257" s="1511"/>
      <c r="AB257" s="1511"/>
      <c r="AC257" s="1511"/>
      <c r="AD257" s="1511"/>
      <c r="AE257" s="1511"/>
      <c r="AF257" s="1511"/>
      <c r="AG257" s="1511"/>
      <c r="AH257" s="1511"/>
      <c r="AI257" s="1511"/>
      <c r="AJ257" s="1511"/>
      <c r="AK257" s="1511"/>
      <c r="AL257" s="1511"/>
      <c r="AM257" s="1511"/>
      <c r="AN257" s="1511"/>
      <c r="AO257" s="1511"/>
      <c r="AP257" s="1511"/>
      <c r="AQ257" s="1511"/>
      <c r="AR257" s="1511"/>
      <c r="AS257" s="1511"/>
      <c r="AT257" s="1511"/>
      <c r="AU257" s="1511"/>
      <c r="AV257" s="1511"/>
      <c r="AW257" s="1511"/>
      <c r="AX257" s="1511"/>
      <c r="AY257" s="1511"/>
      <c r="AZ257" s="1511"/>
      <c r="BA257" s="1511"/>
      <c r="BB257" s="1511"/>
      <c r="BC257" s="1511"/>
      <c r="BD257" s="1511"/>
      <c r="BE257" s="1511"/>
      <c r="BF257" s="1511"/>
      <c r="BG257" s="1511"/>
      <c r="BH257" s="1511"/>
      <c r="BI257" s="1511"/>
      <c r="BJ257" s="1511"/>
    </row>
    <row r="258" spans="1:62">
      <c r="A258" s="1511"/>
      <c r="B258" s="1532"/>
      <c r="C258" s="1533" t="s">
        <v>92</v>
      </c>
      <c r="D258" s="1533" t="s">
        <v>93</v>
      </c>
      <c r="E258" s="1533" t="s">
        <v>1114</v>
      </c>
      <c r="F258" s="1553">
        <f>(J258*1000)/H258</f>
        <v>857635996.15014446</v>
      </c>
      <c r="G258" s="1533" t="s">
        <v>147</v>
      </c>
      <c r="H258" s="1602">
        <v>1.0389999999999999</v>
      </c>
      <c r="I258" s="1533" t="s">
        <v>766</v>
      </c>
      <c r="J258" s="1540">
        <v>891083.8</v>
      </c>
      <c r="K258" s="1572">
        <v>47869.4</v>
      </c>
      <c r="L258" s="1572">
        <v>0.81</v>
      </c>
      <c r="M258" s="1769">
        <v>0.08</v>
      </c>
      <c r="N258" s="1511"/>
      <c r="O258" s="1511"/>
      <c r="P258" s="1511"/>
      <c r="Q258" s="1511"/>
      <c r="R258" s="1511"/>
      <c r="S258" s="1511"/>
      <c r="T258" s="1511"/>
      <c r="U258" s="1511"/>
      <c r="V258" s="1511"/>
      <c r="W258" s="1511"/>
      <c r="X258" s="1511"/>
      <c r="Y258" s="1511"/>
      <c r="Z258" s="1511"/>
      <c r="AA258" s="1511"/>
      <c r="AB258" s="1511"/>
      <c r="AC258" s="1511"/>
      <c r="AD258" s="1511"/>
      <c r="AE258" s="1511"/>
      <c r="AF258" s="1511"/>
      <c r="AG258" s="1511"/>
      <c r="AH258" s="1511"/>
      <c r="AI258" s="1511"/>
      <c r="AJ258" s="1511"/>
      <c r="AK258" s="1511"/>
      <c r="AL258" s="1511"/>
      <c r="AM258" s="1511"/>
      <c r="AN258" s="1511"/>
      <c r="AO258" s="1511"/>
      <c r="AP258" s="1511"/>
      <c r="AQ258" s="1511"/>
      <c r="AR258" s="1511"/>
      <c r="AS258" s="1511"/>
      <c r="AT258" s="1511"/>
      <c r="AU258" s="1511"/>
      <c r="AV258" s="1511"/>
      <c r="AW258" s="1511"/>
      <c r="AX258" s="1511"/>
      <c r="AY258" s="1511"/>
      <c r="AZ258" s="1511"/>
      <c r="BA258" s="1511"/>
      <c r="BB258" s="1511"/>
      <c r="BC258" s="1511"/>
      <c r="BD258" s="1511"/>
      <c r="BE258" s="1511"/>
      <c r="BF258" s="1511"/>
      <c r="BG258" s="1511"/>
      <c r="BH258" s="1511"/>
      <c r="BI258" s="1511"/>
      <c r="BJ258" s="1511"/>
    </row>
    <row r="259" spans="1:62">
      <c r="A259" s="1511"/>
      <c r="B259" s="1532"/>
      <c r="C259" s="1533" t="s">
        <v>94</v>
      </c>
      <c r="D259" s="1533" t="s">
        <v>95</v>
      </c>
      <c r="E259" s="1533" t="s">
        <v>1114</v>
      </c>
      <c r="F259" s="1553">
        <f>(J259*1000)/H259</f>
        <v>700504331.08758426</v>
      </c>
      <c r="G259" s="1533" t="s">
        <v>147</v>
      </c>
      <c r="H259" s="1602">
        <v>1.0389999999999999</v>
      </c>
      <c r="I259" s="1533" t="s">
        <v>766</v>
      </c>
      <c r="J259" s="1540">
        <v>727824</v>
      </c>
      <c r="K259" s="1572">
        <v>40398.400000000001</v>
      </c>
      <c r="L259" s="1572">
        <v>0.68</v>
      </c>
      <c r="M259" s="1769">
        <v>7.0000000000000007E-2</v>
      </c>
      <c r="N259" s="1511"/>
      <c r="O259" s="1511"/>
      <c r="P259" s="1511"/>
      <c r="Q259" s="1511"/>
      <c r="R259" s="1511"/>
      <c r="S259" s="1511"/>
      <c r="T259" s="1511"/>
      <c r="U259" s="1511"/>
      <c r="V259" s="1511"/>
      <c r="W259" s="1511"/>
      <c r="X259" s="1511"/>
      <c r="Y259" s="1511"/>
      <c r="Z259" s="1511"/>
      <c r="AA259" s="1511"/>
      <c r="AB259" s="1511"/>
      <c r="AC259" s="1511"/>
      <c r="AD259" s="1511"/>
      <c r="AE259" s="1511"/>
      <c r="AF259" s="1511"/>
      <c r="AG259" s="1511"/>
      <c r="AH259" s="1511"/>
      <c r="AI259" s="1511"/>
      <c r="AJ259" s="1511"/>
      <c r="AK259" s="1511"/>
      <c r="AL259" s="1511"/>
      <c r="AM259" s="1511"/>
      <c r="AN259" s="1511"/>
      <c r="AO259" s="1511"/>
      <c r="AP259" s="1511"/>
      <c r="AQ259" s="1511"/>
      <c r="AR259" s="1511"/>
      <c r="AS259" s="1511"/>
      <c r="AT259" s="1511"/>
      <c r="AU259" s="1511"/>
      <c r="AV259" s="1511"/>
      <c r="AW259" s="1511"/>
      <c r="AX259" s="1511"/>
      <c r="AY259" s="1511"/>
      <c r="AZ259" s="1511"/>
      <c r="BA259" s="1511"/>
      <c r="BB259" s="1511"/>
      <c r="BC259" s="1511"/>
      <c r="BD259" s="1511"/>
      <c r="BE259" s="1511"/>
      <c r="BF259" s="1511"/>
      <c r="BG259" s="1511"/>
      <c r="BH259" s="1511"/>
      <c r="BI259" s="1511"/>
      <c r="BJ259" s="1511"/>
    </row>
    <row r="260" spans="1:62">
      <c r="A260" s="1511"/>
      <c r="B260" s="1532"/>
      <c r="C260" s="1533" t="s">
        <v>96</v>
      </c>
      <c r="D260" s="1533" t="s">
        <v>97</v>
      </c>
      <c r="E260" s="1533" t="s">
        <v>1114</v>
      </c>
      <c r="F260" s="1553">
        <f>(J260*1000)/H260</f>
        <v>1936556304.1385949</v>
      </c>
      <c r="G260" s="1533" t="s">
        <v>147</v>
      </c>
      <c r="H260" s="1602">
        <v>1.0389999999999999</v>
      </c>
      <c r="I260" s="1533" t="s">
        <v>766</v>
      </c>
      <c r="J260" s="1540">
        <v>2012082</v>
      </c>
      <c r="K260" s="1572">
        <v>111845.6</v>
      </c>
      <c r="L260" s="1572">
        <v>1.88</v>
      </c>
      <c r="M260" s="1769">
        <v>0.19</v>
      </c>
      <c r="N260" s="1511"/>
      <c r="O260" s="1511"/>
      <c r="P260" s="1511"/>
      <c r="Q260" s="1511"/>
      <c r="R260" s="1511"/>
      <c r="S260" s="1511"/>
      <c r="T260" s="1511"/>
      <c r="U260" s="1511"/>
      <c r="V260" s="1511"/>
      <c r="W260" s="1511"/>
      <c r="X260" s="1511"/>
      <c r="Y260" s="1511"/>
      <c r="Z260" s="1511"/>
      <c r="AA260" s="1511"/>
      <c r="AB260" s="1511"/>
      <c r="AC260" s="1511"/>
      <c r="AD260" s="1511"/>
      <c r="AE260" s="1511"/>
      <c r="AF260" s="1511"/>
      <c r="AG260" s="1511"/>
      <c r="AH260" s="1511"/>
      <c r="AI260" s="1511"/>
      <c r="AJ260" s="1511"/>
      <c r="AK260" s="1511"/>
      <c r="AL260" s="1511"/>
      <c r="AM260" s="1511"/>
      <c r="AN260" s="1511"/>
      <c r="AO260" s="1511"/>
      <c r="AP260" s="1511"/>
      <c r="AQ260" s="1511"/>
      <c r="AR260" s="1511"/>
      <c r="AS260" s="1511"/>
      <c r="AT260" s="1511"/>
      <c r="AU260" s="1511"/>
      <c r="AV260" s="1511"/>
      <c r="AW260" s="1511"/>
      <c r="AX260" s="1511"/>
      <c r="AY260" s="1511"/>
      <c r="AZ260" s="1511"/>
      <c r="BA260" s="1511"/>
      <c r="BB260" s="1511"/>
      <c r="BC260" s="1511"/>
      <c r="BD260" s="1511"/>
      <c r="BE260" s="1511"/>
      <c r="BF260" s="1511"/>
      <c r="BG260" s="1511"/>
      <c r="BH260" s="1511"/>
      <c r="BI260" s="1511"/>
      <c r="BJ260" s="1511"/>
    </row>
    <row r="261" spans="1:62">
      <c r="A261" s="1511"/>
      <c r="B261" s="1532"/>
      <c r="C261" s="1533" t="s">
        <v>98</v>
      </c>
      <c r="D261" s="1533" t="s">
        <v>99</v>
      </c>
      <c r="E261" s="1533" t="s">
        <v>1114</v>
      </c>
      <c r="F261" s="1553">
        <f>(J261*1000)/H261</f>
        <v>1661330125.1203082</v>
      </c>
      <c r="G261" s="1533" t="s">
        <v>147</v>
      </c>
      <c r="H261" s="1602">
        <v>1.0389999999999999</v>
      </c>
      <c r="I261" s="1533" t="s">
        <v>766</v>
      </c>
      <c r="J261" s="1540">
        <v>1726122</v>
      </c>
      <c r="K261" s="1572">
        <v>96395.9</v>
      </c>
      <c r="L261" s="1572">
        <v>1.62</v>
      </c>
      <c r="M261" s="1769">
        <v>0.16</v>
      </c>
      <c r="N261" s="1511"/>
      <c r="O261" s="1511"/>
      <c r="P261" s="1511"/>
      <c r="Q261" s="1511"/>
      <c r="R261" s="1511"/>
      <c r="S261" s="1511"/>
      <c r="T261" s="1511"/>
      <c r="U261" s="1511"/>
      <c r="V261" s="1511"/>
      <c r="W261" s="1511"/>
      <c r="X261" s="1511"/>
      <c r="Y261" s="1511"/>
      <c r="Z261" s="1511"/>
      <c r="AA261" s="1511"/>
      <c r="AB261" s="1511"/>
      <c r="AC261" s="1511"/>
      <c r="AD261" s="1511"/>
      <c r="AE261" s="1511"/>
      <c r="AF261" s="1511"/>
      <c r="AG261" s="1511"/>
      <c r="AH261" s="1511"/>
      <c r="AI261" s="1511"/>
      <c r="AJ261" s="1511"/>
      <c r="AK261" s="1511"/>
      <c r="AL261" s="1511"/>
      <c r="AM261" s="1511"/>
      <c r="AN261" s="1511"/>
      <c r="AO261" s="1511"/>
      <c r="AP261" s="1511"/>
      <c r="AQ261" s="1511"/>
      <c r="AR261" s="1511"/>
      <c r="AS261" s="1511"/>
      <c r="AT261" s="1511"/>
      <c r="AU261" s="1511"/>
      <c r="AV261" s="1511"/>
      <c r="AW261" s="1511"/>
      <c r="AX261" s="1511"/>
      <c r="AY261" s="1511"/>
      <c r="AZ261" s="1511"/>
      <c r="BA261" s="1511"/>
      <c r="BB261" s="1511"/>
      <c r="BC261" s="1511"/>
      <c r="BD261" s="1511"/>
      <c r="BE261" s="1511"/>
      <c r="BF261" s="1511"/>
      <c r="BG261" s="1511"/>
      <c r="BH261" s="1511"/>
      <c r="BI261" s="1511"/>
      <c r="BJ261" s="1511"/>
    </row>
    <row r="262" spans="1:62">
      <c r="A262" s="1511"/>
      <c r="B262" s="1532"/>
      <c r="C262" s="1533" t="s">
        <v>333</v>
      </c>
      <c r="D262" s="1533" t="s">
        <v>334</v>
      </c>
      <c r="E262" s="1533" t="s">
        <v>1114</v>
      </c>
      <c r="F262" s="1540">
        <v>6716790</v>
      </c>
      <c r="G262" s="1533" t="s">
        <v>147</v>
      </c>
      <c r="H262" s="1602">
        <v>1.0389999999999999</v>
      </c>
      <c r="I262" s="1533" t="s">
        <v>766</v>
      </c>
      <c r="J262" s="1540">
        <f>(F262*H262)/1000</f>
        <v>6978.7448099999992</v>
      </c>
      <c r="K262" s="1572">
        <v>403</v>
      </c>
      <c r="L262" s="1572">
        <v>7.0000000000000001E-3</v>
      </c>
      <c r="M262" s="1769">
        <v>7.0000000000000001E-3</v>
      </c>
      <c r="N262" s="1511"/>
      <c r="O262" s="1511"/>
      <c r="P262" s="1511"/>
      <c r="Q262" s="1511"/>
      <c r="R262" s="1511"/>
      <c r="S262" s="1511"/>
      <c r="T262" s="1511"/>
      <c r="U262" s="1511"/>
      <c r="V262" s="1511"/>
      <c r="W262" s="1511"/>
      <c r="X262" s="1511"/>
      <c r="Y262" s="1511"/>
      <c r="Z262" s="1511"/>
      <c r="AA262" s="1511"/>
      <c r="AB262" s="1511"/>
      <c r="AC262" s="1511"/>
      <c r="AD262" s="1511"/>
      <c r="AE262" s="1511"/>
      <c r="AF262" s="1511"/>
      <c r="AG262" s="1511"/>
      <c r="AH262" s="1511"/>
      <c r="AI262" s="1511"/>
      <c r="AJ262" s="1511"/>
      <c r="AK262" s="1511"/>
      <c r="AL262" s="1511"/>
      <c r="AM262" s="1511"/>
      <c r="AN262" s="1511"/>
      <c r="AO262" s="1511"/>
      <c r="AP262" s="1511"/>
      <c r="AQ262" s="1511"/>
      <c r="AR262" s="1511"/>
      <c r="AS262" s="1511"/>
      <c r="AT262" s="1511"/>
      <c r="AU262" s="1511"/>
      <c r="AV262" s="1511"/>
      <c r="AW262" s="1511"/>
      <c r="AX262" s="1511"/>
      <c r="AY262" s="1511"/>
      <c r="AZ262" s="1511"/>
      <c r="BA262" s="1511"/>
      <c r="BB262" s="1511"/>
      <c r="BC262" s="1511"/>
      <c r="BD262" s="1511"/>
      <c r="BE262" s="1511"/>
      <c r="BF262" s="1511"/>
      <c r="BG262" s="1511"/>
      <c r="BH262" s="1511"/>
      <c r="BI262" s="1511"/>
      <c r="BJ262" s="1511"/>
    </row>
    <row r="263" spans="1:62" ht="13.5" thickBot="1">
      <c r="A263" s="1511"/>
      <c r="B263" s="1532"/>
      <c r="C263" s="1533"/>
      <c r="D263" s="1533"/>
      <c r="E263" s="1533"/>
      <c r="F263" s="1533"/>
      <c r="G263" s="1533"/>
      <c r="H263" s="1533"/>
      <c r="I263" s="1533"/>
      <c r="J263" s="1533"/>
      <c r="K263" s="1533"/>
      <c r="L263" s="1533"/>
      <c r="M263" s="1541"/>
      <c r="N263" s="1511"/>
      <c r="O263" s="1511"/>
      <c r="P263" s="1511"/>
      <c r="Q263" s="1511"/>
      <c r="R263" s="1511"/>
      <c r="S263" s="1511"/>
      <c r="T263" s="1511"/>
      <c r="U263" s="1511"/>
      <c r="V263" s="1511"/>
      <c r="W263" s="1511"/>
      <c r="X263" s="1511"/>
      <c r="Y263" s="1511"/>
      <c r="Z263" s="1511"/>
      <c r="AA263" s="1511"/>
      <c r="AB263" s="1511"/>
      <c r="AC263" s="1511"/>
      <c r="AD263" s="1511"/>
      <c r="AE263" s="1511"/>
      <c r="AF263" s="1511"/>
      <c r="AG263" s="1511"/>
      <c r="AH263" s="1511"/>
      <c r="AI263" s="1511"/>
      <c r="AJ263" s="1511"/>
      <c r="AK263" s="1511"/>
      <c r="AL263" s="1511"/>
      <c r="AM263" s="1511"/>
      <c r="AN263" s="1511"/>
      <c r="AO263" s="1511"/>
      <c r="AP263" s="1511"/>
      <c r="AQ263" s="1511"/>
      <c r="AR263" s="1511"/>
      <c r="AS263" s="1511"/>
      <c r="AT263" s="1511"/>
      <c r="AU263" s="1511"/>
      <c r="AV263" s="1511"/>
      <c r="AW263" s="1511"/>
      <c r="AX263" s="1511"/>
      <c r="AY263" s="1511"/>
      <c r="AZ263" s="1511"/>
      <c r="BA263" s="1511"/>
      <c r="BB263" s="1511"/>
      <c r="BC263" s="1511"/>
      <c r="BD263" s="1511"/>
      <c r="BE263" s="1511"/>
      <c r="BF263" s="1511"/>
      <c r="BG263" s="1511"/>
      <c r="BH263" s="1511"/>
      <c r="BI263" s="1511"/>
      <c r="BJ263" s="1511"/>
    </row>
    <row r="264" spans="1:62">
      <c r="A264" s="1511"/>
      <c r="B264" s="1576"/>
      <c r="C264" s="1530"/>
      <c r="D264" s="1530"/>
      <c r="E264" s="1530"/>
      <c r="F264" s="1530"/>
      <c r="G264" s="1530"/>
      <c r="H264" s="1530"/>
      <c r="I264" s="1530"/>
      <c r="J264" s="1530"/>
      <c r="K264" s="1530"/>
      <c r="L264" s="1530"/>
      <c r="M264" s="1578"/>
      <c r="N264" s="1511"/>
      <c r="O264" s="1511"/>
      <c r="P264" s="1511"/>
      <c r="Q264" s="1511"/>
      <c r="R264" s="1511"/>
      <c r="S264" s="1511"/>
      <c r="T264" s="1511"/>
      <c r="U264" s="1511"/>
      <c r="V264" s="1511"/>
      <c r="W264" s="1511"/>
      <c r="X264" s="1511"/>
      <c r="Y264" s="1511"/>
      <c r="Z264" s="1511"/>
      <c r="AA264" s="1511"/>
      <c r="AB264" s="1511"/>
      <c r="AC264" s="1511"/>
      <c r="AD264" s="1511"/>
      <c r="AE264" s="1511"/>
      <c r="AF264" s="1511"/>
      <c r="AG264" s="1511"/>
      <c r="AH264" s="1511"/>
      <c r="AI264" s="1511"/>
      <c r="AJ264" s="1511"/>
      <c r="AK264" s="1511"/>
      <c r="AL264" s="1511"/>
      <c r="AM264" s="1511"/>
      <c r="AN264" s="1511"/>
      <c r="AO264" s="1511"/>
      <c r="AP264" s="1511"/>
      <c r="AQ264" s="1511"/>
      <c r="AR264" s="1511"/>
      <c r="AS264" s="1511"/>
      <c r="AT264" s="1511"/>
      <c r="AU264" s="1511"/>
      <c r="AV264" s="1511"/>
      <c r="AW264" s="1511"/>
      <c r="AX264" s="1511"/>
      <c r="AY264" s="1511"/>
      <c r="AZ264" s="1511"/>
      <c r="BA264" s="1511"/>
      <c r="BB264" s="1511"/>
      <c r="BC264" s="1511"/>
      <c r="BD264" s="1511"/>
      <c r="BE264" s="1511"/>
      <c r="BF264" s="1511"/>
      <c r="BG264" s="1511"/>
      <c r="BH264" s="1511"/>
      <c r="BI264" s="1511"/>
      <c r="BJ264" s="1511"/>
    </row>
    <row r="265" spans="1:62">
      <c r="A265" s="1511"/>
      <c r="B265" s="1532"/>
      <c r="C265" s="1533"/>
      <c r="D265" s="1533"/>
      <c r="E265" s="1533"/>
      <c r="F265" s="1533"/>
      <c r="G265" s="1533"/>
      <c r="H265" s="1533"/>
      <c r="I265" s="1533"/>
      <c r="J265" s="1533"/>
      <c r="K265" s="1533"/>
      <c r="L265" s="1533"/>
      <c r="M265" s="1541"/>
      <c r="N265" s="1511"/>
      <c r="O265" s="1511"/>
      <c r="P265" s="1511"/>
      <c r="Q265" s="1511"/>
      <c r="R265" s="1511"/>
      <c r="S265" s="1511"/>
      <c r="T265" s="1511"/>
      <c r="U265" s="1511"/>
      <c r="V265" s="1511"/>
      <c r="W265" s="1511"/>
      <c r="X265" s="1511"/>
      <c r="Y265" s="1511"/>
      <c r="Z265" s="1511"/>
      <c r="AA265" s="1511"/>
      <c r="AB265" s="1511"/>
      <c r="AC265" s="1511"/>
      <c r="AD265" s="1511"/>
      <c r="AE265" s="1511"/>
      <c r="AF265" s="1511"/>
      <c r="AG265" s="1511"/>
      <c r="AH265" s="1511"/>
      <c r="AI265" s="1511"/>
      <c r="AJ265" s="1511"/>
      <c r="AK265" s="1511"/>
      <c r="AL265" s="1511"/>
      <c r="AM265" s="1511"/>
      <c r="AN265" s="1511"/>
      <c r="AO265" s="1511"/>
      <c r="AP265" s="1511"/>
      <c r="AQ265" s="1511"/>
      <c r="AR265" s="1511"/>
      <c r="AS265" s="1511"/>
      <c r="AT265" s="1511"/>
      <c r="AU265" s="1511"/>
      <c r="AV265" s="1511"/>
      <c r="AW265" s="1511"/>
      <c r="AX265" s="1511"/>
      <c r="AY265" s="1511"/>
      <c r="AZ265" s="1511"/>
      <c r="BA265" s="1511"/>
      <c r="BB265" s="1511"/>
      <c r="BC265" s="1511"/>
      <c r="BD265" s="1511"/>
      <c r="BE265" s="1511"/>
      <c r="BF265" s="1511"/>
      <c r="BG265" s="1511"/>
      <c r="BH265" s="1511"/>
      <c r="BI265" s="1511"/>
      <c r="BJ265" s="1511"/>
    </row>
    <row r="266" spans="1:62">
      <c r="A266" s="1511"/>
      <c r="B266" s="1532" t="s">
        <v>299</v>
      </c>
      <c r="C266" s="169" t="s">
        <v>127</v>
      </c>
      <c r="D266" s="1533"/>
      <c r="E266" s="1533"/>
      <c r="F266" s="1533"/>
      <c r="G266" s="1533"/>
      <c r="H266" s="1533"/>
      <c r="I266" s="1533"/>
      <c r="J266" s="1533"/>
      <c r="K266" s="1533"/>
      <c r="L266" s="1533"/>
      <c r="M266" s="1541"/>
      <c r="N266" s="1511"/>
      <c r="O266" s="1511" t="s">
        <v>1193</v>
      </c>
      <c r="P266" s="1515"/>
      <c r="Q266" s="1515"/>
      <c r="R266" s="1511"/>
      <c r="S266" s="1511"/>
      <c r="T266" s="1511"/>
      <c r="U266" s="1511"/>
      <c r="V266" s="1511"/>
      <c r="W266" s="1511"/>
      <c r="X266" s="1511"/>
      <c r="Y266" s="1511"/>
      <c r="Z266" s="1511"/>
      <c r="AA266" s="1511"/>
      <c r="AB266" s="1511"/>
      <c r="AC266" s="1511"/>
      <c r="AD266" s="1511"/>
      <c r="AE266" s="1511"/>
      <c r="AF266" s="1511"/>
      <c r="AG266" s="1511"/>
      <c r="AH266" s="1511"/>
      <c r="AI266" s="1511"/>
      <c r="AJ266" s="1511"/>
      <c r="AK266" s="1511"/>
      <c r="AL266" s="1511"/>
      <c r="AM266" s="1511"/>
      <c r="AN266" s="1511"/>
      <c r="AO266" s="1511"/>
      <c r="AP266" s="1511"/>
      <c r="AQ266" s="1511"/>
      <c r="AR266" s="1511"/>
      <c r="AS266" s="1511"/>
      <c r="AT266" s="1511"/>
      <c r="AU266" s="1511"/>
      <c r="AV266" s="1511"/>
      <c r="AW266" s="1511"/>
      <c r="AX266" s="1511"/>
      <c r="AY266" s="1511"/>
      <c r="AZ266" s="1511"/>
      <c r="BA266" s="1511"/>
      <c r="BB266" s="1511"/>
      <c r="BC266" s="1511"/>
      <c r="BD266" s="1511"/>
      <c r="BE266" s="1511"/>
      <c r="BF266" s="1511"/>
      <c r="BG266" s="1511"/>
      <c r="BH266" s="1511"/>
      <c r="BI266" s="1511"/>
      <c r="BJ266" s="1511"/>
    </row>
    <row r="267" spans="1:62">
      <c r="A267" s="1511"/>
      <c r="B267" s="1532"/>
      <c r="C267" s="1533" t="s">
        <v>145</v>
      </c>
      <c r="D267" s="1533" t="s">
        <v>771</v>
      </c>
      <c r="E267" s="1533" t="s">
        <v>47</v>
      </c>
      <c r="F267" s="1540">
        <v>2513</v>
      </c>
      <c r="G267" s="1533" t="s">
        <v>67</v>
      </c>
      <c r="H267" s="1533">
        <v>137</v>
      </c>
      <c r="I267" s="1533" t="s">
        <v>769</v>
      </c>
      <c r="J267" s="1569">
        <f>F267*H267/1000</f>
        <v>344.28100000000001</v>
      </c>
      <c r="K267" s="1571">
        <v>28</v>
      </c>
      <c r="L267" s="1571">
        <v>1.4E-3</v>
      </c>
      <c r="M267" s="1770">
        <v>1E-4</v>
      </c>
      <c r="N267" s="1511"/>
      <c r="O267" s="1515"/>
      <c r="P267" s="1515"/>
      <c r="Q267" s="1515"/>
      <c r="R267" s="1511"/>
      <c r="S267" s="1511"/>
      <c r="T267" s="1511"/>
      <c r="U267" s="1511"/>
      <c r="V267" s="1511"/>
      <c r="W267" s="1511"/>
      <c r="X267" s="1511"/>
      <c r="Y267" s="1511"/>
      <c r="Z267" s="1511"/>
      <c r="AA267" s="1511"/>
      <c r="AB267" s="1511"/>
      <c r="AC267" s="1511"/>
      <c r="AD267" s="1511"/>
      <c r="AE267" s="1511"/>
      <c r="AF267" s="1511"/>
      <c r="AG267" s="1511"/>
      <c r="AH267" s="1511"/>
      <c r="AI267" s="1511"/>
      <c r="AJ267" s="1511"/>
      <c r="AK267" s="1511"/>
      <c r="AL267" s="1511"/>
      <c r="AM267" s="1511"/>
      <c r="AN267" s="1511"/>
      <c r="AO267" s="1511"/>
      <c r="AP267" s="1511"/>
      <c r="AQ267" s="1511"/>
      <c r="AR267" s="1511"/>
      <c r="AS267" s="1511"/>
      <c r="AT267" s="1511"/>
      <c r="AU267" s="1511"/>
      <c r="AV267" s="1511"/>
      <c r="AW267" s="1511"/>
      <c r="AX267" s="1511"/>
      <c r="AY267" s="1511"/>
      <c r="AZ267" s="1511"/>
      <c r="BA267" s="1511"/>
      <c r="BB267" s="1511"/>
      <c r="BC267" s="1511"/>
      <c r="BD267" s="1511"/>
      <c r="BE267" s="1511"/>
      <c r="BF267" s="1511"/>
      <c r="BG267" s="1511"/>
      <c r="BH267" s="1511"/>
      <c r="BI267" s="1511"/>
      <c r="BJ267" s="1511"/>
    </row>
    <row r="268" spans="1:62">
      <c r="A268" s="1511"/>
      <c r="B268" s="1532"/>
      <c r="C268" s="1533" t="s">
        <v>144</v>
      </c>
      <c r="D268" s="1533" t="s">
        <v>772</v>
      </c>
      <c r="E268" s="1533" t="s">
        <v>47</v>
      </c>
      <c r="F268" s="1540">
        <v>1970</v>
      </c>
      <c r="G268" s="1533" t="s">
        <v>67</v>
      </c>
      <c r="H268" s="1533">
        <v>137</v>
      </c>
      <c r="I268" s="1533" t="s">
        <v>769</v>
      </c>
      <c r="J268" s="1569">
        <f>F268*H268/1000</f>
        <v>269.89</v>
      </c>
      <c r="K268" s="1571">
        <v>22</v>
      </c>
      <c r="L268" s="1571">
        <v>1.1000000000000001E-3</v>
      </c>
      <c r="M268" s="1770">
        <v>1E-4</v>
      </c>
      <c r="N268" s="1511"/>
      <c r="O268" s="1515" t="s">
        <v>1189</v>
      </c>
      <c r="P268" s="1515"/>
      <c r="Q268" s="1515"/>
      <c r="R268" s="1511"/>
      <c r="S268" s="1511"/>
      <c r="T268" s="1511"/>
      <c r="U268" s="1511"/>
      <c r="V268" s="1511"/>
      <c r="W268" s="1511"/>
      <c r="X268" s="1511"/>
      <c r="Y268" s="1511"/>
      <c r="Z268" s="1511"/>
      <c r="AA268" s="1511"/>
      <c r="AB268" s="1511"/>
      <c r="AC268" s="1511"/>
      <c r="AD268" s="1511"/>
      <c r="AE268" s="1511"/>
      <c r="AF268" s="1511"/>
      <c r="AG268" s="1511"/>
      <c r="AH268" s="1511"/>
      <c r="AI268" s="1511"/>
      <c r="AJ268" s="1511"/>
      <c r="AK268" s="1511"/>
      <c r="AL268" s="1511"/>
      <c r="AM268" s="1511"/>
      <c r="AN268" s="1511"/>
      <c r="AO268" s="1511"/>
      <c r="AP268" s="1511"/>
      <c r="AQ268" s="1511"/>
      <c r="AR268" s="1511"/>
      <c r="AS268" s="1511"/>
      <c r="AT268" s="1511"/>
      <c r="AU268" s="1511"/>
      <c r="AV268" s="1511"/>
      <c r="AW268" s="1511"/>
      <c r="AX268" s="1511"/>
      <c r="AY268" s="1511"/>
      <c r="AZ268" s="1511"/>
      <c r="BA268" s="1511"/>
      <c r="BB268" s="1511"/>
      <c r="BC268" s="1511"/>
      <c r="BD268" s="1511"/>
      <c r="BE268" s="1511"/>
      <c r="BF268" s="1511"/>
      <c r="BG268" s="1511"/>
      <c r="BH268" s="1511"/>
      <c r="BI268" s="1511"/>
      <c r="BJ268" s="1511"/>
    </row>
    <row r="269" spans="1:62">
      <c r="A269" s="1511"/>
      <c r="B269" s="1532"/>
      <c r="C269" s="1533" t="s">
        <v>300</v>
      </c>
      <c r="D269" s="1533" t="s">
        <v>773</v>
      </c>
      <c r="E269" s="1533" t="s">
        <v>47</v>
      </c>
      <c r="F269" s="1540">
        <v>4854</v>
      </c>
      <c r="G269" s="1533" t="s">
        <v>67</v>
      </c>
      <c r="H269" s="1533">
        <v>137</v>
      </c>
      <c r="I269" s="1533" t="s">
        <v>769</v>
      </c>
      <c r="J269" s="1569">
        <f>F269*H269/1000</f>
        <v>664.99800000000005</v>
      </c>
      <c r="K269" s="1571">
        <v>55</v>
      </c>
      <c r="L269" s="1571">
        <v>2.7000000000000001E-3</v>
      </c>
      <c r="M269" s="1770">
        <v>2.9999999999999997E-4</v>
      </c>
      <c r="N269" s="1511"/>
      <c r="O269" s="1515"/>
      <c r="P269" s="1515"/>
      <c r="Q269" s="1515"/>
      <c r="R269" s="1511"/>
      <c r="S269" s="1511"/>
      <c r="T269" s="1511"/>
      <c r="U269" s="1511"/>
      <c r="V269" s="1511"/>
      <c r="W269" s="1511"/>
      <c r="X269" s="1511"/>
      <c r="Y269" s="1511"/>
      <c r="Z269" s="1511"/>
      <c r="AA269" s="1511"/>
      <c r="AB269" s="1511"/>
      <c r="AC269" s="1511"/>
      <c r="AD269" s="1511"/>
      <c r="AE269" s="1511"/>
      <c r="AF269" s="1511"/>
      <c r="AG269" s="1511"/>
      <c r="AH269" s="1511"/>
      <c r="AI269" s="1511"/>
      <c r="AJ269" s="1511"/>
      <c r="AK269" s="1511"/>
      <c r="AL269" s="1511"/>
      <c r="AM269" s="1511"/>
      <c r="AN269" s="1511"/>
      <c r="AO269" s="1511"/>
      <c r="AP269" s="1511"/>
      <c r="AQ269" s="1511"/>
      <c r="AR269" s="1511"/>
      <c r="AS269" s="1511"/>
      <c r="AT269" s="1511"/>
      <c r="AU269" s="1511"/>
      <c r="AV269" s="1511"/>
      <c r="AW269" s="1511"/>
      <c r="AX269" s="1511"/>
      <c r="AY269" s="1511"/>
      <c r="AZ269" s="1511"/>
      <c r="BA269" s="1511"/>
      <c r="BB269" s="1511"/>
      <c r="BC269" s="1511"/>
      <c r="BD269" s="1511"/>
      <c r="BE269" s="1511"/>
      <c r="BF269" s="1511"/>
      <c r="BG269" s="1511"/>
      <c r="BH269" s="1511"/>
      <c r="BI269" s="1511"/>
      <c r="BJ269" s="1511"/>
    </row>
    <row r="270" spans="1:62" ht="15.75">
      <c r="A270" s="1511"/>
      <c r="B270" s="1532"/>
      <c r="C270" s="1533" t="s">
        <v>301</v>
      </c>
      <c r="D270" s="1533" t="s">
        <v>56</v>
      </c>
      <c r="E270" s="1533" t="s">
        <v>47</v>
      </c>
      <c r="F270" s="1540">
        <v>4066</v>
      </c>
      <c r="G270" s="1533" t="s">
        <v>67</v>
      </c>
      <c r="H270" s="1533">
        <v>137</v>
      </c>
      <c r="I270" s="1533" t="s">
        <v>769</v>
      </c>
      <c r="J270" s="1569">
        <f t="shared" ref="J270:J275" si="3">F270*H270/1000</f>
        <v>557.04200000000003</v>
      </c>
      <c r="K270" s="1571">
        <v>46</v>
      </c>
      <c r="L270" s="1571">
        <v>2.3E-3</v>
      </c>
      <c r="M270" s="1770">
        <v>2.0000000000000001E-4</v>
      </c>
      <c r="N270" s="1511"/>
      <c r="O270" s="1515" t="s">
        <v>1202</v>
      </c>
      <c r="P270" s="1515" t="s">
        <v>1190</v>
      </c>
      <c r="Q270" s="1515"/>
      <c r="R270" s="1511"/>
      <c r="S270" s="1511"/>
      <c r="T270" s="1511"/>
      <c r="U270" s="1511"/>
      <c r="V270" s="1511"/>
      <c r="W270" s="1511"/>
      <c r="X270" s="1511"/>
      <c r="Y270" s="1511"/>
      <c r="Z270" s="1511"/>
      <c r="AA270" s="1511"/>
      <c r="AB270" s="1511"/>
      <c r="AC270" s="1511"/>
      <c r="AD270" s="1511"/>
      <c r="AE270" s="1511"/>
      <c r="AF270" s="1511"/>
      <c r="AG270" s="1511"/>
      <c r="AH270" s="1511"/>
      <c r="AI270" s="1511"/>
      <c r="AJ270" s="1511"/>
      <c r="AK270" s="1511"/>
      <c r="AL270" s="1511"/>
      <c r="AM270" s="1511"/>
      <c r="AN270" s="1511"/>
      <c r="AO270" s="1511"/>
      <c r="AP270" s="1511"/>
      <c r="AQ270" s="1511"/>
      <c r="AR270" s="1511"/>
      <c r="AS270" s="1511"/>
      <c r="AT270" s="1511"/>
      <c r="AU270" s="1511"/>
      <c r="AV270" s="1511"/>
      <c r="AW270" s="1511"/>
      <c r="AX270" s="1511"/>
      <c r="AY270" s="1511"/>
      <c r="AZ270" s="1511"/>
      <c r="BA270" s="1511"/>
      <c r="BB270" s="1511"/>
      <c r="BC270" s="1511"/>
      <c r="BD270" s="1511"/>
      <c r="BE270" s="1511"/>
      <c r="BF270" s="1511"/>
      <c r="BG270" s="1511"/>
      <c r="BH270" s="1511"/>
      <c r="BI270" s="1511"/>
      <c r="BJ270" s="1511"/>
    </row>
    <row r="271" spans="1:62" ht="15.75">
      <c r="A271" s="1511"/>
      <c r="B271" s="1532"/>
      <c r="C271" s="1533" t="s">
        <v>302</v>
      </c>
      <c r="D271" s="1533" t="s">
        <v>774</v>
      </c>
      <c r="E271" s="1533" t="s">
        <v>47</v>
      </c>
      <c r="F271" s="1540">
        <v>2530</v>
      </c>
      <c r="G271" s="1533" t="s">
        <v>67</v>
      </c>
      <c r="H271" s="1533">
        <v>137</v>
      </c>
      <c r="I271" s="1533" t="s">
        <v>769</v>
      </c>
      <c r="J271" s="1569">
        <f t="shared" si="3"/>
        <v>346.61</v>
      </c>
      <c r="K271" s="1571">
        <v>29</v>
      </c>
      <c r="L271" s="1571">
        <v>1.4E-3</v>
      </c>
      <c r="M271" s="1770">
        <v>1E-4</v>
      </c>
      <c r="N271" s="1511"/>
      <c r="O271" s="1515" t="s">
        <v>1203</v>
      </c>
      <c r="P271" s="1515" t="s">
        <v>1191</v>
      </c>
      <c r="Q271" s="1515"/>
      <c r="R271" s="1511"/>
      <c r="S271" s="1511"/>
      <c r="T271" s="1511"/>
      <c r="U271" s="1511"/>
      <c r="V271" s="1511"/>
      <c r="W271" s="1511"/>
      <c r="X271" s="1511"/>
      <c r="Y271" s="1511"/>
      <c r="Z271" s="1511"/>
      <c r="AA271" s="1511"/>
      <c r="AB271" s="1511"/>
      <c r="AC271" s="1511"/>
      <c r="AD271" s="1511"/>
      <c r="AE271" s="1511"/>
      <c r="AF271" s="1511"/>
      <c r="AG271" s="1511"/>
      <c r="AH271" s="1511"/>
      <c r="AI271" s="1511"/>
      <c r="AJ271" s="1511"/>
      <c r="AK271" s="1511"/>
      <c r="AL271" s="1511"/>
      <c r="AM271" s="1511"/>
      <c r="AN271" s="1511"/>
      <c r="AO271" s="1511"/>
      <c r="AP271" s="1511"/>
      <c r="AQ271" s="1511"/>
      <c r="AR271" s="1511"/>
      <c r="AS271" s="1511"/>
      <c r="AT271" s="1511"/>
      <c r="AU271" s="1511"/>
      <c r="AV271" s="1511"/>
      <c r="AW271" s="1511"/>
      <c r="AX271" s="1511"/>
      <c r="AY271" s="1511"/>
      <c r="AZ271" s="1511"/>
      <c r="BA271" s="1511"/>
      <c r="BB271" s="1511"/>
      <c r="BC271" s="1511"/>
      <c r="BD271" s="1511"/>
      <c r="BE271" s="1511"/>
      <c r="BF271" s="1511"/>
      <c r="BG271" s="1511"/>
      <c r="BH271" s="1511"/>
      <c r="BI271" s="1511"/>
      <c r="BJ271" s="1511"/>
    </row>
    <row r="272" spans="1:62" ht="15.75">
      <c r="A272" s="1511"/>
      <c r="B272" s="1532"/>
      <c r="C272" s="1533" t="s">
        <v>303</v>
      </c>
      <c r="D272" s="1533" t="s">
        <v>775</v>
      </c>
      <c r="E272" s="1533" t="s">
        <v>47</v>
      </c>
      <c r="F272" s="1540">
        <v>6889</v>
      </c>
      <c r="G272" s="1533" t="s">
        <v>67</v>
      </c>
      <c r="H272" s="1533">
        <v>137</v>
      </c>
      <c r="I272" s="1533" t="s">
        <v>769</v>
      </c>
      <c r="J272" s="1569">
        <f t="shared" si="3"/>
        <v>943.79300000000001</v>
      </c>
      <c r="K272" s="1571">
        <v>78</v>
      </c>
      <c r="L272" s="1571">
        <v>3.8E-3</v>
      </c>
      <c r="M272" s="1770">
        <v>4.0000000000000002E-4</v>
      </c>
      <c r="N272" s="1511"/>
      <c r="O272" s="1515" t="s">
        <v>1204</v>
      </c>
      <c r="P272" s="1515" t="s">
        <v>1192</v>
      </c>
      <c r="Q272" s="1515"/>
      <c r="R272" s="1511"/>
      <c r="S272" s="1511"/>
      <c r="T272" s="1511"/>
      <c r="U272" s="1511"/>
      <c r="V272" s="1511"/>
      <c r="W272" s="1511"/>
      <c r="X272" s="1511"/>
      <c r="Y272" s="1511"/>
      <c r="Z272" s="1511"/>
      <c r="AA272" s="1511"/>
      <c r="AB272" s="1511"/>
      <c r="AC272" s="1511"/>
      <c r="AD272" s="1511"/>
      <c r="AE272" s="1511"/>
      <c r="AF272" s="1511"/>
      <c r="AG272" s="1511"/>
      <c r="AH272" s="1511"/>
      <c r="AI272" s="1511"/>
      <c r="AJ272" s="1511"/>
      <c r="AK272" s="1511"/>
      <c r="AL272" s="1511"/>
      <c r="AM272" s="1511"/>
      <c r="AN272" s="1511"/>
      <c r="AO272" s="1511"/>
      <c r="AP272" s="1511"/>
      <c r="AQ272" s="1511"/>
      <c r="AR272" s="1511"/>
      <c r="AS272" s="1511"/>
      <c r="AT272" s="1511"/>
      <c r="AU272" s="1511"/>
      <c r="AV272" s="1511"/>
      <c r="AW272" s="1511"/>
      <c r="AX272" s="1511"/>
      <c r="AY272" s="1511"/>
      <c r="AZ272" s="1511"/>
      <c r="BA272" s="1511"/>
      <c r="BB272" s="1511"/>
      <c r="BC272" s="1511"/>
      <c r="BD272" s="1511"/>
      <c r="BE272" s="1511"/>
      <c r="BF272" s="1511"/>
      <c r="BG272" s="1511"/>
      <c r="BH272" s="1511"/>
      <c r="BI272" s="1511"/>
      <c r="BJ272" s="1511"/>
    </row>
    <row r="273" spans="1:62">
      <c r="A273" s="1511"/>
      <c r="B273" s="1532"/>
      <c r="C273" s="1533" t="s">
        <v>304</v>
      </c>
      <c r="D273" s="1533" t="s">
        <v>776</v>
      </c>
      <c r="E273" s="1533" t="s">
        <v>47</v>
      </c>
      <c r="F273" s="1540">
        <v>8151</v>
      </c>
      <c r="G273" s="1533" t="s">
        <v>67</v>
      </c>
      <c r="H273" s="1533">
        <v>137</v>
      </c>
      <c r="I273" s="1533" t="s">
        <v>769</v>
      </c>
      <c r="J273" s="1569">
        <f t="shared" si="3"/>
        <v>1116.6869999999999</v>
      </c>
      <c r="K273" s="1571">
        <v>92</v>
      </c>
      <c r="L273" s="1571">
        <v>4.4999999999999997E-3</v>
      </c>
      <c r="M273" s="1770">
        <v>4.0000000000000002E-4</v>
      </c>
      <c r="N273" s="1511"/>
      <c r="O273" s="1511"/>
      <c r="P273" s="1511"/>
      <c r="Q273" s="1511"/>
      <c r="R273" s="1511"/>
      <c r="S273" s="1511"/>
      <c r="T273" s="1511"/>
      <c r="U273" s="1511"/>
      <c r="V273" s="1511"/>
      <c r="W273" s="1511"/>
      <c r="X273" s="1511"/>
      <c r="Y273" s="1511"/>
      <c r="Z273" s="1511"/>
      <c r="AA273" s="1511"/>
      <c r="AB273" s="1511"/>
      <c r="AC273" s="1511"/>
      <c r="AD273" s="1511"/>
      <c r="AE273" s="1511"/>
      <c r="AF273" s="1511"/>
      <c r="AG273" s="1511"/>
      <c r="AH273" s="1511"/>
      <c r="AI273" s="1511"/>
      <c r="AJ273" s="1511"/>
      <c r="AK273" s="1511"/>
      <c r="AL273" s="1511"/>
      <c r="AM273" s="1511"/>
      <c r="AN273" s="1511"/>
      <c r="AO273" s="1511"/>
      <c r="AP273" s="1511"/>
      <c r="AQ273" s="1511"/>
      <c r="AR273" s="1511"/>
      <c r="AS273" s="1511"/>
      <c r="AT273" s="1511"/>
      <c r="AU273" s="1511"/>
      <c r="AV273" s="1511"/>
      <c r="AW273" s="1511"/>
      <c r="AX273" s="1511"/>
      <c r="AY273" s="1511"/>
      <c r="AZ273" s="1511"/>
      <c r="BA273" s="1511"/>
      <c r="BB273" s="1511"/>
      <c r="BC273" s="1511"/>
      <c r="BD273" s="1511"/>
      <c r="BE273" s="1511"/>
      <c r="BF273" s="1511"/>
      <c r="BG273" s="1511"/>
      <c r="BH273" s="1511"/>
      <c r="BI273" s="1511"/>
      <c r="BJ273" s="1511"/>
    </row>
    <row r="274" spans="1:62">
      <c r="A274" s="1511"/>
      <c r="B274" s="1532"/>
      <c r="C274" s="1533" t="s">
        <v>142</v>
      </c>
      <c r="D274" s="1533" t="s">
        <v>777</v>
      </c>
      <c r="E274" s="1533" t="s">
        <v>47</v>
      </c>
      <c r="F274" s="1540">
        <v>12285</v>
      </c>
      <c r="G274" s="1533" t="s">
        <v>67</v>
      </c>
      <c r="H274" s="1533">
        <v>137</v>
      </c>
      <c r="I274" s="1533" t="s">
        <v>769</v>
      </c>
      <c r="J274" s="1569">
        <f t="shared" si="3"/>
        <v>1683.0450000000001</v>
      </c>
      <c r="K274" s="1571">
        <v>139</v>
      </c>
      <c r="L274" s="1571">
        <v>6.7999999999999996E-3</v>
      </c>
      <c r="M274" s="1770">
        <v>6.9999999999999999E-4</v>
      </c>
      <c r="N274" s="1511"/>
      <c r="O274" s="1511"/>
      <c r="P274" s="1511"/>
      <c r="Q274" s="1511"/>
      <c r="R274" s="1511"/>
      <c r="S274" s="1511"/>
      <c r="T274" s="1511"/>
      <c r="U274" s="1511"/>
      <c r="V274" s="1511"/>
      <c r="W274" s="1511"/>
      <c r="X274" s="1511"/>
      <c r="Y274" s="1511"/>
      <c r="Z274" s="1511"/>
      <c r="AA274" s="1511"/>
      <c r="AB274" s="1511"/>
      <c r="AC274" s="1511"/>
      <c r="AD274" s="1511"/>
      <c r="AE274" s="1511"/>
      <c r="AF274" s="1511"/>
      <c r="AG274" s="1511"/>
      <c r="AH274" s="1511"/>
      <c r="AI274" s="1511"/>
      <c r="AJ274" s="1511"/>
      <c r="AK274" s="1511"/>
      <c r="AL274" s="1511"/>
      <c r="AM274" s="1511"/>
      <c r="AN274" s="1511"/>
      <c r="AO274" s="1511"/>
      <c r="AP274" s="1511"/>
      <c r="AQ274" s="1511"/>
      <c r="AR274" s="1511"/>
      <c r="AS274" s="1511"/>
      <c r="AT274" s="1511"/>
      <c r="AU274" s="1511"/>
      <c r="AV274" s="1511"/>
      <c r="AW274" s="1511"/>
      <c r="AX274" s="1511"/>
      <c r="AY274" s="1511"/>
      <c r="AZ274" s="1511"/>
      <c r="BA274" s="1511"/>
      <c r="BB274" s="1511"/>
      <c r="BC274" s="1511"/>
      <c r="BD274" s="1511"/>
      <c r="BE274" s="1511"/>
      <c r="BF274" s="1511"/>
      <c r="BG274" s="1511"/>
      <c r="BH274" s="1511"/>
      <c r="BI274" s="1511"/>
      <c r="BJ274" s="1511"/>
    </row>
    <row r="275" spans="1:62">
      <c r="A275" s="1511"/>
      <c r="B275" s="1532"/>
      <c r="C275" s="1533" t="s">
        <v>143</v>
      </c>
      <c r="D275" s="1533" t="s">
        <v>778</v>
      </c>
      <c r="E275" s="1533" t="s">
        <v>47</v>
      </c>
      <c r="F275" s="1540">
        <v>27170</v>
      </c>
      <c r="G275" s="1533" t="s">
        <v>67</v>
      </c>
      <c r="H275" s="1533">
        <v>137</v>
      </c>
      <c r="I275" s="1533" t="s">
        <v>769</v>
      </c>
      <c r="J275" s="1569">
        <f t="shared" si="3"/>
        <v>3722.29</v>
      </c>
      <c r="K275" s="1571">
        <v>307</v>
      </c>
      <c r="L275" s="1571">
        <v>1.5100000000000001E-2</v>
      </c>
      <c r="M275" s="1770">
        <v>1.5E-3</v>
      </c>
      <c r="N275" s="1511"/>
      <c r="O275" s="1511"/>
      <c r="P275" s="1511"/>
      <c r="Q275" s="1511"/>
      <c r="R275" s="1511"/>
      <c r="S275" s="1511"/>
      <c r="T275" s="1511"/>
      <c r="U275" s="1511"/>
      <c r="V275" s="1511"/>
      <c r="W275" s="1511"/>
      <c r="X275" s="1511"/>
      <c r="Y275" s="1511"/>
      <c r="Z275" s="1511"/>
      <c r="AA275" s="1511"/>
      <c r="AB275" s="1511"/>
      <c r="AC275" s="1511"/>
      <c r="AD275" s="1511"/>
      <c r="AE275" s="1511"/>
      <c r="AF275" s="1511"/>
      <c r="AG275" s="1511"/>
      <c r="AH275" s="1511"/>
      <c r="AI275" s="1511"/>
      <c r="AJ275" s="1511"/>
      <c r="AK275" s="1511"/>
      <c r="AL275" s="1511"/>
      <c r="AM275" s="1511"/>
      <c r="AN275" s="1511"/>
      <c r="AO275" s="1511"/>
      <c r="AP275" s="1511"/>
      <c r="AQ275" s="1511"/>
      <c r="AR275" s="1511"/>
      <c r="AS275" s="1511"/>
      <c r="AT275" s="1511"/>
      <c r="AU275" s="1511"/>
      <c r="AV275" s="1511"/>
      <c r="AW275" s="1511"/>
      <c r="AX275" s="1511"/>
      <c r="AY275" s="1511"/>
      <c r="AZ275" s="1511"/>
      <c r="BA275" s="1511"/>
      <c r="BB275" s="1511"/>
      <c r="BC275" s="1511"/>
      <c r="BD275" s="1511"/>
      <c r="BE275" s="1511"/>
      <c r="BF275" s="1511"/>
      <c r="BG275" s="1511"/>
      <c r="BH275" s="1511"/>
      <c r="BI275" s="1511"/>
      <c r="BJ275" s="1511"/>
    </row>
    <row r="276" spans="1:62">
      <c r="A276" s="1511"/>
      <c r="B276" s="1532"/>
      <c r="C276" s="1533" t="s">
        <v>305</v>
      </c>
      <c r="D276" s="1533" t="s">
        <v>779</v>
      </c>
      <c r="E276" s="1533" t="s">
        <v>47</v>
      </c>
      <c r="F276" s="1540">
        <v>28504</v>
      </c>
      <c r="G276" s="1533" t="s">
        <v>67</v>
      </c>
      <c r="H276" s="1533">
        <v>137</v>
      </c>
      <c r="I276" s="1533" t="s">
        <v>769</v>
      </c>
      <c r="J276" s="1569">
        <f>F276*H276/1000</f>
        <v>3905.0479999999998</v>
      </c>
      <c r="K276" s="1571">
        <v>322</v>
      </c>
      <c r="L276" s="1571">
        <v>1.5800000000000002E-2</v>
      </c>
      <c r="M276" s="1770">
        <v>1.6000000000000001E-3</v>
      </c>
      <c r="N276" s="1511"/>
      <c r="O276" s="1511"/>
      <c r="P276" s="1511"/>
      <c r="Q276" s="1511"/>
      <c r="R276" s="1511"/>
      <c r="S276" s="1511"/>
      <c r="T276" s="1511"/>
      <c r="U276" s="1511"/>
      <c r="V276" s="1511"/>
      <c r="W276" s="1511"/>
      <c r="X276" s="1511"/>
      <c r="Y276" s="1511"/>
      <c r="Z276" s="1511"/>
      <c r="AA276" s="1511"/>
      <c r="AB276" s="1511"/>
      <c r="AC276" s="1511"/>
      <c r="AD276" s="1511"/>
      <c r="AE276" s="1511"/>
      <c r="AF276" s="1511"/>
      <c r="AG276" s="1511"/>
      <c r="AH276" s="1511"/>
      <c r="AI276" s="1511"/>
      <c r="AJ276" s="1511"/>
      <c r="AK276" s="1511"/>
      <c r="AL276" s="1511"/>
      <c r="AM276" s="1511"/>
      <c r="AN276" s="1511"/>
      <c r="AO276" s="1511"/>
      <c r="AP276" s="1511"/>
      <c r="AQ276" s="1511"/>
      <c r="AR276" s="1511"/>
      <c r="AS276" s="1511"/>
      <c r="AT276" s="1511"/>
      <c r="AU276" s="1511"/>
      <c r="AV276" s="1511"/>
      <c r="AW276" s="1511"/>
      <c r="AX276" s="1511"/>
      <c r="AY276" s="1511"/>
      <c r="AZ276" s="1511"/>
      <c r="BA276" s="1511"/>
      <c r="BB276" s="1511"/>
      <c r="BC276" s="1511"/>
      <c r="BD276" s="1511"/>
      <c r="BE276" s="1511"/>
      <c r="BF276" s="1511"/>
      <c r="BG276" s="1511"/>
      <c r="BH276" s="1511"/>
      <c r="BI276" s="1511"/>
      <c r="BJ276" s="1511"/>
    </row>
    <row r="277" spans="1:62" ht="13.5" thickBot="1">
      <c r="A277" s="1511"/>
      <c r="B277" s="1532"/>
      <c r="C277" s="1533"/>
      <c r="D277" s="1533"/>
      <c r="E277" s="1533"/>
      <c r="F277" s="1533"/>
      <c r="G277" s="1533"/>
      <c r="H277" s="1533"/>
      <c r="I277" s="1533"/>
      <c r="J277" s="1533"/>
      <c r="K277" s="1533"/>
      <c r="L277" s="1533"/>
      <c r="M277" s="1541"/>
      <c r="N277" s="1511"/>
      <c r="O277" s="1511"/>
      <c r="P277" s="1511"/>
      <c r="Q277" s="1511"/>
      <c r="R277" s="1511"/>
      <c r="S277" s="1511"/>
      <c r="T277" s="1511"/>
      <c r="U277" s="1511"/>
      <c r="V277" s="1511"/>
      <c r="W277" s="1511"/>
      <c r="X277" s="1511"/>
      <c r="Y277" s="1511"/>
      <c r="Z277" s="1511"/>
      <c r="AA277" s="1511"/>
      <c r="AB277" s="1511"/>
      <c r="AC277" s="1511"/>
      <c r="AD277" s="1511"/>
      <c r="AE277" s="1511"/>
      <c r="AF277" s="1511"/>
      <c r="AG277" s="1511"/>
      <c r="AH277" s="1511"/>
      <c r="AI277" s="1511"/>
      <c r="AJ277" s="1511"/>
      <c r="AK277" s="1511"/>
      <c r="AL277" s="1511"/>
      <c r="AM277" s="1511"/>
      <c r="AN277" s="1511"/>
      <c r="AO277" s="1511"/>
      <c r="AP277" s="1511"/>
      <c r="AQ277" s="1511"/>
      <c r="AR277" s="1511"/>
      <c r="AS277" s="1511"/>
      <c r="AT277" s="1511"/>
      <c r="AU277" s="1511"/>
      <c r="AV277" s="1511"/>
      <c r="AW277" s="1511"/>
      <c r="AX277" s="1511"/>
      <c r="AY277" s="1511"/>
      <c r="AZ277" s="1511"/>
      <c r="BA277" s="1511"/>
      <c r="BB277" s="1511"/>
      <c r="BC277" s="1511"/>
      <c r="BD277" s="1511"/>
      <c r="BE277" s="1511"/>
      <c r="BF277" s="1511"/>
      <c r="BG277" s="1511"/>
      <c r="BH277" s="1511"/>
      <c r="BI277" s="1511"/>
      <c r="BJ277" s="1511"/>
    </row>
    <row r="278" spans="1:62">
      <c r="A278" s="1511"/>
      <c r="B278" s="1576"/>
      <c r="C278" s="1530"/>
      <c r="D278" s="1530"/>
      <c r="E278" s="1530"/>
      <c r="F278" s="1530"/>
      <c r="G278" s="1530"/>
      <c r="H278" s="1530"/>
      <c r="I278" s="1530"/>
      <c r="J278" s="1530"/>
      <c r="K278" s="1530"/>
      <c r="L278" s="1530"/>
      <c r="M278" s="1578"/>
      <c r="N278" s="1511"/>
      <c r="O278" s="1511"/>
      <c r="P278" s="1511"/>
      <c r="Q278" s="1511"/>
      <c r="R278" s="1511"/>
      <c r="S278" s="1511"/>
      <c r="T278" s="1511"/>
      <c r="U278" s="1511"/>
      <c r="V278" s="1511"/>
      <c r="W278" s="1511"/>
      <c r="X278" s="1511"/>
      <c r="Y278" s="1511"/>
      <c r="Z278" s="1511"/>
      <c r="AA278" s="1511"/>
      <c r="AB278" s="1511"/>
      <c r="AC278" s="1511"/>
      <c r="AD278" s="1511"/>
      <c r="AE278" s="1511"/>
      <c r="AF278" s="1511"/>
      <c r="AG278" s="1511"/>
      <c r="AH278" s="1511"/>
      <c r="AI278" s="1511"/>
      <c r="AJ278" s="1511"/>
      <c r="AK278" s="1511"/>
      <c r="AL278" s="1511"/>
      <c r="AM278" s="1511"/>
      <c r="AN278" s="1511"/>
      <c r="AO278" s="1511"/>
      <c r="AP278" s="1511"/>
      <c r="AQ278" s="1511"/>
      <c r="AR278" s="1511"/>
      <c r="AS278" s="1511"/>
      <c r="AT278" s="1511"/>
      <c r="AU278" s="1511"/>
      <c r="AV278" s="1511"/>
      <c r="AW278" s="1511"/>
      <c r="AX278" s="1511"/>
      <c r="AY278" s="1511"/>
      <c r="AZ278" s="1511"/>
      <c r="BA278" s="1511"/>
      <c r="BB278" s="1511"/>
      <c r="BC278" s="1511"/>
      <c r="BD278" s="1511"/>
      <c r="BE278" s="1511"/>
      <c r="BF278" s="1511"/>
      <c r="BG278" s="1511"/>
      <c r="BH278" s="1511"/>
      <c r="BI278" s="1511"/>
      <c r="BJ278" s="1511"/>
    </row>
    <row r="279" spans="1:62">
      <c r="A279" s="1511"/>
      <c r="B279" s="1532"/>
      <c r="C279" s="1533"/>
      <c r="D279" s="1533"/>
      <c r="E279" s="1533"/>
      <c r="F279" s="1533"/>
      <c r="G279" s="1533"/>
      <c r="H279" s="1533"/>
      <c r="I279" s="1533"/>
      <c r="J279" s="1533"/>
      <c r="K279" s="1533"/>
      <c r="L279" s="1533"/>
      <c r="M279" s="1541"/>
      <c r="N279" s="1511"/>
      <c r="O279" s="1511"/>
      <c r="P279" s="1511"/>
      <c r="Q279" s="1511"/>
      <c r="R279" s="1511"/>
      <c r="S279" s="1511"/>
      <c r="T279" s="1511"/>
      <c r="U279" s="1511"/>
      <c r="V279" s="1511"/>
      <c r="W279" s="1511"/>
      <c r="X279" s="1511"/>
      <c r="Y279" s="1511"/>
      <c r="Z279" s="1511"/>
      <c r="AA279" s="1511"/>
      <c r="AB279" s="1511"/>
      <c r="AC279" s="1511"/>
      <c r="AD279" s="1511"/>
      <c r="AE279" s="1511"/>
      <c r="AF279" s="1511"/>
      <c r="AG279" s="1511"/>
      <c r="AH279" s="1511"/>
      <c r="AI279" s="1511"/>
      <c r="AJ279" s="1511"/>
      <c r="AK279" s="1511"/>
      <c r="AL279" s="1511"/>
      <c r="AM279" s="1511"/>
      <c r="AN279" s="1511"/>
      <c r="AO279" s="1511"/>
      <c r="AP279" s="1511"/>
      <c r="AQ279" s="1511"/>
      <c r="AR279" s="1511"/>
      <c r="AS279" s="1511"/>
      <c r="AT279" s="1511"/>
      <c r="AU279" s="1511"/>
      <c r="AV279" s="1511"/>
      <c r="AW279" s="1511"/>
      <c r="AX279" s="1511"/>
      <c r="AY279" s="1511"/>
      <c r="AZ279" s="1511"/>
      <c r="BA279" s="1511"/>
      <c r="BB279" s="1511"/>
      <c r="BC279" s="1511"/>
      <c r="BD279" s="1511"/>
      <c r="BE279" s="1511"/>
      <c r="BF279" s="1511"/>
      <c r="BG279" s="1511"/>
      <c r="BH279" s="1511"/>
      <c r="BI279" s="1511"/>
      <c r="BJ279" s="1511"/>
    </row>
    <row r="280" spans="1:62">
      <c r="A280" s="1511"/>
      <c r="B280" s="1532" t="s">
        <v>306</v>
      </c>
      <c r="C280" s="169" t="s">
        <v>780</v>
      </c>
      <c r="D280" s="1533"/>
      <c r="E280" s="1533"/>
      <c r="F280" s="1533"/>
      <c r="G280" s="1533"/>
      <c r="H280" s="1533"/>
      <c r="I280" s="1533"/>
      <c r="J280" s="1533"/>
      <c r="K280" s="1533"/>
      <c r="L280" s="1533"/>
      <c r="M280" s="1541"/>
      <c r="N280" s="1511"/>
      <c r="O280" s="1511"/>
      <c r="P280" s="1511"/>
      <c r="Q280" s="1511"/>
      <c r="R280" s="1511"/>
      <c r="S280" s="1511"/>
      <c r="T280" s="1511"/>
      <c r="U280" s="1511"/>
      <c r="V280" s="1511"/>
      <c r="W280" s="1511"/>
      <c r="X280" s="1511"/>
      <c r="Y280" s="1511"/>
      <c r="Z280" s="1511"/>
      <c r="AA280" s="1511"/>
      <c r="AB280" s="1511"/>
      <c r="AC280" s="1511"/>
      <c r="AD280" s="1511"/>
      <c r="AE280" s="1511"/>
      <c r="AF280" s="1511"/>
      <c r="AG280" s="1511"/>
      <c r="AH280" s="1511"/>
      <c r="AI280" s="1511"/>
      <c r="AJ280" s="1511"/>
      <c r="AK280" s="1511"/>
      <c r="AL280" s="1511"/>
      <c r="AM280" s="1511"/>
      <c r="AN280" s="1511"/>
      <c r="AO280" s="1511"/>
      <c r="AP280" s="1511"/>
      <c r="AQ280" s="1511"/>
      <c r="AR280" s="1511"/>
      <c r="AS280" s="1511"/>
      <c r="AT280" s="1511"/>
      <c r="AU280" s="1511"/>
      <c r="AV280" s="1511"/>
      <c r="AW280" s="1511"/>
      <c r="AX280" s="1511"/>
      <c r="AY280" s="1511"/>
      <c r="AZ280" s="1511"/>
      <c r="BA280" s="1511"/>
      <c r="BB280" s="1511"/>
      <c r="BC280" s="1511"/>
      <c r="BD280" s="1511"/>
      <c r="BE280" s="1511"/>
      <c r="BF280" s="1511"/>
      <c r="BG280" s="1511"/>
      <c r="BH280" s="1511"/>
      <c r="BI280" s="1511"/>
      <c r="BJ280" s="1511"/>
    </row>
    <row r="281" spans="1:62">
      <c r="A281" s="1511"/>
      <c r="B281" s="1532"/>
      <c r="C281" s="1533" t="s">
        <v>309</v>
      </c>
      <c r="D281" s="1533" t="s">
        <v>781</v>
      </c>
      <c r="E281" s="1533" t="s">
        <v>47</v>
      </c>
      <c r="F281" s="1540">
        <v>6889</v>
      </c>
      <c r="G281" s="1533" t="s">
        <v>67</v>
      </c>
      <c r="H281" s="1533">
        <v>137</v>
      </c>
      <c r="I281" s="1533" t="s">
        <v>769</v>
      </c>
      <c r="J281" s="1569">
        <f t="shared" ref="J281:J288" si="4">F281*H281/1000</f>
        <v>943.79300000000001</v>
      </c>
      <c r="K281" s="1572">
        <v>78</v>
      </c>
      <c r="L281" s="1592">
        <v>3.8E-3</v>
      </c>
      <c r="M281" s="1771">
        <v>4.0000000000000002E-4</v>
      </c>
      <c r="N281" s="1511"/>
      <c r="O281" s="1511"/>
      <c r="P281" s="1511"/>
      <c r="Q281" s="1511"/>
      <c r="R281" s="1511"/>
      <c r="S281" s="1511"/>
      <c r="T281" s="1511"/>
      <c r="U281" s="1511"/>
      <c r="V281" s="1511"/>
      <c r="W281" s="1511"/>
      <c r="X281" s="1511"/>
      <c r="Y281" s="1511"/>
      <c r="Z281" s="1511"/>
      <c r="AA281" s="1511"/>
      <c r="AB281" s="1511"/>
      <c r="AC281" s="1511"/>
      <c r="AD281" s="1511"/>
      <c r="AE281" s="1511"/>
      <c r="AF281" s="1511"/>
      <c r="AG281" s="1511"/>
      <c r="AH281" s="1511"/>
      <c r="AI281" s="1511"/>
      <c r="AJ281" s="1511"/>
      <c r="AK281" s="1511"/>
      <c r="AL281" s="1511"/>
      <c r="AM281" s="1511"/>
      <c r="AN281" s="1511"/>
      <c r="AO281" s="1511"/>
      <c r="AP281" s="1511"/>
      <c r="AQ281" s="1511"/>
      <c r="AR281" s="1511"/>
      <c r="AS281" s="1511"/>
      <c r="AT281" s="1511"/>
      <c r="AU281" s="1511"/>
      <c r="AV281" s="1511"/>
      <c r="AW281" s="1511"/>
      <c r="AX281" s="1511"/>
      <c r="AY281" s="1511"/>
      <c r="AZ281" s="1511"/>
      <c r="BA281" s="1511"/>
      <c r="BB281" s="1511"/>
      <c r="BC281" s="1511"/>
      <c r="BD281" s="1511"/>
      <c r="BE281" s="1511"/>
      <c r="BF281" s="1511"/>
      <c r="BG281" s="1511"/>
      <c r="BH281" s="1511"/>
      <c r="BI281" s="1511"/>
      <c r="BJ281" s="1511"/>
    </row>
    <row r="282" spans="1:62">
      <c r="A282" s="1511"/>
      <c r="B282" s="1532"/>
      <c r="C282" s="1533" t="s">
        <v>310</v>
      </c>
      <c r="D282" s="1533" t="s">
        <v>782</v>
      </c>
      <c r="E282" s="1533" t="s">
        <v>47</v>
      </c>
      <c r="F282" s="1540">
        <v>6851</v>
      </c>
      <c r="G282" s="1533" t="s">
        <v>67</v>
      </c>
      <c r="H282" s="1533">
        <v>137</v>
      </c>
      <c r="I282" s="1533" t="s">
        <v>769</v>
      </c>
      <c r="J282" s="1569">
        <f t="shared" si="4"/>
        <v>938.58699999999999</v>
      </c>
      <c r="K282" s="1572">
        <v>77</v>
      </c>
      <c r="L282" s="1592">
        <v>3.8E-3</v>
      </c>
      <c r="M282" s="1771">
        <v>4.0000000000000002E-4</v>
      </c>
      <c r="N282" s="1511"/>
      <c r="O282" s="1511"/>
      <c r="P282" s="1511"/>
      <c r="Q282" s="1511"/>
      <c r="R282" s="1511"/>
      <c r="S282" s="1511"/>
      <c r="T282" s="1511"/>
      <c r="U282" s="1511"/>
      <c r="V282" s="1511"/>
      <c r="W282" s="1511"/>
      <c r="X282" s="1511"/>
      <c r="Y282" s="1511"/>
      <c r="Z282" s="1511"/>
      <c r="AA282" s="1511"/>
      <c r="AB282" s="1511"/>
      <c r="AC282" s="1511"/>
      <c r="AD282" s="1511"/>
      <c r="AE282" s="1511"/>
      <c r="AF282" s="1511"/>
      <c r="AG282" s="1511"/>
      <c r="AH282" s="1511"/>
      <c r="AI282" s="1511"/>
      <c r="AJ282" s="1511"/>
      <c r="AK282" s="1511"/>
      <c r="AL282" s="1511"/>
      <c r="AM282" s="1511"/>
      <c r="AN282" s="1511"/>
      <c r="AO282" s="1511"/>
      <c r="AP282" s="1511"/>
      <c r="AQ282" s="1511"/>
      <c r="AR282" s="1511"/>
      <c r="AS282" s="1511"/>
      <c r="AT282" s="1511"/>
      <c r="AU282" s="1511"/>
      <c r="AV282" s="1511"/>
      <c r="AW282" s="1511"/>
      <c r="AX282" s="1511"/>
      <c r="AY282" s="1511"/>
      <c r="AZ282" s="1511"/>
      <c r="BA282" s="1511"/>
      <c r="BB282" s="1511"/>
      <c r="BC282" s="1511"/>
      <c r="BD282" s="1511"/>
      <c r="BE282" s="1511"/>
      <c r="BF282" s="1511"/>
      <c r="BG282" s="1511"/>
      <c r="BH282" s="1511"/>
      <c r="BI282" s="1511"/>
      <c r="BJ282" s="1511"/>
    </row>
    <row r="283" spans="1:62">
      <c r="A283" s="1511"/>
      <c r="B283" s="1532"/>
      <c r="C283" s="1533" t="s">
        <v>307</v>
      </c>
      <c r="D283" s="1533" t="s">
        <v>783</v>
      </c>
      <c r="E283" s="1533" t="s">
        <v>47</v>
      </c>
      <c r="F283" s="1540">
        <v>26106</v>
      </c>
      <c r="G283" s="1533" t="s">
        <v>67</v>
      </c>
      <c r="H283" s="1533">
        <v>137</v>
      </c>
      <c r="I283" s="1533" t="s">
        <v>769</v>
      </c>
      <c r="J283" s="1569">
        <f t="shared" si="4"/>
        <v>3576.5219999999999</v>
      </c>
      <c r="K283" s="1572">
        <v>295</v>
      </c>
      <c r="L283" s="1592">
        <v>0</v>
      </c>
      <c r="M283" s="1771">
        <v>0</v>
      </c>
      <c r="N283" s="1511"/>
      <c r="O283" s="1511"/>
      <c r="P283" s="1511"/>
      <c r="Q283" s="1511"/>
      <c r="R283" s="1511"/>
      <c r="S283" s="1511"/>
      <c r="T283" s="1511"/>
      <c r="U283" s="1511"/>
      <c r="V283" s="1511"/>
      <c r="W283" s="1511"/>
      <c r="X283" s="1511"/>
      <c r="Y283" s="1511"/>
      <c r="Z283" s="1511"/>
      <c r="AA283" s="1511"/>
      <c r="AB283" s="1511"/>
      <c r="AC283" s="1511"/>
      <c r="AD283" s="1511"/>
      <c r="AE283" s="1511"/>
      <c r="AF283" s="1511"/>
      <c r="AG283" s="1511"/>
      <c r="AH283" s="1511"/>
      <c r="AI283" s="1511"/>
      <c r="AJ283" s="1511"/>
      <c r="AK283" s="1511"/>
      <c r="AL283" s="1511"/>
      <c r="AM283" s="1511"/>
      <c r="AN283" s="1511"/>
      <c r="AO283" s="1511"/>
      <c r="AP283" s="1511"/>
      <c r="AQ283" s="1511"/>
      <c r="AR283" s="1511"/>
      <c r="AS283" s="1511"/>
      <c r="AT283" s="1511"/>
      <c r="AU283" s="1511"/>
      <c r="AV283" s="1511"/>
      <c r="AW283" s="1511"/>
      <c r="AX283" s="1511"/>
      <c r="AY283" s="1511"/>
      <c r="AZ283" s="1511"/>
      <c r="BA283" s="1511"/>
      <c r="BB283" s="1511"/>
      <c r="BC283" s="1511"/>
      <c r="BD283" s="1511"/>
      <c r="BE283" s="1511"/>
      <c r="BF283" s="1511"/>
      <c r="BG283" s="1511"/>
      <c r="BH283" s="1511"/>
      <c r="BI283" s="1511"/>
      <c r="BJ283" s="1511"/>
    </row>
    <row r="284" spans="1:62">
      <c r="A284" s="1511"/>
      <c r="B284" s="1532"/>
      <c r="C284" s="1533" t="s">
        <v>308</v>
      </c>
      <c r="D284" s="1533" t="s">
        <v>784</v>
      </c>
      <c r="E284" s="1533" t="s">
        <v>47</v>
      </c>
      <c r="F284" s="1540">
        <v>11826</v>
      </c>
      <c r="G284" s="1533" t="s">
        <v>67</v>
      </c>
      <c r="H284" s="1533">
        <v>137</v>
      </c>
      <c r="I284" s="1533" t="s">
        <v>769</v>
      </c>
      <c r="J284" s="1569">
        <f t="shared" si="4"/>
        <v>1620.162</v>
      </c>
      <c r="K284" s="1572">
        <v>134</v>
      </c>
      <c r="L284" s="1592">
        <v>0</v>
      </c>
      <c r="M284" s="1771">
        <v>0</v>
      </c>
      <c r="N284" s="1511"/>
      <c r="O284" s="1511"/>
      <c r="P284" s="1511"/>
      <c r="Q284" s="1511"/>
      <c r="R284" s="1511"/>
      <c r="S284" s="1511"/>
      <c r="T284" s="1511"/>
      <c r="U284" s="1511"/>
      <c r="V284" s="1511"/>
      <c r="W284" s="1511"/>
      <c r="X284" s="1511"/>
      <c r="Y284" s="1511"/>
      <c r="Z284" s="1511"/>
      <c r="AA284" s="1511"/>
      <c r="AB284" s="1511"/>
      <c r="AC284" s="1511"/>
      <c r="AD284" s="1511"/>
      <c r="AE284" s="1511"/>
      <c r="AF284" s="1511"/>
      <c r="AG284" s="1511"/>
      <c r="AH284" s="1511"/>
      <c r="AI284" s="1511"/>
      <c r="AJ284" s="1511"/>
      <c r="AK284" s="1511"/>
      <c r="AL284" s="1511"/>
      <c r="AM284" s="1511"/>
      <c r="AN284" s="1511"/>
      <c r="AO284" s="1511"/>
      <c r="AP284" s="1511"/>
      <c r="AQ284" s="1511"/>
      <c r="AR284" s="1511"/>
      <c r="AS284" s="1511"/>
      <c r="AT284" s="1511"/>
      <c r="AU284" s="1511"/>
      <c r="AV284" s="1511"/>
      <c r="AW284" s="1511"/>
      <c r="AX284" s="1511"/>
      <c r="AY284" s="1511"/>
      <c r="AZ284" s="1511"/>
      <c r="BA284" s="1511"/>
      <c r="BB284" s="1511"/>
      <c r="BC284" s="1511"/>
      <c r="BD284" s="1511"/>
      <c r="BE284" s="1511"/>
      <c r="BF284" s="1511"/>
      <c r="BG284" s="1511"/>
      <c r="BH284" s="1511"/>
      <c r="BI284" s="1511"/>
      <c r="BJ284" s="1511"/>
    </row>
    <row r="285" spans="1:62">
      <c r="A285" s="1511"/>
      <c r="B285" s="1532"/>
      <c r="C285" s="1533" t="s">
        <v>789</v>
      </c>
      <c r="D285" s="1533" t="s">
        <v>785</v>
      </c>
      <c r="E285" s="1533" t="s">
        <v>47</v>
      </c>
      <c r="F285" s="1540">
        <v>22997</v>
      </c>
      <c r="G285" s="1533" t="s">
        <v>67</v>
      </c>
      <c r="H285" s="1533">
        <v>137</v>
      </c>
      <c r="I285" s="1533" t="s">
        <v>769</v>
      </c>
      <c r="J285" s="1569">
        <f t="shared" si="4"/>
        <v>3150.5889999999999</v>
      </c>
      <c r="K285" s="1572">
        <v>260</v>
      </c>
      <c r="L285" s="1592">
        <v>1.2800000000000001E-2</v>
      </c>
      <c r="M285" s="1760">
        <v>1.2999999999999999E-3</v>
      </c>
      <c r="N285" s="1511"/>
      <c r="O285" s="1511"/>
      <c r="P285" s="1511"/>
      <c r="Q285" s="1511"/>
      <c r="R285" s="1511"/>
      <c r="S285" s="1511"/>
      <c r="T285" s="1511"/>
      <c r="U285" s="1511"/>
      <c r="V285" s="1511"/>
      <c r="W285" s="1511"/>
      <c r="X285" s="1511"/>
      <c r="Y285" s="1511"/>
      <c r="Z285" s="1511"/>
      <c r="AA285" s="1511"/>
      <c r="AB285" s="1511"/>
      <c r="AC285" s="1511"/>
      <c r="AD285" s="1511"/>
      <c r="AE285" s="1511"/>
      <c r="AF285" s="1511"/>
      <c r="AG285" s="1511"/>
      <c r="AH285" s="1511"/>
      <c r="AI285" s="1511"/>
      <c r="AJ285" s="1511"/>
      <c r="AK285" s="1511"/>
      <c r="AL285" s="1511"/>
      <c r="AM285" s="1511"/>
      <c r="AN285" s="1511"/>
      <c r="AO285" s="1511"/>
      <c r="AP285" s="1511"/>
      <c r="AQ285" s="1511"/>
      <c r="AR285" s="1511"/>
      <c r="AS285" s="1511"/>
      <c r="AT285" s="1511"/>
      <c r="AU285" s="1511"/>
      <c r="AV285" s="1511"/>
      <c r="AW285" s="1511"/>
      <c r="AX285" s="1511"/>
      <c r="AY285" s="1511"/>
      <c r="AZ285" s="1511"/>
      <c r="BA285" s="1511"/>
      <c r="BB285" s="1511"/>
      <c r="BC285" s="1511"/>
      <c r="BD285" s="1511"/>
      <c r="BE285" s="1511"/>
      <c r="BF285" s="1511"/>
      <c r="BG285" s="1511"/>
      <c r="BH285" s="1511"/>
      <c r="BI285" s="1511"/>
      <c r="BJ285" s="1511"/>
    </row>
    <row r="286" spans="1:62">
      <c r="A286" s="1511"/>
      <c r="B286" s="1532"/>
      <c r="C286" s="1533" t="s">
        <v>790</v>
      </c>
      <c r="D286" s="1533" t="s">
        <v>786</v>
      </c>
      <c r="E286" s="1533" t="s">
        <v>47</v>
      </c>
      <c r="F286" s="1540">
        <v>14592</v>
      </c>
      <c r="G286" s="1533" t="s">
        <v>67</v>
      </c>
      <c r="H286" s="1533">
        <v>137</v>
      </c>
      <c r="I286" s="1533" t="s">
        <v>769</v>
      </c>
      <c r="J286" s="1569">
        <f t="shared" si="4"/>
        <v>1999.104</v>
      </c>
      <c r="K286" s="1572">
        <v>165</v>
      </c>
      <c r="L286" s="1592">
        <v>8.0999999999999996E-3</v>
      </c>
      <c r="M286" s="1760">
        <v>8.0000000000000004E-4</v>
      </c>
      <c r="N286" s="1511"/>
      <c r="O286" s="1511"/>
      <c r="P286" s="1511"/>
      <c r="Q286" s="1511"/>
      <c r="R286" s="1511"/>
      <c r="S286" s="1511"/>
      <c r="T286" s="1511"/>
      <c r="U286" s="1511"/>
      <c r="V286" s="1511"/>
      <c r="W286" s="1511"/>
      <c r="X286" s="1511"/>
      <c r="Y286" s="1511"/>
      <c r="Z286" s="1511"/>
      <c r="AA286" s="1511"/>
      <c r="AB286" s="1511"/>
      <c r="AC286" s="1511"/>
      <c r="AD286" s="1511"/>
      <c r="AE286" s="1511"/>
      <c r="AF286" s="1511"/>
      <c r="AG286" s="1511"/>
      <c r="AH286" s="1511"/>
      <c r="AI286" s="1511"/>
      <c r="AJ286" s="1511"/>
      <c r="AK286" s="1511"/>
      <c r="AL286" s="1511"/>
      <c r="AM286" s="1511"/>
      <c r="AN286" s="1511"/>
      <c r="AO286" s="1511"/>
      <c r="AP286" s="1511"/>
      <c r="AQ286" s="1511"/>
      <c r="AR286" s="1511"/>
      <c r="AS286" s="1511"/>
      <c r="AT286" s="1511"/>
      <c r="AU286" s="1511"/>
      <c r="AV286" s="1511"/>
      <c r="AW286" s="1511"/>
      <c r="AX286" s="1511"/>
      <c r="AY286" s="1511"/>
      <c r="AZ286" s="1511"/>
      <c r="BA286" s="1511"/>
      <c r="BB286" s="1511"/>
      <c r="BC286" s="1511"/>
      <c r="BD286" s="1511"/>
      <c r="BE286" s="1511"/>
      <c r="BF286" s="1511"/>
      <c r="BG286" s="1511"/>
      <c r="BH286" s="1511"/>
      <c r="BI286" s="1511"/>
      <c r="BJ286" s="1511"/>
    </row>
    <row r="287" spans="1:62">
      <c r="A287" s="1511"/>
      <c r="B287" s="1532"/>
      <c r="C287" s="1533" t="s">
        <v>791</v>
      </c>
      <c r="D287" s="1533" t="s">
        <v>787</v>
      </c>
      <c r="E287" s="1533" t="s">
        <v>47</v>
      </c>
      <c r="F287" s="1540">
        <v>24984</v>
      </c>
      <c r="G287" s="1533" t="s">
        <v>67</v>
      </c>
      <c r="H287" s="1533">
        <v>137</v>
      </c>
      <c r="I287" s="1533" t="s">
        <v>769</v>
      </c>
      <c r="J287" s="1569">
        <f t="shared" si="4"/>
        <v>3422.808</v>
      </c>
      <c r="K287" s="1572">
        <v>282</v>
      </c>
      <c r="L287" s="1592">
        <v>1.3899999999999999E-2</v>
      </c>
      <c r="M287" s="1760">
        <v>1.4E-3</v>
      </c>
      <c r="N287" s="1511"/>
      <c r="O287" s="1511"/>
      <c r="P287" s="1511"/>
      <c r="Q287" s="1511"/>
      <c r="R287" s="1511"/>
      <c r="S287" s="1511"/>
      <c r="T287" s="1511"/>
      <c r="U287" s="1511"/>
      <c r="V287" s="1511"/>
      <c r="W287" s="1511"/>
      <c r="X287" s="1511"/>
      <c r="Y287" s="1511"/>
      <c r="Z287" s="1511"/>
      <c r="AA287" s="1511"/>
      <c r="AB287" s="1511"/>
      <c r="AC287" s="1511"/>
      <c r="AD287" s="1511"/>
      <c r="AE287" s="1511"/>
      <c r="AF287" s="1511"/>
      <c r="AG287" s="1511"/>
      <c r="AH287" s="1511"/>
      <c r="AI287" s="1511"/>
      <c r="AJ287" s="1511"/>
      <c r="AK287" s="1511"/>
      <c r="AL287" s="1511"/>
      <c r="AM287" s="1511"/>
      <c r="AN287" s="1511"/>
      <c r="AO287" s="1511"/>
      <c r="AP287" s="1511"/>
      <c r="AQ287" s="1511"/>
      <c r="AR287" s="1511"/>
      <c r="AS287" s="1511"/>
      <c r="AT287" s="1511"/>
      <c r="AU287" s="1511"/>
      <c r="AV287" s="1511"/>
      <c r="AW287" s="1511"/>
      <c r="AX287" s="1511"/>
      <c r="AY287" s="1511"/>
      <c r="AZ287" s="1511"/>
      <c r="BA287" s="1511"/>
      <c r="BB287" s="1511"/>
      <c r="BC287" s="1511"/>
      <c r="BD287" s="1511"/>
      <c r="BE287" s="1511"/>
      <c r="BF287" s="1511"/>
      <c r="BG287" s="1511"/>
      <c r="BH287" s="1511"/>
      <c r="BI287" s="1511"/>
      <c r="BJ287" s="1511"/>
    </row>
    <row r="288" spans="1:62">
      <c r="A288" s="1511"/>
      <c r="B288" s="1532"/>
      <c r="C288" s="1533" t="s">
        <v>792</v>
      </c>
      <c r="D288" s="1533" t="s">
        <v>788</v>
      </c>
      <c r="E288" s="1533" t="s">
        <v>47</v>
      </c>
      <c r="F288" s="1540">
        <v>24301</v>
      </c>
      <c r="G288" s="1533" t="s">
        <v>67</v>
      </c>
      <c r="H288" s="1533">
        <v>137</v>
      </c>
      <c r="I288" s="1533" t="s">
        <v>769</v>
      </c>
      <c r="J288" s="1569">
        <f t="shared" si="4"/>
        <v>3329.2370000000001</v>
      </c>
      <c r="K288" s="1572">
        <v>275</v>
      </c>
      <c r="L288" s="1592">
        <v>1.35E-2</v>
      </c>
      <c r="M288" s="1760">
        <v>1.2999999999999999E-3</v>
      </c>
      <c r="N288" s="1511"/>
      <c r="O288" s="1511"/>
      <c r="P288" s="1511"/>
      <c r="Q288" s="1511"/>
      <c r="R288" s="1511"/>
      <c r="S288" s="1511"/>
      <c r="T288" s="1511"/>
      <c r="U288" s="1511"/>
      <c r="V288" s="1511"/>
      <c r="W288" s="1511"/>
      <c r="X288" s="1511"/>
      <c r="Y288" s="1511"/>
      <c r="Z288" s="1511"/>
      <c r="AA288" s="1511"/>
      <c r="AB288" s="1511"/>
      <c r="AC288" s="1511"/>
      <c r="AD288" s="1511"/>
      <c r="AE288" s="1511"/>
      <c r="AF288" s="1511"/>
      <c r="AG288" s="1511"/>
      <c r="AH288" s="1511"/>
      <c r="AI288" s="1511"/>
      <c r="AJ288" s="1511"/>
      <c r="AK288" s="1511"/>
      <c r="AL288" s="1511"/>
      <c r="AM288" s="1511"/>
      <c r="AN288" s="1511"/>
      <c r="AO288" s="1511"/>
      <c r="AP288" s="1511"/>
      <c r="AQ288" s="1511"/>
      <c r="AR288" s="1511"/>
      <c r="AS288" s="1511"/>
      <c r="AT288" s="1511"/>
      <c r="AU288" s="1511"/>
      <c r="AV288" s="1511"/>
      <c r="AW288" s="1511"/>
      <c r="AX288" s="1511"/>
      <c r="AY288" s="1511"/>
      <c r="AZ288" s="1511"/>
      <c r="BA288" s="1511"/>
      <c r="BB288" s="1511"/>
      <c r="BC288" s="1511"/>
      <c r="BD288" s="1511"/>
      <c r="BE288" s="1511"/>
      <c r="BF288" s="1511"/>
      <c r="BG288" s="1511"/>
      <c r="BH288" s="1511"/>
      <c r="BI288" s="1511"/>
      <c r="BJ288" s="1511"/>
    </row>
    <row r="289" spans="1:62" ht="13.5" thickBot="1">
      <c r="A289" s="1511"/>
      <c r="B289" s="1532"/>
      <c r="C289" s="1533"/>
      <c r="D289" s="1533"/>
      <c r="E289" s="1533"/>
      <c r="F289" s="1533"/>
      <c r="G289" s="1533"/>
      <c r="H289" s="1533"/>
      <c r="I289" s="1533"/>
      <c r="J289" s="1533"/>
      <c r="K289" s="1533"/>
      <c r="L289" s="1533"/>
      <c r="M289" s="1541"/>
      <c r="N289" s="1511"/>
      <c r="O289" s="1511"/>
      <c r="P289" s="1511"/>
      <c r="Q289" s="1511"/>
      <c r="R289" s="1511"/>
      <c r="S289" s="1511"/>
      <c r="T289" s="1511"/>
      <c r="U289" s="1511"/>
      <c r="V289" s="1511"/>
      <c r="W289" s="1511"/>
      <c r="X289" s="1511"/>
      <c r="Y289" s="1511"/>
      <c r="Z289" s="1511"/>
      <c r="AA289" s="1511"/>
      <c r="AB289" s="1511"/>
      <c r="AC289" s="1511"/>
      <c r="AD289" s="1511"/>
      <c r="AE289" s="1511"/>
      <c r="AF289" s="1511"/>
      <c r="AG289" s="1511"/>
      <c r="AH289" s="1511"/>
      <c r="AI289" s="1511"/>
      <c r="AJ289" s="1511"/>
      <c r="AK289" s="1511"/>
      <c r="AL289" s="1511"/>
      <c r="AM289" s="1511"/>
      <c r="AN289" s="1511"/>
      <c r="AO289" s="1511"/>
      <c r="AP289" s="1511"/>
      <c r="AQ289" s="1511"/>
      <c r="AR289" s="1511"/>
      <c r="AS289" s="1511"/>
      <c r="AT289" s="1511"/>
      <c r="AU289" s="1511"/>
      <c r="AV289" s="1511"/>
      <c r="AW289" s="1511"/>
      <c r="AX289" s="1511"/>
      <c r="AY289" s="1511"/>
      <c r="AZ289" s="1511"/>
      <c r="BA289" s="1511"/>
      <c r="BB289" s="1511"/>
      <c r="BC289" s="1511"/>
      <c r="BD289" s="1511"/>
      <c r="BE289" s="1511"/>
      <c r="BF289" s="1511"/>
      <c r="BG289" s="1511"/>
      <c r="BH289" s="1511"/>
      <c r="BI289" s="1511"/>
      <c r="BJ289" s="1511"/>
    </row>
    <row r="290" spans="1:62">
      <c r="A290" s="1511"/>
      <c r="B290" s="1576"/>
      <c r="C290" s="1530"/>
      <c r="D290" s="1530"/>
      <c r="E290" s="1530"/>
      <c r="F290" s="1530"/>
      <c r="G290" s="1530"/>
      <c r="H290" s="1530"/>
      <c r="I290" s="1530"/>
      <c r="J290" s="1530"/>
      <c r="K290" s="1530"/>
      <c r="L290" s="1530"/>
      <c r="M290" s="1578"/>
      <c r="N290" s="1511"/>
      <c r="O290" s="1511"/>
      <c r="P290" s="1511"/>
      <c r="Q290" s="1511"/>
      <c r="R290" s="1511"/>
      <c r="S290" s="1511"/>
      <c r="T290" s="1511"/>
      <c r="U290" s="1511"/>
      <c r="V290" s="1511"/>
      <c r="W290" s="1511"/>
      <c r="X290" s="1511"/>
      <c r="Y290" s="1511"/>
      <c r="Z290" s="1511"/>
      <c r="AA290" s="1511"/>
      <c r="AB290" s="1511"/>
      <c r="AC290" s="1511"/>
      <c r="AD290" s="1511"/>
      <c r="AE290" s="1511"/>
      <c r="AF290" s="1511"/>
      <c r="AG290" s="1511"/>
      <c r="AH290" s="1511"/>
      <c r="AI290" s="1511"/>
      <c r="AJ290" s="1511"/>
      <c r="AK290" s="1511"/>
      <c r="AL290" s="1511"/>
      <c r="AM290" s="1511"/>
      <c r="AN290" s="1511"/>
      <c r="AO290" s="1511"/>
      <c r="AP290" s="1511"/>
      <c r="AQ290" s="1511"/>
      <c r="AR290" s="1511"/>
      <c r="AS290" s="1511"/>
      <c r="AT290" s="1511"/>
      <c r="AU290" s="1511"/>
      <c r="AV290" s="1511"/>
      <c r="AW290" s="1511"/>
      <c r="AX290" s="1511"/>
      <c r="AY290" s="1511"/>
      <c r="AZ290" s="1511"/>
      <c r="BA290" s="1511"/>
      <c r="BB290" s="1511"/>
      <c r="BC290" s="1511"/>
      <c r="BD290" s="1511"/>
      <c r="BE290" s="1511"/>
      <c r="BF290" s="1511"/>
      <c r="BG290" s="1511"/>
      <c r="BH290" s="1511"/>
      <c r="BI290" s="1511"/>
      <c r="BJ290" s="1511"/>
    </row>
    <row r="291" spans="1:62">
      <c r="A291" s="1511"/>
      <c r="B291" s="1532"/>
      <c r="C291" s="1533"/>
      <c r="D291" s="1533"/>
      <c r="E291" s="1533"/>
      <c r="F291" s="1533"/>
      <c r="G291" s="1533"/>
      <c r="H291" s="1533"/>
      <c r="I291" s="1533"/>
      <c r="J291" s="1533"/>
      <c r="K291" s="1533"/>
      <c r="L291" s="1533"/>
      <c r="M291" s="1541"/>
      <c r="N291" s="1511"/>
      <c r="O291" s="1515" t="s">
        <v>1194</v>
      </c>
      <c r="P291" s="1511"/>
      <c r="Q291" s="1511"/>
      <c r="R291" s="1511"/>
      <c r="S291" s="1511"/>
      <c r="T291" s="1511"/>
      <c r="U291" s="1511"/>
      <c r="V291" s="1511"/>
      <c r="W291" s="1511"/>
      <c r="X291" s="1511"/>
      <c r="Y291" s="1511"/>
      <c r="Z291" s="1511"/>
      <c r="AA291" s="1511"/>
      <c r="AB291" s="1511"/>
      <c r="AC291" s="1511"/>
      <c r="AD291" s="1511"/>
      <c r="AE291" s="1511"/>
      <c r="AF291" s="1511"/>
      <c r="AG291" s="1511"/>
      <c r="AH291" s="1511"/>
      <c r="AI291" s="1511"/>
      <c r="AJ291" s="1511"/>
      <c r="AK291" s="1511"/>
      <c r="AL291" s="1511"/>
      <c r="AM291" s="1511"/>
      <c r="AN291" s="1511"/>
      <c r="AO291" s="1511"/>
      <c r="AP291" s="1511"/>
      <c r="AQ291" s="1511"/>
      <c r="AR291" s="1511"/>
      <c r="AS291" s="1511"/>
      <c r="AT291" s="1511"/>
      <c r="AU291" s="1511"/>
      <c r="AV291" s="1511"/>
      <c r="AW291" s="1511"/>
      <c r="AX291" s="1511"/>
      <c r="AY291" s="1511"/>
      <c r="AZ291" s="1511"/>
      <c r="BA291" s="1511"/>
      <c r="BB291" s="1511"/>
      <c r="BC291" s="1511"/>
      <c r="BD291" s="1511"/>
      <c r="BE291" s="1511"/>
      <c r="BF291" s="1511"/>
      <c r="BG291" s="1511"/>
      <c r="BH291" s="1511"/>
      <c r="BI291" s="1511"/>
      <c r="BJ291" s="1511"/>
    </row>
    <row r="292" spans="1:62" ht="14.25">
      <c r="A292" s="1511"/>
      <c r="B292" s="1532" t="s">
        <v>311</v>
      </c>
      <c r="C292" s="169" t="s">
        <v>141</v>
      </c>
      <c r="D292" s="1533"/>
      <c r="E292" s="1533"/>
      <c r="F292" s="1533"/>
      <c r="G292" s="1533"/>
      <c r="H292" s="1533"/>
      <c r="I292" s="1533"/>
      <c r="J292" s="1533"/>
      <c r="K292" s="1533"/>
      <c r="L292" s="1533"/>
      <c r="M292" s="1541"/>
      <c r="N292" s="1511"/>
      <c r="O292" s="1511" t="s">
        <v>1205</v>
      </c>
      <c r="P292" s="1511"/>
      <c r="Q292" s="1511"/>
      <c r="R292" s="1515"/>
      <c r="S292" s="1515"/>
      <c r="T292" s="1511"/>
      <c r="U292" s="1511"/>
      <c r="V292" s="1511"/>
      <c r="W292" s="1511"/>
      <c r="X292" s="1511"/>
      <c r="Y292" s="1511"/>
      <c r="Z292" s="1511"/>
      <c r="AA292" s="1511"/>
      <c r="AB292" s="1511"/>
      <c r="AC292" s="1511"/>
      <c r="AD292" s="1511"/>
      <c r="AE292" s="1511"/>
      <c r="AF292" s="1511"/>
      <c r="AG292" s="1511"/>
      <c r="AH292" s="1511"/>
      <c r="AI292" s="1511"/>
      <c r="AJ292" s="1511"/>
      <c r="AK292" s="1511"/>
      <c r="AL292" s="1511"/>
      <c r="AM292" s="1511"/>
      <c r="AN292" s="1511"/>
      <c r="AO292" s="1511"/>
      <c r="AP292" s="1511"/>
      <c r="AQ292" s="1511"/>
      <c r="AR292" s="1511"/>
      <c r="AS292" s="1511"/>
      <c r="AT292" s="1511"/>
      <c r="AU292" s="1511"/>
      <c r="AV292" s="1511"/>
      <c r="AW292" s="1511"/>
      <c r="AX292" s="1511"/>
      <c r="AY292" s="1511"/>
      <c r="AZ292" s="1511"/>
      <c r="BA292" s="1511"/>
      <c r="BB292" s="1511"/>
      <c r="BC292" s="1511"/>
      <c r="BD292" s="1511"/>
      <c r="BE292" s="1511"/>
      <c r="BF292" s="1511"/>
      <c r="BG292" s="1511"/>
      <c r="BH292" s="1511"/>
      <c r="BI292" s="1511"/>
      <c r="BJ292" s="1511"/>
    </row>
    <row r="293" spans="1:62" ht="14.25">
      <c r="A293" s="1511"/>
      <c r="B293" s="1532"/>
      <c r="C293" s="1533" t="s">
        <v>143</v>
      </c>
      <c r="D293" s="1533" t="s">
        <v>793</v>
      </c>
      <c r="E293" s="1533" t="s">
        <v>47</v>
      </c>
      <c r="F293" s="1540">
        <v>3269</v>
      </c>
      <c r="G293" s="1533" t="s">
        <v>67</v>
      </c>
      <c r="H293" s="1537">
        <v>140984</v>
      </c>
      <c r="I293" s="1533" t="s">
        <v>140</v>
      </c>
      <c r="J293" s="1569">
        <f>F293*H293/1000000</f>
        <v>460.87669599999998</v>
      </c>
      <c r="K293" s="1571">
        <v>36.28</v>
      </c>
      <c r="L293" s="1591">
        <v>0</v>
      </c>
      <c r="M293" s="1607">
        <v>0</v>
      </c>
      <c r="N293" s="1511"/>
      <c r="O293" s="1511" t="s">
        <v>1206</v>
      </c>
      <c r="P293" s="1511" t="s">
        <v>1196</v>
      </c>
      <c r="Q293" s="1511">
        <v>0.9</v>
      </c>
      <c r="R293" s="1515"/>
      <c r="S293" s="1515"/>
      <c r="T293" s="1511"/>
      <c r="U293" s="1511"/>
      <c r="V293" s="1511"/>
      <c r="W293" s="1511"/>
      <c r="X293" s="1511"/>
      <c r="Y293" s="1511"/>
      <c r="Z293" s="1511"/>
      <c r="AA293" s="1511"/>
      <c r="AB293" s="1511"/>
      <c r="AC293" s="1511"/>
      <c r="AD293" s="1511"/>
      <c r="AE293" s="1511"/>
      <c r="AF293" s="1511"/>
      <c r="AG293" s="1511"/>
      <c r="AH293" s="1511"/>
      <c r="AI293" s="1511"/>
      <c r="AJ293" s="1511"/>
      <c r="AK293" s="1511"/>
      <c r="AL293" s="1511"/>
      <c r="AM293" s="1511"/>
      <c r="AN293" s="1511"/>
      <c r="AO293" s="1511"/>
      <c r="AP293" s="1511"/>
      <c r="AQ293" s="1511"/>
      <c r="AR293" s="1511"/>
      <c r="AS293" s="1511"/>
      <c r="AT293" s="1511"/>
      <c r="AU293" s="1511"/>
      <c r="AV293" s="1511"/>
      <c r="AW293" s="1511"/>
      <c r="AX293" s="1511"/>
      <c r="AY293" s="1511"/>
      <c r="AZ293" s="1511"/>
      <c r="BA293" s="1511"/>
      <c r="BB293" s="1511"/>
      <c r="BC293" s="1511"/>
      <c r="BD293" s="1511"/>
      <c r="BE293" s="1511"/>
      <c r="BF293" s="1511"/>
      <c r="BG293" s="1511"/>
      <c r="BH293" s="1511"/>
      <c r="BI293" s="1511"/>
      <c r="BJ293" s="1511"/>
    </row>
    <row r="294" spans="1:62" ht="14.25">
      <c r="A294" s="1511"/>
      <c r="B294" s="1532"/>
      <c r="C294" s="1533" t="s">
        <v>142</v>
      </c>
      <c r="D294" s="1533" t="s">
        <v>794</v>
      </c>
      <c r="E294" s="1533" t="s">
        <v>47</v>
      </c>
      <c r="F294" s="1540">
        <v>3014</v>
      </c>
      <c r="G294" s="1533" t="s">
        <v>67</v>
      </c>
      <c r="H294" s="1537">
        <v>140983</v>
      </c>
      <c r="I294" s="1533" t="s">
        <v>140</v>
      </c>
      <c r="J294" s="1569">
        <f>F294*H294/1000000</f>
        <v>424.92276199999998</v>
      </c>
      <c r="K294" s="1571">
        <v>85.14</v>
      </c>
      <c r="L294" s="1591">
        <v>0</v>
      </c>
      <c r="M294" s="1607">
        <v>0</v>
      </c>
      <c r="N294" s="1511"/>
      <c r="O294" s="1511" t="s">
        <v>1207</v>
      </c>
      <c r="P294" s="1511" t="s">
        <v>1197</v>
      </c>
      <c r="Q294" s="1511">
        <v>0.2</v>
      </c>
      <c r="R294" s="1515"/>
      <c r="S294" s="1515"/>
      <c r="T294" s="1511"/>
      <c r="U294" s="1511"/>
      <c r="V294" s="1511"/>
      <c r="W294" s="1511"/>
      <c r="X294" s="1511"/>
      <c r="Y294" s="1511"/>
      <c r="Z294" s="1511"/>
      <c r="AA294" s="1511"/>
      <c r="AB294" s="1511"/>
      <c r="AC294" s="1511"/>
      <c r="AD294" s="1511"/>
      <c r="AE294" s="1511"/>
      <c r="AF294" s="1511"/>
      <c r="AG294" s="1511"/>
      <c r="AH294" s="1511"/>
      <c r="AI294" s="1511"/>
      <c r="AJ294" s="1511"/>
      <c r="AK294" s="1511"/>
      <c r="AL294" s="1511"/>
      <c r="AM294" s="1511"/>
      <c r="AN294" s="1511"/>
      <c r="AO294" s="1511"/>
      <c r="AP294" s="1511"/>
      <c r="AQ294" s="1511"/>
      <c r="AR294" s="1511"/>
      <c r="AS294" s="1511"/>
      <c r="AT294" s="1511"/>
      <c r="AU294" s="1511"/>
      <c r="AV294" s="1511"/>
      <c r="AW294" s="1511"/>
      <c r="AX294" s="1511"/>
      <c r="AY294" s="1511"/>
      <c r="AZ294" s="1511"/>
      <c r="BA294" s="1511"/>
      <c r="BB294" s="1511"/>
      <c r="BC294" s="1511"/>
      <c r="BD294" s="1511"/>
      <c r="BE294" s="1511"/>
      <c r="BF294" s="1511"/>
      <c r="BG294" s="1511"/>
      <c r="BH294" s="1511"/>
      <c r="BI294" s="1511"/>
      <c r="BJ294" s="1511"/>
    </row>
    <row r="295" spans="1:62" ht="15.75">
      <c r="A295" s="1511"/>
      <c r="B295" s="1532"/>
      <c r="C295" s="1533" t="s">
        <v>144</v>
      </c>
      <c r="D295" s="1533" t="s">
        <v>795</v>
      </c>
      <c r="E295" s="1533" t="s">
        <v>47</v>
      </c>
      <c r="F295" s="1540">
        <v>3234</v>
      </c>
      <c r="G295" s="1533" t="s">
        <v>67</v>
      </c>
      <c r="H295" s="1537">
        <v>140987</v>
      </c>
      <c r="I295" s="1533" t="s">
        <v>140</v>
      </c>
      <c r="J295" s="1569">
        <f>F295*H295/1000000</f>
        <v>455.95195799999999</v>
      </c>
      <c r="K295" s="1571">
        <v>33.46</v>
      </c>
      <c r="L295" s="1591">
        <v>0</v>
      </c>
      <c r="M295" s="1607">
        <v>0</v>
      </c>
      <c r="N295" s="1511"/>
      <c r="O295" s="1515" t="s">
        <v>1212</v>
      </c>
      <c r="P295" s="1515" t="s">
        <v>1211</v>
      </c>
      <c r="Q295" s="1515">
        <v>22</v>
      </c>
      <c r="R295" s="1515"/>
      <c r="S295" s="1515"/>
      <c r="T295" s="1511"/>
      <c r="U295" s="1511"/>
      <c r="V295" s="1511"/>
      <c r="W295" s="1511"/>
      <c r="X295" s="1511"/>
      <c r="Y295" s="1511"/>
      <c r="Z295" s="1511"/>
      <c r="AA295" s="1511"/>
      <c r="AB295" s="1511"/>
      <c r="AC295" s="1511"/>
      <c r="AD295" s="1511"/>
      <c r="AE295" s="1511"/>
      <c r="AF295" s="1511"/>
      <c r="AG295" s="1511"/>
      <c r="AH295" s="1511"/>
      <c r="AI295" s="1511"/>
      <c r="AJ295" s="1511"/>
      <c r="AK295" s="1511"/>
      <c r="AL295" s="1511"/>
      <c r="AM295" s="1511"/>
      <c r="AN295" s="1511"/>
      <c r="AO295" s="1511"/>
      <c r="AP295" s="1511"/>
      <c r="AQ295" s="1511"/>
      <c r="AR295" s="1511"/>
      <c r="AS295" s="1511"/>
      <c r="AT295" s="1511"/>
      <c r="AU295" s="1511"/>
      <c r="AV295" s="1511"/>
      <c r="AW295" s="1511"/>
      <c r="AX295" s="1511"/>
      <c r="AY295" s="1511"/>
      <c r="AZ295" s="1511"/>
      <c r="BA295" s="1511"/>
      <c r="BB295" s="1511"/>
      <c r="BC295" s="1511"/>
      <c r="BD295" s="1511"/>
      <c r="BE295" s="1511"/>
      <c r="BF295" s="1511"/>
      <c r="BG295" s="1511"/>
      <c r="BH295" s="1511"/>
      <c r="BI295" s="1511"/>
      <c r="BJ295" s="1511"/>
    </row>
    <row r="296" spans="1:62">
      <c r="A296" s="1511"/>
      <c r="B296" s="1532"/>
      <c r="C296" s="1533" t="s">
        <v>146</v>
      </c>
      <c r="D296" s="1533" t="s">
        <v>795</v>
      </c>
      <c r="E296" s="1533" t="s">
        <v>47</v>
      </c>
      <c r="F296" s="1540">
        <v>7670</v>
      </c>
      <c r="G296" s="1533" t="s">
        <v>67</v>
      </c>
      <c r="H296" s="1537">
        <v>140987</v>
      </c>
      <c r="I296" s="1533" t="s">
        <v>140</v>
      </c>
      <c r="J296" s="1569">
        <f>F296*H296/1000000</f>
        <v>1081.3702900000001</v>
      </c>
      <c r="K296" s="1591">
        <v>35.9</v>
      </c>
      <c r="L296" s="1591">
        <v>0</v>
      </c>
      <c r="M296" s="1607">
        <v>0</v>
      </c>
      <c r="N296" s="1511"/>
      <c r="O296" s="1511"/>
      <c r="P296" s="1511"/>
      <c r="Q296" s="1511"/>
      <c r="R296" s="1511"/>
      <c r="S296" s="1511"/>
      <c r="T296" s="1511"/>
      <c r="U296" s="1511"/>
      <c r="V296" s="1511"/>
      <c r="W296" s="1511"/>
      <c r="X296" s="1511"/>
      <c r="Y296" s="1511"/>
      <c r="Z296" s="1511"/>
      <c r="AA296" s="1511"/>
      <c r="AB296" s="1511"/>
      <c r="AC296" s="1511"/>
      <c r="AD296" s="1511"/>
      <c r="AE296" s="1511"/>
      <c r="AF296" s="1511"/>
      <c r="AG296" s="1511"/>
      <c r="AH296" s="1511"/>
      <c r="AI296" s="1511"/>
      <c r="AJ296" s="1511"/>
      <c r="AK296" s="1511"/>
      <c r="AL296" s="1511"/>
      <c r="AM296" s="1511"/>
      <c r="AN296" s="1511"/>
      <c r="AO296" s="1511"/>
      <c r="AP296" s="1511"/>
      <c r="AQ296" s="1511"/>
      <c r="AR296" s="1511"/>
      <c r="AS296" s="1511"/>
      <c r="AT296" s="1511"/>
      <c r="AU296" s="1511"/>
      <c r="AV296" s="1511"/>
      <c r="AW296" s="1511"/>
      <c r="AX296" s="1511"/>
      <c r="AY296" s="1511"/>
      <c r="AZ296" s="1511"/>
      <c r="BA296" s="1511"/>
      <c r="BB296" s="1511"/>
      <c r="BC296" s="1511"/>
      <c r="BD296" s="1511"/>
      <c r="BE296" s="1511"/>
      <c r="BF296" s="1511"/>
      <c r="BG296" s="1511"/>
      <c r="BH296" s="1511"/>
      <c r="BI296" s="1511"/>
      <c r="BJ296" s="1511"/>
    </row>
    <row r="297" spans="1:62" ht="13.5" thickBot="1">
      <c r="A297" s="1511"/>
      <c r="B297" s="1532"/>
      <c r="C297" s="1533"/>
      <c r="D297" s="1533"/>
      <c r="E297" s="1533"/>
      <c r="F297" s="1537"/>
      <c r="G297" s="1533"/>
      <c r="H297" s="1533"/>
      <c r="I297" s="1533"/>
      <c r="J297" s="1537"/>
      <c r="K297" s="1533"/>
      <c r="L297" s="1533"/>
      <c r="M297" s="1541"/>
      <c r="N297" s="1511"/>
      <c r="O297" s="1511"/>
      <c r="P297" s="1511"/>
      <c r="Q297" s="1511"/>
      <c r="R297" s="1511"/>
      <c r="S297" s="1511"/>
      <c r="T297" s="1511"/>
      <c r="U297" s="1511"/>
      <c r="V297" s="1511"/>
      <c r="W297" s="1511"/>
      <c r="X297" s="1511"/>
      <c r="Y297" s="1511"/>
      <c r="Z297" s="1511"/>
      <c r="AA297" s="1511"/>
      <c r="AB297" s="1511"/>
      <c r="AC297" s="1511"/>
      <c r="AD297" s="1511"/>
      <c r="AE297" s="1511"/>
      <c r="AF297" s="1511"/>
      <c r="AG297" s="1511"/>
      <c r="AH297" s="1511"/>
      <c r="AI297" s="1511"/>
      <c r="AJ297" s="1511"/>
      <c r="AK297" s="1511"/>
      <c r="AL297" s="1511"/>
      <c r="AM297" s="1511"/>
      <c r="AN297" s="1511"/>
      <c r="AO297" s="1511"/>
      <c r="AP297" s="1511"/>
      <c r="AQ297" s="1511"/>
      <c r="AR297" s="1511"/>
      <c r="AS297" s="1511"/>
      <c r="AT297" s="1511"/>
      <c r="AU297" s="1511"/>
      <c r="AV297" s="1511"/>
      <c r="AW297" s="1511"/>
      <c r="AX297" s="1511"/>
      <c r="AY297" s="1511"/>
      <c r="AZ297" s="1511"/>
      <c r="BA297" s="1511"/>
      <c r="BB297" s="1511"/>
      <c r="BC297" s="1511"/>
      <c r="BD297" s="1511"/>
      <c r="BE297" s="1511"/>
      <c r="BF297" s="1511"/>
      <c r="BG297" s="1511"/>
      <c r="BH297" s="1511"/>
      <c r="BI297" s="1511"/>
      <c r="BJ297" s="1511"/>
    </row>
    <row r="298" spans="1:62">
      <c r="A298" s="1511"/>
      <c r="B298" s="1576"/>
      <c r="C298" s="1530"/>
      <c r="D298" s="1530"/>
      <c r="E298" s="1530"/>
      <c r="F298" s="1530"/>
      <c r="G298" s="1530"/>
      <c r="H298" s="1530"/>
      <c r="I298" s="1530"/>
      <c r="J298" s="1530"/>
      <c r="K298" s="1530"/>
      <c r="L298" s="1530"/>
      <c r="M298" s="1578"/>
      <c r="N298" s="1511"/>
      <c r="O298" s="1511"/>
      <c r="P298" s="1511"/>
      <c r="Q298" s="1511"/>
      <c r="R298" s="1511"/>
      <c r="S298" s="1511"/>
      <c r="T298" s="1511"/>
      <c r="U298" s="1511"/>
      <c r="V298" s="1511"/>
      <c r="W298" s="1511"/>
      <c r="X298" s="1511"/>
      <c r="Y298" s="1511"/>
      <c r="Z298" s="1511"/>
      <c r="AA298" s="1511"/>
      <c r="AB298" s="1511"/>
      <c r="AC298" s="1511"/>
      <c r="AD298" s="1511"/>
      <c r="AE298" s="1511"/>
      <c r="AF298" s="1511"/>
      <c r="AG298" s="1511"/>
      <c r="AH298" s="1511"/>
      <c r="AI298" s="1511"/>
      <c r="AJ298" s="1511"/>
      <c r="AK298" s="1511"/>
      <c r="AL298" s="1511"/>
      <c r="AM298" s="1511"/>
      <c r="AN298" s="1511"/>
      <c r="AO298" s="1511"/>
      <c r="AP298" s="1511"/>
      <c r="AQ298" s="1511"/>
      <c r="AR298" s="1511"/>
      <c r="AS298" s="1511"/>
      <c r="AT298" s="1511"/>
      <c r="AU298" s="1511"/>
      <c r="AV298" s="1511"/>
      <c r="AW298" s="1511"/>
      <c r="AX298" s="1511"/>
      <c r="AY298" s="1511"/>
      <c r="AZ298" s="1511"/>
      <c r="BA298" s="1511"/>
      <c r="BB298" s="1511"/>
      <c r="BC298" s="1511"/>
      <c r="BD298" s="1511"/>
      <c r="BE298" s="1511"/>
      <c r="BF298" s="1511"/>
      <c r="BG298" s="1511"/>
      <c r="BH298" s="1511"/>
      <c r="BI298" s="1511"/>
      <c r="BJ298" s="1511"/>
    </row>
    <row r="299" spans="1:62">
      <c r="A299" s="1511"/>
      <c r="B299" s="1532"/>
      <c r="C299" s="1533"/>
      <c r="D299" s="1533"/>
      <c r="E299" s="1533"/>
      <c r="F299" s="1533"/>
      <c r="G299" s="1533"/>
      <c r="H299" s="1533"/>
      <c r="I299" s="1533"/>
      <c r="J299" s="1533"/>
      <c r="K299" s="1533"/>
      <c r="L299" s="1533"/>
      <c r="M299" s="1541"/>
      <c r="N299" s="1511"/>
      <c r="O299" s="1515" t="s">
        <v>1195</v>
      </c>
      <c r="P299" s="1511"/>
      <c r="Q299" s="1511"/>
      <c r="R299" s="1511"/>
      <c r="S299" s="1511"/>
      <c r="T299" s="1511"/>
      <c r="U299" s="1511"/>
      <c r="V299" s="1511"/>
      <c r="W299" s="1511"/>
      <c r="X299" s="1511"/>
      <c r="Y299" s="1511"/>
      <c r="Z299" s="1511"/>
      <c r="AA299" s="1511"/>
      <c r="AB299" s="1511"/>
      <c r="AC299" s="1511"/>
      <c r="AD299" s="1511"/>
      <c r="AE299" s="1511"/>
      <c r="AF299" s="1511"/>
      <c r="AG299" s="1511"/>
      <c r="AH299" s="1511"/>
      <c r="AI299" s="1511"/>
      <c r="AJ299" s="1511"/>
      <c r="AK299" s="1511"/>
      <c r="AL299" s="1511"/>
      <c r="AM299" s="1511"/>
      <c r="AN299" s="1511"/>
      <c r="AO299" s="1511"/>
      <c r="AP299" s="1511"/>
      <c r="AQ299" s="1511"/>
      <c r="AR299" s="1511"/>
      <c r="AS299" s="1511"/>
      <c r="AT299" s="1511"/>
      <c r="AU299" s="1511"/>
      <c r="AV299" s="1511"/>
      <c r="AW299" s="1511"/>
      <c r="AX299" s="1511"/>
      <c r="AY299" s="1511"/>
      <c r="AZ299" s="1511"/>
      <c r="BA299" s="1511"/>
      <c r="BB299" s="1511"/>
      <c r="BC299" s="1511"/>
      <c r="BD299" s="1511"/>
      <c r="BE299" s="1511"/>
      <c r="BF299" s="1511"/>
      <c r="BG299" s="1511"/>
      <c r="BH299" s="1511"/>
      <c r="BI299" s="1511"/>
      <c r="BJ299" s="1511"/>
    </row>
    <row r="300" spans="1:62" ht="13.5" thickBot="1">
      <c r="A300" s="1511"/>
      <c r="B300" s="1532" t="s">
        <v>312</v>
      </c>
      <c r="C300" s="1788" t="s">
        <v>796</v>
      </c>
      <c r="D300" s="1533"/>
      <c r="E300" s="1533"/>
      <c r="F300" s="1533"/>
      <c r="G300" s="1533"/>
      <c r="H300" s="1533"/>
      <c r="I300" s="1533"/>
      <c r="J300" s="1533"/>
      <c r="K300" s="1533"/>
      <c r="L300" s="1533"/>
      <c r="M300" s="1541"/>
      <c r="N300" s="1511"/>
      <c r="O300" s="1511" t="s">
        <v>1174</v>
      </c>
      <c r="P300" s="1511" t="s">
        <v>1175</v>
      </c>
      <c r="Q300" s="1511"/>
      <c r="R300" s="1511"/>
      <c r="S300" s="1511"/>
      <c r="T300" s="1511"/>
      <c r="U300" s="1511"/>
      <c r="V300" s="1511"/>
      <c r="W300" s="1511"/>
      <c r="X300" s="1511"/>
      <c r="Y300" s="1511"/>
      <c r="Z300" s="1511"/>
      <c r="AA300" s="1511"/>
      <c r="AB300" s="1511"/>
      <c r="AC300" s="1511"/>
      <c r="AD300" s="1511"/>
      <c r="AE300" s="1511"/>
      <c r="AF300" s="1511"/>
      <c r="AG300" s="1511"/>
      <c r="AH300" s="1511"/>
      <c r="AI300" s="1511"/>
      <c r="AJ300" s="1511"/>
      <c r="AK300" s="1511"/>
      <c r="AL300" s="1511"/>
      <c r="AM300" s="1511"/>
      <c r="AN300" s="1511"/>
      <c r="AO300" s="1511"/>
      <c r="AP300" s="1511"/>
      <c r="AQ300" s="1511"/>
      <c r="AR300" s="1511"/>
      <c r="AS300" s="1511"/>
      <c r="AT300" s="1511"/>
      <c r="AU300" s="1511"/>
      <c r="AV300" s="1511"/>
      <c r="AW300" s="1511"/>
      <c r="AX300" s="1511"/>
      <c r="AY300" s="1511"/>
      <c r="AZ300" s="1511"/>
      <c r="BA300" s="1511"/>
      <c r="BB300" s="1511"/>
      <c r="BC300" s="1511"/>
      <c r="BD300" s="1511"/>
      <c r="BE300" s="1511"/>
      <c r="BF300" s="1511"/>
      <c r="BG300" s="1511"/>
      <c r="BH300" s="1511"/>
      <c r="BI300" s="1511"/>
      <c r="BJ300" s="1511"/>
    </row>
    <row r="301" spans="1:62" ht="15.75">
      <c r="A301" s="1511"/>
      <c r="B301" s="1532"/>
      <c r="C301" s="1533" t="s">
        <v>313</v>
      </c>
      <c r="D301" s="1533" t="s">
        <v>797</v>
      </c>
      <c r="E301" s="1533" t="s">
        <v>47</v>
      </c>
      <c r="F301" s="1540">
        <v>30919</v>
      </c>
      <c r="G301" s="1533" t="s">
        <v>67</v>
      </c>
      <c r="H301" s="1537">
        <v>141494</v>
      </c>
      <c r="I301" s="1533" t="s">
        <v>140</v>
      </c>
      <c r="J301" s="1569">
        <f>F301*H301/1000000</f>
        <v>4374.8529859999999</v>
      </c>
      <c r="K301" s="1571">
        <v>349</v>
      </c>
      <c r="L301" s="1592">
        <v>1.7000000000000001E-2</v>
      </c>
      <c r="M301" s="1607">
        <v>0</v>
      </c>
      <c r="N301" s="1511"/>
      <c r="O301" s="1516" t="s">
        <v>1208</v>
      </c>
      <c r="P301" s="1511">
        <v>22600</v>
      </c>
      <c r="Q301" s="1511"/>
      <c r="R301" s="1511"/>
      <c r="S301" s="1511"/>
      <c r="T301" s="1511"/>
      <c r="U301" s="1511"/>
      <c r="V301" s="1511"/>
      <c r="W301" s="1511"/>
      <c r="X301" s="1511"/>
      <c r="Y301" s="1511"/>
      <c r="Z301" s="1511"/>
      <c r="AA301" s="1511"/>
      <c r="AB301" s="1511"/>
      <c r="AC301" s="1511"/>
      <c r="AD301" s="1511"/>
      <c r="AE301" s="1511"/>
      <c r="AF301" s="1511"/>
      <c r="AG301" s="1511"/>
      <c r="AH301" s="1511"/>
      <c r="AI301" s="1511"/>
      <c r="AJ301" s="1511"/>
      <c r="AK301" s="1511"/>
      <c r="AL301" s="1511"/>
      <c r="AM301" s="1511"/>
      <c r="AN301" s="1511"/>
      <c r="AO301" s="1511"/>
      <c r="AP301" s="1511"/>
      <c r="AQ301" s="1511"/>
      <c r="AR301" s="1511"/>
      <c r="AS301" s="1511"/>
      <c r="AT301" s="1511"/>
      <c r="AU301" s="1511"/>
      <c r="AV301" s="1511"/>
      <c r="AW301" s="1511"/>
      <c r="AX301" s="1511"/>
      <c r="AY301" s="1511"/>
      <c r="AZ301" s="1511"/>
      <c r="BA301" s="1511"/>
      <c r="BB301" s="1511"/>
      <c r="BC301" s="1511"/>
      <c r="BD301" s="1511"/>
      <c r="BE301" s="1511"/>
      <c r="BF301" s="1511"/>
      <c r="BG301" s="1511"/>
      <c r="BH301" s="1511"/>
      <c r="BI301" s="1511"/>
      <c r="BJ301" s="1511"/>
    </row>
    <row r="302" spans="1:62" ht="15.75">
      <c r="A302" s="1511"/>
      <c r="B302" s="1532"/>
      <c r="C302" s="1533" t="s">
        <v>314</v>
      </c>
      <c r="D302" s="1533" t="s">
        <v>1140</v>
      </c>
      <c r="E302" s="1533" t="s">
        <v>47</v>
      </c>
      <c r="F302" s="1540">
        <v>28591</v>
      </c>
      <c r="G302" s="1533" t="s">
        <v>67</v>
      </c>
      <c r="H302" s="1537">
        <v>141494</v>
      </c>
      <c r="I302" s="1533" t="s">
        <v>140</v>
      </c>
      <c r="J302" s="1569">
        <f>F302*H302/1000000</f>
        <v>4045.4549539999998</v>
      </c>
      <c r="K302" s="1571">
        <v>323</v>
      </c>
      <c r="L302" s="1592">
        <v>1.6E-2</v>
      </c>
      <c r="M302" s="1607">
        <v>0</v>
      </c>
      <c r="N302" s="1511"/>
      <c r="O302" s="1524" t="s">
        <v>1209</v>
      </c>
      <c r="P302" s="1525">
        <v>1.1100000000000001</v>
      </c>
      <c r="Q302" s="1511"/>
      <c r="R302" s="1511"/>
      <c r="S302" s="1511"/>
      <c r="T302" s="1511"/>
      <c r="U302" s="1511"/>
      <c r="V302" s="1511"/>
      <c r="W302" s="1511"/>
      <c r="X302" s="1511"/>
      <c r="Y302" s="1511"/>
      <c r="Z302" s="1511"/>
      <c r="AA302" s="1511"/>
      <c r="AB302" s="1511"/>
      <c r="AC302" s="1511"/>
      <c r="AD302" s="1511"/>
      <c r="AE302" s="1511"/>
      <c r="AF302" s="1511"/>
      <c r="AG302" s="1511"/>
      <c r="AH302" s="1511"/>
      <c r="AI302" s="1511"/>
      <c r="AJ302" s="1511"/>
      <c r="AK302" s="1511"/>
      <c r="AL302" s="1511"/>
      <c r="AM302" s="1511"/>
      <c r="AN302" s="1511"/>
      <c r="AO302" s="1511"/>
      <c r="AP302" s="1511"/>
      <c r="AQ302" s="1511"/>
      <c r="AR302" s="1511"/>
      <c r="AS302" s="1511"/>
      <c r="AT302" s="1511"/>
      <c r="AU302" s="1511"/>
      <c r="AV302" s="1511"/>
      <c r="AW302" s="1511"/>
      <c r="AX302" s="1511"/>
      <c r="AY302" s="1511"/>
      <c r="AZ302" s="1511"/>
      <c r="BA302" s="1511"/>
      <c r="BB302" s="1511"/>
      <c r="BC302" s="1511"/>
      <c r="BD302" s="1511"/>
      <c r="BE302" s="1511"/>
      <c r="BF302" s="1511"/>
      <c r="BG302" s="1511"/>
      <c r="BH302" s="1511"/>
      <c r="BI302" s="1511"/>
      <c r="BJ302" s="1511"/>
    </row>
    <row r="303" spans="1:62" ht="16.5" thickBot="1">
      <c r="A303" s="1511"/>
      <c r="B303" s="1532"/>
      <c r="C303" s="1533" t="s">
        <v>315</v>
      </c>
      <c r="D303" s="1533" t="s">
        <v>1157</v>
      </c>
      <c r="E303" s="1533" t="s">
        <v>47</v>
      </c>
      <c r="F303" s="1540">
        <v>24896</v>
      </c>
      <c r="G303" s="1533" t="s">
        <v>67</v>
      </c>
      <c r="H303" s="1537">
        <v>141494</v>
      </c>
      <c r="I303" s="1533" t="s">
        <v>140</v>
      </c>
      <c r="J303" s="1569">
        <f>F303*H303/1000000</f>
        <v>3522.6346239999998</v>
      </c>
      <c r="K303" s="1571">
        <v>281</v>
      </c>
      <c r="L303" s="1592">
        <v>1.4E-2</v>
      </c>
      <c r="M303" s="1607">
        <v>0</v>
      </c>
      <c r="N303" s="1511"/>
      <c r="O303" s="1517" t="s">
        <v>1201</v>
      </c>
      <c r="P303" s="1538" t="s">
        <v>1173</v>
      </c>
      <c r="Q303" s="1511"/>
      <c r="R303" s="1511"/>
      <c r="S303" s="1511"/>
      <c r="T303" s="1511"/>
      <c r="U303" s="1511"/>
      <c r="V303" s="1511"/>
      <c r="W303" s="1511"/>
      <c r="X303" s="1511"/>
      <c r="Y303" s="1511"/>
      <c r="Z303" s="1511"/>
      <c r="AA303" s="1511"/>
      <c r="AB303" s="1511"/>
      <c r="AC303" s="1511"/>
      <c r="AD303" s="1511"/>
      <c r="AE303" s="1511"/>
      <c r="AF303" s="1511"/>
      <c r="AG303" s="1511"/>
      <c r="AH303" s="1511"/>
      <c r="AI303" s="1511"/>
      <c r="AJ303" s="1511"/>
      <c r="AK303" s="1511"/>
      <c r="AL303" s="1511"/>
      <c r="AM303" s="1511"/>
      <c r="AN303" s="1511"/>
      <c r="AO303" s="1511"/>
      <c r="AP303" s="1511"/>
      <c r="AQ303" s="1511"/>
      <c r="AR303" s="1511"/>
      <c r="AS303" s="1511"/>
      <c r="AT303" s="1511"/>
      <c r="AU303" s="1511"/>
      <c r="AV303" s="1511"/>
      <c r="AW303" s="1511"/>
      <c r="AX303" s="1511"/>
      <c r="AY303" s="1511"/>
      <c r="AZ303" s="1511"/>
      <c r="BA303" s="1511"/>
      <c r="BB303" s="1511"/>
      <c r="BC303" s="1511"/>
      <c r="BD303" s="1511"/>
      <c r="BE303" s="1511"/>
      <c r="BF303" s="1511"/>
      <c r="BG303" s="1511"/>
      <c r="BH303" s="1511"/>
      <c r="BI303" s="1511"/>
      <c r="BJ303" s="1511"/>
    </row>
    <row r="304" spans="1:62">
      <c r="A304" s="1511"/>
      <c r="B304" s="1532"/>
      <c r="C304" s="1533" t="s">
        <v>316</v>
      </c>
      <c r="D304" s="1533" t="s">
        <v>20</v>
      </c>
      <c r="E304" s="1533" t="s">
        <v>47</v>
      </c>
      <c r="F304" s="1540">
        <v>29876</v>
      </c>
      <c r="G304" s="1533" t="s">
        <v>67</v>
      </c>
      <c r="H304" s="1537">
        <v>141494</v>
      </c>
      <c r="I304" s="1533" t="s">
        <v>140</v>
      </c>
      <c r="J304" s="1569">
        <f>F304*H304/1000000</f>
        <v>4227.2747440000003</v>
      </c>
      <c r="K304" s="1571">
        <v>338</v>
      </c>
      <c r="L304" s="1592">
        <v>1.7000000000000001E-2</v>
      </c>
      <c r="M304" s="1607">
        <v>0</v>
      </c>
      <c r="N304" s="1511"/>
      <c r="O304" s="1511"/>
      <c r="P304" s="1511"/>
      <c r="Q304" s="1511"/>
      <c r="R304" s="1511"/>
      <c r="S304" s="1511"/>
      <c r="T304" s="1511"/>
      <c r="U304" s="1511"/>
      <c r="V304" s="1511"/>
      <c r="W304" s="1511"/>
      <c r="X304" s="1511"/>
      <c r="Y304" s="1511"/>
      <c r="Z304" s="1511"/>
      <c r="AA304" s="1511"/>
      <c r="AB304" s="1511"/>
      <c r="AC304" s="1511"/>
      <c r="AD304" s="1511"/>
      <c r="AE304" s="1511"/>
      <c r="AF304" s="1511"/>
      <c r="AG304" s="1511"/>
      <c r="AH304" s="1511"/>
      <c r="AI304" s="1511"/>
      <c r="AJ304" s="1511"/>
      <c r="AK304" s="1511"/>
      <c r="AL304" s="1511"/>
      <c r="AM304" s="1511"/>
      <c r="AN304" s="1511"/>
      <c r="AO304" s="1511"/>
      <c r="AP304" s="1511"/>
      <c r="AQ304" s="1511"/>
      <c r="AR304" s="1511"/>
      <c r="AS304" s="1511"/>
      <c r="AT304" s="1511"/>
      <c r="AU304" s="1511"/>
      <c r="AV304" s="1511"/>
      <c r="AW304" s="1511"/>
      <c r="AX304" s="1511"/>
      <c r="AY304" s="1511"/>
      <c r="AZ304" s="1511"/>
      <c r="BA304" s="1511"/>
      <c r="BB304" s="1511"/>
      <c r="BC304" s="1511"/>
      <c r="BD304" s="1511"/>
      <c r="BE304" s="1511"/>
      <c r="BF304" s="1511"/>
      <c r="BG304" s="1511"/>
      <c r="BH304" s="1511"/>
      <c r="BI304" s="1511"/>
      <c r="BJ304" s="1511"/>
    </row>
    <row r="305" spans="1:62" ht="13.5" thickBot="1">
      <c r="A305" s="1511"/>
      <c r="B305" s="1532"/>
      <c r="C305" s="1533"/>
      <c r="D305" s="1533"/>
      <c r="E305" s="1533"/>
      <c r="F305" s="1533"/>
      <c r="G305" s="1533"/>
      <c r="H305" s="1533"/>
      <c r="I305" s="1533"/>
      <c r="J305" s="1533"/>
      <c r="K305" s="1533"/>
      <c r="L305" s="1533"/>
      <c r="M305" s="1541"/>
      <c r="N305" s="1511"/>
      <c r="O305" s="1539">
        <f>J302*P301*0.0005</f>
        <v>45713.640980199998</v>
      </c>
      <c r="P305" s="1511"/>
      <c r="Q305" s="1511"/>
      <c r="R305" s="1511"/>
      <c r="S305" s="1511"/>
      <c r="T305" s="1511"/>
      <c r="U305" s="1511"/>
      <c r="V305" s="1511"/>
      <c r="W305" s="1511"/>
      <c r="X305" s="1511"/>
      <c r="Y305" s="1511"/>
      <c r="Z305" s="1511"/>
      <c r="AA305" s="1511"/>
      <c r="AB305" s="1511"/>
      <c r="AC305" s="1511"/>
      <c r="AD305" s="1511"/>
      <c r="AE305" s="1511"/>
      <c r="AF305" s="1511"/>
      <c r="AG305" s="1511"/>
      <c r="AH305" s="1511"/>
      <c r="AI305" s="1511"/>
      <c r="AJ305" s="1511"/>
      <c r="AK305" s="1511"/>
      <c r="AL305" s="1511"/>
      <c r="AM305" s="1511"/>
      <c r="AN305" s="1511"/>
      <c r="AO305" s="1511"/>
      <c r="AP305" s="1511"/>
      <c r="AQ305" s="1511"/>
      <c r="AR305" s="1511"/>
      <c r="AS305" s="1511"/>
      <c r="AT305" s="1511"/>
      <c r="AU305" s="1511"/>
      <c r="AV305" s="1511"/>
      <c r="AW305" s="1511"/>
      <c r="AX305" s="1511"/>
      <c r="AY305" s="1511"/>
      <c r="AZ305" s="1511"/>
      <c r="BA305" s="1511"/>
      <c r="BB305" s="1511"/>
      <c r="BC305" s="1511"/>
      <c r="BD305" s="1511"/>
      <c r="BE305" s="1511"/>
      <c r="BF305" s="1511"/>
      <c r="BG305" s="1511"/>
      <c r="BH305" s="1511"/>
      <c r="BI305" s="1511"/>
      <c r="BJ305" s="1511"/>
    </row>
    <row r="306" spans="1:62">
      <c r="A306" s="1511"/>
      <c r="B306" s="1576"/>
      <c r="C306" s="1530"/>
      <c r="D306" s="1530"/>
      <c r="E306" s="1530"/>
      <c r="F306" s="1530"/>
      <c r="G306" s="1530"/>
      <c r="H306" s="1530"/>
      <c r="I306" s="1530"/>
      <c r="J306" s="1530"/>
      <c r="K306" s="1530"/>
      <c r="L306" s="1530"/>
      <c r="M306" s="1578"/>
      <c r="N306" s="1511"/>
      <c r="O306" s="1511"/>
      <c r="P306" s="1539"/>
      <c r="Q306" s="1511"/>
      <c r="R306" s="1511"/>
      <c r="S306" s="1511"/>
      <c r="T306" s="1511"/>
      <c r="U306" s="1511"/>
      <c r="V306" s="1511"/>
      <c r="W306" s="1511"/>
      <c r="X306" s="1511"/>
      <c r="Y306" s="1511"/>
      <c r="Z306" s="1511"/>
      <c r="AA306" s="1511"/>
      <c r="AB306" s="1511"/>
      <c r="AC306" s="1511"/>
      <c r="AD306" s="1511"/>
      <c r="AE306" s="1511"/>
      <c r="AF306" s="1511"/>
      <c r="AG306" s="1511"/>
      <c r="AH306" s="1511"/>
      <c r="AI306" s="1511"/>
      <c r="AJ306" s="1511"/>
      <c r="AK306" s="1511"/>
      <c r="AL306" s="1511"/>
      <c r="AM306" s="1511"/>
      <c r="AN306" s="1511"/>
      <c r="AO306" s="1511"/>
      <c r="AP306" s="1511"/>
      <c r="AQ306" s="1511"/>
      <c r="AR306" s="1511"/>
      <c r="AS306" s="1511"/>
      <c r="AT306" s="1511"/>
      <c r="AU306" s="1511"/>
      <c r="AV306" s="1511"/>
      <c r="AW306" s="1511"/>
      <c r="AX306" s="1511"/>
      <c r="AY306" s="1511"/>
      <c r="AZ306" s="1511"/>
      <c r="BA306" s="1511"/>
      <c r="BB306" s="1511"/>
      <c r="BC306" s="1511"/>
      <c r="BD306" s="1511"/>
      <c r="BE306" s="1511"/>
      <c r="BF306" s="1511"/>
      <c r="BG306" s="1511"/>
      <c r="BH306" s="1511"/>
      <c r="BI306" s="1511"/>
      <c r="BJ306" s="1511"/>
    </row>
    <row r="307" spans="1:62">
      <c r="A307" s="1511"/>
      <c r="B307" s="1532"/>
      <c r="C307" s="1533"/>
      <c r="D307" s="1533"/>
      <c r="E307" s="1533"/>
      <c r="F307" s="1533"/>
      <c r="G307" s="1533"/>
      <c r="H307" s="1533"/>
      <c r="I307" s="1533"/>
      <c r="J307" s="1533"/>
      <c r="K307" s="1533"/>
      <c r="L307" s="1533"/>
      <c r="M307" s="1541"/>
      <c r="N307" s="1511"/>
      <c r="O307" s="1515" t="s">
        <v>1217</v>
      </c>
      <c r="P307" s="1511"/>
      <c r="Q307" s="1511"/>
      <c r="R307" s="1511"/>
      <c r="S307" s="1511"/>
      <c r="T307" s="1511"/>
      <c r="U307" s="1511"/>
      <c r="V307" s="1511"/>
      <c r="W307" s="1511"/>
      <c r="X307" s="1511"/>
      <c r="Y307" s="1511"/>
      <c r="Z307" s="1511"/>
      <c r="AA307" s="1511"/>
      <c r="AB307" s="1511"/>
      <c r="AC307" s="1511"/>
      <c r="AD307" s="1511"/>
      <c r="AE307" s="1511"/>
      <c r="AF307" s="1511"/>
      <c r="AG307" s="1511"/>
      <c r="AH307" s="1511"/>
      <c r="AI307" s="1511"/>
      <c r="AJ307" s="1511"/>
      <c r="AK307" s="1511"/>
      <c r="AL307" s="1511"/>
      <c r="AM307" s="1511"/>
      <c r="AN307" s="1511"/>
      <c r="AO307" s="1511"/>
      <c r="AP307" s="1511"/>
      <c r="AQ307" s="1511"/>
      <c r="AR307" s="1511"/>
      <c r="AS307" s="1511"/>
      <c r="AT307" s="1511"/>
      <c r="AU307" s="1511"/>
      <c r="AV307" s="1511"/>
      <c r="AW307" s="1511"/>
      <c r="AX307" s="1511"/>
      <c r="AY307" s="1511"/>
      <c r="AZ307" s="1511"/>
      <c r="BA307" s="1511"/>
      <c r="BB307" s="1511"/>
      <c r="BC307" s="1511"/>
      <c r="BD307" s="1511"/>
      <c r="BE307" s="1511"/>
      <c r="BF307" s="1511"/>
      <c r="BG307" s="1511"/>
      <c r="BH307" s="1511"/>
      <c r="BI307" s="1511"/>
      <c r="BJ307" s="1511"/>
    </row>
    <row r="308" spans="1:62">
      <c r="A308" s="1511"/>
      <c r="B308" s="1532" t="s">
        <v>317</v>
      </c>
      <c r="C308" s="169" t="s">
        <v>318</v>
      </c>
      <c r="D308" s="1533"/>
      <c r="E308" s="1533"/>
      <c r="F308" s="1533"/>
      <c r="G308" s="1533"/>
      <c r="H308" s="1533"/>
      <c r="I308" s="1533"/>
      <c r="J308" s="1533"/>
      <c r="K308" s="1533"/>
      <c r="L308" s="1533"/>
      <c r="M308" s="1541"/>
      <c r="N308" s="1511"/>
      <c r="O308" s="1511"/>
      <c r="P308" s="1511"/>
      <c r="Q308" s="1511"/>
      <c r="R308" s="1511"/>
      <c r="S308" s="1511"/>
      <c r="T308" s="1511"/>
      <c r="U308" s="1511"/>
      <c r="V308" s="1511"/>
      <c r="W308" s="1511"/>
      <c r="X308" s="1511"/>
      <c r="Y308" s="1511"/>
      <c r="Z308" s="1511"/>
      <c r="AA308" s="1511"/>
      <c r="AB308" s="1511"/>
      <c r="AC308" s="1511"/>
      <c r="AD308" s="1511"/>
      <c r="AE308" s="1511"/>
      <c r="AF308" s="1511"/>
      <c r="AG308" s="1511"/>
      <c r="AH308" s="1511"/>
      <c r="AI308" s="1511"/>
      <c r="AJ308" s="1511"/>
      <c r="AK308" s="1511"/>
      <c r="AL308" s="1511"/>
      <c r="AM308" s="1511"/>
      <c r="AN308" s="1511"/>
      <c r="AO308" s="1511"/>
      <c r="AP308" s="1511"/>
      <c r="AQ308" s="1511"/>
      <c r="AR308" s="1511"/>
      <c r="AS308" s="1511"/>
      <c r="AT308" s="1511"/>
      <c r="AU308" s="1511"/>
      <c r="AV308" s="1511"/>
      <c r="AW308" s="1511"/>
      <c r="AX308" s="1511"/>
      <c r="AY308" s="1511"/>
      <c r="AZ308" s="1511"/>
      <c r="BA308" s="1511"/>
      <c r="BB308" s="1511"/>
      <c r="BC308" s="1511"/>
      <c r="BD308" s="1511"/>
      <c r="BE308" s="1511"/>
      <c r="BF308" s="1511"/>
      <c r="BG308" s="1511"/>
      <c r="BH308" s="1511"/>
      <c r="BI308" s="1511"/>
      <c r="BJ308" s="1511"/>
    </row>
    <row r="309" spans="1:62" ht="15.75">
      <c r="A309" s="1511"/>
      <c r="B309" s="1532"/>
      <c r="C309" s="1533" t="s">
        <v>319</v>
      </c>
      <c r="D309" s="1533" t="s">
        <v>798</v>
      </c>
      <c r="E309" s="1533" t="s">
        <v>47</v>
      </c>
      <c r="F309" s="1540">
        <v>422</v>
      </c>
      <c r="G309" s="1533" t="s">
        <v>67</v>
      </c>
      <c r="H309" s="1537">
        <v>137030</v>
      </c>
      <c r="I309" s="1533" t="s">
        <v>140</v>
      </c>
      <c r="J309" s="1569">
        <f>F309*H309/1000000</f>
        <v>57.826659999999997</v>
      </c>
      <c r="K309" s="1772">
        <v>5</v>
      </c>
      <c r="L309" s="1591">
        <v>0</v>
      </c>
      <c r="M309" s="1591">
        <v>0</v>
      </c>
      <c r="N309" s="1511"/>
      <c r="O309" s="1511" t="s">
        <v>1221</v>
      </c>
      <c r="P309" s="1511"/>
      <c r="Q309" s="1511"/>
      <c r="R309" s="1511"/>
      <c r="S309" s="1511"/>
      <c r="T309" s="1511"/>
      <c r="U309" s="1511"/>
      <c r="V309" s="1511"/>
      <c r="W309" s="1511"/>
      <c r="X309" s="1511"/>
      <c r="Y309" s="1511"/>
      <c r="Z309" s="1511"/>
      <c r="AA309" s="1511"/>
      <c r="AB309" s="1511"/>
      <c r="AC309" s="1511"/>
      <c r="AD309" s="1511"/>
      <c r="AE309" s="1511"/>
      <c r="AF309" s="1511"/>
      <c r="AG309" s="1511"/>
      <c r="AH309" s="1511"/>
      <c r="AI309" s="1511"/>
      <c r="AJ309" s="1511"/>
      <c r="AK309" s="1511"/>
      <c r="AL309" s="1511"/>
      <c r="AM309" s="1511"/>
      <c r="AN309" s="1511"/>
      <c r="AO309" s="1511"/>
      <c r="AP309" s="1511"/>
      <c r="AQ309" s="1511"/>
      <c r="AR309" s="1511"/>
      <c r="AS309" s="1511"/>
      <c r="AT309" s="1511"/>
      <c r="AU309" s="1511"/>
      <c r="AV309" s="1511"/>
      <c r="AW309" s="1511"/>
      <c r="AX309" s="1511"/>
      <c r="AY309" s="1511"/>
      <c r="AZ309" s="1511"/>
      <c r="BA309" s="1511"/>
      <c r="BB309" s="1511"/>
      <c r="BC309" s="1511"/>
      <c r="BD309" s="1511"/>
      <c r="BE309" s="1511"/>
      <c r="BF309" s="1511"/>
      <c r="BG309" s="1511"/>
      <c r="BH309" s="1511"/>
      <c r="BI309" s="1511"/>
      <c r="BJ309" s="1511"/>
    </row>
    <row r="310" spans="1:62" ht="15.75">
      <c r="A310" s="1511"/>
      <c r="B310" s="1532"/>
      <c r="C310" s="1533" t="s">
        <v>1213</v>
      </c>
      <c r="D310" s="1533" t="s">
        <v>1214</v>
      </c>
      <c r="E310" s="1533" t="s">
        <v>47</v>
      </c>
      <c r="F310" s="1540">
        <v>622</v>
      </c>
      <c r="G310" s="1533" t="s">
        <v>67</v>
      </c>
      <c r="H310" s="1537">
        <v>137030</v>
      </c>
      <c r="I310" s="1533" t="s">
        <v>140</v>
      </c>
      <c r="J310" s="1569">
        <f t="shared" ref="J310:J316" si="5">F310*H310/1000000</f>
        <v>85.232659999999996</v>
      </c>
      <c r="K310" s="1772">
        <v>7</v>
      </c>
      <c r="L310" s="1591">
        <v>0</v>
      </c>
      <c r="M310" s="1591">
        <v>0</v>
      </c>
      <c r="N310" s="1511"/>
      <c r="O310" s="1511" t="s">
        <v>1222</v>
      </c>
      <c r="P310" s="1511"/>
      <c r="Q310" s="1511"/>
      <c r="R310" s="1511"/>
      <c r="S310" s="1511"/>
      <c r="T310" s="1511"/>
      <c r="U310" s="1511"/>
      <c r="V310" s="1511"/>
      <c r="W310" s="1511"/>
      <c r="X310" s="1511"/>
      <c r="Y310" s="1511"/>
      <c r="Z310" s="1511"/>
      <c r="AA310" s="1511"/>
      <c r="AB310" s="1511"/>
      <c r="AC310" s="1511"/>
      <c r="AD310" s="1511"/>
      <c r="AE310" s="1511"/>
      <c r="AF310" s="1511"/>
      <c r="AG310" s="1511"/>
      <c r="AH310" s="1511"/>
      <c r="AI310" s="1511"/>
      <c r="AJ310" s="1511"/>
      <c r="AK310" s="1511"/>
      <c r="AL310" s="1511"/>
      <c r="AM310" s="1511"/>
      <c r="AN310" s="1511"/>
      <c r="AO310" s="1511"/>
      <c r="AP310" s="1511"/>
      <c r="AQ310" s="1511"/>
      <c r="AR310" s="1511"/>
      <c r="AS310" s="1511"/>
      <c r="AT310" s="1511"/>
      <c r="AU310" s="1511"/>
      <c r="AV310" s="1511"/>
      <c r="AW310" s="1511"/>
      <c r="AX310" s="1511"/>
      <c r="AY310" s="1511"/>
      <c r="AZ310" s="1511"/>
      <c r="BA310" s="1511"/>
      <c r="BB310" s="1511"/>
      <c r="BC310" s="1511"/>
      <c r="BD310" s="1511"/>
      <c r="BE310" s="1511"/>
      <c r="BF310" s="1511"/>
      <c r="BG310" s="1511"/>
      <c r="BH310" s="1511"/>
      <c r="BI310" s="1511"/>
      <c r="BJ310" s="1511"/>
    </row>
    <row r="311" spans="1:62">
      <c r="A311" s="1511"/>
      <c r="B311" s="1532"/>
      <c r="C311" s="1533" t="s">
        <v>322</v>
      </c>
      <c r="D311" s="1533" t="s">
        <v>799</v>
      </c>
      <c r="E311" s="1533" t="s">
        <v>47</v>
      </c>
      <c r="F311" s="1540">
        <v>12264</v>
      </c>
      <c r="G311" s="1533" t="s">
        <v>67</v>
      </c>
      <c r="H311" s="1537">
        <v>138200</v>
      </c>
      <c r="I311" s="1533" t="s">
        <v>140</v>
      </c>
      <c r="J311" s="1569">
        <f t="shared" si="5"/>
        <v>1694.8848</v>
      </c>
      <c r="K311" s="1772">
        <v>140</v>
      </c>
      <c r="L311" s="1591">
        <v>0.01</v>
      </c>
      <c r="M311" s="1591">
        <v>0</v>
      </c>
      <c r="N311" s="1511"/>
      <c r="O311" s="1511"/>
      <c r="P311" s="1511"/>
      <c r="Q311" s="1511"/>
      <c r="R311" s="1511"/>
      <c r="S311" s="1511"/>
      <c r="T311" s="1511"/>
      <c r="U311" s="1511"/>
      <c r="V311" s="1511"/>
      <c r="W311" s="1511"/>
      <c r="X311" s="1511"/>
      <c r="Y311" s="1511"/>
      <c r="Z311" s="1511"/>
      <c r="AA311" s="1511"/>
      <c r="AB311" s="1511"/>
      <c r="AC311" s="1511"/>
      <c r="AD311" s="1511"/>
      <c r="AE311" s="1511"/>
      <c r="AF311" s="1511"/>
      <c r="AG311" s="1511"/>
      <c r="AH311" s="1511"/>
      <c r="AI311" s="1511"/>
      <c r="AJ311" s="1511"/>
      <c r="AK311" s="1511"/>
      <c r="AL311" s="1511"/>
      <c r="AM311" s="1511"/>
      <c r="AN311" s="1511"/>
      <c r="AO311" s="1511"/>
      <c r="AP311" s="1511"/>
      <c r="AQ311" s="1511"/>
      <c r="AR311" s="1511"/>
      <c r="AS311" s="1511"/>
      <c r="AT311" s="1511"/>
      <c r="AU311" s="1511"/>
      <c r="AV311" s="1511"/>
      <c r="AW311" s="1511"/>
      <c r="AX311" s="1511"/>
      <c r="AY311" s="1511"/>
      <c r="AZ311" s="1511"/>
      <c r="BA311" s="1511"/>
      <c r="BB311" s="1511"/>
      <c r="BC311" s="1511"/>
      <c r="BD311" s="1511"/>
      <c r="BE311" s="1511"/>
      <c r="BF311" s="1511"/>
      <c r="BG311" s="1511"/>
      <c r="BH311" s="1511"/>
      <c r="BI311" s="1511"/>
      <c r="BJ311" s="1511"/>
    </row>
    <row r="312" spans="1:62">
      <c r="A312" s="1511"/>
      <c r="B312" s="1532"/>
      <c r="C312" s="1533" t="s">
        <v>69</v>
      </c>
      <c r="D312" s="1533" t="s">
        <v>800</v>
      </c>
      <c r="E312" s="1533" t="s">
        <v>47</v>
      </c>
      <c r="F312" s="1540">
        <v>15360</v>
      </c>
      <c r="G312" s="1533" t="s">
        <v>67</v>
      </c>
      <c r="H312" s="1537">
        <v>138200</v>
      </c>
      <c r="I312" s="1533" t="s">
        <v>140</v>
      </c>
      <c r="J312" s="1569">
        <f t="shared" si="5"/>
        <v>2122.752</v>
      </c>
      <c r="K312" s="1772">
        <v>175</v>
      </c>
      <c r="L312" s="1591">
        <v>0.01</v>
      </c>
      <c r="M312" s="1591">
        <v>0</v>
      </c>
      <c r="N312" s="1511"/>
      <c r="O312" s="1511" t="s">
        <v>1218</v>
      </c>
      <c r="P312" s="1511"/>
      <c r="Q312" s="1511"/>
      <c r="R312" s="1511"/>
      <c r="S312" s="1511"/>
      <c r="T312" s="1511"/>
      <c r="U312" s="1511"/>
      <c r="V312" s="1511"/>
      <c r="W312" s="1511"/>
      <c r="X312" s="1511"/>
      <c r="Y312" s="1511"/>
      <c r="Z312" s="1511"/>
      <c r="AA312" s="1511"/>
      <c r="AB312" s="1511"/>
      <c r="AC312" s="1511"/>
      <c r="AD312" s="1511"/>
      <c r="AE312" s="1511"/>
      <c r="AF312" s="1511"/>
      <c r="AG312" s="1511"/>
      <c r="AH312" s="1511"/>
      <c r="AI312" s="1511"/>
      <c r="AJ312" s="1511"/>
      <c r="AK312" s="1511"/>
      <c r="AL312" s="1511"/>
      <c r="AM312" s="1511"/>
      <c r="AN312" s="1511"/>
      <c r="AO312" s="1511"/>
      <c r="AP312" s="1511"/>
      <c r="AQ312" s="1511"/>
      <c r="AR312" s="1511"/>
      <c r="AS312" s="1511"/>
      <c r="AT312" s="1511"/>
      <c r="AU312" s="1511"/>
      <c r="AV312" s="1511"/>
      <c r="AW312" s="1511"/>
      <c r="AX312" s="1511"/>
      <c r="AY312" s="1511"/>
      <c r="AZ312" s="1511"/>
      <c r="BA312" s="1511"/>
      <c r="BB312" s="1511"/>
      <c r="BC312" s="1511"/>
      <c r="BD312" s="1511"/>
      <c r="BE312" s="1511"/>
      <c r="BF312" s="1511"/>
      <c r="BG312" s="1511"/>
      <c r="BH312" s="1511"/>
      <c r="BI312" s="1511"/>
      <c r="BJ312" s="1511"/>
    </row>
    <row r="313" spans="1:62">
      <c r="A313" s="1511"/>
      <c r="B313" s="1532"/>
      <c r="C313" s="1533" t="s">
        <v>323</v>
      </c>
      <c r="D313" s="1533" t="s">
        <v>801</v>
      </c>
      <c r="E313" s="1533" t="s">
        <v>47</v>
      </c>
      <c r="F313" s="1540">
        <v>15672</v>
      </c>
      <c r="G313" s="1533" t="s">
        <v>67</v>
      </c>
      <c r="H313" s="1537">
        <v>138200</v>
      </c>
      <c r="I313" s="1533" t="s">
        <v>140</v>
      </c>
      <c r="J313" s="1569">
        <f t="shared" si="5"/>
        <v>2165.8703999999998</v>
      </c>
      <c r="K313" s="1772">
        <v>179</v>
      </c>
      <c r="L313" s="1591">
        <v>0.01</v>
      </c>
      <c r="M313" s="1591">
        <v>0</v>
      </c>
      <c r="N313" s="1511"/>
      <c r="O313" s="1511" t="s">
        <v>1219</v>
      </c>
      <c r="P313" s="1511"/>
      <c r="Q313" s="1511"/>
      <c r="R313" s="1511"/>
      <c r="S313" s="1511"/>
      <c r="T313" s="1511"/>
      <c r="U313" s="1511"/>
      <c r="V313" s="1511"/>
      <c r="W313" s="1511"/>
      <c r="X313" s="1511"/>
      <c r="Y313" s="1511"/>
      <c r="Z313" s="1511"/>
      <c r="AA313" s="1511"/>
      <c r="AB313" s="1511"/>
      <c r="AC313" s="1511"/>
      <c r="AD313" s="1511"/>
      <c r="AE313" s="1511"/>
      <c r="AF313" s="1511"/>
      <c r="AG313" s="1511"/>
      <c r="AH313" s="1511"/>
      <c r="AI313" s="1511"/>
      <c r="AJ313" s="1511"/>
      <c r="AK313" s="1511"/>
      <c r="AL313" s="1511"/>
      <c r="AM313" s="1511"/>
      <c r="AN313" s="1511"/>
      <c r="AO313" s="1511"/>
      <c r="AP313" s="1511"/>
      <c r="AQ313" s="1511"/>
      <c r="AR313" s="1511"/>
      <c r="AS313" s="1511"/>
      <c r="AT313" s="1511"/>
      <c r="AU313" s="1511"/>
      <c r="AV313" s="1511"/>
      <c r="AW313" s="1511"/>
      <c r="AX313" s="1511"/>
      <c r="AY313" s="1511"/>
      <c r="AZ313" s="1511"/>
      <c r="BA313" s="1511"/>
      <c r="BB313" s="1511"/>
      <c r="BC313" s="1511"/>
      <c r="BD313" s="1511"/>
      <c r="BE313" s="1511"/>
      <c r="BF313" s="1511"/>
      <c r="BG313" s="1511"/>
      <c r="BH313" s="1511"/>
      <c r="BI313" s="1511"/>
      <c r="BJ313" s="1511"/>
    </row>
    <row r="314" spans="1:62">
      <c r="A314" s="1511"/>
      <c r="B314" s="1532"/>
      <c r="C314" s="1533" t="s">
        <v>1216</v>
      </c>
      <c r="D314" s="1533" t="s">
        <v>802</v>
      </c>
      <c r="E314" s="1533" t="s">
        <v>47</v>
      </c>
      <c r="F314" s="1540">
        <v>33156</v>
      </c>
      <c r="G314" s="1533" t="s">
        <v>67</v>
      </c>
      <c r="H314" s="1537">
        <v>139400</v>
      </c>
      <c r="I314" s="1533" t="s">
        <v>140</v>
      </c>
      <c r="J314" s="1569">
        <f t="shared" si="5"/>
        <v>4621.9463999999998</v>
      </c>
      <c r="K314" s="1772">
        <v>381</v>
      </c>
      <c r="L314" s="1591">
        <v>0.02</v>
      </c>
      <c r="M314" s="1591">
        <v>0</v>
      </c>
      <c r="N314" s="1511"/>
      <c r="O314" s="1511"/>
      <c r="P314" s="1511"/>
      <c r="Q314" s="1511"/>
      <c r="R314" s="1511"/>
      <c r="S314" s="1511"/>
      <c r="T314" s="1511"/>
      <c r="U314" s="1511"/>
      <c r="V314" s="1511"/>
      <c r="W314" s="1511"/>
      <c r="X314" s="1511"/>
      <c r="Y314" s="1511"/>
      <c r="Z314" s="1511"/>
      <c r="AA314" s="1511"/>
      <c r="AB314" s="1511"/>
      <c r="AC314" s="1511"/>
      <c r="AD314" s="1511"/>
      <c r="AE314" s="1511"/>
      <c r="AF314" s="1511"/>
      <c r="AG314" s="1511"/>
      <c r="AH314" s="1511"/>
      <c r="AI314" s="1511"/>
      <c r="AJ314" s="1511"/>
      <c r="AK314" s="1511"/>
      <c r="AL314" s="1511"/>
      <c r="AM314" s="1511"/>
      <c r="AN314" s="1511"/>
      <c r="AO314" s="1511"/>
      <c r="AP314" s="1511"/>
      <c r="AQ314" s="1511"/>
      <c r="AR314" s="1511"/>
      <c r="AS314" s="1511"/>
      <c r="AT314" s="1511"/>
      <c r="AU314" s="1511"/>
      <c r="AV314" s="1511"/>
      <c r="AW314" s="1511"/>
      <c r="AX314" s="1511"/>
      <c r="AY314" s="1511"/>
      <c r="AZ314" s="1511"/>
      <c r="BA314" s="1511"/>
      <c r="BB314" s="1511"/>
      <c r="BC314" s="1511"/>
      <c r="BD314" s="1511"/>
      <c r="BE314" s="1511"/>
      <c r="BF314" s="1511"/>
      <c r="BG314" s="1511"/>
      <c r="BH314" s="1511"/>
      <c r="BI314" s="1511"/>
      <c r="BJ314" s="1511"/>
    </row>
    <row r="315" spans="1:62" ht="15.75">
      <c r="A315" s="1511"/>
      <c r="B315" s="1532"/>
      <c r="C315" s="1533" t="s">
        <v>1215</v>
      </c>
      <c r="D315" s="1533" t="s">
        <v>803</v>
      </c>
      <c r="E315" s="1533" t="s">
        <v>47</v>
      </c>
      <c r="F315" s="1540">
        <v>9396</v>
      </c>
      <c r="G315" s="1533" t="s">
        <v>67</v>
      </c>
      <c r="H315" s="1537">
        <v>138600</v>
      </c>
      <c r="I315" s="1533" t="s">
        <v>140</v>
      </c>
      <c r="J315" s="1569">
        <f t="shared" si="5"/>
        <v>1302.2855999999999</v>
      </c>
      <c r="K315" s="1772">
        <v>107</v>
      </c>
      <c r="L315" s="1591">
        <v>0.01</v>
      </c>
      <c r="M315" s="1591">
        <v>0</v>
      </c>
      <c r="N315" s="1511"/>
      <c r="O315" s="1511" t="s">
        <v>1220</v>
      </c>
      <c r="P315" s="1511"/>
      <c r="Q315" s="1511"/>
      <c r="R315" s="1511"/>
      <c r="S315" s="1511"/>
      <c r="T315" s="1511"/>
      <c r="U315" s="1511"/>
      <c r="V315" s="1511"/>
      <c r="W315" s="1511"/>
      <c r="X315" s="1511"/>
      <c r="Y315" s="1511"/>
      <c r="Z315" s="1511"/>
      <c r="AA315" s="1511"/>
      <c r="AB315" s="1511"/>
      <c r="AC315" s="1511"/>
      <c r="AD315" s="1511"/>
      <c r="AE315" s="1511"/>
      <c r="AF315" s="1511"/>
      <c r="AG315" s="1511"/>
      <c r="AH315" s="1511"/>
      <c r="AI315" s="1511"/>
      <c r="AJ315" s="1511"/>
      <c r="AK315" s="1511"/>
      <c r="AL315" s="1511"/>
      <c r="AM315" s="1511"/>
      <c r="AN315" s="1511"/>
      <c r="AO315" s="1511"/>
      <c r="AP315" s="1511"/>
      <c r="AQ315" s="1511"/>
      <c r="AR315" s="1511"/>
      <c r="AS315" s="1511"/>
      <c r="AT315" s="1511"/>
      <c r="AU315" s="1511"/>
      <c r="AV315" s="1511"/>
      <c r="AW315" s="1511"/>
      <c r="AX315" s="1511"/>
      <c r="AY315" s="1511"/>
      <c r="AZ315" s="1511"/>
      <c r="BA315" s="1511"/>
      <c r="BB315" s="1511"/>
      <c r="BC315" s="1511"/>
      <c r="BD315" s="1511"/>
      <c r="BE315" s="1511"/>
      <c r="BF315" s="1511"/>
      <c r="BG315" s="1511"/>
      <c r="BH315" s="1511"/>
      <c r="BI315" s="1511"/>
      <c r="BJ315" s="1511"/>
    </row>
    <row r="316" spans="1:62">
      <c r="A316" s="1511"/>
      <c r="B316" s="1532"/>
      <c r="C316" s="1533" t="s">
        <v>324</v>
      </c>
      <c r="D316" s="1533" t="s">
        <v>804</v>
      </c>
      <c r="E316" s="1533" t="s">
        <v>47</v>
      </c>
      <c r="F316" s="1540">
        <v>510</v>
      </c>
      <c r="G316" s="1533" t="s">
        <v>67</v>
      </c>
      <c r="H316" s="1537">
        <v>138500</v>
      </c>
      <c r="I316" s="1533" t="s">
        <v>140</v>
      </c>
      <c r="J316" s="1569">
        <f t="shared" si="5"/>
        <v>70.635000000000005</v>
      </c>
      <c r="K316" s="1772">
        <v>6</v>
      </c>
      <c r="L316" s="1591">
        <v>0</v>
      </c>
      <c r="M316" s="1591">
        <v>0</v>
      </c>
      <c r="N316" s="1511"/>
      <c r="O316" s="1511"/>
      <c r="P316" s="1511"/>
      <c r="Q316" s="1511"/>
      <c r="R316" s="1511"/>
      <c r="S316" s="1511"/>
      <c r="T316" s="1511"/>
      <c r="U316" s="1511"/>
      <c r="V316" s="1511"/>
      <c r="W316" s="1511"/>
      <c r="X316" s="1511"/>
      <c r="Y316" s="1511"/>
      <c r="Z316" s="1511"/>
      <c r="AA316" s="1511"/>
      <c r="AB316" s="1511"/>
      <c r="AC316" s="1511"/>
      <c r="AD316" s="1511"/>
      <c r="AE316" s="1511"/>
      <c r="AF316" s="1511"/>
      <c r="AG316" s="1511"/>
      <c r="AH316" s="1511"/>
      <c r="AI316" s="1511"/>
      <c r="AJ316" s="1511"/>
      <c r="AK316" s="1511"/>
      <c r="AL316" s="1511"/>
      <c r="AM316" s="1511"/>
      <c r="AN316" s="1511"/>
      <c r="AO316" s="1511"/>
      <c r="AP316" s="1511"/>
      <c r="AQ316" s="1511"/>
      <c r="AR316" s="1511"/>
      <c r="AS316" s="1511"/>
      <c r="AT316" s="1511"/>
      <c r="AU316" s="1511"/>
      <c r="AV316" s="1511"/>
      <c r="AW316" s="1511"/>
      <c r="AX316" s="1511"/>
      <c r="AY316" s="1511"/>
      <c r="AZ316" s="1511"/>
      <c r="BA316" s="1511"/>
      <c r="BB316" s="1511"/>
      <c r="BC316" s="1511"/>
      <c r="BD316" s="1511"/>
      <c r="BE316" s="1511"/>
      <c r="BF316" s="1511"/>
      <c r="BG316" s="1511"/>
      <c r="BH316" s="1511"/>
      <c r="BI316" s="1511"/>
      <c r="BJ316" s="1511"/>
    </row>
    <row r="317" spans="1:62" ht="13.5" thickBot="1">
      <c r="A317" s="1511"/>
      <c r="B317" s="1532"/>
      <c r="C317" s="1533"/>
      <c r="D317" s="1533"/>
      <c r="E317" s="1533"/>
      <c r="F317" s="1533"/>
      <c r="G317" s="1533"/>
      <c r="H317" s="1533"/>
      <c r="I317" s="1533"/>
      <c r="J317" s="1537"/>
      <c r="K317" s="1533"/>
      <c r="L317" s="1533"/>
      <c r="M317" s="1541"/>
      <c r="N317" s="1511"/>
      <c r="O317" s="1511"/>
      <c r="P317" s="1511"/>
      <c r="Q317" s="1511"/>
      <c r="R317" s="1511"/>
      <c r="S317" s="1511"/>
      <c r="T317" s="1511"/>
      <c r="U317" s="1511"/>
      <c r="V317" s="1511"/>
      <c r="W317" s="1511"/>
      <c r="X317" s="1511"/>
      <c r="Y317" s="1511"/>
      <c r="Z317" s="1511"/>
      <c r="AA317" s="1511"/>
      <c r="AB317" s="1511"/>
      <c r="AC317" s="1511"/>
      <c r="AD317" s="1511"/>
      <c r="AE317" s="1511"/>
      <c r="AF317" s="1511"/>
      <c r="AG317" s="1511"/>
      <c r="AH317" s="1511"/>
      <c r="AI317" s="1511"/>
      <c r="AJ317" s="1511"/>
      <c r="AK317" s="1511"/>
      <c r="AL317" s="1511"/>
      <c r="AM317" s="1511"/>
      <c r="AN317" s="1511"/>
      <c r="AO317" s="1511"/>
      <c r="AP317" s="1511"/>
      <c r="AQ317" s="1511"/>
      <c r="AR317" s="1511"/>
      <c r="AS317" s="1511"/>
      <c r="AT317" s="1511"/>
      <c r="AU317" s="1511"/>
      <c r="AV317" s="1511"/>
      <c r="AW317" s="1511"/>
      <c r="AX317" s="1511"/>
      <c r="AY317" s="1511"/>
      <c r="AZ317" s="1511"/>
      <c r="BA317" s="1511"/>
      <c r="BB317" s="1511"/>
      <c r="BC317" s="1511"/>
      <c r="BD317" s="1511"/>
      <c r="BE317" s="1511"/>
      <c r="BF317" s="1511"/>
      <c r="BG317" s="1511"/>
      <c r="BH317" s="1511"/>
      <c r="BI317" s="1511"/>
      <c r="BJ317" s="1511"/>
    </row>
    <row r="318" spans="1:62">
      <c r="A318" s="1511"/>
      <c r="B318" s="1576"/>
      <c r="C318" s="1530"/>
      <c r="D318" s="1530"/>
      <c r="E318" s="1530"/>
      <c r="F318" s="1530"/>
      <c r="G318" s="1530"/>
      <c r="H318" s="1530"/>
      <c r="I318" s="1530"/>
      <c r="J318" s="1530"/>
      <c r="K318" s="1530"/>
      <c r="L318" s="1530"/>
      <c r="M318" s="1578"/>
      <c r="N318" s="1511"/>
      <c r="O318" s="1511"/>
      <c r="P318" s="1511"/>
      <c r="Q318" s="1511"/>
      <c r="R318" s="1511"/>
      <c r="S318" s="1511"/>
      <c r="T318" s="1511"/>
      <c r="U318" s="1511"/>
      <c r="V318" s="1511"/>
      <c r="W318" s="1511"/>
      <c r="X318" s="1511"/>
      <c r="Y318" s="1511"/>
      <c r="Z318" s="1511"/>
      <c r="AA318" s="1511"/>
      <c r="AB318" s="1511"/>
      <c r="AC318" s="1511"/>
      <c r="AD318" s="1511"/>
      <c r="AE318" s="1511"/>
      <c r="AF318" s="1511"/>
      <c r="AG318" s="1511"/>
      <c r="AH318" s="1511"/>
      <c r="AI318" s="1511"/>
      <c r="AJ318" s="1511"/>
      <c r="AK318" s="1511"/>
      <c r="AL318" s="1511"/>
      <c r="AM318" s="1511"/>
      <c r="AN318" s="1511"/>
      <c r="AO318" s="1511"/>
      <c r="AP318" s="1511"/>
      <c r="AQ318" s="1511"/>
      <c r="AR318" s="1511"/>
      <c r="AS318" s="1511"/>
      <c r="AT318" s="1511"/>
      <c r="AU318" s="1511"/>
      <c r="AV318" s="1511"/>
      <c r="AW318" s="1511"/>
      <c r="AX318" s="1511"/>
      <c r="AY318" s="1511"/>
      <c r="AZ318" s="1511"/>
      <c r="BA318" s="1511"/>
      <c r="BB318" s="1511"/>
      <c r="BC318" s="1511"/>
      <c r="BD318" s="1511"/>
      <c r="BE318" s="1511"/>
      <c r="BF318" s="1511"/>
      <c r="BG318" s="1511"/>
      <c r="BH318" s="1511"/>
      <c r="BI318" s="1511"/>
      <c r="BJ318" s="1511"/>
    </row>
    <row r="319" spans="1:62">
      <c r="A319" s="1511"/>
      <c r="B319" s="1532" t="s">
        <v>1257</v>
      </c>
      <c r="C319" s="169" t="s">
        <v>1258</v>
      </c>
      <c r="D319" s="1533"/>
      <c r="E319" s="1533"/>
      <c r="F319" s="1533"/>
      <c r="G319" s="1533"/>
      <c r="H319" s="1533"/>
      <c r="I319" s="1533"/>
      <c r="J319" s="1533"/>
      <c r="K319" s="1533"/>
      <c r="L319" s="1533"/>
      <c r="M319" s="1541"/>
      <c r="N319" s="1511"/>
      <c r="O319" s="1511"/>
      <c r="P319" s="1511"/>
      <c r="Q319" s="1511"/>
      <c r="R319" s="1511"/>
      <c r="S319" s="1511"/>
      <c r="T319" s="1511"/>
      <c r="U319" s="1511"/>
      <c r="V319" s="1511"/>
      <c r="W319" s="1511"/>
      <c r="X319" s="1511"/>
      <c r="Y319" s="1511"/>
      <c r="Z319" s="1511"/>
      <c r="AA319" s="1511"/>
      <c r="AB319" s="1511"/>
      <c r="AC319" s="1511"/>
      <c r="AD319" s="1511"/>
      <c r="AE319" s="1511"/>
      <c r="AF319" s="1511"/>
      <c r="AG319" s="1511"/>
      <c r="AH319" s="1511"/>
      <c r="AI319" s="1511"/>
      <c r="AJ319" s="1511"/>
      <c r="AK319" s="1511"/>
      <c r="AL319" s="1511"/>
      <c r="AM319" s="1511"/>
      <c r="AN319" s="1511"/>
      <c r="AO319" s="1511"/>
      <c r="AP319" s="1511"/>
      <c r="AQ319" s="1511"/>
      <c r="AR319" s="1511"/>
      <c r="AS319" s="1511"/>
      <c r="AT319" s="1511"/>
      <c r="AU319" s="1511"/>
      <c r="AV319" s="1511"/>
      <c r="AW319" s="1511"/>
      <c r="AX319" s="1511"/>
      <c r="AY319" s="1511"/>
      <c r="AZ319" s="1511"/>
      <c r="BA319" s="1511"/>
      <c r="BB319" s="1511"/>
      <c r="BC319" s="1511"/>
      <c r="BD319" s="1511"/>
      <c r="BE319" s="1511"/>
      <c r="BF319" s="1511"/>
      <c r="BG319" s="1511"/>
      <c r="BH319" s="1511"/>
      <c r="BI319" s="1511"/>
      <c r="BJ319" s="1511"/>
    </row>
    <row r="320" spans="1:62">
      <c r="A320" s="1511"/>
      <c r="B320" s="1532"/>
      <c r="C320" s="1533" t="s">
        <v>1259</v>
      </c>
      <c r="D320" s="1533" t="s">
        <v>1264</v>
      </c>
      <c r="E320" s="1533" t="s">
        <v>66</v>
      </c>
      <c r="F320" s="1569">
        <v>1687.2</v>
      </c>
      <c r="G320" s="1533" t="s">
        <v>67</v>
      </c>
      <c r="H320" s="1537">
        <v>152802</v>
      </c>
      <c r="I320" s="1533" t="s">
        <v>140</v>
      </c>
      <c r="J320" s="1569">
        <f>F320*H320/1000000</f>
        <v>257.80753440000001</v>
      </c>
      <c r="K320" s="1991">
        <v>20</v>
      </c>
      <c r="L320" s="1991">
        <v>1.1999999999999999E-3</v>
      </c>
      <c r="M320" s="1992">
        <v>0</v>
      </c>
      <c r="N320" s="1511"/>
      <c r="O320" s="1511"/>
      <c r="P320" s="1511"/>
      <c r="Q320" s="1511"/>
      <c r="R320" s="1511"/>
      <c r="S320" s="1511"/>
      <c r="T320" s="1511"/>
      <c r="U320" s="1511"/>
      <c r="V320" s="1511"/>
      <c r="W320" s="1511"/>
      <c r="X320" s="1511"/>
      <c r="Y320" s="1511"/>
      <c r="Z320" s="1511"/>
      <c r="AA320" s="1511"/>
      <c r="AB320" s="1511"/>
      <c r="AC320" s="1511"/>
      <c r="AD320" s="1511"/>
      <c r="AE320" s="1511"/>
      <c r="AF320" s="1511"/>
      <c r="AG320" s="1511"/>
      <c r="AH320" s="1511"/>
      <c r="AI320" s="1511"/>
      <c r="AJ320" s="1511"/>
      <c r="AK320" s="1511"/>
      <c r="AL320" s="1511"/>
      <c r="AM320" s="1511"/>
      <c r="AN320" s="1511"/>
      <c r="AO320" s="1511"/>
      <c r="AP320" s="1511"/>
      <c r="AQ320" s="1511"/>
      <c r="AR320" s="1511"/>
      <c r="AS320" s="1511"/>
      <c r="AT320" s="1511"/>
      <c r="AU320" s="1511"/>
      <c r="AV320" s="1511"/>
      <c r="AW320" s="1511"/>
      <c r="AX320" s="1511"/>
      <c r="AY320" s="1511"/>
      <c r="AZ320" s="1511"/>
      <c r="BA320" s="1511"/>
      <c r="BB320" s="1511"/>
      <c r="BC320" s="1511"/>
      <c r="BD320" s="1511"/>
      <c r="BE320" s="1511"/>
      <c r="BF320" s="1511"/>
      <c r="BG320" s="1511"/>
      <c r="BH320" s="1511"/>
      <c r="BI320" s="1511"/>
      <c r="BJ320" s="1511"/>
    </row>
    <row r="321" spans="1:62">
      <c r="A321" s="1511"/>
      <c r="B321" s="1532"/>
      <c r="C321" s="1533" t="s">
        <v>1260</v>
      </c>
      <c r="D321" s="1533" t="s">
        <v>1265</v>
      </c>
      <c r="E321" s="1533" t="s">
        <v>66</v>
      </c>
      <c r="F321" s="1569">
        <v>1732.8</v>
      </c>
      <c r="G321" s="1533" t="s">
        <v>67</v>
      </c>
      <c r="H321" s="1537">
        <v>152802</v>
      </c>
      <c r="I321" s="1533" t="s">
        <v>140</v>
      </c>
      <c r="J321" s="1569">
        <f>F321*H321/1000000</f>
        <v>264.77530559999997</v>
      </c>
      <c r="K321" s="1991">
        <v>20</v>
      </c>
      <c r="L321" s="1991">
        <v>1.1999999999999999E-3</v>
      </c>
      <c r="M321" s="1992">
        <v>0</v>
      </c>
      <c r="N321" s="1511"/>
      <c r="O321" s="1511"/>
      <c r="P321" s="1511"/>
      <c r="Q321" s="1511"/>
      <c r="R321" s="1511"/>
      <c r="S321" s="1511"/>
      <c r="T321" s="1511"/>
      <c r="U321" s="1511"/>
      <c r="V321" s="1511"/>
      <c r="W321" s="1511"/>
      <c r="X321" s="1511"/>
      <c r="Y321" s="1511"/>
      <c r="Z321" s="1511"/>
      <c r="AA321" s="1511"/>
      <c r="AB321" s="1511"/>
      <c r="AC321" s="1511"/>
      <c r="AD321" s="1511"/>
      <c r="AE321" s="1511"/>
      <c r="AF321" s="1511"/>
      <c r="AG321" s="1511"/>
      <c r="AH321" s="1511"/>
      <c r="AI321" s="1511"/>
      <c r="AJ321" s="1511"/>
      <c r="AK321" s="1511"/>
      <c r="AL321" s="1511"/>
      <c r="AM321" s="1511"/>
      <c r="AN321" s="1511"/>
      <c r="AO321" s="1511"/>
      <c r="AP321" s="1511"/>
      <c r="AQ321" s="1511"/>
      <c r="AR321" s="1511"/>
      <c r="AS321" s="1511"/>
      <c r="AT321" s="1511"/>
      <c r="AU321" s="1511"/>
      <c r="AV321" s="1511"/>
      <c r="AW321" s="1511"/>
      <c r="AX321" s="1511"/>
      <c r="AY321" s="1511"/>
      <c r="AZ321" s="1511"/>
      <c r="BA321" s="1511"/>
      <c r="BB321" s="1511"/>
      <c r="BC321" s="1511"/>
      <c r="BD321" s="1511"/>
      <c r="BE321" s="1511"/>
      <c r="BF321" s="1511"/>
      <c r="BG321" s="1511"/>
      <c r="BH321" s="1511"/>
      <c r="BI321" s="1511"/>
      <c r="BJ321" s="1511"/>
    </row>
    <row r="322" spans="1:62">
      <c r="A322" s="1511"/>
      <c r="B322" s="1532"/>
      <c r="C322" s="1533" t="s">
        <v>1261</v>
      </c>
      <c r="D322" s="1533" t="s">
        <v>1266</v>
      </c>
      <c r="E322" s="1533" t="s">
        <v>66</v>
      </c>
      <c r="F322" s="1569">
        <v>1732.8</v>
      </c>
      <c r="G322" s="1533" t="s">
        <v>67</v>
      </c>
      <c r="H322" s="1537">
        <v>152802</v>
      </c>
      <c r="I322" s="1533" t="s">
        <v>140</v>
      </c>
      <c r="J322" s="1569">
        <f>F322*H322/1000000</f>
        <v>264.77530559999997</v>
      </c>
      <c r="K322" s="1991">
        <v>21</v>
      </c>
      <c r="L322" s="1991">
        <v>1.1999999999999999E-3</v>
      </c>
      <c r="M322" s="1992">
        <v>0</v>
      </c>
      <c r="N322" s="1511"/>
      <c r="O322" s="1511"/>
      <c r="P322" s="1511"/>
      <c r="Q322" s="1511"/>
      <c r="R322" s="1511"/>
      <c r="S322" s="1511"/>
      <c r="T322" s="1511"/>
      <c r="U322" s="1511"/>
      <c r="V322" s="1511"/>
      <c r="W322" s="1511"/>
      <c r="X322" s="1511"/>
      <c r="Y322" s="1511"/>
      <c r="Z322" s="1511"/>
      <c r="AA322" s="1511"/>
      <c r="AB322" s="1511"/>
      <c r="AC322" s="1511"/>
      <c r="AD322" s="1511"/>
      <c r="AE322" s="1511"/>
      <c r="AF322" s="1511"/>
      <c r="AG322" s="1511"/>
      <c r="AH322" s="1511"/>
      <c r="AI322" s="1511"/>
      <c r="AJ322" s="1511"/>
      <c r="AK322" s="1511"/>
      <c r="AL322" s="1511"/>
      <c r="AM322" s="1511"/>
      <c r="AN322" s="1511"/>
      <c r="AO322" s="1511"/>
      <c r="AP322" s="1511"/>
      <c r="AQ322" s="1511"/>
      <c r="AR322" s="1511"/>
      <c r="AS322" s="1511"/>
      <c r="AT322" s="1511"/>
      <c r="AU322" s="1511"/>
      <c r="AV322" s="1511"/>
      <c r="AW322" s="1511"/>
      <c r="AX322" s="1511"/>
      <c r="AY322" s="1511"/>
      <c r="AZ322" s="1511"/>
      <c r="BA322" s="1511"/>
      <c r="BB322" s="1511"/>
      <c r="BC322" s="1511"/>
      <c r="BD322" s="1511"/>
      <c r="BE322" s="1511"/>
      <c r="BF322" s="1511"/>
      <c r="BG322" s="1511"/>
      <c r="BH322" s="1511"/>
      <c r="BI322" s="1511"/>
      <c r="BJ322" s="1511"/>
    </row>
    <row r="323" spans="1:62">
      <c r="A323" s="1511"/>
      <c r="B323" s="1532"/>
      <c r="C323" s="1533" t="s">
        <v>1262</v>
      </c>
      <c r="D323" s="1533" t="s">
        <v>1267</v>
      </c>
      <c r="E323" s="1533" t="s">
        <v>66</v>
      </c>
      <c r="F323" s="1569">
        <v>1732.8</v>
      </c>
      <c r="G323" s="1533" t="s">
        <v>67</v>
      </c>
      <c r="H323" s="1537">
        <v>152802</v>
      </c>
      <c r="I323" s="1533" t="s">
        <v>140</v>
      </c>
      <c r="J323" s="1569">
        <f>F323*H323/1000000</f>
        <v>264.77530559999997</v>
      </c>
      <c r="K323" s="1991">
        <v>21</v>
      </c>
      <c r="L323" s="1991">
        <v>1.1999999999999999E-3</v>
      </c>
      <c r="M323" s="1992">
        <v>0</v>
      </c>
      <c r="N323" s="1511"/>
      <c r="O323" s="1511"/>
      <c r="P323" s="1511"/>
      <c r="Q323" s="1511"/>
      <c r="R323" s="1511"/>
      <c r="S323" s="1511"/>
      <c r="T323" s="1511"/>
      <c r="U323" s="1511"/>
      <c r="V323" s="1511"/>
      <c r="W323" s="1511"/>
      <c r="X323" s="1511"/>
      <c r="Y323" s="1511"/>
      <c r="Z323" s="1511"/>
      <c r="AA323" s="1511"/>
      <c r="AB323" s="1511"/>
      <c r="AC323" s="1511"/>
      <c r="AD323" s="1511"/>
      <c r="AE323" s="1511"/>
      <c r="AF323" s="1511"/>
      <c r="AG323" s="1511"/>
      <c r="AH323" s="1511"/>
      <c r="AI323" s="1511"/>
      <c r="AJ323" s="1511"/>
      <c r="AK323" s="1511"/>
      <c r="AL323" s="1511"/>
      <c r="AM323" s="1511"/>
      <c r="AN323" s="1511"/>
      <c r="AO323" s="1511"/>
      <c r="AP323" s="1511"/>
      <c r="AQ323" s="1511"/>
      <c r="AR323" s="1511"/>
      <c r="AS323" s="1511"/>
      <c r="AT323" s="1511"/>
      <c r="AU323" s="1511"/>
      <c r="AV323" s="1511"/>
      <c r="AW323" s="1511"/>
      <c r="AX323" s="1511"/>
      <c r="AY323" s="1511"/>
      <c r="AZ323" s="1511"/>
      <c r="BA323" s="1511"/>
      <c r="BB323" s="1511"/>
      <c r="BC323" s="1511"/>
      <c r="BD323" s="1511"/>
      <c r="BE323" s="1511"/>
      <c r="BF323" s="1511"/>
      <c r="BG323" s="1511"/>
      <c r="BH323" s="1511"/>
      <c r="BI323" s="1511"/>
      <c r="BJ323" s="1511"/>
    </row>
    <row r="324" spans="1:62">
      <c r="A324" s="1511"/>
      <c r="B324" s="1532"/>
      <c r="C324" s="1533" t="s">
        <v>1263</v>
      </c>
      <c r="D324" s="1533" t="s">
        <v>1268</v>
      </c>
      <c r="E324" s="1533" t="s">
        <v>66</v>
      </c>
      <c r="F324" s="1569">
        <v>1778.4</v>
      </c>
      <c r="G324" s="1533" t="s">
        <v>67</v>
      </c>
      <c r="H324" s="1537">
        <v>152802</v>
      </c>
      <c r="I324" s="1533" t="s">
        <v>140</v>
      </c>
      <c r="J324" s="1569">
        <f>F324*H324/1000000</f>
        <v>271.74307680000004</v>
      </c>
      <c r="K324" s="1991">
        <v>21</v>
      </c>
      <c r="L324" s="1991">
        <v>1.1999999999999999E-3</v>
      </c>
      <c r="M324" s="1992">
        <v>0</v>
      </c>
      <c r="N324" s="1511"/>
      <c r="O324" s="1511"/>
      <c r="P324" s="1511"/>
      <c r="Q324" s="1511"/>
      <c r="R324" s="1511"/>
      <c r="S324" s="1511"/>
      <c r="T324" s="1511"/>
      <c r="U324" s="1511"/>
      <c r="V324" s="1511"/>
      <c r="W324" s="1511"/>
      <c r="X324" s="1511"/>
      <c r="Y324" s="1511"/>
      <c r="Z324" s="1511"/>
      <c r="AA324" s="1511"/>
      <c r="AB324" s="1511"/>
      <c r="AC324" s="1511"/>
      <c r="AD324" s="1511"/>
      <c r="AE324" s="1511"/>
      <c r="AF324" s="1511"/>
      <c r="AG324" s="1511"/>
      <c r="AH324" s="1511"/>
      <c r="AI324" s="1511"/>
      <c r="AJ324" s="1511"/>
      <c r="AK324" s="1511"/>
      <c r="AL324" s="1511"/>
      <c r="AM324" s="1511"/>
      <c r="AN324" s="1511"/>
      <c r="AO324" s="1511"/>
      <c r="AP324" s="1511"/>
      <c r="AQ324" s="1511"/>
      <c r="AR324" s="1511"/>
      <c r="AS324" s="1511"/>
      <c r="AT324" s="1511"/>
      <c r="AU324" s="1511"/>
      <c r="AV324" s="1511"/>
      <c r="AW324" s="1511"/>
      <c r="AX324" s="1511"/>
      <c r="AY324" s="1511"/>
      <c r="AZ324" s="1511"/>
      <c r="BA324" s="1511"/>
      <c r="BB324" s="1511"/>
      <c r="BC324" s="1511"/>
      <c r="BD324" s="1511"/>
      <c r="BE324" s="1511"/>
      <c r="BF324" s="1511"/>
      <c r="BG324" s="1511"/>
      <c r="BH324" s="1511"/>
      <c r="BI324" s="1511"/>
      <c r="BJ324" s="1511"/>
    </row>
    <row r="325" spans="1:62">
      <c r="A325" s="1511"/>
      <c r="B325" s="1532"/>
      <c r="C325" s="1533"/>
      <c r="D325" s="1533"/>
      <c r="E325" s="1533"/>
      <c r="F325" s="1533"/>
      <c r="G325" s="1533"/>
      <c r="H325" s="1533"/>
      <c r="I325" s="1533"/>
      <c r="J325" s="1533"/>
      <c r="K325" s="1991"/>
      <c r="L325" s="1991"/>
      <c r="M325" s="1992"/>
      <c r="N325" s="1511"/>
      <c r="O325" s="1511"/>
      <c r="P325" s="1511"/>
      <c r="Q325" s="1511"/>
      <c r="R325" s="1511"/>
      <c r="S325" s="1511"/>
      <c r="T325" s="1511"/>
      <c r="U325" s="1511"/>
      <c r="V325" s="1511"/>
      <c r="W325" s="1511"/>
      <c r="X325" s="1511"/>
      <c r="Y325" s="1511"/>
      <c r="Z325" s="1511"/>
      <c r="AA325" s="1511"/>
      <c r="AB325" s="1511"/>
      <c r="AC325" s="1511"/>
      <c r="AD325" s="1511"/>
      <c r="AE325" s="1511"/>
      <c r="AF325" s="1511"/>
      <c r="AG325" s="1511"/>
      <c r="AH325" s="1511"/>
      <c r="AI325" s="1511"/>
      <c r="AJ325" s="1511"/>
      <c r="AK325" s="1511"/>
      <c r="AL325" s="1511"/>
      <c r="AM325" s="1511"/>
      <c r="AN325" s="1511"/>
      <c r="AO325" s="1511"/>
      <c r="AP325" s="1511"/>
      <c r="AQ325" s="1511"/>
      <c r="AR325" s="1511"/>
      <c r="AS325" s="1511"/>
      <c r="AT325" s="1511"/>
      <c r="AU325" s="1511"/>
      <c r="AV325" s="1511"/>
      <c r="AW325" s="1511"/>
      <c r="AX325" s="1511"/>
      <c r="AY325" s="1511"/>
      <c r="AZ325" s="1511"/>
      <c r="BA325" s="1511"/>
      <c r="BB325" s="1511"/>
      <c r="BC325" s="1511"/>
      <c r="BD325" s="1511"/>
      <c r="BE325" s="1511"/>
      <c r="BF325" s="1511"/>
      <c r="BG325" s="1511"/>
      <c r="BH325" s="1511"/>
      <c r="BI325" s="1511"/>
      <c r="BJ325" s="1511"/>
    </row>
    <row r="326" spans="1:62" ht="13.5" thickBot="1">
      <c r="A326" s="1511"/>
      <c r="B326" s="1579"/>
      <c r="C326" s="1512"/>
      <c r="D326" s="1512"/>
      <c r="E326" s="1512"/>
      <c r="F326" s="1512"/>
      <c r="G326" s="1512"/>
      <c r="H326" s="1512"/>
      <c r="I326" s="1512"/>
      <c r="J326" s="1512"/>
      <c r="K326" s="1512"/>
      <c r="L326" s="1512"/>
      <c r="M326" s="1582"/>
      <c r="N326" s="1511"/>
      <c r="O326" s="1511"/>
      <c r="P326" s="1511"/>
      <c r="Q326" s="1511"/>
      <c r="R326" s="1511"/>
      <c r="S326" s="1511"/>
      <c r="T326" s="1511"/>
      <c r="U326" s="1511"/>
      <c r="V326" s="1511"/>
      <c r="W326" s="1511"/>
      <c r="X326" s="1511"/>
      <c r="Y326" s="1511"/>
      <c r="Z326" s="1511"/>
      <c r="AA326" s="1511"/>
      <c r="AB326" s="1511"/>
      <c r="AC326" s="1511"/>
      <c r="AD326" s="1511"/>
      <c r="AE326" s="1511"/>
      <c r="AF326" s="1511"/>
      <c r="AG326" s="1511"/>
      <c r="AH326" s="1511"/>
      <c r="AI326" s="1511"/>
      <c r="AJ326" s="1511"/>
      <c r="AK326" s="1511"/>
      <c r="AL326" s="1511"/>
      <c r="AM326" s="1511"/>
      <c r="AN326" s="1511"/>
      <c r="AO326" s="1511"/>
      <c r="AP326" s="1511"/>
      <c r="AQ326" s="1511"/>
      <c r="AR326" s="1511"/>
      <c r="AS326" s="1511"/>
      <c r="AT326" s="1511"/>
      <c r="AU326" s="1511"/>
      <c r="AV326" s="1511"/>
      <c r="AW326" s="1511"/>
      <c r="AX326" s="1511"/>
      <c r="AY326" s="1511"/>
      <c r="AZ326" s="1511"/>
      <c r="BA326" s="1511"/>
      <c r="BB326" s="1511"/>
      <c r="BC326" s="1511"/>
      <c r="BD326" s="1511"/>
      <c r="BE326" s="1511"/>
      <c r="BF326" s="1511"/>
      <c r="BG326" s="1511"/>
      <c r="BH326" s="1511"/>
      <c r="BI326" s="1511"/>
      <c r="BJ326" s="1511"/>
    </row>
    <row r="327" spans="1:62">
      <c r="A327" s="1511"/>
      <c r="B327" s="1532"/>
      <c r="C327" s="1533"/>
      <c r="D327" s="1533"/>
      <c r="E327" s="1533"/>
      <c r="F327" s="1533"/>
      <c r="G327" s="1533"/>
      <c r="H327" s="1533"/>
      <c r="I327" s="1533"/>
      <c r="J327" s="1533"/>
      <c r="K327" s="1533"/>
      <c r="L327" s="1533"/>
      <c r="M327" s="1541"/>
      <c r="N327" s="1511"/>
      <c r="O327" s="1511"/>
      <c r="P327" s="1511"/>
      <c r="Q327" s="1511"/>
      <c r="R327" s="1511"/>
      <c r="S327" s="1511"/>
      <c r="T327" s="1511"/>
      <c r="U327" s="1511"/>
      <c r="V327" s="1511"/>
      <c r="W327" s="1511"/>
      <c r="X327" s="1511"/>
      <c r="Y327" s="1511"/>
      <c r="Z327" s="1511"/>
      <c r="AA327" s="1511"/>
      <c r="AB327" s="1511"/>
      <c r="AC327" s="1511"/>
      <c r="AD327" s="1511"/>
      <c r="AE327" s="1511"/>
      <c r="AF327" s="1511"/>
      <c r="AG327" s="1511"/>
      <c r="AH327" s="1511"/>
      <c r="AI327" s="1511"/>
      <c r="AJ327" s="1511"/>
      <c r="AK327" s="1511"/>
      <c r="AL327" s="1511"/>
      <c r="AM327" s="1511"/>
      <c r="AN327" s="1511"/>
      <c r="AO327" s="1511"/>
      <c r="AP327" s="1511"/>
      <c r="AQ327" s="1511"/>
      <c r="AR327" s="1511"/>
      <c r="AS327" s="1511"/>
      <c r="AT327" s="1511"/>
      <c r="AU327" s="1511"/>
      <c r="AV327" s="1511"/>
      <c r="AW327" s="1511"/>
      <c r="AX327" s="1511"/>
      <c r="AY327" s="1511"/>
      <c r="AZ327" s="1511"/>
      <c r="BA327" s="1511"/>
      <c r="BB327" s="1511"/>
      <c r="BC327" s="1511"/>
      <c r="BD327" s="1511"/>
      <c r="BE327" s="1511"/>
      <c r="BF327" s="1511"/>
      <c r="BG327" s="1511"/>
      <c r="BH327" s="1511"/>
      <c r="BI327" s="1511"/>
      <c r="BJ327" s="1511"/>
    </row>
    <row r="328" spans="1:62">
      <c r="A328" s="1511"/>
      <c r="B328" s="1532" t="s">
        <v>1269</v>
      </c>
      <c r="C328" s="169" t="s">
        <v>1270</v>
      </c>
      <c r="D328" s="1533"/>
      <c r="E328" s="1533"/>
      <c r="F328" s="1533"/>
      <c r="G328" s="1533"/>
      <c r="H328" s="1533"/>
      <c r="I328" s="1533"/>
      <c r="J328" s="1533"/>
      <c r="K328" s="1533"/>
      <c r="L328" s="1533"/>
      <c r="M328" s="1541"/>
      <c r="N328" s="1511"/>
      <c r="O328" s="1511"/>
      <c r="P328" s="1511"/>
      <c r="Q328" s="1511"/>
      <c r="R328" s="1511"/>
      <c r="S328" s="1511"/>
      <c r="T328" s="1511"/>
      <c r="U328" s="1511"/>
      <c r="V328" s="1511"/>
      <c r="W328" s="1511"/>
      <c r="X328" s="1511"/>
      <c r="Y328" s="1511"/>
      <c r="Z328" s="1511"/>
      <c r="AA328" s="1511"/>
      <c r="AB328" s="1511"/>
      <c r="AC328" s="1511"/>
      <c r="AD328" s="1511"/>
      <c r="AE328" s="1511"/>
      <c r="AF328" s="1511"/>
      <c r="AG328" s="1511"/>
      <c r="AH328" s="1511"/>
      <c r="AI328" s="1511"/>
      <c r="AJ328" s="1511"/>
      <c r="AK328" s="1511"/>
      <c r="AL328" s="1511"/>
      <c r="AM328" s="1511"/>
      <c r="AN328" s="1511"/>
      <c r="AO328" s="1511"/>
      <c r="AP328" s="1511"/>
      <c r="AQ328" s="1511"/>
      <c r="AR328" s="1511"/>
      <c r="AS328" s="1511"/>
      <c r="AT328" s="1511"/>
      <c r="AU328" s="1511"/>
      <c r="AV328" s="1511"/>
      <c r="AW328" s="1511"/>
      <c r="AX328" s="1511"/>
      <c r="AY328" s="1511"/>
      <c r="AZ328" s="1511"/>
      <c r="BA328" s="1511"/>
      <c r="BB328" s="1511"/>
      <c r="BC328" s="1511"/>
      <c r="BD328" s="1511"/>
      <c r="BE328" s="1511"/>
      <c r="BF328" s="1511"/>
      <c r="BG328" s="1511"/>
      <c r="BH328" s="1511"/>
      <c r="BI328" s="1511"/>
      <c r="BJ328" s="1511"/>
    </row>
    <row r="329" spans="1:62">
      <c r="A329" s="1511"/>
      <c r="B329" s="1532"/>
      <c r="C329" s="1533" t="s">
        <v>332</v>
      </c>
      <c r="D329" s="1533" t="s">
        <v>1275</v>
      </c>
      <c r="E329" s="1533" t="s">
        <v>77</v>
      </c>
      <c r="F329" s="1789">
        <v>11784250000</v>
      </c>
      <c r="G329" s="1533" t="s">
        <v>147</v>
      </c>
      <c r="H329" s="1533">
        <v>1.0589999999999999</v>
      </c>
      <c r="I329" s="1533" t="s">
        <v>1280</v>
      </c>
      <c r="J329" s="1543">
        <v>12479521</v>
      </c>
      <c r="K329" s="1789">
        <v>766132</v>
      </c>
      <c r="L329" s="1986">
        <v>0.13800000000000001</v>
      </c>
      <c r="M329" s="1987">
        <v>1.38</v>
      </c>
      <c r="N329" s="1511"/>
      <c r="O329" s="1511"/>
      <c r="P329" s="1511"/>
      <c r="Q329" s="1511"/>
      <c r="R329" s="1511"/>
      <c r="S329" s="1511"/>
      <c r="T329" s="1511"/>
      <c r="U329" s="1511"/>
      <c r="V329" s="1511"/>
      <c r="W329" s="1511"/>
      <c r="X329" s="1511"/>
      <c r="Y329" s="1511"/>
      <c r="Z329" s="1511"/>
      <c r="AA329" s="1511"/>
      <c r="AB329" s="1511"/>
      <c r="AC329" s="1511"/>
      <c r="AD329" s="1511"/>
      <c r="AE329" s="1511"/>
      <c r="AF329" s="1511"/>
      <c r="AG329" s="1511"/>
      <c r="AH329" s="1511"/>
      <c r="AI329" s="1511"/>
      <c r="AJ329" s="1511"/>
      <c r="AK329" s="1511"/>
      <c r="AL329" s="1511"/>
      <c r="AM329" s="1511"/>
      <c r="AN329" s="1511"/>
      <c r="AO329" s="1511"/>
      <c r="AP329" s="1511"/>
      <c r="AQ329" s="1511"/>
      <c r="AR329" s="1511"/>
      <c r="AS329" s="1511"/>
      <c r="AT329" s="1511"/>
      <c r="AU329" s="1511"/>
      <c r="AV329" s="1511"/>
      <c r="AW329" s="1511"/>
      <c r="AX329" s="1511"/>
      <c r="AY329" s="1511"/>
      <c r="AZ329" s="1511"/>
      <c r="BA329" s="1511"/>
      <c r="BB329" s="1511"/>
      <c r="BC329" s="1511"/>
      <c r="BD329" s="1511"/>
      <c r="BE329" s="1511"/>
      <c r="BF329" s="1511"/>
      <c r="BG329" s="1511"/>
      <c r="BH329" s="1511"/>
      <c r="BI329" s="1511"/>
      <c r="BJ329" s="1511"/>
    </row>
    <row r="330" spans="1:62">
      <c r="A330" s="1511"/>
      <c r="B330" s="1532"/>
      <c r="C330" s="1533" t="s">
        <v>1271</v>
      </c>
      <c r="D330" s="1533" t="s">
        <v>1276</v>
      </c>
      <c r="E330" s="1533"/>
      <c r="F330" s="1789">
        <v>12856810000</v>
      </c>
      <c r="G330" s="1533" t="s">
        <v>147</v>
      </c>
      <c r="H330" s="1533">
        <v>1.0589999999999999</v>
      </c>
      <c r="I330" s="1533" t="s">
        <v>1280</v>
      </c>
      <c r="J330" s="1543">
        <v>13615362</v>
      </c>
      <c r="K330" s="1789">
        <v>837399</v>
      </c>
      <c r="L330" s="1986">
        <v>0.15</v>
      </c>
      <c r="M330" s="1987">
        <v>1.5</v>
      </c>
      <c r="N330" s="1511"/>
      <c r="O330" s="1511"/>
      <c r="P330" s="1511"/>
      <c r="Q330" s="1511"/>
      <c r="R330" s="1511"/>
      <c r="S330" s="1511"/>
      <c r="T330" s="1511"/>
      <c r="U330" s="1511"/>
      <c r="V330" s="1511"/>
      <c r="W330" s="1511"/>
      <c r="X330" s="1511"/>
      <c r="Y330" s="1511"/>
      <c r="Z330" s="1511"/>
      <c r="AA330" s="1511"/>
      <c r="AB330" s="1511"/>
      <c r="AC330" s="1511"/>
      <c r="AD330" s="1511"/>
      <c r="AE330" s="1511"/>
      <c r="AF330" s="1511"/>
      <c r="AG330" s="1511"/>
      <c r="AH330" s="1511"/>
      <c r="AI330" s="1511"/>
      <c r="AJ330" s="1511"/>
      <c r="AK330" s="1511"/>
      <c r="AL330" s="1511"/>
      <c r="AM330" s="1511"/>
      <c r="AN330" s="1511"/>
      <c r="AO330" s="1511"/>
      <c r="AP330" s="1511"/>
      <c r="AQ330" s="1511"/>
      <c r="AR330" s="1511"/>
      <c r="AS330" s="1511"/>
      <c r="AT330" s="1511"/>
      <c r="AU330" s="1511"/>
      <c r="AV330" s="1511"/>
      <c r="AW330" s="1511"/>
      <c r="AX330" s="1511"/>
      <c r="AY330" s="1511"/>
      <c r="AZ330" s="1511"/>
      <c r="BA330" s="1511"/>
      <c r="BB330" s="1511"/>
      <c r="BC330" s="1511"/>
      <c r="BD330" s="1511"/>
      <c r="BE330" s="1511"/>
      <c r="BF330" s="1511"/>
      <c r="BG330" s="1511"/>
      <c r="BH330" s="1511"/>
      <c r="BI330" s="1511"/>
      <c r="BJ330" s="1511"/>
    </row>
    <row r="331" spans="1:62">
      <c r="A331" s="1511"/>
      <c r="B331" s="1532"/>
      <c r="C331" s="1533" t="s">
        <v>1273</v>
      </c>
      <c r="D331" s="1533" t="s">
        <v>1278</v>
      </c>
      <c r="E331" s="1533"/>
      <c r="F331" s="1789">
        <v>14921000</v>
      </c>
      <c r="G331" s="1533" t="s">
        <v>147</v>
      </c>
      <c r="H331" s="1533">
        <v>1.0589999999999999</v>
      </c>
      <c r="I331" s="1533" t="s">
        <v>1280</v>
      </c>
      <c r="J331" s="1543">
        <v>15801.339</v>
      </c>
      <c r="K331" s="1789">
        <v>682</v>
      </c>
      <c r="L331" s="1986">
        <v>1.7399999999999999E-2</v>
      </c>
      <c r="M331" s="1987">
        <v>1.74E-3</v>
      </c>
      <c r="N331" s="1511"/>
      <c r="O331" s="1511"/>
      <c r="P331" s="1918" t="s">
        <v>947</v>
      </c>
      <c r="Q331" s="1919" t="s">
        <v>1298</v>
      </c>
      <c r="R331" s="1918" t="s">
        <v>1296</v>
      </c>
      <c r="S331" s="1918" t="s">
        <v>1297</v>
      </c>
      <c r="T331" s="1511"/>
      <c r="U331" s="1511"/>
      <c r="V331" s="1511"/>
      <c r="W331" s="1511"/>
      <c r="X331" s="1511"/>
      <c r="Y331" s="1511"/>
      <c r="Z331" s="1511"/>
      <c r="AA331" s="1511"/>
      <c r="AB331" s="1511"/>
      <c r="AC331" s="1511"/>
      <c r="AD331" s="1511"/>
      <c r="AE331" s="1511"/>
      <c r="AF331" s="1511"/>
      <c r="AG331" s="1511"/>
      <c r="AH331" s="1511"/>
      <c r="AI331" s="1511"/>
      <c r="AJ331" s="1511"/>
      <c r="AK331" s="1511"/>
      <c r="AL331" s="1511"/>
      <c r="AM331" s="1511"/>
      <c r="AN331" s="1511"/>
      <c r="AO331" s="1511"/>
      <c r="AP331" s="1511"/>
      <c r="AQ331" s="1511"/>
      <c r="AR331" s="1511"/>
      <c r="AS331" s="1511"/>
      <c r="AT331" s="1511"/>
      <c r="AU331" s="1511"/>
      <c r="AV331" s="1511"/>
      <c r="AW331" s="1511"/>
      <c r="AX331" s="1511"/>
      <c r="AY331" s="1511"/>
      <c r="AZ331" s="1511"/>
      <c r="BA331" s="1511"/>
      <c r="BB331" s="1511"/>
      <c r="BC331" s="1511"/>
      <c r="BD331" s="1511"/>
      <c r="BE331" s="1511"/>
      <c r="BF331" s="1511"/>
      <c r="BG331" s="1511"/>
      <c r="BH331" s="1511"/>
      <c r="BI331" s="1511"/>
      <c r="BJ331" s="1511"/>
    </row>
    <row r="332" spans="1:62">
      <c r="A332" s="1511"/>
      <c r="B332" s="1532"/>
      <c r="C332" s="1533" t="s">
        <v>1272</v>
      </c>
      <c r="D332" s="1533" t="s">
        <v>1277</v>
      </c>
      <c r="E332" s="1533"/>
      <c r="F332" s="1789">
        <v>18227000</v>
      </c>
      <c r="G332" s="1533" t="s">
        <v>147</v>
      </c>
      <c r="H332" s="1533">
        <v>1.0589999999999999</v>
      </c>
      <c r="I332" s="1533" t="s">
        <v>1280</v>
      </c>
      <c r="J332" s="1543">
        <v>19302</v>
      </c>
      <c r="K332" s="1789">
        <v>1129</v>
      </c>
      <c r="L332" s="1986">
        <v>2.1299999999999999E-2</v>
      </c>
      <c r="M332" s="1987">
        <v>2.1299999999999999E-3</v>
      </c>
      <c r="N332" s="1511"/>
      <c r="O332" s="1511"/>
      <c r="P332" s="916">
        <v>20</v>
      </c>
      <c r="Q332" s="916">
        <v>37</v>
      </c>
      <c r="R332" s="916">
        <v>1081.0999999999999</v>
      </c>
      <c r="S332" s="1917">
        <f>Q332*R332/2000</f>
        <v>20.000349999999997</v>
      </c>
      <c r="T332" s="1511"/>
      <c r="U332" s="1511"/>
      <c r="V332" s="1511"/>
      <c r="W332" s="1511"/>
      <c r="X332" s="1511"/>
      <c r="Y332" s="1511"/>
      <c r="Z332" s="1511"/>
      <c r="AA332" s="1511"/>
      <c r="AB332" s="1511"/>
      <c r="AC332" s="1511"/>
      <c r="AD332" s="1511"/>
      <c r="AE332" s="1511"/>
      <c r="AF332" s="1511"/>
      <c r="AG332" s="1511"/>
      <c r="AH332" s="1511"/>
      <c r="AI332" s="1511"/>
      <c r="AJ332" s="1511"/>
      <c r="AK332" s="1511"/>
      <c r="AL332" s="1511"/>
      <c r="AM332" s="1511"/>
      <c r="AN332" s="1511"/>
      <c r="AO332" s="1511"/>
      <c r="AP332" s="1511"/>
      <c r="AQ332" s="1511"/>
      <c r="AR332" s="1511"/>
      <c r="AS332" s="1511"/>
      <c r="AT332" s="1511"/>
      <c r="AU332" s="1511"/>
      <c r="AV332" s="1511"/>
      <c r="AW332" s="1511"/>
      <c r="AX332" s="1511"/>
      <c r="AY332" s="1511"/>
      <c r="AZ332" s="1511"/>
      <c r="BA332" s="1511"/>
      <c r="BB332" s="1511"/>
      <c r="BC332" s="1511"/>
      <c r="BD332" s="1511"/>
      <c r="BE332" s="1511"/>
      <c r="BF332" s="1511"/>
      <c r="BG332" s="1511"/>
      <c r="BH332" s="1511"/>
      <c r="BI332" s="1511"/>
      <c r="BJ332" s="1511"/>
    </row>
    <row r="333" spans="1:62">
      <c r="A333" s="1511"/>
      <c r="B333" s="1532"/>
      <c r="C333" s="1533" t="s">
        <v>1274</v>
      </c>
      <c r="D333" s="1533" t="s">
        <v>1279</v>
      </c>
      <c r="E333" s="1533" t="s">
        <v>66</v>
      </c>
      <c r="F333" s="1789">
        <v>108</v>
      </c>
      <c r="G333" s="1533" t="s">
        <v>67</v>
      </c>
      <c r="H333" s="1537">
        <v>137030</v>
      </c>
      <c r="I333" s="1533" t="s">
        <v>140</v>
      </c>
      <c r="J333" s="1988">
        <v>14.827</v>
      </c>
      <c r="K333" s="1789">
        <v>1</v>
      </c>
      <c r="L333" s="1986">
        <v>4.8999999999999998E-5</v>
      </c>
      <c r="M333" s="1987">
        <v>9.810000000000001E-4</v>
      </c>
      <c r="N333" s="1511"/>
      <c r="O333" s="1511"/>
      <c r="P333" s="916">
        <v>20</v>
      </c>
      <c r="Q333" s="916">
        <v>38</v>
      </c>
      <c r="R333" s="916">
        <v>1081.0999999999999</v>
      </c>
      <c r="S333" s="1917">
        <f t="shared" ref="S333:S335" si="6">Q333*R333/2000</f>
        <v>20.540899999999997</v>
      </c>
      <c r="T333" s="1511"/>
      <c r="U333" s="1511"/>
      <c r="V333" s="1511"/>
      <c r="W333" s="1511"/>
      <c r="X333" s="1511"/>
      <c r="Y333" s="1511"/>
      <c r="Z333" s="1511"/>
      <c r="AA333" s="1511"/>
      <c r="AB333" s="1511"/>
      <c r="AC333" s="1511"/>
      <c r="AD333" s="1511"/>
      <c r="AE333" s="1511"/>
      <c r="AF333" s="1511"/>
      <c r="AG333" s="1511"/>
      <c r="AH333" s="1511"/>
      <c r="AI333" s="1511"/>
      <c r="AJ333" s="1511"/>
      <c r="AK333" s="1511"/>
      <c r="AL333" s="1511"/>
      <c r="AM333" s="1511"/>
      <c r="AN333" s="1511"/>
      <c r="AO333" s="1511"/>
      <c r="AP333" s="1511"/>
      <c r="AQ333" s="1511"/>
      <c r="AR333" s="1511"/>
      <c r="AS333" s="1511"/>
      <c r="AT333" s="1511"/>
      <c r="AU333" s="1511"/>
      <c r="AV333" s="1511"/>
      <c r="AW333" s="1511"/>
      <c r="AX333" s="1511"/>
      <c r="AY333" s="1511"/>
      <c r="AZ333" s="1511"/>
      <c r="BA333" s="1511"/>
      <c r="BB333" s="1511"/>
      <c r="BC333" s="1511"/>
      <c r="BD333" s="1511"/>
      <c r="BE333" s="1511"/>
      <c r="BF333" s="1511"/>
      <c r="BG333" s="1511"/>
      <c r="BH333" s="1511"/>
      <c r="BI333" s="1511"/>
      <c r="BJ333" s="1511"/>
    </row>
    <row r="334" spans="1:62" ht="13.5" thickBot="1">
      <c r="A334" s="1511"/>
      <c r="B334" s="1532"/>
      <c r="C334" s="1533"/>
      <c r="D334" s="1533"/>
      <c r="E334" s="1533"/>
      <c r="F334" s="1533"/>
      <c r="G334" s="1533"/>
      <c r="H334" s="1533"/>
      <c r="I334" s="1533"/>
      <c r="J334" s="1533"/>
      <c r="K334" s="1533"/>
      <c r="L334" s="1533"/>
      <c r="M334" s="1541"/>
      <c r="N334" s="1511"/>
      <c r="O334" s="1511"/>
      <c r="P334" s="916">
        <v>21</v>
      </c>
      <c r="Q334" s="916">
        <v>38</v>
      </c>
      <c r="R334" s="916">
        <v>1081.0999999999999</v>
      </c>
      <c r="S334" s="1917">
        <f t="shared" si="6"/>
        <v>20.540899999999997</v>
      </c>
      <c r="T334" s="1511"/>
      <c r="U334" s="1511"/>
      <c r="V334" s="1511"/>
      <c r="W334" s="1511"/>
      <c r="X334" s="1511"/>
      <c r="Y334" s="1511"/>
      <c r="Z334" s="1511"/>
      <c r="AA334" s="1511"/>
      <c r="AB334" s="1511"/>
      <c r="AC334" s="1511"/>
      <c r="AD334" s="1511"/>
      <c r="AE334" s="1511"/>
      <c r="AF334" s="1511"/>
      <c r="AG334" s="1511"/>
      <c r="AH334" s="1511"/>
      <c r="AI334" s="1511"/>
      <c r="AJ334" s="1511"/>
      <c r="AK334" s="1511"/>
      <c r="AL334" s="1511"/>
      <c r="AM334" s="1511"/>
      <c r="AN334" s="1511"/>
      <c r="AO334" s="1511"/>
      <c r="AP334" s="1511"/>
      <c r="AQ334" s="1511"/>
      <c r="AR334" s="1511"/>
      <c r="AS334" s="1511"/>
      <c r="AT334" s="1511"/>
      <c r="AU334" s="1511"/>
      <c r="AV334" s="1511"/>
      <c r="AW334" s="1511"/>
      <c r="AX334" s="1511"/>
      <c r="AY334" s="1511"/>
      <c r="AZ334" s="1511"/>
      <c r="BA334" s="1511"/>
      <c r="BB334" s="1511"/>
      <c r="BC334" s="1511"/>
      <c r="BD334" s="1511"/>
      <c r="BE334" s="1511"/>
      <c r="BF334" s="1511"/>
      <c r="BG334" s="1511"/>
      <c r="BH334" s="1511"/>
      <c r="BI334" s="1511"/>
      <c r="BJ334" s="1511"/>
    </row>
    <row r="335" spans="1:62">
      <c r="A335" s="1511"/>
      <c r="B335" s="1576"/>
      <c r="C335" s="1530"/>
      <c r="D335" s="1530"/>
      <c r="E335" s="1530"/>
      <c r="F335" s="1530"/>
      <c r="G335" s="1530"/>
      <c r="H335" s="1530"/>
      <c r="I335" s="1530"/>
      <c r="J335" s="1530"/>
      <c r="K335" s="1530"/>
      <c r="L335" s="1530"/>
      <c r="M335" s="1578"/>
      <c r="N335" s="1511"/>
      <c r="O335" s="1511"/>
      <c r="P335" s="916">
        <v>21</v>
      </c>
      <c r="Q335" s="916">
        <v>39</v>
      </c>
      <c r="R335" s="916">
        <v>1081.0999999999999</v>
      </c>
      <c r="S335" s="1917">
        <f t="shared" si="6"/>
        <v>21.081449999999997</v>
      </c>
      <c r="T335" s="1511"/>
      <c r="U335" s="1511"/>
      <c r="V335" s="1511"/>
      <c r="W335" s="1511"/>
      <c r="X335" s="1511"/>
      <c r="Y335" s="1511"/>
      <c r="Z335" s="1511"/>
      <c r="AA335" s="1511"/>
      <c r="AB335" s="1511"/>
      <c r="AC335" s="1511"/>
      <c r="AD335" s="1511"/>
      <c r="AE335" s="1511"/>
      <c r="AF335" s="1511"/>
      <c r="AG335" s="1511"/>
      <c r="AH335" s="1511"/>
      <c r="AI335" s="1511"/>
      <c r="AJ335" s="1511"/>
      <c r="AK335" s="1511"/>
      <c r="AL335" s="1511"/>
      <c r="AM335" s="1511"/>
      <c r="AN335" s="1511"/>
      <c r="AO335" s="1511"/>
      <c r="AP335" s="1511"/>
      <c r="AQ335" s="1511"/>
      <c r="AR335" s="1511"/>
      <c r="AS335" s="1511"/>
      <c r="AT335" s="1511"/>
      <c r="AU335" s="1511"/>
      <c r="AV335" s="1511"/>
      <c r="AW335" s="1511"/>
      <c r="AX335" s="1511"/>
      <c r="AY335" s="1511"/>
      <c r="AZ335" s="1511"/>
      <c r="BA335" s="1511"/>
      <c r="BB335" s="1511"/>
      <c r="BC335" s="1511"/>
      <c r="BD335" s="1511"/>
      <c r="BE335" s="1511"/>
      <c r="BF335" s="1511"/>
      <c r="BG335" s="1511"/>
      <c r="BH335" s="1511"/>
      <c r="BI335" s="1511"/>
      <c r="BJ335" s="1511"/>
    </row>
    <row r="336" spans="1:62">
      <c r="A336" s="1511"/>
      <c r="B336" s="1532"/>
      <c r="C336" s="1533"/>
      <c r="D336" s="1533"/>
      <c r="E336" s="1533"/>
      <c r="F336" s="1533"/>
      <c r="G336" s="1533"/>
      <c r="H336" s="1533"/>
      <c r="I336" s="1533"/>
      <c r="J336" s="1533"/>
      <c r="K336" s="1533"/>
      <c r="L336" s="1533"/>
      <c r="M336" s="1541"/>
      <c r="N336" s="1511"/>
      <c r="O336" s="1511"/>
      <c r="P336" s="1521"/>
      <c r="Q336" s="1521"/>
      <c r="R336" s="1521"/>
      <c r="S336" s="1521"/>
      <c r="T336" s="1511"/>
      <c r="U336" s="1511"/>
      <c r="V336" s="1511"/>
      <c r="W336" s="1511"/>
      <c r="X336" s="1511"/>
      <c r="Y336" s="1511"/>
      <c r="Z336" s="1511"/>
      <c r="AA336" s="1511"/>
      <c r="AB336" s="1511"/>
      <c r="AC336" s="1511"/>
      <c r="AD336" s="1511"/>
      <c r="AE336" s="1511"/>
      <c r="AF336" s="1511"/>
      <c r="AG336" s="1511"/>
      <c r="AH336" s="1511"/>
      <c r="AI336" s="1511"/>
      <c r="AJ336" s="1511"/>
      <c r="AK336" s="1511"/>
      <c r="AL336" s="1511"/>
      <c r="AM336" s="1511"/>
      <c r="AN336" s="1511"/>
      <c r="AO336" s="1511"/>
      <c r="AP336" s="1511"/>
      <c r="AQ336" s="1511"/>
      <c r="AR336" s="1511"/>
      <c r="AS336" s="1511"/>
      <c r="AT336" s="1511"/>
      <c r="AU336" s="1511"/>
      <c r="AV336" s="1511"/>
      <c r="AW336" s="1511"/>
      <c r="AX336" s="1511"/>
      <c r="AY336" s="1511"/>
      <c r="AZ336" s="1511"/>
      <c r="BA336" s="1511"/>
      <c r="BB336" s="1511"/>
      <c r="BC336" s="1511"/>
      <c r="BD336" s="1511"/>
      <c r="BE336" s="1511"/>
      <c r="BF336" s="1511"/>
      <c r="BG336" s="1511"/>
      <c r="BH336" s="1511"/>
      <c r="BI336" s="1511"/>
      <c r="BJ336" s="1511"/>
    </row>
    <row r="337" spans="1:62">
      <c r="A337" s="1511"/>
      <c r="B337" s="1532" t="s">
        <v>805</v>
      </c>
      <c r="C337" s="169" t="s">
        <v>806</v>
      </c>
      <c r="D337" s="1533"/>
      <c r="E337" s="1533" t="s">
        <v>807</v>
      </c>
      <c r="F337" s="1922">
        <v>0</v>
      </c>
      <c r="G337" s="1533" t="s">
        <v>67</v>
      </c>
      <c r="H337" s="1537">
        <v>91333</v>
      </c>
      <c r="I337" s="1533" t="s">
        <v>140</v>
      </c>
      <c r="J337" s="1537">
        <f>F337*H337/1000000</f>
        <v>0</v>
      </c>
      <c r="K337" s="1537"/>
      <c r="L337" s="1537">
        <v>0</v>
      </c>
      <c r="M337" s="1573">
        <v>0</v>
      </c>
      <c r="N337" s="1511"/>
      <c r="O337" s="1511"/>
      <c r="P337" s="1511"/>
      <c r="Q337" s="1511"/>
      <c r="R337" s="1511"/>
      <c r="S337" s="1511"/>
      <c r="T337" s="1511"/>
      <c r="U337" s="1511"/>
      <c r="V337" s="1511"/>
      <c r="W337" s="1511"/>
      <c r="X337" s="1511"/>
      <c r="Y337" s="1511"/>
      <c r="Z337" s="1511"/>
      <c r="AA337" s="1511"/>
      <c r="AB337" s="1511"/>
      <c r="AC337" s="1511"/>
      <c r="AD337" s="1511"/>
      <c r="AE337" s="1511"/>
      <c r="AF337" s="1511"/>
      <c r="AG337" s="1511"/>
      <c r="AH337" s="1511"/>
      <c r="AI337" s="1511"/>
      <c r="AJ337" s="1511"/>
      <c r="AK337" s="1511"/>
      <c r="AL337" s="1511"/>
      <c r="AM337" s="1511"/>
      <c r="AN337" s="1511"/>
      <c r="AO337" s="1511"/>
      <c r="AP337" s="1511"/>
      <c r="AQ337" s="1511"/>
      <c r="AR337" s="1511"/>
      <c r="AS337" s="1511"/>
      <c r="AT337" s="1511"/>
      <c r="AU337" s="1511"/>
      <c r="AV337" s="1511"/>
      <c r="AW337" s="1511"/>
      <c r="AX337" s="1511"/>
      <c r="AY337" s="1511"/>
      <c r="AZ337" s="1511"/>
      <c r="BA337" s="1511"/>
      <c r="BB337" s="1511"/>
      <c r="BC337" s="1511"/>
      <c r="BD337" s="1511"/>
      <c r="BE337" s="1511"/>
      <c r="BF337" s="1511"/>
      <c r="BG337" s="1511"/>
      <c r="BH337" s="1511"/>
      <c r="BI337" s="1511"/>
      <c r="BJ337" s="1511"/>
    </row>
    <row r="338" spans="1:62" ht="13.5" thickBot="1">
      <c r="A338" s="1511"/>
      <c r="B338" s="1532"/>
      <c r="C338" s="169"/>
      <c r="D338" s="1533"/>
      <c r="E338" s="1533"/>
      <c r="F338" s="1537"/>
      <c r="G338" s="1533"/>
      <c r="H338" s="1537"/>
      <c r="I338" s="1533"/>
      <c r="J338" s="1537"/>
      <c r="K338" s="1537"/>
      <c r="L338" s="1537"/>
      <c r="M338" s="1573"/>
      <c r="N338" s="1511"/>
      <c r="O338" s="1511"/>
      <c r="P338" s="1511"/>
      <c r="Q338" s="1511"/>
      <c r="R338" s="1511"/>
      <c r="S338" s="1511"/>
      <c r="T338" s="1511"/>
      <c r="U338" s="1511"/>
      <c r="V338" s="1511"/>
      <c r="W338" s="1511"/>
      <c r="X338" s="1511"/>
      <c r="Y338" s="1511"/>
      <c r="Z338" s="1511"/>
      <c r="AA338" s="1511"/>
      <c r="AB338" s="1511"/>
      <c r="AC338" s="1511"/>
      <c r="AD338" s="1511"/>
      <c r="AE338" s="1511"/>
      <c r="AF338" s="1511"/>
      <c r="AG338" s="1511"/>
      <c r="AH338" s="1511"/>
      <c r="AI338" s="1511"/>
      <c r="AJ338" s="1511"/>
      <c r="AK338" s="1511"/>
      <c r="AL338" s="1511"/>
      <c r="AM338" s="1511"/>
      <c r="AN338" s="1511"/>
      <c r="AO338" s="1511"/>
      <c r="AP338" s="1511"/>
      <c r="AQ338" s="1511"/>
      <c r="AR338" s="1511"/>
      <c r="AS338" s="1511"/>
      <c r="AT338" s="1511"/>
      <c r="AU338" s="1511"/>
      <c r="AV338" s="1511"/>
      <c r="AW338" s="1511"/>
      <c r="AX338" s="1511"/>
      <c r="AY338" s="1511"/>
      <c r="AZ338" s="1511"/>
      <c r="BA338" s="1511"/>
      <c r="BB338" s="1511"/>
      <c r="BC338" s="1511"/>
      <c r="BD338" s="1511"/>
      <c r="BE338" s="1511"/>
      <c r="BF338" s="1511"/>
      <c r="BG338" s="1511"/>
      <c r="BH338" s="1511"/>
      <c r="BI338" s="1511"/>
      <c r="BJ338" s="1511"/>
    </row>
    <row r="339" spans="1:62">
      <c r="A339" s="1511"/>
      <c r="B339" s="1576"/>
      <c r="C339" s="1530"/>
      <c r="D339" s="1530"/>
      <c r="E339" s="1530"/>
      <c r="F339" s="1530"/>
      <c r="G339" s="1530"/>
      <c r="H339" s="1530"/>
      <c r="I339" s="1530"/>
      <c r="J339" s="1508"/>
      <c r="K339" s="1508"/>
      <c r="L339" s="1508"/>
      <c r="M339" s="1606"/>
      <c r="N339" s="1511"/>
      <c r="O339" s="1511"/>
      <c r="P339" s="1918" t="s">
        <v>947</v>
      </c>
      <c r="Q339" s="1919" t="s">
        <v>1298</v>
      </c>
      <c r="R339" s="1918" t="s">
        <v>1299</v>
      </c>
      <c r="S339" s="1918" t="s">
        <v>1300</v>
      </c>
      <c r="T339" s="1511"/>
      <c r="U339" s="1511"/>
      <c r="V339" s="1511"/>
      <c r="W339" s="1511"/>
      <c r="X339" s="1511"/>
      <c r="Y339" s="1511"/>
      <c r="Z339" s="1511"/>
      <c r="AA339" s="1511"/>
      <c r="AB339" s="1511"/>
      <c r="AC339" s="1511"/>
      <c r="AD339" s="1511"/>
      <c r="AE339" s="1511"/>
      <c r="AF339" s="1511"/>
      <c r="AG339" s="1511"/>
      <c r="AH339" s="1511"/>
      <c r="AI339" s="1511"/>
      <c r="AJ339" s="1511"/>
      <c r="AK339" s="1511"/>
      <c r="AL339" s="1511"/>
      <c r="AM339" s="1511"/>
      <c r="AN339" s="1511"/>
      <c r="AO339" s="1511"/>
      <c r="AP339" s="1511"/>
      <c r="AQ339" s="1511"/>
      <c r="AR339" s="1511"/>
      <c r="AS339" s="1511"/>
      <c r="AT339" s="1511"/>
      <c r="AU339" s="1511"/>
      <c r="AV339" s="1511"/>
      <c r="AW339" s="1511"/>
      <c r="AX339" s="1511"/>
      <c r="AY339" s="1511"/>
      <c r="AZ339" s="1511"/>
      <c r="BA339" s="1511"/>
      <c r="BB339" s="1511"/>
      <c r="BC339" s="1511"/>
      <c r="BD339" s="1511"/>
      <c r="BE339" s="1511"/>
      <c r="BF339" s="1511"/>
      <c r="BG339" s="1511"/>
      <c r="BH339" s="1511"/>
      <c r="BI339" s="1511"/>
      <c r="BJ339" s="1511"/>
    </row>
    <row r="340" spans="1:62">
      <c r="A340" s="1511"/>
      <c r="B340" s="1532" t="s">
        <v>335</v>
      </c>
      <c r="C340" s="169" t="s">
        <v>1210</v>
      </c>
      <c r="D340" s="1533"/>
      <c r="E340" s="1533"/>
      <c r="F340" s="1533"/>
      <c r="G340" s="1533"/>
      <c r="H340" s="1533"/>
      <c r="I340" s="1533"/>
      <c r="J340" s="1537"/>
      <c r="K340" s="1537"/>
      <c r="L340" s="1537"/>
      <c r="M340" s="1573"/>
      <c r="N340" s="1511"/>
      <c r="O340" s="1511" t="s">
        <v>1198</v>
      </c>
      <c r="P340" s="916">
        <v>20</v>
      </c>
      <c r="Q340" s="916">
        <v>37</v>
      </c>
      <c r="R340" s="916">
        <v>45.6</v>
      </c>
      <c r="S340" s="1920">
        <f>Q340*R340</f>
        <v>1687.2</v>
      </c>
      <c r="T340" s="1511"/>
      <c r="U340" s="1511"/>
      <c r="V340" s="1511"/>
      <c r="W340" s="1511"/>
      <c r="X340" s="1511"/>
      <c r="Y340" s="1511"/>
      <c r="Z340" s="1511"/>
      <c r="AA340" s="1511"/>
      <c r="AB340" s="1511"/>
      <c r="AC340" s="1511"/>
      <c r="AD340" s="1511"/>
      <c r="AE340" s="1511"/>
      <c r="AF340" s="1511"/>
      <c r="AG340" s="1511"/>
      <c r="AH340" s="1511"/>
      <c r="AI340" s="1511"/>
      <c r="AJ340" s="1511"/>
      <c r="AK340" s="1511"/>
      <c r="AL340" s="1511"/>
      <c r="AM340" s="1511"/>
      <c r="AN340" s="1511"/>
      <c r="AO340" s="1511"/>
      <c r="AP340" s="1511"/>
      <c r="AQ340" s="1511"/>
      <c r="AR340" s="1511"/>
      <c r="AS340" s="1511"/>
      <c r="AT340" s="1511"/>
      <c r="AU340" s="1511"/>
      <c r="AV340" s="1511"/>
      <c r="AW340" s="1511"/>
      <c r="AX340" s="1511"/>
      <c r="AY340" s="1511"/>
      <c r="AZ340" s="1511"/>
      <c r="BA340" s="1511"/>
      <c r="BB340" s="1511"/>
      <c r="BC340" s="1511"/>
      <c r="BD340" s="1511"/>
      <c r="BE340" s="1511"/>
      <c r="BF340" s="1511"/>
      <c r="BG340" s="1511"/>
      <c r="BH340" s="1511"/>
      <c r="BI340" s="1511"/>
      <c r="BJ340" s="1511"/>
    </row>
    <row r="341" spans="1:62">
      <c r="A341" s="1511"/>
      <c r="B341" s="1532"/>
      <c r="C341" s="1533" t="s">
        <v>336</v>
      </c>
      <c r="D341" s="1533" t="s">
        <v>808</v>
      </c>
      <c r="E341" s="1533" t="s">
        <v>77</v>
      </c>
      <c r="F341" s="1540">
        <f>170*1000000</f>
        <v>170000000</v>
      </c>
      <c r="G341" s="1533" t="s">
        <v>147</v>
      </c>
      <c r="H341" s="1537">
        <v>1027</v>
      </c>
      <c r="I341" s="1533" t="s">
        <v>761</v>
      </c>
      <c r="J341" s="1543">
        <f>F341*H341/1000000</f>
        <v>174590</v>
      </c>
      <c r="K341" s="1540">
        <v>10273</v>
      </c>
      <c r="L341" s="1600">
        <v>0.19</v>
      </c>
      <c r="M341" s="1773">
        <v>0.02</v>
      </c>
      <c r="N341" s="1511"/>
      <c r="O341" s="1511"/>
      <c r="P341" s="916">
        <v>20</v>
      </c>
      <c r="Q341" s="916">
        <v>38</v>
      </c>
      <c r="R341" s="916">
        <v>45.6</v>
      </c>
      <c r="S341" s="1920">
        <f>Q341*R341</f>
        <v>1732.8</v>
      </c>
      <c r="T341" s="1511"/>
      <c r="U341" s="1511"/>
      <c r="V341" s="1511"/>
      <c r="W341" s="1511"/>
      <c r="X341" s="1511"/>
      <c r="Y341" s="1511"/>
      <c r="Z341" s="1511"/>
      <c r="AA341" s="1511"/>
      <c r="AB341" s="1511"/>
      <c r="AC341" s="1511"/>
      <c r="AD341" s="1511"/>
      <c r="AE341" s="1511"/>
      <c r="AF341" s="1511"/>
      <c r="AG341" s="1511"/>
      <c r="AH341" s="1511"/>
      <c r="AI341" s="1511"/>
      <c r="AJ341" s="1511"/>
      <c r="AK341" s="1511"/>
      <c r="AL341" s="1511"/>
      <c r="AM341" s="1511"/>
      <c r="AN341" s="1511"/>
      <c r="AO341" s="1511"/>
      <c r="AP341" s="1511"/>
      <c r="AQ341" s="1511"/>
      <c r="AR341" s="1511"/>
      <c r="AS341" s="1511"/>
      <c r="AT341" s="1511"/>
      <c r="AU341" s="1511"/>
      <c r="AV341" s="1511"/>
      <c r="AW341" s="1511"/>
      <c r="AX341" s="1511"/>
      <c r="AY341" s="1511"/>
      <c r="AZ341" s="1511"/>
      <c r="BA341" s="1511"/>
      <c r="BB341" s="1511"/>
      <c r="BC341" s="1511"/>
      <c r="BD341" s="1511"/>
      <c r="BE341" s="1511"/>
      <c r="BF341" s="1511"/>
      <c r="BG341" s="1511"/>
      <c r="BH341" s="1511"/>
      <c r="BI341" s="1511"/>
      <c r="BJ341" s="1511"/>
    </row>
    <row r="342" spans="1:62" ht="13.5" thickBot="1">
      <c r="A342" s="1511"/>
      <c r="B342" s="1574"/>
      <c r="C342" s="1536"/>
      <c r="D342" s="1536"/>
      <c r="E342" s="1536"/>
      <c r="F342" s="1536"/>
      <c r="G342" s="1536"/>
      <c r="H342" s="1536"/>
      <c r="I342" s="1536"/>
      <c r="J342" s="1536"/>
      <c r="K342" s="1536"/>
      <c r="L342" s="1536"/>
      <c r="M342" s="1575"/>
      <c r="N342" s="1511"/>
      <c r="O342" s="1511"/>
      <c r="P342" s="916">
        <v>21</v>
      </c>
      <c r="Q342" s="916">
        <v>38</v>
      </c>
      <c r="R342" s="916">
        <v>45.6</v>
      </c>
      <c r="S342" s="1920">
        <f>Q342*R342</f>
        <v>1732.8</v>
      </c>
      <c r="T342" s="1511"/>
      <c r="U342" s="1511"/>
      <c r="V342" s="1511"/>
      <c r="W342" s="1511"/>
      <c r="X342" s="1511"/>
      <c r="Y342" s="1511"/>
      <c r="Z342" s="1511"/>
      <c r="AA342" s="1511"/>
      <c r="AB342" s="1511"/>
      <c r="AC342" s="1511"/>
      <c r="AD342" s="1511"/>
      <c r="AE342" s="1511"/>
      <c r="AF342" s="1511"/>
      <c r="AG342" s="1511"/>
      <c r="AH342" s="1511"/>
      <c r="AI342" s="1511"/>
      <c r="AJ342" s="1511"/>
      <c r="AK342" s="1511"/>
      <c r="AL342" s="1511"/>
      <c r="AM342" s="1511"/>
      <c r="AN342" s="1511"/>
      <c r="AO342" s="1511"/>
      <c r="AP342" s="1511"/>
      <c r="AQ342" s="1511"/>
      <c r="AR342" s="1511"/>
      <c r="AS342" s="1511"/>
      <c r="AT342" s="1511"/>
      <c r="AU342" s="1511"/>
      <c r="AV342" s="1511"/>
      <c r="AW342" s="1511"/>
      <c r="AX342" s="1511"/>
      <c r="AY342" s="1511"/>
      <c r="AZ342" s="1511"/>
      <c r="BA342" s="1511"/>
      <c r="BB342" s="1511"/>
      <c r="BC342" s="1511"/>
      <c r="BD342" s="1511"/>
      <c r="BE342" s="1511"/>
      <c r="BF342" s="1511"/>
      <c r="BG342" s="1511"/>
      <c r="BH342" s="1511"/>
      <c r="BI342" s="1511"/>
      <c r="BJ342" s="1511"/>
    </row>
    <row r="343" spans="1:62" ht="13.5" thickTop="1">
      <c r="A343" s="1511"/>
      <c r="B343" s="1511"/>
      <c r="C343" s="1511"/>
      <c r="D343" s="1511"/>
      <c r="E343" s="1511"/>
      <c r="F343" s="1511"/>
      <c r="G343" s="1511"/>
      <c r="H343" s="1511"/>
      <c r="I343" s="1511"/>
      <c r="J343" s="1511"/>
      <c r="K343" s="1511"/>
      <c r="L343" s="1511"/>
      <c r="M343" s="1511"/>
      <c r="N343" s="1511"/>
      <c r="O343" s="1511"/>
      <c r="P343" s="916">
        <v>21</v>
      </c>
      <c r="Q343" s="916">
        <v>38</v>
      </c>
      <c r="R343" s="916">
        <v>45.6</v>
      </c>
      <c r="S343" s="1920">
        <f>Q343*R343</f>
        <v>1732.8</v>
      </c>
      <c r="T343" s="1511"/>
      <c r="U343" s="1511"/>
      <c r="V343" s="1511"/>
      <c r="W343" s="1511"/>
      <c r="X343" s="1511"/>
      <c r="Y343" s="1511"/>
      <c r="Z343" s="1511"/>
      <c r="AA343" s="1511"/>
      <c r="AB343" s="1511"/>
      <c r="AC343" s="1511"/>
      <c r="AD343" s="1511"/>
      <c r="AE343" s="1511"/>
      <c r="AF343" s="1511"/>
      <c r="AG343" s="1511"/>
      <c r="AH343" s="1511"/>
      <c r="AI343" s="1511"/>
      <c r="AJ343" s="1511"/>
      <c r="AK343" s="1511"/>
      <c r="AL343" s="1511"/>
      <c r="AM343" s="1511"/>
      <c r="AN343" s="1511"/>
      <c r="AO343" s="1511"/>
      <c r="AP343" s="1511"/>
      <c r="AQ343" s="1511"/>
      <c r="AR343" s="1511"/>
      <c r="AS343" s="1511"/>
      <c r="AT343" s="1511"/>
      <c r="AU343" s="1511"/>
      <c r="AV343" s="1511"/>
      <c r="AW343" s="1511"/>
      <c r="AX343" s="1511"/>
      <c r="AY343" s="1511"/>
      <c r="AZ343" s="1511"/>
      <c r="BA343" s="1511"/>
      <c r="BB343" s="1511"/>
      <c r="BC343" s="1511"/>
      <c r="BD343" s="1511"/>
      <c r="BE343" s="1511"/>
      <c r="BF343" s="1511"/>
      <c r="BG343" s="1511"/>
      <c r="BH343" s="1511"/>
      <c r="BI343" s="1511"/>
      <c r="BJ343" s="1511"/>
    </row>
    <row r="344" spans="1:62">
      <c r="A344" s="1511"/>
      <c r="B344" s="1511"/>
      <c r="C344" s="1511"/>
      <c r="D344" s="1511"/>
      <c r="E344" s="1511"/>
      <c r="F344" s="1511"/>
      <c r="G344" s="1511"/>
      <c r="H344" s="1511"/>
      <c r="I344" s="1511"/>
      <c r="J344" s="1511"/>
      <c r="K344" s="1511"/>
      <c r="L344" s="1511"/>
      <c r="M344" s="1511"/>
      <c r="N344" s="1511"/>
      <c r="O344" s="1511"/>
      <c r="P344" s="916">
        <v>21</v>
      </c>
      <c r="Q344" s="916">
        <v>39</v>
      </c>
      <c r="R344" s="916">
        <v>45.6</v>
      </c>
      <c r="S344" s="1920">
        <f>Q344*R344</f>
        <v>1778.4</v>
      </c>
      <c r="T344" s="1511"/>
      <c r="U344" s="1511"/>
      <c r="V344" s="1511"/>
      <c r="W344" s="1511"/>
      <c r="X344" s="1511"/>
      <c r="Y344" s="1511"/>
      <c r="Z344" s="1511"/>
      <c r="AA344" s="1511"/>
      <c r="AB344" s="1511"/>
      <c r="AC344" s="1511"/>
      <c r="AD344" s="1511"/>
      <c r="AE344" s="1511"/>
      <c r="AF344" s="1511"/>
      <c r="AG344" s="1511"/>
      <c r="AH344" s="1511"/>
      <c r="AI344" s="1511"/>
      <c r="AJ344" s="1511"/>
      <c r="AK344" s="1511"/>
      <c r="AL344" s="1511"/>
      <c r="AM344" s="1511"/>
      <c r="AN344" s="1511"/>
      <c r="AO344" s="1511"/>
      <c r="AP344" s="1511"/>
      <c r="AQ344" s="1511"/>
      <c r="AR344" s="1511"/>
      <c r="AS344" s="1511"/>
      <c r="AT344" s="1511"/>
      <c r="AU344" s="1511"/>
      <c r="AV344" s="1511"/>
      <c r="AW344" s="1511"/>
      <c r="AX344" s="1511"/>
      <c r="AY344" s="1511"/>
      <c r="AZ344" s="1511"/>
      <c r="BA344" s="1511"/>
      <c r="BB344" s="1511"/>
      <c r="BC344" s="1511"/>
      <c r="BD344" s="1511"/>
      <c r="BE344" s="1511"/>
      <c r="BF344" s="1511"/>
      <c r="BG344" s="1511"/>
      <c r="BH344" s="1511"/>
      <c r="BI344" s="1511"/>
      <c r="BJ344" s="1511"/>
    </row>
    <row r="345" spans="1:62">
      <c r="A345" s="1511"/>
      <c r="B345" s="1511"/>
      <c r="C345" s="1511"/>
      <c r="D345" s="1511"/>
      <c r="E345" s="1511"/>
      <c r="F345" s="1511"/>
      <c r="G345" s="1511"/>
      <c r="H345" s="1511"/>
      <c r="I345" s="1511"/>
      <c r="J345" s="1511"/>
      <c r="K345" s="1511"/>
      <c r="L345" s="1511"/>
      <c r="M345" s="1511"/>
      <c r="N345" s="1511"/>
      <c r="O345" s="1511"/>
      <c r="P345" s="1521"/>
      <c r="Q345" s="1521"/>
      <c r="R345" s="1521"/>
      <c r="S345" s="1521"/>
      <c r="T345" s="1511"/>
      <c r="U345" s="1511"/>
      <c r="V345" s="1511"/>
      <c r="W345" s="1511"/>
      <c r="X345" s="1511"/>
      <c r="Y345" s="1511"/>
      <c r="Z345" s="1511"/>
      <c r="AA345" s="1511"/>
      <c r="AB345" s="1511"/>
      <c r="AC345" s="1511"/>
      <c r="AD345" s="1511"/>
      <c r="AE345" s="1511"/>
      <c r="AF345" s="1511"/>
      <c r="AG345" s="1511"/>
      <c r="AH345" s="1511"/>
      <c r="AI345" s="1511"/>
      <c r="AJ345" s="1511"/>
      <c r="AK345" s="1511"/>
      <c r="AL345" s="1511"/>
      <c r="AM345" s="1511"/>
      <c r="AN345" s="1511"/>
      <c r="AO345" s="1511"/>
      <c r="AP345" s="1511"/>
      <c r="AQ345" s="1511"/>
      <c r="AR345" s="1511"/>
      <c r="AS345" s="1511"/>
      <c r="AT345" s="1511"/>
      <c r="AU345" s="1511"/>
      <c r="AV345" s="1511"/>
      <c r="AW345" s="1511"/>
      <c r="AX345" s="1511"/>
      <c r="AY345" s="1511"/>
      <c r="AZ345" s="1511"/>
      <c r="BA345" s="1511"/>
      <c r="BB345" s="1511"/>
      <c r="BC345" s="1511"/>
      <c r="BD345" s="1511"/>
      <c r="BE345" s="1511"/>
      <c r="BF345" s="1511"/>
      <c r="BG345" s="1511"/>
      <c r="BH345" s="1511"/>
      <c r="BI345" s="1511"/>
      <c r="BJ345" s="1511"/>
    </row>
    <row r="346" spans="1:62">
      <c r="A346" s="1511"/>
      <c r="B346" s="1511"/>
      <c r="C346" s="1511"/>
      <c r="D346" s="1511"/>
      <c r="E346" s="1511"/>
      <c r="F346" s="1511"/>
      <c r="G346" s="1511"/>
      <c r="H346" s="1511"/>
      <c r="I346" s="1511"/>
      <c r="J346" s="1511"/>
      <c r="K346" s="1511"/>
      <c r="L346" s="1511"/>
      <c r="M346" s="1511"/>
      <c r="N346" s="1511"/>
      <c r="O346" s="1511"/>
      <c r="P346" s="1511"/>
      <c r="Q346" s="1511"/>
      <c r="R346" s="1511"/>
      <c r="S346" s="1511"/>
      <c r="T346" s="1511"/>
      <c r="U346" s="1511"/>
      <c r="V346" s="1511"/>
      <c r="W346" s="1511"/>
      <c r="X346" s="1511"/>
      <c r="Y346" s="1511"/>
      <c r="Z346" s="1511"/>
      <c r="AA346" s="1511"/>
      <c r="AB346" s="1511"/>
      <c r="AC346" s="1511"/>
      <c r="AD346" s="1511"/>
      <c r="AE346" s="1511"/>
      <c r="AF346" s="1511"/>
      <c r="AG346" s="1511"/>
      <c r="AH346" s="1511"/>
      <c r="AI346" s="1511"/>
      <c r="AJ346" s="1511"/>
      <c r="AK346" s="1511"/>
      <c r="AL346" s="1511"/>
      <c r="AM346" s="1511"/>
      <c r="AN346" s="1511"/>
      <c r="AO346" s="1511"/>
      <c r="AP346" s="1511"/>
      <c r="AQ346" s="1511"/>
      <c r="AR346" s="1511"/>
      <c r="AS346" s="1511"/>
      <c r="AT346" s="1511"/>
      <c r="AU346" s="1511"/>
      <c r="AV346" s="1511"/>
      <c r="AW346" s="1511"/>
      <c r="AX346" s="1511"/>
      <c r="AY346" s="1511"/>
      <c r="AZ346" s="1511"/>
      <c r="BA346" s="1511"/>
      <c r="BB346" s="1511"/>
      <c r="BC346" s="1511"/>
      <c r="BD346" s="1511"/>
      <c r="BE346" s="1511"/>
      <c r="BF346" s="1511"/>
      <c r="BG346" s="1511"/>
      <c r="BH346" s="1511"/>
      <c r="BI346" s="1511"/>
      <c r="BJ346" s="1511"/>
    </row>
    <row r="347" spans="1:62">
      <c r="A347" s="1511"/>
      <c r="B347" s="1511"/>
      <c r="C347" s="1511"/>
      <c r="D347" s="1511"/>
      <c r="E347" s="1511"/>
      <c r="F347" s="1511"/>
      <c r="G347" s="1511"/>
      <c r="H347" s="1511"/>
      <c r="I347" s="1511"/>
      <c r="J347" s="1511"/>
      <c r="K347" s="1511"/>
      <c r="L347" s="1511"/>
      <c r="M347" s="1511"/>
      <c r="N347" s="1511"/>
      <c r="O347" s="1511"/>
      <c r="P347" s="1511"/>
      <c r="Q347" s="1511"/>
      <c r="R347" s="1511"/>
      <c r="S347" s="1511"/>
      <c r="T347" s="1511"/>
      <c r="U347" s="1511"/>
      <c r="V347" s="1511"/>
      <c r="W347" s="1511"/>
      <c r="X347" s="1511"/>
      <c r="Y347" s="1511"/>
      <c r="Z347" s="1511"/>
      <c r="AA347" s="1511"/>
      <c r="AB347" s="1511"/>
      <c r="AC347" s="1511"/>
      <c r="AD347" s="1511"/>
      <c r="AE347" s="1511"/>
      <c r="AF347" s="1511"/>
      <c r="AG347" s="1511"/>
      <c r="AH347" s="1511"/>
      <c r="AI347" s="1511"/>
      <c r="AJ347" s="1511"/>
      <c r="AK347" s="1511"/>
      <c r="AL347" s="1511"/>
      <c r="AM347" s="1511"/>
      <c r="AN347" s="1511"/>
      <c r="AO347" s="1511"/>
      <c r="AP347" s="1511"/>
      <c r="AQ347" s="1511"/>
      <c r="AR347" s="1511"/>
      <c r="AS347" s="1511"/>
      <c r="AT347" s="1511"/>
      <c r="AU347" s="1511"/>
      <c r="AV347" s="1511"/>
      <c r="AW347" s="1511"/>
      <c r="AX347" s="1511"/>
      <c r="AY347" s="1511"/>
      <c r="AZ347" s="1511"/>
      <c r="BA347" s="1511"/>
      <c r="BB347" s="1511"/>
      <c r="BC347" s="1511"/>
      <c r="BD347" s="1511"/>
      <c r="BE347" s="1511"/>
      <c r="BF347" s="1511"/>
      <c r="BG347" s="1511"/>
      <c r="BH347" s="1511"/>
      <c r="BI347" s="1511"/>
      <c r="BJ347" s="1511"/>
    </row>
    <row r="348" spans="1:62">
      <c r="A348" s="1511"/>
      <c r="B348" s="1511"/>
      <c r="C348" s="1511"/>
      <c r="D348" s="1511"/>
      <c r="E348" s="1511"/>
      <c r="F348" s="1511"/>
      <c r="G348" s="1511"/>
      <c r="H348" s="1511"/>
      <c r="I348" s="1511"/>
      <c r="J348" s="1511"/>
      <c r="K348" s="1511"/>
      <c r="L348" s="1511"/>
      <c r="M348" s="1511"/>
      <c r="N348" s="1511"/>
      <c r="O348" s="1511"/>
      <c r="P348" s="1511"/>
      <c r="Q348" s="1511"/>
      <c r="R348" s="1511"/>
      <c r="S348" s="1511"/>
      <c r="T348" s="1511"/>
      <c r="U348" s="1511"/>
      <c r="V348" s="1511"/>
      <c r="W348" s="1511"/>
      <c r="X348" s="1511"/>
      <c r="Y348" s="1511"/>
      <c r="Z348" s="1511"/>
      <c r="AA348" s="1511"/>
      <c r="AB348" s="1511"/>
      <c r="AC348" s="1511"/>
      <c r="AD348" s="1511"/>
      <c r="AE348" s="1511"/>
      <c r="AF348" s="1511"/>
      <c r="AG348" s="1511"/>
      <c r="AH348" s="1511"/>
      <c r="AI348" s="1511"/>
      <c r="AJ348" s="1511"/>
      <c r="AK348" s="1511"/>
      <c r="AL348" s="1511"/>
      <c r="AM348" s="1511"/>
      <c r="AN348" s="1511"/>
      <c r="AO348" s="1511"/>
      <c r="AP348" s="1511"/>
      <c r="AQ348" s="1511"/>
      <c r="AR348" s="1511"/>
      <c r="AS348" s="1511"/>
      <c r="AT348" s="1511"/>
      <c r="AU348" s="1511"/>
      <c r="AV348" s="1511"/>
      <c r="AW348" s="1511"/>
      <c r="AX348" s="1511"/>
      <c r="AY348" s="1511"/>
      <c r="AZ348" s="1511"/>
      <c r="BA348" s="1511"/>
      <c r="BB348" s="1511"/>
      <c r="BC348" s="1511"/>
      <c r="BD348" s="1511"/>
      <c r="BE348" s="1511"/>
      <c r="BF348" s="1511"/>
      <c r="BG348" s="1511"/>
      <c r="BH348" s="1511"/>
      <c r="BI348" s="1511"/>
      <c r="BJ348" s="1511"/>
    </row>
    <row r="349" spans="1:62">
      <c r="A349" s="1511"/>
      <c r="B349" s="1511"/>
      <c r="C349" s="1511"/>
      <c r="D349" s="1511"/>
      <c r="E349" s="1511"/>
      <c r="F349" s="1511"/>
      <c r="G349" s="1511"/>
      <c r="H349" s="1511"/>
      <c r="I349" s="1511"/>
      <c r="J349" s="1511"/>
      <c r="K349" s="1511"/>
      <c r="L349" s="1511"/>
      <c r="M349" s="1511"/>
      <c r="N349" s="1511"/>
      <c r="O349" s="1511"/>
      <c r="P349" s="1511"/>
      <c r="Q349" s="1511"/>
      <c r="R349" s="1511"/>
      <c r="S349" s="1511"/>
      <c r="T349" s="1511"/>
      <c r="U349" s="1511"/>
      <c r="V349" s="1511"/>
      <c r="W349" s="1511"/>
      <c r="X349" s="1511"/>
      <c r="Y349" s="1511"/>
      <c r="Z349" s="1511"/>
      <c r="AA349" s="1511"/>
      <c r="AB349" s="1511"/>
      <c r="AC349" s="1511"/>
      <c r="AD349" s="1511"/>
      <c r="AE349" s="1511"/>
      <c r="AF349" s="1511"/>
      <c r="AG349" s="1511"/>
      <c r="AH349" s="1511"/>
      <c r="AI349" s="1511"/>
      <c r="AJ349" s="1511"/>
      <c r="AK349" s="1511"/>
      <c r="AL349" s="1511"/>
      <c r="AM349" s="1511"/>
      <c r="AN349" s="1511"/>
      <c r="AO349" s="1511"/>
      <c r="AP349" s="1511"/>
      <c r="AQ349" s="1511"/>
      <c r="AR349" s="1511"/>
      <c r="AS349" s="1511"/>
      <c r="AT349" s="1511"/>
      <c r="AU349" s="1511"/>
      <c r="AV349" s="1511"/>
      <c r="AW349" s="1511"/>
      <c r="AX349" s="1511"/>
      <c r="AY349" s="1511"/>
      <c r="AZ349" s="1511"/>
      <c r="BA349" s="1511"/>
      <c r="BB349" s="1511"/>
      <c r="BC349" s="1511"/>
      <c r="BD349" s="1511"/>
      <c r="BE349" s="1511"/>
      <c r="BF349" s="1511"/>
      <c r="BG349" s="1511"/>
      <c r="BH349" s="1511"/>
      <c r="BI349" s="1511"/>
      <c r="BJ349" s="1511"/>
    </row>
    <row r="350" spans="1:62">
      <c r="A350" s="1511"/>
      <c r="B350" s="1511"/>
      <c r="C350" s="1511"/>
      <c r="D350" s="1511"/>
      <c r="E350" s="1511"/>
      <c r="F350" s="1511"/>
      <c r="G350" s="1511"/>
      <c r="H350" s="1511"/>
      <c r="I350" s="1511"/>
      <c r="J350" s="1511"/>
      <c r="K350" s="1511"/>
      <c r="L350" s="1511"/>
      <c r="M350" s="1511"/>
      <c r="N350" s="1511"/>
      <c r="O350" s="1511"/>
      <c r="P350" s="1511"/>
      <c r="Q350" s="1511"/>
      <c r="R350" s="1511"/>
      <c r="S350" s="1511"/>
      <c r="T350" s="1511"/>
      <c r="U350" s="1511"/>
      <c r="V350" s="1511"/>
      <c r="W350" s="1511"/>
      <c r="X350" s="1511"/>
      <c r="Y350" s="1511"/>
      <c r="Z350" s="1511"/>
      <c r="AA350" s="1511"/>
      <c r="AB350" s="1511"/>
      <c r="AC350" s="1511"/>
      <c r="AD350" s="1511"/>
      <c r="AE350" s="1511"/>
      <c r="AF350" s="1511"/>
      <c r="AG350" s="1511"/>
      <c r="AH350" s="1511"/>
      <c r="AI350" s="1511"/>
      <c r="AJ350" s="1511"/>
      <c r="AK350" s="1511"/>
      <c r="AL350" s="1511"/>
      <c r="AM350" s="1511"/>
      <c r="AN350" s="1511"/>
      <c r="AO350" s="1511"/>
      <c r="AP350" s="1511"/>
      <c r="AQ350" s="1511"/>
      <c r="AR350" s="1511"/>
      <c r="AS350" s="1511"/>
      <c r="AT350" s="1511"/>
      <c r="AU350" s="1511"/>
      <c r="AV350" s="1511"/>
      <c r="AW350" s="1511"/>
      <c r="AX350" s="1511"/>
      <c r="AY350" s="1511"/>
      <c r="AZ350" s="1511"/>
      <c r="BA350" s="1511"/>
      <c r="BB350" s="1511"/>
      <c r="BC350" s="1511"/>
      <c r="BD350" s="1511"/>
      <c r="BE350" s="1511"/>
      <c r="BF350" s="1511"/>
      <c r="BG350" s="1511"/>
      <c r="BH350" s="1511"/>
      <c r="BI350" s="1511"/>
      <c r="BJ350" s="1511"/>
    </row>
  </sheetData>
  <sheetProtection password="CD58" sheet="1" objects="1" scenarios="1"/>
  <mergeCells count="1">
    <mergeCell ref="O67:Q67"/>
  </mergeCells>
  <phoneticPr fontId="0" type="noConversion"/>
  <printOptions gridLines="1"/>
  <pageMargins left="0.2" right="0.2" top="0.24" bottom="0.23" header="0.24" footer="0.23"/>
  <pageSetup scale="65" orientation="landscape" r:id="rId1"/>
  <headerFooter alignWithMargins="0"/>
  <rowBreaks count="2" manualBreakCount="2">
    <brk id="98" max="13" man="1"/>
    <brk id="170" max="13" man="1"/>
  </rowBreaks>
  <drawing r:id="rId2"/>
  <legacyDrawing r:id="rId3"/>
</worksheet>
</file>

<file path=xl/worksheets/sheet6.xml><?xml version="1.0" encoding="utf-8"?>
<worksheet xmlns="http://schemas.openxmlformats.org/spreadsheetml/2006/main" xmlns:r="http://schemas.openxmlformats.org/officeDocument/2006/relationships">
  <dimension ref="A1:S85"/>
  <sheetViews>
    <sheetView zoomScaleNormal="100" workbookViewId="0">
      <selection activeCell="I41" sqref="I41"/>
    </sheetView>
  </sheetViews>
  <sheetFormatPr defaultRowHeight="11.25"/>
  <cols>
    <col min="1" max="1" width="2" style="1916" customWidth="1"/>
    <col min="2" max="2" width="63.33203125" style="1916" customWidth="1"/>
    <col min="3" max="3" width="15" style="1916" customWidth="1"/>
    <col min="4" max="4" width="15.83203125" style="1916" customWidth="1"/>
    <col min="5" max="5" width="15" style="1916" customWidth="1"/>
    <col min="6" max="6" width="15.5" style="1916" customWidth="1"/>
    <col min="7" max="7" width="17.6640625" style="1916" customWidth="1"/>
    <col min="8" max="8" width="15.6640625" style="1916" customWidth="1"/>
    <col min="9" max="9" width="15.5" style="1916" customWidth="1"/>
    <col min="10" max="10" width="17" style="1916" customWidth="1"/>
    <col min="11" max="11" width="15.5" style="1916" bestFit="1" customWidth="1"/>
    <col min="12" max="12" width="15.83203125" style="1916" bestFit="1" customWidth="1"/>
    <col min="13" max="13" width="14.6640625" style="1916" customWidth="1"/>
    <col min="14" max="14" width="21.1640625" style="1916" customWidth="1"/>
    <col min="15" max="15" width="15.5" style="1916" customWidth="1"/>
    <col min="16" max="16" width="15.1640625" style="1916" customWidth="1"/>
    <col min="17" max="17" width="15.1640625" style="1916" bestFit="1" customWidth="1"/>
    <col min="18" max="18" width="15" style="1916" bestFit="1" customWidth="1"/>
    <col min="19" max="19" width="15.5" style="1916" customWidth="1"/>
    <col min="20" max="20" width="14" style="1916" customWidth="1"/>
    <col min="21" max="26" width="16.5" style="1916" bestFit="1" customWidth="1"/>
    <col min="27" max="27" width="16.33203125" style="1916" customWidth="1"/>
    <col min="28" max="256" width="9.33203125" style="1916"/>
    <col min="257" max="257" width="3" style="1916" customWidth="1"/>
    <col min="258" max="258" width="64.5" style="1916" customWidth="1"/>
    <col min="259" max="259" width="13.1640625" style="1916" customWidth="1"/>
    <col min="260" max="260" width="13.83203125" style="1916" customWidth="1"/>
    <col min="261" max="261" width="15" style="1916" customWidth="1"/>
    <col min="262" max="262" width="13.5" style="1916" customWidth="1"/>
    <col min="263" max="263" width="15.1640625" style="1916" customWidth="1"/>
    <col min="264" max="264" width="13.1640625" style="1916" customWidth="1"/>
    <col min="265" max="265" width="15.5" style="1916" customWidth="1"/>
    <col min="266" max="266" width="14.6640625" style="1916" bestFit="1" customWidth="1"/>
    <col min="267" max="267" width="15.1640625" style="1916" bestFit="1" customWidth="1"/>
    <col min="268" max="268" width="15.83203125" style="1916" bestFit="1" customWidth="1"/>
    <col min="269" max="269" width="13.6640625" style="1916" customWidth="1"/>
    <col min="270" max="270" width="19.5" style="1916" customWidth="1"/>
    <col min="271" max="271" width="13.1640625" style="1916" customWidth="1"/>
    <col min="272" max="272" width="14" style="1916" customWidth="1"/>
    <col min="273" max="273" width="13.1640625" style="1916" customWidth="1"/>
    <col min="274" max="274" width="18.5" style="1916" customWidth="1"/>
    <col min="275" max="275" width="14.6640625" style="1916" customWidth="1"/>
    <col min="276" max="276" width="14" style="1916" customWidth="1"/>
    <col min="277" max="282" width="16.5" style="1916" bestFit="1" customWidth="1"/>
    <col min="283" max="283" width="16.33203125" style="1916" customWidth="1"/>
    <col min="284" max="512" width="9.33203125" style="1916"/>
    <col min="513" max="513" width="3" style="1916" customWidth="1"/>
    <col min="514" max="514" width="64.5" style="1916" customWidth="1"/>
    <col min="515" max="515" width="13.1640625" style="1916" customWidth="1"/>
    <col min="516" max="516" width="13.83203125" style="1916" customWidth="1"/>
    <col min="517" max="517" width="15" style="1916" customWidth="1"/>
    <col min="518" max="518" width="13.5" style="1916" customWidth="1"/>
    <col min="519" max="519" width="15.1640625" style="1916" customWidth="1"/>
    <col min="520" max="520" width="13.1640625" style="1916" customWidth="1"/>
    <col min="521" max="521" width="15.5" style="1916" customWidth="1"/>
    <col min="522" max="522" width="14.6640625" style="1916" bestFit="1" customWidth="1"/>
    <col min="523" max="523" width="15.1640625" style="1916" bestFit="1" customWidth="1"/>
    <col min="524" max="524" width="15.83203125" style="1916" bestFit="1" customWidth="1"/>
    <col min="525" max="525" width="13.6640625" style="1916" customWidth="1"/>
    <col min="526" max="526" width="19.5" style="1916" customWidth="1"/>
    <col min="527" max="527" width="13.1640625" style="1916" customWidth="1"/>
    <col min="528" max="528" width="14" style="1916" customWidth="1"/>
    <col min="529" max="529" width="13.1640625" style="1916" customWidth="1"/>
    <col min="530" max="530" width="18.5" style="1916" customWidth="1"/>
    <col min="531" max="531" width="14.6640625" style="1916" customWidth="1"/>
    <col min="532" max="532" width="14" style="1916" customWidth="1"/>
    <col min="533" max="538" width="16.5" style="1916" bestFit="1" customWidth="1"/>
    <col min="539" max="539" width="16.33203125" style="1916" customWidth="1"/>
    <col min="540" max="768" width="9.33203125" style="1916"/>
    <col min="769" max="769" width="3" style="1916" customWidth="1"/>
    <col min="770" max="770" width="64.5" style="1916" customWidth="1"/>
    <col min="771" max="771" width="13.1640625" style="1916" customWidth="1"/>
    <col min="772" max="772" width="13.83203125" style="1916" customWidth="1"/>
    <col min="773" max="773" width="15" style="1916" customWidth="1"/>
    <col min="774" max="774" width="13.5" style="1916" customWidth="1"/>
    <col min="775" max="775" width="15.1640625" style="1916" customWidth="1"/>
    <col min="776" max="776" width="13.1640625" style="1916" customWidth="1"/>
    <col min="777" max="777" width="15.5" style="1916" customWidth="1"/>
    <col min="778" max="778" width="14.6640625" style="1916" bestFit="1" customWidth="1"/>
    <col min="779" max="779" width="15.1640625" style="1916" bestFit="1" customWidth="1"/>
    <col min="780" max="780" width="15.83203125" style="1916" bestFit="1" customWidth="1"/>
    <col min="781" max="781" width="13.6640625" style="1916" customWidth="1"/>
    <col min="782" max="782" width="19.5" style="1916" customWidth="1"/>
    <col min="783" max="783" width="13.1640625" style="1916" customWidth="1"/>
    <col min="784" max="784" width="14" style="1916" customWidth="1"/>
    <col min="785" max="785" width="13.1640625" style="1916" customWidth="1"/>
    <col min="786" max="786" width="18.5" style="1916" customWidth="1"/>
    <col min="787" max="787" width="14.6640625" style="1916" customWidth="1"/>
    <col min="788" max="788" width="14" style="1916" customWidth="1"/>
    <col min="789" max="794" width="16.5" style="1916" bestFit="1" customWidth="1"/>
    <col min="795" max="795" width="16.33203125" style="1916" customWidth="1"/>
    <col min="796" max="1024" width="9.33203125" style="1916"/>
    <col min="1025" max="1025" width="3" style="1916" customWidth="1"/>
    <col min="1026" max="1026" width="64.5" style="1916" customWidth="1"/>
    <col min="1027" max="1027" width="13.1640625" style="1916" customWidth="1"/>
    <col min="1028" max="1028" width="13.83203125" style="1916" customWidth="1"/>
    <col min="1029" max="1029" width="15" style="1916" customWidth="1"/>
    <col min="1030" max="1030" width="13.5" style="1916" customWidth="1"/>
    <col min="1031" max="1031" width="15.1640625" style="1916" customWidth="1"/>
    <col min="1032" max="1032" width="13.1640625" style="1916" customWidth="1"/>
    <col min="1033" max="1033" width="15.5" style="1916" customWidth="1"/>
    <col min="1034" max="1034" width="14.6640625" style="1916" bestFit="1" customWidth="1"/>
    <col min="1035" max="1035" width="15.1640625" style="1916" bestFit="1" customWidth="1"/>
    <col min="1036" max="1036" width="15.83203125" style="1916" bestFit="1" customWidth="1"/>
    <col min="1037" max="1037" width="13.6640625" style="1916" customWidth="1"/>
    <col min="1038" max="1038" width="19.5" style="1916" customWidth="1"/>
    <col min="1039" max="1039" width="13.1640625" style="1916" customWidth="1"/>
    <col min="1040" max="1040" width="14" style="1916" customWidth="1"/>
    <col min="1041" max="1041" width="13.1640625" style="1916" customWidth="1"/>
    <col min="1042" max="1042" width="18.5" style="1916" customWidth="1"/>
    <col min="1043" max="1043" width="14.6640625" style="1916" customWidth="1"/>
    <col min="1044" max="1044" width="14" style="1916" customWidth="1"/>
    <col min="1045" max="1050" width="16.5" style="1916" bestFit="1" customWidth="1"/>
    <col min="1051" max="1051" width="16.33203125" style="1916" customWidth="1"/>
    <col min="1052" max="1280" width="9.33203125" style="1916"/>
    <col min="1281" max="1281" width="3" style="1916" customWidth="1"/>
    <col min="1282" max="1282" width="64.5" style="1916" customWidth="1"/>
    <col min="1283" max="1283" width="13.1640625" style="1916" customWidth="1"/>
    <col min="1284" max="1284" width="13.83203125" style="1916" customWidth="1"/>
    <col min="1285" max="1285" width="15" style="1916" customWidth="1"/>
    <col min="1286" max="1286" width="13.5" style="1916" customWidth="1"/>
    <col min="1287" max="1287" width="15.1640625" style="1916" customWidth="1"/>
    <col min="1288" max="1288" width="13.1640625" style="1916" customWidth="1"/>
    <col min="1289" max="1289" width="15.5" style="1916" customWidth="1"/>
    <col min="1290" max="1290" width="14.6640625" style="1916" bestFit="1" customWidth="1"/>
    <col min="1291" max="1291" width="15.1640625" style="1916" bestFit="1" customWidth="1"/>
    <col min="1292" max="1292" width="15.83203125" style="1916" bestFit="1" customWidth="1"/>
    <col min="1293" max="1293" width="13.6640625" style="1916" customWidth="1"/>
    <col min="1294" max="1294" width="19.5" style="1916" customWidth="1"/>
    <col min="1295" max="1295" width="13.1640625" style="1916" customWidth="1"/>
    <col min="1296" max="1296" width="14" style="1916" customWidth="1"/>
    <col min="1297" max="1297" width="13.1640625" style="1916" customWidth="1"/>
    <col min="1298" max="1298" width="18.5" style="1916" customWidth="1"/>
    <col min="1299" max="1299" width="14.6640625" style="1916" customWidth="1"/>
    <col min="1300" max="1300" width="14" style="1916" customWidth="1"/>
    <col min="1301" max="1306" width="16.5" style="1916" bestFit="1" customWidth="1"/>
    <col min="1307" max="1307" width="16.33203125" style="1916" customWidth="1"/>
    <col min="1308" max="1536" width="9.33203125" style="1916"/>
    <col min="1537" max="1537" width="3" style="1916" customWidth="1"/>
    <col min="1538" max="1538" width="64.5" style="1916" customWidth="1"/>
    <col min="1539" max="1539" width="13.1640625" style="1916" customWidth="1"/>
    <col min="1540" max="1540" width="13.83203125" style="1916" customWidth="1"/>
    <col min="1541" max="1541" width="15" style="1916" customWidth="1"/>
    <col min="1542" max="1542" width="13.5" style="1916" customWidth="1"/>
    <col min="1543" max="1543" width="15.1640625" style="1916" customWidth="1"/>
    <col min="1544" max="1544" width="13.1640625" style="1916" customWidth="1"/>
    <col min="1545" max="1545" width="15.5" style="1916" customWidth="1"/>
    <col min="1546" max="1546" width="14.6640625" style="1916" bestFit="1" customWidth="1"/>
    <col min="1547" max="1547" width="15.1640625" style="1916" bestFit="1" customWidth="1"/>
    <col min="1548" max="1548" width="15.83203125" style="1916" bestFit="1" customWidth="1"/>
    <col min="1549" max="1549" width="13.6640625" style="1916" customWidth="1"/>
    <col min="1550" max="1550" width="19.5" style="1916" customWidth="1"/>
    <col min="1551" max="1551" width="13.1640625" style="1916" customWidth="1"/>
    <col min="1552" max="1552" width="14" style="1916" customWidth="1"/>
    <col min="1553" max="1553" width="13.1640625" style="1916" customWidth="1"/>
    <col min="1554" max="1554" width="18.5" style="1916" customWidth="1"/>
    <col min="1555" max="1555" width="14.6640625" style="1916" customWidth="1"/>
    <col min="1556" max="1556" width="14" style="1916" customWidth="1"/>
    <col min="1557" max="1562" width="16.5" style="1916" bestFit="1" customWidth="1"/>
    <col min="1563" max="1563" width="16.33203125" style="1916" customWidth="1"/>
    <col min="1564" max="1792" width="9.33203125" style="1916"/>
    <col min="1793" max="1793" width="3" style="1916" customWidth="1"/>
    <col min="1794" max="1794" width="64.5" style="1916" customWidth="1"/>
    <col min="1795" max="1795" width="13.1640625" style="1916" customWidth="1"/>
    <col min="1796" max="1796" width="13.83203125" style="1916" customWidth="1"/>
    <col min="1797" max="1797" width="15" style="1916" customWidth="1"/>
    <col min="1798" max="1798" width="13.5" style="1916" customWidth="1"/>
    <col min="1799" max="1799" width="15.1640625" style="1916" customWidth="1"/>
    <col min="1800" max="1800" width="13.1640625" style="1916" customWidth="1"/>
    <col min="1801" max="1801" width="15.5" style="1916" customWidth="1"/>
    <col min="1802" max="1802" width="14.6640625" style="1916" bestFit="1" customWidth="1"/>
    <col min="1803" max="1803" width="15.1640625" style="1916" bestFit="1" customWidth="1"/>
    <col min="1804" max="1804" width="15.83203125" style="1916" bestFit="1" customWidth="1"/>
    <col min="1805" max="1805" width="13.6640625" style="1916" customWidth="1"/>
    <col min="1806" max="1806" width="19.5" style="1916" customWidth="1"/>
    <col min="1807" max="1807" width="13.1640625" style="1916" customWidth="1"/>
    <col min="1808" max="1808" width="14" style="1916" customWidth="1"/>
    <col min="1809" max="1809" width="13.1640625" style="1916" customWidth="1"/>
    <col min="1810" max="1810" width="18.5" style="1916" customWidth="1"/>
    <col min="1811" max="1811" width="14.6640625" style="1916" customWidth="1"/>
    <col min="1812" max="1812" width="14" style="1916" customWidth="1"/>
    <col min="1813" max="1818" width="16.5" style="1916" bestFit="1" customWidth="1"/>
    <col min="1819" max="1819" width="16.33203125" style="1916" customWidth="1"/>
    <col min="1820" max="2048" width="9.33203125" style="1916"/>
    <col min="2049" max="2049" width="3" style="1916" customWidth="1"/>
    <col min="2050" max="2050" width="64.5" style="1916" customWidth="1"/>
    <col min="2051" max="2051" width="13.1640625" style="1916" customWidth="1"/>
    <col min="2052" max="2052" width="13.83203125" style="1916" customWidth="1"/>
    <col min="2053" max="2053" width="15" style="1916" customWidth="1"/>
    <col min="2054" max="2054" width="13.5" style="1916" customWidth="1"/>
    <col min="2055" max="2055" width="15.1640625" style="1916" customWidth="1"/>
    <col min="2056" max="2056" width="13.1640625" style="1916" customWidth="1"/>
    <col min="2057" max="2057" width="15.5" style="1916" customWidth="1"/>
    <col min="2058" max="2058" width="14.6640625" style="1916" bestFit="1" customWidth="1"/>
    <col min="2059" max="2059" width="15.1640625" style="1916" bestFit="1" customWidth="1"/>
    <col min="2060" max="2060" width="15.83203125" style="1916" bestFit="1" customWidth="1"/>
    <col min="2061" max="2061" width="13.6640625" style="1916" customWidth="1"/>
    <col min="2062" max="2062" width="19.5" style="1916" customWidth="1"/>
    <col min="2063" max="2063" width="13.1640625" style="1916" customWidth="1"/>
    <col min="2064" max="2064" width="14" style="1916" customWidth="1"/>
    <col min="2065" max="2065" width="13.1640625" style="1916" customWidth="1"/>
    <col min="2066" max="2066" width="18.5" style="1916" customWidth="1"/>
    <col min="2067" max="2067" width="14.6640625" style="1916" customWidth="1"/>
    <col min="2068" max="2068" width="14" style="1916" customWidth="1"/>
    <col min="2069" max="2074" width="16.5" style="1916" bestFit="1" customWidth="1"/>
    <col min="2075" max="2075" width="16.33203125" style="1916" customWidth="1"/>
    <col min="2076" max="2304" width="9.33203125" style="1916"/>
    <col min="2305" max="2305" width="3" style="1916" customWidth="1"/>
    <col min="2306" max="2306" width="64.5" style="1916" customWidth="1"/>
    <col min="2307" max="2307" width="13.1640625" style="1916" customWidth="1"/>
    <col min="2308" max="2308" width="13.83203125" style="1916" customWidth="1"/>
    <col min="2309" max="2309" width="15" style="1916" customWidth="1"/>
    <col min="2310" max="2310" width="13.5" style="1916" customWidth="1"/>
    <col min="2311" max="2311" width="15.1640625" style="1916" customWidth="1"/>
    <col min="2312" max="2312" width="13.1640625" style="1916" customWidth="1"/>
    <col min="2313" max="2313" width="15.5" style="1916" customWidth="1"/>
    <col min="2314" max="2314" width="14.6640625" style="1916" bestFit="1" customWidth="1"/>
    <col min="2315" max="2315" width="15.1640625" style="1916" bestFit="1" customWidth="1"/>
    <col min="2316" max="2316" width="15.83203125" style="1916" bestFit="1" customWidth="1"/>
    <col min="2317" max="2317" width="13.6640625" style="1916" customWidth="1"/>
    <col min="2318" max="2318" width="19.5" style="1916" customWidth="1"/>
    <col min="2319" max="2319" width="13.1640625" style="1916" customWidth="1"/>
    <col min="2320" max="2320" width="14" style="1916" customWidth="1"/>
    <col min="2321" max="2321" width="13.1640625" style="1916" customWidth="1"/>
    <col min="2322" max="2322" width="18.5" style="1916" customWidth="1"/>
    <col min="2323" max="2323" width="14.6640625" style="1916" customWidth="1"/>
    <col min="2324" max="2324" width="14" style="1916" customWidth="1"/>
    <col min="2325" max="2330" width="16.5" style="1916" bestFit="1" customWidth="1"/>
    <col min="2331" max="2331" width="16.33203125" style="1916" customWidth="1"/>
    <col min="2332" max="2560" width="9.33203125" style="1916"/>
    <col min="2561" max="2561" width="3" style="1916" customWidth="1"/>
    <col min="2562" max="2562" width="64.5" style="1916" customWidth="1"/>
    <col min="2563" max="2563" width="13.1640625" style="1916" customWidth="1"/>
    <col min="2564" max="2564" width="13.83203125" style="1916" customWidth="1"/>
    <col min="2565" max="2565" width="15" style="1916" customWidth="1"/>
    <col min="2566" max="2566" width="13.5" style="1916" customWidth="1"/>
    <col min="2567" max="2567" width="15.1640625" style="1916" customWidth="1"/>
    <col min="2568" max="2568" width="13.1640625" style="1916" customWidth="1"/>
    <col min="2569" max="2569" width="15.5" style="1916" customWidth="1"/>
    <col min="2570" max="2570" width="14.6640625" style="1916" bestFit="1" customWidth="1"/>
    <col min="2571" max="2571" width="15.1640625" style="1916" bestFit="1" customWidth="1"/>
    <col min="2572" max="2572" width="15.83203125" style="1916" bestFit="1" customWidth="1"/>
    <col min="2573" max="2573" width="13.6640625" style="1916" customWidth="1"/>
    <col min="2574" max="2574" width="19.5" style="1916" customWidth="1"/>
    <col min="2575" max="2575" width="13.1640625" style="1916" customWidth="1"/>
    <col min="2576" max="2576" width="14" style="1916" customWidth="1"/>
    <col min="2577" max="2577" width="13.1640625" style="1916" customWidth="1"/>
    <col min="2578" max="2578" width="18.5" style="1916" customWidth="1"/>
    <col min="2579" max="2579" width="14.6640625" style="1916" customWidth="1"/>
    <col min="2580" max="2580" width="14" style="1916" customWidth="1"/>
    <col min="2581" max="2586" width="16.5" style="1916" bestFit="1" customWidth="1"/>
    <col min="2587" max="2587" width="16.33203125" style="1916" customWidth="1"/>
    <col min="2588" max="2816" width="9.33203125" style="1916"/>
    <col min="2817" max="2817" width="3" style="1916" customWidth="1"/>
    <col min="2818" max="2818" width="64.5" style="1916" customWidth="1"/>
    <col min="2819" max="2819" width="13.1640625" style="1916" customWidth="1"/>
    <col min="2820" max="2820" width="13.83203125" style="1916" customWidth="1"/>
    <col min="2821" max="2821" width="15" style="1916" customWidth="1"/>
    <col min="2822" max="2822" width="13.5" style="1916" customWidth="1"/>
    <col min="2823" max="2823" width="15.1640625" style="1916" customWidth="1"/>
    <col min="2824" max="2824" width="13.1640625" style="1916" customWidth="1"/>
    <col min="2825" max="2825" width="15.5" style="1916" customWidth="1"/>
    <col min="2826" max="2826" width="14.6640625" style="1916" bestFit="1" customWidth="1"/>
    <col min="2827" max="2827" width="15.1640625" style="1916" bestFit="1" customWidth="1"/>
    <col min="2828" max="2828" width="15.83203125" style="1916" bestFit="1" customWidth="1"/>
    <col min="2829" max="2829" width="13.6640625" style="1916" customWidth="1"/>
    <col min="2830" max="2830" width="19.5" style="1916" customWidth="1"/>
    <col min="2831" max="2831" width="13.1640625" style="1916" customWidth="1"/>
    <col min="2832" max="2832" width="14" style="1916" customWidth="1"/>
    <col min="2833" max="2833" width="13.1640625" style="1916" customWidth="1"/>
    <col min="2834" max="2834" width="18.5" style="1916" customWidth="1"/>
    <col min="2835" max="2835" width="14.6640625" style="1916" customWidth="1"/>
    <col min="2836" max="2836" width="14" style="1916" customWidth="1"/>
    <col min="2837" max="2842" width="16.5" style="1916" bestFit="1" customWidth="1"/>
    <col min="2843" max="2843" width="16.33203125" style="1916" customWidth="1"/>
    <col min="2844" max="3072" width="9.33203125" style="1916"/>
    <col min="3073" max="3073" width="3" style="1916" customWidth="1"/>
    <col min="3074" max="3074" width="64.5" style="1916" customWidth="1"/>
    <col min="3075" max="3075" width="13.1640625" style="1916" customWidth="1"/>
    <col min="3076" max="3076" width="13.83203125" style="1916" customWidth="1"/>
    <col min="3077" max="3077" width="15" style="1916" customWidth="1"/>
    <col min="3078" max="3078" width="13.5" style="1916" customWidth="1"/>
    <col min="3079" max="3079" width="15.1640625" style="1916" customWidth="1"/>
    <col min="3080" max="3080" width="13.1640625" style="1916" customWidth="1"/>
    <col min="3081" max="3081" width="15.5" style="1916" customWidth="1"/>
    <col min="3082" max="3082" width="14.6640625" style="1916" bestFit="1" customWidth="1"/>
    <col min="3083" max="3083" width="15.1640625" style="1916" bestFit="1" customWidth="1"/>
    <col min="3084" max="3084" width="15.83203125" style="1916" bestFit="1" customWidth="1"/>
    <col min="3085" max="3085" width="13.6640625" style="1916" customWidth="1"/>
    <col min="3086" max="3086" width="19.5" style="1916" customWidth="1"/>
    <col min="3087" max="3087" width="13.1640625" style="1916" customWidth="1"/>
    <col min="3088" max="3088" width="14" style="1916" customWidth="1"/>
    <col min="3089" max="3089" width="13.1640625" style="1916" customWidth="1"/>
    <col min="3090" max="3090" width="18.5" style="1916" customWidth="1"/>
    <col min="3091" max="3091" width="14.6640625" style="1916" customWidth="1"/>
    <col min="3092" max="3092" width="14" style="1916" customWidth="1"/>
    <col min="3093" max="3098" width="16.5" style="1916" bestFit="1" customWidth="1"/>
    <col min="3099" max="3099" width="16.33203125" style="1916" customWidth="1"/>
    <col min="3100" max="3328" width="9.33203125" style="1916"/>
    <col min="3329" max="3329" width="3" style="1916" customWidth="1"/>
    <col min="3330" max="3330" width="64.5" style="1916" customWidth="1"/>
    <col min="3331" max="3331" width="13.1640625" style="1916" customWidth="1"/>
    <col min="3332" max="3332" width="13.83203125" style="1916" customWidth="1"/>
    <col min="3333" max="3333" width="15" style="1916" customWidth="1"/>
    <col min="3334" max="3334" width="13.5" style="1916" customWidth="1"/>
    <col min="3335" max="3335" width="15.1640625" style="1916" customWidth="1"/>
    <col min="3336" max="3336" width="13.1640625" style="1916" customWidth="1"/>
    <col min="3337" max="3337" width="15.5" style="1916" customWidth="1"/>
    <col min="3338" max="3338" width="14.6640625" style="1916" bestFit="1" customWidth="1"/>
    <col min="3339" max="3339" width="15.1640625" style="1916" bestFit="1" customWidth="1"/>
    <col min="3340" max="3340" width="15.83203125" style="1916" bestFit="1" customWidth="1"/>
    <col min="3341" max="3341" width="13.6640625" style="1916" customWidth="1"/>
    <col min="3342" max="3342" width="19.5" style="1916" customWidth="1"/>
    <col min="3343" max="3343" width="13.1640625" style="1916" customWidth="1"/>
    <col min="3344" max="3344" width="14" style="1916" customWidth="1"/>
    <col min="3345" max="3345" width="13.1640625" style="1916" customWidth="1"/>
    <col min="3346" max="3346" width="18.5" style="1916" customWidth="1"/>
    <col min="3347" max="3347" width="14.6640625" style="1916" customWidth="1"/>
    <col min="3348" max="3348" width="14" style="1916" customWidth="1"/>
    <col min="3349" max="3354" width="16.5" style="1916" bestFit="1" customWidth="1"/>
    <col min="3355" max="3355" width="16.33203125" style="1916" customWidth="1"/>
    <col min="3356" max="3584" width="9.33203125" style="1916"/>
    <col min="3585" max="3585" width="3" style="1916" customWidth="1"/>
    <col min="3586" max="3586" width="64.5" style="1916" customWidth="1"/>
    <col min="3587" max="3587" width="13.1640625" style="1916" customWidth="1"/>
    <col min="3588" max="3588" width="13.83203125" style="1916" customWidth="1"/>
    <col min="3589" max="3589" width="15" style="1916" customWidth="1"/>
    <col min="3590" max="3590" width="13.5" style="1916" customWidth="1"/>
    <col min="3591" max="3591" width="15.1640625" style="1916" customWidth="1"/>
    <col min="3592" max="3592" width="13.1640625" style="1916" customWidth="1"/>
    <col min="3593" max="3593" width="15.5" style="1916" customWidth="1"/>
    <col min="3594" max="3594" width="14.6640625" style="1916" bestFit="1" customWidth="1"/>
    <col min="3595" max="3595" width="15.1640625" style="1916" bestFit="1" customWidth="1"/>
    <col min="3596" max="3596" width="15.83203125" style="1916" bestFit="1" customWidth="1"/>
    <col min="3597" max="3597" width="13.6640625" style="1916" customWidth="1"/>
    <col min="3598" max="3598" width="19.5" style="1916" customWidth="1"/>
    <col min="3599" max="3599" width="13.1640625" style="1916" customWidth="1"/>
    <col min="3600" max="3600" width="14" style="1916" customWidth="1"/>
    <col min="3601" max="3601" width="13.1640625" style="1916" customWidth="1"/>
    <col min="3602" max="3602" width="18.5" style="1916" customWidth="1"/>
    <col min="3603" max="3603" width="14.6640625" style="1916" customWidth="1"/>
    <col min="3604" max="3604" width="14" style="1916" customWidth="1"/>
    <col min="3605" max="3610" width="16.5" style="1916" bestFit="1" customWidth="1"/>
    <col min="3611" max="3611" width="16.33203125" style="1916" customWidth="1"/>
    <col min="3612" max="3840" width="9.33203125" style="1916"/>
    <col min="3841" max="3841" width="3" style="1916" customWidth="1"/>
    <col min="3842" max="3842" width="64.5" style="1916" customWidth="1"/>
    <col min="3843" max="3843" width="13.1640625" style="1916" customWidth="1"/>
    <col min="3844" max="3844" width="13.83203125" style="1916" customWidth="1"/>
    <col min="3845" max="3845" width="15" style="1916" customWidth="1"/>
    <col min="3846" max="3846" width="13.5" style="1916" customWidth="1"/>
    <col min="3847" max="3847" width="15.1640625" style="1916" customWidth="1"/>
    <col min="3848" max="3848" width="13.1640625" style="1916" customWidth="1"/>
    <col min="3849" max="3849" width="15.5" style="1916" customWidth="1"/>
    <col min="3850" max="3850" width="14.6640625" style="1916" bestFit="1" customWidth="1"/>
    <col min="3851" max="3851" width="15.1640625" style="1916" bestFit="1" customWidth="1"/>
    <col min="3852" max="3852" width="15.83203125" style="1916" bestFit="1" customWidth="1"/>
    <col min="3853" max="3853" width="13.6640625" style="1916" customWidth="1"/>
    <col min="3854" max="3854" width="19.5" style="1916" customWidth="1"/>
    <col min="3855" max="3855" width="13.1640625" style="1916" customWidth="1"/>
    <col min="3856" max="3856" width="14" style="1916" customWidth="1"/>
    <col min="3857" max="3857" width="13.1640625" style="1916" customWidth="1"/>
    <col min="3858" max="3858" width="18.5" style="1916" customWidth="1"/>
    <col min="3859" max="3859" width="14.6640625" style="1916" customWidth="1"/>
    <col min="3860" max="3860" width="14" style="1916" customWidth="1"/>
    <col min="3861" max="3866" width="16.5" style="1916" bestFit="1" customWidth="1"/>
    <col min="3867" max="3867" width="16.33203125" style="1916" customWidth="1"/>
    <col min="3868" max="4096" width="9.33203125" style="1916"/>
    <col min="4097" max="4097" width="3" style="1916" customWidth="1"/>
    <col min="4098" max="4098" width="64.5" style="1916" customWidth="1"/>
    <col min="4099" max="4099" width="13.1640625" style="1916" customWidth="1"/>
    <col min="4100" max="4100" width="13.83203125" style="1916" customWidth="1"/>
    <col min="4101" max="4101" width="15" style="1916" customWidth="1"/>
    <col min="4102" max="4102" width="13.5" style="1916" customWidth="1"/>
    <col min="4103" max="4103" width="15.1640625" style="1916" customWidth="1"/>
    <col min="4104" max="4104" width="13.1640625" style="1916" customWidth="1"/>
    <col min="4105" max="4105" width="15.5" style="1916" customWidth="1"/>
    <col min="4106" max="4106" width="14.6640625" style="1916" bestFit="1" customWidth="1"/>
    <col min="4107" max="4107" width="15.1640625" style="1916" bestFit="1" customWidth="1"/>
    <col min="4108" max="4108" width="15.83203125" style="1916" bestFit="1" customWidth="1"/>
    <col min="4109" max="4109" width="13.6640625" style="1916" customWidth="1"/>
    <col min="4110" max="4110" width="19.5" style="1916" customWidth="1"/>
    <col min="4111" max="4111" width="13.1640625" style="1916" customWidth="1"/>
    <col min="4112" max="4112" width="14" style="1916" customWidth="1"/>
    <col min="4113" max="4113" width="13.1640625" style="1916" customWidth="1"/>
    <col min="4114" max="4114" width="18.5" style="1916" customWidth="1"/>
    <col min="4115" max="4115" width="14.6640625" style="1916" customWidth="1"/>
    <col min="4116" max="4116" width="14" style="1916" customWidth="1"/>
    <col min="4117" max="4122" width="16.5" style="1916" bestFit="1" customWidth="1"/>
    <col min="4123" max="4123" width="16.33203125" style="1916" customWidth="1"/>
    <col min="4124" max="4352" width="9.33203125" style="1916"/>
    <col min="4353" max="4353" width="3" style="1916" customWidth="1"/>
    <col min="4354" max="4354" width="64.5" style="1916" customWidth="1"/>
    <col min="4355" max="4355" width="13.1640625" style="1916" customWidth="1"/>
    <col min="4356" max="4356" width="13.83203125" style="1916" customWidth="1"/>
    <col min="4357" max="4357" width="15" style="1916" customWidth="1"/>
    <col min="4358" max="4358" width="13.5" style="1916" customWidth="1"/>
    <col min="4359" max="4359" width="15.1640625" style="1916" customWidth="1"/>
    <col min="4360" max="4360" width="13.1640625" style="1916" customWidth="1"/>
    <col min="4361" max="4361" width="15.5" style="1916" customWidth="1"/>
    <col min="4362" max="4362" width="14.6640625" style="1916" bestFit="1" customWidth="1"/>
    <col min="4363" max="4363" width="15.1640625" style="1916" bestFit="1" customWidth="1"/>
    <col min="4364" max="4364" width="15.83203125" style="1916" bestFit="1" customWidth="1"/>
    <col min="4365" max="4365" width="13.6640625" style="1916" customWidth="1"/>
    <col min="4366" max="4366" width="19.5" style="1916" customWidth="1"/>
    <col min="4367" max="4367" width="13.1640625" style="1916" customWidth="1"/>
    <col min="4368" max="4368" width="14" style="1916" customWidth="1"/>
    <col min="4369" max="4369" width="13.1640625" style="1916" customWidth="1"/>
    <col min="4370" max="4370" width="18.5" style="1916" customWidth="1"/>
    <col min="4371" max="4371" width="14.6640625" style="1916" customWidth="1"/>
    <col min="4372" max="4372" width="14" style="1916" customWidth="1"/>
    <col min="4373" max="4378" width="16.5" style="1916" bestFit="1" customWidth="1"/>
    <col min="4379" max="4379" width="16.33203125" style="1916" customWidth="1"/>
    <col min="4380" max="4608" width="9.33203125" style="1916"/>
    <col min="4609" max="4609" width="3" style="1916" customWidth="1"/>
    <col min="4610" max="4610" width="64.5" style="1916" customWidth="1"/>
    <col min="4611" max="4611" width="13.1640625" style="1916" customWidth="1"/>
    <col min="4612" max="4612" width="13.83203125" style="1916" customWidth="1"/>
    <col min="4613" max="4613" width="15" style="1916" customWidth="1"/>
    <col min="4614" max="4614" width="13.5" style="1916" customWidth="1"/>
    <col min="4615" max="4615" width="15.1640625" style="1916" customWidth="1"/>
    <col min="4616" max="4616" width="13.1640625" style="1916" customWidth="1"/>
    <col min="4617" max="4617" width="15.5" style="1916" customWidth="1"/>
    <col min="4618" max="4618" width="14.6640625" style="1916" bestFit="1" customWidth="1"/>
    <col min="4619" max="4619" width="15.1640625" style="1916" bestFit="1" customWidth="1"/>
    <col min="4620" max="4620" width="15.83203125" style="1916" bestFit="1" customWidth="1"/>
    <col min="4621" max="4621" width="13.6640625" style="1916" customWidth="1"/>
    <col min="4622" max="4622" width="19.5" style="1916" customWidth="1"/>
    <col min="4623" max="4623" width="13.1640625" style="1916" customWidth="1"/>
    <col min="4624" max="4624" width="14" style="1916" customWidth="1"/>
    <col min="4625" max="4625" width="13.1640625" style="1916" customWidth="1"/>
    <col min="4626" max="4626" width="18.5" style="1916" customWidth="1"/>
    <col min="4627" max="4627" width="14.6640625" style="1916" customWidth="1"/>
    <col min="4628" max="4628" width="14" style="1916" customWidth="1"/>
    <col min="4629" max="4634" width="16.5" style="1916" bestFit="1" customWidth="1"/>
    <col min="4635" max="4635" width="16.33203125" style="1916" customWidth="1"/>
    <col min="4636" max="4864" width="9.33203125" style="1916"/>
    <col min="4865" max="4865" width="3" style="1916" customWidth="1"/>
    <col min="4866" max="4866" width="64.5" style="1916" customWidth="1"/>
    <col min="4867" max="4867" width="13.1640625" style="1916" customWidth="1"/>
    <col min="4868" max="4868" width="13.83203125" style="1916" customWidth="1"/>
    <col min="4869" max="4869" width="15" style="1916" customWidth="1"/>
    <col min="4870" max="4870" width="13.5" style="1916" customWidth="1"/>
    <col min="4871" max="4871" width="15.1640625" style="1916" customWidth="1"/>
    <col min="4872" max="4872" width="13.1640625" style="1916" customWidth="1"/>
    <col min="4873" max="4873" width="15.5" style="1916" customWidth="1"/>
    <col min="4874" max="4874" width="14.6640625" style="1916" bestFit="1" customWidth="1"/>
    <col min="4875" max="4875" width="15.1640625" style="1916" bestFit="1" customWidth="1"/>
    <col min="4876" max="4876" width="15.83203125" style="1916" bestFit="1" customWidth="1"/>
    <col min="4877" max="4877" width="13.6640625" style="1916" customWidth="1"/>
    <col min="4878" max="4878" width="19.5" style="1916" customWidth="1"/>
    <col min="4879" max="4879" width="13.1640625" style="1916" customWidth="1"/>
    <col min="4880" max="4880" width="14" style="1916" customWidth="1"/>
    <col min="4881" max="4881" width="13.1640625" style="1916" customWidth="1"/>
    <col min="4882" max="4882" width="18.5" style="1916" customWidth="1"/>
    <col min="4883" max="4883" width="14.6640625" style="1916" customWidth="1"/>
    <col min="4884" max="4884" width="14" style="1916" customWidth="1"/>
    <col min="4885" max="4890" width="16.5" style="1916" bestFit="1" customWidth="1"/>
    <col min="4891" max="4891" width="16.33203125" style="1916" customWidth="1"/>
    <col min="4892" max="5120" width="9.33203125" style="1916"/>
    <col min="5121" max="5121" width="3" style="1916" customWidth="1"/>
    <col min="5122" max="5122" width="64.5" style="1916" customWidth="1"/>
    <col min="5123" max="5123" width="13.1640625" style="1916" customWidth="1"/>
    <col min="5124" max="5124" width="13.83203125" style="1916" customWidth="1"/>
    <col min="5125" max="5125" width="15" style="1916" customWidth="1"/>
    <col min="5126" max="5126" width="13.5" style="1916" customWidth="1"/>
    <col min="5127" max="5127" width="15.1640625" style="1916" customWidth="1"/>
    <col min="5128" max="5128" width="13.1640625" style="1916" customWidth="1"/>
    <col min="5129" max="5129" width="15.5" style="1916" customWidth="1"/>
    <col min="5130" max="5130" width="14.6640625" style="1916" bestFit="1" customWidth="1"/>
    <col min="5131" max="5131" width="15.1640625" style="1916" bestFit="1" customWidth="1"/>
    <col min="5132" max="5132" width="15.83203125" style="1916" bestFit="1" customWidth="1"/>
    <col min="5133" max="5133" width="13.6640625" style="1916" customWidth="1"/>
    <col min="5134" max="5134" width="19.5" style="1916" customWidth="1"/>
    <col min="5135" max="5135" width="13.1640625" style="1916" customWidth="1"/>
    <col min="5136" max="5136" width="14" style="1916" customWidth="1"/>
    <col min="5137" max="5137" width="13.1640625" style="1916" customWidth="1"/>
    <col min="5138" max="5138" width="18.5" style="1916" customWidth="1"/>
    <col min="5139" max="5139" width="14.6640625" style="1916" customWidth="1"/>
    <col min="5140" max="5140" width="14" style="1916" customWidth="1"/>
    <col min="5141" max="5146" width="16.5" style="1916" bestFit="1" customWidth="1"/>
    <col min="5147" max="5147" width="16.33203125" style="1916" customWidth="1"/>
    <col min="5148" max="5376" width="9.33203125" style="1916"/>
    <col min="5377" max="5377" width="3" style="1916" customWidth="1"/>
    <col min="5378" max="5378" width="64.5" style="1916" customWidth="1"/>
    <col min="5379" max="5379" width="13.1640625" style="1916" customWidth="1"/>
    <col min="5380" max="5380" width="13.83203125" style="1916" customWidth="1"/>
    <col min="5381" max="5381" width="15" style="1916" customWidth="1"/>
    <col min="5382" max="5382" width="13.5" style="1916" customWidth="1"/>
    <col min="5383" max="5383" width="15.1640625" style="1916" customWidth="1"/>
    <col min="5384" max="5384" width="13.1640625" style="1916" customWidth="1"/>
    <col min="5385" max="5385" width="15.5" style="1916" customWidth="1"/>
    <col min="5386" max="5386" width="14.6640625" style="1916" bestFit="1" customWidth="1"/>
    <col min="5387" max="5387" width="15.1640625" style="1916" bestFit="1" customWidth="1"/>
    <col min="5388" max="5388" width="15.83203125" style="1916" bestFit="1" customWidth="1"/>
    <col min="5389" max="5389" width="13.6640625" style="1916" customWidth="1"/>
    <col min="5390" max="5390" width="19.5" style="1916" customWidth="1"/>
    <col min="5391" max="5391" width="13.1640625" style="1916" customWidth="1"/>
    <col min="5392" max="5392" width="14" style="1916" customWidth="1"/>
    <col min="5393" max="5393" width="13.1640625" style="1916" customWidth="1"/>
    <col min="5394" max="5394" width="18.5" style="1916" customWidth="1"/>
    <col min="5395" max="5395" width="14.6640625" style="1916" customWidth="1"/>
    <col min="5396" max="5396" width="14" style="1916" customWidth="1"/>
    <col min="5397" max="5402" width="16.5" style="1916" bestFit="1" customWidth="1"/>
    <col min="5403" max="5403" width="16.33203125" style="1916" customWidth="1"/>
    <col min="5404" max="5632" width="9.33203125" style="1916"/>
    <col min="5633" max="5633" width="3" style="1916" customWidth="1"/>
    <col min="5634" max="5634" width="64.5" style="1916" customWidth="1"/>
    <col min="5635" max="5635" width="13.1640625" style="1916" customWidth="1"/>
    <col min="5636" max="5636" width="13.83203125" style="1916" customWidth="1"/>
    <col min="5637" max="5637" width="15" style="1916" customWidth="1"/>
    <col min="5638" max="5638" width="13.5" style="1916" customWidth="1"/>
    <col min="5639" max="5639" width="15.1640625" style="1916" customWidth="1"/>
    <col min="5640" max="5640" width="13.1640625" style="1916" customWidth="1"/>
    <col min="5641" max="5641" width="15.5" style="1916" customWidth="1"/>
    <col min="5642" max="5642" width="14.6640625" style="1916" bestFit="1" customWidth="1"/>
    <col min="5643" max="5643" width="15.1640625" style="1916" bestFit="1" customWidth="1"/>
    <col min="5644" max="5644" width="15.83203125" style="1916" bestFit="1" customWidth="1"/>
    <col min="5645" max="5645" width="13.6640625" style="1916" customWidth="1"/>
    <col min="5646" max="5646" width="19.5" style="1916" customWidth="1"/>
    <col min="5647" max="5647" width="13.1640625" style="1916" customWidth="1"/>
    <col min="5648" max="5648" width="14" style="1916" customWidth="1"/>
    <col min="5649" max="5649" width="13.1640625" style="1916" customWidth="1"/>
    <col min="5650" max="5650" width="18.5" style="1916" customWidth="1"/>
    <col min="5651" max="5651" width="14.6640625" style="1916" customWidth="1"/>
    <col min="5652" max="5652" width="14" style="1916" customWidth="1"/>
    <col min="5653" max="5658" width="16.5" style="1916" bestFit="1" customWidth="1"/>
    <col min="5659" max="5659" width="16.33203125" style="1916" customWidth="1"/>
    <col min="5660" max="5888" width="9.33203125" style="1916"/>
    <col min="5889" max="5889" width="3" style="1916" customWidth="1"/>
    <col min="5890" max="5890" width="64.5" style="1916" customWidth="1"/>
    <col min="5891" max="5891" width="13.1640625" style="1916" customWidth="1"/>
    <col min="5892" max="5892" width="13.83203125" style="1916" customWidth="1"/>
    <col min="5893" max="5893" width="15" style="1916" customWidth="1"/>
    <col min="5894" max="5894" width="13.5" style="1916" customWidth="1"/>
    <col min="5895" max="5895" width="15.1640625" style="1916" customWidth="1"/>
    <col min="5896" max="5896" width="13.1640625" style="1916" customWidth="1"/>
    <col min="5897" max="5897" width="15.5" style="1916" customWidth="1"/>
    <col min="5898" max="5898" width="14.6640625" style="1916" bestFit="1" customWidth="1"/>
    <col min="5899" max="5899" width="15.1640625" style="1916" bestFit="1" customWidth="1"/>
    <col min="5900" max="5900" width="15.83203125" style="1916" bestFit="1" customWidth="1"/>
    <col min="5901" max="5901" width="13.6640625" style="1916" customWidth="1"/>
    <col min="5902" max="5902" width="19.5" style="1916" customWidth="1"/>
    <col min="5903" max="5903" width="13.1640625" style="1916" customWidth="1"/>
    <col min="5904" max="5904" width="14" style="1916" customWidth="1"/>
    <col min="5905" max="5905" width="13.1640625" style="1916" customWidth="1"/>
    <col min="5906" max="5906" width="18.5" style="1916" customWidth="1"/>
    <col min="5907" max="5907" width="14.6640625" style="1916" customWidth="1"/>
    <col min="5908" max="5908" width="14" style="1916" customWidth="1"/>
    <col min="5909" max="5914" width="16.5" style="1916" bestFit="1" customWidth="1"/>
    <col min="5915" max="5915" width="16.33203125" style="1916" customWidth="1"/>
    <col min="5916" max="6144" width="9.33203125" style="1916"/>
    <col min="6145" max="6145" width="3" style="1916" customWidth="1"/>
    <col min="6146" max="6146" width="64.5" style="1916" customWidth="1"/>
    <col min="6147" max="6147" width="13.1640625" style="1916" customWidth="1"/>
    <col min="6148" max="6148" width="13.83203125" style="1916" customWidth="1"/>
    <col min="6149" max="6149" width="15" style="1916" customWidth="1"/>
    <col min="6150" max="6150" width="13.5" style="1916" customWidth="1"/>
    <col min="6151" max="6151" width="15.1640625" style="1916" customWidth="1"/>
    <col min="6152" max="6152" width="13.1640625" style="1916" customWidth="1"/>
    <col min="6153" max="6153" width="15.5" style="1916" customWidth="1"/>
    <col min="6154" max="6154" width="14.6640625" style="1916" bestFit="1" customWidth="1"/>
    <col min="6155" max="6155" width="15.1640625" style="1916" bestFit="1" customWidth="1"/>
    <col min="6156" max="6156" width="15.83203125" style="1916" bestFit="1" customWidth="1"/>
    <col min="6157" max="6157" width="13.6640625" style="1916" customWidth="1"/>
    <col min="6158" max="6158" width="19.5" style="1916" customWidth="1"/>
    <col min="6159" max="6159" width="13.1640625" style="1916" customWidth="1"/>
    <col min="6160" max="6160" width="14" style="1916" customWidth="1"/>
    <col min="6161" max="6161" width="13.1640625" style="1916" customWidth="1"/>
    <col min="6162" max="6162" width="18.5" style="1916" customWidth="1"/>
    <col min="6163" max="6163" width="14.6640625" style="1916" customWidth="1"/>
    <col min="6164" max="6164" width="14" style="1916" customWidth="1"/>
    <col min="6165" max="6170" width="16.5" style="1916" bestFit="1" customWidth="1"/>
    <col min="6171" max="6171" width="16.33203125" style="1916" customWidth="1"/>
    <col min="6172" max="6400" width="9.33203125" style="1916"/>
    <col min="6401" max="6401" width="3" style="1916" customWidth="1"/>
    <col min="6402" max="6402" width="64.5" style="1916" customWidth="1"/>
    <col min="6403" max="6403" width="13.1640625" style="1916" customWidth="1"/>
    <col min="6404" max="6404" width="13.83203125" style="1916" customWidth="1"/>
    <col min="6405" max="6405" width="15" style="1916" customWidth="1"/>
    <col min="6406" max="6406" width="13.5" style="1916" customWidth="1"/>
    <col min="6407" max="6407" width="15.1640625" style="1916" customWidth="1"/>
    <col min="6408" max="6408" width="13.1640625" style="1916" customWidth="1"/>
    <col min="6409" max="6409" width="15.5" style="1916" customWidth="1"/>
    <col min="6410" max="6410" width="14.6640625" style="1916" bestFit="1" customWidth="1"/>
    <col min="6411" max="6411" width="15.1640625" style="1916" bestFit="1" customWidth="1"/>
    <col min="6412" max="6412" width="15.83203125" style="1916" bestFit="1" customWidth="1"/>
    <col min="6413" max="6413" width="13.6640625" style="1916" customWidth="1"/>
    <col min="6414" max="6414" width="19.5" style="1916" customWidth="1"/>
    <col min="6415" max="6415" width="13.1640625" style="1916" customWidth="1"/>
    <col min="6416" max="6416" width="14" style="1916" customWidth="1"/>
    <col min="6417" max="6417" width="13.1640625" style="1916" customWidth="1"/>
    <col min="6418" max="6418" width="18.5" style="1916" customWidth="1"/>
    <col min="6419" max="6419" width="14.6640625" style="1916" customWidth="1"/>
    <col min="6420" max="6420" width="14" style="1916" customWidth="1"/>
    <col min="6421" max="6426" width="16.5" style="1916" bestFit="1" customWidth="1"/>
    <col min="6427" max="6427" width="16.33203125" style="1916" customWidth="1"/>
    <col min="6428" max="6656" width="9.33203125" style="1916"/>
    <col min="6657" max="6657" width="3" style="1916" customWidth="1"/>
    <col min="6658" max="6658" width="64.5" style="1916" customWidth="1"/>
    <col min="6659" max="6659" width="13.1640625" style="1916" customWidth="1"/>
    <col min="6660" max="6660" width="13.83203125" style="1916" customWidth="1"/>
    <col min="6661" max="6661" width="15" style="1916" customWidth="1"/>
    <col min="6662" max="6662" width="13.5" style="1916" customWidth="1"/>
    <col min="6663" max="6663" width="15.1640625" style="1916" customWidth="1"/>
    <col min="6664" max="6664" width="13.1640625" style="1916" customWidth="1"/>
    <col min="6665" max="6665" width="15.5" style="1916" customWidth="1"/>
    <col min="6666" max="6666" width="14.6640625" style="1916" bestFit="1" customWidth="1"/>
    <col min="6667" max="6667" width="15.1640625" style="1916" bestFit="1" customWidth="1"/>
    <col min="6668" max="6668" width="15.83203125" style="1916" bestFit="1" customWidth="1"/>
    <col min="6669" max="6669" width="13.6640625" style="1916" customWidth="1"/>
    <col min="6670" max="6670" width="19.5" style="1916" customWidth="1"/>
    <col min="6671" max="6671" width="13.1640625" style="1916" customWidth="1"/>
    <col min="6672" max="6672" width="14" style="1916" customWidth="1"/>
    <col min="6673" max="6673" width="13.1640625" style="1916" customWidth="1"/>
    <col min="6674" max="6674" width="18.5" style="1916" customWidth="1"/>
    <col min="6675" max="6675" width="14.6640625" style="1916" customWidth="1"/>
    <col min="6676" max="6676" width="14" style="1916" customWidth="1"/>
    <col min="6677" max="6682" width="16.5" style="1916" bestFit="1" customWidth="1"/>
    <col min="6683" max="6683" width="16.33203125" style="1916" customWidth="1"/>
    <col min="6684" max="6912" width="9.33203125" style="1916"/>
    <col min="6913" max="6913" width="3" style="1916" customWidth="1"/>
    <col min="6914" max="6914" width="64.5" style="1916" customWidth="1"/>
    <col min="6915" max="6915" width="13.1640625" style="1916" customWidth="1"/>
    <col min="6916" max="6916" width="13.83203125" style="1916" customWidth="1"/>
    <col min="6917" max="6917" width="15" style="1916" customWidth="1"/>
    <col min="6918" max="6918" width="13.5" style="1916" customWidth="1"/>
    <col min="6919" max="6919" width="15.1640625" style="1916" customWidth="1"/>
    <col min="6920" max="6920" width="13.1640625" style="1916" customWidth="1"/>
    <col min="6921" max="6921" width="15.5" style="1916" customWidth="1"/>
    <col min="6922" max="6922" width="14.6640625" style="1916" bestFit="1" customWidth="1"/>
    <col min="6923" max="6923" width="15.1640625" style="1916" bestFit="1" customWidth="1"/>
    <col min="6924" max="6924" width="15.83203125" style="1916" bestFit="1" customWidth="1"/>
    <col min="6925" max="6925" width="13.6640625" style="1916" customWidth="1"/>
    <col min="6926" max="6926" width="19.5" style="1916" customWidth="1"/>
    <col min="6927" max="6927" width="13.1640625" style="1916" customWidth="1"/>
    <col min="6928" max="6928" width="14" style="1916" customWidth="1"/>
    <col min="6929" max="6929" width="13.1640625" style="1916" customWidth="1"/>
    <col min="6930" max="6930" width="18.5" style="1916" customWidth="1"/>
    <col min="6931" max="6931" width="14.6640625" style="1916" customWidth="1"/>
    <col min="6932" max="6932" width="14" style="1916" customWidth="1"/>
    <col min="6933" max="6938" width="16.5" style="1916" bestFit="1" customWidth="1"/>
    <col min="6939" max="6939" width="16.33203125" style="1916" customWidth="1"/>
    <col min="6940" max="7168" width="9.33203125" style="1916"/>
    <col min="7169" max="7169" width="3" style="1916" customWidth="1"/>
    <col min="7170" max="7170" width="64.5" style="1916" customWidth="1"/>
    <col min="7171" max="7171" width="13.1640625" style="1916" customWidth="1"/>
    <col min="7172" max="7172" width="13.83203125" style="1916" customWidth="1"/>
    <col min="7173" max="7173" width="15" style="1916" customWidth="1"/>
    <col min="7174" max="7174" width="13.5" style="1916" customWidth="1"/>
    <col min="7175" max="7175" width="15.1640625" style="1916" customWidth="1"/>
    <col min="7176" max="7176" width="13.1640625" style="1916" customWidth="1"/>
    <col min="7177" max="7177" width="15.5" style="1916" customWidth="1"/>
    <col min="7178" max="7178" width="14.6640625" style="1916" bestFit="1" customWidth="1"/>
    <col min="7179" max="7179" width="15.1640625" style="1916" bestFit="1" customWidth="1"/>
    <col min="7180" max="7180" width="15.83203125" style="1916" bestFit="1" customWidth="1"/>
    <col min="7181" max="7181" width="13.6640625" style="1916" customWidth="1"/>
    <col min="7182" max="7182" width="19.5" style="1916" customWidth="1"/>
    <col min="7183" max="7183" width="13.1640625" style="1916" customWidth="1"/>
    <col min="7184" max="7184" width="14" style="1916" customWidth="1"/>
    <col min="7185" max="7185" width="13.1640625" style="1916" customWidth="1"/>
    <col min="7186" max="7186" width="18.5" style="1916" customWidth="1"/>
    <col min="7187" max="7187" width="14.6640625" style="1916" customWidth="1"/>
    <col min="7188" max="7188" width="14" style="1916" customWidth="1"/>
    <col min="7189" max="7194" width="16.5" style="1916" bestFit="1" customWidth="1"/>
    <col min="7195" max="7195" width="16.33203125" style="1916" customWidth="1"/>
    <col min="7196" max="7424" width="9.33203125" style="1916"/>
    <col min="7425" max="7425" width="3" style="1916" customWidth="1"/>
    <col min="7426" max="7426" width="64.5" style="1916" customWidth="1"/>
    <col min="7427" max="7427" width="13.1640625" style="1916" customWidth="1"/>
    <col min="7428" max="7428" width="13.83203125" style="1916" customWidth="1"/>
    <col min="7429" max="7429" width="15" style="1916" customWidth="1"/>
    <col min="7430" max="7430" width="13.5" style="1916" customWidth="1"/>
    <col min="7431" max="7431" width="15.1640625" style="1916" customWidth="1"/>
    <col min="7432" max="7432" width="13.1640625" style="1916" customWidth="1"/>
    <col min="7433" max="7433" width="15.5" style="1916" customWidth="1"/>
    <col min="7434" max="7434" width="14.6640625" style="1916" bestFit="1" customWidth="1"/>
    <col min="7435" max="7435" width="15.1640625" style="1916" bestFit="1" customWidth="1"/>
    <col min="7436" max="7436" width="15.83203125" style="1916" bestFit="1" customWidth="1"/>
    <col min="7437" max="7437" width="13.6640625" style="1916" customWidth="1"/>
    <col min="7438" max="7438" width="19.5" style="1916" customWidth="1"/>
    <col min="7439" max="7439" width="13.1640625" style="1916" customWidth="1"/>
    <col min="7440" max="7440" width="14" style="1916" customWidth="1"/>
    <col min="7441" max="7441" width="13.1640625" style="1916" customWidth="1"/>
    <col min="7442" max="7442" width="18.5" style="1916" customWidth="1"/>
    <col min="7443" max="7443" width="14.6640625" style="1916" customWidth="1"/>
    <col min="7444" max="7444" width="14" style="1916" customWidth="1"/>
    <col min="7445" max="7450" width="16.5" style="1916" bestFit="1" customWidth="1"/>
    <col min="7451" max="7451" width="16.33203125" style="1916" customWidth="1"/>
    <col min="7452" max="7680" width="9.33203125" style="1916"/>
    <col min="7681" max="7681" width="3" style="1916" customWidth="1"/>
    <col min="7682" max="7682" width="64.5" style="1916" customWidth="1"/>
    <col min="7683" max="7683" width="13.1640625" style="1916" customWidth="1"/>
    <col min="7684" max="7684" width="13.83203125" style="1916" customWidth="1"/>
    <col min="7685" max="7685" width="15" style="1916" customWidth="1"/>
    <col min="7686" max="7686" width="13.5" style="1916" customWidth="1"/>
    <col min="7687" max="7687" width="15.1640625" style="1916" customWidth="1"/>
    <col min="7688" max="7688" width="13.1640625" style="1916" customWidth="1"/>
    <col min="7689" max="7689" width="15.5" style="1916" customWidth="1"/>
    <col min="7690" max="7690" width="14.6640625" style="1916" bestFit="1" customWidth="1"/>
    <col min="7691" max="7691" width="15.1640625" style="1916" bestFit="1" customWidth="1"/>
    <col min="7692" max="7692" width="15.83203125" style="1916" bestFit="1" customWidth="1"/>
    <col min="7693" max="7693" width="13.6640625" style="1916" customWidth="1"/>
    <col min="7694" max="7694" width="19.5" style="1916" customWidth="1"/>
    <col min="7695" max="7695" width="13.1640625" style="1916" customWidth="1"/>
    <col min="7696" max="7696" width="14" style="1916" customWidth="1"/>
    <col min="7697" max="7697" width="13.1640625" style="1916" customWidth="1"/>
    <col min="7698" max="7698" width="18.5" style="1916" customWidth="1"/>
    <col min="7699" max="7699" width="14.6640625" style="1916" customWidth="1"/>
    <col min="7700" max="7700" width="14" style="1916" customWidth="1"/>
    <col min="7701" max="7706" width="16.5" style="1916" bestFit="1" customWidth="1"/>
    <col min="7707" max="7707" width="16.33203125" style="1916" customWidth="1"/>
    <col min="7708" max="7936" width="9.33203125" style="1916"/>
    <col min="7937" max="7937" width="3" style="1916" customWidth="1"/>
    <col min="7938" max="7938" width="64.5" style="1916" customWidth="1"/>
    <col min="7939" max="7939" width="13.1640625" style="1916" customWidth="1"/>
    <col min="7940" max="7940" width="13.83203125" style="1916" customWidth="1"/>
    <col min="7941" max="7941" width="15" style="1916" customWidth="1"/>
    <col min="7942" max="7942" width="13.5" style="1916" customWidth="1"/>
    <col min="7943" max="7943" width="15.1640625" style="1916" customWidth="1"/>
    <col min="7944" max="7944" width="13.1640625" style="1916" customWidth="1"/>
    <col min="7945" max="7945" width="15.5" style="1916" customWidth="1"/>
    <col min="7946" max="7946" width="14.6640625" style="1916" bestFit="1" customWidth="1"/>
    <col min="7947" max="7947" width="15.1640625" style="1916" bestFit="1" customWidth="1"/>
    <col min="7948" max="7948" width="15.83203125" style="1916" bestFit="1" customWidth="1"/>
    <col min="7949" max="7949" width="13.6640625" style="1916" customWidth="1"/>
    <col min="7950" max="7950" width="19.5" style="1916" customWidth="1"/>
    <col min="7951" max="7951" width="13.1640625" style="1916" customWidth="1"/>
    <col min="7952" max="7952" width="14" style="1916" customWidth="1"/>
    <col min="7953" max="7953" width="13.1640625" style="1916" customWidth="1"/>
    <col min="7954" max="7954" width="18.5" style="1916" customWidth="1"/>
    <col min="7955" max="7955" width="14.6640625" style="1916" customWidth="1"/>
    <col min="7956" max="7956" width="14" style="1916" customWidth="1"/>
    <col min="7957" max="7962" width="16.5" style="1916" bestFit="1" customWidth="1"/>
    <col min="7963" max="7963" width="16.33203125" style="1916" customWidth="1"/>
    <col min="7964" max="8192" width="9.33203125" style="1916"/>
    <col min="8193" max="8193" width="3" style="1916" customWidth="1"/>
    <col min="8194" max="8194" width="64.5" style="1916" customWidth="1"/>
    <col min="8195" max="8195" width="13.1640625" style="1916" customWidth="1"/>
    <col min="8196" max="8196" width="13.83203125" style="1916" customWidth="1"/>
    <col min="8197" max="8197" width="15" style="1916" customWidth="1"/>
    <col min="8198" max="8198" width="13.5" style="1916" customWidth="1"/>
    <col min="8199" max="8199" width="15.1640625" style="1916" customWidth="1"/>
    <col min="8200" max="8200" width="13.1640625" style="1916" customWidth="1"/>
    <col min="8201" max="8201" width="15.5" style="1916" customWidth="1"/>
    <col min="8202" max="8202" width="14.6640625" style="1916" bestFit="1" customWidth="1"/>
    <col min="8203" max="8203" width="15.1640625" style="1916" bestFit="1" customWidth="1"/>
    <col min="8204" max="8204" width="15.83203125" style="1916" bestFit="1" customWidth="1"/>
    <col min="8205" max="8205" width="13.6640625" style="1916" customWidth="1"/>
    <col min="8206" max="8206" width="19.5" style="1916" customWidth="1"/>
    <col min="8207" max="8207" width="13.1640625" style="1916" customWidth="1"/>
    <col min="8208" max="8208" width="14" style="1916" customWidth="1"/>
    <col min="8209" max="8209" width="13.1640625" style="1916" customWidth="1"/>
    <col min="8210" max="8210" width="18.5" style="1916" customWidth="1"/>
    <col min="8211" max="8211" width="14.6640625" style="1916" customWidth="1"/>
    <col min="8212" max="8212" width="14" style="1916" customWidth="1"/>
    <col min="8213" max="8218" width="16.5" style="1916" bestFit="1" customWidth="1"/>
    <col min="8219" max="8219" width="16.33203125" style="1916" customWidth="1"/>
    <col min="8220" max="8448" width="9.33203125" style="1916"/>
    <col min="8449" max="8449" width="3" style="1916" customWidth="1"/>
    <col min="8450" max="8450" width="64.5" style="1916" customWidth="1"/>
    <col min="8451" max="8451" width="13.1640625" style="1916" customWidth="1"/>
    <col min="8452" max="8452" width="13.83203125" style="1916" customWidth="1"/>
    <col min="8453" max="8453" width="15" style="1916" customWidth="1"/>
    <col min="8454" max="8454" width="13.5" style="1916" customWidth="1"/>
    <col min="8455" max="8455" width="15.1640625" style="1916" customWidth="1"/>
    <col min="8456" max="8456" width="13.1640625" style="1916" customWidth="1"/>
    <col min="8457" max="8457" width="15.5" style="1916" customWidth="1"/>
    <col min="8458" max="8458" width="14.6640625" style="1916" bestFit="1" customWidth="1"/>
    <col min="8459" max="8459" width="15.1640625" style="1916" bestFit="1" customWidth="1"/>
    <col min="8460" max="8460" width="15.83203125" style="1916" bestFit="1" customWidth="1"/>
    <col min="8461" max="8461" width="13.6640625" style="1916" customWidth="1"/>
    <col min="8462" max="8462" width="19.5" style="1916" customWidth="1"/>
    <col min="8463" max="8463" width="13.1640625" style="1916" customWidth="1"/>
    <col min="8464" max="8464" width="14" style="1916" customWidth="1"/>
    <col min="8465" max="8465" width="13.1640625" style="1916" customWidth="1"/>
    <col min="8466" max="8466" width="18.5" style="1916" customWidth="1"/>
    <col min="8467" max="8467" width="14.6640625" style="1916" customWidth="1"/>
    <col min="8468" max="8468" width="14" style="1916" customWidth="1"/>
    <col min="8469" max="8474" width="16.5" style="1916" bestFit="1" customWidth="1"/>
    <col min="8475" max="8475" width="16.33203125" style="1916" customWidth="1"/>
    <col min="8476" max="8704" width="9.33203125" style="1916"/>
    <col min="8705" max="8705" width="3" style="1916" customWidth="1"/>
    <col min="8706" max="8706" width="64.5" style="1916" customWidth="1"/>
    <col min="8707" max="8707" width="13.1640625" style="1916" customWidth="1"/>
    <col min="8708" max="8708" width="13.83203125" style="1916" customWidth="1"/>
    <col min="8709" max="8709" width="15" style="1916" customWidth="1"/>
    <col min="8710" max="8710" width="13.5" style="1916" customWidth="1"/>
    <col min="8711" max="8711" width="15.1640625" style="1916" customWidth="1"/>
    <col min="8712" max="8712" width="13.1640625" style="1916" customWidth="1"/>
    <col min="8713" max="8713" width="15.5" style="1916" customWidth="1"/>
    <col min="8714" max="8714" width="14.6640625" style="1916" bestFit="1" customWidth="1"/>
    <col min="8715" max="8715" width="15.1640625" style="1916" bestFit="1" customWidth="1"/>
    <col min="8716" max="8716" width="15.83203125" style="1916" bestFit="1" customWidth="1"/>
    <col min="8717" max="8717" width="13.6640625" style="1916" customWidth="1"/>
    <col min="8718" max="8718" width="19.5" style="1916" customWidth="1"/>
    <col min="8719" max="8719" width="13.1640625" style="1916" customWidth="1"/>
    <col min="8720" max="8720" width="14" style="1916" customWidth="1"/>
    <col min="8721" max="8721" width="13.1640625" style="1916" customWidth="1"/>
    <col min="8722" max="8722" width="18.5" style="1916" customWidth="1"/>
    <col min="8723" max="8723" width="14.6640625" style="1916" customWidth="1"/>
    <col min="8724" max="8724" width="14" style="1916" customWidth="1"/>
    <col min="8725" max="8730" width="16.5" style="1916" bestFit="1" customWidth="1"/>
    <col min="8731" max="8731" width="16.33203125" style="1916" customWidth="1"/>
    <col min="8732" max="8960" width="9.33203125" style="1916"/>
    <col min="8961" max="8961" width="3" style="1916" customWidth="1"/>
    <col min="8962" max="8962" width="64.5" style="1916" customWidth="1"/>
    <col min="8963" max="8963" width="13.1640625" style="1916" customWidth="1"/>
    <col min="8964" max="8964" width="13.83203125" style="1916" customWidth="1"/>
    <col min="8965" max="8965" width="15" style="1916" customWidth="1"/>
    <col min="8966" max="8966" width="13.5" style="1916" customWidth="1"/>
    <col min="8967" max="8967" width="15.1640625" style="1916" customWidth="1"/>
    <col min="8968" max="8968" width="13.1640625" style="1916" customWidth="1"/>
    <col min="8969" max="8969" width="15.5" style="1916" customWidth="1"/>
    <col min="8970" max="8970" width="14.6640625" style="1916" bestFit="1" customWidth="1"/>
    <col min="8971" max="8971" width="15.1640625" style="1916" bestFit="1" customWidth="1"/>
    <col min="8972" max="8972" width="15.83203125" style="1916" bestFit="1" customWidth="1"/>
    <col min="8973" max="8973" width="13.6640625" style="1916" customWidth="1"/>
    <col min="8974" max="8974" width="19.5" style="1916" customWidth="1"/>
    <col min="8975" max="8975" width="13.1640625" style="1916" customWidth="1"/>
    <col min="8976" max="8976" width="14" style="1916" customWidth="1"/>
    <col min="8977" max="8977" width="13.1640625" style="1916" customWidth="1"/>
    <col min="8978" max="8978" width="18.5" style="1916" customWidth="1"/>
    <col min="8979" max="8979" width="14.6640625" style="1916" customWidth="1"/>
    <col min="8980" max="8980" width="14" style="1916" customWidth="1"/>
    <col min="8981" max="8986" width="16.5" style="1916" bestFit="1" customWidth="1"/>
    <col min="8987" max="8987" width="16.33203125" style="1916" customWidth="1"/>
    <col min="8988" max="9216" width="9.33203125" style="1916"/>
    <col min="9217" max="9217" width="3" style="1916" customWidth="1"/>
    <col min="9218" max="9218" width="64.5" style="1916" customWidth="1"/>
    <col min="9219" max="9219" width="13.1640625" style="1916" customWidth="1"/>
    <col min="9220" max="9220" width="13.83203125" style="1916" customWidth="1"/>
    <col min="9221" max="9221" width="15" style="1916" customWidth="1"/>
    <col min="9222" max="9222" width="13.5" style="1916" customWidth="1"/>
    <col min="9223" max="9223" width="15.1640625" style="1916" customWidth="1"/>
    <col min="9224" max="9224" width="13.1640625" style="1916" customWidth="1"/>
    <col min="9225" max="9225" width="15.5" style="1916" customWidth="1"/>
    <col min="9226" max="9226" width="14.6640625" style="1916" bestFit="1" customWidth="1"/>
    <col min="9227" max="9227" width="15.1640625" style="1916" bestFit="1" customWidth="1"/>
    <col min="9228" max="9228" width="15.83203125" style="1916" bestFit="1" customWidth="1"/>
    <col min="9229" max="9229" width="13.6640625" style="1916" customWidth="1"/>
    <col min="9230" max="9230" width="19.5" style="1916" customWidth="1"/>
    <col min="9231" max="9231" width="13.1640625" style="1916" customWidth="1"/>
    <col min="9232" max="9232" width="14" style="1916" customWidth="1"/>
    <col min="9233" max="9233" width="13.1640625" style="1916" customWidth="1"/>
    <col min="9234" max="9234" width="18.5" style="1916" customWidth="1"/>
    <col min="9235" max="9235" width="14.6640625" style="1916" customWidth="1"/>
    <col min="9236" max="9236" width="14" style="1916" customWidth="1"/>
    <col min="9237" max="9242" width="16.5" style="1916" bestFit="1" customWidth="1"/>
    <col min="9243" max="9243" width="16.33203125" style="1916" customWidth="1"/>
    <col min="9244" max="9472" width="9.33203125" style="1916"/>
    <col min="9473" max="9473" width="3" style="1916" customWidth="1"/>
    <col min="9474" max="9474" width="64.5" style="1916" customWidth="1"/>
    <col min="9475" max="9475" width="13.1640625" style="1916" customWidth="1"/>
    <col min="9476" max="9476" width="13.83203125" style="1916" customWidth="1"/>
    <col min="9477" max="9477" width="15" style="1916" customWidth="1"/>
    <col min="9478" max="9478" width="13.5" style="1916" customWidth="1"/>
    <col min="9479" max="9479" width="15.1640625" style="1916" customWidth="1"/>
    <col min="9480" max="9480" width="13.1640625" style="1916" customWidth="1"/>
    <col min="9481" max="9481" width="15.5" style="1916" customWidth="1"/>
    <col min="9482" max="9482" width="14.6640625" style="1916" bestFit="1" customWidth="1"/>
    <col min="9483" max="9483" width="15.1640625" style="1916" bestFit="1" customWidth="1"/>
    <col min="9484" max="9484" width="15.83203125" style="1916" bestFit="1" customWidth="1"/>
    <col min="9485" max="9485" width="13.6640625" style="1916" customWidth="1"/>
    <col min="9486" max="9486" width="19.5" style="1916" customWidth="1"/>
    <col min="9487" max="9487" width="13.1640625" style="1916" customWidth="1"/>
    <col min="9488" max="9488" width="14" style="1916" customWidth="1"/>
    <col min="9489" max="9489" width="13.1640625" style="1916" customWidth="1"/>
    <col min="9490" max="9490" width="18.5" style="1916" customWidth="1"/>
    <col min="9491" max="9491" width="14.6640625" style="1916" customWidth="1"/>
    <col min="9492" max="9492" width="14" style="1916" customWidth="1"/>
    <col min="9493" max="9498" width="16.5" style="1916" bestFit="1" customWidth="1"/>
    <col min="9499" max="9499" width="16.33203125" style="1916" customWidth="1"/>
    <col min="9500" max="9728" width="9.33203125" style="1916"/>
    <col min="9729" max="9729" width="3" style="1916" customWidth="1"/>
    <col min="9730" max="9730" width="64.5" style="1916" customWidth="1"/>
    <col min="9731" max="9731" width="13.1640625" style="1916" customWidth="1"/>
    <col min="9732" max="9732" width="13.83203125" style="1916" customWidth="1"/>
    <col min="9733" max="9733" width="15" style="1916" customWidth="1"/>
    <col min="9734" max="9734" width="13.5" style="1916" customWidth="1"/>
    <col min="9735" max="9735" width="15.1640625" style="1916" customWidth="1"/>
    <col min="9736" max="9736" width="13.1640625" style="1916" customWidth="1"/>
    <col min="9737" max="9737" width="15.5" style="1916" customWidth="1"/>
    <col min="9738" max="9738" width="14.6640625" style="1916" bestFit="1" customWidth="1"/>
    <col min="9739" max="9739" width="15.1640625" style="1916" bestFit="1" customWidth="1"/>
    <col min="9740" max="9740" width="15.83203125" style="1916" bestFit="1" customWidth="1"/>
    <col min="9741" max="9741" width="13.6640625" style="1916" customWidth="1"/>
    <col min="9742" max="9742" width="19.5" style="1916" customWidth="1"/>
    <col min="9743" max="9743" width="13.1640625" style="1916" customWidth="1"/>
    <col min="9744" max="9744" width="14" style="1916" customWidth="1"/>
    <col min="9745" max="9745" width="13.1640625" style="1916" customWidth="1"/>
    <col min="9746" max="9746" width="18.5" style="1916" customWidth="1"/>
    <col min="9747" max="9747" width="14.6640625" style="1916" customWidth="1"/>
    <col min="9748" max="9748" width="14" style="1916" customWidth="1"/>
    <col min="9749" max="9754" width="16.5" style="1916" bestFit="1" customWidth="1"/>
    <col min="9755" max="9755" width="16.33203125" style="1916" customWidth="1"/>
    <col min="9756" max="9984" width="9.33203125" style="1916"/>
    <col min="9985" max="9985" width="3" style="1916" customWidth="1"/>
    <col min="9986" max="9986" width="64.5" style="1916" customWidth="1"/>
    <col min="9987" max="9987" width="13.1640625" style="1916" customWidth="1"/>
    <col min="9988" max="9988" width="13.83203125" style="1916" customWidth="1"/>
    <col min="9989" max="9989" width="15" style="1916" customWidth="1"/>
    <col min="9990" max="9990" width="13.5" style="1916" customWidth="1"/>
    <col min="9991" max="9991" width="15.1640625" style="1916" customWidth="1"/>
    <col min="9992" max="9992" width="13.1640625" style="1916" customWidth="1"/>
    <col min="9993" max="9993" width="15.5" style="1916" customWidth="1"/>
    <col min="9994" max="9994" width="14.6640625" style="1916" bestFit="1" customWidth="1"/>
    <col min="9995" max="9995" width="15.1640625" style="1916" bestFit="1" customWidth="1"/>
    <col min="9996" max="9996" width="15.83203125" style="1916" bestFit="1" customWidth="1"/>
    <col min="9997" max="9997" width="13.6640625" style="1916" customWidth="1"/>
    <col min="9998" max="9998" width="19.5" style="1916" customWidth="1"/>
    <col min="9999" max="9999" width="13.1640625" style="1916" customWidth="1"/>
    <col min="10000" max="10000" width="14" style="1916" customWidth="1"/>
    <col min="10001" max="10001" width="13.1640625" style="1916" customWidth="1"/>
    <col min="10002" max="10002" width="18.5" style="1916" customWidth="1"/>
    <col min="10003" max="10003" width="14.6640625" style="1916" customWidth="1"/>
    <col min="10004" max="10004" width="14" style="1916" customWidth="1"/>
    <col min="10005" max="10010" width="16.5" style="1916" bestFit="1" customWidth="1"/>
    <col min="10011" max="10011" width="16.33203125" style="1916" customWidth="1"/>
    <col min="10012" max="10240" width="9.33203125" style="1916"/>
    <col min="10241" max="10241" width="3" style="1916" customWidth="1"/>
    <col min="10242" max="10242" width="64.5" style="1916" customWidth="1"/>
    <col min="10243" max="10243" width="13.1640625" style="1916" customWidth="1"/>
    <col min="10244" max="10244" width="13.83203125" style="1916" customWidth="1"/>
    <col min="10245" max="10245" width="15" style="1916" customWidth="1"/>
    <col min="10246" max="10246" width="13.5" style="1916" customWidth="1"/>
    <col min="10247" max="10247" width="15.1640625" style="1916" customWidth="1"/>
    <col min="10248" max="10248" width="13.1640625" style="1916" customWidth="1"/>
    <col min="10249" max="10249" width="15.5" style="1916" customWidth="1"/>
    <col min="10250" max="10250" width="14.6640625" style="1916" bestFit="1" customWidth="1"/>
    <col min="10251" max="10251" width="15.1640625" style="1916" bestFit="1" customWidth="1"/>
    <col min="10252" max="10252" width="15.83203125" style="1916" bestFit="1" customWidth="1"/>
    <col min="10253" max="10253" width="13.6640625" style="1916" customWidth="1"/>
    <col min="10254" max="10254" width="19.5" style="1916" customWidth="1"/>
    <col min="10255" max="10255" width="13.1640625" style="1916" customWidth="1"/>
    <col min="10256" max="10256" width="14" style="1916" customWidth="1"/>
    <col min="10257" max="10257" width="13.1640625" style="1916" customWidth="1"/>
    <col min="10258" max="10258" width="18.5" style="1916" customWidth="1"/>
    <col min="10259" max="10259" width="14.6640625" style="1916" customWidth="1"/>
    <col min="10260" max="10260" width="14" style="1916" customWidth="1"/>
    <col min="10261" max="10266" width="16.5" style="1916" bestFit="1" customWidth="1"/>
    <col min="10267" max="10267" width="16.33203125" style="1916" customWidth="1"/>
    <col min="10268" max="10496" width="9.33203125" style="1916"/>
    <col min="10497" max="10497" width="3" style="1916" customWidth="1"/>
    <col min="10498" max="10498" width="64.5" style="1916" customWidth="1"/>
    <col min="10499" max="10499" width="13.1640625" style="1916" customWidth="1"/>
    <col min="10500" max="10500" width="13.83203125" style="1916" customWidth="1"/>
    <col min="10501" max="10501" width="15" style="1916" customWidth="1"/>
    <col min="10502" max="10502" width="13.5" style="1916" customWidth="1"/>
    <col min="10503" max="10503" width="15.1640625" style="1916" customWidth="1"/>
    <col min="10504" max="10504" width="13.1640625" style="1916" customWidth="1"/>
    <col min="10505" max="10505" width="15.5" style="1916" customWidth="1"/>
    <col min="10506" max="10506" width="14.6640625" style="1916" bestFit="1" customWidth="1"/>
    <col min="10507" max="10507" width="15.1640625" style="1916" bestFit="1" customWidth="1"/>
    <col min="10508" max="10508" width="15.83203125" style="1916" bestFit="1" customWidth="1"/>
    <col min="10509" max="10509" width="13.6640625" style="1916" customWidth="1"/>
    <col min="10510" max="10510" width="19.5" style="1916" customWidth="1"/>
    <col min="10511" max="10511" width="13.1640625" style="1916" customWidth="1"/>
    <col min="10512" max="10512" width="14" style="1916" customWidth="1"/>
    <col min="10513" max="10513" width="13.1640625" style="1916" customWidth="1"/>
    <col min="10514" max="10514" width="18.5" style="1916" customWidth="1"/>
    <col min="10515" max="10515" width="14.6640625" style="1916" customWidth="1"/>
    <col min="10516" max="10516" width="14" style="1916" customWidth="1"/>
    <col min="10517" max="10522" width="16.5" style="1916" bestFit="1" customWidth="1"/>
    <col min="10523" max="10523" width="16.33203125" style="1916" customWidth="1"/>
    <col min="10524" max="10752" width="9.33203125" style="1916"/>
    <col min="10753" max="10753" width="3" style="1916" customWidth="1"/>
    <col min="10754" max="10754" width="64.5" style="1916" customWidth="1"/>
    <col min="10755" max="10755" width="13.1640625" style="1916" customWidth="1"/>
    <col min="10756" max="10756" width="13.83203125" style="1916" customWidth="1"/>
    <col min="10757" max="10757" width="15" style="1916" customWidth="1"/>
    <col min="10758" max="10758" width="13.5" style="1916" customWidth="1"/>
    <col min="10759" max="10759" width="15.1640625" style="1916" customWidth="1"/>
    <col min="10760" max="10760" width="13.1640625" style="1916" customWidth="1"/>
    <col min="10761" max="10761" width="15.5" style="1916" customWidth="1"/>
    <col min="10762" max="10762" width="14.6640625" style="1916" bestFit="1" customWidth="1"/>
    <col min="10763" max="10763" width="15.1640625" style="1916" bestFit="1" customWidth="1"/>
    <col min="10764" max="10764" width="15.83203125" style="1916" bestFit="1" customWidth="1"/>
    <col min="10765" max="10765" width="13.6640625" style="1916" customWidth="1"/>
    <col min="10766" max="10766" width="19.5" style="1916" customWidth="1"/>
    <col min="10767" max="10767" width="13.1640625" style="1916" customWidth="1"/>
    <col min="10768" max="10768" width="14" style="1916" customWidth="1"/>
    <col min="10769" max="10769" width="13.1640625" style="1916" customWidth="1"/>
    <col min="10770" max="10770" width="18.5" style="1916" customWidth="1"/>
    <col min="10771" max="10771" width="14.6640625" style="1916" customWidth="1"/>
    <col min="10772" max="10772" width="14" style="1916" customWidth="1"/>
    <col min="10773" max="10778" width="16.5" style="1916" bestFit="1" customWidth="1"/>
    <col min="10779" max="10779" width="16.33203125" style="1916" customWidth="1"/>
    <col min="10780" max="11008" width="9.33203125" style="1916"/>
    <col min="11009" max="11009" width="3" style="1916" customWidth="1"/>
    <col min="11010" max="11010" width="64.5" style="1916" customWidth="1"/>
    <col min="11011" max="11011" width="13.1640625" style="1916" customWidth="1"/>
    <col min="11012" max="11012" width="13.83203125" style="1916" customWidth="1"/>
    <col min="11013" max="11013" width="15" style="1916" customWidth="1"/>
    <col min="11014" max="11014" width="13.5" style="1916" customWidth="1"/>
    <col min="11015" max="11015" width="15.1640625" style="1916" customWidth="1"/>
    <col min="11016" max="11016" width="13.1640625" style="1916" customWidth="1"/>
    <col min="11017" max="11017" width="15.5" style="1916" customWidth="1"/>
    <col min="11018" max="11018" width="14.6640625" style="1916" bestFit="1" customWidth="1"/>
    <col min="11019" max="11019" width="15.1640625" style="1916" bestFit="1" customWidth="1"/>
    <col min="11020" max="11020" width="15.83203125" style="1916" bestFit="1" customWidth="1"/>
    <col min="11021" max="11021" width="13.6640625" style="1916" customWidth="1"/>
    <col min="11022" max="11022" width="19.5" style="1916" customWidth="1"/>
    <col min="11023" max="11023" width="13.1640625" style="1916" customWidth="1"/>
    <col min="11024" max="11024" width="14" style="1916" customWidth="1"/>
    <col min="11025" max="11025" width="13.1640625" style="1916" customWidth="1"/>
    <col min="11026" max="11026" width="18.5" style="1916" customWidth="1"/>
    <col min="11027" max="11027" width="14.6640625" style="1916" customWidth="1"/>
    <col min="11028" max="11028" width="14" style="1916" customWidth="1"/>
    <col min="11029" max="11034" width="16.5" style="1916" bestFit="1" customWidth="1"/>
    <col min="11035" max="11035" width="16.33203125" style="1916" customWidth="1"/>
    <col min="11036" max="11264" width="9.33203125" style="1916"/>
    <col min="11265" max="11265" width="3" style="1916" customWidth="1"/>
    <col min="11266" max="11266" width="64.5" style="1916" customWidth="1"/>
    <col min="11267" max="11267" width="13.1640625" style="1916" customWidth="1"/>
    <col min="11268" max="11268" width="13.83203125" style="1916" customWidth="1"/>
    <col min="11269" max="11269" width="15" style="1916" customWidth="1"/>
    <col min="11270" max="11270" width="13.5" style="1916" customWidth="1"/>
    <col min="11271" max="11271" width="15.1640625" style="1916" customWidth="1"/>
    <col min="11272" max="11272" width="13.1640625" style="1916" customWidth="1"/>
    <col min="11273" max="11273" width="15.5" style="1916" customWidth="1"/>
    <col min="11274" max="11274" width="14.6640625" style="1916" bestFit="1" customWidth="1"/>
    <col min="11275" max="11275" width="15.1640625" style="1916" bestFit="1" customWidth="1"/>
    <col min="11276" max="11276" width="15.83203125" style="1916" bestFit="1" customWidth="1"/>
    <col min="11277" max="11277" width="13.6640625" style="1916" customWidth="1"/>
    <col min="11278" max="11278" width="19.5" style="1916" customWidth="1"/>
    <col min="11279" max="11279" width="13.1640625" style="1916" customWidth="1"/>
    <col min="11280" max="11280" width="14" style="1916" customWidth="1"/>
    <col min="11281" max="11281" width="13.1640625" style="1916" customWidth="1"/>
    <col min="11282" max="11282" width="18.5" style="1916" customWidth="1"/>
    <col min="11283" max="11283" width="14.6640625" style="1916" customWidth="1"/>
    <col min="11284" max="11284" width="14" style="1916" customWidth="1"/>
    <col min="11285" max="11290" width="16.5" style="1916" bestFit="1" customWidth="1"/>
    <col min="11291" max="11291" width="16.33203125" style="1916" customWidth="1"/>
    <col min="11292" max="11520" width="9.33203125" style="1916"/>
    <col min="11521" max="11521" width="3" style="1916" customWidth="1"/>
    <col min="11522" max="11522" width="64.5" style="1916" customWidth="1"/>
    <col min="11523" max="11523" width="13.1640625" style="1916" customWidth="1"/>
    <col min="11524" max="11524" width="13.83203125" style="1916" customWidth="1"/>
    <col min="11525" max="11525" width="15" style="1916" customWidth="1"/>
    <col min="11526" max="11526" width="13.5" style="1916" customWidth="1"/>
    <col min="11527" max="11527" width="15.1640625" style="1916" customWidth="1"/>
    <col min="11528" max="11528" width="13.1640625" style="1916" customWidth="1"/>
    <col min="11529" max="11529" width="15.5" style="1916" customWidth="1"/>
    <col min="11530" max="11530" width="14.6640625" style="1916" bestFit="1" customWidth="1"/>
    <col min="11531" max="11531" width="15.1640625" style="1916" bestFit="1" customWidth="1"/>
    <col min="11532" max="11532" width="15.83203125" style="1916" bestFit="1" customWidth="1"/>
    <col min="11533" max="11533" width="13.6640625" style="1916" customWidth="1"/>
    <col min="11534" max="11534" width="19.5" style="1916" customWidth="1"/>
    <col min="11535" max="11535" width="13.1640625" style="1916" customWidth="1"/>
    <col min="11536" max="11536" width="14" style="1916" customWidth="1"/>
    <col min="11537" max="11537" width="13.1640625" style="1916" customWidth="1"/>
    <col min="11538" max="11538" width="18.5" style="1916" customWidth="1"/>
    <col min="11539" max="11539" width="14.6640625" style="1916" customWidth="1"/>
    <col min="11540" max="11540" width="14" style="1916" customWidth="1"/>
    <col min="11541" max="11546" width="16.5" style="1916" bestFit="1" customWidth="1"/>
    <col min="11547" max="11547" width="16.33203125" style="1916" customWidth="1"/>
    <col min="11548" max="11776" width="9.33203125" style="1916"/>
    <col min="11777" max="11777" width="3" style="1916" customWidth="1"/>
    <col min="11778" max="11778" width="64.5" style="1916" customWidth="1"/>
    <col min="11779" max="11779" width="13.1640625" style="1916" customWidth="1"/>
    <col min="11780" max="11780" width="13.83203125" style="1916" customWidth="1"/>
    <col min="11781" max="11781" width="15" style="1916" customWidth="1"/>
    <col min="11782" max="11782" width="13.5" style="1916" customWidth="1"/>
    <col min="11783" max="11783" width="15.1640625" style="1916" customWidth="1"/>
    <col min="11784" max="11784" width="13.1640625" style="1916" customWidth="1"/>
    <col min="11785" max="11785" width="15.5" style="1916" customWidth="1"/>
    <col min="11786" max="11786" width="14.6640625" style="1916" bestFit="1" customWidth="1"/>
    <col min="11787" max="11787" width="15.1640625" style="1916" bestFit="1" customWidth="1"/>
    <col min="11788" max="11788" width="15.83203125" style="1916" bestFit="1" customWidth="1"/>
    <col min="11789" max="11789" width="13.6640625" style="1916" customWidth="1"/>
    <col min="11790" max="11790" width="19.5" style="1916" customWidth="1"/>
    <col min="11791" max="11791" width="13.1640625" style="1916" customWidth="1"/>
    <col min="11792" max="11792" width="14" style="1916" customWidth="1"/>
    <col min="11793" max="11793" width="13.1640625" style="1916" customWidth="1"/>
    <col min="11794" max="11794" width="18.5" style="1916" customWidth="1"/>
    <col min="11795" max="11795" width="14.6640625" style="1916" customWidth="1"/>
    <col min="11796" max="11796" width="14" style="1916" customWidth="1"/>
    <col min="11797" max="11802" width="16.5" style="1916" bestFit="1" customWidth="1"/>
    <col min="11803" max="11803" width="16.33203125" style="1916" customWidth="1"/>
    <col min="11804" max="12032" width="9.33203125" style="1916"/>
    <col min="12033" max="12033" width="3" style="1916" customWidth="1"/>
    <col min="12034" max="12034" width="64.5" style="1916" customWidth="1"/>
    <col min="12035" max="12035" width="13.1640625" style="1916" customWidth="1"/>
    <col min="12036" max="12036" width="13.83203125" style="1916" customWidth="1"/>
    <col min="12037" max="12037" width="15" style="1916" customWidth="1"/>
    <col min="12038" max="12038" width="13.5" style="1916" customWidth="1"/>
    <col min="12039" max="12039" width="15.1640625" style="1916" customWidth="1"/>
    <col min="12040" max="12040" width="13.1640625" style="1916" customWidth="1"/>
    <col min="12041" max="12041" width="15.5" style="1916" customWidth="1"/>
    <col min="12042" max="12042" width="14.6640625" style="1916" bestFit="1" customWidth="1"/>
    <col min="12043" max="12043" width="15.1640625" style="1916" bestFit="1" customWidth="1"/>
    <col min="12044" max="12044" width="15.83203125" style="1916" bestFit="1" customWidth="1"/>
    <col min="12045" max="12045" width="13.6640625" style="1916" customWidth="1"/>
    <col min="12046" max="12046" width="19.5" style="1916" customWidth="1"/>
    <col min="12047" max="12047" width="13.1640625" style="1916" customWidth="1"/>
    <col min="12048" max="12048" width="14" style="1916" customWidth="1"/>
    <col min="12049" max="12049" width="13.1640625" style="1916" customWidth="1"/>
    <col min="12050" max="12050" width="18.5" style="1916" customWidth="1"/>
    <col min="12051" max="12051" width="14.6640625" style="1916" customWidth="1"/>
    <col min="12052" max="12052" width="14" style="1916" customWidth="1"/>
    <col min="12053" max="12058" width="16.5" style="1916" bestFit="1" customWidth="1"/>
    <col min="12059" max="12059" width="16.33203125" style="1916" customWidth="1"/>
    <col min="12060" max="12288" width="9.33203125" style="1916"/>
    <col min="12289" max="12289" width="3" style="1916" customWidth="1"/>
    <col min="12290" max="12290" width="64.5" style="1916" customWidth="1"/>
    <col min="12291" max="12291" width="13.1640625" style="1916" customWidth="1"/>
    <col min="12292" max="12292" width="13.83203125" style="1916" customWidth="1"/>
    <col min="12293" max="12293" width="15" style="1916" customWidth="1"/>
    <col min="12294" max="12294" width="13.5" style="1916" customWidth="1"/>
    <col min="12295" max="12295" width="15.1640625" style="1916" customWidth="1"/>
    <col min="12296" max="12296" width="13.1640625" style="1916" customWidth="1"/>
    <col min="12297" max="12297" width="15.5" style="1916" customWidth="1"/>
    <col min="12298" max="12298" width="14.6640625" style="1916" bestFit="1" customWidth="1"/>
    <col min="12299" max="12299" width="15.1640625" style="1916" bestFit="1" customWidth="1"/>
    <col min="12300" max="12300" width="15.83203125" style="1916" bestFit="1" customWidth="1"/>
    <col min="12301" max="12301" width="13.6640625" style="1916" customWidth="1"/>
    <col min="12302" max="12302" width="19.5" style="1916" customWidth="1"/>
    <col min="12303" max="12303" width="13.1640625" style="1916" customWidth="1"/>
    <col min="12304" max="12304" width="14" style="1916" customWidth="1"/>
    <col min="12305" max="12305" width="13.1640625" style="1916" customWidth="1"/>
    <col min="12306" max="12306" width="18.5" style="1916" customWidth="1"/>
    <col min="12307" max="12307" width="14.6640625" style="1916" customWidth="1"/>
    <col min="12308" max="12308" width="14" style="1916" customWidth="1"/>
    <col min="12309" max="12314" width="16.5" style="1916" bestFit="1" customWidth="1"/>
    <col min="12315" max="12315" width="16.33203125" style="1916" customWidth="1"/>
    <col min="12316" max="12544" width="9.33203125" style="1916"/>
    <col min="12545" max="12545" width="3" style="1916" customWidth="1"/>
    <col min="12546" max="12546" width="64.5" style="1916" customWidth="1"/>
    <col min="12547" max="12547" width="13.1640625" style="1916" customWidth="1"/>
    <col min="12548" max="12548" width="13.83203125" style="1916" customWidth="1"/>
    <col min="12549" max="12549" width="15" style="1916" customWidth="1"/>
    <col min="12550" max="12550" width="13.5" style="1916" customWidth="1"/>
    <col min="12551" max="12551" width="15.1640625" style="1916" customWidth="1"/>
    <col min="12552" max="12552" width="13.1640625" style="1916" customWidth="1"/>
    <col min="12553" max="12553" width="15.5" style="1916" customWidth="1"/>
    <col min="12554" max="12554" width="14.6640625" style="1916" bestFit="1" customWidth="1"/>
    <col min="12555" max="12555" width="15.1640625" style="1916" bestFit="1" customWidth="1"/>
    <col min="12556" max="12556" width="15.83203125" style="1916" bestFit="1" customWidth="1"/>
    <col min="12557" max="12557" width="13.6640625" style="1916" customWidth="1"/>
    <col min="12558" max="12558" width="19.5" style="1916" customWidth="1"/>
    <col min="12559" max="12559" width="13.1640625" style="1916" customWidth="1"/>
    <col min="12560" max="12560" width="14" style="1916" customWidth="1"/>
    <col min="12561" max="12561" width="13.1640625" style="1916" customWidth="1"/>
    <col min="12562" max="12562" width="18.5" style="1916" customWidth="1"/>
    <col min="12563" max="12563" width="14.6640625" style="1916" customWidth="1"/>
    <col min="12564" max="12564" width="14" style="1916" customWidth="1"/>
    <col min="12565" max="12570" width="16.5" style="1916" bestFit="1" customWidth="1"/>
    <col min="12571" max="12571" width="16.33203125" style="1916" customWidth="1"/>
    <col min="12572" max="12800" width="9.33203125" style="1916"/>
    <col min="12801" max="12801" width="3" style="1916" customWidth="1"/>
    <col min="12802" max="12802" width="64.5" style="1916" customWidth="1"/>
    <col min="12803" max="12803" width="13.1640625" style="1916" customWidth="1"/>
    <col min="12804" max="12804" width="13.83203125" style="1916" customWidth="1"/>
    <col min="12805" max="12805" width="15" style="1916" customWidth="1"/>
    <col min="12806" max="12806" width="13.5" style="1916" customWidth="1"/>
    <col min="12807" max="12807" width="15.1640625" style="1916" customWidth="1"/>
    <col min="12808" max="12808" width="13.1640625" style="1916" customWidth="1"/>
    <col min="12809" max="12809" width="15.5" style="1916" customWidth="1"/>
    <col min="12810" max="12810" width="14.6640625" style="1916" bestFit="1" customWidth="1"/>
    <col min="12811" max="12811" width="15.1640625" style="1916" bestFit="1" customWidth="1"/>
    <col min="12812" max="12812" width="15.83203125" style="1916" bestFit="1" customWidth="1"/>
    <col min="12813" max="12813" width="13.6640625" style="1916" customWidth="1"/>
    <col min="12814" max="12814" width="19.5" style="1916" customWidth="1"/>
    <col min="12815" max="12815" width="13.1640625" style="1916" customWidth="1"/>
    <col min="12816" max="12816" width="14" style="1916" customWidth="1"/>
    <col min="12817" max="12817" width="13.1640625" style="1916" customWidth="1"/>
    <col min="12818" max="12818" width="18.5" style="1916" customWidth="1"/>
    <col min="12819" max="12819" width="14.6640625" style="1916" customWidth="1"/>
    <col min="12820" max="12820" width="14" style="1916" customWidth="1"/>
    <col min="12821" max="12826" width="16.5" style="1916" bestFit="1" customWidth="1"/>
    <col min="12827" max="12827" width="16.33203125" style="1916" customWidth="1"/>
    <col min="12828" max="13056" width="9.33203125" style="1916"/>
    <col min="13057" max="13057" width="3" style="1916" customWidth="1"/>
    <col min="13058" max="13058" width="64.5" style="1916" customWidth="1"/>
    <col min="13059" max="13059" width="13.1640625" style="1916" customWidth="1"/>
    <col min="13060" max="13060" width="13.83203125" style="1916" customWidth="1"/>
    <col min="13061" max="13061" width="15" style="1916" customWidth="1"/>
    <col min="13062" max="13062" width="13.5" style="1916" customWidth="1"/>
    <col min="13063" max="13063" width="15.1640625" style="1916" customWidth="1"/>
    <col min="13064" max="13064" width="13.1640625" style="1916" customWidth="1"/>
    <col min="13065" max="13065" width="15.5" style="1916" customWidth="1"/>
    <col min="13066" max="13066" width="14.6640625" style="1916" bestFit="1" customWidth="1"/>
    <col min="13067" max="13067" width="15.1640625" style="1916" bestFit="1" customWidth="1"/>
    <col min="13068" max="13068" width="15.83203125" style="1916" bestFit="1" customWidth="1"/>
    <col min="13069" max="13069" width="13.6640625" style="1916" customWidth="1"/>
    <col min="13070" max="13070" width="19.5" style="1916" customWidth="1"/>
    <col min="13071" max="13071" width="13.1640625" style="1916" customWidth="1"/>
    <col min="13072" max="13072" width="14" style="1916" customWidth="1"/>
    <col min="13073" max="13073" width="13.1640625" style="1916" customWidth="1"/>
    <col min="13074" max="13074" width="18.5" style="1916" customWidth="1"/>
    <col min="13075" max="13075" width="14.6640625" style="1916" customWidth="1"/>
    <col min="13076" max="13076" width="14" style="1916" customWidth="1"/>
    <col min="13077" max="13082" width="16.5" style="1916" bestFit="1" customWidth="1"/>
    <col min="13083" max="13083" width="16.33203125" style="1916" customWidth="1"/>
    <col min="13084" max="13312" width="9.33203125" style="1916"/>
    <col min="13313" max="13313" width="3" style="1916" customWidth="1"/>
    <col min="13314" max="13314" width="64.5" style="1916" customWidth="1"/>
    <col min="13315" max="13315" width="13.1640625" style="1916" customWidth="1"/>
    <col min="13316" max="13316" width="13.83203125" style="1916" customWidth="1"/>
    <col min="13317" max="13317" width="15" style="1916" customWidth="1"/>
    <col min="13318" max="13318" width="13.5" style="1916" customWidth="1"/>
    <col min="13319" max="13319" width="15.1640625" style="1916" customWidth="1"/>
    <col min="13320" max="13320" width="13.1640625" style="1916" customWidth="1"/>
    <col min="13321" max="13321" width="15.5" style="1916" customWidth="1"/>
    <col min="13322" max="13322" width="14.6640625" style="1916" bestFit="1" customWidth="1"/>
    <col min="13323" max="13323" width="15.1640625" style="1916" bestFit="1" customWidth="1"/>
    <col min="13324" max="13324" width="15.83203125" style="1916" bestFit="1" customWidth="1"/>
    <col min="13325" max="13325" width="13.6640625" style="1916" customWidth="1"/>
    <col min="13326" max="13326" width="19.5" style="1916" customWidth="1"/>
    <col min="13327" max="13327" width="13.1640625" style="1916" customWidth="1"/>
    <col min="13328" max="13328" width="14" style="1916" customWidth="1"/>
    <col min="13329" max="13329" width="13.1640625" style="1916" customWidth="1"/>
    <col min="13330" max="13330" width="18.5" style="1916" customWidth="1"/>
    <col min="13331" max="13331" width="14.6640625" style="1916" customWidth="1"/>
    <col min="13332" max="13332" width="14" style="1916" customWidth="1"/>
    <col min="13333" max="13338" width="16.5" style="1916" bestFit="1" customWidth="1"/>
    <col min="13339" max="13339" width="16.33203125" style="1916" customWidth="1"/>
    <col min="13340" max="13568" width="9.33203125" style="1916"/>
    <col min="13569" max="13569" width="3" style="1916" customWidth="1"/>
    <col min="13570" max="13570" width="64.5" style="1916" customWidth="1"/>
    <col min="13571" max="13571" width="13.1640625" style="1916" customWidth="1"/>
    <col min="13572" max="13572" width="13.83203125" style="1916" customWidth="1"/>
    <col min="13573" max="13573" width="15" style="1916" customWidth="1"/>
    <col min="13574" max="13574" width="13.5" style="1916" customWidth="1"/>
    <col min="13575" max="13575" width="15.1640625" style="1916" customWidth="1"/>
    <col min="13576" max="13576" width="13.1640625" style="1916" customWidth="1"/>
    <col min="13577" max="13577" width="15.5" style="1916" customWidth="1"/>
    <col min="13578" max="13578" width="14.6640625" style="1916" bestFit="1" customWidth="1"/>
    <col min="13579" max="13579" width="15.1640625" style="1916" bestFit="1" customWidth="1"/>
    <col min="13580" max="13580" width="15.83203125" style="1916" bestFit="1" customWidth="1"/>
    <col min="13581" max="13581" width="13.6640625" style="1916" customWidth="1"/>
    <col min="13582" max="13582" width="19.5" style="1916" customWidth="1"/>
    <col min="13583" max="13583" width="13.1640625" style="1916" customWidth="1"/>
    <col min="13584" max="13584" width="14" style="1916" customWidth="1"/>
    <col min="13585" max="13585" width="13.1640625" style="1916" customWidth="1"/>
    <col min="13586" max="13586" width="18.5" style="1916" customWidth="1"/>
    <col min="13587" max="13587" width="14.6640625" style="1916" customWidth="1"/>
    <col min="13588" max="13588" width="14" style="1916" customWidth="1"/>
    <col min="13589" max="13594" width="16.5" style="1916" bestFit="1" customWidth="1"/>
    <col min="13595" max="13595" width="16.33203125" style="1916" customWidth="1"/>
    <col min="13596" max="13824" width="9.33203125" style="1916"/>
    <col min="13825" max="13825" width="3" style="1916" customWidth="1"/>
    <col min="13826" max="13826" width="64.5" style="1916" customWidth="1"/>
    <col min="13827" max="13827" width="13.1640625" style="1916" customWidth="1"/>
    <col min="13828" max="13828" width="13.83203125" style="1916" customWidth="1"/>
    <col min="13829" max="13829" width="15" style="1916" customWidth="1"/>
    <col min="13830" max="13830" width="13.5" style="1916" customWidth="1"/>
    <col min="13831" max="13831" width="15.1640625" style="1916" customWidth="1"/>
    <col min="13832" max="13832" width="13.1640625" style="1916" customWidth="1"/>
    <col min="13833" max="13833" width="15.5" style="1916" customWidth="1"/>
    <col min="13834" max="13834" width="14.6640625" style="1916" bestFit="1" customWidth="1"/>
    <col min="13835" max="13835" width="15.1640625" style="1916" bestFit="1" customWidth="1"/>
    <col min="13836" max="13836" width="15.83203125" style="1916" bestFit="1" customWidth="1"/>
    <col min="13837" max="13837" width="13.6640625" style="1916" customWidth="1"/>
    <col min="13838" max="13838" width="19.5" style="1916" customWidth="1"/>
    <col min="13839" max="13839" width="13.1640625" style="1916" customWidth="1"/>
    <col min="13840" max="13840" width="14" style="1916" customWidth="1"/>
    <col min="13841" max="13841" width="13.1640625" style="1916" customWidth="1"/>
    <col min="13842" max="13842" width="18.5" style="1916" customWidth="1"/>
    <col min="13843" max="13843" width="14.6640625" style="1916" customWidth="1"/>
    <col min="13844" max="13844" width="14" style="1916" customWidth="1"/>
    <col min="13845" max="13850" width="16.5" style="1916" bestFit="1" customWidth="1"/>
    <col min="13851" max="13851" width="16.33203125" style="1916" customWidth="1"/>
    <col min="13852" max="14080" width="9.33203125" style="1916"/>
    <col min="14081" max="14081" width="3" style="1916" customWidth="1"/>
    <col min="14082" max="14082" width="64.5" style="1916" customWidth="1"/>
    <col min="14083" max="14083" width="13.1640625" style="1916" customWidth="1"/>
    <col min="14084" max="14084" width="13.83203125" style="1916" customWidth="1"/>
    <col min="14085" max="14085" width="15" style="1916" customWidth="1"/>
    <col min="14086" max="14086" width="13.5" style="1916" customWidth="1"/>
    <col min="14087" max="14087" width="15.1640625" style="1916" customWidth="1"/>
    <col min="14088" max="14088" width="13.1640625" style="1916" customWidth="1"/>
    <col min="14089" max="14089" width="15.5" style="1916" customWidth="1"/>
    <col min="14090" max="14090" width="14.6640625" style="1916" bestFit="1" customWidth="1"/>
    <col min="14091" max="14091" width="15.1640625" style="1916" bestFit="1" customWidth="1"/>
    <col min="14092" max="14092" width="15.83203125" style="1916" bestFit="1" customWidth="1"/>
    <col min="14093" max="14093" width="13.6640625" style="1916" customWidth="1"/>
    <col min="14094" max="14094" width="19.5" style="1916" customWidth="1"/>
    <col min="14095" max="14095" width="13.1640625" style="1916" customWidth="1"/>
    <col min="14096" max="14096" width="14" style="1916" customWidth="1"/>
    <col min="14097" max="14097" width="13.1640625" style="1916" customWidth="1"/>
    <col min="14098" max="14098" width="18.5" style="1916" customWidth="1"/>
    <col min="14099" max="14099" width="14.6640625" style="1916" customWidth="1"/>
    <col min="14100" max="14100" width="14" style="1916" customWidth="1"/>
    <col min="14101" max="14106" width="16.5" style="1916" bestFit="1" customWidth="1"/>
    <col min="14107" max="14107" width="16.33203125" style="1916" customWidth="1"/>
    <col min="14108" max="14336" width="9.33203125" style="1916"/>
    <col min="14337" max="14337" width="3" style="1916" customWidth="1"/>
    <col min="14338" max="14338" width="64.5" style="1916" customWidth="1"/>
    <col min="14339" max="14339" width="13.1640625" style="1916" customWidth="1"/>
    <col min="14340" max="14340" width="13.83203125" style="1916" customWidth="1"/>
    <col min="14341" max="14341" width="15" style="1916" customWidth="1"/>
    <col min="14342" max="14342" width="13.5" style="1916" customWidth="1"/>
    <col min="14343" max="14343" width="15.1640625" style="1916" customWidth="1"/>
    <col min="14344" max="14344" width="13.1640625" style="1916" customWidth="1"/>
    <col min="14345" max="14345" width="15.5" style="1916" customWidth="1"/>
    <col min="14346" max="14346" width="14.6640625" style="1916" bestFit="1" customWidth="1"/>
    <col min="14347" max="14347" width="15.1640625" style="1916" bestFit="1" customWidth="1"/>
    <col min="14348" max="14348" width="15.83203125" style="1916" bestFit="1" customWidth="1"/>
    <col min="14349" max="14349" width="13.6640625" style="1916" customWidth="1"/>
    <col min="14350" max="14350" width="19.5" style="1916" customWidth="1"/>
    <col min="14351" max="14351" width="13.1640625" style="1916" customWidth="1"/>
    <col min="14352" max="14352" width="14" style="1916" customWidth="1"/>
    <col min="14353" max="14353" width="13.1640625" style="1916" customWidth="1"/>
    <col min="14354" max="14354" width="18.5" style="1916" customWidth="1"/>
    <col min="14355" max="14355" width="14.6640625" style="1916" customWidth="1"/>
    <col min="14356" max="14356" width="14" style="1916" customWidth="1"/>
    <col min="14357" max="14362" width="16.5" style="1916" bestFit="1" customWidth="1"/>
    <col min="14363" max="14363" width="16.33203125" style="1916" customWidth="1"/>
    <col min="14364" max="14592" width="9.33203125" style="1916"/>
    <col min="14593" max="14593" width="3" style="1916" customWidth="1"/>
    <col min="14594" max="14594" width="64.5" style="1916" customWidth="1"/>
    <col min="14595" max="14595" width="13.1640625" style="1916" customWidth="1"/>
    <col min="14596" max="14596" width="13.83203125" style="1916" customWidth="1"/>
    <col min="14597" max="14597" width="15" style="1916" customWidth="1"/>
    <col min="14598" max="14598" width="13.5" style="1916" customWidth="1"/>
    <col min="14599" max="14599" width="15.1640625" style="1916" customWidth="1"/>
    <col min="14600" max="14600" width="13.1640625" style="1916" customWidth="1"/>
    <col min="14601" max="14601" width="15.5" style="1916" customWidth="1"/>
    <col min="14602" max="14602" width="14.6640625" style="1916" bestFit="1" customWidth="1"/>
    <col min="14603" max="14603" width="15.1640625" style="1916" bestFit="1" customWidth="1"/>
    <col min="14604" max="14604" width="15.83203125" style="1916" bestFit="1" customWidth="1"/>
    <col min="14605" max="14605" width="13.6640625" style="1916" customWidth="1"/>
    <col min="14606" max="14606" width="19.5" style="1916" customWidth="1"/>
    <col min="14607" max="14607" width="13.1640625" style="1916" customWidth="1"/>
    <col min="14608" max="14608" width="14" style="1916" customWidth="1"/>
    <col min="14609" max="14609" width="13.1640625" style="1916" customWidth="1"/>
    <col min="14610" max="14610" width="18.5" style="1916" customWidth="1"/>
    <col min="14611" max="14611" width="14.6640625" style="1916" customWidth="1"/>
    <col min="14612" max="14612" width="14" style="1916" customWidth="1"/>
    <col min="14613" max="14618" width="16.5" style="1916" bestFit="1" customWidth="1"/>
    <col min="14619" max="14619" width="16.33203125" style="1916" customWidth="1"/>
    <col min="14620" max="14848" width="9.33203125" style="1916"/>
    <col min="14849" max="14849" width="3" style="1916" customWidth="1"/>
    <col min="14850" max="14850" width="64.5" style="1916" customWidth="1"/>
    <col min="14851" max="14851" width="13.1640625" style="1916" customWidth="1"/>
    <col min="14852" max="14852" width="13.83203125" style="1916" customWidth="1"/>
    <col min="14853" max="14853" width="15" style="1916" customWidth="1"/>
    <col min="14854" max="14854" width="13.5" style="1916" customWidth="1"/>
    <col min="14855" max="14855" width="15.1640625" style="1916" customWidth="1"/>
    <col min="14856" max="14856" width="13.1640625" style="1916" customWidth="1"/>
    <col min="14857" max="14857" width="15.5" style="1916" customWidth="1"/>
    <col min="14858" max="14858" width="14.6640625" style="1916" bestFit="1" customWidth="1"/>
    <col min="14859" max="14859" width="15.1640625" style="1916" bestFit="1" customWidth="1"/>
    <col min="14860" max="14860" width="15.83203125" style="1916" bestFit="1" customWidth="1"/>
    <col min="14861" max="14861" width="13.6640625" style="1916" customWidth="1"/>
    <col min="14862" max="14862" width="19.5" style="1916" customWidth="1"/>
    <col min="14863" max="14863" width="13.1640625" style="1916" customWidth="1"/>
    <col min="14864" max="14864" width="14" style="1916" customWidth="1"/>
    <col min="14865" max="14865" width="13.1640625" style="1916" customWidth="1"/>
    <col min="14866" max="14866" width="18.5" style="1916" customWidth="1"/>
    <col min="14867" max="14867" width="14.6640625" style="1916" customWidth="1"/>
    <col min="14868" max="14868" width="14" style="1916" customWidth="1"/>
    <col min="14869" max="14874" width="16.5" style="1916" bestFit="1" customWidth="1"/>
    <col min="14875" max="14875" width="16.33203125" style="1916" customWidth="1"/>
    <col min="14876" max="15104" width="9.33203125" style="1916"/>
    <col min="15105" max="15105" width="3" style="1916" customWidth="1"/>
    <col min="15106" max="15106" width="64.5" style="1916" customWidth="1"/>
    <col min="15107" max="15107" width="13.1640625" style="1916" customWidth="1"/>
    <col min="15108" max="15108" width="13.83203125" style="1916" customWidth="1"/>
    <col min="15109" max="15109" width="15" style="1916" customWidth="1"/>
    <col min="15110" max="15110" width="13.5" style="1916" customWidth="1"/>
    <col min="15111" max="15111" width="15.1640625" style="1916" customWidth="1"/>
    <col min="15112" max="15112" width="13.1640625" style="1916" customWidth="1"/>
    <col min="15113" max="15113" width="15.5" style="1916" customWidth="1"/>
    <col min="15114" max="15114" width="14.6640625" style="1916" bestFit="1" customWidth="1"/>
    <col min="15115" max="15115" width="15.1640625" style="1916" bestFit="1" customWidth="1"/>
    <col min="15116" max="15116" width="15.83203125" style="1916" bestFit="1" customWidth="1"/>
    <col min="15117" max="15117" width="13.6640625" style="1916" customWidth="1"/>
    <col min="15118" max="15118" width="19.5" style="1916" customWidth="1"/>
    <col min="15119" max="15119" width="13.1640625" style="1916" customWidth="1"/>
    <col min="15120" max="15120" width="14" style="1916" customWidth="1"/>
    <col min="15121" max="15121" width="13.1640625" style="1916" customWidth="1"/>
    <col min="15122" max="15122" width="18.5" style="1916" customWidth="1"/>
    <col min="15123" max="15123" width="14.6640625" style="1916" customWidth="1"/>
    <col min="15124" max="15124" width="14" style="1916" customWidth="1"/>
    <col min="15125" max="15130" width="16.5" style="1916" bestFit="1" customWidth="1"/>
    <col min="15131" max="15131" width="16.33203125" style="1916" customWidth="1"/>
    <col min="15132" max="15360" width="9.33203125" style="1916"/>
    <col min="15361" max="15361" width="3" style="1916" customWidth="1"/>
    <col min="15362" max="15362" width="64.5" style="1916" customWidth="1"/>
    <col min="15363" max="15363" width="13.1640625" style="1916" customWidth="1"/>
    <col min="15364" max="15364" width="13.83203125" style="1916" customWidth="1"/>
    <col min="15365" max="15365" width="15" style="1916" customWidth="1"/>
    <col min="15366" max="15366" width="13.5" style="1916" customWidth="1"/>
    <col min="15367" max="15367" width="15.1640625" style="1916" customWidth="1"/>
    <col min="15368" max="15368" width="13.1640625" style="1916" customWidth="1"/>
    <col min="15369" max="15369" width="15.5" style="1916" customWidth="1"/>
    <col min="15370" max="15370" width="14.6640625" style="1916" bestFit="1" customWidth="1"/>
    <col min="15371" max="15371" width="15.1640625" style="1916" bestFit="1" customWidth="1"/>
    <col min="15372" max="15372" width="15.83203125" style="1916" bestFit="1" customWidth="1"/>
    <col min="15373" max="15373" width="13.6640625" style="1916" customWidth="1"/>
    <col min="15374" max="15374" width="19.5" style="1916" customWidth="1"/>
    <col min="15375" max="15375" width="13.1640625" style="1916" customWidth="1"/>
    <col min="15376" max="15376" width="14" style="1916" customWidth="1"/>
    <col min="15377" max="15377" width="13.1640625" style="1916" customWidth="1"/>
    <col min="15378" max="15378" width="18.5" style="1916" customWidth="1"/>
    <col min="15379" max="15379" width="14.6640625" style="1916" customWidth="1"/>
    <col min="15380" max="15380" width="14" style="1916" customWidth="1"/>
    <col min="15381" max="15386" width="16.5" style="1916" bestFit="1" customWidth="1"/>
    <col min="15387" max="15387" width="16.33203125" style="1916" customWidth="1"/>
    <col min="15388" max="15616" width="9.33203125" style="1916"/>
    <col min="15617" max="15617" width="3" style="1916" customWidth="1"/>
    <col min="15618" max="15618" width="64.5" style="1916" customWidth="1"/>
    <col min="15619" max="15619" width="13.1640625" style="1916" customWidth="1"/>
    <col min="15620" max="15620" width="13.83203125" style="1916" customWidth="1"/>
    <col min="15621" max="15621" width="15" style="1916" customWidth="1"/>
    <col min="15622" max="15622" width="13.5" style="1916" customWidth="1"/>
    <col min="15623" max="15623" width="15.1640625" style="1916" customWidth="1"/>
    <col min="15624" max="15624" width="13.1640625" style="1916" customWidth="1"/>
    <col min="15625" max="15625" width="15.5" style="1916" customWidth="1"/>
    <col min="15626" max="15626" width="14.6640625" style="1916" bestFit="1" customWidth="1"/>
    <col min="15627" max="15627" width="15.1640625" style="1916" bestFit="1" customWidth="1"/>
    <col min="15628" max="15628" width="15.83203125" style="1916" bestFit="1" customWidth="1"/>
    <col min="15629" max="15629" width="13.6640625" style="1916" customWidth="1"/>
    <col min="15630" max="15630" width="19.5" style="1916" customWidth="1"/>
    <col min="15631" max="15631" width="13.1640625" style="1916" customWidth="1"/>
    <col min="15632" max="15632" width="14" style="1916" customWidth="1"/>
    <col min="15633" max="15633" width="13.1640625" style="1916" customWidth="1"/>
    <col min="15634" max="15634" width="18.5" style="1916" customWidth="1"/>
    <col min="15635" max="15635" width="14.6640625" style="1916" customWidth="1"/>
    <col min="15636" max="15636" width="14" style="1916" customWidth="1"/>
    <col min="15637" max="15642" width="16.5" style="1916" bestFit="1" customWidth="1"/>
    <col min="15643" max="15643" width="16.33203125" style="1916" customWidth="1"/>
    <col min="15644" max="15872" width="9.33203125" style="1916"/>
    <col min="15873" max="15873" width="3" style="1916" customWidth="1"/>
    <col min="15874" max="15874" width="64.5" style="1916" customWidth="1"/>
    <col min="15875" max="15875" width="13.1640625" style="1916" customWidth="1"/>
    <col min="15876" max="15876" width="13.83203125" style="1916" customWidth="1"/>
    <col min="15877" max="15877" width="15" style="1916" customWidth="1"/>
    <col min="15878" max="15878" width="13.5" style="1916" customWidth="1"/>
    <col min="15879" max="15879" width="15.1640625" style="1916" customWidth="1"/>
    <col min="15880" max="15880" width="13.1640625" style="1916" customWidth="1"/>
    <col min="15881" max="15881" width="15.5" style="1916" customWidth="1"/>
    <col min="15882" max="15882" width="14.6640625" style="1916" bestFit="1" customWidth="1"/>
    <col min="15883" max="15883" width="15.1640625" style="1916" bestFit="1" customWidth="1"/>
    <col min="15884" max="15884" width="15.83203125" style="1916" bestFit="1" customWidth="1"/>
    <col min="15885" max="15885" width="13.6640625" style="1916" customWidth="1"/>
    <col min="15886" max="15886" width="19.5" style="1916" customWidth="1"/>
    <col min="15887" max="15887" width="13.1640625" style="1916" customWidth="1"/>
    <col min="15888" max="15888" width="14" style="1916" customWidth="1"/>
    <col min="15889" max="15889" width="13.1640625" style="1916" customWidth="1"/>
    <col min="15890" max="15890" width="18.5" style="1916" customWidth="1"/>
    <col min="15891" max="15891" width="14.6640625" style="1916" customWidth="1"/>
    <col min="15892" max="15892" width="14" style="1916" customWidth="1"/>
    <col min="15893" max="15898" width="16.5" style="1916" bestFit="1" customWidth="1"/>
    <col min="15899" max="15899" width="16.33203125" style="1916" customWidth="1"/>
    <col min="15900" max="16128" width="9.33203125" style="1916"/>
    <col min="16129" max="16129" width="3" style="1916" customWidth="1"/>
    <col min="16130" max="16130" width="64.5" style="1916" customWidth="1"/>
    <col min="16131" max="16131" width="13.1640625" style="1916" customWidth="1"/>
    <col min="16132" max="16132" width="13.83203125" style="1916" customWidth="1"/>
    <col min="16133" max="16133" width="15" style="1916" customWidth="1"/>
    <col min="16134" max="16134" width="13.5" style="1916" customWidth="1"/>
    <col min="16135" max="16135" width="15.1640625" style="1916" customWidth="1"/>
    <col min="16136" max="16136" width="13.1640625" style="1916" customWidth="1"/>
    <col min="16137" max="16137" width="15.5" style="1916" customWidth="1"/>
    <col min="16138" max="16138" width="14.6640625" style="1916" bestFit="1" customWidth="1"/>
    <col min="16139" max="16139" width="15.1640625" style="1916" bestFit="1" customWidth="1"/>
    <col min="16140" max="16140" width="15.83203125" style="1916" bestFit="1" customWidth="1"/>
    <col min="16141" max="16141" width="13.6640625" style="1916" customWidth="1"/>
    <col min="16142" max="16142" width="19.5" style="1916" customWidth="1"/>
    <col min="16143" max="16143" width="13.1640625" style="1916" customWidth="1"/>
    <col min="16144" max="16144" width="14" style="1916" customWidth="1"/>
    <col min="16145" max="16145" width="13.1640625" style="1916" customWidth="1"/>
    <col min="16146" max="16146" width="18.5" style="1916" customWidth="1"/>
    <col min="16147" max="16147" width="14.6640625" style="1916" customWidth="1"/>
    <col min="16148" max="16148" width="14" style="1916" customWidth="1"/>
    <col min="16149" max="16154" width="16.5" style="1916" bestFit="1" customWidth="1"/>
    <col min="16155" max="16155" width="16.33203125" style="1916" customWidth="1"/>
    <col min="16156" max="16384" width="9.33203125" style="1916"/>
  </cols>
  <sheetData>
    <row r="1" spans="1:19" s="1844" customFormat="1" ht="63" customHeight="1">
      <c r="A1" s="482" t="s">
        <v>1282</v>
      </c>
      <c r="B1" s="229"/>
      <c r="G1" s="479"/>
    </row>
    <row r="2" spans="1:19" s="10" customFormat="1" ht="63" customHeight="1" thickBot="1">
      <c r="A2" s="1848"/>
      <c r="B2" s="1849"/>
      <c r="C2" s="1849"/>
      <c r="D2" s="1849"/>
      <c r="E2" s="1849"/>
      <c r="F2" s="1849"/>
      <c r="G2" s="1849"/>
      <c r="H2" s="1849"/>
      <c r="I2" s="1849"/>
      <c r="J2" s="1849"/>
      <c r="K2" s="1849"/>
      <c r="L2" s="1849"/>
      <c r="M2" s="1849"/>
      <c r="N2" s="1849"/>
      <c r="O2" s="1849"/>
      <c r="P2" s="1849"/>
    </row>
    <row r="3" spans="1:19" ht="63" customHeight="1" thickBot="1">
      <c r="E3" s="926" t="s">
        <v>159</v>
      </c>
      <c r="F3" s="927"/>
      <c r="G3" s="927"/>
      <c r="H3" s="928"/>
    </row>
    <row r="4" spans="1:19" ht="13.5" thickBot="1">
      <c r="E4" s="48"/>
    </row>
    <row r="5" spans="1:19" ht="12.75">
      <c r="B5" s="124"/>
      <c r="C5" s="181">
        <v>2001</v>
      </c>
      <c r="D5" s="181">
        <v>2002</v>
      </c>
      <c r="E5" s="181">
        <v>2003</v>
      </c>
      <c r="F5" s="181">
        <v>2004</v>
      </c>
      <c r="G5" s="181">
        <v>2005</v>
      </c>
      <c r="H5" s="181">
        <v>2006</v>
      </c>
      <c r="I5" s="181">
        <v>2007</v>
      </c>
      <c r="J5" s="181">
        <v>2008</v>
      </c>
      <c r="K5" s="744">
        <v>2009</v>
      </c>
      <c r="L5" s="744">
        <v>2010</v>
      </c>
      <c r="M5" s="744">
        <v>2011</v>
      </c>
      <c r="N5" s="744">
        <v>2012</v>
      </c>
      <c r="O5" s="744">
        <v>2013</v>
      </c>
      <c r="P5" s="1972">
        <v>2014</v>
      </c>
      <c r="Q5" s="1973">
        <v>2015</v>
      </c>
      <c r="R5" s="1975">
        <v>2016</v>
      </c>
      <c r="S5" s="1974">
        <v>2017</v>
      </c>
    </row>
    <row r="6" spans="1:19">
      <c r="B6" s="125"/>
      <c r="C6" s="1923"/>
      <c r="D6" s="1923"/>
      <c r="E6" s="1923"/>
      <c r="F6" s="1923"/>
      <c r="G6" s="1923"/>
      <c r="H6" s="1923"/>
      <c r="I6" s="1923"/>
      <c r="J6" s="1923"/>
      <c r="K6" s="1924"/>
      <c r="L6" s="1924"/>
      <c r="M6" s="1924"/>
      <c r="N6" s="1924"/>
      <c r="O6" s="1924"/>
      <c r="P6" s="1925"/>
      <c r="Q6" s="1923"/>
      <c r="R6" s="1925"/>
      <c r="S6" s="496"/>
    </row>
    <row r="7" spans="1:19" ht="12.75">
      <c r="B7" s="1850" t="s">
        <v>160</v>
      </c>
      <c r="C7" s="2021">
        <v>11135140</v>
      </c>
      <c r="D7" s="2021">
        <v>11364983</v>
      </c>
      <c r="E7" s="2021">
        <v>11852129</v>
      </c>
      <c r="F7" s="2021">
        <v>11608446</v>
      </c>
      <c r="G7" s="2021">
        <v>11745248.199999999</v>
      </c>
      <c r="H7" s="2021">
        <v>11687602.6</v>
      </c>
      <c r="I7" s="2021">
        <v>11937518</v>
      </c>
      <c r="J7" s="2021">
        <v>11098391</v>
      </c>
      <c r="K7" s="2022">
        <v>9846698</v>
      </c>
      <c r="L7" s="2022">
        <v>9885858</v>
      </c>
      <c r="M7" s="2022">
        <v>9003261</v>
      </c>
      <c r="N7" s="2022">
        <v>6981310</v>
      </c>
      <c r="O7" s="2022">
        <v>6815969</v>
      </c>
      <c r="P7" s="2023">
        <v>7450504</v>
      </c>
      <c r="Q7" s="2024">
        <v>6046224</v>
      </c>
      <c r="R7" s="2025">
        <v>5882475</v>
      </c>
      <c r="S7" s="2026">
        <v>3674712</v>
      </c>
    </row>
    <row r="8" spans="1:19" ht="12.75">
      <c r="B8" s="1850" t="s">
        <v>161</v>
      </c>
      <c r="C8" s="2021">
        <v>5514960</v>
      </c>
      <c r="D8" s="2021">
        <v>4108104</v>
      </c>
      <c r="E8" s="2021">
        <v>6164252</v>
      </c>
      <c r="F8" s="2021">
        <v>5672819.25</v>
      </c>
      <c r="G8" s="2021">
        <v>6574936.7400000002</v>
      </c>
      <c r="H8" s="2021">
        <v>1050222.03</v>
      </c>
      <c r="I8" s="2021">
        <v>1790746</v>
      </c>
      <c r="J8" s="2021">
        <v>791418</v>
      </c>
      <c r="K8" s="2022">
        <v>624050</v>
      </c>
      <c r="L8" s="2022">
        <v>658767</v>
      </c>
      <c r="M8" s="2022">
        <v>438683</v>
      </c>
      <c r="N8" s="2022">
        <v>408743</v>
      </c>
      <c r="O8" s="2022">
        <v>544171</v>
      </c>
      <c r="P8" s="2023">
        <v>1104782</v>
      </c>
      <c r="Q8" s="2024">
        <v>483501</v>
      </c>
      <c r="R8" s="2025">
        <v>353249</v>
      </c>
      <c r="S8" s="2026">
        <v>242907</v>
      </c>
    </row>
    <row r="9" spans="1:19" ht="12.75">
      <c r="B9" s="1850" t="s">
        <v>162</v>
      </c>
      <c r="C9" s="2021">
        <v>17985486</v>
      </c>
      <c r="D9" s="2021">
        <v>22627073</v>
      </c>
      <c r="E9" s="2021">
        <v>11162538</v>
      </c>
      <c r="F9" s="2021">
        <v>9994238.0399999991</v>
      </c>
      <c r="G9" s="2021">
        <v>18619350</v>
      </c>
      <c r="H9" s="2021">
        <v>16620796.5</v>
      </c>
      <c r="I9" s="2021">
        <v>21481869</v>
      </c>
      <c r="J9" s="2021">
        <v>17563616</v>
      </c>
      <c r="K9" s="2022">
        <v>15742992</v>
      </c>
      <c r="L9" s="2022">
        <v>28629884</v>
      </c>
      <c r="M9" s="2022">
        <v>21840074</v>
      </c>
      <c r="N9" s="2022">
        <v>51188571</v>
      </c>
      <c r="O9" s="2022">
        <v>27549022</v>
      </c>
      <c r="P9" s="2023">
        <v>24337768</v>
      </c>
      <c r="Q9" s="2024">
        <v>44642499</v>
      </c>
      <c r="R9" s="2025">
        <v>53485752</v>
      </c>
      <c r="S9" s="2026">
        <v>55972798</v>
      </c>
    </row>
    <row r="10" spans="1:19" ht="13.5" thickBot="1">
      <c r="B10" s="1851" t="s">
        <v>163</v>
      </c>
      <c r="C10" s="2027">
        <v>7537</v>
      </c>
      <c r="D10" s="2027">
        <v>9278</v>
      </c>
      <c r="E10" s="2027">
        <v>6717</v>
      </c>
      <c r="F10" s="2027">
        <v>5127.03</v>
      </c>
      <c r="G10" s="2027">
        <v>4266.24</v>
      </c>
      <c r="H10" s="2027">
        <v>4141.3100000000004</v>
      </c>
      <c r="I10" s="2027">
        <v>4703.42</v>
      </c>
      <c r="J10" s="2027">
        <v>4194.0200000000004</v>
      </c>
      <c r="K10" s="2028">
        <v>3340</v>
      </c>
      <c r="L10" s="2028">
        <v>2663</v>
      </c>
      <c r="M10" s="2028">
        <v>1921</v>
      </c>
      <c r="N10" s="2028">
        <v>1395</v>
      </c>
      <c r="O10" s="2028">
        <v>0</v>
      </c>
      <c r="P10" s="2029"/>
      <c r="Q10" s="2030"/>
      <c r="R10" s="2031"/>
      <c r="S10" s="1900"/>
    </row>
    <row r="12" spans="1:19" ht="12" thickBot="1"/>
    <row r="13" spans="1:19" ht="13.5" thickBot="1">
      <c r="E13" s="1852" t="s">
        <v>377</v>
      </c>
      <c r="F13" s="1853"/>
      <c r="G13" s="1854"/>
      <c r="H13" s="49"/>
    </row>
    <row r="14" spans="1:19" ht="12" thickBot="1"/>
    <row r="15" spans="1:19" ht="12.75">
      <c r="B15" s="124"/>
      <c r="C15" s="179">
        <v>2001</v>
      </c>
      <c r="D15" s="179">
        <v>2002</v>
      </c>
      <c r="E15" s="179">
        <v>2003</v>
      </c>
      <c r="F15" s="179">
        <v>2004</v>
      </c>
      <c r="G15" s="179">
        <v>2005</v>
      </c>
      <c r="H15" s="179">
        <v>2006</v>
      </c>
      <c r="I15" s="179">
        <v>2007</v>
      </c>
      <c r="J15" s="721">
        <v>2008</v>
      </c>
      <c r="K15" s="179">
        <v>2009</v>
      </c>
      <c r="L15" s="180">
        <v>2010</v>
      </c>
      <c r="M15" s="184">
        <v>2011</v>
      </c>
      <c r="N15" s="184">
        <v>2012</v>
      </c>
      <c r="O15" s="184">
        <v>2013</v>
      </c>
      <c r="P15" s="180">
        <v>2014</v>
      </c>
      <c r="Q15" s="720">
        <v>2015</v>
      </c>
      <c r="R15" s="1976">
        <v>2016</v>
      </c>
      <c r="S15" s="720">
        <v>2017</v>
      </c>
    </row>
    <row r="16" spans="1:19" ht="12.75">
      <c r="B16" s="125" t="s">
        <v>1112</v>
      </c>
      <c r="C16" s="1926">
        <v>28379409</v>
      </c>
      <c r="D16" s="1926">
        <v>28712053</v>
      </c>
      <c r="E16" s="1926">
        <v>29939086</v>
      </c>
      <c r="F16" s="1926">
        <v>29195458</v>
      </c>
      <c r="G16" s="1926">
        <v>29302792</v>
      </c>
      <c r="H16" s="1926">
        <v>29408022</v>
      </c>
      <c r="I16" s="1926">
        <v>29699186</v>
      </c>
      <c r="J16" s="1927">
        <v>27218239</v>
      </c>
      <c r="K16" s="1928">
        <v>24162345</v>
      </c>
      <c r="L16" s="1929">
        <v>23668204</v>
      </c>
      <c r="M16" s="1929">
        <v>21186919</v>
      </c>
      <c r="N16" s="1929">
        <v>16184773</v>
      </c>
      <c r="O16" s="1929">
        <v>15538469</v>
      </c>
      <c r="P16" s="1930">
        <v>17603291</v>
      </c>
      <c r="Q16" s="2032">
        <v>13925604</v>
      </c>
      <c r="R16" s="2033">
        <v>13826213</v>
      </c>
      <c r="S16" s="2026">
        <v>8514009</v>
      </c>
    </row>
    <row r="17" spans="2:19" ht="12.75">
      <c r="B17" s="125" t="s">
        <v>1113</v>
      </c>
      <c r="C17" s="1926">
        <v>3021639</v>
      </c>
      <c r="D17" s="1926">
        <v>2282432</v>
      </c>
      <c r="E17" s="1926">
        <v>3572183</v>
      </c>
      <c r="F17" s="1926">
        <v>3296842</v>
      </c>
      <c r="G17" s="1926">
        <v>3805569</v>
      </c>
      <c r="H17" s="1926">
        <v>580726</v>
      </c>
      <c r="I17" s="1926">
        <v>984831</v>
      </c>
      <c r="J17" s="1927">
        <v>405840</v>
      </c>
      <c r="K17" s="1928">
        <v>329901</v>
      </c>
      <c r="L17" s="1929">
        <v>322438</v>
      </c>
      <c r="M17" s="1929">
        <v>219804</v>
      </c>
      <c r="N17" s="1929">
        <v>137305</v>
      </c>
      <c r="O17" s="1929">
        <v>189553</v>
      </c>
      <c r="P17" s="1930">
        <v>463456</v>
      </c>
      <c r="Q17" s="2032">
        <v>232348</v>
      </c>
      <c r="R17" s="2033">
        <v>160550</v>
      </c>
      <c r="S17" s="2026">
        <v>102181</v>
      </c>
    </row>
    <row r="18" spans="2:19" ht="12.75">
      <c r="B18" s="125" t="s">
        <v>1114</v>
      </c>
      <c r="C18" s="1926">
        <v>1760812</v>
      </c>
      <c r="D18" s="1926">
        <v>2214431</v>
      </c>
      <c r="E18" s="1926">
        <v>1195642</v>
      </c>
      <c r="F18" s="1926">
        <v>1183301</v>
      </c>
      <c r="G18" s="1926">
        <v>1886986</v>
      </c>
      <c r="H18" s="1926">
        <v>1770206</v>
      </c>
      <c r="I18" s="1926">
        <v>2240927</v>
      </c>
      <c r="J18" s="1927">
        <v>1848147</v>
      </c>
      <c r="K18" s="1928">
        <v>1767844</v>
      </c>
      <c r="L18" s="1929">
        <v>2896978</v>
      </c>
      <c r="M18" s="1929">
        <v>2236976</v>
      </c>
      <c r="N18" s="1929">
        <v>4944895</v>
      </c>
      <c r="O18" s="1929">
        <v>2887589</v>
      </c>
      <c r="P18" s="1930">
        <v>2505890</v>
      </c>
      <c r="Q18" s="2032">
        <v>4555345</v>
      </c>
      <c r="R18" s="2033">
        <v>5423046</v>
      </c>
      <c r="S18" s="2026">
        <v>6729174</v>
      </c>
    </row>
    <row r="19" spans="2:19" ht="12.75">
      <c r="B19" s="125" t="s">
        <v>164</v>
      </c>
      <c r="C19" s="1926">
        <v>439980</v>
      </c>
      <c r="D19" s="1926">
        <v>504513</v>
      </c>
      <c r="E19" s="1926">
        <v>325355</v>
      </c>
      <c r="F19" s="1926">
        <v>411565</v>
      </c>
      <c r="G19" s="1926">
        <v>342466</v>
      </c>
      <c r="H19" s="1926">
        <v>332444</v>
      </c>
      <c r="I19" s="1926">
        <v>377560</v>
      </c>
      <c r="J19" s="1927">
        <v>337823</v>
      </c>
      <c r="K19" s="1928">
        <v>269182</v>
      </c>
      <c r="L19" s="1929">
        <v>214727</v>
      </c>
      <c r="M19" s="1929">
        <v>154641</v>
      </c>
      <c r="N19" s="1929">
        <v>112314</v>
      </c>
      <c r="O19" s="1931">
        <v>0</v>
      </c>
      <c r="P19" s="1931">
        <v>0</v>
      </c>
      <c r="Q19" s="2034">
        <v>0</v>
      </c>
      <c r="R19" s="2035">
        <v>0</v>
      </c>
      <c r="S19" s="2026">
        <v>0</v>
      </c>
    </row>
    <row r="20" spans="2:19" ht="12.75">
      <c r="B20" s="125" t="s">
        <v>165</v>
      </c>
      <c r="C20" s="1926">
        <v>13656267</v>
      </c>
      <c r="D20" s="1926">
        <v>12128005</v>
      </c>
      <c r="E20" s="1926">
        <v>13690713</v>
      </c>
      <c r="F20" s="1926">
        <v>14580260</v>
      </c>
      <c r="G20" s="1926">
        <v>14703221</v>
      </c>
      <c r="H20" s="1926">
        <v>13830411</v>
      </c>
      <c r="I20" s="1926">
        <v>14353192</v>
      </c>
      <c r="J20" s="1927">
        <v>14678695</v>
      </c>
      <c r="K20" s="1928">
        <v>14550119</v>
      </c>
      <c r="L20" s="1929">
        <v>13993948</v>
      </c>
      <c r="M20" s="1929">
        <v>14397437</v>
      </c>
      <c r="N20" s="1929">
        <v>13579266</v>
      </c>
      <c r="O20" s="1929">
        <v>14264305</v>
      </c>
      <c r="P20" s="1930">
        <v>14343334</v>
      </c>
      <c r="Q20" s="2032">
        <v>14643325</v>
      </c>
      <c r="R20" s="2033">
        <v>14760177</v>
      </c>
      <c r="S20" s="2026">
        <v>15106988</v>
      </c>
    </row>
    <row r="21" spans="2:19" ht="12.75">
      <c r="B21" s="125" t="s">
        <v>166</v>
      </c>
      <c r="C21" s="1926">
        <v>1183518</v>
      </c>
      <c r="D21" s="1926">
        <v>1660989</v>
      </c>
      <c r="E21" s="1926">
        <v>2646984</v>
      </c>
      <c r="F21" s="1926">
        <v>2507521</v>
      </c>
      <c r="G21" s="1926">
        <v>1703639</v>
      </c>
      <c r="H21" s="1926">
        <v>2104275</v>
      </c>
      <c r="I21" s="1926">
        <v>1652216</v>
      </c>
      <c r="J21" s="1927">
        <v>1974078</v>
      </c>
      <c r="K21" s="1928">
        <v>1888769</v>
      </c>
      <c r="L21" s="1929">
        <v>1667397</v>
      </c>
      <c r="M21" s="1929">
        <v>2540908</v>
      </c>
      <c r="N21" s="1929">
        <v>1656539</v>
      </c>
      <c r="O21" s="1929">
        <v>1727020</v>
      </c>
      <c r="P21" s="1930">
        <v>1615523</v>
      </c>
      <c r="Q21" s="2032">
        <v>1623190</v>
      </c>
      <c r="R21" s="2033">
        <v>1392187</v>
      </c>
      <c r="S21" s="2026">
        <v>1965459</v>
      </c>
    </row>
    <row r="22" spans="2:19" ht="12.75">
      <c r="B22" s="1856" t="s">
        <v>178</v>
      </c>
      <c r="C22" s="1926"/>
      <c r="D22" s="1926"/>
      <c r="E22" s="1926"/>
      <c r="F22" s="1926"/>
      <c r="G22" s="1926"/>
      <c r="H22" s="1926"/>
      <c r="I22" s="1926"/>
      <c r="J22" s="1927"/>
      <c r="K22" s="1928"/>
      <c r="L22" s="1929">
        <v>1494</v>
      </c>
      <c r="M22" s="1929">
        <v>319254</v>
      </c>
      <c r="N22" s="1929">
        <v>321687</v>
      </c>
      <c r="O22" s="1929">
        <v>321670</v>
      </c>
      <c r="P22" s="1930">
        <v>323612</v>
      </c>
      <c r="Q22" s="2032">
        <v>434595</v>
      </c>
      <c r="R22" s="2033">
        <v>527114</v>
      </c>
      <c r="S22" s="2026">
        <v>561349</v>
      </c>
    </row>
    <row r="23" spans="2:19" ht="12.75">
      <c r="B23" s="1856" t="s">
        <v>174</v>
      </c>
      <c r="C23" s="1926"/>
      <c r="D23" s="1926"/>
      <c r="E23" s="1926"/>
      <c r="F23" s="1926"/>
      <c r="G23" s="1926"/>
      <c r="H23" s="1926"/>
      <c r="I23" s="1926"/>
      <c r="J23" s="1927"/>
      <c r="K23" s="1928"/>
      <c r="L23" s="1929">
        <v>80</v>
      </c>
      <c r="M23" s="1929">
        <v>2070</v>
      </c>
      <c r="N23" s="1929">
        <v>22473</v>
      </c>
      <c r="O23" s="1929">
        <v>63485</v>
      </c>
      <c r="P23" s="1930">
        <v>98118</v>
      </c>
      <c r="Q23" s="2032">
        <v>118801</v>
      </c>
      <c r="R23" s="2033">
        <v>208657</v>
      </c>
      <c r="S23" s="2026">
        <v>267090</v>
      </c>
    </row>
    <row r="24" spans="2:19" ht="12.75">
      <c r="B24" s="125" t="s">
        <v>167</v>
      </c>
      <c r="C24" s="1926">
        <v>11939</v>
      </c>
      <c r="D24" s="1926">
        <v>182904</v>
      </c>
      <c r="E24" s="1926">
        <v>225240</v>
      </c>
      <c r="F24" s="1926">
        <v>192384</v>
      </c>
      <c r="G24" s="1926">
        <v>205985</v>
      </c>
      <c r="H24" s="1926">
        <v>218066</v>
      </c>
      <c r="I24" s="1926">
        <v>203097</v>
      </c>
      <c r="J24" s="1927">
        <v>197704</v>
      </c>
      <c r="K24" s="1928">
        <v>175058</v>
      </c>
      <c r="L24" s="1929">
        <v>164688</v>
      </c>
      <c r="M24" s="1929">
        <v>167437</v>
      </c>
      <c r="N24" s="1929">
        <v>158953</v>
      </c>
      <c r="O24" s="1929">
        <v>142789</v>
      </c>
      <c r="P24" s="1930">
        <v>150426</v>
      </c>
      <c r="Q24" s="2032">
        <v>111162</v>
      </c>
      <c r="R24" s="2033">
        <v>123653</v>
      </c>
      <c r="S24" s="2026">
        <v>120338</v>
      </c>
    </row>
    <row r="25" spans="2:19" ht="12.75">
      <c r="B25" s="125" t="s">
        <v>168</v>
      </c>
      <c r="C25" s="1926">
        <v>361076</v>
      </c>
      <c r="D25" s="1926">
        <v>338727</v>
      </c>
      <c r="E25" s="1926">
        <v>370811</v>
      </c>
      <c r="F25" s="1926">
        <v>396824</v>
      </c>
      <c r="G25" s="1926">
        <v>417380</v>
      </c>
      <c r="H25" s="1926">
        <v>408095</v>
      </c>
      <c r="I25" s="1926">
        <v>400364</v>
      </c>
      <c r="J25" s="1927">
        <v>414781</v>
      </c>
      <c r="K25" s="1928">
        <v>375721</v>
      </c>
      <c r="L25" s="1929">
        <v>407402</v>
      </c>
      <c r="M25" s="1929">
        <v>420114</v>
      </c>
      <c r="N25" s="1929">
        <v>395039</v>
      </c>
      <c r="O25" s="1929">
        <v>413220</v>
      </c>
      <c r="P25" s="1930">
        <v>416719</v>
      </c>
      <c r="Q25" s="2032">
        <v>403239</v>
      </c>
      <c r="R25" s="2033">
        <v>422029</v>
      </c>
      <c r="S25" s="2026">
        <v>415940</v>
      </c>
    </row>
    <row r="26" spans="2:19" ht="13.5" thickBot="1">
      <c r="B26" s="186" t="s">
        <v>183</v>
      </c>
      <c r="C26" s="188">
        <v>247700</v>
      </c>
      <c r="D26" s="188">
        <v>255034</v>
      </c>
      <c r="E26" s="188">
        <v>278224</v>
      </c>
      <c r="F26" s="188">
        <v>288616</v>
      </c>
      <c r="G26" s="188">
        <v>293561</v>
      </c>
      <c r="H26" s="188">
        <v>304635</v>
      </c>
      <c r="I26" s="188">
        <v>286550</v>
      </c>
      <c r="J26" s="722">
        <v>285645</v>
      </c>
      <c r="K26" s="1857">
        <v>255893</v>
      </c>
      <c r="L26" s="1858">
        <v>269907</v>
      </c>
      <c r="M26" s="1858">
        <v>267727</v>
      </c>
      <c r="N26" s="1858">
        <v>296499</v>
      </c>
      <c r="O26" s="1858">
        <v>302712</v>
      </c>
      <c r="P26" s="1859">
        <v>313284</v>
      </c>
      <c r="Q26" s="2032">
        <v>317935</v>
      </c>
      <c r="R26" s="2033">
        <v>323060</v>
      </c>
      <c r="S26" s="2191">
        <v>321712</v>
      </c>
    </row>
    <row r="27" spans="2:19" ht="13.5" thickBot="1">
      <c r="B27" s="189" t="s">
        <v>190</v>
      </c>
      <c r="C27" s="190">
        <v>49062340</v>
      </c>
      <c r="D27" s="190">
        <v>48279088</v>
      </c>
      <c r="E27" s="190">
        <v>52244237</v>
      </c>
      <c r="F27" s="190">
        <v>52052770</v>
      </c>
      <c r="G27" s="190">
        <v>52661600</v>
      </c>
      <c r="H27" s="190">
        <v>48956880</v>
      </c>
      <c r="I27" s="190">
        <v>50197924</v>
      </c>
      <c r="J27" s="723">
        <v>47360953</v>
      </c>
      <c r="K27" s="1845">
        <f>SUM(K16:K26)</f>
        <v>43774832</v>
      </c>
      <c r="L27" s="1845">
        <v>43607266</v>
      </c>
      <c r="M27" s="1860">
        <f t="shared" ref="M27:R27" si="0">SUM(M16:M26)</f>
        <v>41913287</v>
      </c>
      <c r="N27" s="1846">
        <f t="shared" si="0"/>
        <v>37809743</v>
      </c>
      <c r="O27" s="1846">
        <f t="shared" si="0"/>
        <v>35850812</v>
      </c>
      <c r="P27" s="1861">
        <f t="shared" si="0"/>
        <v>37833653</v>
      </c>
      <c r="Q27" s="1847">
        <f t="shared" si="0"/>
        <v>36365544</v>
      </c>
      <c r="R27" s="1977">
        <f t="shared" si="0"/>
        <v>37166686</v>
      </c>
      <c r="S27" s="2192">
        <f>SUM(S16:S26)</f>
        <v>34104240</v>
      </c>
    </row>
    <row r="28" spans="2:19" ht="12" thickBot="1"/>
    <row r="29" spans="2:19" ht="13.5" thickBot="1">
      <c r="E29" s="1862" t="s">
        <v>502</v>
      </c>
      <c r="F29" s="1863"/>
      <c r="G29" s="1863"/>
      <c r="H29" s="1863"/>
      <c r="I29" s="1863"/>
      <c r="J29" s="1864"/>
      <c r="K29" s="51"/>
    </row>
    <row r="30" spans="2:19" ht="12" thickBot="1"/>
    <row r="31" spans="2:19" ht="12.75">
      <c r="B31" s="191"/>
      <c r="C31" s="181">
        <v>2001</v>
      </c>
      <c r="D31" s="181">
        <v>2002</v>
      </c>
      <c r="E31" s="181">
        <v>2003</v>
      </c>
      <c r="F31" s="181">
        <v>2004</v>
      </c>
      <c r="G31" s="181">
        <v>2005</v>
      </c>
      <c r="H31" s="181">
        <v>2006</v>
      </c>
      <c r="I31" s="181">
        <v>2007</v>
      </c>
      <c r="J31" s="181">
        <v>2008</v>
      </c>
      <c r="K31" s="179">
        <v>2009</v>
      </c>
      <c r="L31" s="184">
        <v>2010</v>
      </c>
      <c r="M31" s="184">
        <v>2011</v>
      </c>
      <c r="N31" s="184">
        <v>2012</v>
      </c>
      <c r="O31" s="184">
        <v>2013</v>
      </c>
      <c r="P31" s="720">
        <v>2014</v>
      </c>
      <c r="Q31" s="180">
        <v>2015</v>
      </c>
      <c r="R31" s="720">
        <v>2016</v>
      </c>
      <c r="S31" s="1855">
        <v>2017</v>
      </c>
    </row>
    <row r="32" spans="2:19" ht="18" customHeight="1" thickBot="1">
      <c r="B32" s="1865" t="s">
        <v>169</v>
      </c>
      <c r="C32" s="2036">
        <f t="shared" ref="C32:Q32" si="1">C27*6.25%</f>
        <v>3066396.25</v>
      </c>
      <c r="D32" s="2036">
        <f t="shared" si="1"/>
        <v>3017443</v>
      </c>
      <c r="E32" s="2036">
        <f t="shared" si="1"/>
        <v>3265264.8125</v>
      </c>
      <c r="F32" s="2036">
        <f t="shared" si="1"/>
        <v>3253298.125</v>
      </c>
      <c r="G32" s="2036">
        <f t="shared" si="1"/>
        <v>3291350</v>
      </c>
      <c r="H32" s="2036">
        <f t="shared" si="1"/>
        <v>3059805</v>
      </c>
      <c r="I32" s="2036">
        <f t="shared" si="1"/>
        <v>3137370.25</v>
      </c>
      <c r="J32" s="1866">
        <f t="shared" si="1"/>
        <v>2960059.5625</v>
      </c>
      <c r="K32" s="1867">
        <f t="shared" si="1"/>
        <v>2735927</v>
      </c>
      <c r="L32" s="1867">
        <f t="shared" si="1"/>
        <v>2725454.125</v>
      </c>
      <c r="M32" s="1868">
        <f t="shared" si="1"/>
        <v>2619580.4375</v>
      </c>
      <c r="N32" s="1868">
        <f t="shared" si="1"/>
        <v>2363108.9375</v>
      </c>
      <c r="O32" s="1868">
        <f t="shared" si="1"/>
        <v>2240675.75</v>
      </c>
      <c r="P32" s="1868">
        <f t="shared" si="1"/>
        <v>2364603.3125</v>
      </c>
      <c r="Q32" s="1868">
        <f t="shared" si="1"/>
        <v>2272846.5</v>
      </c>
      <c r="R32" s="1868">
        <f>R27*6.25%</f>
        <v>2322917.875</v>
      </c>
      <c r="S32" s="1983">
        <f>S27*6.25%</f>
        <v>2131515</v>
      </c>
    </row>
    <row r="34" spans="2:19" ht="12" thickBot="1"/>
    <row r="35" spans="2:19" ht="13.5" thickBot="1">
      <c r="E35" s="1869" t="s">
        <v>1283</v>
      </c>
      <c r="F35" s="1870"/>
      <c r="G35" s="1870"/>
      <c r="H35" s="1870"/>
      <c r="I35" s="1870"/>
      <c r="J35" s="1870"/>
      <c r="K35" s="1871"/>
      <c r="L35" s="1872"/>
      <c r="M35" s="1873"/>
    </row>
    <row r="36" spans="2:19" ht="12" thickBot="1"/>
    <row r="37" spans="2:19" ht="12.75">
      <c r="B37" s="124"/>
      <c r="C37" s="181">
        <v>2001</v>
      </c>
      <c r="D37" s="181">
        <v>2002</v>
      </c>
      <c r="E37" s="181">
        <v>2003</v>
      </c>
      <c r="F37" s="181">
        <v>2004</v>
      </c>
      <c r="G37" s="181">
        <v>2005</v>
      </c>
      <c r="H37" s="181">
        <v>2006</v>
      </c>
      <c r="I37" s="181">
        <v>2007</v>
      </c>
      <c r="J37" s="182">
        <v>2008</v>
      </c>
      <c r="K37" s="179">
        <v>2009</v>
      </c>
      <c r="L37" s="184">
        <v>2010</v>
      </c>
      <c r="M37" s="184">
        <v>2011</v>
      </c>
      <c r="N37" s="184">
        <v>2012</v>
      </c>
      <c r="O37" s="184">
        <v>2013</v>
      </c>
      <c r="P37" s="180">
        <v>2014</v>
      </c>
      <c r="Q37" s="184">
        <v>2015</v>
      </c>
      <c r="R37" s="1886">
        <v>2016</v>
      </c>
      <c r="S37" s="720">
        <v>2017</v>
      </c>
    </row>
    <row r="38" spans="2:19" ht="15" thickBot="1">
      <c r="B38" s="1874" t="s">
        <v>170</v>
      </c>
      <c r="C38" s="2037">
        <f t="shared" ref="C38:S38" si="2">C27-C32</f>
        <v>45995943.75</v>
      </c>
      <c r="D38" s="2037">
        <f t="shared" si="2"/>
        <v>45261645</v>
      </c>
      <c r="E38" s="2037">
        <f t="shared" si="2"/>
        <v>48978972.1875</v>
      </c>
      <c r="F38" s="2037">
        <f t="shared" si="2"/>
        <v>48799471.875</v>
      </c>
      <c r="G38" s="2037">
        <f t="shared" si="2"/>
        <v>49370250</v>
      </c>
      <c r="H38" s="2037">
        <f t="shared" si="2"/>
        <v>45897075</v>
      </c>
      <c r="I38" s="2037">
        <f t="shared" si="2"/>
        <v>47060553.75</v>
      </c>
      <c r="J38" s="2037">
        <f t="shared" si="2"/>
        <v>44400893.4375</v>
      </c>
      <c r="K38" s="2038">
        <f t="shared" si="2"/>
        <v>41038905</v>
      </c>
      <c r="L38" s="2038">
        <f t="shared" si="2"/>
        <v>40881811.875</v>
      </c>
      <c r="M38" s="2038">
        <f t="shared" si="2"/>
        <v>39293706.5625</v>
      </c>
      <c r="N38" s="2038">
        <f t="shared" si="2"/>
        <v>35446634.0625</v>
      </c>
      <c r="O38" s="2038">
        <f t="shared" si="2"/>
        <v>33610136.25</v>
      </c>
      <c r="P38" s="2038">
        <f t="shared" si="2"/>
        <v>35469049.6875</v>
      </c>
      <c r="Q38" s="2038">
        <f t="shared" si="2"/>
        <v>34092697.5</v>
      </c>
      <c r="R38" s="2039">
        <f t="shared" si="2"/>
        <v>34843768.125</v>
      </c>
      <c r="S38" s="2040">
        <f t="shared" si="2"/>
        <v>31972725</v>
      </c>
    </row>
    <row r="40" spans="2:19" ht="12" thickBot="1"/>
    <row r="41" spans="2:19" ht="13.5" thickBot="1">
      <c r="E41" s="1875" t="s">
        <v>171</v>
      </c>
      <c r="F41" s="1876"/>
      <c r="G41" s="1876"/>
      <c r="H41" s="1877"/>
    </row>
    <row r="42" spans="2:19" ht="12" thickBot="1"/>
    <row r="43" spans="2:19" ht="12.75">
      <c r="B43" s="124"/>
      <c r="C43" s="179">
        <v>2001</v>
      </c>
      <c r="D43" s="179">
        <v>2002</v>
      </c>
      <c r="E43" s="179">
        <v>2003</v>
      </c>
      <c r="F43" s="179">
        <v>2004</v>
      </c>
      <c r="G43" s="179">
        <v>2005</v>
      </c>
      <c r="H43" s="179">
        <v>2006</v>
      </c>
      <c r="I43" s="179">
        <v>2007</v>
      </c>
      <c r="J43" s="179">
        <v>2008</v>
      </c>
      <c r="K43" s="1878">
        <v>2009</v>
      </c>
      <c r="L43" s="180">
        <v>2010</v>
      </c>
      <c r="M43" s="180">
        <v>2011</v>
      </c>
      <c r="N43" s="502">
        <v>2012</v>
      </c>
      <c r="O43" s="502">
        <v>2013</v>
      </c>
      <c r="P43" s="502">
        <v>2014</v>
      </c>
      <c r="Q43" s="1879">
        <v>2015</v>
      </c>
      <c r="R43" s="1978">
        <v>2016</v>
      </c>
      <c r="S43" s="608">
        <v>2017</v>
      </c>
    </row>
    <row r="44" spans="2:19" ht="12.75">
      <c r="B44" s="125" t="s">
        <v>1111</v>
      </c>
      <c r="C44" s="1936">
        <v>24294096</v>
      </c>
      <c r="D44" s="1936">
        <v>25489053</v>
      </c>
      <c r="E44" s="1936">
        <v>26671274</v>
      </c>
      <c r="F44" s="1936">
        <v>27951978</v>
      </c>
      <c r="G44" s="1936">
        <v>28439645</v>
      </c>
      <c r="H44" s="1936">
        <v>26905386</v>
      </c>
      <c r="I44" s="2041">
        <v>28194802</v>
      </c>
      <c r="J44" s="2041">
        <v>27144255</v>
      </c>
      <c r="K44" s="2042">
        <v>26944566</v>
      </c>
      <c r="L44" s="1928">
        <v>28934074</v>
      </c>
      <c r="M44" s="1930">
        <v>27295675</v>
      </c>
      <c r="N44" s="1929">
        <v>26678158</v>
      </c>
      <c r="O44" s="1929">
        <v>27448367</v>
      </c>
      <c r="P44" s="1929">
        <v>27487633</v>
      </c>
      <c r="Q44" s="1930">
        <v>27403336</v>
      </c>
      <c r="R44" s="1930">
        <v>27316871</v>
      </c>
      <c r="S44" s="2026">
        <v>26058000</v>
      </c>
    </row>
    <row r="45" spans="2:19" ht="12.75">
      <c r="B45" s="125" t="s">
        <v>1115</v>
      </c>
      <c r="C45" s="1936">
        <v>26243614</v>
      </c>
      <c r="D45" s="1936">
        <v>21044289</v>
      </c>
      <c r="E45" s="1936">
        <v>16950347</v>
      </c>
      <c r="F45" s="1936">
        <v>17264135</v>
      </c>
      <c r="G45" s="1936">
        <v>17931771</v>
      </c>
      <c r="H45" s="1936">
        <v>29729030</v>
      </c>
      <c r="I45" s="2041">
        <v>30691159</v>
      </c>
      <c r="J45" s="2041">
        <v>30002993</v>
      </c>
      <c r="K45" s="2042">
        <v>29806001</v>
      </c>
      <c r="L45" s="1928">
        <v>30771317</v>
      </c>
      <c r="M45" s="1930">
        <v>30749605</v>
      </c>
      <c r="N45" s="1929">
        <v>30107526</v>
      </c>
      <c r="O45" s="1929">
        <v>29966199</v>
      </c>
      <c r="P45" s="1929">
        <v>29804342</v>
      </c>
      <c r="Q45" s="1930">
        <v>29959115</v>
      </c>
      <c r="R45" s="1930">
        <v>29675993</v>
      </c>
      <c r="S45" s="2026">
        <v>2884000</v>
      </c>
    </row>
    <row r="46" spans="2:19" ht="12.75">
      <c r="B46" s="125" t="s">
        <v>1116</v>
      </c>
      <c r="C46" s="1936">
        <v>10176724</v>
      </c>
      <c r="D46" s="1936">
        <v>20874507</v>
      </c>
      <c r="E46" s="1936">
        <v>27175526</v>
      </c>
      <c r="F46" s="1936">
        <v>21194572</v>
      </c>
      <c r="G46" s="1936">
        <v>21516638</v>
      </c>
      <c r="H46" s="1936">
        <v>6057030</v>
      </c>
      <c r="I46" s="2041">
        <v>5980358</v>
      </c>
      <c r="J46" s="2041">
        <v>5649943</v>
      </c>
      <c r="K46" s="2042">
        <v>5285833</v>
      </c>
      <c r="L46" s="1928">
        <v>5083115</v>
      </c>
      <c r="M46" s="1930">
        <v>5007386</v>
      </c>
      <c r="N46" s="1929">
        <v>4499827</v>
      </c>
      <c r="O46" s="1929">
        <v>3943942</v>
      </c>
      <c r="P46" s="1929">
        <v>3847954</v>
      </c>
      <c r="Q46" s="1930">
        <v>3883315</v>
      </c>
      <c r="R46" s="1930">
        <v>3821476</v>
      </c>
      <c r="S46" s="2026">
        <v>3743000</v>
      </c>
    </row>
    <row r="47" spans="2:19" ht="12.75">
      <c r="B47" s="125" t="s">
        <v>179</v>
      </c>
      <c r="C47" s="1936">
        <v>0</v>
      </c>
      <c r="D47" s="1936">
        <v>0</v>
      </c>
      <c r="E47" s="1936">
        <v>461436</v>
      </c>
      <c r="F47" s="1936">
        <v>481015</v>
      </c>
      <c r="G47" s="1936">
        <v>477331</v>
      </c>
      <c r="H47" s="1936">
        <v>481697</v>
      </c>
      <c r="I47" s="2041">
        <v>524341</v>
      </c>
      <c r="J47" s="2041">
        <v>528586</v>
      </c>
      <c r="K47" s="2042">
        <v>552743</v>
      </c>
      <c r="L47" s="1928">
        <v>546992</v>
      </c>
      <c r="M47" s="1930">
        <v>547045</v>
      </c>
      <c r="N47" s="1929">
        <v>528041</v>
      </c>
      <c r="O47" s="1929">
        <v>540970</v>
      </c>
      <c r="P47" s="1929">
        <v>543940</v>
      </c>
      <c r="Q47" s="1930">
        <v>535953</v>
      </c>
      <c r="R47" s="1930">
        <v>539571</v>
      </c>
      <c r="S47" s="2026">
        <v>529000</v>
      </c>
    </row>
    <row r="48" spans="2:19" ht="13.5" thickBot="1">
      <c r="B48" s="186" t="s">
        <v>172</v>
      </c>
      <c r="C48" s="2043">
        <v>925586</v>
      </c>
      <c r="D48" s="2043">
        <v>972057</v>
      </c>
      <c r="E48" s="2044">
        <v>0</v>
      </c>
      <c r="F48" s="2044">
        <v>0</v>
      </c>
      <c r="G48" s="2044">
        <v>0</v>
      </c>
      <c r="H48" s="2044">
        <v>0</v>
      </c>
      <c r="I48" s="2044">
        <v>0</v>
      </c>
      <c r="J48" s="2044">
        <v>0</v>
      </c>
      <c r="K48" s="2045">
        <v>0</v>
      </c>
      <c r="L48" s="2046">
        <v>0</v>
      </c>
      <c r="M48" s="1984">
        <v>0</v>
      </c>
      <c r="N48" s="1931">
        <v>0</v>
      </c>
      <c r="O48" s="1931">
        <v>0</v>
      </c>
      <c r="P48" s="1931">
        <v>0</v>
      </c>
      <c r="Q48" s="2193">
        <v>0</v>
      </c>
      <c r="R48" s="2193">
        <v>0</v>
      </c>
      <c r="S48" s="2194">
        <v>0</v>
      </c>
    </row>
    <row r="49" spans="2:19" ht="13.5" thickBot="1">
      <c r="B49" s="1880" t="s">
        <v>1284</v>
      </c>
      <c r="C49" s="2047">
        <f t="shared" ref="C49:L49" si="3">SUM(C44:C48)</f>
        <v>61640020</v>
      </c>
      <c r="D49" s="2047">
        <f t="shared" si="3"/>
        <v>68379906</v>
      </c>
      <c r="E49" s="2047">
        <f t="shared" si="3"/>
        <v>71258583</v>
      </c>
      <c r="F49" s="2047">
        <f t="shared" si="3"/>
        <v>66891700</v>
      </c>
      <c r="G49" s="2047">
        <f t="shared" si="3"/>
        <v>68365385</v>
      </c>
      <c r="H49" s="2047">
        <f t="shared" si="3"/>
        <v>63173143</v>
      </c>
      <c r="I49" s="2048">
        <f t="shared" si="3"/>
        <v>65390660</v>
      </c>
      <c r="J49" s="2048">
        <f t="shared" si="3"/>
        <v>63325777</v>
      </c>
      <c r="K49" s="1881">
        <f t="shared" si="3"/>
        <v>62589143</v>
      </c>
      <c r="L49" s="1882">
        <f t="shared" si="3"/>
        <v>65335498</v>
      </c>
      <c r="M49" s="1882">
        <v>63599711</v>
      </c>
      <c r="N49" s="1882">
        <v>61813552</v>
      </c>
      <c r="O49" s="1882">
        <v>61899478</v>
      </c>
      <c r="P49" s="1883">
        <v>61683869</v>
      </c>
      <c r="Q49" s="1932">
        <v>61781719</v>
      </c>
      <c r="R49" s="1979">
        <v>61353911</v>
      </c>
      <c r="S49" s="1980">
        <v>59175000</v>
      </c>
    </row>
    <row r="50" spans="2:19" ht="13.5" thickBot="1">
      <c r="B50" s="1880" t="s">
        <v>1285</v>
      </c>
      <c r="C50" s="2047">
        <f t="shared" ref="C50:R50" si="4">C49*1.0625</f>
        <v>65492521.25</v>
      </c>
      <c r="D50" s="2047">
        <f t="shared" si="4"/>
        <v>72653650.125</v>
      </c>
      <c r="E50" s="2047">
        <f t="shared" si="4"/>
        <v>75712244.4375</v>
      </c>
      <c r="F50" s="2047">
        <f t="shared" si="4"/>
        <v>71072431.25</v>
      </c>
      <c r="G50" s="2047">
        <f t="shared" si="4"/>
        <v>72638221.5625</v>
      </c>
      <c r="H50" s="2047">
        <f t="shared" si="4"/>
        <v>67121464.4375</v>
      </c>
      <c r="I50" s="2047">
        <f t="shared" si="4"/>
        <v>69477576.25</v>
      </c>
      <c r="J50" s="2047">
        <f t="shared" si="4"/>
        <v>67283638.0625</v>
      </c>
      <c r="K50" s="1884">
        <f t="shared" si="4"/>
        <v>66500964.4375</v>
      </c>
      <c r="L50" s="1884">
        <f t="shared" si="4"/>
        <v>69418966.625</v>
      </c>
      <c r="M50" s="1884">
        <f t="shared" si="4"/>
        <v>67574692.9375</v>
      </c>
      <c r="N50" s="1884">
        <f t="shared" si="4"/>
        <v>65676899</v>
      </c>
      <c r="O50" s="1884">
        <f t="shared" si="4"/>
        <v>65768195.375</v>
      </c>
      <c r="P50" s="1884">
        <f t="shared" si="4"/>
        <v>65539110.8125</v>
      </c>
      <c r="Q50" s="1885">
        <f t="shared" si="4"/>
        <v>65643076.4375</v>
      </c>
      <c r="R50" s="1885">
        <f t="shared" si="4"/>
        <v>65188530.4375</v>
      </c>
      <c r="S50" s="1981">
        <f t="shared" ref="S50" si="5">S49*1.0625</f>
        <v>62873437.5</v>
      </c>
    </row>
    <row r="52" spans="2:19" ht="12" thickBot="1"/>
    <row r="53" spans="2:19" ht="13.5" thickBot="1">
      <c r="E53" s="3507" t="s">
        <v>1286</v>
      </c>
      <c r="F53" s="3508"/>
      <c r="G53" s="3508"/>
      <c r="H53" s="3508"/>
      <c r="I53" s="3509"/>
      <c r="J53" s="1873"/>
    </row>
    <row r="55" spans="2:19" ht="12" thickBot="1"/>
    <row r="56" spans="2:19" ht="12.75">
      <c r="B56" s="124"/>
      <c r="C56" s="179">
        <v>2001</v>
      </c>
      <c r="D56" s="179">
        <v>2002</v>
      </c>
      <c r="E56" s="179">
        <v>2003</v>
      </c>
      <c r="F56" s="179">
        <v>2004</v>
      </c>
      <c r="G56" s="179">
        <v>2005</v>
      </c>
      <c r="H56" s="179">
        <v>2006</v>
      </c>
      <c r="I56" s="179">
        <v>2007</v>
      </c>
      <c r="J56" s="185">
        <v>2008</v>
      </c>
      <c r="K56" s="179">
        <v>2009</v>
      </c>
      <c r="L56" s="184">
        <v>2010</v>
      </c>
      <c r="M56" s="184">
        <v>2011</v>
      </c>
      <c r="N56" s="184">
        <v>2012</v>
      </c>
      <c r="O56" s="184">
        <v>2013</v>
      </c>
      <c r="P56" s="184">
        <v>2014</v>
      </c>
      <c r="Q56" s="1886">
        <v>2015</v>
      </c>
      <c r="R56" s="180">
        <v>2016</v>
      </c>
      <c r="S56" s="720">
        <v>2017</v>
      </c>
    </row>
    <row r="57" spans="2:19" ht="13.5" thickBot="1">
      <c r="B57" s="1887" t="s">
        <v>1287</v>
      </c>
      <c r="C57" s="2049">
        <f t="shared" ref="C57:Q57" si="6">C50-C27</f>
        <v>16430181.25</v>
      </c>
      <c r="D57" s="2049">
        <f t="shared" si="6"/>
        <v>24374562.125</v>
      </c>
      <c r="E57" s="2049">
        <f t="shared" si="6"/>
        <v>23468007.4375</v>
      </c>
      <c r="F57" s="2049">
        <f t="shared" si="6"/>
        <v>19019661.25</v>
      </c>
      <c r="G57" s="2049">
        <f t="shared" si="6"/>
        <v>19976621.5625</v>
      </c>
      <c r="H57" s="2049">
        <f t="shared" si="6"/>
        <v>18164584.4375</v>
      </c>
      <c r="I57" s="2049">
        <f t="shared" si="6"/>
        <v>19279652.25</v>
      </c>
      <c r="J57" s="2049">
        <f t="shared" si="6"/>
        <v>19922685.0625</v>
      </c>
      <c r="K57" s="1888">
        <f t="shared" si="6"/>
        <v>22726132.4375</v>
      </c>
      <c r="L57" s="1888">
        <f t="shared" si="6"/>
        <v>25811700.625</v>
      </c>
      <c r="M57" s="1888">
        <f t="shared" si="6"/>
        <v>25661405.9375</v>
      </c>
      <c r="N57" s="1888">
        <f t="shared" si="6"/>
        <v>27867156</v>
      </c>
      <c r="O57" s="1888">
        <f t="shared" si="6"/>
        <v>29917383.375</v>
      </c>
      <c r="P57" s="1888">
        <f t="shared" si="6"/>
        <v>27705457.8125</v>
      </c>
      <c r="Q57" s="1889">
        <f t="shared" si="6"/>
        <v>29277532.4375</v>
      </c>
      <c r="R57" s="1982">
        <f>R50-R27</f>
        <v>28021844.4375</v>
      </c>
      <c r="S57" s="1890">
        <f>S50-S27</f>
        <v>28769197.5</v>
      </c>
    </row>
    <row r="59" spans="2:19" ht="12" thickBot="1">
      <c r="R59" s="14"/>
    </row>
    <row r="60" spans="2:19" ht="13.5" thickBot="1">
      <c r="E60" s="1891" t="s">
        <v>175</v>
      </c>
      <c r="F60" s="1892"/>
      <c r="G60" s="1892"/>
      <c r="H60" s="1893"/>
    </row>
    <row r="61" spans="2:19" ht="12.75">
      <c r="E61" s="48"/>
      <c r="R61" s="14"/>
    </row>
    <row r="62" spans="2:19" ht="14.25">
      <c r="B62" s="48" t="s">
        <v>1288</v>
      </c>
      <c r="E62" s="48"/>
      <c r="I62" s="1916" t="s">
        <v>1289</v>
      </c>
      <c r="R62" s="21"/>
    </row>
    <row r="63" spans="2:19" ht="14.25">
      <c r="B63" s="1916" t="s">
        <v>1290</v>
      </c>
      <c r="E63" s="48"/>
      <c r="I63" s="1916" t="s">
        <v>102</v>
      </c>
    </row>
    <row r="64" spans="2:19" ht="12.75">
      <c r="B64" s="13">
        <v>948.43</v>
      </c>
      <c r="E64" s="48"/>
      <c r="I64" s="52">
        <f>(B64*H57)/2000</f>
        <v>8613918.4090290628</v>
      </c>
    </row>
    <row r="65" spans="2:14" ht="12" thickBot="1">
      <c r="B65" s="9">
        <f>K74*2204.623/K70</f>
        <v>0</v>
      </c>
    </row>
    <row r="66" spans="2:14" ht="14.25">
      <c r="B66" s="1894" t="s">
        <v>1120</v>
      </c>
      <c r="C66" s="1895" t="s">
        <v>1112</v>
      </c>
      <c r="D66" s="1895" t="s">
        <v>165</v>
      </c>
      <c r="E66" s="1895" t="s">
        <v>1114</v>
      </c>
      <c r="F66" s="1895" t="s">
        <v>184</v>
      </c>
      <c r="G66" s="1895" t="s">
        <v>176</v>
      </c>
      <c r="H66" s="1895" t="s">
        <v>177</v>
      </c>
      <c r="I66" s="1895" t="s">
        <v>178</v>
      </c>
      <c r="J66" s="1895" t="s">
        <v>1291</v>
      </c>
      <c r="K66" s="1895" t="s">
        <v>272</v>
      </c>
      <c r="L66" s="1895" t="s">
        <v>1108</v>
      </c>
      <c r="M66" s="1895" t="s">
        <v>182</v>
      </c>
      <c r="N66" s="1896" t="s">
        <v>1301</v>
      </c>
    </row>
    <row r="67" spans="2:14" ht="12.75">
      <c r="B67" s="1856"/>
      <c r="C67" s="1919"/>
      <c r="D67" s="1919"/>
      <c r="E67" s="1919"/>
      <c r="F67" s="1919"/>
      <c r="G67" s="1919"/>
      <c r="H67" s="1919"/>
      <c r="I67" s="1919"/>
      <c r="J67" s="1919"/>
      <c r="K67" s="1919"/>
      <c r="L67" s="1919"/>
      <c r="M67" s="1919"/>
      <c r="N67" s="2195"/>
    </row>
    <row r="68" spans="2:14" ht="12.75">
      <c r="B68" s="1897" t="s">
        <v>1302</v>
      </c>
      <c r="C68" s="1933">
        <v>32.22</v>
      </c>
      <c r="D68" s="1933">
        <v>35.93</v>
      </c>
      <c r="E68" s="1933">
        <v>26.71</v>
      </c>
      <c r="F68" s="1933">
        <v>0.16400000000000001</v>
      </c>
      <c r="G68" s="1933">
        <v>1.127</v>
      </c>
      <c r="H68" s="1933">
        <v>0.46700000000000003</v>
      </c>
      <c r="I68" s="1933">
        <v>2.63</v>
      </c>
      <c r="J68" s="1934">
        <v>0.32600000000000001</v>
      </c>
      <c r="K68" s="1935">
        <v>8.9999999999999998E-4</v>
      </c>
      <c r="L68" s="1935">
        <v>0.18340000000000001</v>
      </c>
      <c r="M68" s="1935">
        <v>0.22</v>
      </c>
      <c r="N68" s="2196">
        <f>SUM(C68:M68)</f>
        <v>99.978300000000004</v>
      </c>
    </row>
    <row r="69" spans="2:14" ht="12.75">
      <c r="B69" s="1856"/>
      <c r="C69" s="1919"/>
      <c r="D69" s="1919"/>
      <c r="E69" s="1919"/>
      <c r="F69" s="1919"/>
      <c r="G69" s="1919"/>
      <c r="H69" s="1919"/>
      <c r="I69" s="1919"/>
      <c r="J69" s="1919"/>
      <c r="K69" s="1919"/>
      <c r="L69" s="1919"/>
      <c r="M69" s="1919"/>
      <c r="N69" s="2195"/>
    </row>
    <row r="70" spans="2:14" ht="12.75">
      <c r="B70" s="1856" t="s">
        <v>1303</v>
      </c>
      <c r="C70" s="1936">
        <f>(C68/100)*$R$57</f>
        <v>9028638.2777624987</v>
      </c>
      <c r="D70" s="1936">
        <f t="shared" ref="D70:M70" si="7">(D68/100)*$R$57</f>
        <v>10068248.70639375</v>
      </c>
      <c r="E70" s="1936">
        <f t="shared" si="7"/>
        <v>7484634.6492562499</v>
      </c>
      <c r="F70" s="1936">
        <f t="shared" si="7"/>
        <v>45955.824877499996</v>
      </c>
      <c r="G70" s="1936">
        <f t="shared" si="7"/>
        <v>315806.18681062502</v>
      </c>
      <c r="H70" s="1936">
        <f t="shared" si="7"/>
        <v>130862.01352312502</v>
      </c>
      <c r="I70" s="1936">
        <f t="shared" si="7"/>
        <v>736974.50870625</v>
      </c>
      <c r="J70" s="1936">
        <f t="shared" si="7"/>
        <v>91351.212866250004</v>
      </c>
      <c r="K70" s="1936">
        <f t="shared" si="7"/>
        <v>252.1965999375</v>
      </c>
      <c r="L70" s="1936">
        <f t="shared" si="7"/>
        <v>51392.062698375004</v>
      </c>
      <c r="M70" s="1936">
        <f t="shared" si="7"/>
        <v>61648.057762500001</v>
      </c>
      <c r="N70" s="2197">
        <f>(N68/100)*$R$57</f>
        <v>28015763.697257064</v>
      </c>
    </row>
    <row r="71" spans="2:14" ht="12.75">
      <c r="B71" s="1856"/>
      <c r="C71" s="1919"/>
      <c r="D71" s="1919"/>
      <c r="E71" s="1919"/>
      <c r="F71" s="1919"/>
      <c r="G71" s="1919"/>
      <c r="H71" s="1919"/>
      <c r="I71" s="1919"/>
      <c r="J71" s="1919"/>
      <c r="K71" s="1919"/>
      <c r="L71" s="1919"/>
      <c r="M71" s="1919"/>
      <c r="N71" s="2195"/>
    </row>
    <row r="72" spans="2:14" ht="14.25">
      <c r="B72" s="1856" t="s">
        <v>1292</v>
      </c>
      <c r="C72" s="1937">
        <v>0.97</v>
      </c>
      <c r="D72" s="1938"/>
      <c r="E72" s="1939">
        <v>0.41</v>
      </c>
      <c r="F72" s="1939">
        <v>1.2</v>
      </c>
      <c r="G72" s="1938"/>
      <c r="H72" s="1940">
        <v>1.07</v>
      </c>
      <c r="I72" s="1938"/>
      <c r="J72" s="1937">
        <v>0.08</v>
      </c>
      <c r="K72" s="1938"/>
      <c r="L72" s="1938"/>
      <c r="M72" s="1938"/>
      <c r="N72" s="2195"/>
    </row>
    <row r="73" spans="2:14" ht="12.75">
      <c r="B73" s="1856"/>
      <c r="C73" s="1919"/>
      <c r="D73" s="1919"/>
      <c r="E73" s="1919"/>
      <c r="F73" s="1919"/>
      <c r="G73" s="1919"/>
      <c r="H73" s="1919"/>
      <c r="I73" s="1919"/>
      <c r="J73" s="1919"/>
      <c r="K73" s="1919"/>
      <c r="L73" s="1919"/>
      <c r="M73" s="1919"/>
      <c r="N73" s="2195"/>
    </row>
    <row r="74" spans="2:14" ht="14.25">
      <c r="B74" s="1856" t="s">
        <v>1293</v>
      </c>
      <c r="C74" s="1936">
        <f>C70*C72</f>
        <v>8757779.1294296235</v>
      </c>
      <c r="D74" s="1938"/>
      <c r="E74" s="1929">
        <f>E70*E72</f>
        <v>3068700.2061950625</v>
      </c>
      <c r="F74" s="1929">
        <f>F70*F72</f>
        <v>55146.989852999992</v>
      </c>
      <c r="G74" s="1938"/>
      <c r="H74" s="1929">
        <f>H70*H72</f>
        <v>140022.35446974379</v>
      </c>
      <c r="I74" s="1938"/>
      <c r="J74" s="1929">
        <f>J70*J72</f>
        <v>7308.0970293</v>
      </c>
      <c r="K74" s="1938"/>
      <c r="L74" s="1938"/>
      <c r="M74" s="1938"/>
      <c r="N74" s="2198">
        <f>SUM(C74:M74)</f>
        <v>12028956.776976731</v>
      </c>
    </row>
    <row r="75" spans="2:14" ht="12.75">
      <c r="B75" s="1856"/>
      <c r="C75" s="1919"/>
      <c r="D75" s="1919"/>
      <c r="E75" s="1919"/>
      <c r="F75" s="1919"/>
      <c r="G75" s="1919"/>
      <c r="H75" s="1919"/>
      <c r="I75" s="1919"/>
      <c r="J75" s="1919"/>
      <c r="K75" s="1919"/>
      <c r="L75" s="1919"/>
      <c r="M75" s="1919"/>
      <c r="N75" s="2195"/>
    </row>
    <row r="76" spans="2:14" ht="14.25">
      <c r="B76" s="1856" t="s">
        <v>1294</v>
      </c>
      <c r="C76" s="1941">
        <f>C74/1000000</f>
        <v>8.7577791294296237</v>
      </c>
      <c r="D76" s="1938"/>
      <c r="E76" s="1941">
        <f>E74/1000000</f>
        <v>3.0687002061950626</v>
      </c>
      <c r="F76" s="1941">
        <f>F74/1000000</f>
        <v>5.5146989852999991E-2</v>
      </c>
      <c r="G76" s="1938"/>
      <c r="H76" s="1941">
        <f>H74/1000000</f>
        <v>0.14002235446974379</v>
      </c>
      <c r="I76" s="1938"/>
      <c r="J76" s="1941">
        <f>J74/1000000</f>
        <v>7.3080970293000003E-3</v>
      </c>
      <c r="K76" s="1938"/>
      <c r="L76" s="1938"/>
      <c r="M76" s="1938"/>
      <c r="N76" s="2199">
        <f>SUM(C76:M76)</f>
        <v>12.028956776976731</v>
      </c>
    </row>
    <row r="77" spans="2:14" ht="13.5" thickBot="1">
      <c r="B77" s="1898"/>
      <c r="C77" s="1899"/>
      <c r="D77" s="1899"/>
      <c r="E77" s="1899"/>
      <c r="F77" s="1899"/>
      <c r="G77" s="1899"/>
      <c r="H77" s="1899"/>
      <c r="I77" s="1899"/>
      <c r="J77" s="1899"/>
      <c r="K77" s="1899"/>
      <c r="L77" s="1899"/>
      <c r="M77" s="1899"/>
      <c r="N77" s="1900"/>
    </row>
    <row r="81" spans="2:19" ht="14.25">
      <c r="E81" s="3510" t="s">
        <v>258</v>
      </c>
      <c r="F81" s="3511"/>
      <c r="G81" s="3511"/>
      <c r="H81" s="3511"/>
      <c r="I81" s="3511"/>
      <c r="J81" s="3511"/>
    </row>
    <row r="82" spans="2:19" ht="12" thickBot="1"/>
    <row r="83" spans="2:19" ht="12.75">
      <c r="B83" s="124"/>
      <c r="C83" s="179">
        <v>2001</v>
      </c>
      <c r="D83" s="179">
        <v>2002</v>
      </c>
      <c r="E83" s="179">
        <v>2003</v>
      </c>
      <c r="F83" s="179">
        <v>2004</v>
      </c>
      <c r="G83" s="179">
        <v>2005</v>
      </c>
      <c r="H83" s="179">
        <v>2006</v>
      </c>
      <c r="I83" s="179">
        <v>2007</v>
      </c>
      <c r="J83" s="179">
        <v>2008</v>
      </c>
      <c r="K83" s="1878">
        <v>2009</v>
      </c>
      <c r="L83" s="184">
        <v>2010</v>
      </c>
      <c r="M83" s="184">
        <v>2011</v>
      </c>
      <c r="N83" s="184">
        <v>2012</v>
      </c>
      <c r="O83" s="184">
        <v>2013</v>
      </c>
      <c r="P83" s="180">
        <v>2014</v>
      </c>
      <c r="Q83" s="180">
        <v>2015</v>
      </c>
      <c r="R83" s="180">
        <v>2016</v>
      </c>
      <c r="S83" s="720">
        <v>2017</v>
      </c>
    </row>
    <row r="84" spans="2:19" ht="13.5" thickBot="1">
      <c r="B84" s="1431" t="s">
        <v>249</v>
      </c>
      <c r="C84" s="1901">
        <f t="shared" ref="C84:Q84" si="8">(C57*$B$64/2204.62)/1000000</f>
        <v>7.0682824264215602</v>
      </c>
      <c r="D84" s="1901">
        <f t="shared" si="8"/>
        <v>10.485964001149291</v>
      </c>
      <c r="E84" s="1901">
        <f t="shared" si="8"/>
        <v>10.09596315643881</v>
      </c>
      <c r="F84" s="1901">
        <f t="shared" si="8"/>
        <v>8.1822796306563035</v>
      </c>
      <c r="G84" s="1901">
        <f t="shared" si="8"/>
        <v>8.5939650318521448</v>
      </c>
      <c r="H84" s="1901">
        <f>(H57*$B$64/2204.62)/1000000</f>
        <v>7.8144246255854179</v>
      </c>
      <c r="I84" s="1901">
        <f t="shared" si="8"/>
        <v>8.2941280508511674</v>
      </c>
      <c r="J84" s="1901">
        <f t="shared" si="8"/>
        <v>8.5707614889762755</v>
      </c>
      <c r="K84" s="1901">
        <f t="shared" si="8"/>
        <v>9.7768076982419299</v>
      </c>
      <c r="L84" s="1901">
        <f t="shared" si="8"/>
        <v>11.104222597893855</v>
      </c>
      <c r="M84" s="1901">
        <f t="shared" si="8"/>
        <v>11.039565654535986</v>
      </c>
      <c r="N84" s="1901">
        <f t="shared" si="8"/>
        <v>11.988481808692654</v>
      </c>
      <c r="O84" s="1901">
        <f t="shared" si="8"/>
        <v>12.870491928019909</v>
      </c>
      <c r="P84" s="1902">
        <f t="shared" si="8"/>
        <v>11.918919066827559</v>
      </c>
      <c r="Q84" s="1902">
        <f t="shared" si="8"/>
        <v>12.595227336093352</v>
      </c>
      <c r="R84" s="1902">
        <f>(R57*$B$64/2204.62)/1000000</f>
        <v>12.055028948235126</v>
      </c>
      <c r="S84" s="1903">
        <f>(S57*$B$64/2204.62)/1000000</f>
        <v>12.376541075071895</v>
      </c>
    </row>
    <row r="85" spans="2:19">
      <c r="R85" s="414"/>
    </row>
  </sheetData>
  <sheetProtection password="CD58" sheet="1" objects="1" scenarios="1"/>
  <mergeCells count="2">
    <mergeCell ref="E53:I53"/>
    <mergeCell ref="E81:J81"/>
  </mergeCells>
  <printOptions gridLines="1"/>
  <pageMargins left="0.16" right="0.17" top="0.75" bottom="0.75" header="0.3" footer="0.3"/>
  <pageSetup scale="65" orientation="landscape" r:id="rId1"/>
  <colBreaks count="1" manualBreakCount="1">
    <brk id="14" max="1048575" man="1"/>
  </colBreaks>
  <drawing r:id="rId2"/>
</worksheet>
</file>

<file path=xl/worksheets/sheet7.xml><?xml version="1.0" encoding="utf-8"?>
<worksheet xmlns="http://schemas.openxmlformats.org/spreadsheetml/2006/main" xmlns:r="http://schemas.openxmlformats.org/officeDocument/2006/relationships">
  <dimension ref="A1:K4784"/>
  <sheetViews>
    <sheetView topLeftCell="A4" zoomScaleNormal="100" workbookViewId="0">
      <selection activeCell="Q50" sqref="Q50"/>
    </sheetView>
  </sheetViews>
  <sheetFormatPr defaultRowHeight="18.75" outlineLevelRow="2"/>
  <cols>
    <col min="1" max="1" width="10" style="237" customWidth="1"/>
    <col min="2" max="2" width="48" style="237" customWidth="1"/>
    <col min="3" max="3" width="26.1640625" style="237" bestFit="1" customWidth="1"/>
    <col min="4" max="4" width="22.83203125" style="237" customWidth="1"/>
    <col min="5" max="5" width="25.6640625" style="237" customWidth="1"/>
    <col min="6" max="6" width="18.6640625" style="237" bestFit="1" customWidth="1"/>
    <col min="7" max="7" width="47.5" style="237" customWidth="1"/>
    <col min="8" max="8" width="33.83203125" style="237" customWidth="1"/>
    <col min="9" max="10" width="14" style="237" bestFit="1" customWidth="1"/>
    <col min="11" max="16384" width="9.33203125" style="237"/>
  </cols>
  <sheetData>
    <row r="1" spans="1:11">
      <c r="A1" s="237" t="s">
        <v>1678</v>
      </c>
      <c r="B1" s="2448"/>
      <c r="C1" s="2449"/>
      <c r="D1" s="2449"/>
      <c r="E1" s="2450"/>
      <c r="F1" s="2449"/>
      <c r="G1" s="2449"/>
      <c r="H1" s="2449"/>
      <c r="I1" s="2449"/>
      <c r="J1" s="2449"/>
      <c r="K1" s="2449"/>
    </row>
    <row r="2" spans="1:11" ht="95.25" customHeight="1">
      <c r="A2" s="3512"/>
      <c r="B2" s="3512"/>
      <c r="C2" s="3512"/>
      <c r="D2" s="3512"/>
      <c r="E2" s="3512"/>
      <c r="F2" s="3512"/>
      <c r="G2" s="3512"/>
      <c r="H2" s="3512"/>
      <c r="I2" s="3512"/>
      <c r="J2" s="3512"/>
      <c r="K2" s="3512"/>
    </row>
    <row r="3" spans="1:11" ht="13.5" customHeight="1" thickBot="1">
      <c r="B3" s="2451"/>
      <c r="C3" s="2451"/>
      <c r="D3" s="2451"/>
      <c r="E3" s="2451"/>
      <c r="F3" s="2451"/>
      <c r="G3" s="2451"/>
    </row>
    <row r="4" spans="1:11" ht="19.5" thickBot="1">
      <c r="B4" s="3513" t="s">
        <v>1679</v>
      </c>
      <c r="C4" s="3514"/>
      <c r="D4" s="3514"/>
      <c r="E4" s="3514"/>
      <c r="F4" s="3515"/>
    </row>
    <row r="5" spans="1:11">
      <c r="B5" s="2452"/>
      <c r="C5" s="2453"/>
      <c r="D5" s="2453"/>
      <c r="E5" s="2453"/>
      <c r="F5" s="2454"/>
    </row>
    <row r="6" spans="1:11" ht="20.25">
      <c r="B6" s="2455"/>
      <c r="C6" s="2469" t="s">
        <v>1686</v>
      </c>
      <c r="D6" s="2469" t="s">
        <v>1687</v>
      </c>
      <c r="E6" s="2469" t="s">
        <v>1686</v>
      </c>
      <c r="F6" s="2470" t="s">
        <v>1687</v>
      </c>
    </row>
    <row r="7" spans="1:11" ht="20.25">
      <c r="B7" s="2455"/>
      <c r="C7" s="2471" t="s">
        <v>1680</v>
      </c>
      <c r="D7" s="2471" t="s">
        <v>1680</v>
      </c>
      <c r="E7" s="2471" t="s">
        <v>1688</v>
      </c>
      <c r="F7" s="2472" t="s">
        <v>1688</v>
      </c>
    </row>
    <row r="8" spans="1:11">
      <c r="B8" s="2455" t="s">
        <v>1681</v>
      </c>
      <c r="C8" s="2473">
        <f t="shared" ref="C8:D12" si="0">I4780</f>
        <v>144.76642411887534</v>
      </c>
      <c r="D8" s="2473">
        <f t="shared" si="0"/>
        <v>15882.54545303574</v>
      </c>
      <c r="E8" s="2665">
        <f>C8*21*0.907184/1000000</f>
        <v>2.7579254576550138E-3</v>
      </c>
      <c r="F8" s="2474">
        <f>D8*0.907184/1000000</f>
        <v>1.4408391114266774E-2</v>
      </c>
    </row>
    <row r="9" spans="1:11">
      <c r="B9" s="2455" t="s">
        <v>1682</v>
      </c>
      <c r="C9" s="2473">
        <f t="shared" si="0"/>
        <v>908.42813943085628</v>
      </c>
      <c r="D9" s="2473">
        <f t="shared" si="0"/>
        <v>1038820.1242113099</v>
      </c>
      <c r="E9" s="2665">
        <f>C9*21*0.907184/1000000</f>
        <v>1.7306340938070281E-2</v>
      </c>
      <c r="F9" s="2474">
        <f>D9*0.907184/1000000</f>
        <v>0.942400995562513</v>
      </c>
    </row>
    <row r="10" spans="1:11">
      <c r="B10" s="2455" t="s">
        <v>1538</v>
      </c>
      <c r="C10" s="2473">
        <f t="shared" si="0"/>
        <v>14.766107282413545</v>
      </c>
      <c r="D10" s="2473">
        <f t="shared" si="0"/>
        <v>166851.40523870086</v>
      </c>
      <c r="E10" s="2665">
        <f>C10*21*0.907184/1000000</f>
        <v>2.8130710164667004E-4</v>
      </c>
      <c r="F10" s="2474">
        <f>D10*0.907184/1000000</f>
        <v>0.15136492521006559</v>
      </c>
    </row>
    <row r="11" spans="1:11">
      <c r="B11" s="2455" t="s">
        <v>1400</v>
      </c>
      <c r="C11" s="2473">
        <f t="shared" si="0"/>
        <v>1.5598899438349469</v>
      </c>
      <c r="D11" s="2473">
        <f t="shared" si="0"/>
        <v>55961.485858346525</v>
      </c>
      <c r="E11" s="2665">
        <f>C11*21*0.907184/1000000</f>
        <v>2.9717251174967212E-5</v>
      </c>
      <c r="F11" s="2474">
        <f>D11*0.907184/1000000</f>
        <v>5.0767364586918239E-2</v>
      </c>
    </row>
    <row r="12" spans="1:11">
      <c r="B12" s="2455" t="s">
        <v>1683</v>
      </c>
      <c r="C12" s="2473">
        <f t="shared" si="0"/>
        <v>24.461741877043224</v>
      </c>
      <c r="D12" s="2473">
        <f t="shared" si="0"/>
        <v>1052155.3195559583</v>
      </c>
      <c r="E12" s="2665">
        <f>C12*21*0.907184/1000000</f>
        <v>4.6601731770265519E-4</v>
      </c>
      <c r="F12" s="2474">
        <f>D12*0.907184/1000000</f>
        <v>0.95449847141605249</v>
      </c>
    </row>
    <row r="13" spans="1:11" ht="19.5" thickBot="1">
      <c r="B13" s="2456"/>
      <c r="C13" s="2475"/>
      <c r="D13" s="2475">
        <f>SUM(D8:D12)</f>
        <v>2329670.8803173513</v>
      </c>
      <c r="E13" s="2666">
        <f>SUM(E8:E12)</f>
        <v>2.0841308066249589E-2</v>
      </c>
      <c r="F13" s="2476">
        <f>SUM(F8:F12)</f>
        <v>2.1134401478898157</v>
      </c>
    </row>
    <row r="22" spans="1:10" ht="20.25">
      <c r="A22" s="2457" t="s">
        <v>1666</v>
      </c>
      <c r="B22" s="2457" t="s">
        <v>1401</v>
      </c>
      <c r="C22" s="2457" t="s">
        <v>1667</v>
      </c>
      <c r="D22" s="2458" t="s">
        <v>1668</v>
      </c>
      <c r="E22" s="2457" t="s">
        <v>1402</v>
      </c>
      <c r="F22" s="2457" t="s">
        <v>1403</v>
      </c>
      <c r="G22" s="2457" t="s">
        <v>1404</v>
      </c>
      <c r="H22" s="2457" t="s">
        <v>1405</v>
      </c>
      <c r="I22" s="2457" t="s">
        <v>1689</v>
      </c>
      <c r="J22" s="2457" t="s">
        <v>1690</v>
      </c>
    </row>
    <row r="23" spans="1:10" outlineLevel="2">
      <c r="A23" s="2459" t="s">
        <v>1669</v>
      </c>
      <c r="B23" s="2459" t="s">
        <v>1406</v>
      </c>
      <c r="C23" s="2459" t="s">
        <v>1670</v>
      </c>
      <c r="D23" s="2460" t="s">
        <v>1671</v>
      </c>
      <c r="E23" s="2461" t="s">
        <v>1407</v>
      </c>
      <c r="F23" s="2461" t="s">
        <v>1408</v>
      </c>
      <c r="G23" s="2461" t="s">
        <v>1409</v>
      </c>
      <c r="H23" s="2461" t="s">
        <v>1410</v>
      </c>
      <c r="I23" s="2462">
        <v>1.4742114698451368E-3</v>
      </c>
      <c r="J23" s="2462">
        <v>2.1685997337436563E-2</v>
      </c>
    </row>
    <row r="24" spans="1:10" outlineLevel="2">
      <c r="A24" s="2459" t="s">
        <v>1669</v>
      </c>
      <c r="B24" s="2459" t="s">
        <v>1406</v>
      </c>
      <c r="C24" s="2459" t="s">
        <v>1670</v>
      </c>
      <c r="D24" s="2460" t="s">
        <v>1671</v>
      </c>
      <c r="E24" s="2461" t="s">
        <v>1407</v>
      </c>
      <c r="F24" s="2461" t="s">
        <v>1411</v>
      </c>
      <c r="G24" s="2461" t="s">
        <v>1412</v>
      </c>
      <c r="H24" s="2461" t="s">
        <v>1410</v>
      </c>
      <c r="I24" s="2462">
        <v>1.430394350004212</v>
      </c>
      <c r="J24" s="2462">
        <v>232.28758376890596</v>
      </c>
    </row>
    <row r="25" spans="1:10" outlineLevel="2">
      <c r="A25" s="2459" t="s">
        <v>1669</v>
      </c>
      <c r="B25" s="2459" t="s">
        <v>1406</v>
      </c>
      <c r="C25" s="2459" t="s">
        <v>1670</v>
      </c>
      <c r="D25" s="2460" t="s">
        <v>1671</v>
      </c>
      <c r="E25" s="2461" t="s">
        <v>1407</v>
      </c>
      <c r="F25" s="2461" t="s">
        <v>1413</v>
      </c>
      <c r="G25" s="2461" t="s">
        <v>1412</v>
      </c>
      <c r="H25" s="2461" t="s">
        <v>1410</v>
      </c>
      <c r="I25" s="2462">
        <v>1.161622095534776E-3</v>
      </c>
      <c r="J25" s="2462">
        <v>0.19678871276553769</v>
      </c>
    </row>
    <row r="26" spans="1:10" outlineLevel="2">
      <c r="A26" s="2459" t="s">
        <v>1669</v>
      </c>
      <c r="B26" s="2459" t="s">
        <v>1406</v>
      </c>
      <c r="C26" s="2459" t="s">
        <v>1670</v>
      </c>
      <c r="D26" s="2460" t="s">
        <v>1671</v>
      </c>
      <c r="E26" s="2461" t="s">
        <v>1407</v>
      </c>
      <c r="F26" s="2461" t="s">
        <v>1414</v>
      </c>
      <c r="G26" s="2461" t="s">
        <v>1412</v>
      </c>
      <c r="H26" s="2461" t="s">
        <v>1410</v>
      </c>
      <c r="I26" s="2462">
        <v>5.8374614496071043E-4</v>
      </c>
      <c r="J26" s="2462">
        <v>0.10723645096231567</v>
      </c>
    </row>
    <row r="27" spans="1:10" outlineLevel="2">
      <c r="A27" s="2459" t="s">
        <v>1669</v>
      </c>
      <c r="B27" s="2459" t="s">
        <v>1406</v>
      </c>
      <c r="C27" s="2459" t="s">
        <v>1670</v>
      </c>
      <c r="D27" s="2460" t="s">
        <v>1671</v>
      </c>
      <c r="E27" s="2461" t="s">
        <v>1407</v>
      </c>
      <c r="F27" s="2461" t="s">
        <v>1415</v>
      </c>
      <c r="G27" s="2461" t="s">
        <v>1412</v>
      </c>
      <c r="H27" s="2461" t="s">
        <v>1410</v>
      </c>
      <c r="I27" s="2462">
        <v>3.1334420562610229E-3</v>
      </c>
      <c r="J27" s="2462">
        <v>0.49912899069247973</v>
      </c>
    </row>
    <row r="28" spans="1:10" outlineLevel="2">
      <c r="A28" s="2459" t="s">
        <v>1669</v>
      </c>
      <c r="B28" s="2459" t="s">
        <v>1406</v>
      </c>
      <c r="C28" s="2459" t="s">
        <v>1670</v>
      </c>
      <c r="D28" s="2460" t="s">
        <v>1671</v>
      </c>
      <c r="E28" s="2461" t="s">
        <v>1407</v>
      </c>
      <c r="F28" s="2461" t="s">
        <v>1416</v>
      </c>
      <c r="G28" s="2461" t="s">
        <v>1412</v>
      </c>
      <c r="H28" s="2461" t="s">
        <v>1410</v>
      </c>
      <c r="I28" s="2462">
        <v>5.3431676196046326E-3</v>
      </c>
      <c r="J28" s="2462">
        <v>1.314373860197543</v>
      </c>
    </row>
    <row r="29" spans="1:10" outlineLevel="2">
      <c r="A29" s="2459" t="s">
        <v>1669</v>
      </c>
      <c r="B29" s="2459" t="s">
        <v>1406</v>
      </c>
      <c r="C29" s="2459" t="s">
        <v>1670</v>
      </c>
      <c r="D29" s="2460" t="s">
        <v>1671</v>
      </c>
      <c r="E29" s="2461" t="s">
        <v>1407</v>
      </c>
      <c r="F29" s="2461" t="s">
        <v>1417</v>
      </c>
      <c r="G29" s="2461" t="s">
        <v>1418</v>
      </c>
      <c r="H29" s="2461" t="s">
        <v>1410</v>
      </c>
      <c r="I29" s="2462">
        <v>9.5759006629020013E-4</v>
      </c>
      <c r="J29" s="2462">
        <v>1.2719584564905465E-2</v>
      </c>
    </row>
    <row r="30" spans="1:10" outlineLevel="2">
      <c r="A30" s="2459" t="s">
        <v>1669</v>
      </c>
      <c r="B30" s="2459" t="s">
        <v>1406</v>
      </c>
      <c r="C30" s="2459" t="s">
        <v>1670</v>
      </c>
      <c r="D30" s="2460" t="s">
        <v>1671</v>
      </c>
      <c r="E30" s="2461" t="s">
        <v>1407</v>
      </c>
      <c r="F30" s="2461" t="s">
        <v>1419</v>
      </c>
      <c r="G30" s="2461" t="s">
        <v>1418</v>
      </c>
      <c r="H30" s="2461" t="s">
        <v>1410</v>
      </c>
      <c r="I30" s="2462">
        <v>7.1080361666820777E-3</v>
      </c>
      <c r="J30" s="2462">
        <v>1.3804495632373608</v>
      </c>
    </row>
    <row r="31" spans="1:10" outlineLevel="2">
      <c r="A31" s="2459" t="s">
        <v>1669</v>
      </c>
      <c r="B31" s="2459" t="s">
        <v>1406</v>
      </c>
      <c r="C31" s="2459" t="s">
        <v>1670</v>
      </c>
      <c r="D31" s="2460" t="s">
        <v>1671</v>
      </c>
      <c r="E31" s="2461" t="s">
        <v>1407</v>
      </c>
      <c r="F31" s="2461" t="s">
        <v>1420</v>
      </c>
      <c r="G31" s="2461" t="s">
        <v>1421</v>
      </c>
      <c r="H31" s="2461" t="s">
        <v>1410</v>
      </c>
      <c r="I31" s="2462">
        <v>0.6512049558344688</v>
      </c>
      <c r="J31" s="2462">
        <v>16.900501176189707</v>
      </c>
    </row>
    <row r="32" spans="1:10" outlineLevel="2">
      <c r="A32" s="2459" t="s">
        <v>1669</v>
      </c>
      <c r="B32" s="2459" t="s">
        <v>1406</v>
      </c>
      <c r="C32" s="2459" t="s">
        <v>1670</v>
      </c>
      <c r="D32" s="2460" t="s">
        <v>1671</v>
      </c>
      <c r="E32" s="2461" t="s">
        <v>1407</v>
      </c>
      <c r="F32" s="2461" t="s">
        <v>1422</v>
      </c>
      <c r="G32" s="2461" t="s">
        <v>1421</v>
      </c>
      <c r="H32" s="2461" t="s">
        <v>1410</v>
      </c>
      <c r="I32" s="2462">
        <v>1.969234438218664E-2</v>
      </c>
      <c r="J32" s="2462">
        <v>0.80685885664749979</v>
      </c>
    </row>
    <row r="33" spans="1:10" outlineLevel="2">
      <c r="A33" s="2459" t="s">
        <v>1669</v>
      </c>
      <c r="B33" s="2459" t="s">
        <v>1406</v>
      </c>
      <c r="C33" s="2459" t="s">
        <v>1670</v>
      </c>
      <c r="D33" s="2460" t="s">
        <v>1671</v>
      </c>
      <c r="E33" s="2461" t="s">
        <v>1407</v>
      </c>
      <c r="F33" s="2461" t="s">
        <v>1423</v>
      </c>
      <c r="G33" s="2461" t="s">
        <v>1421</v>
      </c>
      <c r="H33" s="2461" t="s">
        <v>1410</v>
      </c>
      <c r="I33" s="2462">
        <v>1.0235603839970287E-2</v>
      </c>
      <c r="J33" s="2462">
        <v>1.1795362113513368</v>
      </c>
    </row>
    <row r="34" spans="1:10" outlineLevel="2">
      <c r="A34" s="2459" t="s">
        <v>1669</v>
      </c>
      <c r="B34" s="2459" t="s">
        <v>1406</v>
      </c>
      <c r="C34" s="2459" t="s">
        <v>1670</v>
      </c>
      <c r="D34" s="2460" t="s">
        <v>1671</v>
      </c>
      <c r="E34" s="2461" t="s">
        <v>1407</v>
      </c>
      <c r="F34" s="2461" t="s">
        <v>1424</v>
      </c>
      <c r="G34" s="2461" t="s">
        <v>1421</v>
      </c>
      <c r="H34" s="2461" t="s">
        <v>1410</v>
      </c>
      <c r="I34" s="2462">
        <v>0.20016232587010735</v>
      </c>
      <c r="J34" s="2462">
        <v>41.887101273933943</v>
      </c>
    </row>
    <row r="35" spans="1:10" outlineLevel="2">
      <c r="A35" s="2459" t="s">
        <v>1669</v>
      </c>
      <c r="B35" s="2459" t="s">
        <v>1406</v>
      </c>
      <c r="C35" s="2459" t="s">
        <v>1670</v>
      </c>
      <c r="D35" s="2460" t="s">
        <v>1671</v>
      </c>
      <c r="E35" s="2461" t="s">
        <v>213</v>
      </c>
      <c r="F35" s="2461" t="s">
        <v>1425</v>
      </c>
      <c r="G35" s="2461" t="s">
        <v>1426</v>
      </c>
      <c r="H35" s="2461" t="s">
        <v>1427</v>
      </c>
      <c r="I35" s="2462">
        <v>0.62709222247279695</v>
      </c>
      <c r="J35" s="2462">
        <v>180.183873799563</v>
      </c>
    </row>
    <row r="36" spans="1:10" outlineLevel="2">
      <c r="A36" s="2459" t="s">
        <v>1669</v>
      </c>
      <c r="B36" s="2459" t="s">
        <v>1406</v>
      </c>
      <c r="C36" s="2459" t="s">
        <v>1670</v>
      </c>
      <c r="D36" s="2460" t="s">
        <v>1671</v>
      </c>
      <c r="E36" s="2461" t="s">
        <v>213</v>
      </c>
      <c r="F36" s="2461" t="s">
        <v>1428</v>
      </c>
      <c r="G36" s="2461" t="s">
        <v>1426</v>
      </c>
      <c r="H36" s="2461" t="s">
        <v>1427</v>
      </c>
      <c r="I36" s="2462">
        <v>0.19155200138827846</v>
      </c>
      <c r="J36" s="2462">
        <v>77.381798849913579</v>
      </c>
    </row>
    <row r="37" spans="1:10" outlineLevel="2">
      <c r="A37" s="2459" t="s">
        <v>1669</v>
      </c>
      <c r="B37" s="2459" t="s">
        <v>1406</v>
      </c>
      <c r="C37" s="2459" t="s">
        <v>1670</v>
      </c>
      <c r="D37" s="2460" t="s">
        <v>1671</v>
      </c>
      <c r="E37" s="2461" t="s">
        <v>213</v>
      </c>
      <c r="F37" s="2461" t="s">
        <v>1429</v>
      </c>
      <c r="G37" s="2461" t="s">
        <v>1426</v>
      </c>
      <c r="H37" s="2461" t="s">
        <v>1427</v>
      </c>
      <c r="I37" s="2462">
        <v>8.7185679491838933E-2</v>
      </c>
      <c r="J37" s="2462">
        <v>112.12724707176623</v>
      </c>
    </row>
    <row r="38" spans="1:10" outlineLevel="2">
      <c r="A38" s="2459" t="s">
        <v>1669</v>
      </c>
      <c r="B38" s="2459" t="s">
        <v>1406</v>
      </c>
      <c r="C38" s="2459" t="s">
        <v>1670</v>
      </c>
      <c r="D38" s="2460" t="s">
        <v>1671</v>
      </c>
      <c r="E38" s="2461" t="s">
        <v>213</v>
      </c>
      <c r="F38" s="2461" t="s">
        <v>1430</v>
      </c>
      <c r="G38" s="2461" t="s">
        <v>1409</v>
      </c>
      <c r="H38" s="2461" t="s">
        <v>1070</v>
      </c>
      <c r="I38" s="2462">
        <v>4.5568724531825418E-3</v>
      </c>
      <c r="J38" s="2462">
        <v>2.8274459730140324</v>
      </c>
    </row>
    <row r="39" spans="1:10" outlineLevel="2">
      <c r="A39" s="2459" t="s">
        <v>1669</v>
      </c>
      <c r="B39" s="2459" t="s">
        <v>1406</v>
      </c>
      <c r="C39" s="2459" t="s">
        <v>1670</v>
      </c>
      <c r="D39" s="2460" t="s">
        <v>1671</v>
      </c>
      <c r="E39" s="2461" t="s">
        <v>213</v>
      </c>
      <c r="F39" s="2461" t="s">
        <v>1431</v>
      </c>
      <c r="G39" s="2461" t="s">
        <v>1409</v>
      </c>
      <c r="H39" s="2461" t="s">
        <v>1070</v>
      </c>
      <c r="I39" s="2462">
        <v>3.7817174513078082E-4</v>
      </c>
      <c r="J39" s="2462">
        <v>0.18315104693854492</v>
      </c>
    </row>
    <row r="40" spans="1:10" outlineLevel="2">
      <c r="A40" s="2459" t="s">
        <v>1669</v>
      </c>
      <c r="B40" s="2459" t="s">
        <v>1406</v>
      </c>
      <c r="C40" s="2459" t="s">
        <v>1670</v>
      </c>
      <c r="D40" s="2460" t="s">
        <v>1671</v>
      </c>
      <c r="E40" s="2461" t="s">
        <v>213</v>
      </c>
      <c r="F40" s="2461" t="s">
        <v>1432</v>
      </c>
      <c r="G40" s="2461" t="s">
        <v>1409</v>
      </c>
      <c r="H40" s="2461" t="s">
        <v>1070</v>
      </c>
      <c r="I40" s="2462">
        <v>4.5829474033959414E-4</v>
      </c>
      <c r="J40" s="2462">
        <v>0.21891761285328459</v>
      </c>
    </row>
    <row r="41" spans="1:10" outlineLevel="2">
      <c r="A41" s="2459" t="s">
        <v>1669</v>
      </c>
      <c r="B41" s="2459" t="s">
        <v>1406</v>
      </c>
      <c r="C41" s="2459" t="s">
        <v>1670</v>
      </c>
      <c r="D41" s="2460" t="s">
        <v>1671</v>
      </c>
      <c r="E41" s="2461" t="s">
        <v>213</v>
      </c>
      <c r="F41" s="2461" t="s">
        <v>1433</v>
      </c>
      <c r="G41" s="2461" t="s">
        <v>1409</v>
      </c>
      <c r="H41" s="2461" t="s">
        <v>1070</v>
      </c>
      <c r="I41" s="2462">
        <v>3.3892873277668335E-6</v>
      </c>
      <c r="J41" s="2462">
        <v>1.5168630374365662E-3</v>
      </c>
    </row>
    <row r="42" spans="1:10" outlineLevel="2">
      <c r="A42" s="2459" t="s">
        <v>1669</v>
      </c>
      <c r="B42" s="2459" t="s">
        <v>1406</v>
      </c>
      <c r="C42" s="2459" t="s">
        <v>1670</v>
      </c>
      <c r="D42" s="2460" t="s">
        <v>1671</v>
      </c>
      <c r="E42" s="2461" t="s">
        <v>213</v>
      </c>
      <c r="F42" s="2461" t="s">
        <v>1434</v>
      </c>
      <c r="G42" s="2461" t="s">
        <v>1409</v>
      </c>
      <c r="H42" s="2461" t="s">
        <v>1070</v>
      </c>
      <c r="I42" s="2462">
        <v>1.3064068268085219E-2</v>
      </c>
      <c r="J42" s="2462">
        <v>7.2947621340366586</v>
      </c>
    </row>
    <row r="43" spans="1:10" outlineLevel="2">
      <c r="A43" s="2459" t="s">
        <v>1669</v>
      </c>
      <c r="B43" s="2459" t="s">
        <v>1406</v>
      </c>
      <c r="C43" s="2459" t="s">
        <v>1670</v>
      </c>
      <c r="D43" s="2460" t="s">
        <v>1671</v>
      </c>
      <c r="E43" s="2461" t="s">
        <v>213</v>
      </c>
      <c r="F43" s="2461" t="s">
        <v>1435</v>
      </c>
      <c r="G43" s="2461" t="s">
        <v>1409</v>
      </c>
      <c r="H43" s="2461" t="s">
        <v>1070</v>
      </c>
      <c r="I43" s="2462">
        <v>9.5520139872108545E-5</v>
      </c>
      <c r="J43" s="2462">
        <v>4.2749697415366827E-2</v>
      </c>
    </row>
    <row r="44" spans="1:10" outlineLevel="2">
      <c r="A44" s="2459" t="s">
        <v>1669</v>
      </c>
      <c r="B44" s="2459" t="s">
        <v>1406</v>
      </c>
      <c r="C44" s="2459" t="s">
        <v>1670</v>
      </c>
      <c r="D44" s="2460" t="s">
        <v>1671</v>
      </c>
      <c r="E44" s="2461" t="s">
        <v>213</v>
      </c>
      <c r="F44" s="2461" t="s">
        <v>1436</v>
      </c>
      <c r="G44" s="2461" t="s">
        <v>1412</v>
      </c>
      <c r="H44" s="2461" t="s">
        <v>1116</v>
      </c>
      <c r="I44" s="2462">
        <v>1.4166631471875034E-3</v>
      </c>
      <c r="J44" s="2462">
        <v>0.63402238756653495</v>
      </c>
    </row>
    <row r="45" spans="1:10" outlineLevel="2">
      <c r="A45" s="2459" t="s">
        <v>1669</v>
      </c>
      <c r="B45" s="2459" t="s">
        <v>1406</v>
      </c>
      <c r="C45" s="2459" t="s">
        <v>1670</v>
      </c>
      <c r="D45" s="2460" t="s">
        <v>1671</v>
      </c>
      <c r="E45" s="2461" t="s">
        <v>213</v>
      </c>
      <c r="F45" s="2461" t="s">
        <v>1437</v>
      </c>
      <c r="G45" s="2461" t="s">
        <v>1412</v>
      </c>
      <c r="H45" s="2461" t="s">
        <v>1116</v>
      </c>
      <c r="I45" s="2462">
        <v>1.0840511167328461E-4</v>
      </c>
      <c r="J45" s="2462">
        <v>4.8516198975780425E-2</v>
      </c>
    </row>
    <row r="46" spans="1:10" outlineLevel="2">
      <c r="A46" s="2459" t="s">
        <v>1669</v>
      </c>
      <c r="B46" s="2459" t="s">
        <v>1406</v>
      </c>
      <c r="C46" s="2459" t="s">
        <v>1670</v>
      </c>
      <c r="D46" s="2460" t="s">
        <v>1671</v>
      </c>
      <c r="E46" s="2461" t="s">
        <v>213</v>
      </c>
      <c r="F46" s="2461" t="s">
        <v>1438</v>
      </c>
      <c r="G46" s="2461" t="s">
        <v>1439</v>
      </c>
      <c r="H46" s="2461" t="s">
        <v>1440</v>
      </c>
      <c r="I46" s="2462">
        <v>5.1822065137268154E-3</v>
      </c>
      <c r="J46" s="2462">
        <v>2.8381195839924418</v>
      </c>
    </row>
    <row r="47" spans="1:10" outlineLevel="2">
      <c r="A47" s="2459" t="s">
        <v>1669</v>
      </c>
      <c r="B47" s="2459" t="s">
        <v>1406</v>
      </c>
      <c r="C47" s="2459" t="s">
        <v>1670</v>
      </c>
      <c r="D47" s="2460" t="s">
        <v>1671</v>
      </c>
      <c r="E47" s="2461" t="s">
        <v>213</v>
      </c>
      <c r="F47" s="2461" t="s">
        <v>1441</v>
      </c>
      <c r="G47" s="2461" t="s">
        <v>1439</v>
      </c>
      <c r="H47" s="2461" t="s">
        <v>1440</v>
      </c>
      <c r="I47" s="2462">
        <v>6.3859747807559607E-3</v>
      </c>
      <c r="J47" s="2462">
        <v>3.4321109520603543</v>
      </c>
    </row>
    <row r="48" spans="1:10" outlineLevel="2">
      <c r="A48" s="2459" t="s">
        <v>1669</v>
      </c>
      <c r="B48" s="2459" t="s">
        <v>1406</v>
      </c>
      <c r="C48" s="2459" t="s">
        <v>1670</v>
      </c>
      <c r="D48" s="2460" t="s">
        <v>1671</v>
      </c>
      <c r="E48" s="2461" t="s">
        <v>213</v>
      </c>
      <c r="F48" s="2461" t="s">
        <v>1442</v>
      </c>
      <c r="G48" s="2461" t="s">
        <v>1439</v>
      </c>
      <c r="H48" s="2461" t="s">
        <v>1440</v>
      </c>
      <c r="I48" s="2462">
        <v>7.2937055114806443E-2</v>
      </c>
      <c r="J48" s="2462">
        <v>37.894250977982843</v>
      </c>
    </row>
    <row r="49" spans="1:10" outlineLevel="2">
      <c r="A49" s="2459" t="s">
        <v>1669</v>
      </c>
      <c r="B49" s="2459" t="s">
        <v>1406</v>
      </c>
      <c r="C49" s="2459" t="s">
        <v>1670</v>
      </c>
      <c r="D49" s="2460" t="s">
        <v>1671</v>
      </c>
      <c r="E49" s="2461" t="s">
        <v>213</v>
      </c>
      <c r="F49" s="2461" t="s">
        <v>1443</v>
      </c>
      <c r="G49" s="2461" t="s">
        <v>1439</v>
      </c>
      <c r="H49" s="2461" t="s">
        <v>1440</v>
      </c>
      <c r="I49" s="2462">
        <v>6.0382983254664416E-2</v>
      </c>
      <c r="J49" s="2462">
        <v>33.053905685725553</v>
      </c>
    </row>
    <row r="50" spans="1:10" outlineLevel="2">
      <c r="A50" s="2459" t="s">
        <v>1669</v>
      </c>
      <c r="B50" s="2459" t="s">
        <v>1406</v>
      </c>
      <c r="C50" s="2459" t="s">
        <v>1670</v>
      </c>
      <c r="D50" s="2460" t="s">
        <v>1671</v>
      </c>
      <c r="E50" s="2461" t="s">
        <v>213</v>
      </c>
      <c r="F50" s="2461" t="s">
        <v>1444</v>
      </c>
      <c r="G50" s="2461" t="s">
        <v>1439</v>
      </c>
      <c r="H50" s="2461" t="s">
        <v>1440</v>
      </c>
      <c r="I50" s="2462">
        <v>8.9599099131768056E-2</v>
      </c>
      <c r="J50" s="2462">
        <v>52.626892880549477</v>
      </c>
    </row>
    <row r="51" spans="1:10" outlineLevel="2">
      <c r="A51" s="2459" t="s">
        <v>1669</v>
      </c>
      <c r="B51" s="2459" t="s">
        <v>1406</v>
      </c>
      <c r="C51" s="2459" t="s">
        <v>1670</v>
      </c>
      <c r="D51" s="2460" t="s">
        <v>1671</v>
      </c>
      <c r="E51" s="2461" t="s">
        <v>213</v>
      </c>
      <c r="F51" s="2461" t="s">
        <v>1445</v>
      </c>
      <c r="G51" s="2461" t="s">
        <v>1439</v>
      </c>
      <c r="H51" s="2461" t="s">
        <v>1440</v>
      </c>
      <c r="I51" s="2462">
        <v>5.7136585447375307E-2</v>
      </c>
      <c r="J51" s="2462">
        <v>28.884671924950979</v>
      </c>
    </row>
    <row r="52" spans="1:10" outlineLevel="2">
      <c r="A52" s="2459" t="s">
        <v>1669</v>
      </c>
      <c r="B52" s="2459" t="s">
        <v>1406</v>
      </c>
      <c r="C52" s="2459" t="s">
        <v>1670</v>
      </c>
      <c r="D52" s="2460" t="s">
        <v>1671</v>
      </c>
      <c r="E52" s="2461" t="s">
        <v>213</v>
      </c>
      <c r="F52" s="2461" t="s">
        <v>1446</v>
      </c>
      <c r="G52" s="2461" t="s">
        <v>1439</v>
      </c>
      <c r="H52" s="2461" t="s">
        <v>1440</v>
      </c>
      <c r="I52" s="2462">
        <v>6.3153535250921308E-2</v>
      </c>
      <c r="J52" s="2462">
        <v>33.870547211928965</v>
      </c>
    </row>
    <row r="53" spans="1:10" outlineLevel="2">
      <c r="A53" s="2459" t="s">
        <v>1669</v>
      </c>
      <c r="B53" s="2459" t="s">
        <v>1406</v>
      </c>
      <c r="C53" s="2459" t="s">
        <v>1670</v>
      </c>
      <c r="D53" s="2460" t="s">
        <v>1671</v>
      </c>
      <c r="E53" s="2461" t="s">
        <v>213</v>
      </c>
      <c r="F53" s="2461" t="s">
        <v>1447</v>
      </c>
      <c r="G53" s="2461" t="s">
        <v>1439</v>
      </c>
      <c r="H53" s="2461" t="s">
        <v>1440</v>
      </c>
      <c r="I53" s="2462">
        <v>5.0428336253748235E-2</v>
      </c>
      <c r="J53" s="2462">
        <v>26.971373341215724</v>
      </c>
    </row>
    <row r="54" spans="1:10" outlineLevel="2">
      <c r="A54" s="2459" t="s">
        <v>1669</v>
      </c>
      <c r="B54" s="2459" t="s">
        <v>1406</v>
      </c>
      <c r="C54" s="2459" t="s">
        <v>1670</v>
      </c>
      <c r="D54" s="2460" t="s">
        <v>1671</v>
      </c>
      <c r="E54" s="2461" t="s">
        <v>213</v>
      </c>
      <c r="F54" s="2461" t="s">
        <v>1448</v>
      </c>
      <c r="G54" s="2461" t="s">
        <v>1439</v>
      </c>
      <c r="H54" s="2461" t="s">
        <v>1440</v>
      </c>
      <c r="I54" s="2462">
        <v>0.11445914656921163</v>
      </c>
      <c r="J54" s="2462">
        <v>16.758328782949675</v>
      </c>
    </row>
    <row r="55" spans="1:10" outlineLevel="2">
      <c r="A55" s="2459" t="s">
        <v>1669</v>
      </c>
      <c r="B55" s="2459" t="s">
        <v>1406</v>
      </c>
      <c r="C55" s="2459" t="s">
        <v>1670</v>
      </c>
      <c r="D55" s="2460" t="s">
        <v>1671</v>
      </c>
      <c r="E55" s="2461" t="s">
        <v>213</v>
      </c>
      <c r="F55" s="2461" t="s">
        <v>1449</v>
      </c>
      <c r="G55" s="2461" t="s">
        <v>1439</v>
      </c>
      <c r="H55" s="2461" t="s">
        <v>1440</v>
      </c>
      <c r="I55" s="2462">
        <v>6.7076069587141698E-2</v>
      </c>
      <c r="J55" s="2462">
        <v>9.8205476207116238</v>
      </c>
    </row>
    <row r="56" spans="1:10" outlineLevel="2">
      <c r="A56" s="2459" t="s">
        <v>1669</v>
      </c>
      <c r="B56" s="2459" t="s">
        <v>1406</v>
      </c>
      <c r="C56" s="2459" t="s">
        <v>1670</v>
      </c>
      <c r="D56" s="2460" t="s">
        <v>1671</v>
      </c>
      <c r="E56" s="2461" t="s">
        <v>213</v>
      </c>
      <c r="F56" s="2461" t="s">
        <v>1450</v>
      </c>
      <c r="G56" s="2461" t="s">
        <v>1439</v>
      </c>
      <c r="H56" s="2461" t="s">
        <v>1440</v>
      </c>
      <c r="I56" s="2462">
        <v>2.8843054919243183E-5</v>
      </c>
      <c r="J56" s="2462">
        <v>1.439214267573514E-2</v>
      </c>
    </row>
    <row r="57" spans="1:10" outlineLevel="2">
      <c r="A57" s="2459" t="s">
        <v>1669</v>
      </c>
      <c r="B57" s="2459" t="s">
        <v>1406</v>
      </c>
      <c r="C57" s="2459" t="s">
        <v>1670</v>
      </c>
      <c r="D57" s="2460" t="s">
        <v>1671</v>
      </c>
      <c r="E57" s="2461" t="s">
        <v>213</v>
      </c>
      <c r="F57" s="2461" t="s">
        <v>1451</v>
      </c>
      <c r="G57" s="2461" t="s">
        <v>1418</v>
      </c>
      <c r="H57" s="2461" t="s">
        <v>1452</v>
      </c>
      <c r="I57" s="2462">
        <v>1.1891989051510696E-4</v>
      </c>
      <c r="J57" s="2462">
        <v>7.2317881732221423E-2</v>
      </c>
    </row>
    <row r="58" spans="1:10" outlineLevel="2">
      <c r="A58" s="2459" t="s">
        <v>1669</v>
      </c>
      <c r="B58" s="2459" t="s">
        <v>1406</v>
      </c>
      <c r="C58" s="2459" t="s">
        <v>1670</v>
      </c>
      <c r="D58" s="2460" t="s">
        <v>1671</v>
      </c>
      <c r="E58" s="2461" t="s">
        <v>213</v>
      </c>
      <c r="F58" s="2461" t="s">
        <v>1453</v>
      </c>
      <c r="G58" s="2461" t="s">
        <v>1421</v>
      </c>
      <c r="H58" s="2461" t="s">
        <v>1454</v>
      </c>
      <c r="I58" s="2462">
        <v>5.7389036769279235E-3</v>
      </c>
      <c r="J58" s="2462">
        <v>2.841384704748529</v>
      </c>
    </row>
    <row r="59" spans="1:10" outlineLevel="2">
      <c r="A59" s="2459" t="s">
        <v>1669</v>
      </c>
      <c r="B59" s="2459" t="s">
        <v>1406</v>
      </c>
      <c r="C59" s="2459" t="s">
        <v>1670</v>
      </c>
      <c r="D59" s="2460" t="s">
        <v>1671</v>
      </c>
      <c r="E59" s="2461" t="s">
        <v>213</v>
      </c>
      <c r="F59" s="2461" t="s">
        <v>1455</v>
      </c>
      <c r="G59" s="2461" t="s">
        <v>1421</v>
      </c>
      <c r="H59" s="2461" t="s">
        <v>1454</v>
      </c>
      <c r="I59" s="2462">
        <v>3.6623350366607285E-2</v>
      </c>
      <c r="J59" s="2462">
        <v>18.955235079950217</v>
      </c>
    </row>
    <row r="60" spans="1:10" outlineLevel="2">
      <c r="A60" s="2459" t="s">
        <v>1669</v>
      </c>
      <c r="B60" s="2459" t="s">
        <v>1406</v>
      </c>
      <c r="C60" s="2459" t="s">
        <v>1670</v>
      </c>
      <c r="D60" s="2460" t="s">
        <v>1671</v>
      </c>
      <c r="E60" s="2461" t="s">
        <v>213</v>
      </c>
      <c r="F60" s="2461" t="s">
        <v>1456</v>
      </c>
      <c r="G60" s="2461" t="s">
        <v>1421</v>
      </c>
      <c r="H60" s="2461" t="s">
        <v>1454</v>
      </c>
      <c r="I60" s="2462">
        <v>1.4689560059599947E-5</v>
      </c>
      <c r="J60" s="2462">
        <v>6.5742648211909076E-3</v>
      </c>
    </row>
    <row r="61" spans="1:10" outlineLevel="2">
      <c r="A61" s="2459" t="s">
        <v>1669</v>
      </c>
      <c r="B61" s="2459" t="s">
        <v>1406</v>
      </c>
      <c r="C61" s="2459" t="s">
        <v>1670</v>
      </c>
      <c r="D61" s="2460" t="s">
        <v>1671</v>
      </c>
      <c r="E61" s="2461" t="s">
        <v>213</v>
      </c>
      <c r="F61" s="2461" t="s">
        <v>1457</v>
      </c>
      <c r="G61" s="2461" t="s">
        <v>1421</v>
      </c>
      <c r="H61" s="2461" t="s">
        <v>1454</v>
      </c>
      <c r="I61" s="2462">
        <v>2.5623233996630452E-4</v>
      </c>
      <c r="J61" s="2462">
        <v>0.11467589691722008</v>
      </c>
    </row>
    <row r="62" spans="1:10" outlineLevel="2">
      <c r="A62" s="2459" t="s">
        <v>1669</v>
      </c>
      <c r="B62" s="2459" t="s">
        <v>1406</v>
      </c>
      <c r="C62" s="2459" t="s">
        <v>1670</v>
      </c>
      <c r="D62" s="2460" t="s">
        <v>1671</v>
      </c>
      <c r="E62" s="2461" t="s">
        <v>213</v>
      </c>
      <c r="F62" s="2461" t="s">
        <v>1458</v>
      </c>
      <c r="G62" s="2461" t="s">
        <v>1459</v>
      </c>
      <c r="H62" s="2461" t="s">
        <v>1460</v>
      </c>
      <c r="I62" s="2462">
        <v>1.780570847181728E-2</v>
      </c>
      <c r="J62" s="2462">
        <v>10.279734199961482</v>
      </c>
    </row>
    <row r="63" spans="1:10" outlineLevel="2">
      <c r="A63" s="2459" t="s">
        <v>1669</v>
      </c>
      <c r="B63" s="2459" t="s">
        <v>1406</v>
      </c>
      <c r="C63" s="2459" t="s">
        <v>1670</v>
      </c>
      <c r="D63" s="2460" t="s">
        <v>1671</v>
      </c>
      <c r="E63" s="2461" t="s">
        <v>213</v>
      </c>
      <c r="F63" s="2461" t="s">
        <v>1461</v>
      </c>
      <c r="G63" s="2461" t="s">
        <v>1426</v>
      </c>
      <c r="H63" s="2461" t="s">
        <v>1427</v>
      </c>
      <c r="I63" s="2462">
        <v>0.11935817282197367</v>
      </c>
      <c r="J63" s="2462">
        <v>84.034096854422899</v>
      </c>
    </row>
    <row r="64" spans="1:10" outlineLevel="2">
      <c r="A64" s="2459" t="s">
        <v>1669</v>
      </c>
      <c r="B64" s="2459" t="s">
        <v>1406</v>
      </c>
      <c r="C64" s="2459" t="s">
        <v>1670</v>
      </c>
      <c r="D64" s="2460" t="s">
        <v>1671</v>
      </c>
      <c r="E64" s="2461" t="s">
        <v>213</v>
      </c>
      <c r="F64" s="2461" t="s">
        <v>1462</v>
      </c>
      <c r="G64" s="2461" t="s">
        <v>1426</v>
      </c>
      <c r="H64" s="2461" t="s">
        <v>1427</v>
      </c>
      <c r="I64" s="2462">
        <v>0.87952047181393578</v>
      </c>
      <c r="J64" s="2462">
        <v>798.89408669602801</v>
      </c>
    </row>
    <row r="65" spans="1:10" outlineLevel="2">
      <c r="A65" s="2459" t="s">
        <v>1669</v>
      </c>
      <c r="B65" s="2459" t="s">
        <v>1406</v>
      </c>
      <c r="C65" s="2459" t="s">
        <v>1670</v>
      </c>
      <c r="D65" s="2460" t="s">
        <v>1671</v>
      </c>
      <c r="E65" s="2461" t="s">
        <v>213</v>
      </c>
      <c r="F65" s="2461" t="s">
        <v>1463</v>
      </c>
      <c r="G65" s="2461" t="s">
        <v>1426</v>
      </c>
      <c r="H65" s="2461" t="s">
        <v>1427</v>
      </c>
      <c r="I65" s="2462">
        <v>0.20655862773378178</v>
      </c>
      <c r="J65" s="2462">
        <v>273.27807088923885</v>
      </c>
    </row>
    <row r="66" spans="1:10" outlineLevel="2">
      <c r="A66" s="2459" t="s">
        <v>1669</v>
      </c>
      <c r="B66" s="2459" t="s">
        <v>1406</v>
      </c>
      <c r="C66" s="2459" t="s">
        <v>1670</v>
      </c>
      <c r="D66" s="2460" t="s">
        <v>1671</v>
      </c>
      <c r="E66" s="2461" t="s">
        <v>213</v>
      </c>
      <c r="F66" s="2461" t="s">
        <v>1464</v>
      </c>
      <c r="G66" s="2461" t="s">
        <v>1426</v>
      </c>
      <c r="H66" s="2461" t="s">
        <v>1427</v>
      </c>
      <c r="I66" s="2462">
        <v>0.11815132864561934</v>
      </c>
      <c r="J66" s="2462">
        <v>107.15204737313533</v>
      </c>
    </row>
    <row r="67" spans="1:10" outlineLevel="2">
      <c r="A67" s="2459" t="s">
        <v>1669</v>
      </c>
      <c r="B67" s="2459" t="s">
        <v>1406</v>
      </c>
      <c r="C67" s="2459" t="s">
        <v>1670</v>
      </c>
      <c r="D67" s="2460" t="s">
        <v>1671</v>
      </c>
      <c r="E67" s="2461" t="s">
        <v>213</v>
      </c>
      <c r="F67" s="2461" t="s">
        <v>1465</v>
      </c>
      <c r="G67" s="2461" t="s">
        <v>1409</v>
      </c>
      <c r="H67" s="2461" t="s">
        <v>1070</v>
      </c>
      <c r="I67" s="2462">
        <v>1.5474301635393811E-3</v>
      </c>
      <c r="J67" s="2462">
        <v>2.5064034397445152</v>
      </c>
    </row>
    <row r="68" spans="1:10" outlineLevel="2">
      <c r="A68" s="2459" t="s">
        <v>1669</v>
      </c>
      <c r="B68" s="2459" t="s">
        <v>1406</v>
      </c>
      <c r="C68" s="2459" t="s">
        <v>1670</v>
      </c>
      <c r="D68" s="2460" t="s">
        <v>1671</v>
      </c>
      <c r="E68" s="2461" t="s">
        <v>213</v>
      </c>
      <c r="F68" s="2461" t="s">
        <v>1466</v>
      </c>
      <c r="G68" s="2461" t="s">
        <v>1409</v>
      </c>
      <c r="H68" s="2461" t="s">
        <v>1070</v>
      </c>
      <c r="I68" s="2462">
        <v>1.2366395977911466E-5</v>
      </c>
      <c r="J68" s="2462">
        <v>1.870810900189579E-2</v>
      </c>
    </row>
    <row r="69" spans="1:10" outlineLevel="2">
      <c r="A69" s="2459" t="s">
        <v>1669</v>
      </c>
      <c r="B69" s="2459" t="s">
        <v>1406</v>
      </c>
      <c r="C69" s="2459" t="s">
        <v>1670</v>
      </c>
      <c r="D69" s="2460" t="s">
        <v>1671</v>
      </c>
      <c r="E69" s="2461" t="s">
        <v>213</v>
      </c>
      <c r="F69" s="2461" t="s">
        <v>1467</v>
      </c>
      <c r="G69" s="2461" t="s">
        <v>1409</v>
      </c>
      <c r="H69" s="2461" t="s">
        <v>1070</v>
      </c>
      <c r="I69" s="2462">
        <v>3.3436818778732982E-3</v>
      </c>
      <c r="J69" s="2462">
        <v>4.7085826346705293</v>
      </c>
    </row>
    <row r="70" spans="1:10" outlineLevel="2">
      <c r="A70" s="2459" t="s">
        <v>1669</v>
      </c>
      <c r="B70" s="2459" t="s">
        <v>1406</v>
      </c>
      <c r="C70" s="2459" t="s">
        <v>1670</v>
      </c>
      <c r="D70" s="2460" t="s">
        <v>1671</v>
      </c>
      <c r="E70" s="2461" t="s">
        <v>213</v>
      </c>
      <c r="F70" s="2461" t="s">
        <v>1468</v>
      </c>
      <c r="G70" s="2461" t="s">
        <v>1409</v>
      </c>
      <c r="H70" s="2461" t="s">
        <v>1070</v>
      </c>
      <c r="I70" s="2462">
        <v>2.728544403642601E-3</v>
      </c>
      <c r="J70" s="2462">
        <v>4.4330510170476414</v>
      </c>
    </row>
    <row r="71" spans="1:10" outlineLevel="2">
      <c r="A71" s="2459" t="s">
        <v>1669</v>
      </c>
      <c r="B71" s="2459" t="s">
        <v>1406</v>
      </c>
      <c r="C71" s="2459" t="s">
        <v>1670</v>
      </c>
      <c r="D71" s="2460" t="s">
        <v>1671</v>
      </c>
      <c r="E71" s="2461" t="s">
        <v>213</v>
      </c>
      <c r="F71" s="2461" t="s">
        <v>1469</v>
      </c>
      <c r="G71" s="2461" t="s">
        <v>1409</v>
      </c>
      <c r="H71" s="2461" t="s">
        <v>1070</v>
      </c>
      <c r="I71" s="2462">
        <v>6.1018043997036111E-3</v>
      </c>
      <c r="J71" s="2462">
        <v>8.8470029671814512</v>
      </c>
    </row>
    <row r="72" spans="1:10" outlineLevel="2">
      <c r="A72" s="2459" t="s">
        <v>1669</v>
      </c>
      <c r="B72" s="2459" t="s">
        <v>1406</v>
      </c>
      <c r="C72" s="2459" t="s">
        <v>1670</v>
      </c>
      <c r="D72" s="2460" t="s">
        <v>1671</v>
      </c>
      <c r="E72" s="2461" t="s">
        <v>213</v>
      </c>
      <c r="F72" s="2461" t="s">
        <v>1470</v>
      </c>
      <c r="G72" s="2461" t="s">
        <v>1409</v>
      </c>
      <c r="H72" s="2461" t="s">
        <v>1070</v>
      </c>
      <c r="I72" s="2462">
        <v>2.6471490008273526E-3</v>
      </c>
      <c r="J72" s="2462">
        <v>3.7252436623483307</v>
      </c>
    </row>
    <row r="73" spans="1:10" outlineLevel="2">
      <c r="A73" s="2459" t="s">
        <v>1669</v>
      </c>
      <c r="B73" s="2459" t="s">
        <v>1406</v>
      </c>
      <c r="C73" s="2459" t="s">
        <v>1670</v>
      </c>
      <c r="D73" s="2460" t="s">
        <v>1671</v>
      </c>
      <c r="E73" s="2461" t="s">
        <v>213</v>
      </c>
      <c r="F73" s="2461" t="s">
        <v>1471</v>
      </c>
      <c r="G73" s="2461" t="s">
        <v>1409</v>
      </c>
      <c r="H73" s="2461" t="s">
        <v>1070</v>
      </c>
      <c r="I73" s="2462">
        <v>1.4416928676358435E-4</v>
      </c>
      <c r="J73" s="2462">
        <v>0.19415289379041975</v>
      </c>
    </row>
    <row r="74" spans="1:10" outlineLevel="2">
      <c r="A74" s="2459" t="s">
        <v>1669</v>
      </c>
      <c r="B74" s="2459" t="s">
        <v>1406</v>
      </c>
      <c r="C74" s="2459" t="s">
        <v>1670</v>
      </c>
      <c r="D74" s="2460" t="s">
        <v>1671</v>
      </c>
      <c r="E74" s="2461" t="s">
        <v>213</v>
      </c>
      <c r="F74" s="2461" t="s">
        <v>1472</v>
      </c>
      <c r="G74" s="2461" t="s">
        <v>1409</v>
      </c>
      <c r="H74" s="2461" t="s">
        <v>1070</v>
      </c>
      <c r="I74" s="2462">
        <v>5.0165936035297017E-3</v>
      </c>
      <c r="J74" s="2462">
        <v>7.7957899974302922</v>
      </c>
    </row>
    <row r="75" spans="1:10" outlineLevel="2">
      <c r="A75" s="2459" t="s">
        <v>1669</v>
      </c>
      <c r="B75" s="2459" t="s">
        <v>1406</v>
      </c>
      <c r="C75" s="2459" t="s">
        <v>1670</v>
      </c>
      <c r="D75" s="2460" t="s">
        <v>1671</v>
      </c>
      <c r="E75" s="2461" t="s">
        <v>213</v>
      </c>
      <c r="F75" s="2461" t="s">
        <v>1473</v>
      </c>
      <c r="G75" s="2461" t="s">
        <v>1409</v>
      </c>
      <c r="H75" s="2461" t="s">
        <v>1070</v>
      </c>
      <c r="I75" s="2462">
        <v>2.3900579545674248E-3</v>
      </c>
      <c r="J75" s="2462">
        <v>2.8913182785889777</v>
      </c>
    </row>
    <row r="76" spans="1:10" outlineLevel="2">
      <c r="A76" s="2459" t="s">
        <v>1669</v>
      </c>
      <c r="B76" s="2459" t="s">
        <v>1406</v>
      </c>
      <c r="C76" s="2459" t="s">
        <v>1670</v>
      </c>
      <c r="D76" s="2460" t="s">
        <v>1671</v>
      </c>
      <c r="E76" s="2461" t="s">
        <v>213</v>
      </c>
      <c r="F76" s="2461" t="s">
        <v>1474</v>
      </c>
      <c r="G76" s="2461" t="s">
        <v>1409</v>
      </c>
      <c r="H76" s="2461" t="s">
        <v>1070</v>
      </c>
      <c r="I76" s="2462">
        <v>1.130249797255168E-2</v>
      </c>
      <c r="J76" s="2462">
        <v>16.244720724180471</v>
      </c>
    </row>
    <row r="77" spans="1:10" outlineLevel="2">
      <c r="A77" s="2459" t="s">
        <v>1669</v>
      </c>
      <c r="B77" s="2459" t="s">
        <v>1406</v>
      </c>
      <c r="C77" s="2459" t="s">
        <v>1670</v>
      </c>
      <c r="D77" s="2460" t="s">
        <v>1671</v>
      </c>
      <c r="E77" s="2461" t="s">
        <v>213</v>
      </c>
      <c r="F77" s="2461" t="s">
        <v>1475</v>
      </c>
      <c r="G77" s="2461" t="s">
        <v>1409</v>
      </c>
      <c r="H77" s="2461" t="s">
        <v>1070</v>
      </c>
      <c r="I77" s="2462">
        <v>5.7293536849623971E-3</v>
      </c>
      <c r="J77" s="2462">
        <v>7.8011636983908952</v>
      </c>
    </row>
    <row r="78" spans="1:10" outlineLevel="2">
      <c r="A78" s="2459" t="s">
        <v>1669</v>
      </c>
      <c r="B78" s="2459" t="s">
        <v>1406</v>
      </c>
      <c r="C78" s="2459" t="s">
        <v>1670</v>
      </c>
      <c r="D78" s="2460" t="s">
        <v>1671</v>
      </c>
      <c r="E78" s="2461" t="s">
        <v>213</v>
      </c>
      <c r="F78" s="2461" t="s">
        <v>1476</v>
      </c>
      <c r="G78" s="2461" t="s">
        <v>1409</v>
      </c>
      <c r="H78" s="2461" t="s">
        <v>1070</v>
      </c>
      <c r="I78" s="2462">
        <v>4.5230947978362577E-4</v>
      </c>
      <c r="J78" s="2462">
        <v>0.62837373058504409</v>
      </c>
    </row>
    <row r="79" spans="1:10" outlineLevel="2">
      <c r="A79" s="2459" t="s">
        <v>1669</v>
      </c>
      <c r="B79" s="2459" t="s">
        <v>1406</v>
      </c>
      <c r="C79" s="2459" t="s">
        <v>1670</v>
      </c>
      <c r="D79" s="2460" t="s">
        <v>1671</v>
      </c>
      <c r="E79" s="2461" t="s">
        <v>213</v>
      </c>
      <c r="F79" s="2461" t="s">
        <v>1477</v>
      </c>
      <c r="G79" s="2461" t="s">
        <v>1409</v>
      </c>
      <c r="H79" s="2461" t="s">
        <v>1070</v>
      </c>
      <c r="I79" s="2462">
        <v>7.435672173438314E-4</v>
      </c>
      <c r="J79" s="2462">
        <v>1.0551967029704994</v>
      </c>
    </row>
    <row r="80" spans="1:10" outlineLevel="2">
      <c r="A80" s="2459" t="s">
        <v>1669</v>
      </c>
      <c r="B80" s="2459" t="s">
        <v>1406</v>
      </c>
      <c r="C80" s="2459" t="s">
        <v>1670</v>
      </c>
      <c r="D80" s="2460" t="s">
        <v>1671</v>
      </c>
      <c r="E80" s="2461" t="s">
        <v>213</v>
      </c>
      <c r="F80" s="2461" t="s">
        <v>1478</v>
      </c>
      <c r="G80" s="2461" t="s">
        <v>1409</v>
      </c>
      <c r="H80" s="2461" t="s">
        <v>1070</v>
      </c>
      <c r="I80" s="2462">
        <v>3.2518600750582912E-4</v>
      </c>
      <c r="J80" s="2462">
        <v>0.94290490975216179</v>
      </c>
    </row>
    <row r="81" spans="1:10" outlineLevel="2">
      <c r="A81" s="2459" t="s">
        <v>1669</v>
      </c>
      <c r="B81" s="2459" t="s">
        <v>1406</v>
      </c>
      <c r="C81" s="2459" t="s">
        <v>1670</v>
      </c>
      <c r="D81" s="2460" t="s">
        <v>1671</v>
      </c>
      <c r="E81" s="2461" t="s">
        <v>213</v>
      </c>
      <c r="F81" s="2461" t="s">
        <v>1479</v>
      </c>
      <c r="G81" s="2461" t="s">
        <v>1409</v>
      </c>
      <c r="H81" s="2461" t="s">
        <v>1070</v>
      </c>
      <c r="I81" s="2462">
        <v>2.6192013306297786E-4</v>
      </c>
      <c r="J81" s="2462">
        <v>2.2364066757531873</v>
      </c>
    </row>
    <row r="82" spans="1:10" outlineLevel="2">
      <c r="A82" s="2459" t="s">
        <v>1669</v>
      </c>
      <c r="B82" s="2459" t="s">
        <v>1406</v>
      </c>
      <c r="C82" s="2459" t="s">
        <v>1670</v>
      </c>
      <c r="D82" s="2460" t="s">
        <v>1671</v>
      </c>
      <c r="E82" s="2461" t="s">
        <v>213</v>
      </c>
      <c r="F82" s="2461" t="s">
        <v>1480</v>
      </c>
      <c r="G82" s="2461" t="s">
        <v>1409</v>
      </c>
      <c r="H82" s="2461" t="s">
        <v>1070</v>
      </c>
      <c r="I82" s="2462">
        <v>3.5659792088011798E-3</v>
      </c>
      <c r="J82" s="2462">
        <v>5.3325512774197446</v>
      </c>
    </row>
    <row r="83" spans="1:10" outlineLevel="2">
      <c r="A83" s="2459" t="s">
        <v>1669</v>
      </c>
      <c r="B83" s="2459" t="s">
        <v>1406</v>
      </c>
      <c r="C83" s="2459" t="s">
        <v>1670</v>
      </c>
      <c r="D83" s="2460" t="s">
        <v>1671</v>
      </c>
      <c r="E83" s="2461" t="s">
        <v>213</v>
      </c>
      <c r="F83" s="2461" t="s">
        <v>1481</v>
      </c>
      <c r="G83" s="2461" t="s">
        <v>1409</v>
      </c>
      <c r="H83" s="2461" t="s">
        <v>1070</v>
      </c>
      <c r="I83" s="2462">
        <v>2.5434858972528175E-3</v>
      </c>
      <c r="J83" s="2462">
        <v>3.716577748891591</v>
      </c>
    </row>
    <row r="84" spans="1:10" outlineLevel="2">
      <c r="A84" s="2459" t="s">
        <v>1669</v>
      </c>
      <c r="B84" s="2459" t="s">
        <v>1406</v>
      </c>
      <c r="C84" s="2459" t="s">
        <v>1670</v>
      </c>
      <c r="D84" s="2460" t="s">
        <v>1671</v>
      </c>
      <c r="E84" s="2461" t="s">
        <v>213</v>
      </c>
      <c r="F84" s="2461" t="s">
        <v>1482</v>
      </c>
      <c r="G84" s="2461" t="s">
        <v>1409</v>
      </c>
      <c r="H84" s="2461" t="s">
        <v>1070</v>
      </c>
      <c r="I84" s="2462">
        <v>9.9977937554760637E-4</v>
      </c>
      <c r="J84" s="2462">
        <v>1.2177897842542056</v>
      </c>
    </row>
    <row r="85" spans="1:10" outlineLevel="2">
      <c r="A85" s="2459" t="s">
        <v>1669</v>
      </c>
      <c r="B85" s="2459" t="s">
        <v>1406</v>
      </c>
      <c r="C85" s="2459" t="s">
        <v>1670</v>
      </c>
      <c r="D85" s="2460" t="s">
        <v>1671</v>
      </c>
      <c r="E85" s="2461" t="s">
        <v>213</v>
      </c>
      <c r="F85" s="2461" t="s">
        <v>1483</v>
      </c>
      <c r="G85" s="2461" t="s">
        <v>1409</v>
      </c>
      <c r="H85" s="2461" t="s">
        <v>1070</v>
      </c>
      <c r="I85" s="2462">
        <v>8.3081233690966542E-4</v>
      </c>
      <c r="J85" s="2462">
        <v>0.88984139753272073</v>
      </c>
    </row>
    <row r="86" spans="1:10" outlineLevel="2">
      <c r="A86" s="2459" t="s">
        <v>1669</v>
      </c>
      <c r="B86" s="2459" t="s">
        <v>1406</v>
      </c>
      <c r="C86" s="2459" t="s">
        <v>1670</v>
      </c>
      <c r="D86" s="2460" t="s">
        <v>1671</v>
      </c>
      <c r="E86" s="2461" t="s">
        <v>213</v>
      </c>
      <c r="F86" s="2461" t="s">
        <v>1484</v>
      </c>
      <c r="G86" s="2461" t="s">
        <v>1412</v>
      </c>
      <c r="H86" s="2461" t="s">
        <v>1116</v>
      </c>
      <c r="I86" s="2462">
        <v>3.5294747414524763E-2</v>
      </c>
      <c r="J86" s="2462">
        <v>70.278176973317102</v>
      </c>
    </row>
    <row r="87" spans="1:10" outlineLevel="2">
      <c r="A87" s="2459" t="s">
        <v>1669</v>
      </c>
      <c r="B87" s="2459" t="s">
        <v>1406</v>
      </c>
      <c r="C87" s="2459" t="s">
        <v>1670</v>
      </c>
      <c r="D87" s="2460" t="s">
        <v>1671</v>
      </c>
      <c r="E87" s="2461" t="s">
        <v>213</v>
      </c>
      <c r="F87" s="2461" t="s">
        <v>1485</v>
      </c>
      <c r="G87" s="2461" t="s">
        <v>1412</v>
      </c>
      <c r="H87" s="2461" t="s">
        <v>1116</v>
      </c>
      <c r="I87" s="2462">
        <v>2.5373008695608719E-2</v>
      </c>
      <c r="J87" s="2462">
        <v>265.96781244630438</v>
      </c>
    </row>
    <row r="88" spans="1:10" outlineLevel="2">
      <c r="A88" s="2459" t="s">
        <v>1669</v>
      </c>
      <c r="B88" s="2459" t="s">
        <v>1406</v>
      </c>
      <c r="C88" s="2459" t="s">
        <v>1670</v>
      </c>
      <c r="D88" s="2460" t="s">
        <v>1671</v>
      </c>
      <c r="E88" s="2461" t="s">
        <v>213</v>
      </c>
      <c r="F88" s="2461" t="s">
        <v>1486</v>
      </c>
      <c r="G88" s="2461" t="s">
        <v>1412</v>
      </c>
      <c r="H88" s="2461" t="s">
        <v>1116</v>
      </c>
      <c r="I88" s="2462">
        <v>2.1062039953074152E-2</v>
      </c>
      <c r="J88" s="2462">
        <v>57.151692094115717</v>
      </c>
    </row>
    <row r="89" spans="1:10" outlineLevel="2">
      <c r="A89" s="2459" t="s">
        <v>1669</v>
      </c>
      <c r="B89" s="2459" t="s">
        <v>1406</v>
      </c>
      <c r="C89" s="2459" t="s">
        <v>1670</v>
      </c>
      <c r="D89" s="2460" t="s">
        <v>1671</v>
      </c>
      <c r="E89" s="2461" t="s">
        <v>213</v>
      </c>
      <c r="F89" s="2461" t="s">
        <v>1487</v>
      </c>
      <c r="G89" s="2461" t="s">
        <v>1412</v>
      </c>
      <c r="H89" s="2461" t="s">
        <v>1116</v>
      </c>
      <c r="I89" s="2462">
        <v>8.1018323555931498E-2</v>
      </c>
      <c r="J89" s="2462">
        <v>107.34651724036188</v>
      </c>
    </row>
    <row r="90" spans="1:10" outlineLevel="2">
      <c r="A90" s="2459" t="s">
        <v>1669</v>
      </c>
      <c r="B90" s="2459" t="s">
        <v>1406</v>
      </c>
      <c r="C90" s="2459" t="s">
        <v>1670</v>
      </c>
      <c r="D90" s="2460" t="s">
        <v>1671</v>
      </c>
      <c r="E90" s="2461" t="s">
        <v>213</v>
      </c>
      <c r="F90" s="2461" t="s">
        <v>1488</v>
      </c>
      <c r="G90" s="2461" t="s">
        <v>1412</v>
      </c>
      <c r="H90" s="2461" t="s">
        <v>1116</v>
      </c>
      <c r="I90" s="2462">
        <v>2.2842405068453403E-3</v>
      </c>
      <c r="J90" s="2462">
        <v>4.9255149666046432</v>
      </c>
    </row>
    <row r="91" spans="1:10" outlineLevel="2">
      <c r="A91" s="2459" t="s">
        <v>1669</v>
      </c>
      <c r="B91" s="2459" t="s">
        <v>1406</v>
      </c>
      <c r="C91" s="2459" t="s">
        <v>1670</v>
      </c>
      <c r="D91" s="2460" t="s">
        <v>1671</v>
      </c>
      <c r="E91" s="2461" t="s">
        <v>213</v>
      </c>
      <c r="F91" s="2461" t="s">
        <v>1489</v>
      </c>
      <c r="G91" s="2461" t="s">
        <v>1412</v>
      </c>
      <c r="H91" s="2461" t="s">
        <v>1116</v>
      </c>
      <c r="I91" s="2462">
        <v>1.6459243099847022E-3</v>
      </c>
      <c r="J91" s="2462">
        <v>2.4252701517371906</v>
      </c>
    </row>
    <row r="92" spans="1:10" outlineLevel="2">
      <c r="A92" s="2459" t="s">
        <v>1669</v>
      </c>
      <c r="B92" s="2459" t="s">
        <v>1406</v>
      </c>
      <c r="C92" s="2459" t="s">
        <v>1670</v>
      </c>
      <c r="D92" s="2460" t="s">
        <v>1671</v>
      </c>
      <c r="E92" s="2461" t="s">
        <v>213</v>
      </c>
      <c r="F92" s="2461" t="s">
        <v>1490</v>
      </c>
      <c r="G92" s="2461" t="s">
        <v>1412</v>
      </c>
      <c r="H92" s="2461" t="s">
        <v>1116</v>
      </c>
      <c r="I92" s="2462">
        <v>1.6641421219356447E-3</v>
      </c>
      <c r="J92" s="2462">
        <v>23.489075507944836</v>
      </c>
    </row>
    <row r="93" spans="1:10" outlineLevel="2">
      <c r="A93" s="2459" t="s">
        <v>1669</v>
      </c>
      <c r="B93" s="2459" t="s">
        <v>1406</v>
      </c>
      <c r="C93" s="2459" t="s">
        <v>1670</v>
      </c>
      <c r="D93" s="2460" t="s">
        <v>1671</v>
      </c>
      <c r="E93" s="2461" t="s">
        <v>213</v>
      </c>
      <c r="F93" s="2461" t="s">
        <v>1491</v>
      </c>
      <c r="G93" s="2461" t="s">
        <v>1439</v>
      </c>
      <c r="H93" s="2461" t="s">
        <v>1440</v>
      </c>
      <c r="I93" s="2462">
        <v>0.45007782018514952</v>
      </c>
      <c r="J93" s="2462">
        <v>478.71625696110442</v>
      </c>
    </row>
    <row r="94" spans="1:10" outlineLevel="2">
      <c r="A94" s="2459" t="s">
        <v>1669</v>
      </c>
      <c r="B94" s="2459" t="s">
        <v>1406</v>
      </c>
      <c r="C94" s="2459" t="s">
        <v>1670</v>
      </c>
      <c r="D94" s="2460" t="s">
        <v>1671</v>
      </c>
      <c r="E94" s="2461" t="s">
        <v>213</v>
      </c>
      <c r="F94" s="2461" t="s">
        <v>1492</v>
      </c>
      <c r="G94" s="2461" t="s">
        <v>1439</v>
      </c>
      <c r="H94" s="2461" t="s">
        <v>1440</v>
      </c>
      <c r="I94" s="2462">
        <v>6.2572062504604425E-2</v>
      </c>
      <c r="J94" s="2462">
        <v>84.432972126578349</v>
      </c>
    </row>
    <row r="95" spans="1:10" outlineLevel="2">
      <c r="A95" s="2459" t="s">
        <v>1669</v>
      </c>
      <c r="B95" s="2459" t="s">
        <v>1406</v>
      </c>
      <c r="C95" s="2459" t="s">
        <v>1670</v>
      </c>
      <c r="D95" s="2460" t="s">
        <v>1671</v>
      </c>
      <c r="E95" s="2461" t="s">
        <v>213</v>
      </c>
      <c r="F95" s="2461" t="s">
        <v>1493</v>
      </c>
      <c r="G95" s="2461" t="s">
        <v>1439</v>
      </c>
      <c r="H95" s="2461" t="s">
        <v>1440</v>
      </c>
      <c r="I95" s="2462">
        <v>3.874480062172473E-2</v>
      </c>
      <c r="J95" s="2462">
        <v>41.194354594588233</v>
      </c>
    </row>
    <row r="96" spans="1:10" outlineLevel="2">
      <c r="A96" s="2459" t="s">
        <v>1669</v>
      </c>
      <c r="B96" s="2459" t="s">
        <v>1406</v>
      </c>
      <c r="C96" s="2459" t="s">
        <v>1670</v>
      </c>
      <c r="D96" s="2460" t="s">
        <v>1671</v>
      </c>
      <c r="E96" s="2461" t="s">
        <v>213</v>
      </c>
      <c r="F96" s="2461" t="s">
        <v>1494</v>
      </c>
      <c r="G96" s="2461" t="s">
        <v>1439</v>
      </c>
      <c r="H96" s="2461" t="s">
        <v>1440</v>
      </c>
      <c r="I96" s="2462">
        <v>3.987540648079977E-2</v>
      </c>
      <c r="J96" s="2462">
        <v>50.082570997514907</v>
      </c>
    </row>
    <row r="97" spans="1:10" outlineLevel="2">
      <c r="A97" s="2459" t="s">
        <v>1669</v>
      </c>
      <c r="B97" s="2459" t="s">
        <v>1406</v>
      </c>
      <c r="C97" s="2459" t="s">
        <v>1670</v>
      </c>
      <c r="D97" s="2460" t="s">
        <v>1671</v>
      </c>
      <c r="E97" s="2461" t="s">
        <v>213</v>
      </c>
      <c r="F97" s="2461" t="s">
        <v>1495</v>
      </c>
      <c r="G97" s="2461" t="s">
        <v>1439</v>
      </c>
      <c r="H97" s="2461" t="s">
        <v>1440</v>
      </c>
      <c r="I97" s="2462">
        <v>2.1106466542983224E-3</v>
      </c>
      <c r="J97" s="2462">
        <v>2.6610482461728475</v>
      </c>
    </row>
    <row r="98" spans="1:10" outlineLevel="2">
      <c r="A98" s="2459" t="s">
        <v>1669</v>
      </c>
      <c r="B98" s="2459" t="s">
        <v>1406</v>
      </c>
      <c r="C98" s="2459" t="s">
        <v>1670</v>
      </c>
      <c r="D98" s="2460" t="s">
        <v>1671</v>
      </c>
      <c r="E98" s="2461" t="s">
        <v>213</v>
      </c>
      <c r="F98" s="2461" t="s">
        <v>1496</v>
      </c>
      <c r="G98" s="2461" t="s">
        <v>1439</v>
      </c>
      <c r="H98" s="2461" t="s">
        <v>1440</v>
      </c>
      <c r="I98" s="2462">
        <v>1.3891809221308457E-3</v>
      </c>
      <c r="J98" s="2462">
        <v>1.9556795755726626</v>
      </c>
    </row>
    <row r="99" spans="1:10" outlineLevel="2">
      <c r="A99" s="2459" t="s">
        <v>1669</v>
      </c>
      <c r="B99" s="2459" t="s">
        <v>1406</v>
      </c>
      <c r="C99" s="2459" t="s">
        <v>1670</v>
      </c>
      <c r="D99" s="2460" t="s">
        <v>1671</v>
      </c>
      <c r="E99" s="2461" t="s">
        <v>213</v>
      </c>
      <c r="F99" s="2461" t="s">
        <v>1497</v>
      </c>
      <c r="G99" s="2461" t="s">
        <v>1439</v>
      </c>
      <c r="H99" s="2461" t="s">
        <v>1440</v>
      </c>
      <c r="I99" s="2462">
        <v>4.0197874062290213E-3</v>
      </c>
      <c r="J99" s="2462">
        <v>5.0766801134815704</v>
      </c>
    </row>
    <row r="100" spans="1:10" outlineLevel="2">
      <c r="A100" s="2459" t="s">
        <v>1669</v>
      </c>
      <c r="B100" s="2459" t="s">
        <v>1406</v>
      </c>
      <c r="C100" s="2459" t="s">
        <v>1670</v>
      </c>
      <c r="D100" s="2460" t="s">
        <v>1671</v>
      </c>
      <c r="E100" s="2461" t="s">
        <v>213</v>
      </c>
      <c r="F100" s="2461" t="s">
        <v>1498</v>
      </c>
      <c r="G100" s="2461" t="s">
        <v>1439</v>
      </c>
      <c r="H100" s="2461" t="s">
        <v>1440</v>
      </c>
      <c r="I100" s="2462">
        <v>4.7474137882769663E-2</v>
      </c>
      <c r="J100" s="2462">
        <v>80.250565503113123</v>
      </c>
    </row>
    <row r="101" spans="1:10" outlineLevel="2">
      <c r="A101" s="2459" t="s">
        <v>1669</v>
      </c>
      <c r="B101" s="2459" t="s">
        <v>1406</v>
      </c>
      <c r="C101" s="2459" t="s">
        <v>1670</v>
      </c>
      <c r="D101" s="2460" t="s">
        <v>1671</v>
      </c>
      <c r="E101" s="2461" t="s">
        <v>213</v>
      </c>
      <c r="F101" s="2461" t="s">
        <v>1499</v>
      </c>
      <c r="G101" s="2461" t="s">
        <v>1439</v>
      </c>
      <c r="H101" s="2461" t="s">
        <v>1440</v>
      </c>
      <c r="I101" s="2462">
        <v>0.10291811403515595</v>
      </c>
      <c r="J101" s="2462">
        <v>54.178662038774917</v>
      </c>
    </row>
    <row r="102" spans="1:10" outlineLevel="2">
      <c r="A102" s="2459" t="s">
        <v>1669</v>
      </c>
      <c r="B102" s="2459" t="s">
        <v>1406</v>
      </c>
      <c r="C102" s="2459" t="s">
        <v>1670</v>
      </c>
      <c r="D102" s="2460" t="s">
        <v>1671</v>
      </c>
      <c r="E102" s="2461" t="s">
        <v>213</v>
      </c>
      <c r="F102" s="2461" t="s">
        <v>1500</v>
      </c>
      <c r="G102" s="2461" t="s">
        <v>1439</v>
      </c>
      <c r="H102" s="2461" t="s">
        <v>1440</v>
      </c>
      <c r="I102" s="2462">
        <v>6.0317394014878643E-2</v>
      </c>
      <c r="J102" s="2462">
        <v>31.748860378849166</v>
      </c>
    </row>
    <row r="103" spans="1:10" outlineLevel="2">
      <c r="A103" s="2459" t="s">
        <v>1669</v>
      </c>
      <c r="B103" s="2459" t="s">
        <v>1406</v>
      </c>
      <c r="C103" s="2459" t="s">
        <v>1670</v>
      </c>
      <c r="D103" s="2460" t="s">
        <v>1671</v>
      </c>
      <c r="E103" s="2461" t="s">
        <v>213</v>
      </c>
      <c r="F103" s="2461" t="s">
        <v>1501</v>
      </c>
      <c r="G103" s="2461" t="s">
        <v>1439</v>
      </c>
      <c r="H103" s="2461" t="s">
        <v>1440</v>
      </c>
      <c r="I103" s="2462">
        <v>6.706208182583881E-2</v>
      </c>
      <c r="J103" s="2462">
        <v>97.228762125726263</v>
      </c>
    </row>
    <row r="104" spans="1:10" outlineLevel="2">
      <c r="A104" s="2459" t="s">
        <v>1669</v>
      </c>
      <c r="B104" s="2459" t="s">
        <v>1406</v>
      </c>
      <c r="C104" s="2459" t="s">
        <v>1670</v>
      </c>
      <c r="D104" s="2460" t="s">
        <v>1671</v>
      </c>
      <c r="E104" s="2461" t="s">
        <v>213</v>
      </c>
      <c r="F104" s="2461" t="s">
        <v>1502</v>
      </c>
      <c r="G104" s="2461" t="s">
        <v>1439</v>
      </c>
      <c r="H104" s="2461" t="s">
        <v>1440</v>
      </c>
      <c r="I104" s="2462">
        <v>7.1457468465889783E-3</v>
      </c>
      <c r="J104" s="2462">
        <v>10.727174296001406</v>
      </c>
    </row>
    <row r="105" spans="1:10" outlineLevel="2">
      <c r="A105" s="2459" t="s">
        <v>1669</v>
      </c>
      <c r="B105" s="2459" t="s">
        <v>1406</v>
      </c>
      <c r="C105" s="2459" t="s">
        <v>1670</v>
      </c>
      <c r="D105" s="2460" t="s">
        <v>1671</v>
      </c>
      <c r="E105" s="2461" t="s">
        <v>213</v>
      </c>
      <c r="F105" s="2461" t="s">
        <v>1503</v>
      </c>
      <c r="G105" s="2461" t="s">
        <v>1439</v>
      </c>
      <c r="H105" s="2461" t="s">
        <v>1440</v>
      </c>
      <c r="I105" s="2462">
        <v>9.4275683398461312E-3</v>
      </c>
      <c r="J105" s="2462">
        <v>12.142104701962053</v>
      </c>
    </row>
    <row r="106" spans="1:10" outlineLevel="2">
      <c r="A106" s="2459" t="s">
        <v>1669</v>
      </c>
      <c r="B106" s="2459" t="s">
        <v>1406</v>
      </c>
      <c r="C106" s="2459" t="s">
        <v>1670</v>
      </c>
      <c r="D106" s="2460" t="s">
        <v>1671</v>
      </c>
      <c r="E106" s="2461" t="s">
        <v>213</v>
      </c>
      <c r="F106" s="2461" t="s">
        <v>1504</v>
      </c>
      <c r="G106" s="2461" t="s">
        <v>1439</v>
      </c>
      <c r="H106" s="2461" t="s">
        <v>1440</v>
      </c>
      <c r="I106" s="2462">
        <v>4.810619120813593E-3</v>
      </c>
      <c r="J106" s="2462">
        <v>5.764997254741127</v>
      </c>
    </row>
    <row r="107" spans="1:10" outlineLevel="2">
      <c r="A107" s="2459" t="s">
        <v>1669</v>
      </c>
      <c r="B107" s="2459" t="s">
        <v>1406</v>
      </c>
      <c r="C107" s="2459" t="s">
        <v>1670</v>
      </c>
      <c r="D107" s="2460" t="s">
        <v>1671</v>
      </c>
      <c r="E107" s="2461" t="s">
        <v>213</v>
      </c>
      <c r="F107" s="2461" t="s">
        <v>1505</v>
      </c>
      <c r="G107" s="2461" t="s">
        <v>1439</v>
      </c>
      <c r="H107" s="2461" t="s">
        <v>1440</v>
      </c>
      <c r="I107" s="2462">
        <v>0.89687104135891971</v>
      </c>
      <c r="J107" s="2462">
        <v>1303.2727435024426</v>
      </c>
    </row>
    <row r="108" spans="1:10" outlineLevel="2">
      <c r="A108" s="2459" t="s">
        <v>1669</v>
      </c>
      <c r="B108" s="2459" t="s">
        <v>1406</v>
      </c>
      <c r="C108" s="2459" t="s">
        <v>1670</v>
      </c>
      <c r="D108" s="2460" t="s">
        <v>1671</v>
      </c>
      <c r="E108" s="2461" t="s">
        <v>213</v>
      </c>
      <c r="F108" s="2461" t="s">
        <v>1506</v>
      </c>
      <c r="G108" s="2461" t="s">
        <v>1439</v>
      </c>
      <c r="H108" s="2461" t="s">
        <v>1440</v>
      </c>
      <c r="I108" s="2462">
        <v>9.7089119184889716E-2</v>
      </c>
      <c r="J108" s="2462">
        <v>145.78270879528998</v>
      </c>
    </row>
    <row r="109" spans="1:10" outlineLevel="2">
      <c r="A109" s="2459" t="s">
        <v>1669</v>
      </c>
      <c r="B109" s="2459" t="s">
        <v>1406</v>
      </c>
      <c r="C109" s="2459" t="s">
        <v>1670</v>
      </c>
      <c r="D109" s="2460" t="s">
        <v>1671</v>
      </c>
      <c r="E109" s="2461" t="s">
        <v>213</v>
      </c>
      <c r="F109" s="2461" t="s">
        <v>1507</v>
      </c>
      <c r="G109" s="2461" t="s">
        <v>1439</v>
      </c>
      <c r="H109" s="2461" t="s">
        <v>1440</v>
      </c>
      <c r="I109" s="2462">
        <v>1.0863934975124943E-2</v>
      </c>
      <c r="J109" s="2462">
        <v>24.341913074277119</v>
      </c>
    </row>
    <row r="110" spans="1:10" outlineLevel="2">
      <c r="A110" s="2459" t="s">
        <v>1669</v>
      </c>
      <c r="B110" s="2459" t="s">
        <v>1406</v>
      </c>
      <c r="C110" s="2459" t="s">
        <v>1670</v>
      </c>
      <c r="D110" s="2460" t="s">
        <v>1671</v>
      </c>
      <c r="E110" s="2461" t="s">
        <v>213</v>
      </c>
      <c r="F110" s="2461" t="s">
        <v>1508</v>
      </c>
      <c r="G110" s="2461" t="s">
        <v>1439</v>
      </c>
      <c r="H110" s="2461" t="s">
        <v>1440</v>
      </c>
      <c r="I110" s="2462">
        <v>0.29903922339144262</v>
      </c>
      <c r="J110" s="2462">
        <v>470.59600035875781</v>
      </c>
    </row>
    <row r="111" spans="1:10" outlineLevel="2">
      <c r="A111" s="2459" t="s">
        <v>1669</v>
      </c>
      <c r="B111" s="2459" t="s">
        <v>1406</v>
      </c>
      <c r="C111" s="2459" t="s">
        <v>1670</v>
      </c>
      <c r="D111" s="2460" t="s">
        <v>1671</v>
      </c>
      <c r="E111" s="2461" t="s">
        <v>213</v>
      </c>
      <c r="F111" s="2461" t="s">
        <v>1509</v>
      </c>
      <c r="G111" s="2461" t="s">
        <v>1439</v>
      </c>
      <c r="H111" s="2461" t="s">
        <v>1440</v>
      </c>
      <c r="I111" s="2462">
        <v>4.0830615468258995E-2</v>
      </c>
      <c r="J111" s="2462">
        <v>46.326676694300687</v>
      </c>
    </row>
    <row r="112" spans="1:10" outlineLevel="2">
      <c r="A112" s="2459" t="s">
        <v>1669</v>
      </c>
      <c r="B112" s="2459" t="s">
        <v>1406</v>
      </c>
      <c r="C112" s="2459" t="s">
        <v>1670</v>
      </c>
      <c r="D112" s="2460" t="s">
        <v>1671</v>
      </c>
      <c r="E112" s="2461" t="s">
        <v>213</v>
      </c>
      <c r="F112" s="2461" t="s">
        <v>1510</v>
      </c>
      <c r="G112" s="2461" t="s">
        <v>1439</v>
      </c>
      <c r="H112" s="2461" t="s">
        <v>1440</v>
      </c>
      <c r="I112" s="2462">
        <v>1.2548862842882379E-2</v>
      </c>
      <c r="J112" s="2462">
        <v>14.460629826754239</v>
      </c>
    </row>
    <row r="113" spans="1:10" outlineLevel="2">
      <c r="A113" s="2459" t="s">
        <v>1669</v>
      </c>
      <c r="B113" s="2459" t="s">
        <v>1406</v>
      </c>
      <c r="C113" s="2459" t="s">
        <v>1670</v>
      </c>
      <c r="D113" s="2460" t="s">
        <v>1671</v>
      </c>
      <c r="E113" s="2461" t="s">
        <v>213</v>
      </c>
      <c r="F113" s="2461" t="s">
        <v>1511</v>
      </c>
      <c r="G113" s="2461" t="s">
        <v>1418</v>
      </c>
      <c r="H113" s="2461" t="s">
        <v>1452</v>
      </c>
      <c r="I113" s="2462">
        <v>1.1995709896590943E-4</v>
      </c>
      <c r="J113" s="2462">
        <v>0.175919070338075</v>
      </c>
    </row>
    <row r="114" spans="1:10" outlineLevel="2">
      <c r="A114" s="2459" t="s">
        <v>1669</v>
      </c>
      <c r="B114" s="2459" t="s">
        <v>1406</v>
      </c>
      <c r="C114" s="2459" t="s">
        <v>1670</v>
      </c>
      <c r="D114" s="2460" t="s">
        <v>1671</v>
      </c>
      <c r="E114" s="2461" t="s">
        <v>213</v>
      </c>
      <c r="F114" s="2461" t="s">
        <v>1512</v>
      </c>
      <c r="G114" s="2461" t="s">
        <v>1418</v>
      </c>
      <c r="H114" s="2461" t="s">
        <v>1452</v>
      </c>
      <c r="I114" s="2462">
        <v>1.5695419804557362E-4</v>
      </c>
      <c r="J114" s="2462">
        <v>0.68074354385637847</v>
      </c>
    </row>
    <row r="115" spans="1:10" outlineLevel="2">
      <c r="A115" s="2459" t="s">
        <v>1669</v>
      </c>
      <c r="B115" s="2459" t="s">
        <v>1406</v>
      </c>
      <c r="C115" s="2459" t="s">
        <v>1670</v>
      </c>
      <c r="D115" s="2460" t="s">
        <v>1671</v>
      </c>
      <c r="E115" s="2461" t="s">
        <v>213</v>
      </c>
      <c r="F115" s="2461" t="s">
        <v>1513</v>
      </c>
      <c r="G115" s="2461" t="s">
        <v>1418</v>
      </c>
      <c r="H115" s="2461" t="s">
        <v>1452</v>
      </c>
      <c r="I115" s="2462">
        <v>5.8455266982516826E-6</v>
      </c>
      <c r="J115" s="2462">
        <v>5.4607450295614578E-3</v>
      </c>
    </row>
    <row r="116" spans="1:10" outlineLevel="2">
      <c r="A116" s="2459" t="s">
        <v>1669</v>
      </c>
      <c r="B116" s="2459" t="s">
        <v>1406</v>
      </c>
      <c r="C116" s="2459" t="s">
        <v>1670</v>
      </c>
      <c r="D116" s="2460" t="s">
        <v>1671</v>
      </c>
      <c r="E116" s="2461" t="s">
        <v>213</v>
      </c>
      <c r="F116" s="2461" t="s">
        <v>1514</v>
      </c>
      <c r="G116" s="2461" t="s">
        <v>1418</v>
      </c>
      <c r="H116" s="2461" t="s">
        <v>1452</v>
      </c>
      <c r="I116" s="2462">
        <v>5.2433421291639708E-4</v>
      </c>
      <c r="J116" s="2462">
        <v>0.48884425792538155</v>
      </c>
    </row>
    <row r="117" spans="1:10" outlineLevel="2">
      <c r="A117" s="2459" t="s">
        <v>1669</v>
      </c>
      <c r="B117" s="2459" t="s">
        <v>1406</v>
      </c>
      <c r="C117" s="2459" t="s">
        <v>1670</v>
      </c>
      <c r="D117" s="2460" t="s">
        <v>1671</v>
      </c>
      <c r="E117" s="2461" t="s">
        <v>213</v>
      </c>
      <c r="F117" s="2461" t="s">
        <v>1515</v>
      </c>
      <c r="G117" s="2461" t="s">
        <v>1418</v>
      </c>
      <c r="H117" s="2461" t="s">
        <v>1452</v>
      </c>
      <c r="I117" s="2462">
        <v>1.0092454342281346E-4</v>
      </c>
      <c r="J117" s="2462">
        <v>0.14463217802295461</v>
      </c>
    </row>
    <row r="118" spans="1:10" outlineLevel="2">
      <c r="A118" s="2459" t="s">
        <v>1669</v>
      </c>
      <c r="B118" s="2459" t="s">
        <v>1406</v>
      </c>
      <c r="C118" s="2459" t="s">
        <v>1670</v>
      </c>
      <c r="D118" s="2460" t="s">
        <v>1671</v>
      </c>
      <c r="E118" s="2461" t="s">
        <v>213</v>
      </c>
      <c r="F118" s="2461" t="s">
        <v>1516</v>
      </c>
      <c r="G118" s="2461" t="s">
        <v>1418</v>
      </c>
      <c r="H118" s="2461" t="s">
        <v>1452</v>
      </c>
      <c r="I118" s="2462">
        <v>1.4413969430370579E-3</v>
      </c>
      <c r="J118" s="2462">
        <v>1.6025171466935837</v>
      </c>
    </row>
    <row r="119" spans="1:10" outlineLevel="2">
      <c r="A119" s="2459" t="s">
        <v>1669</v>
      </c>
      <c r="B119" s="2459" t="s">
        <v>1406</v>
      </c>
      <c r="C119" s="2459" t="s">
        <v>1670</v>
      </c>
      <c r="D119" s="2460" t="s">
        <v>1671</v>
      </c>
      <c r="E119" s="2461" t="s">
        <v>213</v>
      </c>
      <c r="F119" s="2461" t="s">
        <v>1517</v>
      </c>
      <c r="G119" s="2461" t="s">
        <v>1418</v>
      </c>
      <c r="H119" s="2461" t="s">
        <v>1452</v>
      </c>
      <c r="I119" s="2462">
        <v>7.3753502943282824E-3</v>
      </c>
      <c r="J119" s="2462">
        <v>3.5926780782149836</v>
      </c>
    </row>
    <row r="120" spans="1:10" outlineLevel="2">
      <c r="A120" s="2459" t="s">
        <v>1669</v>
      </c>
      <c r="B120" s="2459" t="s">
        <v>1406</v>
      </c>
      <c r="C120" s="2459" t="s">
        <v>1670</v>
      </c>
      <c r="D120" s="2460" t="s">
        <v>1671</v>
      </c>
      <c r="E120" s="2461" t="s">
        <v>213</v>
      </c>
      <c r="F120" s="2461" t="s">
        <v>1518</v>
      </c>
      <c r="G120" s="2461" t="s">
        <v>1418</v>
      </c>
      <c r="H120" s="2461" t="s">
        <v>1452</v>
      </c>
      <c r="I120" s="2462">
        <v>8.3038406404204075E-4</v>
      </c>
      <c r="J120" s="2462">
        <v>0.7741791015313072</v>
      </c>
    </row>
    <row r="121" spans="1:10" outlineLevel="2">
      <c r="A121" s="2459" t="s">
        <v>1669</v>
      </c>
      <c r="B121" s="2459" t="s">
        <v>1406</v>
      </c>
      <c r="C121" s="2459" t="s">
        <v>1670</v>
      </c>
      <c r="D121" s="2460" t="s">
        <v>1671</v>
      </c>
      <c r="E121" s="2461" t="s">
        <v>213</v>
      </c>
      <c r="F121" s="2461" t="s">
        <v>1519</v>
      </c>
      <c r="G121" s="2461" t="s">
        <v>1418</v>
      </c>
      <c r="H121" s="2461" t="s">
        <v>1452</v>
      </c>
      <c r="I121" s="2462">
        <v>1.0904495596106506E-3</v>
      </c>
      <c r="J121" s="2462">
        <v>1.1047814849185316</v>
      </c>
    </row>
    <row r="122" spans="1:10" outlineLevel="2">
      <c r="A122" s="2459" t="s">
        <v>1669</v>
      </c>
      <c r="B122" s="2459" t="s">
        <v>1406</v>
      </c>
      <c r="C122" s="2459" t="s">
        <v>1670</v>
      </c>
      <c r="D122" s="2460" t="s">
        <v>1671</v>
      </c>
      <c r="E122" s="2461" t="s">
        <v>213</v>
      </c>
      <c r="F122" s="2461" t="s">
        <v>1520</v>
      </c>
      <c r="G122" s="2461" t="s">
        <v>1418</v>
      </c>
      <c r="H122" s="2461" t="s">
        <v>1452</v>
      </c>
      <c r="I122" s="2462">
        <v>1.3080312933439525E-4</v>
      </c>
      <c r="J122" s="2462">
        <v>1.1806865480964122</v>
      </c>
    </row>
    <row r="123" spans="1:10" outlineLevel="2">
      <c r="A123" s="2459" t="s">
        <v>1669</v>
      </c>
      <c r="B123" s="2459" t="s">
        <v>1406</v>
      </c>
      <c r="C123" s="2459" t="s">
        <v>1670</v>
      </c>
      <c r="D123" s="2460" t="s">
        <v>1671</v>
      </c>
      <c r="E123" s="2461" t="s">
        <v>213</v>
      </c>
      <c r="F123" s="2461" t="s">
        <v>1521</v>
      </c>
      <c r="G123" s="2461" t="s">
        <v>1421</v>
      </c>
      <c r="H123" s="2461" t="s">
        <v>1454</v>
      </c>
      <c r="I123" s="2462">
        <v>0.42498366928427439</v>
      </c>
      <c r="J123" s="2462">
        <v>584.64967247582035</v>
      </c>
    </row>
    <row r="124" spans="1:10" outlineLevel="2">
      <c r="A124" s="2459" t="s">
        <v>1669</v>
      </c>
      <c r="B124" s="2459" t="s">
        <v>1406</v>
      </c>
      <c r="C124" s="2459" t="s">
        <v>1670</v>
      </c>
      <c r="D124" s="2460" t="s">
        <v>1671</v>
      </c>
      <c r="E124" s="2461" t="s">
        <v>213</v>
      </c>
      <c r="F124" s="2461" t="s">
        <v>1522</v>
      </c>
      <c r="G124" s="2461" t="s">
        <v>1421</v>
      </c>
      <c r="H124" s="2461" t="s">
        <v>1454</v>
      </c>
      <c r="I124" s="2462">
        <v>9.9814291178577513E-2</v>
      </c>
      <c r="J124" s="2462">
        <v>146.27416435620921</v>
      </c>
    </row>
    <row r="125" spans="1:10" outlineLevel="2">
      <c r="A125" s="2459" t="s">
        <v>1669</v>
      </c>
      <c r="B125" s="2459" t="s">
        <v>1406</v>
      </c>
      <c r="C125" s="2459" t="s">
        <v>1670</v>
      </c>
      <c r="D125" s="2460" t="s">
        <v>1671</v>
      </c>
      <c r="E125" s="2461" t="s">
        <v>213</v>
      </c>
      <c r="F125" s="2461" t="s">
        <v>1523</v>
      </c>
      <c r="G125" s="2461" t="s">
        <v>1421</v>
      </c>
      <c r="H125" s="2461" t="s">
        <v>1454</v>
      </c>
      <c r="I125" s="2462">
        <v>4.6047768634991354E-2</v>
      </c>
      <c r="J125" s="2462">
        <v>77.344928856324756</v>
      </c>
    </row>
    <row r="126" spans="1:10" outlineLevel="2">
      <c r="A126" s="2459" t="s">
        <v>1669</v>
      </c>
      <c r="B126" s="2459" t="s">
        <v>1406</v>
      </c>
      <c r="C126" s="2459" t="s">
        <v>1670</v>
      </c>
      <c r="D126" s="2460" t="s">
        <v>1671</v>
      </c>
      <c r="E126" s="2461" t="s">
        <v>213</v>
      </c>
      <c r="F126" s="2461" t="s">
        <v>1524</v>
      </c>
      <c r="G126" s="2461" t="s">
        <v>1421</v>
      </c>
      <c r="H126" s="2461" t="s">
        <v>1454</v>
      </c>
      <c r="I126" s="2462">
        <v>0.1061067733269417</v>
      </c>
      <c r="J126" s="2462">
        <v>166.27061977267959</v>
      </c>
    </row>
    <row r="127" spans="1:10" outlineLevel="2">
      <c r="A127" s="2459" t="s">
        <v>1669</v>
      </c>
      <c r="B127" s="2459" t="s">
        <v>1406</v>
      </c>
      <c r="C127" s="2459" t="s">
        <v>1670</v>
      </c>
      <c r="D127" s="2460" t="s">
        <v>1671</v>
      </c>
      <c r="E127" s="2461" t="s">
        <v>213</v>
      </c>
      <c r="F127" s="2461" t="s">
        <v>1525</v>
      </c>
      <c r="G127" s="2461" t="s">
        <v>1421</v>
      </c>
      <c r="H127" s="2461" t="s">
        <v>1454</v>
      </c>
      <c r="I127" s="2462">
        <v>0.18692937441739491</v>
      </c>
      <c r="J127" s="2462">
        <v>262.7033256913885</v>
      </c>
    </row>
    <row r="128" spans="1:10" outlineLevel="2">
      <c r="A128" s="2459" t="s">
        <v>1669</v>
      </c>
      <c r="B128" s="2459" t="s">
        <v>1406</v>
      </c>
      <c r="C128" s="2459" t="s">
        <v>1670</v>
      </c>
      <c r="D128" s="2460" t="s">
        <v>1671</v>
      </c>
      <c r="E128" s="2461" t="s">
        <v>213</v>
      </c>
      <c r="F128" s="2461" t="s">
        <v>1526</v>
      </c>
      <c r="G128" s="2461" t="s">
        <v>1421</v>
      </c>
      <c r="H128" s="2461" t="s">
        <v>1454</v>
      </c>
      <c r="I128" s="2462">
        <v>8.6599211029191048E-3</v>
      </c>
      <c r="J128" s="2462">
        <v>12.325603976170248</v>
      </c>
    </row>
    <row r="129" spans="1:10" outlineLevel="2">
      <c r="A129" s="2459" t="s">
        <v>1669</v>
      </c>
      <c r="B129" s="2459" t="s">
        <v>1406</v>
      </c>
      <c r="C129" s="2459" t="s">
        <v>1670</v>
      </c>
      <c r="D129" s="2460" t="s">
        <v>1671</v>
      </c>
      <c r="E129" s="2461" t="s">
        <v>213</v>
      </c>
      <c r="F129" s="2461" t="s">
        <v>1527</v>
      </c>
      <c r="G129" s="2461" t="s">
        <v>1459</v>
      </c>
      <c r="H129" s="2461" t="s">
        <v>1460</v>
      </c>
      <c r="I129" s="2462">
        <v>2.3921798954014577E-2</v>
      </c>
      <c r="J129" s="2462">
        <v>24.772577406507395</v>
      </c>
    </row>
    <row r="130" spans="1:10" outlineLevel="2">
      <c r="A130" s="2459" t="s">
        <v>1669</v>
      </c>
      <c r="B130" s="2459" t="s">
        <v>1406</v>
      </c>
      <c r="C130" s="2459" t="s">
        <v>1670</v>
      </c>
      <c r="D130" s="2460" t="s">
        <v>1671</v>
      </c>
      <c r="E130" s="2461" t="s">
        <v>213</v>
      </c>
      <c r="F130" s="2461" t="s">
        <v>1528</v>
      </c>
      <c r="G130" s="2461" t="s">
        <v>1459</v>
      </c>
      <c r="H130" s="2461" t="s">
        <v>1460</v>
      </c>
      <c r="I130" s="2462">
        <v>2.0823592767448286E-4</v>
      </c>
      <c r="J130" s="2462">
        <v>0.26401736843853785</v>
      </c>
    </row>
    <row r="131" spans="1:10" outlineLevel="2">
      <c r="A131" s="2459" t="s">
        <v>1669</v>
      </c>
      <c r="B131" s="2459" t="s">
        <v>1406</v>
      </c>
      <c r="C131" s="2459" t="s">
        <v>1670</v>
      </c>
      <c r="D131" s="2460" t="s">
        <v>1671</v>
      </c>
      <c r="E131" s="2461" t="s">
        <v>213</v>
      </c>
      <c r="F131" s="2461" t="s">
        <v>1529</v>
      </c>
      <c r="G131" s="2461" t="s">
        <v>1530</v>
      </c>
      <c r="H131" s="2461" t="s">
        <v>1531</v>
      </c>
      <c r="I131" s="2462">
        <v>0.60513724061719121</v>
      </c>
      <c r="J131" s="2462">
        <v>514.86200929603353</v>
      </c>
    </row>
    <row r="132" spans="1:10" outlineLevel="2">
      <c r="A132" s="2459" t="s">
        <v>1669</v>
      </c>
      <c r="B132" s="2459" t="s">
        <v>1406</v>
      </c>
      <c r="C132" s="2459" t="s">
        <v>1670</v>
      </c>
      <c r="D132" s="2460" t="s">
        <v>1671</v>
      </c>
      <c r="E132" s="2461" t="s">
        <v>213</v>
      </c>
      <c r="F132" s="2461" t="s">
        <v>1532</v>
      </c>
      <c r="G132" s="2461" t="s">
        <v>1530</v>
      </c>
      <c r="H132" s="2461" t="s">
        <v>1531</v>
      </c>
      <c r="I132" s="2462">
        <v>0.25470996867543305</v>
      </c>
      <c r="J132" s="2462">
        <v>217.29565777977876</v>
      </c>
    </row>
    <row r="133" spans="1:10" outlineLevel="2">
      <c r="A133" s="2459" t="s">
        <v>1669</v>
      </c>
      <c r="B133" s="2459" t="s">
        <v>1406</v>
      </c>
      <c r="C133" s="2459" t="s">
        <v>1670</v>
      </c>
      <c r="D133" s="2460" t="s">
        <v>1671</v>
      </c>
      <c r="E133" s="2461" t="s">
        <v>213</v>
      </c>
      <c r="F133" s="2461" t="s">
        <v>1533</v>
      </c>
      <c r="G133" s="2461" t="s">
        <v>1534</v>
      </c>
      <c r="H133" s="2461" t="s">
        <v>1531</v>
      </c>
      <c r="I133" s="2462">
        <v>9.5796913815024184E-2</v>
      </c>
      <c r="J133" s="2462">
        <v>160.51235405685455</v>
      </c>
    </row>
    <row r="134" spans="1:10" outlineLevel="2">
      <c r="A134" s="2459" t="s">
        <v>1669</v>
      </c>
      <c r="B134" s="2459" t="s">
        <v>1406</v>
      </c>
      <c r="C134" s="2459" t="s">
        <v>1670</v>
      </c>
      <c r="D134" s="2460" t="s">
        <v>1671</v>
      </c>
      <c r="E134" s="2461" t="s">
        <v>213</v>
      </c>
      <c r="F134" s="2461" t="s">
        <v>1535</v>
      </c>
      <c r="G134" s="2461" t="s">
        <v>1536</v>
      </c>
      <c r="H134" s="2461" t="s">
        <v>1537</v>
      </c>
      <c r="I134" s="2462">
        <v>4.0745566258371252E-3</v>
      </c>
      <c r="J134" s="2462">
        <v>6.0267854568247303</v>
      </c>
    </row>
    <row r="135" spans="1:10" outlineLevel="2">
      <c r="A135" s="2459" t="s">
        <v>1669</v>
      </c>
      <c r="B135" s="2459" t="s">
        <v>1406</v>
      </c>
      <c r="C135" s="2459" t="s">
        <v>1670</v>
      </c>
      <c r="D135" s="2460" t="s">
        <v>1671</v>
      </c>
      <c r="E135" s="2461" t="s">
        <v>1538</v>
      </c>
      <c r="F135" s="2461" t="s">
        <v>1539</v>
      </c>
      <c r="G135" s="2461" t="s">
        <v>1426</v>
      </c>
      <c r="H135" s="2461" t="s">
        <v>1540</v>
      </c>
      <c r="I135" s="2462">
        <v>3.8453088531034026E-3</v>
      </c>
      <c r="J135" s="2462">
        <v>7.3639532715053102</v>
      </c>
    </row>
    <row r="136" spans="1:10" outlineLevel="2">
      <c r="A136" s="2459" t="s">
        <v>1669</v>
      </c>
      <c r="B136" s="2459" t="s">
        <v>1406</v>
      </c>
      <c r="C136" s="2459" t="s">
        <v>1670</v>
      </c>
      <c r="D136" s="2460" t="s">
        <v>1671</v>
      </c>
      <c r="E136" s="2461" t="s">
        <v>1538</v>
      </c>
      <c r="F136" s="2461" t="s">
        <v>1541</v>
      </c>
      <c r="G136" s="2461" t="s">
        <v>1409</v>
      </c>
      <c r="H136" s="2461" t="s">
        <v>1540</v>
      </c>
      <c r="I136" s="2462">
        <v>7.8967646483110281E-5</v>
      </c>
      <c r="J136" s="2462">
        <v>0.36759406543816375</v>
      </c>
    </row>
    <row r="137" spans="1:10" outlineLevel="2">
      <c r="A137" s="2459" t="s">
        <v>1669</v>
      </c>
      <c r="B137" s="2459" t="s">
        <v>1406</v>
      </c>
      <c r="C137" s="2459" t="s">
        <v>1670</v>
      </c>
      <c r="D137" s="2460" t="s">
        <v>1671</v>
      </c>
      <c r="E137" s="2461" t="s">
        <v>1538</v>
      </c>
      <c r="F137" s="2461" t="s">
        <v>1542</v>
      </c>
      <c r="G137" s="2461" t="s">
        <v>1409</v>
      </c>
      <c r="H137" s="2461" t="s">
        <v>1540</v>
      </c>
      <c r="I137" s="2462">
        <v>4.2352884890756648E-5</v>
      </c>
      <c r="J137" s="2462">
        <v>0.61474625437551389</v>
      </c>
    </row>
    <row r="138" spans="1:10" outlineLevel="2">
      <c r="A138" s="2459" t="s">
        <v>1669</v>
      </c>
      <c r="B138" s="2459" t="s">
        <v>1406</v>
      </c>
      <c r="C138" s="2459" t="s">
        <v>1670</v>
      </c>
      <c r="D138" s="2460" t="s">
        <v>1671</v>
      </c>
      <c r="E138" s="2461" t="s">
        <v>1538</v>
      </c>
      <c r="F138" s="2461" t="s">
        <v>1543</v>
      </c>
      <c r="G138" s="2461" t="s">
        <v>1409</v>
      </c>
      <c r="H138" s="2461" t="s">
        <v>1540</v>
      </c>
      <c r="I138" s="2462">
        <v>6.27947710731339E-5</v>
      </c>
      <c r="J138" s="2462">
        <v>0.10856361010677312</v>
      </c>
    </row>
    <row r="139" spans="1:10" outlineLevel="2">
      <c r="A139" s="2459" t="s">
        <v>1669</v>
      </c>
      <c r="B139" s="2459" t="s">
        <v>1406</v>
      </c>
      <c r="C139" s="2459" t="s">
        <v>1670</v>
      </c>
      <c r="D139" s="2460" t="s">
        <v>1671</v>
      </c>
      <c r="E139" s="2461" t="s">
        <v>1538</v>
      </c>
      <c r="F139" s="2461" t="s">
        <v>1544</v>
      </c>
      <c r="G139" s="2461" t="s">
        <v>1409</v>
      </c>
      <c r="H139" s="2461" t="s">
        <v>1540</v>
      </c>
      <c r="I139" s="2462">
        <v>1.1496411368862798E-5</v>
      </c>
      <c r="J139" s="2462">
        <v>6.2939264043538598E-2</v>
      </c>
    </row>
    <row r="140" spans="1:10" outlineLevel="2">
      <c r="A140" s="2459" t="s">
        <v>1669</v>
      </c>
      <c r="B140" s="2459" t="s">
        <v>1406</v>
      </c>
      <c r="C140" s="2459" t="s">
        <v>1670</v>
      </c>
      <c r="D140" s="2460" t="s">
        <v>1671</v>
      </c>
      <c r="E140" s="2461" t="s">
        <v>1538</v>
      </c>
      <c r="F140" s="2461" t="s">
        <v>1545</v>
      </c>
      <c r="G140" s="2461" t="s">
        <v>1409</v>
      </c>
      <c r="H140" s="2461" t="s">
        <v>1540</v>
      </c>
      <c r="I140" s="2462">
        <v>2.5445539293931699E-4</v>
      </c>
      <c r="J140" s="2462">
        <v>1.1368267490837358</v>
      </c>
    </row>
    <row r="141" spans="1:10" outlineLevel="2">
      <c r="A141" s="2459" t="s">
        <v>1669</v>
      </c>
      <c r="B141" s="2459" t="s">
        <v>1406</v>
      </c>
      <c r="C141" s="2459" t="s">
        <v>1670</v>
      </c>
      <c r="D141" s="2460" t="s">
        <v>1671</v>
      </c>
      <c r="E141" s="2461" t="s">
        <v>1538</v>
      </c>
      <c r="F141" s="2461" t="s">
        <v>1546</v>
      </c>
      <c r="G141" s="2461" t="s">
        <v>1409</v>
      </c>
      <c r="H141" s="2461" t="s">
        <v>1540</v>
      </c>
      <c r="I141" s="2462">
        <v>4.8672754690595222E-4</v>
      </c>
      <c r="J141" s="2462">
        <v>0.5710039259316948</v>
      </c>
    </row>
    <row r="142" spans="1:10" outlineLevel="2">
      <c r="A142" s="2459" t="s">
        <v>1669</v>
      </c>
      <c r="B142" s="2459" t="s">
        <v>1406</v>
      </c>
      <c r="C142" s="2459" t="s">
        <v>1670</v>
      </c>
      <c r="D142" s="2460" t="s">
        <v>1671</v>
      </c>
      <c r="E142" s="2461" t="s">
        <v>1538</v>
      </c>
      <c r="F142" s="2461" t="s">
        <v>1547</v>
      </c>
      <c r="G142" s="2461" t="s">
        <v>1409</v>
      </c>
      <c r="H142" s="2461" t="s">
        <v>1540</v>
      </c>
      <c r="I142" s="2462">
        <v>5.2865004606573304E-5</v>
      </c>
      <c r="J142" s="2462">
        <v>1.0517740829611431</v>
      </c>
    </row>
    <row r="143" spans="1:10" outlineLevel="2">
      <c r="A143" s="2459" t="s">
        <v>1669</v>
      </c>
      <c r="B143" s="2459" t="s">
        <v>1406</v>
      </c>
      <c r="C143" s="2459" t="s">
        <v>1670</v>
      </c>
      <c r="D143" s="2460" t="s">
        <v>1671</v>
      </c>
      <c r="E143" s="2461" t="s">
        <v>1538</v>
      </c>
      <c r="F143" s="2461" t="s">
        <v>1548</v>
      </c>
      <c r="G143" s="2461" t="s">
        <v>1409</v>
      </c>
      <c r="H143" s="2461" t="s">
        <v>1540</v>
      </c>
      <c r="I143" s="2462">
        <v>2.4536004463642061E-4</v>
      </c>
      <c r="J143" s="2462">
        <v>0.42856358779230419</v>
      </c>
    </row>
    <row r="144" spans="1:10" outlineLevel="2">
      <c r="A144" s="2459" t="s">
        <v>1669</v>
      </c>
      <c r="B144" s="2459" t="s">
        <v>1406</v>
      </c>
      <c r="C144" s="2459" t="s">
        <v>1670</v>
      </c>
      <c r="D144" s="2460" t="s">
        <v>1671</v>
      </c>
      <c r="E144" s="2461" t="s">
        <v>1538</v>
      </c>
      <c r="F144" s="2461" t="s">
        <v>1549</v>
      </c>
      <c r="G144" s="2461" t="s">
        <v>1409</v>
      </c>
      <c r="H144" s="2461" t="s">
        <v>1540</v>
      </c>
      <c r="I144" s="2462">
        <v>3.6678488673116739E-5</v>
      </c>
      <c r="J144" s="2462">
        <v>7.0241573472476337E-2</v>
      </c>
    </row>
    <row r="145" spans="1:10" outlineLevel="2">
      <c r="A145" s="2459" t="s">
        <v>1669</v>
      </c>
      <c r="B145" s="2459" t="s">
        <v>1406</v>
      </c>
      <c r="C145" s="2459" t="s">
        <v>1670</v>
      </c>
      <c r="D145" s="2460" t="s">
        <v>1671</v>
      </c>
      <c r="E145" s="2461" t="s">
        <v>1538</v>
      </c>
      <c r="F145" s="2461" t="s">
        <v>1550</v>
      </c>
      <c r="G145" s="2461" t="s">
        <v>1409</v>
      </c>
      <c r="H145" s="2461" t="s">
        <v>1540</v>
      </c>
      <c r="I145" s="2462">
        <v>2.0101687074075279E-4</v>
      </c>
      <c r="J145" s="2462">
        <v>0.73038981600687558</v>
      </c>
    </row>
    <row r="146" spans="1:10" outlineLevel="2">
      <c r="A146" s="2459" t="s">
        <v>1669</v>
      </c>
      <c r="B146" s="2459" t="s">
        <v>1406</v>
      </c>
      <c r="C146" s="2459" t="s">
        <v>1670</v>
      </c>
      <c r="D146" s="2460" t="s">
        <v>1671</v>
      </c>
      <c r="E146" s="2461" t="s">
        <v>1538</v>
      </c>
      <c r="F146" s="2461" t="s">
        <v>1551</v>
      </c>
      <c r="G146" s="2461" t="s">
        <v>1409</v>
      </c>
      <c r="H146" s="2461" t="s">
        <v>1540</v>
      </c>
      <c r="I146" s="2462">
        <v>1.6560518933296268E-4</v>
      </c>
      <c r="J146" s="2462">
        <v>1.7637318576069185</v>
      </c>
    </row>
    <row r="147" spans="1:10" outlineLevel="2">
      <c r="A147" s="2459" t="s">
        <v>1669</v>
      </c>
      <c r="B147" s="2459" t="s">
        <v>1406</v>
      </c>
      <c r="C147" s="2459" t="s">
        <v>1670</v>
      </c>
      <c r="D147" s="2460" t="s">
        <v>1671</v>
      </c>
      <c r="E147" s="2461" t="s">
        <v>1538</v>
      </c>
      <c r="F147" s="2461" t="s">
        <v>1552</v>
      </c>
      <c r="G147" s="2461" t="s">
        <v>1409</v>
      </c>
      <c r="H147" s="2461" t="s">
        <v>1540</v>
      </c>
      <c r="I147" s="2462">
        <v>1.1652728919188165E-5</v>
      </c>
      <c r="J147" s="2462">
        <v>0.18556761410705139</v>
      </c>
    </row>
    <row r="148" spans="1:10" outlineLevel="2">
      <c r="A148" s="2459" t="s">
        <v>1669</v>
      </c>
      <c r="B148" s="2459" t="s">
        <v>1406</v>
      </c>
      <c r="C148" s="2459" t="s">
        <v>1670</v>
      </c>
      <c r="D148" s="2460" t="s">
        <v>1671</v>
      </c>
      <c r="E148" s="2461" t="s">
        <v>1538</v>
      </c>
      <c r="F148" s="2461" t="s">
        <v>1553</v>
      </c>
      <c r="G148" s="2461" t="s">
        <v>1409</v>
      </c>
      <c r="H148" s="2461" t="s">
        <v>1540</v>
      </c>
      <c r="I148" s="2462">
        <v>8.6416279425125106E-4</v>
      </c>
      <c r="J148" s="2462">
        <v>1.5886800845191962</v>
      </c>
    </row>
    <row r="149" spans="1:10" outlineLevel="2">
      <c r="A149" s="2459" t="s">
        <v>1669</v>
      </c>
      <c r="B149" s="2459" t="s">
        <v>1406</v>
      </c>
      <c r="C149" s="2459" t="s">
        <v>1670</v>
      </c>
      <c r="D149" s="2460" t="s">
        <v>1671</v>
      </c>
      <c r="E149" s="2461" t="s">
        <v>1538</v>
      </c>
      <c r="F149" s="2461" t="s">
        <v>1554</v>
      </c>
      <c r="G149" s="2461" t="s">
        <v>1409</v>
      </c>
      <c r="H149" s="2461" t="s">
        <v>1540</v>
      </c>
      <c r="I149" s="2462">
        <v>4.816833532658738E-4</v>
      </c>
      <c r="J149" s="2462">
        <v>0.66672481682210849</v>
      </c>
    </row>
    <row r="150" spans="1:10" outlineLevel="2">
      <c r="A150" s="2459" t="s">
        <v>1669</v>
      </c>
      <c r="B150" s="2459" t="s">
        <v>1406</v>
      </c>
      <c r="C150" s="2459" t="s">
        <v>1670</v>
      </c>
      <c r="D150" s="2460" t="s">
        <v>1671</v>
      </c>
      <c r="E150" s="2461" t="s">
        <v>1538</v>
      </c>
      <c r="F150" s="2461" t="s">
        <v>1555</v>
      </c>
      <c r="G150" s="2461" t="s">
        <v>1412</v>
      </c>
      <c r="H150" s="2461" t="s">
        <v>1540</v>
      </c>
      <c r="I150" s="2462">
        <v>1.2360196607773872E-2</v>
      </c>
      <c r="J150" s="2462">
        <v>38.049504130811741</v>
      </c>
    </row>
    <row r="151" spans="1:10" outlineLevel="2">
      <c r="A151" s="2459" t="s">
        <v>1669</v>
      </c>
      <c r="B151" s="2459" t="s">
        <v>1406</v>
      </c>
      <c r="C151" s="2459" t="s">
        <v>1670</v>
      </c>
      <c r="D151" s="2460" t="s">
        <v>1671</v>
      </c>
      <c r="E151" s="2461" t="s">
        <v>1538</v>
      </c>
      <c r="F151" s="2461" t="s">
        <v>1556</v>
      </c>
      <c r="G151" s="2461" t="s">
        <v>1412</v>
      </c>
      <c r="H151" s="2461" t="s">
        <v>1540</v>
      </c>
      <c r="I151" s="2462">
        <v>0.24572899970004503</v>
      </c>
      <c r="J151" s="2462">
        <v>3461.0189354019112</v>
      </c>
    </row>
    <row r="152" spans="1:10" outlineLevel="2">
      <c r="A152" s="2459" t="s">
        <v>1669</v>
      </c>
      <c r="B152" s="2459" t="s">
        <v>1406</v>
      </c>
      <c r="C152" s="2459" t="s">
        <v>1670</v>
      </c>
      <c r="D152" s="2460" t="s">
        <v>1671</v>
      </c>
      <c r="E152" s="2461" t="s">
        <v>1538</v>
      </c>
      <c r="F152" s="2461" t="s">
        <v>1557</v>
      </c>
      <c r="G152" s="2461" t="s">
        <v>1412</v>
      </c>
      <c r="H152" s="2461" t="s">
        <v>1540</v>
      </c>
      <c r="I152" s="2462">
        <v>1.4629486664868845E-3</v>
      </c>
      <c r="J152" s="2462">
        <v>25.783255532001377</v>
      </c>
    </row>
    <row r="153" spans="1:10" outlineLevel="2">
      <c r="A153" s="2459" t="s">
        <v>1669</v>
      </c>
      <c r="B153" s="2459" t="s">
        <v>1406</v>
      </c>
      <c r="C153" s="2459" t="s">
        <v>1670</v>
      </c>
      <c r="D153" s="2460" t="s">
        <v>1671</v>
      </c>
      <c r="E153" s="2461" t="s">
        <v>1538</v>
      </c>
      <c r="F153" s="2461" t="s">
        <v>1558</v>
      </c>
      <c r="G153" s="2461" t="s">
        <v>1412</v>
      </c>
      <c r="H153" s="2461" t="s">
        <v>1540</v>
      </c>
      <c r="I153" s="2462">
        <v>4.8938512662541854E-4</v>
      </c>
      <c r="J153" s="2462">
        <v>8.1329567021340363</v>
      </c>
    </row>
    <row r="154" spans="1:10" outlineLevel="2">
      <c r="A154" s="2459" t="s">
        <v>1669</v>
      </c>
      <c r="B154" s="2459" t="s">
        <v>1406</v>
      </c>
      <c r="C154" s="2459" t="s">
        <v>1670</v>
      </c>
      <c r="D154" s="2460" t="s">
        <v>1671</v>
      </c>
      <c r="E154" s="2461" t="s">
        <v>1538</v>
      </c>
      <c r="F154" s="2461" t="s">
        <v>1559</v>
      </c>
      <c r="G154" s="2461" t="s">
        <v>1412</v>
      </c>
      <c r="H154" s="2461" t="s">
        <v>1540</v>
      </c>
      <c r="I154" s="2462">
        <v>5.2254148086087874E-4</v>
      </c>
      <c r="J154" s="2462">
        <v>2.0085981030849682</v>
      </c>
    </row>
    <row r="155" spans="1:10" outlineLevel="2">
      <c r="A155" s="2459" t="s">
        <v>1669</v>
      </c>
      <c r="B155" s="2459" t="s">
        <v>1406</v>
      </c>
      <c r="C155" s="2459" t="s">
        <v>1670</v>
      </c>
      <c r="D155" s="2460" t="s">
        <v>1671</v>
      </c>
      <c r="E155" s="2461" t="s">
        <v>1538</v>
      </c>
      <c r="F155" s="2461" t="s">
        <v>1560</v>
      </c>
      <c r="G155" s="2461" t="s">
        <v>1412</v>
      </c>
      <c r="H155" s="2461" t="s">
        <v>1540</v>
      </c>
      <c r="I155" s="2462">
        <v>7.3345187195180924E-4</v>
      </c>
      <c r="J155" s="2462">
        <v>15.973921839294713</v>
      </c>
    </row>
    <row r="156" spans="1:10" outlineLevel="2">
      <c r="A156" s="2459" t="s">
        <v>1669</v>
      </c>
      <c r="B156" s="2459" t="s">
        <v>1406</v>
      </c>
      <c r="C156" s="2459" t="s">
        <v>1670</v>
      </c>
      <c r="D156" s="2460" t="s">
        <v>1671</v>
      </c>
      <c r="E156" s="2461" t="s">
        <v>1538</v>
      </c>
      <c r="F156" s="2461" t="s">
        <v>1561</v>
      </c>
      <c r="G156" s="2461" t="s">
        <v>1439</v>
      </c>
      <c r="H156" s="2461" t="s">
        <v>1540</v>
      </c>
      <c r="I156" s="2462">
        <v>5.2943123345378692E-4</v>
      </c>
      <c r="J156" s="2462">
        <v>8.023158693868103</v>
      </c>
    </row>
    <row r="157" spans="1:10" outlineLevel="2">
      <c r="A157" s="2459" t="s">
        <v>1669</v>
      </c>
      <c r="B157" s="2459" t="s">
        <v>1406</v>
      </c>
      <c r="C157" s="2459" t="s">
        <v>1670</v>
      </c>
      <c r="D157" s="2460" t="s">
        <v>1671</v>
      </c>
      <c r="E157" s="2461" t="s">
        <v>1538</v>
      </c>
      <c r="F157" s="2461" t="s">
        <v>1562</v>
      </c>
      <c r="G157" s="2461" t="s">
        <v>1418</v>
      </c>
      <c r="H157" s="2461" t="s">
        <v>1540</v>
      </c>
      <c r="I157" s="2462">
        <v>5.5387897367555011E-6</v>
      </c>
      <c r="J157" s="2462">
        <v>6.9793317266018057E-3</v>
      </c>
    </row>
    <row r="158" spans="1:10" outlineLevel="2">
      <c r="A158" s="2459" t="s">
        <v>1669</v>
      </c>
      <c r="B158" s="2459" t="s">
        <v>1406</v>
      </c>
      <c r="C158" s="2459" t="s">
        <v>1670</v>
      </c>
      <c r="D158" s="2460" t="s">
        <v>1671</v>
      </c>
      <c r="E158" s="2461" t="s">
        <v>1538</v>
      </c>
      <c r="F158" s="2461" t="s">
        <v>1563</v>
      </c>
      <c r="G158" s="2461" t="s">
        <v>1418</v>
      </c>
      <c r="H158" s="2461" t="s">
        <v>1540</v>
      </c>
      <c r="I158" s="2462">
        <v>8.0251975512116248E-7</v>
      </c>
      <c r="J158" s="2462">
        <v>1.359377128983905E-2</v>
      </c>
    </row>
    <row r="159" spans="1:10" outlineLevel="2">
      <c r="A159" s="2459" t="s">
        <v>1669</v>
      </c>
      <c r="B159" s="2459" t="s">
        <v>1406</v>
      </c>
      <c r="C159" s="2459" t="s">
        <v>1670</v>
      </c>
      <c r="D159" s="2460" t="s">
        <v>1671</v>
      </c>
      <c r="E159" s="2461" t="s">
        <v>1538</v>
      </c>
      <c r="F159" s="2461" t="s">
        <v>1564</v>
      </c>
      <c r="G159" s="2461" t="s">
        <v>1421</v>
      </c>
      <c r="H159" s="2461" t="s">
        <v>1540</v>
      </c>
      <c r="I159" s="2462">
        <v>2.2883003568294633E-2</v>
      </c>
      <c r="J159" s="2462">
        <v>56.185159804586384</v>
      </c>
    </row>
    <row r="160" spans="1:10" outlineLevel="2">
      <c r="A160" s="2459" t="s">
        <v>1669</v>
      </c>
      <c r="B160" s="2459" t="s">
        <v>1406</v>
      </c>
      <c r="C160" s="2459" t="s">
        <v>1670</v>
      </c>
      <c r="D160" s="2460" t="s">
        <v>1671</v>
      </c>
      <c r="E160" s="2461" t="s">
        <v>1538</v>
      </c>
      <c r="F160" s="2461" t="s">
        <v>1565</v>
      </c>
      <c r="G160" s="2461" t="s">
        <v>1421</v>
      </c>
      <c r="H160" s="2461" t="s">
        <v>1540</v>
      </c>
      <c r="I160" s="2462">
        <v>2.692557623217053E-3</v>
      </c>
      <c r="J160" s="2462">
        <v>12.298223625729291</v>
      </c>
    </row>
    <row r="161" spans="1:10" outlineLevel="2">
      <c r="A161" s="2459" t="s">
        <v>1669</v>
      </c>
      <c r="B161" s="2459" t="s">
        <v>1406</v>
      </c>
      <c r="C161" s="2459" t="s">
        <v>1670</v>
      </c>
      <c r="D161" s="2460" t="s">
        <v>1671</v>
      </c>
      <c r="E161" s="2461" t="s">
        <v>1538</v>
      </c>
      <c r="F161" s="2461" t="s">
        <v>1566</v>
      </c>
      <c r="G161" s="2461" t="s">
        <v>1421</v>
      </c>
      <c r="H161" s="2461" t="s">
        <v>1540</v>
      </c>
      <c r="I161" s="2462">
        <v>1.4039238861953231E-3</v>
      </c>
      <c r="J161" s="2462">
        <v>14.360308391700816</v>
      </c>
    </row>
    <row r="162" spans="1:10" outlineLevel="2">
      <c r="A162" s="2459" t="s">
        <v>1669</v>
      </c>
      <c r="B162" s="2459" t="s">
        <v>1406</v>
      </c>
      <c r="C162" s="2459" t="s">
        <v>1670</v>
      </c>
      <c r="D162" s="2460" t="s">
        <v>1671</v>
      </c>
      <c r="E162" s="2461" t="s">
        <v>1538</v>
      </c>
      <c r="F162" s="2461" t="s">
        <v>1567</v>
      </c>
      <c r="G162" s="2461" t="s">
        <v>1421</v>
      </c>
      <c r="H162" s="2461" t="s">
        <v>1540</v>
      </c>
      <c r="I162" s="2462">
        <v>2.3241883483787621E-3</v>
      </c>
      <c r="J162" s="2462">
        <v>17.847771973309907</v>
      </c>
    </row>
    <row r="163" spans="1:10" outlineLevel="2">
      <c r="A163" s="2459" t="s">
        <v>1669</v>
      </c>
      <c r="B163" s="2459" t="s">
        <v>1406</v>
      </c>
      <c r="C163" s="2459" t="s">
        <v>1670</v>
      </c>
      <c r="D163" s="2460" t="s">
        <v>1671</v>
      </c>
      <c r="E163" s="2461" t="s">
        <v>1538</v>
      </c>
      <c r="F163" s="2461" t="s">
        <v>1568</v>
      </c>
      <c r="G163" s="2461" t="s">
        <v>1421</v>
      </c>
      <c r="H163" s="2461" t="s">
        <v>1540</v>
      </c>
      <c r="I163" s="2462">
        <v>8.0454441962638469E-5</v>
      </c>
      <c r="J163" s="2462">
        <v>0.24273956357077953</v>
      </c>
    </row>
    <row r="164" spans="1:10" outlineLevel="2">
      <c r="A164" s="2459" t="s">
        <v>1669</v>
      </c>
      <c r="B164" s="2459" t="s">
        <v>1406</v>
      </c>
      <c r="C164" s="2459" t="s">
        <v>1670</v>
      </c>
      <c r="D164" s="2460" t="s">
        <v>1671</v>
      </c>
      <c r="E164" s="2461" t="s">
        <v>1538</v>
      </c>
      <c r="F164" s="2461" t="s">
        <v>1569</v>
      </c>
      <c r="G164" s="2461" t="s">
        <v>1421</v>
      </c>
      <c r="H164" s="2461" t="s">
        <v>1540</v>
      </c>
      <c r="I164" s="2462">
        <v>1.9071557864770543E-5</v>
      </c>
      <c r="J164" s="2462">
        <v>0.22038650114496361</v>
      </c>
    </row>
    <row r="165" spans="1:10" outlineLevel="2">
      <c r="A165" s="2459" t="s">
        <v>1669</v>
      </c>
      <c r="B165" s="2459" t="s">
        <v>1406</v>
      </c>
      <c r="C165" s="2459" t="s">
        <v>1670</v>
      </c>
      <c r="D165" s="2460" t="s">
        <v>1671</v>
      </c>
      <c r="E165" s="2461" t="s">
        <v>1538</v>
      </c>
      <c r="F165" s="2461" t="s">
        <v>1570</v>
      </c>
      <c r="G165" s="2461" t="s">
        <v>899</v>
      </c>
      <c r="H165" s="2461" t="s">
        <v>1540</v>
      </c>
      <c r="I165" s="2462">
        <v>4.2345343578284186E-5</v>
      </c>
      <c r="J165" s="2462">
        <v>0.18294642557680563</v>
      </c>
    </row>
    <row r="166" spans="1:10" outlineLevel="2">
      <c r="A166" s="2459" t="s">
        <v>1669</v>
      </c>
      <c r="B166" s="2459" t="s">
        <v>1406</v>
      </c>
      <c r="C166" s="2459" t="s">
        <v>1670</v>
      </c>
      <c r="D166" s="2460" t="s">
        <v>1671</v>
      </c>
      <c r="E166" s="2461" t="s">
        <v>1400</v>
      </c>
      <c r="F166" s="2461" t="s">
        <v>1571</v>
      </c>
      <c r="G166" s="2461" t="s">
        <v>215</v>
      </c>
      <c r="H166" s="2461" t="s">
        <v>1531</v>
      </c>
      <c r="I166" s="2462">
        <v>3.3888150234724942E-3</v>
      </c>
      <c r="J166" s="2462">
        <v>121.966118715896</v>
      </c>
    </row>
    <row r="167" spans="1:10" outlineLevel="2">
      <c r="A167" s="2459" t="s">
        <v>1669</v>
      </c>
      <c r="B167" s="2459" t="s">
        <v>1406</v>
      </c>
      <c r="C167" s="2459" t="s">
        <v>1670</v>
      </c>
      <c r="D167" s="2460" t="s">
        <v>1671</v>
      </c>
      <c r="E167" s="2461" t="s">
        <v>1400</v>
      </c>
      <c r="F167" s="2461" t="s">
        <v>1572</v>
      </c>
      <c r="G167" s="2461" t="s">
        <v>215</v>
      </c>
      <c r="H167" s="2461" t="s">
        <v>1531</v>
      </c>
      <c r="I167" s="2462">
        <v>5.3706215992191828E-5</v>
      </c>
      <c r="J167" s="2462">
        <v>1.0187765740314469</v>
      </c>
    </row>
    <row r="168" spans="1:10" outlineLevel="2">
      <c r="A168" s="2459" t="s">
        <v>1669</v>
      </c>
      <c r="B168" s="2459" t="s">
        <v>1406</v>
      </c>
      <c r="C168" s="2459" t="s">
        <v>1670</v>
      </c>
      <c r="D168" s="2460" t="s">
        <v>1671</v>
      </c>
      <c r="E168" s="2461" t="s">
        <v>1573</v>
      </c>
      <c r="F168" s="2461" t="s">
        <v>1574</v>
      </c>
      <c r="G168" s="2461" t="s">
        <v>1426</v>
      </c>
      <c r="H168" s="2461" t="s">
        <v>1427</v>
      </c>
      <c r="I168" s="2462">
        <v>4.6617266909343156E-3</v>
      </c>
      <c r="J168" s="2462">
        <v>115.24447296446014</v>
      </c>
    </row>
    <row r="169" spans="1:10" outlineLevel="2">
      <c r="A169" s="2459" t="s">
        <v>1669</v>
      </c>
      <c r="B169" s="2459" t="s">
        <v>1406</v>
      </c>
      <c r="C169" s="2459" t="s">
        <v>1670</v>
      </c>
      <c r="D169" s="2460" t="s">
        <v>1671</v>
      </c>
      <c r="E169" s="2461" t="s">
        <v>1573</v>
      </c>
      <c r="F169" s="2461" t="s">
        <v>1575</v>
      </c>
      <c r="G169" s="2461" t="s">
        <v>1409</v>
      </c>
      <c r="H169" s="2461" t="s">
        <v>1070</v>
      </c>
      <c r="I169" s="2462">
        <v>7.5383616785094931E-4</v>
      </c>
      <c r="J169" s="2462">
        <v>43.964047210798448</v>
      </c>
    </row>
    <row r="170" spans="1:10" outlineLevel="2">
      <c r="A170" s="2459" t="s">
        <v>1669</v>
      </c>
      <c r="B170" s="2459" t="s">
        <v>1406</v>
      </c>
      <c r="C170" s="2459" t="s">
        <v>1670</v>
      </c>
      <c r="D170" s="2460" t="s">
        <v>1671</v>
      </c>
      <c r="E170" s="2461" t="s">
        <v>1573</v>
      </c>
      <c r="F170" s="2461" t="s">
        <v>1576</v>
      </c>
      <c r="G170" s="2461" t="s">
        <v>1409</v>
      </c>
      <c r="H170" s="2461" t="s">
        <v>1070</v>
      </c>
      <c r="I170" s="2462">
        <v>6.4817045898644053E-6</v>
      </c>
      <c r="J170" s="2462">
        <v>7.1594508846916621E-2</v>
      </c>
    </row>
    <row r="171" spans="1:10" outlineLevel="2">
      <c r="A171" s="2459" t="s">
        <v>1669</v>
      </c>
      <c r="B171" s="2459" t="s">
        <v>1406</v>
      </c>
      <c r="C171" s="2459" t="s">
        <v>1670</v>
      </c>
      <c r="D171" s="2460" t="s">
        <v>1671</v>
      </c>
      <c r="E171" s="2461" t="s">
        <v>1573</v>
      </c>
      <c r="F171" s="2461" t="s">
        <v>1577</v>
      </c>
      <c r="G171" s="2461" t="s">
        <v>1409</v>
      </c>
      <c r="H171" s="2461" t="s">
        <v>1070</v>
      </c>
      <c r="I171" s="2462">
        <v>9.400143354810445E-5</v>
      </c>
      <c r="J171" s="2462">
        <v>1.1793567963180662</v>
      </c>
    </row>
    <row r="172" spans="1:10" outlineLevel="2">
      <c r="A172" s="2459" t="s">
        <v>1669</v>
      </c>
      <c r="B172" s="2459" t="s">
        <v>1406</v>
      </c>
      <c r="C172" s="2459" t="s">
        <v>1670</v>
      </c>
      <c r="D172" s="2460" t="s">
        <v>1671</v>
      </c>
      <c r="E172" s="2461" t="s">
        <v>1573</v>
      </c>
      <c r="F172" s="2461" t="s">
        <v>1578</v>
      </c>
      <c r="G172" s="2461" t="s">
        <v>1409</v>
      </c>
      <c r="H172" s="2461" t="s">
        <v>1070</v>
      </c>
      <c r="I172" s="2462">
        <v>2.1466205511887072E-3</v>
      </c>
      <c r="J172" s="2462">
        <v>110.04866387155418</v>
      </c>
    </row>
    <row r="173" spans="1:10" outlineLevel="2">
      <c r="A173" s="2459" t="s">
        <v>1669</v>
      </c>
      <c r="B173" s="2459" t="s">
        <v>1406</v>
      </c>
      <c r="C173" s="2459" t="s">
        <v>1670</v>
      </c>
      <c r="D173" s="2460" t="s">
        <v>1671</v>
      </c>
      <c r="E173" s="2461" t="s">
        <v>1573</v>
      </c>
      <c r="F173" s="2461" t="s">
        <v>1579</v>
      </c>
      <c r="G173" s="2461" t="s">
        <v>1409</v>
      </c>
      <c r="H173" s="2461" t="s">
        <v>1070</v>
      </c>
      <c r="I173" s="2462">
        <v>1.6295576500420443E-3</v>
      </c>
      <c r="J173" s="2462">
        <v>119.74041883116543</v>
      </c>
    </row>
    <row r="174" spans="1:10" outlineLevel="2">
      <c r="A174" s="2459" t="s">
        <v>1669</v>
      </c>
      <c r="B174" s="2459" t="s">
        <v>1406</v>
      </c>
      <c r="C174" s="2459" t="s">
        <v>1670</v>
      </c>
      <c r="D174" s="2460" t="s">
        <v>1671</v>
      </c>
      <c r="E174" s="2461" t="s">
        <v>1573</v>
      </c>
      <c r="F174" s="2461" t="s">
        <v>1580</v>
      </c>
      <c r="G174" s="2461" t="s">
        <v>1409</v>
      </c>
      <c r="H174" s="2461" t="s">
        <v>1070</v>
      </c>
      <c r="I174" s="2462">
        <v>1.8410596311902559E-4</v>
      </c>
      <c r="J174" s="2462">
        <v>6.6118411126892118</v>
      </c>
    </row>
    <row r="175" spans="1:10" outlineLevel="2">
      <c r="A175" s="2459" t="s">
        <v>1669</v>
      </c>
      <c r="B175" s="2459" t="s">
        <v>1406</v>
      </c>
      <c r="C175" s="2459" t="s">
        <v>1670</v>
      </c>
      <c r="D175" s="2460" t="s">
        <v>1671</v>
      </c>
      <c r="E175" s="2461" t="s">
        <v>1573</v>
      </c>
      <c r="F175" s="2461" t="s">
        <v>1581</v>
      </c>
      <c r="G175" s="2461" t="s">
        <v>1409</v>
      </c>
      <c r="H175" s="2461" t="s">
        <v>1070</v>
      </c>
      <c r="I175" s="2462">
        <v>9.7924284400935588E-5</v>
      </c>
      <c r="J175" s="2462">
        <v>4.5023785669714353</v>
      </c>
    </row>
    <row r="176" spans="1:10" outlineLevel="2">
      <c r="A176" s="2459" t="s">
        <v>1669</v>
      </c>
      <c r="B176" s="2459" t="s">
        <v>1406</v>
      </c>
      <c r="C176" s="2459" t="s">
        <v>1670</v>
      </c>
      <c r="D176" s="2460" t="s">
        <v>1671</v>
      </c>
      <c r="E176" s="2461" t="s">
        <v>1573</v>
      </c>
      <c r="F176" s="2461" t="s">
        <v>1582</v>
      </c>
      <c r="G176" s="2461" t="s">
        <v>1409</v>
      </c>
      <c r="H176" s="2461" t="s">
        <v>1070</v>
      </c>
      <c r="I176" s="2462">
        <v>5.2046367261530989E-4</v>
      </c>
      <c r="J176" s="2462">
        <v>12.363965858738785</v>
      </c>
    </row>
    <row r="177" spans="1:10" outlineLevel="2">
      <c r="A177" s="2459" t="s">
        <v>1669</v>
      </c>
      <c r="B177" s="2459" t="s">
        <v>1406</v>
      </c>
      <c r="C177" s="2459" t="s">
        <v>1670</v>
      </c>
      <c r="D177" s="2460" t="s">
        <v>1671</v>
      </c>
      <c r="E177" s="2461" t="s">
        <v>1573</v>
      </c>
      <c r="F177" s="2461" t="s">
        <v>1583</v>
      </c>
      <c r="G177" s="2461" t="s">
        <v>1409</v>
      </c>
      <c r="H177" s="2461" t="s">
        <v>1070</v>
      </c>
      <c r="I177" s="2462">
        <v>1.4920210968411183E-3</v>
      </c>
      <c r="J177" s="2462">
        <v>52.908687991856524</v>
      </c>
    </row>
    <row r="178" spans="1:10" outlineLevel="2">
      <c r="A178" s="2459" t="s">
        <v>1669</v>
      </c>
      <c r="B178" s="2459" t="s">
        <v>1406</v>
      </c>
      <c r="C178" s="2459" t="s">
        <v>1670</v>
      </c>
      <c r="D178" s="2460" t="s">
        <v>1671</v>
      </c>
      <c r="E178" s="2461" t="s">
        <v>1573</v>
      </c>
      <c r="F178" s="2461" t="s">
        <v>1584</v>
      </c>
      <c r="G178" s="2461" t="s">
        <v>1409</v>
      </c>
      <c r="H178" s="2461" t="s">
        <v>1070</v>
      </c>
      <c r="I178" s="2462">
        <v>1.054809763036068E-3</v>
      </c>
      <c r="J178" s="2462">
        <v>58.090458089893822</v>
      </c>
    </row>
    <row r="179" spans="1:10" outlineLevel="2">
      <c r="A179" s="2459" t="s">
        <v>1669</v>
      </c>
      <c r="B179" s="2459" t="s">
        <v>1406</v>
      </c>
      <c r="C179" s="2459" t="s">
        <v>1670</v>
      </c>
      <c r="D179" s="2460" t="s">
        <v>1671</v>
      </c>
      <c r="E179" s="2461" t="s">
        <v>1573</v>
      </c>
      <c r="F179" s="2461" t="s">
        <v>1585</v>
      </c>
      <c r="G179" s="2461" t="s">
        <v>1409</v>
      </c>
      <c r="H179" s="2461" t="s">
        <v>1070</v>
      </c>
      <c r="I179" s="2462">
        <v>5.7829556394257565E-3</v>
      </c>
      <c r="J179" s="2462">
        <v>446.04616369087341</v>
      </c>
    </row>
    <row r="180" spans="1:10" outlineLevel="2">
      <c r="A180" s="2459" t="s">
        <v>1669</v>
      </c>
      <c r="B180" s="2459" t="s">
        <v>1406</v>
      </c>
      <c r="C180" s="2459" t="s">
        <v>1670</v>
      </c>
      <c r="D180" s="2460" t="s">
        <v>1671</v>
      </c>
      <c r="E180" s="2461" t="s">
        <v>1573</v>
      </c>
      <c r="F180" s="2461" t="s">
        <v>1586</v>
      </c>
      <c r="G180" s="2461" t="s">
        <v>1409</v>
      </c>
      <c r="H180" s="2461" t="s">
        <v>1070</v>
      </c>
      <c r="I180" s="2462">
        <v>1.2231388845723869E-4</v>
      </c>
      <c r="J180" s="2462">
        <v>3.7089268338551418</v>
      </c>
    </row>
    <row r="181" spans="1:10" outlineLevel="2">
      <c r="A181" s="2459" t="s">
        <v>1669</v>
      </c>
      <c r="B181" s="2459" t="s">
        <v>1406</v>
      </c>
      <c r="C181" s="2459" t="s">
        <v>1670</v>
      </c>
      <c r="D181" s="2460" t="s">
        <v>1671</v>
      </c>
      <c r="E181" s="2461" t="s">
        <v>1573</v>
      </c>
      <c r="F181" s="2461" t="s">
        <v>1587</v>
      </c>
      <c r="G181" s="2461" t="s">
        <v>1409</v>
      </c>
      <c r="H181" s="2461" t="s">
        <v>1070</v>
      </c>
      <c r="I181" s="2462">
        <v>4.8168551841905522E-5</v>
      </c>
      <c r="J181" s="2462">
        <v>2.2709838739768102</v>
      </c>
    </row>
    <row r="182" spans="1:10" outlineLevel="2">
      <c r="A182" s="2459" t="s">
        <v>1669</v>
      </c>
      <c r="B182" s="2459" t="s">
        <v>1406</v>
      </c>
      <c r="C182" s="2459" t="s">
        <v>1670</v>
      </c>
      <c r="D182" s="2460" t="s">
        <v>1671</v>
      </c>
      <c r="E182" s="2461" t="s">
        <v>1573</v>
      </c>
      <c r="F182" s="2461" t="s">
        <v>1588</v>
      </c>
      <c r="G182" s="2461" t="s">
        <v>1409</v>
      </c>
      <c r="H182" s="2461" t="s">
        <v>1070</v>
      </c>
      <c r="I182" s="2462">
        <v>1.7064608590286407E-3</v>
      </c>
      <c r="J182" s="2462">
        <v>101.95471129597976</v>
      </c>
    </row>
    <row r="183" spans="1:10" outlineLevel="2">
      <c r="A183" s="2459" t="s">
        <v>1669</v>
      </c>
      <c r="B183" s="2459" t="s">
        <v>1406</v>
      </c>
      <c r="C183" s="2459" t="s">
        <v>1670</v>
      </c>
      <c r="D183" s="2460" t="s">
        <v>1671</v>
      </c>
      <c r="E183" s="2461" t="s">
        <v>1573</v>
      </c>
      <c r="F183" s="2461" t="s">
        <v>1589</v>
      </c>
      <c r="G183" s="2461" t="s">
        <v>1409</v>
      </c>
      <c r="H183" s="2461" t="s">
        <v>1070</v>
      </c>
      <c r="I183" s="2462">
        <v>1.4670682614453358E-3</v>
      </c>
      <c r="J183" s="2462">
        <v>110.97902188873195</v>
      </c>
    </row>
    <row r="184" spans="1:10" outlineLevel="2">
      <c r="A184" s="2459" t="s">
        <v>1669</v>
      </c>
      <c r="B184" s="2459" t="s">
        <v>1406</v>
      </c>
      <c r="C184" s="2459" t="s">
        <v>1670</v>
      </c>
      <c r="D184" s="2460" t="s">
        <v>1671</v>
      </c>
      <c r="E184" s="2461" t="s">
        <v>1573</v>
      </c>
      <c r="F184" s="2461" t="s">
        <v>1590</v>
      </c>
      <c r="G184" s="2461" t="s">
        <v>1409</v>
      </c>
      <c r="H184" s="2461" t="s">
        <v>1070</v>
      </c>
      <c r="I184" s="2462">
        <v>5.3564043242162636E-3</v>
      </c>
      <c r="J184" s="2462">
        <v>381.75211100306552</v>
      </c>
    </row>
    <row r="185" spans="1:10" outlineLevel="2">
      <c r="A185" s="2459" t="s">
        <v>1669</v>
      </c>
      <c r="B185" s="2459" t="s">
        <v>1406</v>
      </c>
      <c r="C185" s="2459" t="s">
        <v>1670</v>
      </c>
      <c r="D185" s="2460" t="s">
        <v>1671</v>
      </c>
      <c r="E185" s="2461" t="s">
        <v>1573</v>
      </c>
      <c r="F185" s="2461" t="s">
        <v>1591</v>
      </c>
      <c r="G185" s="2461" t="s">
        <v>1409</v>
      </c>
      <c r="H185" s="2461" t="s">
        <v>1070</v>
      </c>
      <c r="I185" s="2462">
        <v>3.6870874446364148E-4</v>
      </c>
      <c r="J185" s="2462">
        <v>17.950657759709557</v>
      </c>
    </row>
    <row r="186" spans="1:10" outlineLevel="2">
      <c r="A186" s="2459" t="s">
        <v>1669</v>
      </c>
      <c r="B186" s="2459" t="s">
        <v>1406</v>
      </c>
      <c r="C186" s="2459" t="s">
        <v>1670</v>
      </c>
      <c r="D186" s="2460" t="s">
        <v>1671</v>
      </c>
      <c r="E186" s="2461" t="s">
        <v>1573</v>
      </c>
      <c r="F186" s="2461" t="s">
        <v>1592</v>
      </c>
      <c r="G186" s="2461" t="s">
        <v>1409</v>
      </c>
      <c r="H186" s="2461" t="s">
        <v>1070</v>
      </c>
      <c r="I186" s="2462">
        <v>3.1003672334900005E-3</v>
      </c>
      <c r="J186" s="2462">
        <v>142.78779101443592</v>
      </c>
    </row>
    <row r="187" spans="1:10" outlineLevel="2">
      <c r="A187" s="2459" t="s">
        <v>1669</v>
      </c>
      <c r="B187" s="2459" t="s">
        <v>1406</v>
      </c>
      <c r="C187" s="2459" t="s">
        <v>1670</v>
      </c>
      <c r="D187" s="2460" t="s">
        <v>1671</v>
      </c>
      <c r="E187" s="2461" t="s">
        <v>1573</v>
      </c>
      <c r="F187" s="2461" t="s">
        <v>1593</v>
      </c>
      <c r="G187" s="2461" t="s">
        <v>1409</v>
      </c>
      <c r="H187" s="2461" t="s">
        <v>1070</v>
      </c>
      <c r="I187" s="2462">
        <v>7.5751459755837398E-3</v>
      </c>
      <c r="J187" s="2462">
        <v>485.45124447304568</v>
      </c>
    </row>
    <row r="188" spans="1:10" outlineLevel="2">
      <c r="A188" s="2459" t="s">
        <v>1669</v>
      </c>
      <c r="B188" s="2459" t="s">
        <v>1406</v>
      </c>
      <c r="C188" s="2459" t="s">
        <v>1670</v>
      </c>
      <c r="D188" s="2460" t="s">
        <v>1671</v>
      </c>
      <c r="E188" s="2461" t="s">
        <v>1573</v>
      </c>
      <c r="F188" s="2461" t="s">
        <v>1594</v>
      </c>
      <c r="G188" s="2461" t="s">
        <v>1409</v>
      </c>
      <c r="H188" s="2461" t="s">
        <v>1070</v>
      </c>
      <c r="I188" s="2462">
        <v>1.6591431955474852E-2</v>
      </c>
      <c r="J188" s="2462">
        <v>325.67146026492969</v>
      </c>
    </row>
    <row r="189" spans="1:10" outlineLevel="2">
      <c r="A189" s="2459" t="s">
        <v>1669</v>
      </c>
      <c r="B189" s="2459" t="s">
        <v>1406</v>
      </c>
      <c r="C189" s="2459" t="s">
        <v>1670</v>
      </c>
      <c r="D189" s="2460" t="s">
        <v>1671</v>
      </c>
      <c r="E189" s="2461" t="s">
        <v>1573</v>
      </c>
      <c r="F189" s="2461" t="s">
        <v>1595</v>
      </c>
      <c r="G189" s="2461" t="s">
        <v>1409</v>
      </c>
      <c r="H189" s="2461" t="s">
        <v>1070</v>
      </c>
      <c r="I189" s="2462">
        <v>6.1002758259406618E-3</v>
      </c>
      <c r="J189" s="2462">
        <v>444.08525690798683</v>
      </c>
    </row>
    <row r="190" spans="1:10" outlineLevel="2">
      <c r="A190" s="2459" t="s">
        <v>1669</v>
      </c>
      <c r="B190" s="2459" t="s">
        <v>1406</v>
      </c>
      <c r="C190" s="2459" t="s">
        <v>1670</v>
      </c>
      <c r="D190" s="2460" t="s">
        <v>1671</v>
      </c>
      <c r="E190" s="2461" t="s">
        <v>1573</v>
      </c>
      <c r="F190" s="2461" t="s">
        <v>1596</v>
      </c>
      <c r="G190" s="2461" t="s">
        <v>1409</v>
      </c>
      <c r="H190" s="2461" t="s">
        <v>1070</v>
      </c>
      <c r="I190" s="2462">
        <v>1.1107415588203516E-2</v>
      </c>
      <c r="J190" s="2462">
        <v>255.63543825949614</v>
      </c>
    </row>
    <row r="191" spans="1:10" outlineLevel="2">
      <c r="A191" s="2459" t="s">
        <v>1669</v>
      </c>
      <c r="B191" s="2459" t="s">
        <v>1406</v>
      </c>
      <c r="C191" s="2459" t="s">
        <v>1670</v>
      </c>
      <c r="D191" s="2460" t="s">
        <v>1671</v>
      </c>
      <c r="E191" s="2461" t="s">
        <v>1573</v>
      </c>
      <c r="F191" s="2461" t="s">
        <v>1597</v>
      </c>
      <c r="G191" s="2461" t="s">
        <v>1409</v>
      </c>
      <c r="H191" s="2461" t="s">
        <v>1070</v>
      </c>
      <c r="I191" s="2462">
        <v>6.5202692998496273E-4</v>
      </c>
      <c r="J191" s="2462">
        <v>47.650891257470931</v>
      </c>
    </row>
    <row r="192" spans="1:10" outlineLevel="2">
      <c r="A192" s="2459" t="s">
        <v>1669</v>
      </c>
      <c r="B192" s="2459" t="s">
        <v>1406</v>
      </c>
      <c r="C192" s="2459" t="s">
        <v>1670</v>
      </c>
      <c r="D192" s="2460" t="s">
        <v>1671</v>
      </c>
      <c r="E192" s="2461" t="s">
        <v>1573</v>
      </c>
      <c r="F192" s="2461" t="s">
        <v>1598</v>
      </c>
      <c r="G192" s="2461" t="s">
        <v>1409</v>
      </c>
      <c r="H192" s="2461" t="s">
        <v>1070</v>
      </c>
      <c r="I192" s="2462">
        <v>3.3865736772654546E-5</v>
      </c>
      <c r="J192" s="2462">
        <v>0.78177593965688275</v>
      </c>
    </row>
    <row r="193" spans="1:10" outlineLevel="2">
      <c r="A193" s="2459" t="s">
        <v>1669</v>
      </c>
      <c r="B193" s="2459" t="s">
        <v>1406</v>
      </c>
      <c r="C193" s="2459" t="s">
        <v>1670</v>
      </c>
      <c r="D193" s="2460" t="s">
        <v>1671</v>
      </c>
      <c r="E193" s="2461" t="s">
        <v>1573</v>
      </c>
      <c r="F193" s="2461" t="s">
        <v>1599</v>
      </c>
      <c r="G193" s="2461" t="s">
        <v>1409</v>
      </c>
      <c r="H193" s="2461" t="s">
        <v>1070</v>
      </c>
      <c r="I193" s="2462">
        <v>9.2456560724048155E-4</v>
      </c>
      <c r="J193" s="2462">
        <v>49.704557475974624</v>
      </c>
    </row>
    <row r="194" spans="1:10" outlineLevel="2">
      <c r="A194" s="2459" t="s">
        <v>1669</v>
      </c>
      <c r="B194" s="2459" t="s">
        <v>1406</v>
      </c>
      <c r="C194" s="2459" t="s">
        <v>1670</v>
      </c>
      <c r="D194" s="2460" t="s">
        <v>1671</v>
      </c>
      <c r="E194" s="2461" t="s">
        <v>1573</v>
      </c>
      <c r="F194" s="2461" t="s">
        <v>1600</v>
      </c>
      <c r="G194" s="2461" t="s">
        <v>1412</v>
      </c>
      <c r="H194" s="2461" t="s">
        <v>1116</v>
      </c>
      <c r="I194" s="2462">
        <v>2.5717401867858293E-3</v>
      </c>
      <c r="J194" s="2462">
        <v>62.217238509689949</v>
      </c>
    </row>
    <row r="195" spans="1:10" outlineLevel="2">
      <c r="A195" s="2459" t="s">
        <v>1669</v>
      </c>
      <c r="B195" s="2459" t="s">
        <v>1406</v>
      </c>
      <c r="C195" s="2459" t="s">
        <v>1670</v>
      </c>
      <c r="D195" s="2460" t="s">
        <v>1671</v>
      </c>
      <c r="E195" s="2461" t="s">
        <v>1573</v>
      </c>
      <c r="F195" s="2461" t="s">
        <v>1601</v>
      </c>
      <c r="G195" s="2461" t="s">
        <v>1412</v>
      </c>
      <c r="H195" s="2461" t="s">
        <v>1116</v>
      </c>
      <c r="I195" s="2462">
        <v>1.2798599889662818E-2</v>
      </c>
      <c r="J195" s="2462">
        <v>902.62261667730002</v>
      </c>
    </row>
    <row r="196" spans="1:10" outlineLevel="2">
      <c r="A196" s="2459" t="s">
        <v>1669</v>
      </c>
      <c r="B196" s="2459" t="s">
        <v>1406</v>
      </c>
      <c r="C196" s="2459" t="s">
        <v>1670</v>
      </c>
      <c r="D196" s="2460" t="s">
        <v>1671</v>
      </c>
      <c r="E196" s="2461" t="s">
        <v>1573</v>
      </c>
      <c r="F196" s="2461" t="s">
        <v>1602</v>
      </c>
      <c r="G196" s="2461" t="s">
        <v>1412</v>
      </c>
      <c r="H196" s="2461" t="s">
        <v>1116</v>
      </c>
      <c r="I196" s="2462">
        <v>7.5185030452881683E-3</v>
      </c>
      <c r="J196" s="2462">
        <v>394.24695514966066</v>
      </c>
    </row>
    <row r="197" spans="1:10" outlineLevel="2">
      <c r="A197" s="2459" t="s">
        <v>1669</v>
      </c>
      <c r="B197" s="2459" t="s">
        <v>1406</v>
      </c>
      <c r="C197" s="2459" t="s">
        <v>1670</v>
      </c>
      <c r="D197" s="2460" t="s">
        <v>1671</v>
      </c>
      <c r="E197" s="2461" t="s">
        <v>1573</v>
      </c>
      <c r="F197" s="2461" t="s">
        <v>1603</v>
      </c>
      <c r="G197" s="2461" t="s">
        <v>1412</v>
      </c>
      <c r="H197" s="2461" t="s">
        <v>1116</v>
      </c>
      <c r="I197" s="2462">
        <v>8.8994772978330267E-3</v>
      </c>
      <c r="J197" s="2462">
        <v>399.78191590227362</v>
      </c>
    </row>
    <row r="198" spans="1:10" outlineLevel="2">
      <c r="A198" s="2459" t="s">
        <v>1669</v>
      </c>
      <c r="B198" s="2459" t="s">
        <v>1406</v>
      </c>
      <c r="C198" s="2459" t="s">
        <v>1670</v>
      </c>
      <c r="D198" s="2460" t="s">
        <v>1671</v>
      </c>
      <c r="E198" s="2461" t="s">
        <v>1573</v>
      </c>
      <c r="F198" s="2461" t="s">
        <v>1604</v>
      </c>
      <c r="G198" s="2461" t="s">
        <v>1412</v>
      </c>
      <c r="H198" s="2461" t="s">
        <v>1116</v>
      </c>
      <c r="I198" s="2462">
        <v>5.6365230334275054E-4</v>
      </c>
      <c r="J198" s="2462">
        <v>15.418055991004623</v>
      </c>
    </row>
    <row r="199" spans="1:10" outlineLevel="2">
      <c r="A199" s="2459" t="s">
        <v>1669</v>
      </c>
      <c r="B199" s="2459" t="s">
        <v>1406</v>
      </c>
      <c r="C199" s="2459" t="s">
        <v>1670</v>
      </c>
      <c r="D199" s="2460" t="s">
        <v>1671</v>
      </c>
      <c r="E199" s="2461" t="s">
        <v>1573</v>
      </c>
      <c r="F199" s="2461" t="s">
        <v>1605</v>
      </c>
      <c r="G199" s="2461" t="s">
        <v>1412</v>
      </c>
      <c r="H199" s="2461" t="s">
        <v>1116</v>
      </c>
      <c r="I199" s="2462">
        <v>3.9640505874714092E-2</v>
      </c>
      <c r="J199" s="2462">
        <v>1302.8401144311924</v>
      </c>
    </row>
    <row r="200" spans="1:10" outlineLevel="2">
      <c r="A200" s="2459" t="s">
        <v>1669</v>
      </c>
      <c r="B200" s="2459" t="s">
        <v>1406</v>
      </c>
      <c r="C200" s="2459" t="s">
        <v>1670</v>
      </c>
      <c r="D200" s="2460" t="s">
        <v>1671</v>
      </c>
      <c r="E200" s="2461" t="s">
        <v>1573</v>
      </c>
      <c r="F200" s="2461" t="s">
        <v>1606</v>
      </c>
      <c r="G200" s="2461" t="s">
        <v>1412</v>
      </c>
      <c r="H200" s="2461" t="s">
        <v>1116</v>
      </c>
      <c r="I200" s="2462">
        <v>7.0175298052410628E-3</v>
      </c>
      <c r="J200" s="2462">
        <v>568.89059303318254</v>
      </c>
    </row>
    <row r="201" spans="1:10" outlineLevel="2">
      <c r="A201" s="2459" t="s">
        <v>1669</v>
      </c>
      <c r="B201" s="2459" t="s">
        <v>1406</v>
      </c>
      <c r="C201" s="2459" t="s">
        <v>1670</v>
      </c>
      <c r="D201" s="2460" t="s">
        <v>1671</v>
      </c>
      <c r="E201" s="2461" t="s">
        <v>1573</v>
      </c>
      <c r="F201" s="2461" t="s">
        <v>1607</v>
      </c>
      <c r="G201" s="2461" t="s">
        <v>1439</v>
      </c>
      <c r="H201" s="2461" t="s">
        <v>1440</v>
      </c>
      <c r="I201" s="2462">
        <v>3.7585461588304289E-7</v>
      </c>
      <c r="J201" s="2462">
        <v>9.4203757105135108E-3</v>
      </c>
    </row>
    <row r="202" spans="1:10" outlineLevel="2">
      <c r="A202" s="2459" t="s">
        <v>1669</v>
      </c>
      <c r="B202" s="2459" t="s">
        <v>1406</v>
      </c>
      <c r="C202" s="2459" t="s">
        <v>1670</v>
      </c>
      <c r="D202" s="2460" t="s">
        <v>1671</v>
      </c>
      <c r="E202" s="2461" t="s">
        <v>1573</v>
      </c>
      <c r="F202" s="2461" t="s">
        <v>1608</v>
      </c>
      <c r="G202" s="2461" t="s">
        <v>1439</v>
      </c>
      <c r="H202" s="2461" t="s">
        <v>1440</v>
      </c>
      <c r="I202" s="2462">
        <v>4.4174086480330459E-5</v>
      </c>
      <c r="J202" s="2462">
        <v>2.474451869755403</v>
      </c>
    </row>
    <row r="203" spans="1:10" outlineLevel="2">
      <c r="A203" s="2459" t="s">
        <v>1669</v>
      </c>
      <c r="B203" s="2459" t="s">
        <v>1406</v>
      </c>
      <c r="C203" s="2459" t="s">
        <v>1670</v>
      </c>
      <c r="D203" s="2460" t="s">
        <v>1671</v>
      </c>
      <c r="E203" s="2461" t="s">
        <v>1573</v>
      </c>
      <c r="F203" s="2461" t="s">
        <v>1609</v>
      </c>
      <c r="G203" s="2461" t="s">
        <v>1439</v>
      </c>
      <c r="H203" s="2461" t="s">
        <v>1440</v>
      </c>
      <c r="I203" s="2462">
        <v>2.9725002441750793E-3</v>
      </c>
      <c r="J203" s="2462">
        <v>66.034510731561554</v>
      </c>
    </row>
    <row r="204" spans="1:10" outlineLevel="2">
      <c r="A204" s="2459" t="s">
        <v>1669</v>
      </c>
      <c r="B204" s="2459" t="s">
        <v>1406</v>
      </c>
      <c r="C204" s="2459" t="s">
        <v>1670</v>
      </c>
      <c r="D204" s="2460" t="s">
        <v>1671</v>
      </c>
      <c r="E204" s="2461" t="s">
        <v>1573</v>
      </c>
      <c r="F204" s="2461" t="s">
        <v>1610</v>
      </c>
      <c r="G204" s="2461" t="s">
        <v>1439</v>
      </c>
      <c r="H204" s="2461" t="s">
        <v>1440</v>
      </c>
      <c r="I204" s="2462">
        <v>7.8171468623501779E-4</v>
      </c>
      <c r="J204" s="2462">
        <v>13.631629096807469</v>
      </c>
    </row>
    <row r="205" spans="1:10" outlineLevel="2">
      <c r="A205" s="2459" t="s">
        <v>1669</v>
      </c>
      <c r="B205" s="2459" t="s">
        <v>1406</v>
      </c>
      <c r="C205" s="2459" t="s">
        <v>1670</v>
      </c>
      <c r="D205" s="2460" t="s">
        <v>1671</v>
      </c>
      <c r="E205" s="2461" t="s">
        <v>1573</v>
      </c>
      <c r="F205" s="2461" t="s">
        <v>1611</v>
      </c>
      <c r="G205" s="2461" t="s">
        <v>1439</v>
      </c>
      <c r="H205" s="2461" t="s">
        <v>1440</v>
      </c>
      <c r="I205" s="2462">
        <v>1.8476675742677561E-3</v>
      </c>
      <c r="J205" s="2462">
        <v>90.018211815699487</v>
      </c>
    </row>
    <row r="206" spans="1:10" outlineLevel="2">
      <c r="A206" s="2459" t="s">
        <v>1669</v>
      </c>
      <c r="B206" s="2459" t="s">
        <v>1406</v>
      </c>
      <c r="C206" s="2459" t="s">
        <v>1670</v>
      </c>
      <c r="D206" s="2460" t="s">
        <v>1671</v>
      </c>
      <c r="E206" s="2461" t="s">
        <v>1573</v>
      </c>
      <c r="F206" s="2461" t="s">
        <v>1612</v>
      </c>
      <c r="G206" s="2461" t="s">
        <v>1439</v>
      </c>
      <c r="H206" s="2461" t="s">
        <v>1440</v>
      </c>
      <c r="I206" s="2462">
        <v>3.1686705293236094E-4</v>
      </c>
      <c r="J206" s="2462">
        <v>10.606412147500976</v>
      </c>
    </row>
    <row r="207" spans="1:10" outlineLevel="2">
      <c r="A207" s="2459" t="s">
        <v>1669</v>
      </c>
      <c r="B207" s="2459" t="s">
        <v>1406</v>
      </c>
      <c r="C207" s="2459" t="s">
        <v>1670</v>
      </c>
      <c r="D207" s="2460" t="s">
        <v>1671</v>
      </c>
      <c r="E207" s="2461" t="s">
        <v>1573</v>
      </c>
      <c r="F207" s="2461" t="s">
        <v>1613</v>
      </c>
      <c r="G207" s="2461" t="s">
        <v>1439</v>
      </c>
      <c r="H207" s="2461" t="s">
        <v>1440</v>
      </c>
      <c r="I207" s="2462">
        <v>8.9086737819051983E-6</v>
      </c>
      <c r="J207" s="2462">
        <v>0.26932008826877124</v>
      </c>
    </row>
    <row r="208" spans="1:10" outlineLevel="2">
      <c r="A208" s="2459" t="s">
        <v>1669</v>
      </c>
      <c r="B208" s="2459" t="s">
        <v>1406</v>
      </c>
      <c r="C208" s="2459" t="s">
        <v>1670</v>
      </c>
      <c r="D208" s="2460" t="s">
        <v>1671</v>
      </c>
      <c r="E208" s="2461" t="s">
        <v>1573</v>
      </c>
      <c r="F208" s="2461" t="s">
        <v>1614</v>
      </c>
      <c r="G208" s="2461" t="s">
        <v>1418</v>
      </c>
      <c r="H208" s="2461" t="s">
        <v>1452</v>
      </c>
      <c r="I208" s="2462">
        <v>1.5936410265300282E-6</v>
      </c>
      <c r="J208" s="2462">
        <v>1.3621491695657639E-2</v>
      </c>
    </row>
    <row r="209" spans="1:10" outlineLevel="2">
      <c r="A209" s="2459" t="s">
        <v>1669</v>
      </c>
      <c r="B209" s="2459" t="s">
        <v>1406</v>
      </c>
      <c r="C209" s="2459" t="s">
        <v>1670</v>
      </c>
      <c r="D209" s="2460" t="s">
        <v>1671</v>
      </c>
      <c r="E209" s="2461" t="s">
        <v>1573</v>
      </c>
      <c r="F209" s="2461" t="s">
        <v>1615</v>
      </c>
      <c r="G209" s="2461" t="s">
        <v>1418</v>
      </c>
      <c r="H209" s="2461" t="s">
        <v>1452</v>
      </c>
      <c r="I209" s="2462">
        <v>9.6399764426918638E-3</v>
      </c>
      <c r="J209" s="2462">
        <v>565.5940263764262</v>
      </c>
    </row>
    <row r="210" spans="1:10" outlineLevel="2">
      <c r="A210" s="2459" t="s">
        <v>1669</v>
      </c>
      <c r="B210" s="2459" t="s">
        <v>1406</v>
      </c>
      <c r="C210" s="2459" t="s">
        <v>1670</v>
      </c>
      <c r="D210" s="2460" t="s">
        <v>1671</v>
      </c>
      <c r="E210" s="2461" t="s">
        <v>1573</v>
      </c>
      <c r="F210" s="2461" t="s">
        <v>1616</v>
      </c>
      <c r="G210" s="2461" t="s">
        <v>1418</v>
      </c>
      <c r="H210" s="2461" t="s">
        <v>1452</v>
      </c>
      <c r="I210" s="2462">
        <v>4.6010628961267456E-4</v>
      </c>
      <c r="J210" s="2462">
        <v>50.710320420701528</v>
      </c>
    </row>
    <row r="211" spans="1:10" outlineLevel="2">
      <c r="A211" s="2459" t="s">
        <v>1669</v>
      </c>
      <c r="B211" s="2459" t="s">
        <v>1406</v>
      </c>
      <c r="C211" s="2459" t="s">
        <v>1670</v>
      </c>
      <c r="D211" s="2460" t="s">
        <v>1671</v>
      </c>
      <c r="E211" s="2461" t="s">
        <v>1573</v>
      </c>
      <c r="F211" s="2461" t="s">
        <v>1617</v>
      </c>
      <c r="G211" s="2461" t="s">
        <v>1418</v>
      </c>
      <c r="H211" s="2461" t="s">
        <v>1452</v>
      </c>
      <c r="I211" s="2462">
        <v>3.6546573295085764E-6</v>
      </c>
      <c r="J211" s="2462">
        <v>0.28068523393968392</v>
      </c>
    </row>
    <row r="212" spans="1:10" outlineLevel="2">
      <c r="A212" s="2459" t="s">
        <v>1669</v>
      </c>
      <c r="B212" s="2459" t="s">
        <v>1406</v>
      </c>
      <c r="C212" s="2459" t="s">
        <v>1670</v>
      </c>
      <c r="D212" s="2460" t="s">
        <v>1671</v>
      </c>
      <c r="E212" s="2461" t="s">
        <v>1573</v>
      </c>
      <c r="F212" s="2461" t="s">
        <v>1618</v>
      </c>
      <c r="G212" s="2461" t="s">
        <v>1418</v>
      </c>
      <c r="H212" s="2461" t="s">
        <v>1452</v>
      </c>
      <c r="I212" s="2462">
        <v>7.1242335977786813E-7</v>
      </c>
      <c r="J212" s="2462">
        <v>5.8963417441724973E-2</v>
      </c>
    </row>
    <row r="213" spans="1:10" outlineLevel="2">
      <c r="A213" s="2459" t="s">
        <v>1669</v>
      </c>
      <c r="B213" s="2459" t="s">
        <v>1406</v>
      </c>
      <c r="C213" s="2459" t="s">
        <v>1670</v>
      </c>
      <c r="D213" s="2460" t="s">
        <v>1671</v>
      </c>
      <c r="E213" s="2461" t="s">
        <v>1573</v>
      </c>
      <c r="F213" s="2461" t="s">
        <v>1619</v>
      </c>
      <c r="G213" s="2461" t="s">
        <v>1418</v>
      </c>
      <c r="H213" s="2461" t="s">
        <v>1452</v>
      </c>
      <c r="I213" s="2462">
        <v>4.6770495307257802E-5</v>
      </c>
      <c r="J213" s="2462">
        <v>4.3004568643507328</v>
      </c>
    </row>
    <row r="214" spans="1:10" outlineLevel="2">
      <c r="A214" s="2459" t="s">
        <v>1669</v>
      </c>
      <c r="B214" s="2459" t="s">
        <v>1406</v>
      </c>
      <c r="C214" s="2459" t="s">
        <v>1670</v>
      </c>
      <c r="D214" s="2460" t="s">
        <v>1671</v>
      </c>
      <c r="E214" s="2461" t="s">
        <v>1573</v>
      </c>
      <c r="F214" s="2461" t="s">
        <v>1620</v>
      </c>
      <c r="G214" s="2461" t="s">
        <v>1418</v>
      </c>
      <c r="H214" s="2461" t="s">
        <v>1452</v>
      </c>
      <c r="I214" s="2462">
        <v>9.8884839360735464E-8</v>
      </c>
      <c r="J214" s="2462">
        <v>1.189803874112279E-2</v>
      </c>
    </row>
    <row r="215" spans="1:10" outlineLevel="2">
      <c r="A215" s="2459" t="s">
        <v>1669</v>
      </c>
      <c r="B215" s="2459" t="s">
        <v>1406</v>
      </c>
      <c r="C215" s="2459" t="s">
        <v>1670</v>
      </c>
      <c r="D215" s="2460" t="s">
        <v>1671</v>
      </c>
      <c r="E215" s="2461" t="s">
        <v>1573</v>
      </c>
      <c r="F215" s="2461" t="s">
        <v>1621</v>
      </c>
      <c r="G215" s="2461" t="s">
        <v>1418</v>
      </c>
      <c r="H215" s="2461" t="s">
        <v>1452</v>
      </c>
      <c r="I215" s="2462">
        <v>4.2096387410862381E-5</v>
      </c>
      <c r="J215" s="2462">
        <v>3.9763412281670751</v>
      </c>
    </row>
    <row r="216" spans="1:10" outlineLevel="2">
      <c r="A216" s="2459" t="s">
        <v>1669</v>
      </c>
      <c r="B216" s="2459" t="s">
        <v>1406</v>
      </c>
      <c r="C216" s="2459" t="s">
        <v>1670</v>
      </c>
      <c r="D216" s="2460" t="s">
        <v>1671</v>
      </c>
      <c r="E216" s="2461" t="s">
        <v>1573</v>
      </c>
      <c r="F216" s="2461" t="s">
        <v>1622</v>
      </c>
      <c r="G216" s="2461" t="s">
        <v>1418</v>
      </c>
      <c r="H216" s="2461" t="s">
        <v>1452</v>
      </c>
      <c r="I216" s="2462">
        <v>1.2446547082752718E-4</v>
      </c>
      <c r="J216" s="2462">
        <v>11.065503670944043</v>
      </c>
    </row>
    <row r="217" spans="1:10" outlineLevel="2">
      <c r="A217" s="2459" t="s">
        <v>1669</v>
      </c>
      <c r="B217" s="2459" t="s">
        <v>1406</v>
      </c>
      <c r="C217" s="2459" t="s">
        <v>1670</v>
      </c>
      <c r="D217" s="2460" t="s">
        <v>1671</v>
      </c>
      <c r="E217" s="2461" t="s">
        <v>1573</v>
      </c>
      <c r="F217" s="2461" t="s">
        <v>1623</v>
      </c>
      <c r="G217" s="2461" t="s">
        <v>1418</v>
      </c>
      <c r="H217" s="2461" t="s">
        <v>1452</v>
      </c>
      <c r="I217" s="2462">
        <v>1.8876658005991049E-4</v>
      </c>
      <c r="J217" s="2462">
        <v>8.15938836685004</v>
      </c>
    </row>
    <row r="218" spans="1:10" outlineLevel="2">
      <c r="A218" s="2459" t="s">
        <v>1669</v>
      </c>
      <c r="B218" s="2459" t="s">
        <v>1406</v>
      </c>
      <c r="C218" s="2459" t="s">
        <v>1670</v>
      </c>
      <c r="D218" s="2460" t="s">
        <v>1671</v>
      </c>
      <c r="E218" s="2461" t="s">
        <v>1573</v>
      </c>
      <c r="F218" s="2461" t="s">
        <v>1624</v>
      </c>
      <c r="G218" s="2461" t="s">
        <v>1421</v>
      </c>
      <c r="H218" s="2461" t="s">
        <v>1454</v>
      </c>
      <c r="I218" s="2462">
        <v>1.1683914220979055E-2</v>
      </c>
      <c r="J218" s="2462">
        <v>427.24533192645958</v>
      </c>
    </row>
    <row r="219" spans="1:10" outlineLevel="2">
      <c r="A219" s="2459" t="s">
        <v>1669</v>
      </c>
      <c r="B219" s="2459" t="s">
        <v>1406</v>
      </c>
      <c r="C219" s="2459" t="s">
        <v>1670</v>
      </c>
      <c r="D219" s="2460" t="s">
        <v>1671</v>
      </c>
      <c r="E219" s="2461" t="s">
        <v>1573</v>
      </c>
      <c r="F219" s="2461" t="s">
        <v>1625</v>
      </c>
      <c r="G219" s="2461" t="s">
        <v>1421</v>
      </c>
      <c r="H219" s="2461" t="s">
        <v>1454</v>
      </c>
      <c r="I219" s="2462">
        <v>2.7554258966484483E-3</v>
      </c>
      <c r="J219" s="2462">
        <v>100.83770017781221</v>
      </c>
    </row>
    <row r="220" spans="1:10" outlineLevel="2">
      <c r="A220" s="2459" t="s">
        <v>1669</v>
      </c>
      <c r="B220" s="2459" t="s">
        <v>1406</v>
      </c>
      <c r="C220" s="2459" t="s">
        <v>1670</v>
      </c>
      <c r="D220" s="2460" t="s">
        <v>1671</v>
      </c>
      <c r="E220" s="2461" t="s">
        <v>1573</v>
      </c>
      <c r="F220" s="2461" t="s">
        <v>1626</v>
      </c>
      <c r="G220" s="2461" t="s">
        <v>1421</v>
      </c>
      <c r="H220" s="2461" t="s">
        <v>1454</v>
      </c>
      <c r="I220" s="2462">
        <v>7.7333213903265389E-3</v>
      </c>
      <c r="J220" s="2462">
        <v>279.7619045279784</v>
      </c>
    </row>
    <row r="221" spans="1:10" outlineLevel="2">
      <c r="A221" s="2459" t="s">
        <v>1669</v>
      </c>
      <c r="B221" s="2459" t="s">
        <v>1406</v>
      </c>
      <c r="C221" s="2459" t="s">
        <v>1670</v>
      </c>
      <c r="D221" s="2460" t="s">
        <v>1671</v>
      </c>
      <c r="E221" s="2461" t="s">
        <v>1573</v>
      </c>
      <c r="F221" s="2461" t="s">
        <v>1627</v>
      </c>
      <c r="G221" s="2461" t="s">
        <v>1421</v>
      </c>
      <c r="H221" s="2461" t="s">
        <v>1454</v>
      </c>
      <c r="I221" s="2462">
        <v>6.5301474854260362E-3</v>
      </c>
      <c r="J221" s="2462">
        <v>142.04366032990811</v>
      </c>
    </row>
    <row r="222" spans="1:10" outlineLevel="2">
      <c r="A222" s="2459" t="s">
        <v>1669</v>
      </c>
      <c r="B222" s="2459" t="s">
        <v>1406</v>
      </c>
      <c r="C222" s="2459" t="s">
        <v>1670</v>
      </c>
      <c r="D222" s="2460" t="s">
        <v>1671</v>
      </c>
      <c r="E222" s="2461" t="s">
        <v>1573</v>
      </c>
      <c r="F222" s="2461" t="s">
        <v>1628</v>
      </c>
      <c r="G222" s="2461" t="s">
        <v>1421</v>
      </c>
      <c r="H222" s="2461" t="s">
        <v>1454</v>
      </c>
      <c r="I222" s="2462">
        <v>3.2483816190121605E-4</v>
      </c>
      <c r="J222" s="2462">
        <v>13.661035106483661</v>
      </c>
    </row>
    <row r="223" spans="1:10" outlineLevel="2">
      <c r="A223" s="2459" t="s">
        <v>1669</v>
      </c>
      <c r="B223" s="2459" t="s">
        <v>1406</v>
      </c>
      <c r="C223" s="2459" t="s">
        <v>1670</v>
      </c>
      <c r="D223" s="2460" t="s">
        <v>1671</v>
      </c>
      <c r="E223" s="2461" t="s">
        <v>1573</v>
      </c>
      <c r="F223" s="2461" t="s">
        <v>1629</v>
      </c>
      <c r="G223" s="2461" t="s">
        <v>1421</v>
      </c>
      <c r="H223" s="2461" t="s">
        <v>1454</v>
      </c>
      <c r="I223" s="2462">
        <v>3.7580073935678264E-4</v>
      </c>
      <c r="J223" s="2462">
        <v>12.091112922909236</v>
      </c>
    </row>
    <row r="224" spans="1:10" outlineLevel="2">
      <c r="A224" s="2459" t="s">
        <v>1669</v>
      </c>
      <c r="B224" s="2459" t="s">
        <v>1406</v>
      </c>
      <c r="C224" s="2459" t="s">
        <v>1670</v>
      </c>
      <c r="D224" s="2460" t="s">
        <v>1671</v>
      </c>
      <c r="E224" s="2461" t="s">
        <v>1573</v>
      </c>
      <c r="F224" s="2461" t="s">
        <v>1630</v>
      </c>
      <c r="G224" s="2461" t="s">
        <v>1459</v>
      </c>
      <c r="H224" s="2461" t="s">
        <v>1460</v>
      </c>
      <c r="I224" s="2462">
        <v>8.630780199352598E-3</v>
      </c>
      <c r="J224" s="2462">
        <v>565.64258361239717</v>
      </c>
    </row>
    <row r="225" spans="1:10" outlineLevel="2">
      <c r="A225" s="2459" t="s">
        <v>1669</v>
      </c>
      <c r="B225" s="2459" t="s">
        <v>1406</v>
      </c>
      <c r="C225" s="2459" t="s">
        <v>1670</v>
      </c>
      <c r="D225" s="2460" t="s">
        <v>1671</v>
      </c>
      <c r="E225" s="2461" t="s">
        <v>1573</v>
      </c>
      <c r="F225" s="2461" t="s">
        <v>1631</v>
      </c>
      <c r="G225" s="2461" t="s">
        <v>1632</v>
      </c>
      <c r="H225" s="2461" t="s">
        <v>1070</v>
      </c>
      <c r="I225" s="2462">
        <v>6.1946442453930173E-4</v>
      </c>
      <c r="J225" s="2462">
        <v>6.0527728430742407</v>
      </c>
    </row>
    <row r="226" spans="1:10" outlineLevel="2">
      <c r="A226" s="2459" t="s">
        <v>1669</v>
      </c>
      <c r="B226" s="2459" t="s">
        <v>1406</v>
      </c>
      <c r="C226" s="2459" t="s">
        <v>1670</v>
      </c>
      <c r="D226" s="2460" t="s">
        <v>1671</v>
      </c>
      <c r="E226" s="2461" t="s">
        <v>1573</v>
      </c>
      <c r="F226" s="2461" t="s">
        <v>1633</v>
      </c>
      <c r="G226" s="2461" t="s">
        <v>215</v>
      </c>
      <c r="H226" s="2461" t="s">
        <v>1537</v>
      </c>
      <c r="I226" s="2462">
        <v>4.5739289976211598E-3</v>
      </c>
      <c r="J226" s="2462">
        <v>101.9719284647397</v>
      </c>
    </row>
    <row r="227" spans="1:10" outlineLevel="2">
      <c r="A227" s="2459" t="s">
        <v>1669</v>
      </c>
      <c r="B227" s="2459" t="s">
        <v>1634</v>
      </c>
      <c r="C227" s="2459" t="s">
        <v>1672</v>
      </c>
      <c r="D227" s="2460" t="s">
        <v>1671</v>
      </c>
      <c r="E227" s="2461" t="s">
        <v>1407</v>
      </c>
      <c r="F227" s="2461" t="s">
        <v>1408</v>
      </c>
      <c r="G227" s="2461" t="s">
        <v>1409</v>
      </c>
      <c r="H227" s="2461" t="s">
        <v>1410</v>
      </c>
      <c r="I227" s="2462">
        <v>2.4464302430857024E-2</v>
      </c>
      <c r="J227" s="2462">
        <v>0.35987560037329785</v>
      </c>
    </row>
    <row r="228" spans="1:10" outlineLevel="2">
      <c r="A228" s="2459" t="s">
        <v>1669</v>
      </c>
      <c r="B228" s="2459" t="s">
        <v>1634</v>
      </c>
      <c r="C228" s="2459" t="s">
        <v>1672</v>
      </c>
      <c r="D228" s="2460" t="s">
        <v>1671</v>
      </c>
      <c r="E228" s="2461" t="s">
        <v>1407</v>
      </c>
      <c r="F228" s="2461" t="s">
        <v>1411</v>
      </c>
      <c r="G228" s="2461" t="s">
        <v>1412</v>
      </c>
      <c r="H228" s="2461" t="s">
        <v>1410</v>
      </c>
      <c r="I228" s="2462">
        <v>6.0608742917230982</v>
      </c>
      <c r="J228" s="2462">
        <v>984.24951274179341</v>
      </c>
    </row>
    <row r="229" spans="1:10" outlineLevel="2">
      <c r="A229" s="2459" t="s">
        <v>1669</v>
      </c>
      <c r="B229" s="2459" t="s">
        <v>1634</v>
      </c>
      <c r="C229" s="2459" t="s">
        <v>1672</v>
      </c>
      <c r="D229" s="2460" t="s">
        <v>1671</v>
      </c>
      <c r="E229" s="2461" t="s">
        <v>1407</v>
      </c>
      <c r="F229" s="2461" t="s">
        <v>1413</v>
      </c>
      <c r="G229" s="2461" t="s">
        <v>1412</v>
      </c>
      <c r="H229" s="2461" t="s">
        <v>1410</v>
      </c>
      <c r="I229" s="2462">
        <v>4.9220288474761129E-3</v>
      </c>
      <c r="J229" s="2462">
        <v>0.83383357643601907</v>
      </c>
    </row>
    <row r="230" spans="1:10" outlineLevel="2">
      <c r="A230" s="2459" t="s">
        <v>1669</v>
      </c>
      <c r="B230" s="2459" t="s">
        <v>1634</v>
      </c>
      <c r="C230" s="2459" t="s">
        <v>1672</v>
      </c>
      <c r="D230" s="2460" t="s">
        <v>1671</v>
      </c>
      <c r="E230" s="2461" t="s">
        <v>1407</v>
      </c>
      <c r="F230" s="2461" t="s">
        <v>1414</v>
      </c>
      <c r="G230" s="2461" t="s">
        <v>1412</v>
      </c>
      <c r="H230" s="2461" t="s">
        <v>1410</v>
      </c>
      <c r="I230" s="2462">
        <v>2.4734503881524393E-3</v>
      </c>
      <c r="J230" s="2462">
        <v>0.45438276432343516</v>
      </c>
    </row>
    <row r="231" spans="1:10" outlineLevel="2">
      <c r="A231" s="2459" t="s">
        <v>1669</v>
      </c>
      <c r="B231" s="2459" t="s">
        <v>1634</v>
      </c>
      <c r="C231" s="2459" t="s">
        <v>1672</v>
      </c>
      <c r="D231" s="2460" t="s">
        <v>1671</v>
      </c>
      <c r="E231" s="2461" t="s">
        <v>1407</v>
      </c>
      <c r="F231" s="2461" t="s">
        <v>1415</v>
      </c>
      <c r="G231" s="2461" t="s">
        <v>1412</v>
      </c>
      <c r="H231" s="2461" t="s">
        <v>1410</v>
      </c>
      <c r="I231" s="2462">
        <v>2.1260303339230648E-2</v>
      </c>
      <c r="J231" s="2462">
        <v>3.386575407673003</v>
      </c>
    </row>
    <row r="232" spans="1:10" outlineLevel="2">
      <c r="A232" s="2459" t="s">
        <v>1669</v>
      </c>
      <c r="B232" s="2459" t="s">
        <v>1634</v>
      </c>
      <c r="C232" s="2459" t="s">
        <v>1672</v>
      </c>
      <c r="D232" s="2460" t="s">
        <v>1671</v>
      </c>
      <c r="E232" s="2461" t="s">
        <v>1407</v>
      </c>
      <c r="F232" s="2461" t="s">
        <v>1416</v>
      </c>
      <c r="G232" s="2461" t="s">
        <v>1412</v>
      </c>
      <c r="H232" s="2461" t="s">
        <v>1410</v>
      </c>
      <c r="I232" s="2462">
        <v>2.2640083295758052E-2</v>
      </c>
      <c r="J232" s="2462">
        <v>5.5692669319305628</v>
      </c>
    </row>
    <row r="233" spans="1:10" outlineLevel="2">
      <c r="A233" s="2459" t="s">
        <v>1669</v>
      </c>
      <c r="B233" s="2459" t="s">
        <v>1634</v>
      </c>
      <c r="C233" s="2459" t="s">
        <v>1672</v>
      </c>
      <c r="D233" s="2460" t="s">
        <v>1671</v>
      </c>
      <c r="E233" s="2461" t="s">
        <v>1407</v>
      </c>
      <c r="F233" s="2461" t="s">
        <v>1417</v>
      </c>
      <c r="G233" s="2461" t="s">
        <v>1418</v>
      </c>
      <c r="H233" s="2461" t="s">
        <v>1410</v>
      </c>
      <c r="I233" s="2462">
        <v>1.7800034874653147E-3</v>
      </c>
      <c r="J233" s="2462">
        <v>2.3643623660414156E-2</v>
      </c>
    </row>
    <row r="234" spans="1:10" outlineLevel="2">
      <c r="A234" s="2459" t="s">
        <v>1669</v>
      </c>
      <c r="B234" s="2459" t="s">
        <v>1634</v>
      </c>
      <c r="C234" s="2459" t="s">
        <v>1672</v>
      </c>
      <c r="D234" s="2460" t="s">
        <v>1671</v>
      </c>
      <c r="E234" s="2461" t="s">
        <v>1407</v>
      </c>
      <c r="F234" s="2461" t="s">
        <v>1419</v>
      </c>
      <c r="G234" s="2461" t="s">
        <v>1418</v>
      </c>
      <c r="H234" s="2461" t="s">
        <v>1410</v>
      </c>
      <c r="I234" s="2462">
        <v>1.3212676424856819E-2</v>
      </c>
      <c r="J234" s="2462">
        <v>2.5660296058183025</v>
      </c>
    </row>
    <row r="235" spans="1:10" outlineLevel="2">
      <c r="A235" s="2459" t="s">
        <v>1669</v>
      </c>
      <c r="B235" s="2459" t="s">
        <v>1634</v>
      </c>
      <c r="C235" s="2459" t="s">
        <v>1672</v>
      </c>
      <c r="D235" s="2460" t="s">
        <v>1671</v>
      </c>
      <c r="E235" s="2461" t="s">
        <v>1407</v>
      </c>
      <c r="F235" s="2461" t="s">
        <v>1420</v>
      </c>
      <c r="G235" s="2461" t="s">
        <v>1421</v>
      </c>
      <c r="H235" s="2461" t="s">
        <v>1410</v>
      </c>
      <c r="I235" s="2462">
        <v>6.6022174730281149</v>
      </c>
      <c r="J235" s="2462">
        <v>171.34506848645225</v>
      </c>
    </row>
    <row r="236" spans="1:10" outlineLevel="2">
      <c r="A236" s="2459" t="s">
        <v>1669</v>
      </c>
      <c r="B236" s="2459" t="s">
        <v>1634</v>
      </c>
      <c r="C236" s="2459" t="s">
        <v>1672</v>
      </c>
      <c r="D236" s="2460" t="s">
        <v>1671</v>
      </c>
      <c r="E236" s="2461" t="s">
        <v>1407</v>
      </c>
      <c r="F236" s="2461" t="s">
        <v>1422</v>
      </c>
      <c r="G236" s="2461" t="s">
        <v>1421</v>
      </c>
      <c r="H236" s="2461" t="s">
        <v>1410</v>
      </c>
      <c r="I236" s="2462">
        <v>0.19965007425808939</v>
      </c>
      <c r="J236" s="2462">
        <v>8.180307441296641</v>
      </c>
    </row>
    <row r="237" spans="1:10" outlineLevel="2">
      <c r="A237" s="2459" t="s">
        <v>1669</v>
      </c>
      <c r="B237" s="2459" t="s">
        <v>1634</v>
      </c>
      <c r="C237" s="2459" t="s">
        <v>1672</v>
      </c>
      <c r="D237" s="2460" t="s">
        <v>1671</v>
      </c>
      <c r="E237" s="2461" t="s">
        <v>1407</v>
      </c>
      <c r="F237" s="2461" t="s">
        <v>1423</v>
      </c>
      <c r="G237" s="2461" t="s">
        <v>1421</v>
      </c>
      <c r="H237" s="2461" t="s">
        <v>1410</v>
      </c>
      <c r="I237" s="2462">
        <v>0.10377325183669595</v>
      </c>
      <c r="J237" s="2462">
        <v>11.95867974671793</v>
      </c>
    </row>
    <row r="238" spans="1:10" outlineLevel="2">
      <c r="A238" s="2459" t="s">
        <v>1669</v>
      </c>
      <c r="B238" s="2459" t="s">
        <v>1634</v>
      </c>
      <c r="C238" s="2459" t="s">
        <v>1672</v>
      </c>
      <c r="D238" s="2460" t="s">
        <v>1671</v>
      </c>
      <c r="E238" s="2461" t="s">
        <v>1407</v>
      </c>
      <c r="F238" s="2461" t="s">
        <v>1424</v>
      </c>
      <c r="G238" s="2461" t="s">
        <v>1421</v>
      </c>
      <c r="H238" s="2461" t="s">
        <v>1410</v>
      </c>
      <c r="I238" s="2462">
        <v>2.0293394996306438</v>
      </c>
      <c r="J238" s="2462">
        <v>424.67082747413951</v>
      </c>
    </row>
    <row r="239" spans="1:10" outlineLevel="2">
      <c r="A239" s="2459" t="s">
        <v>1669</v>
      </c>
      <c r="B239" s="2459" t="s">
        <v>1634</v>
      </c>
      <c r="C239" s="2459" t="s">
        <v>1672</v>
      </c>
      <c r="D239" s="2460" t="s">
        <v>1671</v>
      </c>
      <c r="E239" s="2461" t="s">
        <v>213</v>
      </c>
      <c r="F239" s="2461" t="s">
        <v>1425</v>
      </c>
      <c r="G239" s="2461" t="s">
        <v>1426</v>
      </c>
      <c r="H239" s="2461" t="s">
        <v>1427</v>
      </c>
      <c r="I239" s="2462">
        <v>1.2541844371136988</v>
      </c>
      <c r="J239" s="2462">
        <v>360.36771856418113</v>
      </c>
    </row>
    <row r="240" spans="1:10" outlineLevel="2">
      <c r="A240" s="2459" t="s">
        <v>1669</v>
      </c>
      <c r="B240" s="2459" t="s">
        <v>1634</v>
      </c>
      <c r="C240" s="2459" t="s">
        <v>1672</v>
      </c>
      <c r="D240" s="2460" t="s">
        <v>1671</v>
      </c>
      <c r="E240" s="2461" t="s">
        <v>213</v>
      </c>
      <c r="F240" s="2461" t="s">
        <v>1428</v>
      </c>
      <c r="G240" s="2461" t="s">
        <v>1426</v>
      </c>
      <c r="H240" s="2461" t="s">
        <v>1427</v>
      </c>
      <c r="I240" s="2462">
        <v>0.38310397222494075</v>
      </c>
      <c r="J240" s="2462">
        <v>154.76357178554861</v>
      </c>
    </row>
    <row r="241" spans="1:10" outlineLevel="2">
      <c r="A241" s="2459" t="s">
        <v>1669</v>
      </c>
      <c r="B241" s="2459" t="s">
        <v>1634</v>
      </c>
      <c r="C241" s="2459" t="s">
        <v>1672</v>
      </c>
      <c r="D241" s="2460" t="s">
        <v>1671</v>
      </c>
      <c r="E241" s="2461" t="s">
        <v>213</v>
      </c>
      <c r="F241" s="2461" t="s">
        <v>1429</v>
      </c>
      <c r="G241" s="2461" t="s">
        <v>1426</v>
      </c>
      <c r="H241" s="2461" t="s">
        <v>1427</v>
      </c>
      <c r="I241" s="2462">
        <v>0.17437131520028731</v>
      </c>
      <c r="J241" s="2462">
        <v>224.25450089378447</v>
      </c>
    </row>
    <row r="242" spans="1:10" outlineLevel="2">
      <c r="A242" s="2459" t="s">
        <v>1669</v>
      </c>
      <c r="B242" s="2459" t="s">
        <v>1634</v>
      </c>
      <c r="C242" s="2459" t="s">
        <v>1672</v>
      </c>
      <c r="D242" s="2460" t="s">
        <v>1671</v>
      </c>
      <c r="E242" s="2461" t="s">
        <v>213</v>
      </c>
      <c r="F242" s="2461" t="s">
        <v>1430</v>
      </c>
      <c r="G242" s="2461" t="s">
        <v>1409</v>
      </c>
      <c r="H242" s="2461" t="s">
        <v>1070</v>
      </c>
      <c r="I242" s="2462">
        <v>7.5620484365543056E-2</v>
      </c>
      <c r="J242" s="2462">
        <v>46.92099898411098</v>
      </c>
    </row>
    <row r="243" spans="1:10" outlineLevel="2">
      <c r="A243" s="2459" t="s">
        <v>1669</v>
      </c>
      <c r="B243" s="2459" t="s">
        <v>1634</v>
      </c>
      <c r="C243" s="2459" t="s">
        <v>1672</v>
      </c>
      <c r="D243" s="2460" t="s">
        <v>1671</v>
      </c>
      <c r="E243" s="2461" t="s">
        <v>213</v>
      </c>
      <c r="F243" s="2461" t="s">
        <v>1431</v>
      </c>
      <c r="G243" s="2461" t="s">
        <v>1409</v>
      </c>
      <c r="H243" s="2461" t="s">
        <v>1070</v>
      </c>
      <c r="I243" s="2462">
        <v>6.2757008045837472E-3</v>
      </c>
      <c r="J243" s="2462">
        <v>3.0393618004469074</v>
      </c>
    </row>
    <row r="244" spans="1:10" outlineLevel="2">
      <c r="A244" s="2459" t="s">
        <v>1669</v>
      </c>
      <c r="B244" s="2459" t="s">
        <v>1634</v>
      </c>
      <c r="C244" s="2459" t="s">
        <v>1672</v>
      </c>
      <c r="D244" s="2460" t="s">
        <v>1671</v>
      </c>
      <c r="E244" s="2461" t="s">
        <v>213</v>
      </c>
      <c r="F244" s="2461" t="s">
        <v>1432</v>
      </c>
      <c r="G244" s="2461" t="s">
        <v>1409</v>
      </c>
      <c r="H244" s="2461" t="s">
        <v>1070</v>
      </c>
      <c r="I244" s="2462">
        <v>7.6053257049917304E-3</v>
      </c>
      <c r="J244" s="2462">
        <v>3.6329012385348824</v>
      </c>
    </row>
    <row r="245" spans="1:10" outlineLevel="2">
      <c r="A245" s="2459" t="s">
        <v>1669</v>
      </c>
      <c r="B245" s="2459" t="s">
        <v>1634</v>
      </c>
      <c r="C245" s="2459" t="s">
        <v>1672</v>
      </c>
      <c r="D245" s="2460" t="s">
        <v>1671</v>
      </c>
      <c r="E245" s="2461" t="s">
        <v>213</v>
      </c>
      <c r="F245" s="2461" t="s">
        <v>1433</v>
      </c>
      <c r="G245" s="2461" t="s">
        <v>1409</v>
      </c>
      <c r="H245" s="2461" t="s">
        <v>1070</v>
      </c>
      <c r="I245" s="2462">
        <v>5.6244682712194177E-5</v>
      </c>
      <c r="J245" s="2462">
        <v>2.5172096615128332E-2</v>
      </c>
    </row>
    <row r="246" spans="1:10" outlineLevel="2">
      <c r="A246" s="2459" t="s">
        <v>1669</v>
      </c>
      <c r="B246" s="2459" t="s">
        <v>1634</v>
      </c>
      <c r="C246" s="2459" t="s">
        <v>1672</v>
      </c>
      <c r="D246" s="2460" t="s">
        <v>1671</v>
      </c>
      <c r="E246" s="2461" t="s">
        <v>213</v>
      </c>
      <c r="F246" s="2461" t="s">
        <v>1434</v>
      </c>
      <c r="G246" s="2461" t="s">
        <v>1409</v>
      </c>
      <c r="H246" s="2461" t="s">
        <v>1070</v>
      </c>
      <c r="I246" s="2462">
        <v>0.21679586640893653</v>
      </c>
      <c r="J246" s="2462">
        <v>121.05537899665416</v>
      </c>
    </row>
    <row r="247" spans="1:10" outlineLevel="2">
      <c r="A247" s="2459" t="s">
        <v>1669</v>
      </c>
      <c r="B247" s="2459" t="s">
        <v>1634</v>
      </c>
      <c r="C247" s="2459" t="s">
        <v>1672</v>
      </c>
      <c r="D247" s="2460" t="s">
        <v>1671</v>
      </c>
      <c r="E247" s="2461" t="s">
        <v>213</v>
      </c>
      <c r="F247" s="2461" t="s">
        <v>1435</v>
      </c>
      <c r="G247" s="2461" t="s">
        <v>1409</v>
      </c>
      <c r="H247" s="2461" t="s">
        <v>1070</v>
      </c>
      <c r="I247" s="2462">
        <v>1.5851420755340869E-3</v>
      </c>
      <c r="J247" s="2462">
        <v>0.70942503798666956</v>
      </c>
    </row>
    <row r="248" spans="1:10" outlineLevel="2">
      <c r="A248" s="2459" t="s">
        <v>1669</v>
      </c>
      <c r="B248" s="2459" t="s">
        <v>1634</v>
      </c>
      <c r="C248" s="2459" t="s">
        <v>1672</v>
      </c>
      <c r="D248" s="2460" t="s">
        <v>1671</v>
      </c>
      <c r="E248" s="2461" t="s">
        <v>213</v>
      </c>
      <c r="F248" s="2461" t="s">
        <v>1436</v>
      </c>
      <c r="G248" s="2461" t="s">
        <v>1412</v>
      </c>
      <c r="H248" s="2461" t="s">
        <v>1116</v>
      </c>
      <c r="I248" s="2462">
        <v>6.00269526735305E-3</v>
      </c>
      <c r="J248" s="2462">
        <v>2.6864824286381483</v>
      </c>
    </row>
    <row r="249" spans="1:10" outlineLevel="2">
      <c r="A249" s="2459" t="s">
        <v>1669</v>
      </c>
      <c r="B249" s="2459" t="s">
        <v>1634</v>
      </c>
      <c r="C249" s="2459" t="s">
        <v>1672</v>
      </c>
      <c r="D249" s="2460" t="s">
        <v>1671</v>
      </c>
      <c r="E249" s="2461" t="s">
        <v>213</v>
      </c>
      <c r="F249" s="2461" t="s">
        <v>1437</v>
      </c>
      <c r="G249" s="2461" t="s">
        <v>1412</v>
      </c>
      <c r="H249" s="2461" t="s">
        <v>1116</v>
      </c>
      <c r="I249" s="2462">
        <v>4.5933404035844759E-4</v>
      </c>
      <c r="J249" s="2462">
        <v>0.20557316697105396</v>
      </c>
    </row>
    <row r="250" spans="1:10" outlineLevel="2">
      <c r="A250" s="2459" t="s">
        <v>1669</v>
      </c>
      <c r="B250" s="2459" t="s">
        <v>1634</v>
      </c>
      <c r="C250" s="2459" t="s">
        <v>1672</v>
      </c>
      <c r="D250" s="2460" t="s">
        <v>1671</v>
      </c>
      <c r="E250" s="2461" t="s">
        <v>213</v>
      </c>
      <c r="F250" s="2461" t="s">
        <v>1438</v>
      </c>
      <c r="G250" s="2461" t="s">
        <v>1439</v>
      </c>
      <c r="H250" s="2461" t="s">
        <v>1440</v>
      </c>
      <c r="I250" s="2462">
        <v>3.0533927872615985E-2</v>
      </c>
      <c r="J250" s="2462">
        <v>16.722399574460937</v>
      </c>
    </row>
    <row r="251" spans="1:10" outlineLevel="2">
      <c r="A251" s="2459" t="s">
        <v>1669</v>
      </c>
      <c r="B251" s="2459" t="s">
        <v>1634</v>
      </c>
      <c r="C251" s="2459" t="s">
        <v>1672</v>
      </c>
      <c r="D251" s="2460" t="s">
        <v>1671</v>
      </c>
      <c r="E251" s="2461" t="s">
        <v>213</v>
      </c>
      <c r="F251" s="2461" t="s">
        <v>1441</v>
      </c>
      <c r="G251" s="2461" t="s">
        <v>1439</v>
      </c>
      <c r="H251" s="2461" t="s">
        <v>1440</v>
      </c>
      <c r="I251" s="2462">
        <v>0.3060158285002364</v>
      </c>
      <c r="J251" s="2462">
        <v>164.46681974940535</v>
      </c>
    </row>
    <row r="252" spans="1:10" outlineLevel="2">
      <c r="A252" s="2459" t="s">
        <v>1669</v>
      </c>
      <c r="B252" s="2459" t="s">
        <v>1634</v>
      </c>
      <c r="C252" s="2459" t="s">
        <v>1672</v>
      </c>
      <c r="D252" s="2460" t="s">
        <v>1671</v>
      </c>
      <c r="E252" s="2461" t="s">
        <v>213</v>
      </c>
      <c r="F252" s="2461" t="s">
        <v>1442</v>
      </c>
      <c r="G252" s="2461" t="s">
        <v>1439</v>
      </c>
      <c r="H252" s="2461" t="s">
        <v>1440</v>
      </c>
      <c r="I252" s="2462">
        <v>0.42975036799443334</v>
      </c>
      <c r="J252" s="2462">
        <v>223.27553810574798</v>
      </c>
    </row>
    <row r="253" spans="1:10" outlineLevel="2">
      <c r="A253" s="2459" t="s">
        <v>1669</v>
      </c>
      <c r="B253" s="2459" t="s">
        <v>1634</v>
      </c>
      <c r="C253" s="2459" t="s">
        <v>1672</v>
      </c>
      <c r="D253" s="2460" t="s">
        <v>1671</v>
      </c>
      <c r="E253" s="2461" t="s">
        <v>213</v>
      </c>
      <c r="F253" s="2461" t="s">
        <v>1443</v>
      </c>
      <c r="G253" s="2461" t="s">
        <v>1439</v>
      </c>
      <c r="H253" s="2461" t="s">
        <v>1440</v>
      </c>
      <c r="I253" s="2462">
        <v>2.8935560352934213</v>
      </c>
      <c r="J253" s="2462">
        <v>1583.9437169031669</v>
      </c>
    </row>
    <row r="254" spans="1:10" outlineLevel="2">
      <c r="A254" s="2459" t="s">
        <v>1669</v>
      </c>
      <c r="B254" s="2459" t="s">
        <v>1634</v>
      </c>
      <c r="C254" s="2459" t="s">
        <v>1672</v>
      </c>
      <c r="D254" s="2460" t="s">
        <v>1671</v>
      </c>
      <c r="E254" s="2461" t="s">
        <v>213</v>
      </c>
      <c r="F254" s="2461" t="s">
        <v>1444</v>
      </c>
      <c r="G254" s="2461" t="s">
        <v>1439</v>
      </c>
      <c r="H254" s="2461" t="s">
        <v>1440</v>
      </c>
      <c r="I254" s="2462">
        <v>0.52792401844294468</v>
      </c>
      <c r="J254" s="2462">
        <v>310.08137963805916</v>
      </c>
    </row>
    <row r="255" spans="1:10" outlineLevel="2">
      <c r="A255" s="2459" t="s">
        <v>1669</v>
      </c>
      <c r="B255" s="2459" t="s">
        <v>1634</v>
      </c>
      <c r="C255" s="2459" t="s">
        <v>1672</v>
      </c>
      <c r="D255" s="2460" t="s">
        <v>1671</v>
      </c>
      <c r="E255" s="2461" t="s">
        <v>213</v>
      </c>
      <c r="F255" s="2461" t="s">
        <v>1445</v>
      </c>
      <c r="G255" s="2461" t="s">
        <v>1439</v>
      </c>
      <c r="H255" s="2461" t="s">
        <v>1440</v>
      </c>
      <c r="I255" s="2462">
        <v>2.7379839605082723</v>
      </c>
      <c r="J255" s="2462">
        <v>1384.1540576716477</v>
      </c>
    </row>
    <row r="256" spans="1:10" outlineLevel="2">
      <c r="A256" s="2459" t="s">
        <v>1669</v>
      </c>
      <c r="B256" s="2459" t="s">
        <v>1634</v>
      </c>
      <c r="C256" s="2459" t="s">
        <v>1672</v>
      </c>
      <c r="D256" s="2460" t="s">
        <v>1671</v>
      </c>
      <c r="E256" s="2461" t="s">
        <v>213</v>
      </c>
      <c r="F256" s="2461" t="s">
        <v>1446</v>
      </c>
      <c r="G256" s="2461" t="s">
        <v>1439</v>
      </c>
      <c r="H256" s="2461" t="s">
        <v>1440</v>
      </c>
      <c r="I256" s="2462">
        <v>0.37210503552834695</v>
      </c>
      <c r="J256" s="2462">
        <v>199.56765269698712</v>
      </c>
    </row>
    <row r="257" spans="1:10" outlineLevel="2">
      <c r="A257" s="2459" t="s">
        <v>1669</v>
      </c>
      <c r="B257" s="2459" t="s">
        <v>1634</v>
      </c>
      <c r="C257" s="2459" t="s">
        <v>1672</v>
      </c>
      <c r="D257" s="2460" t="s">
        <v>1671</v>
      </c>
      <c r="E257" s="2461" t="s">
        <v>213</v>
      </c>
      <c r="F257" s="2461" t="s">
        <v>1447</v>
      </c>
      <c r="G257" s="2461" t="s">
        <v>1439</v>
      </c>
      <c r="H257" s="2461" t="s">
        <v>1440</v>
      </c>
      <c r="I257" s="2462">
        <v>2.4165270289600334</v>
      </c>
      <c r="J257" s="2462">
        <v>1292.4682684801301</v>
      </c>
    </row>
    <row r="258" spans="1:10" outlineLevel="2">
      <c r="A258" s="2459" t="s">
        <v>1669</v>
      </c>
      <c r="B258" s="2459" t="s">
        <v>1634</v>
      </c>
      <c r="C258" s="2459" t="s">
        <v>1672</v>
      </c>
      <c r="D258" s="2460" t="s">
        <v>1671</v>
      </c>
      <c r="E258" s="2461" t="s">
        <v>213</v>
      </c>
      <c r="F258" s="2461" t="s">
        <v>1448</v>
      </c>
      <c r="G258" s="2461" t="s">
        <v>1439</v>
      </c>
      <c r="H258" s="2461" t="s">
        <v>1440</v>
      </c>
      <c r="I258" s="2462">
        <v>0.67440146742546869</v>
      </c>
      <c r="J258" s="2462">
        <v>98.74128696952252</v>
      </c>
    </row>
    <row r="259" spans="1:10" outlineLevel="2">
      <c r="A259" s="2459" t="s">
        <v>1669</v>
      </c>
      <c r="B259" s="2459" t="s">
        <v>1634</v>
      </c>
      <c r="C259" s="2459" t="s">
        <v>1672</v>
      </c>
      <c r="D259" s="2460" t="s">
        <v>1671</v>
      </c>
      <c r="E259" s="2461" t="s">
        <v>213</v>
      </c>
      <c r="F259" s="2461" t="s">
        <v>1449</v>
      </c>
      <c r="G259" s="2461" t="s">
        <v>1439</v>
      </c>
      <c r="H259" s="2461" t="s">
        <v>1440</v>
      </c>
      <c r="I259" s="2462">
        <v>3.2142837023187374</v>
      </c>
      <c r="J259" s="2462">
        <v>470.60070059677872</v>
      </c>
    </row>
    <row r="260" spans="1:10" outlineLevel="2">
      <c r="A260" s="2459" t="s">
        <v>1669</v>
      </c>
      <c r="B260" s="2459" t="s">
        <v>1634</v>
      </c>
      <c r="C260" s="2459" t="s">
        <v>1672</v>
      </c>
      <c r="D260" s="2460" t="s">
        <v>1671</v>
      </c>
      <c r="E260" s="2461" t="s">
        <v>213</v>
      </c>
      <c r="F260" s="2461" t="s">
        <v>1450</v>
      </c>
      <c r="G260" s="2461" t="s">
        <v>1439</v>
      </c>
      <c r="H260" s="2461" t="s">
        <v>1440</v>
      </c>
      <c r="I260" s="2462">
        <v>1.3821593541217987E-3</v>
      </c>
      <c r="J260" s="2462">
        <v>0.68967101926490759</v>
      </c>
    </row>
    <row r="261" spans="1:10" outlineLevel="2">
      <c r="A261" s="2459" t="s">
        <v>1669</v>
      </c>
      <c r="B261" s="2459" t="s">
        <v>1634</v>
      </c>
      <c r="C261" s="2459" t="s">
        <v>1672</v>
      </c>
      <c r="D261" s="2460" t="s">
        <v>1671</v>
      </c>
      <c r="E261" s="2461" t="s">
        <v>213</v>
      </c>
      <c r="F261" s="2461" t="s">
        <v>1451</v>
      </c>
      <c r="G261" s="2461" t="s">
        <v>1418</v>
      </c>
      <c r="H261" s="2461" t="s">
        <v>1452</v>
      </c>
      <c r="I261" s="2462">
        <v>2.2105276798247567E-4</v>
      </c>
      <c r="J261" s="2462">
        <v>0.13442712645825705</v>
      </c>
    </row>
    <row r="262" spans="1:10" outlineLevel="2">
      <c r="A262" s="2459" t="s">
        <v>1669</v>
      </c>
      <c r="B262" s="2459" t="s">
        <v>1634</v>
      </c>
      <c r="C262" s="2459" t="s">
        <v>1672</v>
      </c>
      <c r="D262" s="2460" t="s">
        <v>1671</v>
      </c>
      <c r="E262" s="2461" t="s">
        <v>213</v>
      </c>
      <c r="F262" s="2461" t="s">
        <v>1453</v>
      </c>
      <c r="G262" s="2461" t="s">
        <v>1421</v>
      </c>
      <c r="H262" s="2461" t="s">
        <v>1454</v>
      </c>
      <c r="I262" s="2462">
        <v>5.8183598757131881E-2</v>
      </c>
      <c r="J262" s="2462">
        <v>28.807281256056214</v>
      </c>
    </row>
    <row r="263" spans="1:10" outlineLevel="2">
      <c r="A263" s="2459" t="s">
        <v>1669</v>
      </c>
      <c r="B263" s="2459" t="s">
        <v>1634</v>
      </c>
      <c r="C263" s="2459" t="s">
        <v>1672</v>
      </c>
      <c r="D263" s="2460" t="s">
        <v>1671</v>
      </c>
      <c r="E263" s="2461" t="s">
        <v>213</v>
      </c>
      <c r="F263" s="2461" t="s">
        <v>1455</v>
      </c>
      <c r="G263" s="2461" t="s">
        <v>1421</v>
      </c>
      <c r="H263" s="2461" t="s">
        <v>1454</v>
      </c>
      <c r="I263" s="2462">
        <v>0.37130427667152111</v>
      </c>
      <c r="J263" s="2462">
        <v>192.17679593140116</v>
      </c>
    </row>
    <row r="264" spans="1:10" outlineLevel="2">
      <c r="A264" s="2459" t="s">
        <v>1669</v>
      </c>
      <c r="B264" s="2459" t="s">
        <v>1634</v>
      </c>
      <c r="C264" s="2459" t="s">
        <v>1672</v>
      </c>
      <c r="D264" s="2460" t="s">
        <v>1671</v>
      </c>
      <c r="E264" s="2461" t="s">
        <v>213</v>
      </c>
      <c r="F264" s="2461" t="s">
        <v>1456</v>
      </c>
      <c r="G264" s="2461" t="s">
        <v>1421</v>
      </c>
      <c r="H264" s="2461" t="s">
        <v>1454</v>
      </c>
      <c r="I264" s="2462">
        <v>1.4892953329104187E-4</v>
      </c>
      <c r="J264" s="2462">
        <v>6.665285309036123E-2</v>
      </c>
    </row>
    <row r="265" spans="1:10" outlineLevel="2">
      <c r="A265" s="2459" t="s">
        <v>1669</v>
      </c>
      <c r="B265" s="2459" t="s">
        <v>1634</v>
      </c>
      <c r="C265" s="2459" t="s">
        <v>1672</v>
      </c>
      <c r="D265" s="2460" t="s">
        <v>1671</v>
      </c>
      <c r="E265" s="2461" t="s">
        <v>213</v>
      </c>
      <c r="F265" s="2461" t="s">
        <v>1457</v>
      </c>
      <c r="G265" s="2461" t="s">
        <v>1421</v>
      </c>
      <c r="H265" s="2461" t="s">
        <v>1454</v>
      </c>
      <c r="I265" s="2462">
        <v>2.5978033858924231E-3</v>
      </c>
      <c r="J265" s="2462">
        <v>1.1626369136022758</v>
      </c>
    </row>
    <row r="266" spans="1:10" outlineLevel="2">
      <c r="A266" s="2459" t="s">
        <v>1669</v>
      </c>
      <c r="B266" s="2459" t="s">
        <v>1634</v>
      </c>
      <c r="C266" s="2459" t="s">
        <v>1672</v>
      </c>
      <c r="D266" s="2460" t="s">
        <v>1671</v>
      </c>
      <c r="E266" s="2461" t="s">
        <v>213</v>
      </c>
      <c r="F266" s="2461" t="s">
        <v>1458</v>
      </c>
      <c r="G266" s="2461" t="s">
        <v>1459</v>
      </c>
      <c r="H266" s="2461" t="s">
        <v>1460</v>
      </c>
      <c r="I266" s="2462">
        <v>1.6291535234776069E-2</v>
      </c>
      <c r="J266" s="2462">
        <v>9.4055823883525278</v>
      </c>
    </row>
    <row r="267" spans="1:10" outlineLevel="2">
      <c r="A267" s="2459" t="s">
        <v>1669</v>
      </c>
      <c r="B267" s="2459" t="s">
        <v>1634</v>
      </c>
      <c r="C267" s="2459" t="s">
        <v>1672</v>
      </c>
      <c r="D267" s="2460" t="s">
        <v>1671</v>
      </c>
      <c r="E267" s="2461" t="s">
        <v>213</v>
      </c>
      <c r="F267" s="2461" t="s">
        <v>1461</v>
      </c>
      <c r="G267" s="2461" t="s">
        <v>1426</v>
      </c>
      <c r="H267" s="2461" t="s">
        <v>1427</v>
      </c>
      <c r="I267" s="2462">
        <v>0.23741221627960868</v>
      </c>
      <c r="J267" s="2462">
        <v>168.06823628326219</v>
      </c>
    </row>
    <row r="268" spans="1:10" outlineLevel="2">
      <c r="A268" s="2459" t="s">
        <v>1669</v>
      </c>
      <c r="B268" s="2459" t="s">
        <v>1634</v>
      </c>
      <c r="C268" s="2459" t="s">
        <v>1672</v>
      </c>
      <c r="D268" s="2460" t="s">
        <v>1671</v>
      </c>
      <c r="E268" s="2461" t="s">
        <v>213</v>
      </c>
      <c r="F268" s="2461" t="s">
        <v>1462</v>
      </c>
      <c r="G268" s="2461" t="s">
        <v>1426</v>
      </c>
      <c r="H268" s="2461" t="s">
        <v>1427</v>
      </c>
      <c r="I268" s="2462">
        <v>1.7495197883994575</v>
      </c>
      <c r="J268" s="2462">
        <v>1597.7882596465977</v>
      </c>
    </row>
    <row r="269" spans="1:10" outlineLevel="2">
      <c r="A269" s="2459" t="s">
        <v>1669</v>
      </c>
      <c r="B269" s="2459" t="s">
        <v>1634</v>
      </c>
      <c r="C269" s="2459" t="s">
        <v>1672</v>
      </c>
      <c r="D269" s="2460" t="s">
        <v>1671</v>
      </c>
      <c r="E269" s="2461" t="s">
        <v>213</v>
      </c>
      <c r="F269" s="2461" t="s">
        <v>1463</v>
      </c>
      <c r="G269" s="2461" t="s">
        <v>1426</v>
      </c>
      <c r="H269" s="2461" t="s">
        <v>1427</v>
      </c>
      <c r="I269" s="2462">
        <v>0.61623465537107891</v>
      </c>
      <c r="J269" s="2462">
        <v>819.83508447885697</v>
      </c>
    </row>
    <row r="270" spans="1:10" outlineLevel="2">
      <c r="A270" s="2459" t="s">
        <v>1669</v>
      </c>
      <c r="B270" s="2459" t="s">
        <v>1634</v>
      </c>
      <c r="C270" s="2459" t="s">
        <v>1672</v>
      </c>
      <c r="D270" s="2460" t="s">
        <v>1671</v>
      </c>
      <c r="E270" s="2461" t="s">
        <v>213</v>
      </c>
      <c r="F270" s="2461" t="s">
        <v>1464</v>
      </c>
      <c r="G270" s="2461" t="s">
        <v>1426</v>
      </c>
      <c r="H270" s="2461" t="s">
        <v>1427</v>
      </c>
      <c r="I270" s="2462">
        <v>0.23509631544464471</v>
      </c>
      <c r="J270" s="2462">
        <v>214.30408742885422</v>
      </c>
    </row>
    <row r="271" spans="1:10" outlineLevel="2">
      <c r="A271" s="2459" t="s">
        <v>1669</v>
      </c>
      <c r="B271" s="2459" t="s">
        <v>1634</v>
      </c>
      <c r="C271" s="2459" t="s">
        <v>1672</v>
      </c>
      <c r="D271" s="2460" t="s">
        <v>1671</v>
      </c>
      <c r="E271" s="2461" t="s">
        <v>213</v>
      </c>
      <c r="F271" s="2461" t="s">
        <v>1465</v>
      </c>
      <c r="G271" s="2461" t="s">
        <v>1409</v>
      </c>
      <c r="H271" s="2461" t="s">
        <v>1070</v>
      </c>
      <c r="I271" s="2462">
        <v>2.5492113290498317E-2</v>
      </c>
      <c r="J271" s="2462">
        <v>41.593344698328835</v>
      </c>
    </row>
    <row r="272" spans="1:10" outlineLevel="2">
      <c r="A272" s="2459" t="s">
        <v>1669</v>
      </c>
      <c r="B272" s="2459" t="s">
        <v>1634</v>
      </c>
      <c r="C272" s="2459" t="s">
        <v>1672</v>
      </c>
      <c r="D272" s="2460" t="s">
        <v>1671</v>
      </c>
      <c r="E272" s="2461" t="s">
        <v>213</v>
      </c>
      <c r="F272" s="2461" t="s">
        <v>1466</v>
      </c>
      <c r="G272" s="2461" t="s">
        <v>1409</v>
      </c>
      <c r="H272" s="2461" t="s">
        <v>1070</v>
      </c>
      <c r="I272" s="2462">
        <v>2.0369936027099593E-4</v>
      </c>
      <c r="J272" s="2462">
        <v>0.31045807314753787</v>
      </c>
    </row>
    <row r="273" spans="1:10" outlineLevel="2">
      <c r="A273" s="2459" t="s">
        <v>1669</v>
      </c>
      <c r="B273" s="2459" t="s">
        <v>1634</v>
      </c>
      <c r="C273" s="2459" t="s">
        <v>1672</v>
      </c>
      <c r="D273" s="2460" t="s">
        <v>1671</v>
      </c>
      <c r="E273" s="2461" t="s">
        <v>213</v>
      </c>
      <c r="F273" s="2461" t="s">
        <v>1467</v>
      </c>
      <c r="G273" s="2461" t="s">
        <v>1409</v>
      </c>
      <c r="H273" s="2461" t="s">
        <v>1070</v>
      </c>
      <c r="I273" s="2462">
        <v>5.507714499279568E-2</v>
      </c>
      <c r="J273" s="2462">
        <v>78.138160128744175</v>
      </c>
    </row>
    <row r="274" spans="1:10" outlineLevel="2">
      <c r="A274" s="2459" t="s">
        <v>1669</v>
      </c>
      <c r="B274" s="2459" t="s">
        <v>1634</v>
      </c>
      <c r="C274" s="2459" t="s">
        <v>1672</v>
      </c>
      <c r="D274" s="2460" t="s">
        <v>1671</v>
      </c>
      <c r="E274" s="2461" t="s">
        <v>213</v>
      </c>
      <c r="F274" s="2461" t="s">
        <v>1468</v>
      </c>
      <c r="G274" s="2461" t="s">
        <v>1409</v>
      </c>
      <c r="H274" s="2461" t="s">
        <v>1070</v>
      </c>
      <c r="I274" s="2462">
        <v>4.4944888794318592E-2</v>
      </c>
      <c r="J274" s="2462">
        <v>73.565760168507865</v>
      </c>
    </row>
    <row r="275" spans="1:10" outlineLevel="2">
      <c r="A275" s="2459" t="s">
        <v>1669</v>
      </c>
      <c r="B275" s="2459" t="s">
        <v>1634</v>
      </c>
      <c r="C275" s="2459" t="s">
        <v>1672</v>
      </c>
      <c r="D275" s="2460" t="s">
        <v>1671</v>
      </c>
      <c r="E275" s="2461" t="s">
        <v>213</v>
      </c>
      <c r="F275" s="2461" t="s">
        <v>1469</v>
      </c>
      <c r="G275" s="2461" t="s">
        <v>1409</v>
      </c>
      <c r="H275" s="2461" t="s">
        <v>1070</v>
      </c>
      <c r="I275" s="2462">
        <v>0.10051196768670723</v>
      </c>
      <c r="J275" s="2462">
        <v>146.81461544372539</v>
      </c>
    </row>
    <row r="276" spans="1:10" outlineLevel="2">
      <c r="A276" s="2459" t="s">
        <v>1669</v>
      </c>
      <c r="B276" s="2459" t="s">
        <v>1634</v>
      </c>
      <c r="C276" s="2459" t="s">
        <v>1672</v>
      </c>
      <c r="D276" s="2460" t="s">
        <v>1671</v>
      </c>
      <c r="E276" s="2461" t="s">
        <v>213</v>
      </c>
      <c r="F276" s="2461" t="s">
        <v>1470</v>
      </c>
      <c r="G276" s="2461" t="s">
        <v>1409</v>
      </c>
      <c r="H276" s="2461" t="s">
        <v>1070</v>
      </c>
      <c r="I276" s="2462">
        <v>4.3604232291533533E-2</v>
      </c>
      <c r="J276" s="2462">
        <v>61.819802582388327</v>
      </c>
    </row>
    <row r="277" spans="1:10" outlineLevel="2">
      <c r="A277" s="2459" t="s">
        <v>1669</v>
      </c>
      <c r="B277" s="2459" t="s">
        <v>1634</v>
      </c>
      <c r="C277" s="2459" t="s">
        <v>1672</v>
      </c>
      <c r="D277" s="2460" t="s">
        <v>1671</v>
      </c>
      <c r="E277" s="2461" t="s">
        <v>213</v>
      </c>
      <c r="F277" s="2461" t="s">
        <v>1471</v>
      </c>
      <c r="G277" s="2461" t="s">
        <v>1409</v>
      </c>
      <c r="H277" s="2461" t="s">
        <v>1070</v>
      </c>
      <c r="I277" s="2462">
        <v>2.3747565165840364E-3</v>
      </c>
      <c r="J277" s="2462">
        <v>3.2219362967819496</v>
      </c>
    </row>
    <row r="278" spans="1:10" outlineLevel="2">
      <c r="A278" s="2459" t="s">
        <v>1669</v>
      </c>
      <c r="B278" s="2459" t="s">
        <v>1634</v>
      </c>
      <c r="C278" s="2459" t="s">
        <v>1672</v>
      </c>
      <c r="D278" s="2460" t="s">
        <v>1671</v>
      </c>
      <c r="E278" s="2461" t="s">
        <v>213</v>
      </c>
      <c r="F278" s="2461" t="s">
        <v>1472</v>
      </c>
      <c r="G278" s="2461" t="s">
        <v>1409</v>
      </c>
      <c r="H278" s="2461" t="s">
        <v>1070</v>
      </c>
      <c r="I278" s="2462">
        <v>8.2642528414002464E-2</v>
      </c>
      <c r="J278" s="2462">
        <v>129.36988411237664</v>
      </c>
    </row>
    <row r="279" spans="1:10" outlineLevel="2">
      <c r="A279" s="2459" t="s">
        <v>1669</v>
      </c>
      <c r="B279" s="2459" t="s">
        <v>1634</v>
      </c>
      <c r="C279" s="2459" t="s">
        <v>1672</v>
      </c>
      <c r="D279" s="2460" t="s">
        <v>1671</v>
      </c>
      <c r="E279" s="2461" t="s">
        <v>213</v>
      </c>
      <c r="F279" s="2461" t="s">
        <v>1473</v>
      </c>
      <c r="G279" s="2461" t="s">
        <v>1409</v>
      </c>
      <c r="H279" s="2461" t="s">
        <v>1070</v>
      </c>
      <c r="I279" s="2462">
        <v>3.9395656611400973E-2</v>
      </c>
      <c r="J279" s="2462">
        <v>47.980966405169319</v>
      </c>
    </row>
    <row r="280" spans="1:10" outlineLevel="2">
      <c r="A280" s="2459" t="s">
        <v>1669</v>
      </c>
      <c r="B280" s="2459" t="s">
        <v>1634</v>
      </c>
      <c r="C280" s="2459" t="s">
        <v>1672</v>
      </c>
      <c r="D280" s="2460" t="s">
        <v>1671</v>
      </c>
      <c r="E280" s="2461" t="s">
        <v>213</v>
      </c>
      <c r="F280" s="2461" t="s">
        <v>1474</v>
      </c>
      <c r="G280" s="2461" t="s">
        <v>1409</v>
      </c>
      <c r="H280" s="2461" t="s">
        <v>1070</v>
      </c>
      <c r="I280" s="2462">
        <v>0.18617477670984309</v>
      </c>
      <c r="J280" s="2462">
        <v>269.5785474201702</v>
      </c>
    </row>
    <row r="281" spans="1:10" outlineLevel="2">
      <c r="A281" s="2459" t="s">
        <v>1669</v>
      </c>
      <c r="B281" s="2459" t="s">
        <v>1634</v>
      </c>
      <c r="C281" s="2459" t="s">
        <v>1672</v>
      </c>
      <c r="D281" s="2460" t="s">
        <v>1671</v>
      </c>
      <c r="E281" s="2461" t="s">
        <v>213</v>
      </c>
      <c r="F281" s="2461" t="s">
        <v>1475</v>
      </c>
      <c r="G281" s="2461" t="s">
        <v>1409</v>
      </c>
      <c r="H281" s="2461" t="s">
        <v>1070</v>
      </c>
      <c r="I281" s="2462">
        <v>9.4376265929773495E-2</v>
      </c>
      <c r="J281" s="2462">
        <v>129.45903814295485</v>
      </c>
    </row>
    <row r="282" spans="1:10" outlineLevel="2">
      <c r="A282" s="2459" t="s">
        <v>1669</v>
      </c>
      <c r="B282" s="2459" t="s">
        <v>1634</v>
      </c>
      <c r="C282" s="2459" t="s">
        <v>1672</v>
      </c>
      <c r="D282" s="2460" t="s">
        <v>1671</v>
      </c>
      <c r="E282" s="2461" t="s">
        <v>213</v>
      </c>
      <c r="F282" s="2461" t="s">
        <v>1476</v>
      </c>
      <c r="G282" s="2461" t="s">
        <v>1409</v>
      </c>
      <c r="H282" s="2461" t="s">
        <v>1070</v>
      </c>
      <c r="I282" s="2462">
        <v>7.4619993870481821E-3</v>
      </c>
      <c r="J282" s="2462">
        <v>10.427759861547788</v>
      </c>
    </row>
    <row r="283" spans="1:10" outlineLevel="2">
      <c r="A283" s="2459" t="s">
        <v>1669</v>
      </c>
      <c r="B283" s="2459" t="s">
        <v>1634</v>
      </c>
      <c r="C283" s="2459" t="s">
        <v>1672</v>
      </c>
      <c r="D283" s="2460" t="s">
        <v>1671</v>
      </c>
      <c r="E283" s="2461" t="s">
        <v>213</v>
      </c>
      <c r="F283" s="2461" t="s">
        <v>1477</v>
      </c>
      <c r="G283" s="2461" t="s">
        <v>1409</v>
      </c>
      <c r="H283" s="2461" t="s">
        <v>1070</v>
      </c>
      <c r="I283" s="2462">
        <v>1.2249700027362606E-2</v>
      </c>
      <c r="J283" s="2462">
        <v>17.510819355984097</v>
      </c>
    </row>
    <row r="284" spans="1:10" outlineLevel="2">
      <c r="A284" s="2459" t="s">
        <v>1669</v>
      </c>
      <c r="B284" s="2459" t="s">
        <v>1634</v>
      </c>
      <c r="C284" s="2459" t="s">
        <v>1672</v>
      </c>
      <c r="D284" s="2460" t="s">
        <v>1671</v>
      </c>
      <c r="E284" s="2461" t="s">
        <v>213</v>
      </c>
      <c r="F284" s="2461" t="s">
        <v>1478</v>
      </c>
      <c r="G284" s="2461" t="s">
        <v>1409</v>
      </c>
      <c r="H284" s="2461" t="s">
        <v>1070</v>
      </c>
      <c r="I284" s="2462">
        <v>5.3641504352472278E-3</v>
      </c>
      <c r="J284" s="2462">
        <v>15.647351561245443</v>
      </c>
    </row>
    <row r="285" spans="1:10" outlineLevel="2">
      <c r="A285" s="2459" t="s">
        <v>1669</v>
      </c>
      <c r="B285" s="2459" t="s">
        <v>1634</v>
      </c>
      <c r="C285" s="2459" t="s">
        <v>1672</v>
      </c>
      <c r="D285" s="2460" t="s">
        <v>1671</v>
      </c>
      <c r="E285" s="2461" t="s">
        <v>213</v>
      </c>
      <c r="F285" s="2461" t="s">
        <v>1479</v>
      </c>
      <c r="G285" s="2461" t="s">
        <v>1409</v>
      </c>
      <c r="H285" s="2461" t="s">
        <v>1070</v>
      </c>
      <c r="I285" s="2462">
        <v>4.3170082723133635E-3</v>
      </c>
      <c r="J285" s="2462">
        <v>37.112820343014121</v>
      </c>
    </row>
    <row r="286" spans="1:10" outlineLevel="2">
      <c r="A286" s="2459" t="s">
        <v>1669</v>
      </c>
      <c r="B286" s="2459" t="s">
        <v>1634</v>
      </c>
      <c r="C286" s="2459" t="s">
        <v>1672</v>
      </c>
      <c r="D286" s="2460" t="s">
        <v>1671</v>
      </c>
      <c r="E286" s="2461" t="s">
        <v>213</v>
      </c>
      <c r="F286" s="2461" t="s">
        <v>1480</v>
      </c>
      <c r="G286" s="2461" t="s">
        <v>1409</v>
      </c>
      <c r="H286" s="2461" t="s">
        <v>1070</v>
      </c>
      <c r="I286" s="2462">
        <v>5.8738856329680941E-2</v>
      </c>
      <c r="J286" s="2462">
        <v>88.492879922343405</v>
      </c>
    </row>
    <row r="287" spans="1:10" outlineLevel="2">
      <c r="A287" s="2459" t="s">
        <v>1669</v>
      </c>
      <c r="B287" s="2459" t="s">
        <v>1634</v>
      </c>
      <c r="C287" s="2459" t="s">
        <v>1672</v>
      </c>
      <c r="D287" s="2460" t="s">
        <v>1671</v>
      </c>
      <c r="E287" s="2461" t="s">
        <v>213</v>
      </c>
      <c r="F287" s="2461" t="s">
        <v>1481</v>
      </c>
      <c r="G287" s="2461" t="s">
        <v>1409</v>
      </c>
      <c r="H287" s="2461" t="s">
        <v>1070</v>
      </c>
      <c r="I287" s="2462">
        <v>4.1938344739873769E-2</v>
      </c>
      <c r="J287" s="2462">
        <v>61.675974019897374</v>
      </c>
    </row>
    <row r="288" spans="1:10" outlineLevel="2">
      <c r="A288" s="2459" t="s">
        <v>1669</v>
      </c>
      <c r="B288" s="2459" t="s">
        <v>1634</v>
      </c>
      <c r="C288" s="2459" t="s">
        <v>1672</v>
      </c>
      <c r="D288" s="2460" t="s">
        <v>1671</v>
      </c>
      <c r="E288" s="2461" t="s">
        <v>213</v>
      </c>
      <c r="F288" s="2461" t="s">
        <v>1482</v>
      </c>
      <c r="G288" s="2461" t="s">
        <v>1409</v>
      </c>
      <c r="H288" s="2461" t="s">
        <v>1070</v>
      </c>
      <c r="I288" s="2462">
        <v>1.6471397208351387E-2</v>
      </c>
      <c r="J288" s="2462">
        <v>20.209022393704636</v>
      </c>
    </row>
    <row r="289" spans="1:10" outlineLevel="2">
      <c r="A289" s="2459" t="s">
        <v>1669</v>
      </c>
      <c r="B289" s="2459" t="s">
        <v>1634</v>
      </c>
      <c r="C289" s="2459" t="s">
        <v>1672</v>
      </c>
      <c r="D289" s="2460" t="s">
        <v>1671</v>
      </c>
      <c r="E289" s="2461" t="s">
        <v>213</v>
      </c>
      <c r="F289" s="2461" t="s">
        <v>1483</v>
      </c>
      <c r="G289" s="2461" t="s">
        <v>1409</v>
      </c>
      <c r="H289" s="2461" t="s">
        <v>1070</v>
      </c>
      <c r="I289" s="2462">
        <v>1.3710720482046423E-2</v>
      </c>
      <c r="J289" s="2462">
        <v>14.766775522160067</v>
      </c>
    </row>
    <row r="290" spans="1:10" outlineLevel="2">
      <c r="A290" s="2459" t="s">
        <v>1669</v>
      </c>
      <c r="B290" s="2459" t="s">
        <v>1634</v>
      </c>
      <c r="C290" s="2459" t="s">
        <v>1672</v>
      </c>
      <c r="D290" s="2460" t="s">
        <v>1671</v>
      </c>
      <c r="E290" s="2461" t="s">
        <v>213</v>
      </c>
      <c r="F290" s="2461" t="s">
        <v>1484</v>
      </c>
      <c r="G290" s="2461" t="s">
        <v>1412</v>
      </c>
      <c r="H290" s="2461" t="s">
        <v>1116</v>
      </c>
      <c r="I290" s="2462">
        <v>0.14850670786562717</v>
      </c>
      <c r="J290" s="2462">
        <v>297.78294009078115</v>
      </c>
    </row>
    <row r="291" spans="1:10" outlineLevel="2">
      <c r="A291" s="2459" t="s">
        <v>1669</v>
      </c>
      <c r="B291" s="2459" t="s">
        <v>1634</v>
      </c>
      <c r="C291" s="2459" t="s">
        <v>1672</v>
      </c>
      <c r="D291" s="2460" t="s">
        <v>1671</v>
      </c>
      <c r="E291" s="2461" t="s">
        <v>213</v>
      </c>
      <c r="F291" s="2461" t="s">
        <v>1485</v>
      </c>
      <c r="G291" s="2461" t="s">
        <v>1412</v>
      </c>
      <c r="H291" s="2461" t="s">
        <v>1116</v>
      </c>
      <c r="I291" s="2462">
        <v>0.10669344465776387</v>
      </c>
      <c r="J291" s="2462">
        <v>1126.9586819751823</v>
      </c>
    </row>
    <row r="292" spans="1:10" outlineLevel="2">
      <c r="A292" s="2459" t="s">
        <v>1669</v>
      </c>
      <c r="B292" s="2459" t="s">
        <v>1634</v>
      </c>
      <c r="C292" s="2459" t="s">
        <v>1672</v>
      </c>
      <c r="D292" s="2460" t="s">
        <v>1671</v>
      </c>
      <c r="E292" s="2461" t="s">
        <v>213</v>
      </c>
      <c r="F292" s="2461" t="s">
        <v>1486</v>
      </c>
      <c r="G292" s="2461" t="s">
        <v>1412</v>
      </c>
      <c r="H292" s="2461" t="s">
        <v>1116</v>
      </c>
      <c r="I292" s="2462">
        <v>8.8529787248125311E-2</v>
      </c>
      <c r="J292" s="2462">
        <v>242.16320062589045</v>
      </c>
    </row>
    <row r="293" spans="1:10" outlineLevel="2">
      <c r="A293" s="2459" t="s">
        <v>1669</v>
      </c>
      <c r="B293" s="2459" t="s">
        <v>1634</v>
      </c>
      <c r="C293" s="2459" t="s">
        <v>1672</v>
      </c>
      <c r="D293" s="2460" t="s">
        <v>1671</v>
      </c>
      <c r="E293" s="2461" t="s">
        <v>213</v>
      </c>
      <c r="F293" s="2461" t="s">
        <v>1487</v>
      </c>
      <c r="G293" s="2461" t="s">
        <v>1412</v>
      </c>
      <c r="H293" s="2461" t="s">
        <v>1116</v>
      </c>
      <c r="I293" s="2462">
        <v>0.34053571985427217</v>
      </c>
      <c r="J293" s="2462">
        <v>454.84910256689221</v>
      </c>
    </row>
    <row r="294" spans="1:10" outlineLevel="2">
      <c r="A294" s="2459" t="s">
        <v>1669</v>
      </c>
      <c r="B294" s="2459" t="s">
        <v>1634</v>
      </c>
      <c r="C294" s="2459" t="s">
        <v>1672</v>
      </c>
      <c r="D294" s="2460" t="s">
        <v>1671</v>
      </c>
      <c r="E294" s="2461" t="s">
        <v>213</v>
      </c>
      <c r="F294" s="2461" t="s">
        <v>1488</v>
      </c>
      <c r="G294" s="2461" t="s">
        <v>1412</v>
      </c>
      <c r="H294" s="2461" t="s">
        <v>1116</v>
      </c>
      <c r="I294" s="2462">
        <v>9.6076396114097365E-3</v>
      </c>
      <c r="J294" s="2462">
        <v>20.87041253137809</v>
      </c>
    </row>
    <row r="295" spans="1:10" outlineLevel="2">
      <c r="A295" s="2459" t="s">
        <v>1669</v>
      </c>
      <c r="B295" s="2459" t="s">
        <v>1634</v>
      </c>
      <c r="C295" s="2459" t="s">
        <v>1672</v>
      </c>
      <c r="D295" s="2460" t="s">
        <v>1671</v>
      </c>
      <c r="E295" s="2461" t="s">
        <v>213</v>
      </c>
      <c r="F295" s="2461" t="s">
        <v>1489</v>
      </c>
      <c r="G295" s="2461" t="s">
        <v>1412</v>
      </c>
      <c r="H295" s="2461" t="s">
        <v>1116</v>
      </c>
      <c r="I295" s="2462">
        <v>1.1077891155050484E-2</v>
      </c>
      <c r="J295" s="2462">
        <v>16.455398350456871</v>
      </c>
    </row>
    <row r="296" spans="1:10" outlineLevel="2">
      <c r="A296" s="2459" t="s">
        <v>1669</v>
      </c>
      <c r="B296" s="2459" t="s">
        <v>1634</v>
      </c>
      <c r="C296" s="2459" t="s">
        <v>1672</v>
      </c>
      <c r="D296" s="2460" t="s">
        <v>1671</v>
      </c>
      <c r="E296" s="2461" t="s">
        <v>213</v>
      </c>
      <c r="F296" s="2461" t="s">
        <v>1490</v>
      </c>
      <c r="G296" s="2461" t="s">
        <v>1412</v>
      </c>
      <c r="H296" s="2461" t="s">
        <v>1116</v>
      </c>
      <c r="I296" s="2462">
        <v>6.9946946339143065E-3</v>
      </c>
      <c r="J296" s="2462">
        <v>99.527971740628146</v>
      </c>
    </row>
    <row r="297" spans="1:10" outlineLevel="2">
      <c r="A297" s="2459" t="s">
        <v>1669</v>
      </c>
      <c r="B297" s="2459" t="s">
        <v>1634</v>
      </c>
      <c r="C297" s="2459" t="s">
        <v>1672</v>
      </c>
      <c r="D297" s="2460" t="s">
        <v>1671</v>
      </c>
      <c r="E297" s="2461" t="s">
        <v>213</v>
      </c>
      <c r="F297" s="2461" t="s">
        <v>1491</v>
      </c>
      <c r="G297" s="2461" t="s">
        <v>1439</v>
      </c>
      <c r="H297" s="2461" t="s">
        <v>1440</v>
      </c>
      <c r="I297" s="2462">
        <v>2.6371619728955733</v>
      </c>
      <c r="J297" s="2462">
        <v>2820.6288677352882</v>
      </c>
    </row>
    <row r="298" spans="1:10" outlineLevel="2">
      <c r="A298" s="2459" t="s">
        <v>1669</v>
      </c>
      <c r="B298" s="2459" t="s">
        <v>1634</v>
      </c>
      <c r="C298" s="2459" t="s">
        <v>1672</v>
      </c>
      <c r="D298" s="2460" t="s">
        <v>1671</v>
      </c>
      <c r="E298" s="2461" t="s">
        <v>213</v>
      </c>
      <c r="F298" s="2461" t="s">
        <v>1492</v>
      </c>
      <c r="G298" s="2461" t="s">
        <v>1439</v>
      </c>
      <c r="H298" s="2461" t="s">
        <v>1440</v>
      </c>
      <c r="I298" s="2462">
        <v>2.9817996563132545</v>
      </c>
      <c r="J298" s="2462">
        <v>4046.0296813642799</v>
      </c>
    </row>
    <row r="299" spans="1:10" outlineLevel="2">
      <c r="A299" s="2459" t="s">
        <v>1669</v>
      </c>
      <c r="B299" s="2459" t="s">
        <v>1634</v>
      </c>
      <c r="C299" s="2459" t="s">
        <v>1672</v>
      </c>
      <c r="D299" s="2460" t="s">
        <v>1671</v>
      </c>
      <c r="E299" s="2461" t="s">
        <v>213</v>
      </c>
      <c r="F299" s="2461" t="s">
        <v>1493</v>
      </c>
      <c r="G299" s="2461" t="s">
        <v>1439</v>
      </c>
      <c r="H299" s="2461" t="s">
        <v>1440</v>
      </c>
      <c r="I299" s="2462">
        <v>0.22701922400861693</v>
      </c>
      <c r="J299" s="2462">
        <v>242.72002414488952</v>
      </c>
    </row>
    <row r="300" spans="1:10" outlineLevel="2">
      <c r="A300" s="2459" t="s">
        <v>1669</v>
      </c>
      <c r="B300" s="2459" t="s">
        <v>1634</v>
      </c>
      <c r="C300" s="2459" t="s">
        <v>1672</v>
      </c>
      <c r="D300" s="2460" t="s">
        <v>1671</v>
      </c>
      <c r="E300" s="2461" t="s">
        <v>213</v>
      </c>
      <c r="F300" s="2461" t="s">
        <v>1494</v>
      </c>
      <c r="G300" s="2461" t="s">
        <v>1439</v>
      </c>
      <c r="H300" s="2461" t="s">
        <v>1440</v>
      </c>
      <c r="I300" s="2462">
        <v>1.9002162672100271</v>
      </c>
      <c r="J300" s="2462">
        <v>2399.9568433213717</v>
      </c>
    </row>
    <row r="301" spans="1:10" outlineLevel="2">
      <c r="A301" s="2459" t="s">
        <v>1669</v>
      </c>
      <c r="B301" s="2459" t="s">
        <v>1634</v>
      </c>
      <c r="C301" s="2459" t="s">
        <v>1672</v>
      </c>
      <c r="D301" s="2460" t="s">
        <v>1671</v>
      </c>
      <c r="E301" s="2461" t="s">
        <v>213</v>
      </c>
      <c r="F301" s="2461" t="s">
        <v>1495</v>
      </c>
      <c r="G301" s="2461" t="s">
        <v>1439</v>
      </c>
      <c r="H301" s="2461" t="s">
        <v>1440</v>
      </c>
      <c r="I301" s="2462">
        <v>1.2367007552605763E-2</v>
      </c>
      <c r="J301" s="2462">
        <v>15.679090084374273</v>
      </c>
    </row>
    <row r="302" spans="1:10" outlineLevel="2">
      <c r="A302" s="2459" t="s">
        <v>1669</v>
      </c>
      <c r="B302" s="2459" t="s">
        <v>1634</v>
      </c>
      <c r="C302" s="2459" t="s">
        <v>1672</v>
      </c>
      <c r="D302" s="2460" t="s">
        <v>1671</v>
      </c>
      <c r="E302" s="2461" t="s">
        <v>213</v>
      </c>
      <c r="F302" s="2461" t="s">
        <v>1496</v>
      </c>
      <c r="G302" s="2461" t="s">
        <v>1439</v>
      </c>
      <c r="H302" s="2461" t="s">
        <v>1440</v>
      </c>
      <c r="I302" s="2462">
        <v>6.6199828871500763E-2</v>
      </c>
      <c r="J302" s="2462">
        <v>93.716179706354367</v>
      </c>
    </row>
    <row r="303" spans="1:10" outlineLevel="2">
      <c r="A303" s="2459" t="s">
        <v>1669</v>
      </c>
      <c r="B303" s="2459" t="s">
        <v>1634</v>
      </c>
      <c r="C303" s="2459" t="s">
        <v>1672</v>
      </c>
      <c r="D303" s="2460" t="s">
        <v>1671</v>
      </c>
      <c r="E303" s="2461" t="s">
        <v>213</v>
      </c>
      <c r="F303" s="2461" t="s">
        <v>1497</v>
      </c>
      <c r="G303" s="2461" t="s">
        <v>1439</v>
      </c>
      <c r="H303" s="2461" t="s">
        <v>1440</v>
      </c>
      <c r="I303" s="2462">
        <v>2.3553326087776022E-2</v>
      </c>
      <c r="J303" s="2462">
        <v>29.912162144124338</v>
      </c>
    </row>
    <row r="304" spans="1:10" outlineLevel="2">
      <c r="A304" s="2459" t="s">
        <v>1669</v>
      </c>
      <c r="B304" s="2459" t="s">
        <v>1634</v>
      </c>
      <c r="C304" s="2459" t="s">
        <v>1672</v>
      </c>
      <c r="D304" s="2460" t="s">
        <v>1671</v>
      </c>
      <c r="E304" s="2461" t="s">
        <v>213</v>
      </c>
      <c r="F304" s="2461" t="s">
        <v>1498</v>
      </c>
      <c r="G304" s="2461" t="s">
        <v>1439</v>
      </c>
      <c r="H304" s="2461" t="s">
        <v>1440</v>
      </c>
      <c r="I304" s="2462">
        <v>2.2624434470364272</v>
      </c>
      <c r="J304" s="2462">
        <v>3845.6063505761631</v>
      </c>
    </row>
    <row r="305" spans="1:10" outlineLevel="2">
      <c r="A305" s="2459" t="s">
        <v>1669</v>
      </c>
      <c r="B305" s="2459" t="s">
        <v>1634</v>
      </c>
      <c r="C305" s="2459" t="s">
        <v>1672</v>
      </c>
      <c r="D305" s="2460" t="s">
        <v>1671</v>
      </c>
      <c r="E305" s="2461" t="s">
        <v>213</v>
      </c>
      <c r="F305" s="2461" t="s">
        <v>1499</v>
      </c>
      <c r="G305" s="2461" t="s">
        <v>1439</v>
      </c>
      <c r="H305" s="2461" t="s">
        <v>1440</v>
      </c>
      <c r="I305" s="2462">
        <v>0.59911577425818296</v>
      </c>
      <c r="J305" s="2462">
        <v>319.22444058522302</v>
      </c>
    </row>
    <row r="306" spans="1:10" outlineLevel="2">
      <c r="A306" s="2459" t="s">
        <v>1669</v>
      </c>
      <c r="B306" s="2459" t="s">
        <v>1634</v>
      </c>
      <c r="C306" s="2459" t="s">
        <v>1672</v>
      </c>
      <c r="D306" s="2460" t="s">
        <v>1671</v>
      </c>
      <c r="E306" s="2461" t="s">
        <v>213</v>
      </c>
      <c r="F306" s="2461" t="s">
        <v>1500</v>
      </c>
      <c r="G306" s="2461" t="s">
        <v>1439</v>
      </c>
      <c r="H306" s="2461" t="s">
        <v>1440</v>
      </c>
      <c r="I306" s="2462">
        <v>2.8556861969564014</v>
      </c>
      <c r="J306" s="2462">
        <v>1521.405060043385</v>
      </c>
    </row>
    <row r="307" spans="1:10" outlineLevel="2">
      <c r="A307" s="2459" t="s">
        <v>1669</v>
      </c>
      <c r="B307" s="2459" t="s">
        <v>1634</v>
      </c>
      <c r="C307" s="2459" t="s">
        <v>1672</v>
      </c>
      <c r="D307" s="2460" t="s">
        <v>1671</v>
      </c>
      <c r="E307" s="2461" t="s">
        <v>213</v>
      </c>
      <c r="F307" s="2461" t="s">
        <v>1501</v>
      </c>
      <c r="G307" s="2461" t="s">
        <v>1439</v>
      </c>
      <c r="H307" s="2461" t="s">
        <v>1440</v>
      </c>
      <c r="I307" s="2462">
        <v>0.39294030937456476</v>
      </c>
      <c r="J307" s="2462">
        <v>572.87871516936343</v>
      </c>
    </row>
    <row r="308" spans="1:10" outlineLevel="2">
      <c r="A308" s="2459" t="s">
        <v>1669</v>
      </c>
      <c r="B308" s="2459" t="s">
        <v>1634</v>
      </c>
      <c r="C308" s="2459" t="s">
        <v>1672</v>
      </c>
      <c r="D308" s="2460" t="s">
        <v>1671</v>
      </c>
      <c r="E308" s="2461" t="s">
        <v>213</v>
      </c>
      <c r="F308" s="2461" t="s">
        <v>1502</v>
      </c>
      <c r="G308" s="2461" t="s">
        <v>1439</v>
      </c>
      <c r="H308" s="2461" t="s">
        <v>1440</v>
      </c>
      <c r="I308" s="2462">
        <v>0.34052248309895278</v>
      </c>
      <c r="J308" s="2462">
        <v>514.04621074544207</v>
      </c>
    </row>
    <row r="309" spans="1:10" outlineLevel="2">
      <c r="A309" s="2459" t="s">
        <v>1669</v>
      </c>
      <c r="B309" s="2459" t="s">
        <v>1634</v>
      </c>
      <c r="C309" s="2459" t="s">
        <v>1672</v>
      </c>
      <c r="D309" s="2460" t="s">
        <v>1671</v>
      </c>
      <c r="E309" s="2461" t="s">
        <v>213</v>
      </c>
      <c r="F309" s="2461" t="s">
        <v>1503</v>
      </c>
      <c r="G309" s="2461" t="s">
        <v>1439</v>
      </c>
      <c r="H309" s="2461" t="s">
        <v>1440</v>
      </c>
      <c r="I309" s="2462">
        <v>0.44926644490965978</v>
      </c>
      <c r="J309" s="2462">
        <v>581.84957214155645</v>
      </c>
    </row>
    <row r="310" spans="1:10" outlineLevel="2">
      <c r="A310" s="2459" t="s">
        <v>1669</v>
      </c>
      <c r="B310" s="2459" t="s">
        <v>1634</v>
      </c>
      <c r="C310" s="2459" t="s">
        <v>1672</v>
      </c>
      <c r="D310" s="2460" t="s">
        <v>1671</v>
      </c>
      <c r="E310" s="2461" t="s">
        <v>213</v>
      </c>
      <c r="F310" s="2461" t="s">
        <v>1504</v>
      </c>
      <c r="G310" s="2461" t="s">
        <v>1439</v>
      </c>
      <c r="H310" s="2461" t="s">
        <v>1440</v>
      </c>
      <c r="I310" s="2462">
        <v>0.22924453491292338</v>
      </c>
      <c r="J310" s="2462">
        <v>276.25864441931895</v>
      </c>
    </row>
    <row r="311" spans="1:10" outlineLevel="2">
      <c r="A311" s="2459" t="s">
        <v>1669</v>
      </c>
      <c r="B311" s="2459" t="s">
        <v>1634</v>
      </c>
      <c r="C311" s="2459" t="s">
        <v>1672</v>
      </c>
      <c r="D311" s="2460" t="s">
        <v>1671</v>
      </c>
      <c r="E311" s="2461" t="s">
        <v>213</v>
      </c>
      <c r="F311" s="2461" t="s">
        <v>1505</v>
      </c>
      <c r="G311" s="2461" t="s">
        <v>1439</v>
      </c>
      <c r="H311" s="2461" t="s">
        <v>1440</v>
      </c>
      <c r="I311" s="2462">
        <v>5.2550776027384467</v>
      </c>
      <c r="J311" s="2462">
        <v>7678.9738178331263</v>
      </c>
    </row>
    <row r="312" spans="1:10" outlineLevel="2">
      <c r="A312" s="2459" t="s">
        <v>1669</v>
      </c>
      <c r="B312" s="2459" t="s">
        <v>1634</v>
      </c>
      <c r="C312" s="2459" t="s">
        <v>1672</v>
      </c>
      <c r="D312" s="2460" t="s">
        <v>1671</v>
      </c>
      <c r="E312" s="2461" t="s">
        <v>213</v>
      </c>
      <c r="F312" s="2461" t="s">
        <v>1506</v>
      </c>
      <c r="G312" s="2461" t="s">
        <v>1439</v>
      </c>
      <c r="H312" s="2461" t="s">
        <v>1440</v>
      </c>
      <c r="I312" s="2462">
        <v>4.6266710481709703</v>
      </c>
      <c r="J312" s="2462">
        <v>6985.9071233852592</v>
      </c>
    </row>
    <row r="313" spans="1:10" outlineLevel="2">
      <c r="A313" s="2459" t="s">
        <v>1669</v>
      </c>
      <c r="B313" s="2459" t="s">
        <v>1634</v>
      </c>
      <c r="C313" s="2459" t="s">
        <v>1672</v>
      </c>
      <c r="D313" s="2460" t="s">
        <v>1671</v>
      </c>
      <c r="E313" s="2461" t="s">
        <v>213</v>
      </c>
      <c r="F313" s="2461" t="s">
        <v>1507</v>
      </c>
      <c r="G313" s="2461" t="s">
        <v>1439</v>
      </c>
      <c r="H313" s="2461" t="s">
        <v>1440</v>
      </c>
      <c r="I313" s="2462">
        <v>0.51771708726553478</v>
      </c>
      <c r="J313" s="2462">
        <v>1166.4638557428907</v>
      </c>
    </row>
    <row r="314" spans="1:10" outlineLevel="2">
      <c r="A314" s="2459" t="s">
        <v>1669</v>
      </c>
      <c r="B314" s="2459" t="s">
        <v>1634</v>
      </c>
      <c r="C314" s="2459" t="s">
        <v>1672</v>
      </c>
      <c r="D314" s="2460" t="s">
        <v>1671</v>
      </c>
      <c r="E314" s="2461" t="s">
        <v>213</v>
      </c>
      <c r="F314" s="2461" t="s">
        <v>1508</v>
      </c>
      <c r="G314" s="2461" t="s">
        <v>1439</v>
      </c>
      <c r="H314" s="2461" t="s">
        <v>1440</v>
      </c>
      <c r="I314" s="2462">
        <v>14.250372797244925</v>
      </c>
      <c r="J314" s="2462">
        <v>22550.958658951971</v>
      </c>
    </row>
    <row r="315" spans="1:10" outlineLevel="2">
      <c r="A315" s="2459" t="s">
        <v>1669</v>
      </c>
      <c r="B315" s="2459" t="s">
        <v>1634</v>
      </c>
      <c r="C315" s="2459" t="s">
        <v>1672</v>
      </c>
      <c r="D315" s="2460" t="s">
        <v>1671</v>
      </c>
      <c r="E315" s="2461" t="s">
        <v>213</v>
      </c>
      <c r="F315" s="2461" t="s">
        <v>1509</v>
      </c>
      <c r="G315" s="2461" t="s">
        <v>1439</v>
      </c>
      <c r="H315" s="2461" t="s">
        <v>1440</v>
      </c>
      <c r="I315" s="2462">
        <v>0.23924141064940185</v>
      </c>
      <c r="J315" s="2462">
        <v>272.96001083928263</v>
      </c>
    </row>
    <row r="316" spans="1:10" outlineLevel="2">
      <c r="A316" s="2459" t="s">
        <v>1669</v>
      </c>
      <c r="B316" s="2459" t="s">
        <v>1634</v>
      </c>
      <c r="C316" s="2459" t="s">
        <v>1672</v>
      </c>
      <c r="D316" s="2460" t="s">
        <v>1671</v>
      </c>
      <c r="E316" s="2461" t="s">
        <v>213</v>
      </c>
      <c r="F316" s="2461" t="s">
        <v>1510</v>
      </c>
      <c r="G316" s="2461" t="s">
        <v>1439</v>
      </c>
      <c r="H316" s="2461" t="s">
        <v>1440</v>
      </c>
      <c r="I316" s="2462">
        <v>0.59800574407029305</v>
      </c>
      <c r="J316" s="2462">
        <v>692.9533825231008</v>
      </c>
    </row>
    <row r="317" spans="1:10" outlineLevel="2">
      <c r="A317" s="2459" t="s">
        <v>1669</v>
      </c>
      <c r="B317" s="2459" t="s">
        <v>1634</v>
      </c>
      <c r="C317" s="2459" t="s">
        <v>1672</v>
      </c>
      <c r="D317" s="2460" t="s">
        <v>1671</v>
      </c>
      <c r="E317" s="2461" t="s">
        <v>213</v>
      </c>
      <c r="F317" s="2461" t="s">
        <v>1511</v>
      </c>
      <c r="G317" s="2461" t="s">
        <v>1418</v>
      </c>
      <c r="H317" s="2461" t="s">
        <v>1452</v>
      </c>
      <c r="I317" s="2462">
        <v>2.2174216468310621E-4</v>
      </c>
      <c r="J317" s="2462">
        <v>0.32700477745995249</v>
      </c>
    </row>
    <row r="318" spans="1:10" outlineLevel="2">
      <c r="A318" s="2459" t="s">
        <v>1669</v>
      </c>
      <c r="B318" s="2459" t="s">
        <v>1634</v>
      </c>
      <c r="C318" s="2459" t="s">
        <v>1672</v>
      </c>
      <c r="D318" s="2460" t="s">
        <v>1671</v>
      </c>
      <c r="E318" s="2461" t="s">
        <v>213</v>
      </c>
      <c r="F318" s="2461" t="s">
        <v>1512</v>
      </c>
      <c r="G318" s="2461" t="s">
        <v>1418</v>
      </c>
      <c r="H318" s="2461" t="s">
        <v>1452</v>
      </c>
      <c r="I318" s="2462">
        <v>2.9017910719112528E-4</v>
      </c>
      <c r="J318" s="2462">
        <v>1.2653910420556445</v>
      </c>
    </row>
    <row r="319" spans="1:10" outlineLevel="2">
      <c r="A319" s="2459" t="s">
        <v>1669</v>
      </c>
      <c r="B319" s="2459" t="s">
        <v>1634</v>
      </c>
      <c r="C319" s="2459" t="s">
        <v>1672</v>
      </c>
      <c r="D319" s="2460" t="s">
        <v>1671</v>
      </c>
      <c r="E319" s="2461" t="s">
        <v>213</v>
      </c>
      <c r="F319" s="2461" t="s">
        <v>1513</v>
      </c>
      <c r="G319" s="2461" t="s">
        <v>1418</v>
      </c>
      <c r="H319" s="2461" t="s">
        <v>1452</v>
      </c>
      <c r="I319" s="2462">
        <v>1.0822050784636866E-5</v>
      </c>
      <c r="J319" s="2462">
        <v>1.0150630180429341E-2</v>
      </c>
    </row>
    <row r="320" spans="1:10" outlineLevel="2">
      <c r="A320" s="2459" t="s">
        <v>1669</v>
      </c>
      <c r="B320" s="2459" t="s">
        <v>1634</v>
      </c>
      <c r="C320" s="2459" t="s">
        <v>1672</v>
      </c>
      <c r="D320" s="2460" t="s">
        <v>1671</v>
      </c>
      <c r="E320" s="2461" t="s">
        <v>213</v>
      </c>
      <c r="F320" s="2461" t="s">
        <v>1514</v>
      </c>
      <c r="G320" s="2461" t="s">
        <v>1418</v>
      </c>
      <c r="H320" s="2461" t="s">
        <v>1452</v>
      </c>
      <c r="I320" s="2462">
        <v>9.7072033480594686E-4</v>
      </c>
      <c r="J320" s="2462">
        <v>0.9086816130299008</v>
      </c>
    </row>
    <row r="321" spans="1:10" outlineLevel="2">
      <c r="A321" s="2459" t="s">
        <v>1669</v>
      </c>
      <c r="B321" s="2459" t="s">
        <v>1634</v>
      </c>
      <c r="C321" s="2459" t="s">
        <v>1672</v>
      </c>
      <c r="D321" s="2460" t="s">
        <v>1671</v>
      </c>
      <c r="E321" s="2461" t="s">
        <v>213</v>
      </c>
      <c r="F321" s="2461" t="s">
        <v>1515</v>
      </c>
      <c r="G321" s="2461" t="s">
        <v>1418</v>
      </c>
      <c r="H321" s="2461" t="s">
        <v>1452</v>
      </c>
      <c r="I321" s="2462">
        <v>1.8656029768773699E-4</v>
      </c>
      <c r="J321" s="2462">
        <v>0.26884757363329315</v>
      </c>
    </row>
    <row r="322" spans="1:10" outlineLevel="2">
      <c r="A322" s="2459" t="s">
        <v>1669</v>
      </c>
      <c r="B322" s="2459" t="s">
        <v>1634</v>
      </c>
      <c r="C322" s="2459" t="s">
        <v>1672</v>
      </c>
      <c r="D322" s="2460" t="s">
        <v>1671</v>
      </c>
      <c r="E322" s="2461" t="s">
        <v>213</v>
      </c>
      <c r="F322" s="2461" t="s">
        <v>1516</v>
      </c>
      <c r="G322" s="2461" t="s">
        <v>1418</v>
      </c>
      <c r="H322" s="2461" t="s">
        <v>1452</v>
      </c>
      <c r="I322" s="2462">
        <v>2.6660608840433416E-3</v>
      </c>
      <c r="J322" s="2462">
        <v>2.9788165686350569</v>
      </c>
    </row>
    <row r="323" spans="1:10" outlineLevel="2">
      <c r="A323" s="2459" t="s">
        <v>1669</v>
      </c>
      <c r="B323" s="2459" t="s">
        <v>1634</v>
      </c>
      <c r="C323" s="2459" t="s">
        <v>1672</v>
      </c>
      <c r="D323" s="2460" t="s">
        <v>1671</v>
      </c>
      <c r="E323" s="2461" t="s">
        <v>213</v>
      </c>
      <c r="F323" s="2461" t="s">
        <v>1517</v>
      </c>
      <c r="G323" s="2461" t="s">
        <v>1418</v>
      </c>
      <c r="H323" s="2461" t="s">
        <v>1452</v>
      </c>
      <c r="I323" s="2462">
        <v>1.3649168497852148E-2</v>
      </c>
      <c r="J323" s="2462">
        <v>6.6782004541228304</v>
      </c>
    </row>
    <row r="324" spans="1:10" outlineLevel="2">
      <c r="A324" s="2459" t="s">
        <v>1669</v>
      </c>
      <c r="B324" s="2459" t="s">
        <v>1634</v>
      </c>
      <c r="C324" s="2459" t="s">
        <v>1672</v>
      </c>
      <c r="D324" s="2460" t="s">
        <v>1671</v>
      </c>
      <c r="E324" s="2461" t="s">
        <v>213</v>
      </c>
      <c r="F324" s="2461" t="s">
        <v>1518</v>
      </c>
      <c r="G324" s="2461" t="s">
        <v>1418</v>
      </c>
      <c r="H324" s="2461" t="s">
        <v>1452</v>
      </c>
      <c r="I324" s="2462">
        <v>1.5373227599622505E-3</v>
      </c>
      <c r="J324" s="2462">
        <v>1.4390722112888996</v>
      </c>
    </row>
    <row r="325" spans="1:10" outlineLevel="2">
      <c r="A325" s="2459" t="s">
        <v>1669</v>
      </c>
      <c r="B325" s="2459" t="s">
        <v>1634</v>
      </c>
      <c r="C325" s="2459" t="s">
        <v>1672</v>
      </c>
      <c r="D325" s="2460" t="s">
        <v>1671</v>
      </c>
      <c r="E325" s="2461" t="s">
        <v>213</v>
      </c>
      <c r="F325" s="2461" t="s">
        <v>1519</v>
      </c>
      <c r="G325" s="2461" t="s">
        <v>1418</v>
      </c>
      <c r="H325" s="2461" t="s">
        <v>1452</v>
      </c>
      <c r="I325" s="2462">
        <v>2.0182293324861916E-3</v>
      </c>
      <c r="J325" s="2462">
        <v>2.0536073842069973</v>
      </c>
    </row>
    <row r="326" spans="1:10" outlineLevel="2">
      <c r="A326" s="2459" t="s">
        <v>1669</v>
      </c>
      <c r="B326" s="2459" t="s">
        <v>1634</v>
      </c>
      <c r="C326" s="2459" t="s">
        <v>1672</v>
      </c>
      <c r="D326" s="2460" t="s">
        <v>1671</v>
      </c>
      <c r="E326" s="2461" t="s">
        <v>213</v>
      </c>
      <c r="F326" s="2461" t="s">
        <v>1520</v>
      </c>
      <c r="G326" s="2461" t="s">
        <v>1418</v>
      </c>
      <c r="H326" s="2461" t="s">
        <v>1452</v>
      </c>
      <c r="I326" s="2462">
        <v>2.417912417450952E-4</v>
      </c>
      <c r="J326" s="2462">
        <v>2.1947032595121914</v>
      </c>
    </row>
    <row r="327" spans="1:10" outlineLevel="2">
      <c r="A327" s="2459" t="s">
        <v>1669</v>
      </c>
      <c r="B327" s="2459" t="s">
        <v>1634</v>
      </c>
      <c r="C327" s="2459" t="s">
        <v>1672</v>
      </c>
      <c r="D327" s="2460" t="s">
        <v>1671</v>
      </c>
      <c r="E327" s="2461" t="s">
        <v>213</v>
      </c>
      <c r="F327" s="2461" t="s">
        <v>1521</v>
      </c>
      <c r="G327" s="2461" t="s">
        <v>1421</v>
      </c>
      <c r="H327" s="2461" t="s">
        <v>1454</v>
      </c>
      <c r="I327" s="2462">
        <v>4.274087965719561</v>
      </c>
      <c r="J327" s="2462">
        <v>5927.4473045728073</v>
      </c>
    </row>
    <row r="328" spans="1:10" outlineLevel="2">
      <c r="A328" s="2459" t="s">
        <v>1669</v>
      </c>
      <c r="B328" s="2459" t="s">
        <v>1634</v>
      </c>
      <c r="C328" s="2459" t="s">
        <v>1672</v>
      </c>
      <c r="D328" s="2460" t="s">
        <v>1671</v>
      </c>
      <c r="E328" s="2461" t="s">
        <v>213</v>
      </c>
      <c r="F328" s="2461" t="s">
        <v>1522</v>
      </c>
      <c r="G328" s="2461" t="s">
        <v>1421</v>
      </c>
      <c r="H328" s="2461" t="s">
        <v>1454</v>
      </c>
      <c r="I328" s="2462">
        <v>1.0039273394226129</v>
      </c>
      <c r="J328" s="2462">
        <v>1482.994674752623</v>
      </c>
    </row>
    <row r="329" spans="1:10" outlineLevel="2">
      <c r="A329" s="2459" t="s">
        <v>1669</v>
      </c>
      <c r="B329" s="2459" t="s">
        <v>1634</v>
      </c>
      <c r="C329" s="2459" t="s">
        <v>1672</v>
      </c>
      <c r="D329" s="2460" t="s">
        <v>1671</v>
      </c>
      <c r="E329" s="2461" t="s">
        <v>213</v>
      </c>
      <c r="F329" s="2461" t="s">
        <v>1523</v>
      </c>
      <c r="G329" s="2461" t="s">
        <v>1421</v>
      </c>
      <c r="H329" s="2461" t="s">
        <v>1454</v>
      </c>
      <c r="I329" s="2462">
        <v>0.46313419529138428</v>
      </c>
      <c r="J329" s="2462">
        <v>784.15857096352556</v>
      </c>
    </row>
    <row r="330" spans="1:10" outlineLevel="2">
      <c r="A330" s="2459" t="s">
        <v>1669</v>
      </c>
      <c r="B330" s="2459" t="s">
        <v>1634</v>
      </c>
      <c r="C330" s="2459" t="s">
        <v>1672</v>
      </c>
      <c r="D330" s="2460" t="s">
        <v>1671</v>
      </c>
      <c r="E330" s="2461" t="s">
        <v>213</v>
      </c>
      <c r="F330" s="2461" t="s">
        <v>1524</v>
      </c>
      <c r="G330" s="2461" t="s">
        <v>1421</v>
      </c>
      <c r="H330" s="2461" t="s">
        <v>1454</v>
      </c>
      <c r="I330" s="2462">
        <v>1.0671642597326267</v>
      </c>
      <c r="J330" s="2462">
        <v>1685.7296844752029</v>
      </c>
    </row>
    <row r="331" spans="1:10" outlineLevel="2">
      <c r="A331" s="2459" t="s">
        <v>1669</v>
      </c>
      <c r="B331" s="2459" t="s">
        <v>1634</v>
      </c>
      <c r="C331" s="2459" t="s">
        <v>1672</v>
      </c>
      <c r="D331" s="2460" t="s">
        <v>1671</v>
      </c>
      <c r="E331" s="2461" t="s">
        <v>213</v>
      </c>
      <c r="F331" s="2461" t="s">
        <v>1525</v>
      </c>
      <c r="G331" s="2461" t="s">
        <v>1421</v>
      </c>
      <c r="H331" s="2461" t="s">
        <v>1454</v>
      </c>
      <c r="I331" s="2462">
        <v>1.8799624857930413</v>
      </c>
      <c r="J331" s="2462">
        <v>2663.4067583305568</v>
      </c>
    </row>
    <row r="332" spans="1:10" outlineLevel="2">
      <c r="A332" s="2459" t="s">
        <v>1669</v>
      </c>
      <c r="B332" s="2459" t="s">
        <v>1634</v>
      </c>
      <c r="C332" s="2459" t="s">
        <v>1672</v>
      </c>
      <c r="D332" s="2460" t="s">
        <v>1671</v>
      </c>
      <c r="E332" s="2461" t="s">
        <v>213</v>
      </c>
      <c r="F332" s="2461" t="s">
        <v>1526</v>
      </c>
      <c r="G332" s="2461" t="s">
        <v>1421</v>
      </c>
      <c r="H332" s="2461" t="s">
        <v>1454</v>
      </c>
      <c r="I332" s="2462">
        <v>8.7093697468093298E-2</v>
      </c>
      <c r="J332" s="2462">
        <v>124.96271436992694</v>
      </c>
    </row>
    <row r="333" spans="1:10" outlineLevel="2">
      <c r="A333" s="2459" t="s">
        <v>1669</v>
      </c>
      <c r="B333" s="2459" t="s">
        <v>1634</v>
      </c>
      <c r="C333" s="2459" t="s">
        <v>1672</v>
      </c>
      <c r="D333" s="2460" t="s">
        <v>1671</v>
      </c>
      <c r="E333" s="2461" t="s">
        <v>213</v>
      </c>
      <c r="F333" s="2461" t="s">
        <v>1527</v>
      </c>
      <c r="G333" s="2461" t="s">
        <v>1459</v>
      </c>
      <c r="H333" s="2461" t="s">
        <v>1460</v>
      </c>
      <c r="I333" s="2462">
        <v>2.1712760563748993E-2</v>
      </c>
      <c r="J333" s="2462">
        <v>22.665974527839793</v>
      </c>
    </row>
    <row r="334" spans="1:10" outlineLevel="2">
      <c r="A334" s="2459" t="s">
        <v>1669</v>
      </c>
      <c r="B334" s="2459" t="s">
        <v>1634</v>
      </c>
      <c r="C334" s="2459" t="s">
        <v>1672</v>
      </c>
      <c r="D334" s="2460" t="s">
        <v>1671</v>
      </c>
      <c r="E334" s="2461" t="s">
        <v>213</v>
      </c>
      <c r="F334" s="2461" t="s">
        <v>1528</v>
      </c>
      <c r="G334" s="2461" t="s">
        <v>1459</v>
      </c>
      <c r="H334" s="2461" t="s">
        <v>1460</v>
      </c>
      <c r="I334" s="2462">
        <v>1.8899836381950819E-4</v>
      </c>
      <c r="J334" s="2462">
        <v>0.24156575379878434</v>
      </c>
    </row>
    <row r="335" spans="1:10" outlineLevel="2">
      <c r="A335" s="2459" t="s">
        <v>1669</v>
      </c>
      <c r="B335" s="2459" t="s">
        <v>1634</v>
      </c>
      <c r="C335" s="2459" t="s">
        <v>1672</v>
      </c>
      <c r="D335" s="2460" t="s">
        <v>1671</v>
      </c>
      <c r="E335" s="2461" t="s">
        <v>213</v>
      </c>
      <c r="F335" s="2461" t="s">
        <v>1529</v>
      </c>
      <c r="G335" s="2461" t="s">
        <v>1530</v>
      </c>
      <c r="H335" s="2461" t="s">
        <v>1531</v>
      </c>
      <c r="I335" s="2462">
        <v>6.93157232071463</v>
      </c>
      <c r="J335" s="2462">
        <v>5897.5103761030787</v>
      </c>
    </row>
    <row r="336" spans="1:10" outlineLevel="2">
      <c r="A336" s="2459" t="s">
        <v>1669</v>
      </c>
      <c r="B336" s="2459" t="s">
        <v>1634</v>
      </c>
      <c r="C336" s="2459" t="s">
        <v>1672</v>
      </c>
      <c r="D336" s="2460" t="s">
        <v>1671</v>
      </c>
      <c r="E336" s="2461" t="s">
        <v>213</v>
      </c>
      <c r="F336" s="2461" t="s">
        <v>1532</v>
      </c>
      <c r="G336" s="2461" t="s">
        <v>1530</v>
      </c>
      <c r="H336" s="2461" t="s">
        <v>1531</v>
      </c>
      <c r="I336" s="2462">
        <v>2.9175860275801035</v>
      </c>
      <c r="J336" s="2462">
        <v>2489.0228531924831</v>
      </c>
    </row>
    <row r="337" spans="1:10" outlineLevel="2">
      <c r="A337" s="2459" t="s">
        <v>1669</v>
      </c>
      <c r="B337" s="2459" t="s">
        <v>1634</v>
      </c>
      <c r="C337" s="2459" t="s">
        <v>1672</v>
      </c>
      <c r="D337" s="2460" t="s">
        <v>1671</v>
      </c>
      <c r="E337" s="2461" t="s">
        <v>213</v>
      </c>
      <c r="F337" s="2461" t="s">
        <v>1533</v>
      </c>
      <c r="G337" s="2461" t="s">
        <v>1534</v>
      </c>
      <c r="H337" s="2461" t="s">
        <v>1531</v>
      </c>
      <c r="I337" s="2462">
        <v>2.8041619131381008</v>
      </c>
      <c r="J337" s="2462">
        <v>4713.2258148164665</v>
      </c>
    </row>
    <row r="338" spans="1:10" outlineLevel="2">
      <c r="A338" s="2459" t="s">
        <v>1669</v>
      </c>
      <c r="B338" s="2459" t="s">
        <v>1634</v>
      </c>
      <c r="C338" s="2459" t="s">
        <v>1672</v>
      </c>
      <c r="D338" s="2460" t="s">
        <v>1671</v>
      </c>
      <c r="E338" s="2461" t="s">
        <v>213</v>
      </c>
      <c r="F338" s="2461" t="s">
        <v>1535</v>
      </c>
      <c r="G338" s="2461" t="s">
        <v>1536</v>
      </c>
      <c r="H338" s="2461" t="s">
        <v>1537</v>
      </c>
      <c r="I338" s="2462">
        <v>5.0124136312349223E-3</v>
      </c>
      <c r="J338" s="2462">
        <v>7.473836576196744</v>
      </c>
    </row>
    <row r="339" spans="1:10" outlineLevel="2">
      <c r="A339" s="2459" t="s">
        <v>1669</v>
      </c>
      <c r="B339" s="2459" t="s">
        <v>1634</v>
      </c>
      <c r="C339" s="2459" t="s">
        <v>1672</v>
      </c>
      <c r="D339" s="2460" t="s">
        <v>1671</v>
      </c>
      <c r="E339" s="2461" t="s">
        <v>1538</v>
      </c>
      <c r="F339" s="2461" t="s">
        <v>1539</v>
      </c>
      <c r="G339" s="2461" t="s">
        <v>1426</v>
      </c>
      <c r="H339" s="2461" t="s">
        <v>1540</v>
      </c>
      <c r="I339" s="2462">
        <v>7.6906171678728366E-3</v>
      </c>
      <c r="J339" s="2462">
        <v>14.727907196786809</v>
      </c>
    </row>
    <row r="340" spans="1:10" outlineLevel="2">
      <c r="A340" s="2459" t="s">
        <v>1669</v>
      </c>
      <c r="B340" s="2459" t="s">
        <v>1634</v>
      </c>
      <c r="C340" s="2459" t="s">
        <v>1672</v>
      </c>
      <c r="D340" s="2460" t="s">
        <v>1671</v>
      </c>
      <c r="E340" s="2461" t="s">
        <v>1538</v>
      </c>
      <c r="F340" s="2461" t="s">
        <v>1541</v>
      </c>
      <c r="G340" s="2461" t="s">
        <v>1409</v>
      </c>
      <c r="H340" s="2461" t="s">
        <v>1540</v>
      </c>
      <c r="I340" s="2462">
        <v>1.3104550585064754E-3</v>
      </c>
      <c r="J340" s="2462">
        <v>6.1001632593898139</v>
      </c>
    </row>
    <row r="341" spans="1:10" outlineLevel="2">
      <c r="A341" s="2459" t="s">
        <v>1669</v>
      </c>
      <c r="B341" s="2459" t="s">
        <v>1634</v>
      </c>
      <c r="C341" s="2459" t="s">
        <v>1672</v>
      </c>
      <c r="D341" s="2460" t="s">
        <v>1671</v>
      </c>
      <c r="E341" s="2461" t="s">
        <v>1538</v>
      </c>
      <c r="F341" s="2461" t="s">
        <v>1542</v>
      </c>
      <c r="G341" s="2461" t="s">
        <v>1409</v>
      </c>
      <c r="H341" s="2461" t="s">
        <v>1540</v>
      </c>
      <c r="I341" s="2462">
        <v>7.0283909568588383E-4</v>
      </c>
      <c r="J341" s="2462">
        <v>10.201614588990704</v>
      </c>
    </row>
    <row r="342" spans="1:10" outlineLevel="2">
      <c r="A342" s="2459" t="s">
        <v>1669</v>
      </c>
      <c r="B342" s="2459" t="s">
        <v>1634</v>
      </c>
      <c r="C342" s="2459" t="s">
        <v>1672</v>
      </c>
      <c r="D342" s="2460" t="s">
        <v>1671</v>
      </c>
      <c r="E342" s="2461" t="s">
        <v>1538</v>
      </c>
      <c r="F342" s="2461" t="s">
        <v>1543</v>
      </c>
      <c r="G342" s="2461" t="s">
        <v>1409</v>
      </c>
      <c r="H342" s="2461" t="s">
        <v>1540</v>
      </c>
      <c r="I342" s="2462">
        <v>1.042069020394861E-3</v>
      </c>
      <c r="J342" s="2462">
        <v>1.8015956047235957</v>
      </c>
    </row>
    <row r="343" spans="1:10" outlineLevel="2">
      <c r="A343" s="2459" t="s">
        <v>1669</v>
      </c>
      <c r="B343" s="2459" t="s">
        <v>1634</v>
      </c>
      <c r="C343" s="2459" t="s">
        <v>1672</v>
      </c>
      <c r="D343" s="2460" t="s">
        <v>1671</v>
      </c>
      <c r="E343" s="2461" t="s">
        <v>1538</v>
      </c>
      <c r="F343" s="2461" t="s">
        <v>1544</v>
      </c>
      <c r="G343" s="2461" t="s">
        <v>1409</v>
      </c>
      <c r="H343" s="2461" t="s">
        <v>1540</v>
      </c>
      <c r="I343" s="2462">
        <v>1.9078111753813911E-4</v>
      </c>
      <c r="J343" s="2462">
        <v>1.0444669874005361</v>
      </c>
    </row>
    <row r="344" spans="1:10" outlineLevel="2">
      <c r="A344" s="2459" t="s">
        <v>1669</v>
      </c>
      <c r="B344" s="2459" t="s">
        <v>1634</v>
      </c>
      <c r="C344" s="2459" t="s">
        <v>1672</v>
      </c>
      <c r="D344" s="2460" t="s">
        <v>1671</v>
      </c>
      <c r="E344" s="2461" t="s">
        <v>1538</v>
      </c>
      <c r="F344" s="2461" t="s">
        <v>1545</v>
      </c>
      <c r="G344" s="2461" t="s">
        <v>1409</v>
      </c>
      <c r="H344" s="2461" t="s">
        <v>1540</v>
      </c>
      <c r="I344" s="2462">
        <v>4.2226471499761196E-3</v>
      </c>
      <c r="J344" s="2462">
        <v>18.865452421869744</v>
      </c>
    </row>
    <row r="345" spans="1:10" outlineLevel="2">
      <c r="A345" s="2459" t="s">
        <v>1669</v>
      </c>
      <c r="B345" s="2459" t="s">
        <v>1634</v>
      </c>
      <c r="C345" s="2459" t="s">
        <v>1672</v>
      </c>
      <c r="D345" s="2460" t="s">
        <v>1671</v>
      </c>
      <c r="E345" s="2461" t="s">
        <v>1538</v>
      </c>
      <c r="F345" s="2461" t="s">
        <v>1546</v>
      </c>
      <c r="G345" s="2461" t="s">
        <v>1409</v>
      </c>
      <c r="H345" s="2461" t="s">
        <v>1540</v>
      </c>
      <c r="I345" s="2462">
        <v>8.0771636645660273E-3</v>
      </c>
      <c r="J345" s="2462">
        <v>9.4757174838254468</v>
      </c>
    </row>
    <row r="346" spans="1:10" outlineLevel="2">
      <c r="A346" s="2459" t="s">
        <v>1669</v>
      </c>
      <c r="B346" s="2459" t="s">
        <v>1634</v>
      </c>
      <c r="C346" s="2459" t="s">
        <v>1672</v>
      </c>
      <c r="D346" s="2460" t="s">
        <v>1671</v>
      </c>
      <c r="E346" s="2461" t="s">
        <v>1538</v>
      </c>
      <c r="F346" s="2461" t="s">
        <v>1547</v>
      </c>
      <c r="G346" s="2461" t="s">
        <v>1409</v>
      </c>
      <c r="H346" s="2461" t="s">
        <v>1540</v>
      </c>
      <c r="I346" s="2462">
        <v>8.7728600356149411E-4</v>
      </c>
      <c r="J346" s="2462">
        <v>17.454020183079322</v>
      </c>
    </row>
    <row r="347" spans="1:10" outlineLevel="2">
      <c r="A347" s="2459" t="s">
        <v>1669</v>
      </c>
      <c r="B347" s="2459" t="s">
        <v>1634</v>
      </c>
      <c r="C347" s="2459" t="s">
        <v>1672</v>
      </c>
      <c r="D347" s="2460" t="s">
        <v>1671</v>
      </c>
      <c r="E347" s="2461" t="s">
        <v>1538</v>
      </c>
      <c r="F347" s="2461" t="s">
        <v>1548</v>
      </c>
      <c r="G347" s="2461" t="s">
        <v>1409</v>
      </c>
      <c r="H347" s="2461" t="s">
        <v>1540</v>
      </c>
      <c r="I347" s="2462">
        <v>4.071710518020584E-3</v>
      </c>
      <c r="J347" s="2462">
        <v>7.1119433699550321</v>
      </c>
    </row>
    <row r="348" spans="1:10" outlineLevel="2">
      <c r="A348" s="2459" t="s">
        <v>1669</v>
      </c>
      <c r="B348" s="2459" t="s">
        <v>1634</v>
      </c>
      <c r="C348" s="2459" t="s">
        <v>1672</v>
      </c>
      <c r="D348" s="2460" t="s">
        <v>1671</v>
      </c>
      <c r="E348" s="2461" t="s">
        <v>1538</v>
      </c>
      <c r="F348" s="2461" t="s">
        <v>1549</v>
      </c>
      <c r="G348" s="2461" t="s">
        <v>1409</v>
      </c>
      <c r="H348" s="2461" t="s">
        <v>1540</v>
      </c>
      <c r="I348" s="2462">
        <v>6.0867366778153255E-4</v>
      </c>
      <c r="J348" s="2462">
        <v>1.1656475980478724</v>
      </c>
    </row>
    <row r="349" spans="1:10" outlineLevel="2">
      <c r="A349" s="2459" t="s">
        <v>1669</v>
      </c>
      <c r="B349" s="2459" t="s">
        <v>1634</v>
      </c>
      <c r="C349" s="2459" t="s">
        <v>1672</v>
      </c>
      <c r="D349" s="2460" t="s">
        <v>1671</v>
      </c>
      <c r="E349" s="2461" t="s">
        <v>1538</v>
      </c>
      <c r="F349" s="2461" t="s">
        <v>1550</v>
      </c>
      <c r="G349" s="2461" t="s">
        <v>1409</v>
      </c>
      <c r="H349" s="2461" t="s">
        <v>1540</v>
      </c>
      <c r="I349" s="2462">
        <v>3.3358421748486511E-3</v>
      </c>
      <c r="J349" s="2462">
        <v>12.120702182433542</v>
      </c>
    </row>
    <row r="350" spans="1:10" outlineLevel="2">
      <c r="A350" s="2459" t="s">
        <v>1669</v>
      </c>
      <c r="B350" s="2459" t="s">
        <v>1634</v>
      </c>
      <c r="C350" s="2459" t="s">
        <v>1672</v>
      </c>
      <c r="D350" s="2460" t="s">
        <v>1671</v>
      </c>
      <c r="E350" s="2461" t="s">
        <v>1538</v>
      </c>
      <c r="F350" s="2461" t="s">
        <v>1551</v>
      </c>
      <c r="G350" s="2461" t="s">
        <v>1409</v>
      </c>
      <c r="H350" s="2461" t="s">
        <v>1540</v>
      </c>
      <c r="I350" s="2462">
        <v>2.7481911033349019E-3</v>
      </c>
      <c r="J350" s="2462">
        <v>29.268844900040687</v>
      </c>
    </row>
    <row r="351" spans="1:10" outlineLevel="2">
      <c r="A351" s="2459" t="s">
        <v>1669</v>
      </c>
      <c r="B351" s="2459" t="s">
        <v>1634</v>
      </c>
      <c r="C351" s="2459" t="s">
        <v>1672</v>
      </c>
      <c r="D351" s="2460" t="s">
        <v>1671</v>
      </c>
      <c r="E351" s="2461" t="s">
        <v>1538</v>
      </c>
      <c r="F351" s="2461" t="s">
        <v>1552</v>
      </c>
      <c r="G351" s="2461" t="s">
        <v>1409</v>
      </c>
      <c r="H351" s="2461" t="s">
        <v>1540</v>
      </c>
      <c r="I351" s="2462">
        <v>1.9337510913221251E-4</v>
      </c>
      <c r="J351" s="2462">
        <v>3.0794641722331506</v>
      </c>
    </row>
    <row r="352" spans="1:10" outlineLevel="2">
      <c r="A352" s="2459" t="s">
        <v>1669</v>
      </c>
      <c r="B352" s="2459" t="s">
        <v>1634</v>
      </c>
      <c r="C352" s="2459" t="s">
        <v>1672</v>
      </c>
      <c r="D352" s="2460" t="s">
        <v>1671</v>
      </c>
      <c r="E352" s="2461" t="s">
        <v>1538</v>
      </c>
      <c r="F352" s="2461" t="s">
        <v>1553</v>
      </c>
      <c r="G352" s="2461" t="s">
        <v>1409</v>
      </c>
      <c r="H352" s="2461" t="s">
        <v>1540</v>
      </c>
      <c r="I352" s="2462">
        <v>1.4340644027744615E-2</v>
      </c>
      <c r="J352" s="2462">
        <v>26.363890501737799</v>
      </c>
    </row>
    <row r="353" spans="1:10" outlineLevel="2">
      <c r="A353" s="2459" t="s">
        <v>1669</v>
      </c>
      <c r="B353" s="2459" t="s">
        <v>1634</v>
      </c>
      <c r="C353" s="2459" t="s">
        <v>1672</v>
      </c>
      <c r="D353" s="2460" t="s">
        <v>1671</v>
      </c>
      <c r="E353" s="2461" t="s">
        <v>1538</v>
      </c>
      <c r="F353" s="2461" t="s">
        <v>1554</v>
      </c>
      <c r="G353" s="2461" t="s">
        <v>1409</v>
      </c>
      <c r="H353" s="2461" t="s">
        <v>1540</v>
      </c>
      <c r="I353" s="2462">
        <v>7.9934581612318822E-3</v>
      </c>
      <c r="J353" s="2462">
        <v>11.064189494554908</v>
      </c>
    </row>
    <row r="354" spans="1:10" outlineLevel="2">
      <c r="A354" s="2459" t="s">
        <v>1669</v>
      </c>
      <c r="B354" s="2459" t="s">
        <v>1634</v>
      </c>
      <c r="C354" s="2459" t="s">
        <v>1672</v>
      </c>
      <c r="D354" s="2460" t="s">
        <v>1671</v>
      </c>
      <c r="E354" s="2461" t="s">
        <v>1538</v>
      </c>
      <c r="F354" s="2461" t="s">
        <v>1555</v>
      </c>
      <c r="G354" s="2461" t="s">
        <v>1412</v>
      </c>
      <c r="H354" s="2461" t="s">
        <v>1540</v>
      </c>
      <c r="I354" s="2462">
        <v>5.2372667530183235E-2</v>
      </c>
      <c r="J354" s="2462">
        <v>161.22349775035511</v>
      </c>
    </row>
    <row r="355" spans="1:10" outlineLevel="2">
      <c r="A355" s="2459" t="s">
        <v>1669</v>
      </c>
      <c r="B355" s="2459" t="s">
        <v>1634</v>
      </c>
      <c r="C355" s="2459" t="s">
        <v>1672</v>
      </c>
      <c r="D355" s="2460" t="s">
        <v>1671</v>
      </c>
      <c r="E355" s="2461" t="s">
        <v>1538</v>
      </c>
      <c r="F355" s="2461" t="s">
        <v>1556</v>
      </c>
      <c r="G355" s="2461" t="s">
        <v>1412</v>
      </c>
      <c r="H355" s="2461" t="s">
        <v>1540</v>
      </c>
      <c r="I355" s="2462">
        <v>1.0412034975949218</v>
      </c>
      <c r="J355" s="2462">
        <v>14665.042214755653</v>
      </c>
    </row>
    <row r="356" spans="1:10" outlineLevel="2">
      <c r="A356" s="2459" t="s">
        <v>1669</v>
      </c>
      <c r="B356" s="2459" t="s">
        <v>1634</v>
      </c>
      <c r="C356" s="2459" t="s">
        <v>1672</v>
      </c>
      <c r="D356" s="2460" t="s">
        <v>1671</v>
      </c>
      <c r="E356" s="2461" t="s">
        <v>1538</v>
      </c>
      <c r="F356" s="2461" t="s">
        <v>1557</v>
      </c>
      <c r="G356" s="2461" t="s">
        <v>1412</v>
      </c>
      <c r="H356" s="2461" t="s">
        <v>1540</v>
      </c>
      <c r="I356" s="2462">
        <v>6.1988112295753087E-3</v>
      </c>
      <c r="J356" s="2462">
        <v>109.24886571472341</v>
      </c>
    </row>
    <row r="357" spans="1:10" outlineLevel="2">
      <c r="A357" s="2459" t="s">
        <v>1669</v>
      </c>
      <c r="B357" s="2459" t="s">
        <v>1634</v>
      </c>
      <c r="C357" s="2459" t="s">
        <v>1672</v>
      </c>
      <c r="D357" s="2460" t="s">
        <v>1671</v>
      </c>
      <c r="E357" s="2461" t="s">
        <v>1538</v>
      </c>
      <c r="F357" s="2461" t="s">
        <v>1558</v>
      </c>
      <c r="G357" s="2461" t="s">
        <v>1412</v>
      </c>
      <c r="H357" s="2461" t="s">
        <v>1540</v>
      </c>
      <c r="I357" s="2462">
        <v>2.0736239033840999E-3</v>
      </c>
      <c r="J357" s="2462">
        <v>34.460995348511958</v>
      </c>
    </row>
    <row r="358" spans="1:10" outlineLevel="2">
      <c r="A358" s="2459" t="s">
        <v>1669</v>
      </c>
      <c r="B358" s="2459" t="s">
        <v>1634</v>
      </c>
      <c r="C358" s="2459" t="s">
        <v>1672</v>
      </c>
      <c r="D358" s="2460" t="s">
        <v>1671</v>
      </c>
      <c r="E358" s="2461" t="s">
        <v>1538</v>
      </c>
      <c r="F358" s="2461" t="s">
        <v>1559</v>
      </c>
      <c r="G358" s="2461" t="s">
        <v>1412</v>
      </c>
      <c r="H358" s="2461" t="s">
        <v>1540</v>
      </c>
      <c r="I358" s="2462">
        <v>2.2141143126365656E-3</v>
      </c>
      <c r="J358" s="2462">
        <v>8.5108386143434593</v>
      </c>
    </row>
    <row r="359" spans="1:10" outlineLevel="2">
      <c r="A359" s="2459" t="s">
        <v>1669</v>
      </c>
      <c r="B359" s="2459" t="s">
        <v>1634</v>
      </c>
      <c r="C359" s="2459" t="s">
        <v>1672</v>
      </c>
      <c r="D359" s="2460" t="s">
        <v>1671</v>
      </c>
      <c r="E359" s="2461" t="s">
        <v>1538</v>
      </c>
      <c r="F359" s="2461" t="s">
        <v>1560</v>
      </c>
      <c r="G359" s="2461" t="s">
        <v>1412</v>
      </c>
      <c r="H359" s="2461" t="s">
        <v>1540</v>
      </c>
      <c r="I359" s="2462">
        <v>3.107785609771378E-3</v>
      </c>
      <c r="J359" s="2462">
        <v>67.684744298083686</v>
      </c>
    </row>
    <row r="360" spans="1:10" outlineLevel="2">
      <c r="A360" s="2459" t="s">
        <v>1669</v>
      </c>
      <c r="B360" s="2459" t="s">
        <v>1634</v>
      </c>
      <c r="C360" s="2459" t="s">
        <v>1672</v>
      </c>
      <c r="D360" s="2460" t="s">
        <v>1671</v>
      </c>
      <c r="E360" s="2461" t="s">
        <v>1538</v>
      </c>
      <c r="F360" s="2461" t="s">
        <v>1561</v>
      </c>
      <c r="G360" s="2461" t="s">
        <v>1439</v>
      </c>
      <c r="H360" s="2461" t="s">
        <v>1540</v>
      </c>
      <c r="I360" s="2462">
        <v>2.5370344774873866E-2</v>
      </c>
      <c r="J360" s="2462">
        <v>384.46970892855433</v>
      </c>
    </row>
    <row r="361" spans="1:10" outlineLevel="2">
      <c r="A361" s="2459" t="s">
        <v>1669</v>
      </c>
      <c r="B361" s="2459" t="s">
        <v>1634</v>
      </c>
      <c r="C361" s="2459" t="s">
        <v>1672</v>
      </c>
      <c r="D361" s="2460" t="s">
        <v>1671</v>
      </c>
      <c r="E361" s="2461" t="s">
        <v>1538</v>
      </c>
      <c r="F361" s="2461" t="s">
        <v>1562</v>
      </c>
      <c r="G361" s="2461" t="s">
        <v>1418</v>
      </c>
      <c r="H361" s="2461" t="s">
        <v>1540</v>
      </c>
      <c r="I361" s="2462">
        <v>1.0295703713317042E-5</v>
      </c>
      <c r="J361" s="2462">
        <v>1.2973430590845297E-2</v>
      </c>
    </row>
    <row r="362" spans="1:10" outlineLevel="2">
      <c r="A362" s="2459" t="s">
        <v>1669</v>
      </c>
      <c r="B362" s="2459" t="s">
        <v>1634</v>
      </c>
      <c r="C362" s="2459" t="s">
        <v>1672</v>
      </c>
      <c r="D362" s="2460" t="s">
        <v>1671</v>
      </c>
      <c r="E362" s="2461" t="s">
        <v>1538</v>
      </c>
      <c r="F362" s="2461" t="s">
        <v>1563</v>
      </c>
      <c r="G362" s="2461" t="s">
        <v>1418</v>
      </c>
      <c r="H362" s="2461" t="s">
        <v>1540</v>
      </c>
      <c r="I362" s="2462">
        <v>1.4917532115093527E-6</v>
      </c>
      <c r="J362" s="2462">
        <v>2.5268601637958236E-2</v>
      </c>
    </row>
    <row r="363" spans="1:10" outlineLevel="2">
      <c r="A363" s="2459" t="s">
        <v>1669</v>
      </c>
      <c r="B363" s="2459" t="s">
        <v>1634</v>
      </c>
      <c r="C363" s="2459" t="s">
        <v>1672</v>
      </c>
      <c r="D363" s="2460" t="s">
        <v>1671</v>
      </c>
      <c r="E363" s="2461" t="s">
        <v>1538</v>
      </c>
      <c r="F363" s="2461" t="s">
        <v>1564</v>
      </c>
      <c r="G363" s="2461" t="s">
        <v>1421</v>
      </c>
      <c r="H363" s="2461" t="s">
        <v>1540</v>
      </c>
      <c r="I363" s="2462">
        <v>0.23199842528191947</v>
      </c>
      <c r="J363" s="2462">
        <v>569.63093927923762</v>
      </c>
    </row>
    <row r="364" spans="1:10" outlineLevel="2">
      <c r="A364" s="2459" t="s">
        <v>1669</v>
      </c>
      <c r="B364" s="2459" t="s">
        <v>1634</v>
      </c>
      <c r="C364" s="2459" t="s">
        <v>1672</v>
      </c>
      <c r="D364" s="2460" t="s">
        <v>1671</v>
      </c>
      <c r="E364" s="2461" t="s">
        <v>1538</v>
      </c>
      <c r="F364" s="2461" t="s">
        <v>1565</v>
      </c>
      <c r="G364" s="2461" t="s">
        <v>1421</v>
      </c>
      <c r="H364" s="2461" t="s">
        <v>1540</v>
      </c>
      <c r="I364" s="2462">
        <v>2.7298398542693E-2</v>
      </c>
      <c r="J364" s="2462">
        <v>124.68505163123176</v>
      </c>
    </row>
    <row r="365" spans="1:10" outlineLevel="2">
      <c r="A365" s="2459" t="s">
        <v>1669</v>
      </c>
      <c r="B365" s="2459" t="s">
        <v>1634</v>
      </c>
      <c r="C365" s="2459" t="s">
        <v>1672</v>
      </c>
      <c r="D365" s="2460" t="s">
        <v>1671</v>
      </c>
      <c r="E365" s="2461" t="s">
        <v>1538</v>
      </c>
      <c r="F365" s="2461" t="s">
        <v>1566</v>
      </c>
      <c r="G365" s="2461" t="s">
        <v>1421</v>
      </c>
      <c r="H365" s="2461" t="s">
        <v>1540</v>
      </c>
      <c r="I365" s="2462">
        <v>1.4233625696452463E-2</v>
      </c>
      <c r="J365" s="2462">
        <v>145.59149457129624</v>
      </c>
    </row>
    <row r="366" spans="1:10" outlineLevel="2">
      <c r="A366" s="2459" t="s">
        <v>1669</v>
      </c>
      <c r="B366" s="2459" t="s">
        <v>1634</v>
      </c>
      <c r="C366" s="2459" t="s">
        <v>1672</v>
      </c>
      <c r="D366" s="2460" t="s">
        <v>1671</v>
      </c>
      <c r="E366" s="2461" t="s">
        <v>1538</v>
      </c>
      <c r="F366" s="2461" t="s">
        <v>1567</v>
      </c>
      <c r="G366" s="2461" t="s">
        <v>1421</v>
      </c>
      <c r="H366" s="2461" t="s">
        <v>1540</v>
      </c>
      <c r="I366" s="2462">
        <v>2.3563681314720541E-2</v>
      </c>
      <c r="J366" s="2462">
        <v>180.94898014760437</v>
      </c>
    </row>
    <row r="367" spans="1:10" outlineLevel="2">
      <c r="A367" s="2459" t="s">
        <v>1669</v>
      </c>
      <c r="B367" s="2459" t="s">
        <v>1634</v>
      </c>
      <c r="C367" s="2459" t="s">
        <v>1672</v>
      </c>
      <c r="D367" s="2460" t="s">
        <v>1671</v>
      </c>
      <c r="E367" s="2461" t="s">
        <v>1538</v>
      </c>
      <c r="F367" s="2461" t="s">
        <v>1568</v>
      </c>
      <c r="G367" s="2461" t="s">
        <v>1421</v>
      </c>
      <c r="H367" s="2461" t="s">
        <v>1540</v>
      </c>
      <c r="I367" s="2462">
        <v>8.1568427557142538E-4</v>
      </c>
      <c r="J367" s="2462">
        <v>2.4610058803182575</v>
      </c>
    </row>
    <row r="368" spans="1:10" outlineLevel="2">
      <c r="A368" s="2459" t="s">
        <v>1669</v>
      </c>
      <c r="B368" s="2459" t="s">
        <v>1634</v>
      </c>
      <c r="C368" s="2459" t="s">
        <v>1672</v>
      </c>
      <c r="D368" s="2460" t="s">
        <v>1671</v>
      </c>
      <c r="E368" s="2461" t="s">
        <v>1538</v>
      </c>
      <c r="F368" s="2461" t="s">
        <v>1569</v>
      </c>
      <c r="G368" s="2461" t="s">
        <v>1421</v>
      </c>
      <c r="H368" s="2461" t="s">
        <v>1540</v>
      </c>
      <c r="I368" s="2462">
        <v>1.9335626542371629E-4</v>
      </c>
      <c r="J368" s="2462">
        <v>2.2343800687879409</v>
      </c>
    </row>
    <row r="369" spans="1:10" outlineLevel="2">
      <c r="A369" s="2459" t="s">
        <v>1669</v>
      </c>
      <c r="B369" s="2459" t="s">
        <v>1634</v>
      </c>
      <c r="C369" s="2459" t="s">
        <v>1672</v>
      </c>
      <c r="D369" s="2460" t="s">
        <v>1671</v>
      </c>
      <c r="E369" s="2461" t="s">
        <v>1538</v>
      </c>
      <c r="F369" s="2461" t="s">
        <v>1570</v>
      </c>
      <c r="G369" s="2461" t="s">
        <v>899</v>
      </c>
      <c r="H369" s="2461" t="s">
        <v>1540</v>
      </c>
      <c r="I369" s="2462">
        <v>5.2512624836497939E-5</v>
      </c>
      <c r="J369" s="2462">
        <v>0.22687252497501628</v>
      </c>
    </row>
    <row r="370" spans="1:10" outlineLevel="2">
      <c r="A370" s="2459" t="s">
        <v>1669</v>
      </c>
      <c r="B370" s="2459" t="s">
        <v>1634</v>
      </c>
      <c r="C370" s="2459" t="s">
        <v>1672</v>
      </c>
      <c r="D370" s="2460" t="s">
        <v>1671</v>
      </c>
      <c r="E370" s="2461" t="s">
        <v>1400</v>
      </c>
      <c r="F370" s="2461" t="s">
        <v>1571</v>
      </c>
      <c r="G370" s="2461" t="s">
        <v>215</v>
      </c>
      <c r="H370" s="2461" t="s">
        <v>1531</v>
      </c>
      <c r="I370" s="2462">
        <v>9.9507946740141309E-2</v>
      </c>
      <c r="J370" s="2462">
        <v>3581.3691817281479</v>
      </c>
    </row>
    <row r="371" spans="1:10" outlineLevel="2">
      <c r="A371" s="2459" t="s">
        <v>1669</v>
      </c>
      <c r="B371" s="2459" t="s">
        <v>1634</v>
      </c>
      <c r="C371" s="2459" t="s">
        <v>1672</v>
      </c>
      <c r="D371" s="2460" t="s">
        <v>1671</v>
      </c>
      <c r="E371" s="2461" t="s">
        <v>1400</v>
      </c>
      <c r="F371" s="2461" t="s">
        <v>1572</v>
      </c>
      <c r="G371" s="2461" t="s">
        <v>215</v>
      </c>
      <c r="H371" s="2461" t="s">
        <v>1531</v>
      </c>
      <c r="I371" s="2462">
        <v>6.15180239981346E-4</v>
      </c>
      <c r="J371" s="2462">
        <v>11.669618843089953</v>
      </c>
    </row>
    <row r="372" spans="1:10" outlineLevel="2">
      <c r="A372" s="2459" t="s">
        <v>1669</v>
      </c>
      <c r="B372" s="2459" t="s">
        <v>1634</v>
      </c>
      <c r="C372" s="2459" t="s">
        <v>1672</v>
      </c>
      <c r="D372" s="2460" t="s">
        <v>1671</v>
      </c>
      <c r="E372" s="2461" t="s">
        <v>1573</v>
      </c>
      <c r="F372" s="2461" t="s">
        <v>1574</v>
      </c>
      <c r="G372" s="2461" t="s">
        <v>1426</v>
      </c>
      <c r="H372" s="2461" t="s">
        <v>1427</v>
      </c>
      <c r="I372" s="2462">
        <v>9.3234536935001017E-3</v>
      </c>
      <c r="J372" s="2462">
        <v>230.48893820305238</v>
      </c>
    </row>
    <row r="373" spans="1:10" outlineLevel="2">
      <c r="A373" s="2459" t="s">
        <v>1669</v>
      </c>
      <c r="B373" s="2459" t="s">
        <v>1634</v>
      </c>
      <c r="C373" s="2459" t="s">
        <v>1672</v>
      </c>
      <c r="D373" s="2460" t="s">
        <v>1671</v>
      </c>
      <c r="E373" s="2461" t="s">
        <v>1573</v>
      </c>
      <c r="F373" s="2461" t="s">
        <v>1575</v>
      </c>
      <c r="G373" s="2461" t="s">
        <v>1409</v>
      </c>
      <c r="H373" s="2461" t="s">
        <v>1070</v>
      </c>
      <c r="I373" s="2462">
        <v>1.2509789654355894E-2</v>
      </c>
      <c r="J373" s="2462">
        <v>729.57631530180811</v>
      </c>
    </row>
    <row r="374" spans="1:10" outlineLevel="2">
      <c r="A374" s="2459" t="s">
        <v>1669</v>
      </c>
      <c r="B374" s="2459" t="s">
        <v>1634</v>
      </c>
      <c r="C374" s="2459" t="s">
        <v>1672</v>
      </c>
      <c r="D374" s="2460" t="s">
        <v>1671</v>
      </c>
      <c r="E374" s="2461" t="s">
        <v>1573</v>
      </c>
      <c r="F374" s="2461" t="s">
        <v>1576</v>
      </c>
      <c r="G374" s="2461" t="s">
        <v>1409</v>
      </c>
      <c r="H374" s="2461" t="s">
        <v>1070</v>
      </c>
      <c r="I374" s="2462">
        <v>1.0756286267376581E-4</v>
      </c>
      <c r="J374" s="2462">
        <v>1.188099291139282</v>
      </c>
    </row>
    <row r="375" spans="1:10" outlineLevel="2">
      <c r="A375" s="2459" t="s">
        <v>1669</v>
      </c>
      <c r="B375" s="2459" t="s">
        <v>1634</v>
      </c>
      <c r="C375" s="2459" t="s">
        <v>1672</v>
      </c>
      <c r="D375" s="2460" t="s">
        <v>1671</v>
      </c>
      <c r="E375" s="2461" t="s">
        <v>1573</v>
      </c>
      <c r="F375" s="2461" t="s">
        <v>1577</v>
      </c>
      <c r="G375" s="2461" t="s">
        <v>1409</v>
      </c>
      <c r="H375" s="2461" t="s">
        <v>1070</v>
      </c>
      <c r="I375" s="2462">
        <v>1.5599383176460562E-3</v>
      </c>
      <c r="J375" s="2462">
        <v>19.571233697751808</v>
      </c>
    </row>
    <row r="376" spans="1:10" outlineLevel="2">
      <c r="A376" s="2459" t="s">
        <v>1669</v>
      </c>
      <c r="B376" s="2459" t="s">
        <v>1634</v>
      </c>
      <c r="C376" s="2459" t="s">
        <v>1672</v>
      </c>
      <c r="D376" s="2460" t="s">
        <v>1671</v>
      </c>
      <c r="E376" s="2461" t="s">
        <v>1573</v>
      </c>
      <c r="F376" s="2461" t="s">
        <v>1578</v>
      </c>
      <c r="G376" s="2461" t="s">
        <v>1409</v>
      </c>
      <c r="H376" s="2461" t="s">
        <v>1070</v>
      </c>
      <c r="I376" s="2462">
        <v>3.5622819516453984E-2</v>
      </c>
      <c r="J376" s="2462">
        <v>1826.239585164938</v>
      </c>
    </row>
    <row r="377" spans="1:10" outlineLevel="2">
      <c r="A377" s="2459" t="s">
        <v>1669</v>
      </c>
      <c r="B377" s="2459" t="s">
        <v>1634</v>
      </c>
      <c r="C377" s="2459" t="s">
        <v>1672</v>
      </c>
      <c r="D377" s="2460" t="s">
        <v>1671</v>
      </c>
      <c r="E377" s="2461" t="s">
        <v>1573</v>
      </c>
      <c r="F377" s="2461" t="s">
        <v>1579</v>
      </c>
      <c r="G377" s="2461" t="s">
        <v>1409</v>
      </c>
      <c r="H377" s="2461" t="s">
        <v>1070</v>
      </c>
      <c r="I377" s="2462">
        <v>2.7042246292141758E-2</v>
      </c>
      <c r="J377" s="2462">
        <v>1987.072561387042</v>
      </c>
    </row>
    <row r="378" spans="1:10" outlineLevel="2">
      <c r="A378" s="2459" t="s">
        <v>1669</v>
      </c>
      <c r="B378" s="2459" t="s">
        <v>1634</v>
      </c>
      <c r="C378" s="2459" t="s">
        <v>1672</v>
      </c>
      <c r="D378" s="2460" t="s">
        <v>1671</v>
      </c>
      <c r="E378" s="2461" t="s">
        <v>1573</v>
      </c>
      <c r="F378" s="2461" t="s">
        <v>1580</v>
      </c>
      <c r="G378" s="2461" t="s">
        <v>1409</v>
      </c>
      <c r="H378" s="2461" t="s">
        <v>1070</v>
      </c>
      <c r="I378" s="2462">
        <v>3.0552090474217481E-3</v>
      </c>
      <c r="J378" s="2462">
        <v>109.72242239914959</v>
      </c>
    </row>
    <row r="379" spans="1:10" outlineLevel="2">
      <c r="A379" s="2459" t="s">
        <v>1669</v>
      </c>
      <c r="B379" s="2459" t="s">
        <v>1634</v>
      </c>
      <c r="C379" s="2459" t="s">
        <v>1672</v>
      </c>
      <c r="D379" s="2460" t="s">
        <v>1671</v>
      </c>
      <c r="E379" s="2461" t="s">
        <v>1573</v>
      </c>
      <c r="F379" s="2461" t="s">
        <v>1581</v>
      </c>
      <c r="G379" s="2461" t="s">
        <v>1409</v>
      </c>
      <c r="H379" s="2461" t="s">
        <v>1070</v>
      </c>
      <c r="I379" s="2462">
        <v>1.6250374980568711E-3</v>
      </c>
      <c r="J379" s="2462">
        <v>74.716241879398581</v>
      </c>
    </row>
    <row r="380" spans="1:10" outlineLevel="2">
      <c r="A380" s="2459" t="s">
        <v>1669</v>
      </c>
      <c r="B380" s="2459" t="s">
        <v>1634</v>
      </c>
      <c r="C380" s="2459" t="s">
        <v>1672</v>
      </c>
      <c r="D380" s="2460" t="s">
        <v>1671</v>
      </c>
      <c r="E380" s="2461" t="s">
        <v>1573</v>
      </c>
      <c r="F380" s="2461" t="s">
        <v>1582</v>
      </c>
      <c r="G380" s="2461" t="s">
        <v>1409</v>
      </c>
      <c r="H380" s="2461" t="s">
        <v>1070</v>
      </c>
      <c r="I380" s="2462">
        <v>8.6370128744689984E-3</v>
      </c>
      <c r="J380" s="2462">
        <v>205.17802506473828</v>
      </c>
    </row>
    <row r="381" spans="1:10" outlineLevel="2">
      <c r="A381" s="2459" t="s">
        <v>1669</v>
      </c>
      <c r="B381" s="2459" t="s">
        <v>1634</v>
      </c>
      <c r="C381" s="2459" t="s">
        <v>1672</v>
      </c>
      <c r="D381" s="2460" t="s">
        <v>1671</v>
      </c>
      <c r="E381" s="2461" t="s">
        <v>1573</v>
      </c>
      <c r="F381" s="2461" t="s">
        <v>1583</v>
      </c>
      <c r="G381" s="2461" t="s">
        <v>1409</v>
      </c>
      <c r="H381" s="2461" t="s">
        <v>1070</v>
      </c>
      <c r="I381" s="2462">
        <v>2.475984663340506E-2</v>
      </c>
      <c r="J381" s="2462">
        <v>878.01109221558261</v>
      </c>
    </row>
    <row r="382" spans="1:10" outlineLevel="2">
      <c r="A382" s="2459" t="s">
        <v>1669</v>
      </c>
      <c r="B382" s="2459" t="s">
        <v>1634</v>
      </c>
      <c r="C382" s="2459" t="s">
        <v>1672</v>
      </c>
      <c r="D382" s="2460" t="s">
        <v>1671</v>
      </c>
      <c r="E382" s="2461" t="s">
        <v>1573</v>
      </c>
      <c r="F382" s="2461" t="s">
        <v>1584</v>
      </c>
      <c r="G382" s="2461" t="s">
        <v>1409</v>
      </c>
      <c r="H382" s="2461" t="s">
        <v>1070</v>
      </c>
      <c r="I382" s="2462">
        <v>1.7504399429479574E-2</v>
      </c>
      <c r="J382" s="2462">
        <v>964.00166496416261</v>
      </c>
    </row>
    <row r="383" spans="1:10" outlineLevel="2">
      <c r="A383" s="2459" t="s">
        <v>1669</v>
      </c>
      <c r="B383" s="2459" t="s">
        <v>1634</v>
      </c>
      <c r="C383" s="2459" t="s">
        <v>1672</v>
      </c>
      <c r="D383" s="2460" t="s">
        <v>1671</v>
      </c>
      <c r="E383" s="2461" t="s">
        <v>1573</v>
      </c>
      <c r="F383" s="2461" t="s">
        <v>1585</v>
      </c>
      <c r="G383" s="2461" t="s">
        <v>1409</v>
      </c>
      <c r="H383" s="2461" t="s">
        <v>1070</v>
      </c>
      <c r="I383" s="2462">
        <v>9.5967233270575367E-2</v>
      </c>
      <c r="J383" s="2462">
        <v>7402.0639345689315</v>
      </c>
    </row>
    <row r="384" spans="1:10" outlineLevel="2">
      <c r="A384" s="2459" t="s">
        <v>1669</v>
      </c>
      <c r="B384" s="2459" t="s">
        <v>1634</v>
      </c>
      <c r="C384" s="2459" t="s">
        <v>1672</v>
      </c>
      <c r="D384" s="2460" t="s">
        <v>1671</v>
      </c>
      <c r="E384" s="2461" t="s">
        <v>1573</v>
      </c>
      <c r="F384" s="2461" t="s">
        <v>1586</v>
      </c>
      <c r="G384" s="2461" t="s">
        <v>1409</v>
      </c>
      <c r="H384" s="2461" t="s">
        <v>1070</v>
      </c>
      <c r="I384" s="2462">
        <v>2.0297788592634944E-3</v>
      </c>
      <c r="J384" s="2462">
        <v>61.549052243615414</v>
      </c>
    </row>
    <row r="385" spans="1:10" outlineLevel="2">
      <c r="A385" s="2459" t="s">
        <v>1669</v>
      </c>
      <c r="B385" s="2459" t="s">
        <v>1634</v>
      </c>
      <c r="C385" s="2459" t="s">
        <v>1672</v>
      </c>
      <c r="D385" s="2460" t="s">
        <v>1671</v>
      </c>
      <c r="E385" s="2461" t="s">
        <v>1573</v>
      </c>
      <c r="F385" s="2461" t="s">
        <v>1587</v>
      </c>
      <c r="G385" s="2461" t="s">
        <v>1409</v>
      </c>
      <c r="H385" s="2461" t="s">
        <v>1070</v>
      </c>
      <c r="I385" s="2462">
        <v>7.9934920250968077E-4</v>
      </c>
      <c r="J385" s="2462">
        <v>37.686607742216125</v>
      </c>
    </row>
    <row r="386" spans="1:10" outlineLevel="2">
      <c r="A386" s="2459" t="s">
        <v>1669</v>
      </c>
      <c r="B386" s="2459" t="s">
        <v>1634</v>
      </c>
      <c r="C386" s="2459" t="s">
        <v>1672</v>
      </c>
      <c r="D386" s="2460" t="s">
        <v>1671</v>
      </c>
      <c r="E386" s="2461" t="s">
        <v>1573</v>
      </c>
      <c r="F386" s="2461" t="s">
        <v>1588</v>
      </c>
      <c r="G386" s="2461" t="s">
        <v>1409</v>
      </c>
      <c r="H386" s="2461" t="s">
        <v>1070</v>
      </c>
      <c r="I386" s="2462">
        <v>2.8318436049993165E-2</v>
      </c>
      <c r="J386" s="2462">
        <v>1691.9220651909486</v>
      </c>
    </row>
    <row r="387" spans="1:10" outlineLevel="2">
      <c r="A387" s="2459" t="s">
        <v>1669</v>
      </c>
      <c r="B387" s="2459" t="s">
        <v>1634</v>
      </c>
      <c r="C387" s="2459" t="s">
        <v>1672</v>
      </c>
      <c r="D387" s="2460" t="s">
        <v>1671</v>
      </c>
      <c r="E387" s="2461" t="s">
        <v>1573</v>
      </c>
      <c r="F387" s="2461" t="s">
        <v>1589</v>
      </c>
      <c r="G387" s="2461" t="s">
        <v>1409</v>
      </c>
      <c r="H387" s="2461" t="s">
        <v>1070</v>
      </c>
      <c r="I387" s="2462">
        <v>2.4345759204664807E-2</v>
      </c>
      <c r="J387" s="2462">
        <v>1841.678931978171</v>
      </c>
    </row>
    <row r="388" spans="1:10" outlineLevel="2">
      <c r="A388" s="2459" t="s">
        <v>1669</v>
      </c>
      <c r="B388" s="2459" t="s">
        <v>1634</v>
      </c>
      <c r="C388" s="2459" t="s">
        <v>1672</v>
      </c>
      <c r="D388" s="2460" t="s">
        <v>1671</v>
      </c>
      <c r="E388" s="2461" t="s">
        <v>1573</v>
      </c>
      <c r="F388" s="2461" t="s">
        <v>1590</v>
      </c>
      <c r="G388" s="2461" t="s">
        <v>1409</v>
      </c>
      <c r="H388" s="2461" t="s">
        <v>1070</v>
      </c>
      <c r="I388" s="2462">
        <v>8.8888668337397309E-2</v>
      </c>
      <c r="J388" s="2462">
        <v>6335.1146908036735</v>
      </c>
    </row>
    <row r="389" spans="1:10" outlineLevel="2">
      <c r="A389" s="2459" t="s">
        <v>1669</v>
      </c>
      <c r="B389" s="2459" t="s">
        <v>1634</v>
      </c>
      <c r="C389" s="2459" t="s">
        <v>1672</v>
      </c>
      <c r="D389" s="2460" t="s">
        <v>1671</v>
      </c>
      <c r="E389" s="2461" t="s">
        <v>1573</v>
      </c>
      <c r="F389" s="2461" t="s">
        <v>1591</v>
      </c>
      <c r="G389" s="2461" t="s">
        <v>1409</v>
      </c>
      <c r="H389" s="2461" t="s">
        <v>1070</v>
      </c>
      <c r="I389" s="2462">
        <v>6.1186618430427208E-3</v>
      </c>
      <c r="J389" s="2462">
        <v>297.88824397673221</v>
      </c>
    </row>
    <row r="390" spans="1:10" outlineLevel="2">
      <c r="A390" s="2459" t="s">
        <v>1669</v>
      </c>
      <c r="B390" s="2459" t="s">
        <v>1634</v>
      </c>
      <c r="C390" s="2459" t="s">
        <v>1672</v>
      </c>
      <c r="D390" s="2460" t="s">
        <v>1671</v>
      </c>
      <c r="E390" s="2461" t="s">
        <v>1573</v>
      </c>
      <c r="F390" s="2461" t="s">
        <v>1592</v>
      </c>
      <c r="G390" s="2461" t="s">
        <v>1409</v>
      </c>
      <c r="H390" s="2461" t="s">
        <v>1070</v>
      </c>
      <c r="I390" s="2462">
        <v>5.1450080592834395E-2</v>
      </c>
      <c r="J390" s="2462">
        <v>2369.5400157277145</v>
      </c>
    </row>
    <row r="391" spans="1:10" outlineLevel="2">
      <c r="A391" s="2459" t="s">
        <v>1669</v>
      </c>
      <c r="B391" s="2459" t="s">
        <v>1634</v>
      </c>
      <c r="C391" s="2459" t="s">
        <v>1672</v>
      </c>
      <c r="D391" s="2460" t="s">
        <v>1671</v>
      </c>
      <c r="E391" s="2461" t="s">
        <v>1573</v>
      </c>
      <c r="F391" s="2461" t="s">
        <v>1593</v>
      </c>
      <c r="G391" s="2461" t="s">
        <v>1409</v>
      </c>
      <c r="H391" s="2461" t="s">
        <v>1070</v>
      </c>
      <c r="I391" s="2462">
        <v>0.12570831123160392</v>
      </c>
      <c r="J391" s="2462">
        <v>8055.9848889719924</v>
      </c>
    </row>
    <row r="392" spans="1:10" outlineLevel="2">
      <c r="A392" s="2459" t="s">
        <v>1669</v>
      </c>
      <c r="B392" s="2459" t="s">
        <v>1634</v>
      </c>
      <c r="C392" s="2459" t="s">
        <v>1672</v>
      </c>
      <c r="D392" s="2460" t="s">
        <v>1671</v>
      </c>
      <c r="E392" s="2461" t="s">
        <v>1573</v>
      </c>
      <c r="F392" s="2461" t="s">
        <v>1594</v>
      </c>
      <c r="G392" s="2461" t="s">
        <v>1409</v>
      </c>
      <c r="H392" s="2461" t="s">
        <v>1070</v>
      </c>
      <c r="I392" s="2462">
        <v>0.27533220352907717</v>
      </c>
      <c r="J392" s="2462">
        <v>5404.4650023335598</v>
      </c>
    </row>
    <row r="393" spans="1:10" outlineLevel="2">
      <c r="A393" s="2459" t="s">
        <v>1669</v>
      </c>
      <c r="B393" s="2459" t="s">
        <v>1634</v>
      </c>
      <c r="C393" s="2459" t="s">
        <v>1672</v>
      </c>
      <c r="D393" s="2460" t="s">
        <v>1671</v>
      </c>
      <c r="E393" s="2461" t="s">
        <v>1573</v>
      </c>
      <c r="F393" s="2461" t="s">
        <v>1595</v>
      </c>
      <c r="G393" s="2461" t="s">
        <v>1409</v>
      </c>
      <c r="H393" s="2461" t="s">
        <v>1070</v>
      </c>
      <c r="I393" s="2462">
        <v>0.10123309273749688</v>
      </c>
      <c r="J393" s="2462">
        <v>7369.5220551133643</v>
      </c>
    </row>
    <row r="394" spans="1:10" outlineLevel="2">
      <c r="A394" s="2459" t="s">
        <v>1669</v>
      </c>
      <c r="B394" s="2459" t="s">
        <v>1634</v>
      </c>
      <c r="C394" s="2459" t="s">
        <v>1672</v>
      </c>
      <c r="D394" s="2460" t="s">
        <v>1671</v>
      </c>
      <c r="E394" s="2461" t="s">
        <v>1573</v>
      </c>
      <c r="F394" s="2461" t="s">
        <v>1596</v>
      </c>
      <c r="G394" s="2461" t="s">
        <v>1409</v>
      </c>
      <c r="H394" s="2461" t="s">
        <v>1070</v>
      </c>
      <c r="I394" s="2462">
        <v>0.18432579395698162</v>
      </c>
      <c r="J394" s="2462">
        <v>4242.228212251779</v>
      </c>
    </row>
    <row r="395" spans="1:10" outlineLevel="2">
      <c r="A395" s="2459" t="s">
        <v>1669</v>
      </c>
      <c r="B395" s="2459" t="s">
        <v>1634</v>
      </c>
      <c r="C395" s="2459" t="s">
        <v>1672</v>
      </c>
      <c r="D395" s="2460" t="s">
        <v>1671</v>
      </c>
      <c r="E395" s="2461" t="s">
        <v>1573</v>
      </c>
      <c r="F395" s="2461" t="s">
        <v>1597</v>
      </c>
      <c r="G395" s="2461" t="s">
        <v>1409</v>
      </c>
      <c r="H395" s="2461" t="s">
        <v>1070</v>
      </c>
      <c r="I395" s="2462">
        <v>1.082028077450436E-2</v>
      </c>
      <c r="J395" s="2462">
        <v>790.75886644601326</v>
      </c>
    </row>
    <row r="396" spans="1:10" outlineLevel="2">
      <c r="A396" s="2459" t="s">
        <v>1669</v>
      </c>
      <c r="B396" s="2459" t="s">
        <v>1634</v>
      </c>
      <c r="C396" s="2459" t="s">
        <v>1672</v>
      </c>
      <c r="D396" s="2460" t="s">
        <v>1671</v>
      </c>
      <c r="E396" s="2461" t="s">
        <v>1573</v>
      </c>
      <c r="F396" s="2461" t="s">
        <v>1598</v>
      </c>
      <c r="G396" s="2461" t="s">
        <v>1409</v>
      </c>
      <c r="H396" s="2461" t="s">
        <v>1070</v>
      </c>
      <c r="I396" s="2462">
        <v>5.6199657609764121E-4</v>
      </c>
      <c r="J396" s="2462">
        <v>12.97344455530799</v>
      </c>
    </row>
    <row r="397" spans="1:10" outlineLevel="2">
      <c r="A397" s="2459" t="s">
        <v>1669</v>
      </c>
      <c r="B397" s="2459" t="s">
        <v>1634</v>
      </c>
      <c r="C397" s="2459" t="s">
        <v>1672</v>
      </c>
      <c r="D397" s="2460" t="s">
        <v>1671</v>
      </c>
      <c r="E397" s="2461" t="s">
        <v>1573</v>
      </c>
      <c r="F397" s="2461" t="s">
        <v>1599</v>
      </c>
      <c r="G397" s="2461" t="s">
        <v>1409</v>
      </c>
      <c r="H397" s="2461" t="s">
        <v>1070</v>
      </c>
      <c r="I397" s="2462">
        <v>1.534301772973632E-2</v>
      </c>
      <c r="J397" s="2462">
        <v>824.83894200051373</v>
      </c>
    </row>
    <row r="398" spans="1:10" outlineLevel="2">
      <c r="A398" s="2459" t="s">
        <v>1669</v>
      </c>
      <c r="B398" s="2459" t="s">
        <v>1634</v>
      </c>
      <c r="C398" s="2459" t="s">
        <v>1672</v>
      </c>
      <c r="D398" s="2460" t="s">
        <v>1671</v>
      </c>
      <c r="E398" s="2461" t="s">
        <v>1573</v>
      </c>
      <c r="F398" s="2461" t="s">
        <v>1600</v>
      </c>
      <c r="G398" s="2461" t="s">
        <v>1412</v>
      </c>
      <c r="H398" s="2461" t="s">
        <v>1116</v>
      </c>
      <c r="I398" s="2462">
        <v>1.0896983533665278E-2</v>
      </c>
      <c r="J398" s="2462">
        <v>263.62702605699729</v>
      </c>
    </row>
    <row r="399" spans="1:10" outlineLevel="2">
      <c r="A399" s="2459" t="s">
        <v>1669</v>
      </c>
      <c r="B399" s="2459" t="s">
        <v>1634</v>
      </c>
      <c r="C399" s="2459" t="s">
        <v>1672</v>
      </c>
      <c r="D399" s="2460" t="s">
        <v>1671</v>
      </c>
      <c r="E399" s="2461" t="s">
        <v>1573</v>
      </c>
      <c r="F399" s="2461" t="s">
        <v>1601</v>
      </c>
      <c r="G399" s="2461" t="s">
        <v>1412</v>
      </c>
      <c r="H399" s="2461" t="s">
        <v>1116</v>
      </c>
      <c r="I399" s="2462">
        <v>5.4230284997962695E-2</v>
      </c>
      <c r="J399" s="2462">
        <v>3824.5954273481007</v>
      </c>
    </row>
    <row r="400" spans="1:10" outlineLevel="2">
      <c r="A400" s="2459" t="s">
        <v>1669</v>
      </c>
      <c r="B400" s="2459" t="s">
        <v>1634</v>
      </c>
      <c r="C400" s="2459" t="s">
        <v>1672</v>
      </c>
      <c r="D400" s="2460" t="s">
        <v>1671</v>
      </c>
      <c r="E400" s="2461" t="s">
        <v>1573</v>
      </c>
      <c r="F400" s="2461" t="s">
        <v>1602</v>
      </c>
      <c r="G400" s="2461" t="s">
        <v>1412</v>
      </c>
      <c r="H400" s="2461" t="s">
        <v>1116</v>
      </c>
      <c r="I400" s="2462">
        <v>3.1857427333835064E-2</v>
      </c>
      <c r="J400" s="2462">
        <v>1670.5047289028353</v>
      </c>
    </row>
    <row r="401" spans="1:10" outlineLevel="2">
      <c r="A401" s="2459" t="s">
        <v>1669</v>
      </c>
      <c r="B401" s="2459" t="s">
        <v>1634</v>
      </c>
      <c r="C401" s="2459" t="s">
        <v>1672</v>
      </c>
      <c r="D401" s="2460" t="s">
        <v>1671</v>
      </c>
      <c r="E401" s="2461" t="s">
        <v>1573</v>
      </c>
      <c r="F401" s="2461" t="s">
        <v>1603</v>
      </c>
      <c r="G401" s="2461" t="s">
        <v>1412</v>
      </c>
      <c r="H401" s="2461" t="s">
        <v>1116</v>
      </c>
      <c r="I401" s="2462">
        <v>3.7708890254729732E-2</v>
      </c>
      <c r="J401" s="2462">
        <v>1693.9571288880384</v>
      </c>
    </row>
    <row r="402" spans="1:10" outlineLevel="2">
      <c r="A402" s="2459" t="s">
        <v>1669</v>
      </c>
      <c r="B402" s="2459" t="s">
        <v>1634</v>
      </c>
      <c r="C402" s="2459" t="s">
        <v>1672</v>
      </c>
      <c r="D402" s="2460" t="s">
        <v>1671</v>
      </c>
      <c r="E402" s="2461" t="s">
        <v>1573</v>
      </c>
      <c r="F402" s="2461" t="s">
        <v>1604</v>
      </c>
      <c r="G402" s="2461" t="s">
        <v>1412</v>
      </c>
      <c r="H402" s="2461" t="s">
        <v>1116</v>
      </c>
      <c r="I402" s="2462">
        <v>2.3883085600082577E-3</v>
      </c>
      <c r="J402" s="2462">
        <v>65.329435175927415</v>
      </c>
    </row>
    <row r="403" spans="1:10" outlineLevel="2">
      <c r="A403" s="2459" t="s">
        <v>1669</v>
      </c>
      <c r="B403" s="2459" t="s">
        <v>1634</v>
      </c>
      <c r="C403" s="2459" t="s">
        <v>1672</v>
      </c>
      <c r="D403" s="2460" t="s">
        <v>1671</v>
      </c>
      <c r="E403" s="2461" t="s">
        <v>1573</v>
      </c>
      <c r="F403" s="2461" t="s">
        <v>1605</v>
      </c>
      <c r="G403" s="2461" t="s">
        <v>1412</v>
      </c>
      <c r="H403" s="2461" t="s">
        <v>1116</v>
      </c>
      <c r="I403" s="2462">
        <v>0.26895965003691924</v>
      </c>
      <c r="J403" s="2462">
        <v>8839.7312943545239</v>
      </c>
    </row>
    <row r="404" spans="1:10" outlineLevel="2">
      <c r="A404" s="2459" t="s">
        <v>1669</v>
      </c>
      <c r="B404" s="2459" t="s">
        <v>1634</v>
      </c>
      <c r="C404" s="2459" t="s">
        <v>1672</v>
      </c>
      <c r="D404" s="2460" t="s">
        <v>1671</v>
      </c>
      <c r="E404" s="2461" t="s">
        <v>1573</v>
      </c>
      <c r="F404" s="2461" t="s">
        <v>1606</v>
      </c>
      <c r="G404" s="2461" t="s">
        <v>1412</v>
      </c>
      <c r="H404" s="2461" t="s">
        <v>1116</v>
      </c>
      <c r="I404" s="2462">
        <v>2.9734691101971335E-2</v>
      </c>
      <c r="J404" s="2462">
        <v>2410.5047409972735</v>
      </c>
    </row>
    <row r="405" spans="1:10" outlineLevel="2">
      <c r="A405" s="2459" t="s">
        <v>1669</v>
      </c>
      <c r="B405" s="2459" t="s">
        <v>1634</v>
      </c>
      <c r="C405" s="2459" t="s">
        <v>1672</v>
      </c>
      <c r="D405" s="2460" t="s">
        <v>1671</v>
      </c>
      <c r="E405" s="2461" t="s">
        <v>1573</v>
      </c>
      <c r="F405" s="2461" t="s">
        <v>1607</v>
      </c>
      <c r="G405" s="2461" t="s">
        <v>1439</v>
      </c>
      <c r="H405" s="2461" t="s">
        <v>1440</v>
      </c>
      <c r="I405" s="2462">
        <v>1.8010958429251435E-5</v>
      </c>
      <c r="J405" s="2462">
        <v>0.45142449431746001</v>
      </c>
    </row>
    <row r="406" spans="1:10" outlineLevel="2">
      <c r="A406" s="2459" t="s">
        <v>1669</v>
      </c>
      <c r="B406" s="2459" t="s">
        <v>1634</v>
      </c>
      <c r="C406" s="2459" t="s">
        <v>1672</v>
      </c>
      <c r="D406" s="2460" t="s">
        <v>1671</v>
      </c>
      <c r="E406" s="2461" t="s">
        <v>1573</v>
      </c>
      <c r="F406" s="2461" t="s">
        <v>1608</v>
      </c>
      <c r="G406" s="2461" t="s">
        <v>1439</v>
      </c>
      <c r="H406" s="2461" t="s">
        <v>1440</v>
      </c>
      <c r="I406" s="2462">
        <v>2.1168227596486486E-3</v>
      </c>
      <c r="J406" s="2462">
        <v>118.57569869059868</v>
      </c>
    </row>
    <row r="407" spans="1:10" outlineLevel="2">
      <c r="A407" s="2459" t="s">
        <v>1669</v>
      </c>
      <c r="B407" s="2459" t="s">
        <v>1634</v>
      </c>
      <c r="C407" s="2459" t="s">
        <v>1672</v>
      </c>
      <c r="D407" s="2460" t="s">
        <v>1671</v>
      </c>
      <c r="E407" s="2461" t="s">
        <v>1573</v>
      </c>
      <c r="F407" s="2461" t="s">
        <v>1609</v>
      </c>
      <c r="G407" s="2461" t="s">
        <v>1439</v>
      </c>
      <c r="H407" s="2461" t="s">
        <v>1440</v>
      </c>
      <c r="I407" s="2462">
        <v>0.14244223072576481</v>
      </c>
      <c r="J407" s="2462">
        <v>3164.3738844618556</v>
      </c>
    </row>
    <row r="408" spans="1:10" outlineLevel="2">
      <c r="A408" s="2459" t="s">
        <v>1669</v>
      </c>
      <c r="B408" s="2459" t="s">
        <v>1634</v>
      </c>
      <c r="C408" s="2459" t="s">
        <v>1672</v>
      </c>
      <c r="D408" s="2460" t="s">
        <v>1671</v>
      </c>
      <c r="E408" s="2461" t="s">
        <v>1573</v>
      </c>
      <c r="F408" s="2461" t="s">
        <v>1610</v>
      </c>
      <c r="G408" s="2461" t="s">
        <v>1439</v>
      </c>
      <c r="H408" s="2461" t="s">
        <v>1440</v>
      </c>
      <c r="I408" s="2462">
        <v>3.7459774455045509E-2</v>
      </c>
      <c r="J408" s="2462">
        <v>653.2274377014453</v>
      </c>
    </row>
    <row r="409" spans="1:10" outlineLevel="2">
      <c r="A409" s="2459" t="s">
        <v>1669</v>
      </c>
      <c r="B409" s="2459" t="s">
        <v>1634</v>
      </c>
      <c r="C409" s="2459" t="s">
        <v>1672</v>
      </c>
      <c r="D409" s="2460" t="s">
        <v>1671</v>
      </c>
      <c r="E409" s="2461" t="s">
        <v>1573</v>
      </c>
      <c r="F409" s="2461" t="s">
        <v>1611</v>
      </c>
      <c r="G409" s="2461" t="s">
        <v>1439</v>
      </c>
      <c r="H409" s="2461" t="s">
        <v>1440</v>
      </c>
      <c r="I409" s="2462">
        <v>8.8540208016800931E-2</v>
      </c>
      <c r="J409" s="2462">
        <v>4313.672556035317</v>
      </c>
    </row>
    <row r="410" spans="1:10" outlineLevel="2">
      <c r="A410" s="2459" t="s">
        <v>1669</v>
      </c>
      <c r="B410" s="2459" t="s">
        <v>1634</v>
      </c>
      <c r="C410" s="2459" t="s">
        <v>1672</v>
      </c>
      <c r="D410" s="2460" t="s">
        <v>1671</v>
      </c>
      <c r="E410" s="2461" t="s">
        <v>1573</v>
      </c>
      <c r="F410" s="2461" t="s">
        <v>1612</v>
      </c>
      <c r="G410" s="2461" t="s">
        <v>1439</v>
      </c>
      <c r="H410" s="2461" t="s">
        <v>1440</v>
      </c>
      <c r="I410" s="2462">
        <v>1.5184269965347372E-2</v>
      </c>
      <c r="J410" s="2462">
        <v>508.25924986702205</v>
      </c>
    </row>
    <row r="411" spans="1:10" outlineLevel="2">
      <c r="A411" s="2459" t="s">
        <v>1669</v>
      </c>
      <c r="B411" s="2459" t="s">
        <v>1634</v>
      </c>
      <c r="C411" s="2459" t="s">
        <v>1672</v>
      </c>
      <c r="D411" s="2460" t="s">
        <v>1671</v>
      </c>
      <c r="E411" s="2461" t="s">
        <v>1573</v>
      </c>
      <c r="F411" s="2461" t="s">
        <v>1613</v>
      </c>
      <c r="G411" s="2461" t="s">
        <v>1439</v>
      </c>
      <c r="H411" s="2461" t="s">
        <v>1440</v>
      </c>
      <c r="I411" s="2462">
        <v>4.2690367233460234E-4</v>
      </c>
      <c r="J411" s="2462">
        <v>12.90581832754485</v>
      </c>
    </row>
    <row r="412" spans="1:10" outlineLevel="2">
      <c r="A412" s="2459" t="s">
        <v>1669</v>
      </c>
      <c r="B412" s="2459" t="s">
        <v>1634</v>
      </c>
      <c r="C412" s="2459" t="s">
        <v>1672</v>
      </c>
      <c r="D412" s="2460" t="s">
        <v>1671</v>
      </c>
      <c r="E412" s="2461" t="s">
        <v>1573</v>
      </c>
      <c r="F412" s="2461" t="s">
        <v>1614</v>
      </c>
      <c r="G412" s="2461" t="s">
        <v>1418</v>
      </c>
      <c r="H412" s="2461" t="s">
        <v>1452</v>
      </c>
      <c r="I412" s="2462">
        <v>2.9623185180862958E-6</v>
      </c>
      <c r="J412" s="2462">
        <v>2.5320115504007038E-2</v>
      </c>
    </row>
    <row r="413" spans="1:10" outlineLevel="2">
      <c r="A413" s="2459" t="s">
        <v>1669</v>
      </c>
      <c r="B413" s="2459" t="s">
        <v>1634</v>
      </c>
      <c r="C413" s="2459" t="s">
        <v>1672</v>
      </c>
      <c r="D413" s="2460" t="s">
        <v>1671</v>
      </c>
      <c r="E413" s="2461" t="s">
        <v>1573</v>
      </c>
      <c r="F413" s="2461" t="s">
        <v>1615</v>
      </c>
      <c r="G413" s="2461" t="s">
        <v>1418</v>
      </c>
      <c r="H413" s="2461" t="s">
        <v>1452</v>
      </c>
      <c r="I413" s="2462">
        <v>1.7919136792838429E-2</v>
      </c>
      <c r="J413" s="2462">
        <v>1051.346654765081</v>
      </c>
    </row>
    <row r="414" spans="1:10" outlineLevel="2">
      <c r="A414" s="2459" t="s">
        <v>1669</v>
      </c>
      <c r="B414" s="2459" t="s">
        <v>1634</v>
      </c>
      <c r="C414" s="2459" t="s">
        <v>1672</v>
      </c>
      <c r="D414" s="2460" t="s">
        <v>1671</v>
      </c>
      <c r="E414" s="2461" t="s">
        <v>1573</v>
      </c>
      <c r="F414" s="2461" t="s">
        <v>1616</v>
      </c>
      <c r="G414" s="2461" t="s">
        <v>1418</v>
      </c>
      <c r="H414" s="2461" t="s">
        <v>1452</v>
      </c>
      <c r="I414" s="2462">
        <v>8.5526231325750411E-4</v>
      </c>
      <c r="J414" s="2462">
        <v>94.262201354263411</v>
      </c>
    </row>
    <row r="415" spans="1:10" outlineLevel="2">
      <c r="A415" s="2459" t="s">
        <v>1669</v>
      </c>
      <c r="B415" s="2459" t="s">
        <v>1634</v>
      </c>
      <c r="C415" s="2459" t="s">
        <v>1672</v>
      </c>
      <c r="D415" s="2460" t="s">
        <v>1671</v>
      </c>
      <c r="E415" s="2461" t="s">
        <v>1573</v>
      </c>
      <c r="F415" s="2461" t="s">
        <v>1617</v>
      </c>
      <c r="G415" s="2461" t="s">
        <v>1418</v>
      </c>
      <c r="H415" s="2461" t="s">
        <v>1452</v>
      </c>
      <c r="I415" s="2462">
        <v>6.793410726181023E-6</v>
      </c>
      <c r="J415" s="2462">
        <v>0.52174795139604557</v>
      </c>
    </row>
    <row r="416" spans="1:10" outlineLevel="2">
      <c r="A416" s="2459" t="s">
        <v>1669</v>
      </c>
      <c r="B416" s="2459" t="s">
        <v>1634</v>
      </c>
      <c r="C416" s="2459" t="s">
        <v>1672</v>
      </c>
      <c r="D416" s="2460" t="s">
        <v>1671</v>
      </c>
      <c r="E416" s="2461" t="s">
        <v>1573</v>
      </c>
      <c r="F416" s="2461" t="s">
        <v>1618</v>
      </c>
      <c r="G416" s="2461" t="s">
        <v>1418</v>
      </c>
      <c r="H416" s="2461" t="s">
        <v>1452</v>
      </c>
      <c r="I416" s="2462">
        <v>1.3242780178006193E-6</v>
      </c>
      <c r="J416" s="2462">
        <v>0.10960333855058133</v>
      </c>
    </row>
    <row r="417" spans="1:10" outlineLevel="2">
      <c r="A417" s="2459" t="s">
        <v>1669</v>
      </c>
      <c r="B417" s="2459" t="s">
        <v>1634</v>
      </c>
      <c r="C417" s="2459" t="s">
        <v>1672</v>
      </c>
      <c r="D417" s="2460" t="s">
        <v>1671</v>
      </c>
      <c r="E417" s="2461" t="s">
        <v>1573</v>
      </c>
      <c r="F417" s="2461" t="s">
        <v>1619</v>
      </c>
      <c r="G417" s="2461" t="s">
        <v>1418</v>
      </c>
      <c r="H417" s="2461" t="s">
        <v>1452</v>
      </c>
      <c r="I417" s="2462">
        <v>8.6938718712393839E-5</v>
      </c>
      <c r="J417" s="2462">
        <v>7.9938456313366615</v>
      </c>
    </row>
    <row r="418" spans="1:10" outlineLevel="2">
      <c r="A418" s="2459" t="s">
        <v>1669</v>
      </c>
      <c r="B418" s="2459" t="s">
        <v>1634</v>
      </c>
      <c r="C418" s="2459" t="s">
        <v>1672</v>
      </c>
      <c r="D418" s="2460" t="s">
        <v>1671</v>
      </c>
      <c r="E418" s="2461" t="s">
        <v>1573</v>
      </c>
      <c r="F418" s="2461" t="s">
        <v>1620</v>
      </c>
      <c r="G418" s="2461" t="s">
        <v>1418</v>
      </c>
      <c r="H418" s="2461" t="s">
        <v>1452</v>
      </c>
      <c r="I418" s="2462">
        <v>1.8381068081755679E-7</v>
      </c>
      <c r="J418" s="2462">
        <v>2.2116509115364457E-2</v>
      </c>
    </row>
    <row r="419" spans="1:10" outlineLevel="2">
      <c r="A419" s="2459" t="s">
        <v>1669</v>
      </c>
      <c r="B419" s="2459" t="s">
        <v>1634</v>
      </c>
      <c r="C419" s="2459" t="s">
        <v>1672</v>
      </c>
      <c r="D419" s="2460" t="s">
        <v>1671</v>
      </c>
      <c r="E419" s="2461" t="s">
        <v>1573</v>
      </c>
      <c r="F419" s="2461" t="s">
        <v>1621</v>
      </c>
      <c r="G419" s="2461" t="s">
        <v>1418</v>
      </c>
      <c r="H419" s="2461" t="s">
        <v>1452</v>
      </c>
      <c r="I419" s="2462">
        <v>7.8250314330139585E-5</v>
      </c>
      <c r="J419" s="2462">
        <v>7.3913663732898289</v>
      </c>
    </row>
    <row r="420" spans="1:10" outlineLevel="2">
      <c r="A420" s="2459" t="s">
        <v>1669</v>
      </c>
      <c r="B420" s="2459" t="s">
        <v>1634</v>
      </c>
      <c r="C420" s="2459" t="s">
        <v>1672</v>
      </c>
      <c r="D420" s="2460" t="s">
        <v>1671</v>
      </c>
      <c r="E420" s="2461" t="s">
        <v>1573</v>
      </c>
      <c r="F420" s="2461" t="s">
        <v>1622</v>
      </c>
      <c r="G420" s="2461" t="s">
        <v>1418</v>
      </c>
      <c r="H420" s="2461" t="s">
        <v>1452</v>
      </c>
      <c r="I420" s="2462">
        <v>2.3136090417684617E-4</v>
      </c>
      <c r="J420" s="2462">
        <v>20.568957598986525</v>
      </c>
    </row>
    <row r="421" spans="1:10" outlineLevel="2">
      <c r="A421" s="2459" t="s">
        <v>1669</v>
      </c>
      <c r="B421" s="2459" t="s">
        <v>1634</v>
      </c>
      <c r="C421" s="2459" t="s">
        <v>1672</v>
      </c>
      <c r="D421" s="2460" t="s">
        <v>1671</v>
      </c>
      <c r="E421" s="2461" t="s">
        <v>1573</v>
      </c>
      <c r="F421" s="2461" t="s">
        <v>1623</v>
      </c>
      <c r="G421" s="2461" t="s">
        <v>1418</v>
      </c>
      <c r="H421" s="2461" t="s">
        <v>1452</v>
      </c>
      <c r="I421" s="2462">
        <v>3.5088618069136792E-4</v>
      </c>
      <c r="J421" s="2462">
        <v>15.166965350234936</v>
      </c>
    </row>
    <row r="422" spans="1:10" outlineLevel="2">
      <c r="A422" s="2459" t="s">
        <v>1669</v>
      </c>
      <c r="B422" s="2459" t="s">
        <v>1634</v>
      </c>
      <c r="C422" s="2459" t="s">
        <v>1672</v>
      </c>
      <c r="D422" s="2460" t="s">
        <v>1671</v>
      </c>
      <c r="E422" s="2461" t="s">
        <v>1573</v>
      </c>
      <c r="F422" s="2461" t="s">
        <v>1624</v>
      </c>
      <c r="G422" s="2461" t="s">
        <v>1421</v>
      </c>
      <c r="H422" s="2461" t="s">
        <v>1454</v>
      </c>
      <c r="I422" s="2462">
        <v>0.11845690268181064</v>
      </c>
      <c r="J422" s="2462">
        <v>4331.6103592770251</v>
      </c>
    </row>
    <row r="423" spans="1:10" outlineLevel="2">
      <c r="A423" s="2459" t="s">
        <v>1669</v>
      </c>
      <c r="B423" s="2459" t="s">
        <v>1634</v>
      </c>
      <c r="C423" s="2459" t="s">
        <v>1672</v>
      </c>
      <c r="D423" s="2460" t="s">
        <v>1671</v>
      </c>
      <c r="E423" s="2461" t="s">
        <v>1573</v>
      </c>
      <c r="F423" s="2461" t="s">
        <v>1625</v>
      </c>
      <c r="G423" s="2461" t="s">
        <v>1421</v>
      </c>
      <c r="H423" s="2461" t="s">
        <v>1454</v>
      </c>
      <c r="I423" s="2462">
        <v>2.7935784571549903E-2</v>
      </c>
      <c r="J423" s="2462">
        <v>1022.3391437293187</v>
      </c>
    </row>
    <row r="424" spans="1:10" outlineLevel="2">
      <c r="A424" s="2459" t="s">
        <v>1669</v>
      </c>
      <c r="B424" s="2459" t="s">
        <v>1634</v>
      </c>
      <c r="C424" s="2459" t="s">
        <v>1672</v>
      </c>
      <c r="D424" s="2460" t="s">
        <v>1671</v>
      </c>
      <c r="E424" s="2461" t="s">
        <v>1573</v>
      </c>
      <c r="F424" s="2461" t="s">
        <v>1626</v>
      </c>
      <c r="G424" s="2461" t="s">
        <v>1421</v>
      </c>
      <c r="H424" s="2461" t="s">
        <v>1454</v>
      </c>
      <c r="I424" s="2462">
        <v>7.8403988176996647E-2</v>
      </c>
      <c r="J424" s="2462">
        <v>2836.3550031859641</v>
      </c>
    </row>
    <row r="425" spans="1:10" outlineLevel="2">
      <c r="A425" s="2459" t="s">
        <v>1669</v>
      </c>
      <c r="B425" s="2459" t="s">
        <v>1634</v>
      </c>
      <c r="C425" s="2459" t="s">
        <v>1672</v>
      </c>
      <c r="D425" s="2460" t="s">
        <v>1671</v>
      </c>
      <c r="E425" s="2461" t="s">
        <v>1573</v>
      </c>
      <c r="F425" s="2461" t="s">
        <v>1627</v>
      </c>
      <c r="G425" s="2461" t="s">
        <v>1421</v>
      </c>
      <c r="H425" s="2461" t="s">
        <v>1454</v>
      </c>
      <c r="I425" s="2462">
        <v>6.6205646629410572E-2</v>
      </c>
      <c r="J425" s="2462">
        <v>1440.1040355272789</v>
      </c>
    </row>
    <row r="426" spans="1:10" outlineLevel="2">
      <c r="A426" s="2459" t="s">
        <v>1669</v>
      </c>
      <c r="B426" s="2459" t="s">
        <v>1634</v>
      </c>
      <c r="C426" s="2459" t="s">
        <v>1672</v>
      </c>
      <c r="D426" s="2460" t="s">
        <v>1671</v>
      </c>
      <c r="E426" s="2461" t="s">
        <v>1573</v>
      </c>
      <c r="F426" s="2461" t="s">
        <v>1628</v>
      </c>
      <c r="G426" s="2461" t="s">
        <v>1421</v>
      </c>
      <c r="H426" s="2461" t="s">
        <v>1454</v>
      </c>
      <c r="I426" s="2462">
        <v>3.2933588142855974E-3</v>
      </c>
      <c r="J426" s="2462">
        <v>138.50188642228974</v>
      </c>
    </row>
    <row r="427" spans="1:10" outlineLevel="2">
      <c r="A427" s="2459" t="s">
        <v>1669</v>
      </c>
      <c r="B427" s="2459" t="s">
        <v>1634</v>
      </c>
      <c r="C427" s="2459" t="s">
        <v>1672</v>
      </c>
      <c r="D427" s="2460" t="s">
        <v>1671</v>
      </c>
      <c r="E427" s="2461" t="s">
        <v>1573</v>
      </c>
      <c r="F427" s="2461" t="s">
        <v>1629</v>
      </c>
      <c r="G427" s="2461" t="s">
        <v>1421</v>
      </c>
      <c r="H427" s="2461" t="s">
        <v>1454</v>
      </c>
      <c r="I427" s="2462">
        <v>3.8100407508878911E-3</v>
      </c>
      <c r="J427" s="2462">
        <v>122.58527257112414</v>
      </c>
    </row>
    <row r="428" spans="1:10" outlineLevel="2">
      <c r="A428" s="2459" t="s">
        <v>1669</v>
      </c>
      <c r="B428" s="2459" t="s">
        <v>1634</v>
      </c>
      <c r="C428" s="2459" t="s">
        <v>1672</v>
      </c>
      <c r="D428" s="2460" t="s">
        <v>1671</v>
      </c>
      <c r="E428" s="2461" t="s">
        <v>1573</v>
      </c>
      <c r="F428" s="2461" t="s">
        <v>1630</v>
      </c>
      <c r="G428" s="2461" t="s">
        <v>1459</v>
      </c>
      <c r="H428" s="2461" t="s">
        <v>1460</v>
      </c>
      <c r="I428" s="2462">
        <v>7.8968361600398659E-3</v>
      </c>
      <c r="J428" s="2462">
        <v>517.54171206096021</v>
      </c>
    </row>
    <row r="429" spans="1:10" outlineLevel="2">
      <c r="A429" s="2459" t="s">
        <v>1669</v>
      </c>
      <c r="B429" s="2459" t="s">
        <v>1634</v>
      </c>
      <c r="C429" s="2459" t="s">
        <v>1672</v>
      </c>
      <c r="D429" s="2460" t="s">
        <v>1671</v>
      </c>
      <c r="E429" s="2461" t="s">
        <v>1573</v>
      </c>
      <c r="F429" s="2461" t="s">
        <v>1633</v>
      </c>
      <c r="G429" s="2461" t="s">
        <v>215</v>
      </c>
      <c r="H429" s="2461" t="s">
        <v>1537</v>
      </c>
      <c r="I429" s="2462">
        <v>5.6721408995262434E-3</v>
      </c>
      <c r="J429" s="2462">
        <v>126.45575850918118</v>
      </c>
    </row>
    <row r="430" spans="1:10" outlineLevel="2">
      <c r="A430" s="2459" t="s">
        <v>1669</v>
      </c>
      <c r="B430" s="2459" t="s">
        <v>1634</v>
      </c>
      <c r="C430" s="2459" t="s">
        <v>1672</v>
      </c>
      <c r="D430" s="2460" t="s">
        <v>1676</v>
      </c>
      <c r="E430" s="2461" t="s">
        <v>213</v>
      </c>
      <c r="F430" s="2461" t="s">
        <v>1635</v>
      </c>
      <c r="G430" s="2461" t="s">
        <v>1636</v>
      </c>
      <c r="H430" s="2461" t="s">
        <v>1637</v>
      </c>
      <c r="I430" s="2462">
        <v>0.10625586305037081</v>
      </c>
      <c r="J430" s="2462">
        <v>359.49009235155461</v>
      </c>
    </row>
    <row r="431" spans="1:10" outlineLevel="2">
      <c r="A431" s="2459" t="s">
        <v>1669</v>
      </c>
      <c r="B431" s="2459" t="s">
        <v>1634</v>
      </c>
      <c r="C431" s="2459" t="s">
        <v>1672</v>
      </c>
      <c r="D431" s="2460" t="s">
        <v>1676</v>
      </c>
      <c r="E431" s="2461" t="s">
        <v>1538</v>
      </c>
      <c r="F431" s="2461" t="s">
        <v>1638</v>
      </c>
      <c r="G431" s="2461" t="s">
        <v>1636</v>
      </c>
      <c r="H431" s="2461" t="s">
        <v>1540</v>
      </c>
      <c r="I431" s="2462">
        <v>1.1967680457090105E-2</v>
      </c>
      <c r="J431" s="2462">
        <v>200.58341292891606</v>
      </c>
    </row>
    <row r="432" spans="1:10" outlineLevel="2">
      <c r="A432" s="2459" t="s">
        <v>1669</v>
      </c>
      <c r="B432" s="2459" t="s">
        <v>1634</v>
      </c>
      <c r="C432" s="2459" t="s">
        <v>1672</v>
      </c>
      <c r="D432" s="2460" t="s">
        <v>1676</v>
      </c>
      <c r="E432" s="2461" t="s">
        <v>1573</v>
      </c>
      <c r="F432" s="2461" t="s">
        <v>1639</v>
      </c>
      <c r="G432" s="2461" t="s">
        <v>1636</v>
      </c>
      <c r="H432" s="2461" t="s">
        <v>1637</v>
      </c>
      <c r="I432" s="2462">
        <v>0.20832763164300086</v>
      </c>
      <c r="J432" s="2462">
        <v>11094.690261399708</v>
      </c>
    </row>
    <row r="433" spans="1:10" outlineLevel="2">
      <c r="A433" s="2459" t="s">
        <v>1669</v>
      </c>
      <c r="B433" s="2459" t="s">
        <v>1640</v>
      </c>
      <c r="C433" s="2459" t="s">
        <v>1672</v>
      </c>
      <c r="D433" s="2460" t="s">
        <v>1671</v>
      </c>
      <c r="E433" s="2461" t="s">
        <v>1407</v>
      </c>
      <c r="F433" s="2461" t="s">
        <v>1408</v>
      </c>
      <c r="G433" s="2461" t="s">
        <v>1409</v>
      </c>
      <c r="H433" s="2461" t="s">
        <v>1410</v>
      </c>
      <c r="I433" s="2462">
        <v>5.6667024022300207E-2</v>
      </c>
      <c r="J433" s="2462">
        <v>0.83358502383126665</v>
      </c>
    </row>
    <row r="434" spans="1:10" outlineLevel="2">
      <c r="A434" s="2459" t="s">
        <v>1669</v>
      </c>
      <c r="B434" s="2459" t="s">
        <v>1640</v>
      </c>
      <c r="C434" s="2459" t="s">
        <v>1672</v>
      </c>
      <c r="D434" s="2460" t="s">
        <v>1671</v>
      </c>
      <c r="E434" s="2461" t="s">
        <v>1407</v>
      </c>
      <c r="F434" s="2461" t="s">
        <v>1411</v>
      </c>
      <c r="G434" s="2461" t="s">
        <v>1412</v>
      </c>
      <c r="H434" s="2461" t="s">
        <v>1410</v>
      </c>
      <c r="I434" s="2462">
        <v>11.091875774172607</v>
      </c>
      <c r="J434" s="2462">
        <v>1801.2550668398969</v>
      </c>
    </row>
    <row r="435" spans="1:10" outlineLevel="2">
      <c r="A435" s="2459" t="s">
        <v>1669</v>
      </c>
      <c r="B435" s="2459" t="s">
        <v>1640</v>
      </c>
      <c r="C435" s="2459" t="s">
        <v>1672</v>
      </c>
      <c r="D435" s="2460" t="s">
        <v>1671</v>
      </c>
      <c r="E435" s="2461" t="s">
        <v>1407</v>
      </c>
      <c r="F435" s="2461" t="s">
        <v>1413</v>
      </c>
      <c r="G435" s="2461" t="s">
        <v>1412</v>
      </c>
      <c r="H435" s="2461" t="s">
        <v>1410</v>
      </c>
      <c r="I435" s="2462">
        <v>9.007706095340089E-3</v>
      </c>
      <c r="J435" s="2462">
        <v>1.5259817524349344</v>
      </c>
    </row>
    <row r="436" spans="1:10" outlineLevel="2">
      <c r="A436" s="2459" t="s">
        <v>1669</v>
      </c>
      <c r="B436" s="2459" t="s">
        <v>1640</v>
      </c>
      <c r="C436" s="2459" t="s">
        <v>1672</v>
      </c>
      <c r="D436" s="2460" t="s">
        <v>1671</v>
      </c>
      <c r="E436" s="2461" t="s">
        <v>1407</v>
      </c>
      <c r="F436" s="2461" t="s">
        <v>1414</v>
      </c>
      <c r="G436" s="2461" t="s">
        <v>1412</v>
      </c>
      <c r="H436" s="2461" t="s">
        <v>1410</v>
      </c>
      <c r="I436" s="2462">
        <v>4.5266114046162362E-3</v>
      </c>
      <c r="J436" s="2462">
        <v>0.8315568108725343</v>
      </c>
    </row>
    <row r="437" spans="1:10" outlineLevel="2">
      <c r="A437" s="2459" t="s">
        <v>1669</v>
      </c>
      <c r="B437" s="2459" t="s">
        <v>1640</v>
      </c>
      <c r="C437" s="2459" t="s">
        <v>1672</v>
      </c>
      <c r="D437" s="2460" t="s">
        <v>1671</v>
      </c>
      <c r="E437" s="2461" t="s">
        <v>1407</v>
      </c>
      <c r="F437" s="2461" t="s">
        <v>1415</v>
      </c>
      <c r="G437" s="2461" t="s">
        <v>1412</v>
      </c>
      <c r="H437" s="2461" t="s">
        <v>1410</v>
      </c>
      <c r="I437" s="2462">
        <v>3.2546841853153298E-2</v>
      </c>
      <c r="J437" s="2462">
        <v>5.1844235261815603</v>
      </c>
    </row>
    <row r="438" spans="1:10" outlineLevel="2">
      <c r="A438" s="2459" t="s">
        <v>1669</v>
      </c>
      <c r="B438" s="2459" t="s">
        <v>1640</v>
      </c>
      <c r="C438" s="2459" t="s">
        <v>1672</v>
      </c>
      <c r="D438" s="2460" t="s">
        <v>1671</v>
      </c>
      <c r="E438" s="2461" t="s">
        <v>1407</v>
      </c>
      <c r="F438" s="2461" t="s">
        <v>1416</v>
      </c>
      <c r="G438" s="2461" t="s">
        <v>1412</v>
      </c>
      <c r="H438" s="2461" t="s">
        <v>1410</v>
      </c>
      <c r="I438" s="2462">
        <v>4.1433148042585792E-2</v>
      </c>
      <c r="J438" s="2462">
        <v>10.192206755453086</v>
      </c>
    </row>
    <row r="439" spans="1:10" outlineLevel="2">
      <c r="A439" s="2459" t="s">
        <v>1669</v>
      </c>
      <c r="B439" s="2459" t="s">
        <v>1640</v>
      </c>
      <c r="C439" s="2459" t="s">
        <v>1672</v>
      </c>
      <c r="D439" s="2460" t="s">
        <v>1671</v>
      </c>
      <c r="E439" s="2461" t="s">
        <v>1407</v>
      </c>
      <c r="F439" s="2461" t="s">
        <v>1417</v>
      </c>
      <c r="G439" s="2461" t="s">
        <v>1418</v>
      </c>
      <c r="H439" s="2461" t="s">
        <v>1410</v>
      </c>
      <c r="I439" s="2462">
        <v>3.6414532498885623E-3</v>
      </c>
      <c r="J439" s="2462">
        <v>4.8369097565098863E-2</v>
      </c>
    </row>
    <row r="440" spans="1:10" outlineLevel="2">
      <c r="A440" s="2459" t="s">
        <v>1669</v>
      </c>
      <c r="B440" s="2459" t="s">
        <v>1640</v>
      </c>
      <c r="C440" s="2459" t="s">
        <v>1672</v>
      </c>
      <c r="D440" s="2460" t="s">
        <v>1671</v>
      </c>
      <c r="E440" s="2461" t="s">
        <v>1407</v>
      </c>
      <c r="F440" s="2461" t="s">
        <v>1419</v>
      </c>
      <c r="G440" s="2461" t="s">
        <v>1418</v>
      </c>
      <c r="H440" s="2461" t="s">
        <v>1410</v>
      </c>
      <c r="I440" s="2462">
        <v>2.7029927336926815E-2</v>
      </c>
      <c r="J440" s="2462">
        <v>5.2494715865075152</v>
      </c>
    </row>
    <row r="441" spans="1:10" outlineLevel="2">
      <c r="A441" s="2459" t="s">
        <v>1669</v>
      </c>
      <c r="B441" s="2459" t="s">
        <v>1640</v>
      </c>
      <c r="C441" s="2459" t="s">
        <v>1672</v>
      </c>
      <c r="D441" s="2460" t="s">
        <v>1671</v>
      </c>
      <c r="E441" s="2461" t="s">
        <v>1407</v>
      </c>
      <c r="F441" s="2461" t="s">
        <v>1420</v>
      </c>
      <c r="G441" s="2461" t="s">
        <v>1421</v>
      </c>
      <c r="H441" s="2461" t="s">
        <v>1410</v>
      </c>
      <c r="I441" s="2462">
        <v>10.09868676574705</v>
      </c>
      <c r="J441" s="2462">
        <v>262.08778628137907</v>
      </c>
    </row>
    <row r="442" spans="1:10" outlineLevel="2">
      <c r="A442" s="2459" t="s">
        <v>1669</v>
      </c>
      <c r="B442" s="2459" t="s">
        <v>1640</v>
      </c>
      <c r="C442" s="2459" t="s">
        <v>1672</v>
      </c>
      <c r="D442" s="2460" t="s">
        <v>1671</v>
      </c>
      <c r="E442" s="2461" t="s">
        <v>1407</v>
      </c>
      <c r="F442" s="2461" t="s">
        <v>1422</v>
      </c>
      <c r="G442" s="2461" t="s">
        <v>1421</v>
      </c>
      <c r="H442" s="2461" t="s">
        <v>1410</v>
      </c>
      <c r="I442" s="2462">
        <v>0.30538289618345638</v>
      </c>
      <c r="J442" s="2462">
        <v>12.512519173397067</v>
      </c>
    </row>
    <row r="443" spans="1:10" outlineLevel="2">
      <c r="A443" s="2459" t="s">
        <v>1669</v>
      </c>
      <c r="B443" s="2459" t="s">
        <v>1640</v>
      </c>
      <c r="C443" s="2459" t="s">
        <v>1672</v>
      </c>
      <c r="D443" s="2460" t="s">
        <v>1671</v>
      </c>
      <c r="E443" s="2461" t="s">
        <v>1407</v>
      </c>
      <c r="F443" s="2461" t="s">
        <v>1423</v>
      </c>
      <c r="G443" s="2461" t="s">
        <v>1421</v>
      </c>
      <c r="H443" s="2461" t="s">
        <v>1410</v>
      </c>
      <c r="I443" s="2462">
        <v>0.15873053946670515</v>
      </c>
      <c r="J443" s="2462">
        <v>18.291884408210215</v>
      </c>
    </row>
    <row r="444" spans="1:10" outlineLevel="2">
      <c r="A444" s="2459" t="s">
        <v>1669</v>
      </c>
      <c r="B444" s="2459" t="s">
        <v>1640</v>
      </c>
      <c r="C444" s="2459" t="s">
        <v>1672</v>
      </c>
      <c r="D444" s="2460" t="s">
        <v>1671</v>
      </c>
      <c r="E444" s="2461" t="s">
        <v>1407</v>
      </c>
      <c r="F444" s="2461" t="s">
        <v>1424</v>
      </c>
      <c r="G444" s="2461" t="s">
        <v>1421</v>
      </c>
      <c r="H444" s="2461" t="s">
        <v>1410</v>
      </c>
      <c r="I444" s="2462">
        <v>3.1040598746373647</v>
      </c>
      <c r="J444" s="2462">
        <v>649.57241284811653</v>
      </c>
    </row>
    <row r="445" spans="1:10" outlineLevel="2">
      <c r="A445" s="2459" t="s">
        <v>1669</v>
      </c>
      <c r="B445" s="2459" t="s">
        <v>1640</v>
      </c>
      <c r="C445" s="2459" t="s">
        <v>1672</v>
      </c>
      <c r="D445" s="2460" t="s">
        <v>1671</v>
      </c>
      <c r="E445" s="2461" t="s">
        <v>1407</v>
      </c>
      <c r="F445" s="2461" t="s">
        <v>1641</v>
      </c>
      <c r="G445" s="2461" t="s">
        <v>1412</v>
      </c>
      <c r="H445" s="2461" t="s">
        <v>1410</v>
      </c>
      <c r="I445" s="2462">
        <v>3.229805206106473E-2</v>
      </c>
      <c r="J445" s="2462">
        <v>7.3396805580313726</v>
      </c>
    </row>
    <row r="446" spans="1:10" outlineLevel="2">
      <c r="A446" s="2459" t="s">
        <v>1669</v>
      </c>
      <c r="B446" s="2459" t="s">
        <v>1640</v>
      </c>
      <c r="C446" s="2459" t="s">
        <v>1672</v>
      </c>
      <c r="D446" s="2460" t="s">
        <v>1671</v>
      </c>
      <c r="E446" s="2461" t="s">
        <v>213</v>
      </c>
      <c r="F446" s="2461" t="s">
        <v>1425</v>
      </c>
      <c r="G446" s="2461" t="s">
        <v>1426</v>
      </c>
      <c r="H446" s="2461" t="s">
        <v>1427</v>
      </c>
      <c r="I446" s="2462">
        <v>0.62709222247279695</v>
      </c>
      <c r="J446" s="2462">
        <v>180.183873799563</v>
      </c>
    </row>
    <row r="447" spans="1:10" outlineLevel="2">
      <c r="A447" s="2459" t="s">
        <v>1669</v>
      </c>
      <c r="B447" s="2459" t="s">
        <v>1640</v>
      </c>
      <c r="C447" s="2459" t="s">
        <v>1672</v>
      </c>
      <c r="D447" s="2460" t="s">
        <v>1671</v>
      </c>
      <c r="E447" s="2461" t="s">
        <v>213</v>
      </c>
      <c r="F447" s="2461" t="s">
        <v>1428</v>
      </c>
      <c r="G447" s="2461" t="s">
        <v>1426</v>
      </c>
      <c r="H447" s="2461" t="s">
        <v>1427</v>
      </c>
      <c r="I447" s="2462">
        <v>0.19155200138827849</v>
      </c>
      <c r="J447" s="2462">
        <v>77.381798849913594</v>
      </c>
    </row>
    <row r="448" spans="1:10" outlineLevel="2">
      <c r="A448" s="2459" t="s">
        <v>1669</v>
      </c>
      <c r="B448" s="2459" t="s">
        <v>1640</v>
      </c>
      <c r="C448" s="2459" t="s">
        <v>1672</v>
      </c>
      <c r="D448" s="2460" t="s">
        <v>1671</v>
      </c>
      <c r="E448" s="2461" t="s">
        <v>213</v>
      </c>
      <c r="F448" s="2461" t="s">
        <v>1429</v>
      </c>
      <c r="G448" s="2461" t="s">
        <v>1426</v>
      </c>
      <c r="H448" s="2461" t="s">
        <v>1427</v>
      </c>
      <c r="I448" s="2462">
        <v>8.7185679491838933E-2</v>
      </c>
      <c r="J448" s="2462">
        <v>112.12724707176623</v>
      </c>
    </row>
    <row r="449" spans="1:10" outlineLevel="2">
      <c r="A449" s="2459" t="s">
        <v>1669</v>
      </c>
      <c r="B449" s="2459" t="s">
        <v>1640</v>
      </c>
      <c r="C449" s="2459" t="s">
        <v>1672</v>
      </c>
      <c r="D449" s="2460" t="s">
        <v>1671</v>
      </c>
      <c r="E449" s="2461" t="s">
        <v>213</v>
      </c>
      <c r="F449" s="2461" t="s">
        <v>1430</v>
      </c>
      <c r="G449" s="2461" t="s">
        <v>1409</v>
      </c>
      <c r="H449" s="2461" t="s">
        <v>1070</v>
      </c>
      <c r="I449" s="2462">
        <v>0.17516089674403887</v>
      </c>
      <c r="J449" s="2462">
        <v>108.68389526928264</v>
      </c>
    </row>
    <row r="450" spans="1:10" outlineLevel="2">
      <c r="A450" s="2459" t="s">
        <v>1669</v>
      </c>
      <c r="B450" s="2459" t="s">
        <v>1640</v>
      </c>
      <c r="C450" s="2459" t="s">
        <v>1672</v>
      </c>
      <c r="D450" s="2460" t="s">
        <v>1671</v>
      </c>
      <c r="E450" s="2461" t="s">
        <v>213</v>
      </c>
      <c r="F450" s="2461" t="s">
        <v>1431</v>
      </c>
      <c r="G450" s="2461" t="s">
        <v>1409</v>
      </c>
      <c r="H450" s="2461" t="s">
        <v>1070</v>
      </c>
      <c r="I450" s="2462">
        <v>1.4536506685131045E-2</v>
      </c>
      <c r="J450" s="2462">
        <v>7.0401208603937988</v>
      </c>
    </row>
    <row r="451" spans="1:10" outlineLevel="2">
      <c r="A451" s="2459" t="s">
        <v>1669</v>
      </c>
      <c r="B451" s="2459" t="s">
        <v>1640</v>
      </c>
      <c r="C451" s="2459" t="s">
        <v>1672</v>
      </c>
      <c r="D451" s="2460" t="s">
        <v>1671</v>
      </c>
      <c r="E451" s="2461" t="s">
        <v>213</v>
      </c>
      <c r="F451" s="2461" t="s">
        <v>1432</v>
      </c>
      <c r="G451" s="2461" t="s">
        <v>1409</v>
      </c>
      <c r="H451" s="2461" t="s">
        <v>1070</v>
      </c>
      <c r="I451" s="2462">
        <v>1.7616343726124195E-2</v>
      </c>
      <c r="J451" s="2462">
        <v>8.4149388864265315</v>
      </c>
    </row>
    <row r="452" spans="1:10" outlineLevel="2">
      <c r="A452" s="2459" t="s">
        <v>1669</v>
      </c>
      <c r="B452" s="2459" t="s">
        <v>1640</v>
      </c>
      <c r="C452" s="2459" t="s">
        <v>1672</v>
      </c>
      <c r="D452" s="2460" t="s">
        <v>1671</v>
      </c>
      <c r="E452" s="2461" t="s">
        <v>213</v>
      </c>
      <c r="F452" s="2461" t="s">
        <v>1433</v>
      </c>
      <c r="G452" s="2461" t="s">
        <v>1409</v>
      </c>
      <c r="H452" s="2461" t="s">
        <v>1070</v>
      </c>
      <c r="I452" s="2462">
        <v>1.3028037415731045E-4</v>
      </c>
      <c r="J452" s="2462">
        <v>5.8306554033084067E-2</v>
      </c>
    </row>
    <row r="453" spans="1:10" outlineLevel="2">
      <c r="A453" s="2459" t="s">
        <v>1669</v>
      </c>
      <c r="B453" s="2459" t="s">
        <v>1640</v>
      </c>
      <c r="C453" s="2459" t="s">
        <v>1672</v>
      </c>
      <c r="D453" s="2460" t="s">
        <v>1671</v>
      </c>
      <c r="E453" s="2461" t="s">
        <v>213</v>
      </c>
      <c r="F453" s="2461" t="s">
        <v>1434</v>
      </c>
      <c r="G453" s="2461" t="s">
        <v>1409</v>
      </c>
      <c r="H453" s="2461" t="s">
        <v>1070</v>
      </c>
      <c r="I453" s="2462">
        <v>0.50216749588219423</v>
      </c>
      <c r="J453" s="2462">
        <v>280.40236009582475</v>
      </c>
    </row>
    <row r="454" spans="1:10" outlineLevel="2">
      <c r="A454" s="2459" t="s">
        <v>1669</v>
      </c>
      <c r="B454" s="2459" t="s">
        <v>1640</v>
      </c>
      <c r="C454" s="2459" t="s">
        <v>1672</v>
      </c>
      <c r="D454" s="2460" t="s">
        <v>1671</v>
      </c>
      <c r="E454" s="2461" t="s">
        <v>213</v>
      </c>
      <c r="F454" s="2461" t="s">
        <v>1435</v>
      </c>
      <c r="G454" s="2461" t="s">
        <v>1409</v>
      </c>
      <c r="H454" s="2461" t="s">
        <v>1070</v>
      </c>
      <c r="I454" s="2462">
        <v>3.6716885195339751E-3</v>
      </c>
      <c r="J454" s="2462">
        <v>1.6432506576298247</v>
      </c>
    </row>
    <row r="455" spans="1:10" outlineLevel="2">
      <c r="A455" s="2459" t="s">
        <v>1669</v>
      </c>
      <c r="B455" s="2459" t="s">
        <v>1640</v>
      </c>
      <c r="C455" s="2459" t="s">
        <v>1672</v>
      </c>
      <c r="D455" s="2460" t="s">
        <v>1671</v>
      </c>
      <c r="E455" s="2461" t="s">
        <v>213</v>
      </c>
      <c r="F455" s="2461" t="s">
        <v>1436</v>
      </c>
      <c r="G455" s="2461" t="s">
        <v>1412</v>
      </c>
      <c r="H455" s="2461" t="s">
        <v>1116</v>
      </c>
      <c r="I455" s="2462">
        <v>1.098540896384374E-2</v>
      </c>
      <c r="J455" s="2462">
        <v>4.916481011902893</v>
      </c>
    </row>
    <row r="456" spans="1:10" outlineLevel="2">
      <c r="A456" s="2459" t="s">
        <v>1669</v>
      </c>
      <c r="B456" s="2459" t="s">
        <v>1640</v>
      </c>
      <c r="C456" s="2459" t="s">
        <v>1672</v>
      </c>
      <c r="D456" s="2460" t="s">
        <v>1671</v>
      </c>
      <c r="E456" s="2461" t="s">
        <v>213</v>
      </c>
      <c r="F456" s="2461" t="s">
        <v>1437</v>
      </c>
      <c r="G456" s="2461" t="s">
        <v>1412</v>
      </c>
      <c r="H456" s="2461" t="s">
        <v>1116</v>
      </c>
      <c r="I456" s="2462">
        <v>8.4061682007705962E-4</v>
      </c>
      <c r="J456" s="2462">
        <v>0.3762154559701133</v>
      </c>
    </row>
    <row r="457" spans="1:10" outlineLevel="2">
      <c r="A457" s="2459" t="s">
        <v>1669</v>
      </c>
      <c r="B457" s="2459" t="s">
        <v>1640</v>
      </c>
      <c r="C457" s="2459" t="s">
        <v>1672</v>
      </c>
      <c r="D457" s="2460" t="s">
        <v>1671</v>
      </c>
      <c r="E457" s="2461" t="s">
        <v>213</v>
      </c>
      <c r="F457" s="2461" t="s">
        <v>1438</v>
      </c>
      <c r="G457" s="2461" t="s">
        <v>1439</v>
      </c>
      <c r="H457" s="2461" t="s">
        <v>1440</v>
      </c>
      <c r="I457" s="2462">
        <v>5.0591428730209852E-2</v>
      </c>
      <c r="J457" s="2462">
        <v>27.707204847061305</v>
      </c>
    </row>
    <row r="458" spans="1:10" outlineLevel="2">
      <c r="A458" s="2459" t="s">
        <v>1669</v>
      </c>
      <c r="B458" s="2459" t="s">
        <v>1640</v>
      </c>
      <c r="C458" s="2459" t="s">
        <v>1672</v>
      </c>
      <c r="D458" s="2460" t="s">
        <v>1671</v>
      </c>
      <c r="E458" s="2461" t="s">
        <v>213</v>
      </c>
      <c r="F458" s="2461" t="s">
        <v>1441</v>
      </c>
      <c r="G458" s="2461" t="s">
        <v>1439</v>
      </c>
      <c r="H458" s="2461" t="s">
        <v>1440</v>
      </c>
      <c r="I458" s="2462">
        <v>0.36783210949772632</v>
      </c>
      <c r="J458" s="2462">
        <v>197.68957261929228</v>
      </c>
    </row>
    <row r="459" spans="1:10" outlineLevel="2">
      <c r="A459" s="2459" t="s">
        <v>1669</v>
      </c>
      <c r="B459" s="2459" t="s">
        <v>1640</v>
      </c>
      <c r="C459" s="2459" t="s">
        <v>1672</v>
      </c>
      <c r="D459" s="2460" t="s">
        <v>1671</v>
      </c>
      <c r="E459" s="2461" t="s">
        <v>213</v>
      </c>
      <c r="F459" s="2461" t="s">
        <v>1442</v>
      </c>
      <c r="G459" s="2461" t="s">
        <v>1439</v>
      </c>
      <c r="H459" s="2461" t="s">
        <v>1440</v>
      </c>
      <c r="I459" s="2462">
        <v>0.71204985064414372</v>
      </c>
      <c r="J459" s="2462">
        <v>369.94360344637562</v>
      </c>
    </row>
    <row r="460" spans="1:10" outlineLevel="2">
      <c r="A460" s="2459" t="s">
        <v>1669</v>
      </c>
      <c r="B460" s="2459" t="s">
        <v>1640</v>
      </c>
      <c r="C460" s="2459" t="s">
        <v>1672</v>
      </c>
      <c r="D460" s="2460" t="s">
        <v>1671</v>
      </c>
      <c r="E460" s="2461" t="s">
        <v>213</v>
      </c>
      <c r="F460" s="2461" t="s">
        <v>1443</v>
      </c>
      <c r="G460" s="2461" t="s">
        <v>1439</v>
      </c>
      <c r="H460" s="2461" t="s">
        <v>1440</v>
      </c>
      <c r="I460" s="2462">
        <v>3.4780619647453559</v>
      </c>
      <c r="J460" s="2462">
        <v>1903.9038366027009</v>
      </c>
    </row>
    <row r="461" spans="1:10" outlineLevel="2">
      <c r="A461" s="2459" t="s">
        <v>1669</v>
      </c>
      <c r="B461" s="2459" t="s">
        <v>1640</v>
      </c>
      <c r="C461" s="2459" t="s">
        <v>1672</v>
      </c>
      <c r="D461" s="2460" t="s">
        <v>1671</v>
      </c>
      <c r="E461" s="2461" t="s">
        <v>213</v>
      </c>
      <c r="F461" s="2461" t="s">
        <v>1444</v>
      </c>
      <c r="G461" s="2461" t="s">
        <v>1439</v>
      </c>
      <c r="H461" s="2461" t="s">
        <v>1440</v>
      </c>
      <c r="I461" s="2462">
        <v>0.87471321262650636</v>
      </c>
      <c r="J461" s="2462">
        <v>513.77119887243691</v>
      </c>
    </row>
    <row r="462" spans="1:10" outlineLevel="2">
      <c r="A462" s="2459" t="s">
        <v>1669</v>
      </c>
      <c r="B462" s="2459" t="s">
        <v>1640</v>
      </c>
      <c r="C462" s="2459" t="s">
        <v>1672</v>
      </c>
      <c r="D462" s="2460" t="s">
        <v>1671</v>
      </c>
      <c r="E462" s="2461" t="s">
        <v>213</v>
      </c>
      <c r="F462" s="2461" t="s">
        <v>1445</v>
      </c>
      <c r="G462" s="2461" t="s">
        <v>1439</v>
      </c>
      <c r="H462" s="2461" t="s">
        <v>1440</v>
      </c>
      <c r="I462" s="2462">
        <v>3.2910675770693856</v>
      </c>
      <c r="J462" s="2462">
        <v>1663.7575149330487</v>
      </c>
    </row>
    <row r="463" spans="1:10" outlineLevel="2">
      <c r="A463" s="2459" t="s">
        <v>1669</v>
      </c>
      <c r="B463" s="2459" t="s">
        <v>1640</v>
      </c>
      <c r="C463" s="2459" t="s">
        <v>1672</v>
      </c>
      <c r="D463" s="2460" t="s">
        <v>1671</v>
      </c>
      <c r="E463" s="2461" t="s">
        <v>213</v>
      </c>
      <c r="F463" s="2461" t="s">
        <v>1446</v>
      </c>
      <c r="G463" s="2461" t="s">
        <v>1439</v>
      </c>
      <c r="H463" s="2461" t="s">
        <v>1440</v>
      </c>
      <c r="I463" s="2462">
        <v>0.61653758741685427</v>
      </c>
      <c r="J463" s="2462">
        <v>330.66190577208141</v>
      </c>
    </row>
    <row r="464" spans="1:10" outlineLevel="2">
      <c r="A464" s="2459" t="s">
        <v>1669</v>
      </c>
      <c r="B464" s="2459" t="s">
        <v>1640</v>
      </c>
      <c r="C464" s="2459" t="s">
        <v>1672</v>
      </c>
      <c r="D464" s="2460" t="s">
        <v>1671</v>
      </c>
      <c r="E464" s="2461" t="s">
        <v>213</v>
      </c>
      <c r="F464" s="2461" t="s">
        <v>1447</v>
      </c>
      <c r="G464" s="2461" t="s">
        <v>1439</v>
      </c>
      <c r="H464" s="2461" t="s">
        <v>1440</v>
      </c>
      <c r="I464" s="2462">
        <v>2.9046743853551664</v>
      </c>
      <c r="J464" s="2462">
        <v>1553.5513868913458</v>
      </c>
    </row>
    <row r="465" spans="1:10" outlineLevel="2">
      <c r="A465" s="2459" t="s">
        <v>1669</v>
      </c>
      <c r="B465" s="2459" t="s">
        <v>1640</v>
      </c>
      <c r="C465" s="2459" t="s">
        <v>1672</v>
      </c>
      <c r="D465" s="2460" t="s">
        <v>1671</v>
      </c>
      <c r="E465" s="2461" t="s">
        <v>213</v>
      </c>
      <c r="F465" s="2461" t="s">
        <v>1448</v>
      </c>
      <c r="G465" s="2461" t="s">
        <v>1439</v>
      </c>
      <c r="H465" s="2461" t="s">
        <v>1440</v>
      </c>
      <c r="I465" s="2462">
        <v>1.1174103943553619</v>
      </c>
      <c r="J465" s="2462">
        <v>163.60356476321323</v>
      </c>
    </row>
    <row r="466" spans="1:10" outlineLevel="2">
      <c r="A466" s="2459" t="s">
        <v>1669</v>
      </c>
      <c r="B466" s="2459" t="s">
        <v>1640</v>
      </c>
      <c r="C466" s="2459" t="s">
        <v>1672</v>
      </c>
      <c r="D466" s="2460" t="s">
        <v>1671</v>
      </c>
      <c r="E466" s="2461" t="s">
        <v>213</v>
      </c>
      <c r="F466" s="2461" t="s">
        <v>1449</v>
      </c>
      <c r="G466" s="2461" t="s">
        <v>1439</v>
      </c>
      <c r="H466" s="2461" t="s">
        <v>1440</v>
      </c>
      <c r="I466" s="2462">
        <v>3.8635808908520293</v>
      </c>
      <c r="J466" s="2462">
        <v>565.66358096191402</v>
      </c>
    </row>
    <row r="467" spans="1:10" outlineLevel="2">
      <c r="A467" s="2459" t="s">
        <v>1669</v>
      </c>
      <c r="B467" s="2459" t="s">
        <v>1640</v>
      </c>
      <c r="C467" s="2459" t="s">
        <v>1672</v>
      </c>
      <c r="D467" s="2460" t="s">
        <v>1671</v>
      </c>
      <c r="E467" s="2461" t="s">
        <v>213</v>
      </c>
      <c r="F467" s="2461" t="s">
        <v>1450</v>
      </c>
      <c r="G467" s="2461" t="s">
        <v>1439</v>
      </c>
      <c r="H467" s="2461" t="s">
        <v>1440</v>
      </c>
      <c r="I467" s="2462">
        <v>1.6613608026010238E-3</v>
      </c>
      <c r="J467" s="2462">
        <v>0.82898669507008516</v>
      </c>
    </row>
    <row r="468" spans="1:10" outlineLevel="2">
      <c r="A468" s="2459" t="s">
        <v>1669</v>
      </c>
      <c r="B468" s="2459" t="s">
        <v>1640</v>
      </c>
      <c r="C468" s="2459" t="s">
        <v>1672</v>
      </c>
      <c r="D468" s="2460" t="s">
        <v>1671</v>
      </c>
      <c r="E468" s="2461" t="s">
        <v>213</v>
      </c>
      <c r="F468" s="2461" t="s">
        <v>1451</v>
      </c>
      <c r="G468" s="2461" t="s">
        <v>1418</v>
      </c>
      <c r="H468" s="2461" t="s">
        <v>1452</v>
      </c>
      <c r="I468" s="2462">
        <v>4.5221984997600762E-4</v>
      </c>
      <c r="J468" s="2462">
        <v>0.27500508303752536</v>
      </c>
    </row>
    <row r="469" spans="1:10" outlineLevel="2">
      <c r="A469" s="2459" t="s">
        <v>1669</v>
      </c>
      <c r="B469" s="2459" t="s">
        <v>1640</v>
      </c>
      <c r="C469" s="2459" t="s">
        <v>1672</v>
      </c>
      <c r="D469" s="2460" t="s">
        <v>1671</v>
      </c>
      <c r="E469" s="2461" t="s">
        <v>213</v>
      </c>
      <c r="F469" s="2461" t="s">
        <v>1453</v>
      </c>
      <c r="G469" s="2461" t="s">
        <v>1421</v>
      </c>
      <c r="H469" s="2461" t="s">
        <v>1454</v>
      </c>
      <c r="I469" s="2462">
        <v>8.8997080445241183E-2</v>
      </c>
      <c r="J469" s="2462">
        <v>44.063347881963274</v>
      </c>
    </row>
    <row r="470" spans="1:10" outlineLevel="2">
      <c r="A470" s="2459" t="s">
        <v>1669</v>
      </c>
      <c r="B470" s="2459" t="s">
        <v>1640</v>
      </c>
      <c r="C470" s="2459" t="s">
        <v>1672</v>
      </c>
      <c r="D470" s="2460" t="s">
        <v>1671</v>
      </c>
      <c r="E470" s="2461" t="s">
        <v>213</v>
      </c>
      <c r="F470" s="2461" t="s">
        <v>1455</v>
      </c>
      <c r="G470" s="2461" t="s">
        <v>1421</v>
      </c>
      <c r="H470" s="2461" t="s">
        <v>1454</v>
      </c>
      <c r="I470" s="2462">
        <v>0.56794354081669562</v>
      </c>
      <c r="J470" s="2462">
        <v>293.95191244737322</v>
      </c>
    </row>
    <row r="471" spans="1:10" outlineLevel="2">
      <c r="A471" s="2459" t="s">
        <v>1669</v>
      </c>
      <c r="B471" s="2459" t="s">
        <v>1640</v>
      </c>
      <c r="C471" s="2459" t="s">
        <v>1672</v>
      </c>
      <c r="D471" s="2460" t="s">
        <v>1671</v>
      </c>
      <c r="E471" s="2461" t="s">
        <v>213</v>
      </c>
      <c r="F471" s="2461" t="s">
        <v>1456</v>
      </c>
      <c r="G471" s="2461" t="s">
        <v>1421</v>
      </c>
      <c r="H471" s="2461" t="s">
        <v>1454</v>
      </c>
      <c r="I471" s="2462">
        <v>2.2780154550630991E-4</v>
      </c>
      <c r="J471" s="2462">
        <v>0.10195157087064079</v>
      </c>
    </row>
    <row r="472" spans="1:10" outlineLevel="2">
      <c r="A472" s="2459" t="s">
        <v>1669</v>
      </c>
      <c r="B472" s="2459" t="s">
        <v>1640</v>
      </c>
      <c r="C472" s="2459" t="s">
        <v>1672</v>
      </c>
      <c r="D472" s="2460" t="s">
        <v>1671</v>
      </c>
      <c r="E472" s="2461" t="s">
        <v>213</v>
      </c>
      <c r="F472" s="2461" t="s">
        <v>1457</v>
      </c>
      <c r="G472" s="2461" t="s">
        <v>1421</v>
      </c>
      <c r="H472" s="2461" t="s">
        <v>1454</v>
      </c>
      <c r="I472" s="2462">
        <v>3.9735766791234436E-3</v>
      </c>
      <c r="J472" s="2462">
        <v>1.7783579760225141</v>
      </c>
    </row>
    <row r="473" spans="1:10" outlineLevel="2">
      <c r="A473" s="2459" t="s">
        <v>1669</v>
      </c>
      <c r="B473" s="2459" t="s">
        <v>1640</v>
      </c>
      <c r="C473" s="2459" t="s">
        <v>1672</v>
      </c>
      <c r="D473" s="2460" t="s">
        <v>1671</v>
      </c>
      <c r="E473" s="2461" t="s">
        <v>213</v>
      </c>
      <c r="F473" s="2461" t="s">
        <v>1458</v>
      </c>
      <c r="G473" s="2461" t="s">
        <v>1459</v>
      </c>
      <c r="H473" s="2461" t="s">
        <v>1460</v>
      </c>
      <c r="I473" s="2462">
        <v>9.0704338167145373E-3</v>
      </c>
      <c r="J473" s="2462">
        <v>5.2366114173179339</v>
      </c>
    </row>
    <row r="474" spans="1:10" outlineLevel="2">
      <c r="A474" s="2459" t="s">
        <v>1669</v>
      </c>
      <c r="B474" s="2459" t="s">
        <v>1640</v>
      </c>
      <c r="C474" s="2459" t="s">
        <v>1672</v>
      </c>
      <c r="D474" s="2460" t="s">
        <v>1671</v>
      </c>
      <c r="E474" s="2461" t="s">
        <v>213</v>
      </c>
      <c r="F474" s="2461" t="s">
        <v>1461</v>
      </c>
      <c r="G474" s="2461" t="s">
        <v>1426</v>
      </c>
      <c r="H474" s="2461" t="s">
        <v>1427</v>
      </c>
      <c r="I474" s="2462">
        <v>0.11882761068656816</v>
      </c>
      <c r="J474" s="2462">
        <v>84.034096854422884</v>
      </c>
    </row>
    <row r="475" spans="1:10" outlineLevel="2">
      <c r="A475" s="2459" t="s">
        <v>1669</v>
      </c>
      <c r="B475" s="2459" t="s">
        <v>1640</v>
      </c>
      <c r="C475" s="2459" t="s">
        <v>1672</v>
      </c>
      <c r="D475" s="2460" t="s">
        <v>1671</v>
      </c>
      <c r="E475" s="2461" t="s">
        <v>213</v>
      </c>
      <c r="F475" s="2461" t="s">
        <v>1462</v>
      </c>
      <c r="G475" s="2461" t="s">
        <v>1426</v>
      </c>
      <c r="H475" s="2461" t="s">
        <v>1427</v>
      </c>
      <c r="I475" s="2462">
        <v>0.87564710784038724</v>
      </c>
      <c r="J475" s="2462">
        <v>798.89408669602778</v>
      </c>
    </row>
    <row r="476" spans="1:10" outlineLevel="2">
      <c r="A476" s="2459" t="s">
        <v>1669</v>
      </c>
      <c r="B476" s="2459" t="s">
        <v>1640</v>
      </c>
      <c r="C476" s="2459" t="s">
        <v>1672</v>
      </c>
      <c r="D476" s="2460" t="s">
        <v>1671</v>
      </c>
      <c r="E476" s="2461" t="s">
        <v>213</v>
      </c>
      <c r="F476" s="2461" t="s">
        <v>1463</v>
      </c>
      <c r="G476" s="2461" t="s">
        <v>1426</v>
      </c>
      <c r="H476" s="2461" t="s">
        <v>1427</v>
      </c>
      <c r="I476" s="2462">
        <v>1.3022923028502966</v>
      </c>
      <c r="J476" s="2462">
        <v>1730.7620127225714</v>
      </c>
    </row>
    <row r="477" spans="1:10" outlineLevel="2">
      <c r="A477" s="2459" t="s">
        <v>1669</v>
      </c>
      <c r="B477" s="2459" t="s">
        <v>1640</v>
      </c>
      <c r="C477" s="2459" t="s">
        <v>1672</v>
      </c>
      <c r="D477" s="2460" t="s">
        <v>1671</v>
      </c>
      <c r="E477" s="2461" t="s">
        <v>213</v>
      </c>
      <c r="F477" s="2461" t="s">
        <v>1464</v>
      </c>
      <c r="G477" s="2461" t="s">
        <v>1426</v>
      </c>
      <c r="H477" s="2461" t="s">
        <v>1427</v>
      </c>
      <c r="I477" s="2462">
        <v>0.11766054391456512</v>
      </c>
      <c r="J477" s="2462">
        <v>107.15204737313535</v>
      </c>
    </row>
    <row r="478" spans="1:10" outlineLevel="2">
      <c r="A478" s="2459" t="s">
        <v>1669</v>
      </c>
      <c r="B478" s="2459" t="s">
        <v>1640</v>
      </c>
      <c r="C478" s="2459" t="s">
        <v>1672</v>
      </c>
      <c r="D478" s="2460" t="s">
        <v>1671</v>
      </c>
      <c r="E478" s="2461" t="s">
        <v>213</v>
      </c>
      <c r="F478" s="2461" t="s">
        <v>1465</v>
      </c>
      <c r="G478" s="2461" t="s">
        <v>1409</v>
      </c>
      <c r="H478" s="2461" t="s">
        <v>1070</v>
      </c>
      <c r="I478" s="2462">
        <v>5.9132606338408639E-2</v>
      </c>
      <c r="J478" s="2462">
        <v>96.34328918239207</v>
      </c>
    </row>
    <row r="479" spans="1:10" outlineLevel="2">
      <c r="A479" s="2459" t="s">
        <v>1669</v>
      </c>
      <c r="B479" s="2459" t="s">
        <v>1640</v>
      </c>
      <c r="C479" s="2459" t="s">
        <v>1672</v>
      </c>
      <c r="D479" s="2460" t="s">
        <v>1671</v>
      </c>
      <c r="E479" s="2461" t="s">
        <v>213</v>
      </c>
      <c r="F479" s="2461" t="s">
        <v>1466</v>
      </c>
      <c r="G479" s="2461" t="s">
        <v>1409</v>
      </c>
      <c r="H479" s="2461" t="s">
        <v>1070</v>
      </c>
      <c r="I479" s="2462">
        <v>4.725201976933338E-4</v>
      </c>
      <c r="J479" s="2462">
        <v>0.71911869891420743</v>
      </c>
    </row>
    <row r="480" spans="1:10" outlineLevel="2">
      <c r="A480" s="2459" t="s">
        <v>1669</v>
      </c>
      <c r="B480" s="2459" t="s">
        <v>1640</v>
      </c>
      <c r="C480" s="2459" t="s">
        <v>1672</v>
      </c>
      <c r="D480" s="2460" t="s">
        <v>1671</v>
      </c>
      <c r="E480" s="2461" t="s">
        <v>213</v>
      </c>
      <c r="F480" s="2461" t="s">
        <v>1467</v>
      </c>
      <c r="G480" s="2461" t="s">
        <v>1409</v>
      </c>
      <c r="H480" s="2461" t="s">
        <v>1070</v>
      </c>
      <c r="I480" s="2462">
        <v>0.12776215238423977</v>
      </c>
      <c r="J480" s="2462">
        <v>180.99257612920201</v>
      </c>
    </row>
    <row r="481" spans="1:10" outlineLevel="2">
      <c r="A481" s="2459" t="s">
        <v>1669</v>
      </c>
      <c r="B481" s="2459" t="s">
        <v>1640</v>
      </c>
      <c r="C481" s="2459" t="s">
        <v>1672</v>
      </c>
      <c r="D481" s="2460" t="s">
        <v>1671</v>
      </c>
      <c r="E481" s="2461" t="s">
        <v>213</v>
      </c>
      <c r="F481" s="2461" t="s">
        <v>1468</v>
      </c>
      <c r="G481" s="2461" t="s">
        <v>1409</v>
      </c>
      <c r="H481" s="2461" t="s">
        <v>1070</v>
      </c>
      <c r="I481" s="2462">
        <v>0.10425832709012887</v>
      </c>
      <c r="J481" s="2462">
        <v>170.40147149848522</v>
      </c>
    </row>
    <row r="482" spans="1:10" outlineLevel="2">
      <c r="A482" s="2459" t="s">
        <v>1669</v>
      </c>
      <c r="B482" s="2459" t="s">
        <v>1640</v>
      </c>
      <c r="C482" s="2459" t="s">
        <v>1672</v>
      </c>
      <c r="D482" s="2460" t="s">
        <v>1671</v>
      </c>
      <c r="E482" s="2461" t="s">
        <v>213</v>
      </c>
      <c r="F482" s="2461" t="s">
        <v>1469</v>
      </c>
      <c r="G482" s="2461" t="s">
        <v>1409</v>
      </c>
      <c r="H482" s="2461" t="s">
        <v>1070</v>
      </c>
      <c r="I482" s="2462">
        <v>0.2331556619022318</v>
      </c>
      <c r="J482" s="2462">
        <v>340.06888514580618</v>
      </c>
    </row>
    <row r="483" spans="1:10" outlineLevel="2">
      <c r="A483" s="2459" t="s">
        <v>1669</v>
      </c>
      <c r="B483" s="2459" t="s">
        <v>1640</v>
      </c>
      <c r="C483" s="2459" t="s">
        <v>1672</v>
      </c>
      <c r="D483" s="2460" t="s">
        <v>1671</v>
      </c>
      <c r="E483" s="2461" t="s">
        <v>213</v>
      </c>
      <c r="F483" s="2461" t="s">
        <v>1470</v>
      </c>
      <c r="G483" s="2461" t="s">
        <v>1409</v>
      </c>
      <c r="H483" s="2461" t="s">
        <v>1070</v>
      </c>
      <c r="I483" s="2462">
        <v>0.10114836948888645</v>
      </c>
      <c r="J483" s="2462">
        <v>143.19415757323881</v>
      </c>
    </row>
    <row r="484" spans="1:10" outlineLevel="2">
      <c r="A484" s="2459" t="s">
        <v>1669</v>
      </c>
      <c r="B484" s="2459" t="s">
        <v>1640</v>
      </c>
      <c r="C484" s="2459" t="s">
        <v>1672</v>
      </c>
      <c r="D484" s="2460" t="s">
        <v>1671</v>
      </c>
      <c r="E484" s="2461" t="s">
        <v>213</v>
      </c>
      <c r="F484" s="2461" t="s">
        <v>1471</v>
      </c>
      <c r="G484" s="2461" t="s">
        <v>1409</v>
      </c>
      <c r="H484" s="2461" t="s">
        <v>1070</v>
      </c>
      <c r="I484" s="2462">
        <v>5.5087100955773767E-3</v>
      </c>
      <c r="J484" s="2462">
        <v>7.4630161231060166</v>
      </c>
    </row>
    <row r="485" spans="1:10" outlineLevel="2">
      <c r="A485" s="2459" t="s">
        <v>1669</v>
      </c>
      <c r="B485" s="2459" t="s">
        <v>1640</v>
      </c>
      <c r="C485" s="2459" t="s">
        <v>1672</v>
      </c>
      <c r="D485" s="2460" t="s">
        <v>1671</v>
      </c>
      <c r="E485" s="2461" t="s">
        <v>213</v>
      </c>
      <c r="F485" s="2461" t="s">
        <v>1472</v>
      </c>
      <c r="G485" s="2461" t="s">
        <v>1409</v>
      </c>
      <c r="H485" s="2461" t="s">
        <v>1070</v>
      </c>
      <c r="I485" s="2462">
        <v>0.19170131423234837</v>
      </c>
      <c r="J485" s="2462">
        <v>299.6614132008682</v>
      </c>
    </row>
    <row r="486" spans="1:10" outlineLevel="2">
      <c r="A486" s="2459" t="s">
        <v>1669</v>
      </c>
      <c r="B486" s="2459" t="s">
        <v>1640</v>
      </c>
      <c r="C486" s="2459" t="s">
        <v>1672</v>
      </c>
      <c r="D486" s="2460" t="s">
        <v>1671</v>
      </c>
      <c r="E486" s="2461" t="s">
        <v>213</v>
      </c>
      <c r="F486" s="2461" t="s">
        <v>1473</v>
      </c>
      <c r="G486" s="2461" t="s">
        <v>1409</v>
      </c>
      <c r="H486" s="2461" t="s">
        <v>1070</v>
      </c>
      <c r="I486" s="2462">
        <v>9.1373734303136514E-2</v>
      </c>
      <c r="J486" s="2462">
        <v>111.1390330942284</v>
      </c>
    </row>
    <row r="487" spans="1:10" outlineLevel="2">
      <c r="A487" s="2459" t="s">
        <v>1669</v>
      </c>
      <c r="B487" s="2459" t="s">
        <v>1640</v>
      </c>
      <c r="C487" s="2459" t="s">
        <v>1672</v>
      </c>
      <c r="D487" s="2460" t="s">
        <v>1671</v>
      </c>
      <c r="E487" s="2461" t="s">
        <v>213</v>
      </c>
      <c r="F487" s="2461" t="s">
        <v>1474</v>
      </c>
      <c r="G487" s="2461" t="s">
        <v>1409</v>
      </c>
      <c r="H487" s="2461" t="s">
        <v>1070</v>
      </c>
      <c r="I487" s="2462">
        <v>0.43186860129667148</v>
      </c>
      <c r="J487" s="2462">
        <v>624.42894140832379</v>
      </c>
    </row>
    <row r="488" spans="1:10" outlineLevel="2">
      <c r="A488" s="2459" t="s">
        <v>1669</v>
      </c>
      <c r="B488" s="2459" t="s">
        <v>1640</v>
      </c>
      <c r="C488" s="2459" t="s">
        <v>1672</v>
      </c>
      <c r="D488" s="2460" t="s">
        <v>1671</v>
      </c>
      <c r="E488" s="2461" t="s">
        <v>213</v>
      </c>
      <c r="F488" s="2461" t="s">
        <v>1475</v>
      </c>
      <c r="G488" s="2461" t="s">
        <v>1409</v>
      </c>
      <c r="H488" s="2461" t="s">
        <v>1070</v>
      </c>
      <c r="I488" s="2462">
        <v>0.21892307843090697</v>
      </c>
      <c r="J488" s="2462">
        <v>299.86794750920689</v>
      </c>
    </row>
    <row r="489" spans="1:10" outlineLevel="2">
      <c r="A489" s="2459" t="s">
        <v>1669</v>
      </c>
      <c r="B489" s="2459" t="s">
        <v>1640</v>
      </c>
      <c r="C489" s="2459" t="s">
        <v>1672</v>
      </c>
      <c r="D489" s="2460" t="s">
        <v>1671</v>
      </c>
      <c r="E489" s="2461" t="s">
        <v>213</v>
      </c>
      <c r="F489" s="2461" t="s">
        <v>1476</v>
      </c>
      <c r="G489" s="2461" t="s">
        <v>1409</v>
      </c>
      <c r="H489" s="2461" t="s">
        <v>1070</v>
      </c>
      <c r="I489" s="2462">
        <v>1.7304283686295049E-2</v>
      </c>
      <c r="J489" s="2462">
        <v>24.153972135126985</v>
      </c>
    </row>
    <row r="490" spans="1:10" outlineLevel="2">
      <c r="A490" s="2459" t="s">
        <v>1669</v>
      </c>
      <c r="B490" s="2459" t="s">
        <v>1640</v>
      </c>
      <c r="C490" s="2459" t="s">
        <v>1672</v>
      </c>
      <c r="D490" s="2460" t="s">
        <v>1671</v>
      </c>
      <c r="E490" s="2461" t="s">
        <v>213</v>
      </c>
      <c r="F490" s="2461" t="s">
        <v>1477</v>
      </c>
      <c r="G490" s="2461" t="s">
        <v>1409</v>
      </c>
      <c r="H490" s="2461" t="s">
        <v>1070</v>
      </c>
      <c r="I490" s="2462">
        <v>2.8414797322869521E-2</v>
      </c>
      <c r="J490" s="2462">
        <v>40.560573382691153</v>
      </c>
    </row>
    <row r="491" spans="1:10" outlineLevel="2">
      <c r="A491" s="2459" t="s">
        <v>1669</v>
      </c>
      <c r="B491" s="2459" t="s">
        <v>1640</v>
      </c>
      <c r="C491" s="2459" t="s">
        <v>1672</v>
      </c>
      <c r="D491" s="2460" t="s">
        <v>1671</v>
      </c>
      <c r="E491" s="2461" t="s">
        <v>213</v>
      </c>
      <c r="F491" s="2461" t="s">
        <v>1478</v>
      </c>
      <c r="G491" s="2461" t="s">
        <v>1409</v>
      </c>
      <c r="H491" s="2461" t="s">
        <v>1070</v>
      </c>
      <c r="I491" s="2462">
        <v>1.2439684430749524E-2</v>
      </c>
      <c r="J491" s="2462">
        <v>36.244196783926839</v>
      </c>
    </row>
    <row r="492" spans="1:10" outlineLevel="2">
      <c r="A492" s="2459" t="s">
        <v>1669</v>
      </c>
      <c r="B492" s="2459" t="s">
        <v>1640</v>
      </c>
      <c r="C492" s="2459" t="s">
        <v>1672</v>
      </c>
      <c r="D492" s="2460" t="s">
        <v>1671</v>
      </c>
      <c r="E492" s="2461" t="s">
        <v>213</v>
      </c>
      <c r="F492" s="2461" t="s">
        <v>1479</v>
      </c>
      <c r="G492" s="2461" t="s">
        <v>1409</v>
      </c>
      <c r="H492" s="2461" t="s">
        <v>1070</v>
      </c>
      <c r="I492" s="2462">
        <v>1.0012928679443218E-2</v>
      </c>
      <c r="J492" s="2462">
        <v>85.964979003753911</v>
      </c>
    </row>
    <row r="493" spans="1:10" outlineLevel="2">
      <c r="A493" s="2459" t="s">
        <v>1669</v>
      </c>
      <c r="B493" s="2459" t="s">
        <v>1640</v>
      </c>
      <c r="C493" s="2459" t="s">
        <v>1672</v>
      </c>
      <c r="D493" s="2460" t="s">
        <v>1671</v>
      </c>
      <c r="E493" s="2461" t="s">
        <v>213</v>
      </c>
      <c r="F493" s="2461" t="s">
        <v>1480</v>
      </c>
      <c r="G493" s="2461" t="s">
        <v>1409</v>
      </c>
      <c r="H493" s="2461" t="s">
        <v>1070</v>
      </c>
      <c r="I493" s="2462">
        <v>0.13625629823708221</v>
      </c>
      <c r="J493" s="2462">
        <v>204.9772294367578</v>
      </c>
    </row>
    <row r="494" spans="1:10" outlineLevel="2">
      <c r="A494" s="2459" t="s">
        <v>1669</v>
      </c>
      <c r="B494" s="2459" t="s">
        <v>1640</v>
      </c>
      <c r="C494" s="2459" t="s">
        <v>1672</v>
      </c>
      <c r="D494" s="2460" t="s">
        <v>1671</v>
      </c>
      <c r="E494" s="2461" t="s">
        <v>213</v>
      </c>
      <c r="F494" s="2461" t="s">
        <v>1481</v>
      </c>
      <c r="G494" s="2461" t="s">
        <v>1409</v>
      </c>
      <c r="H494" s="2461" t="s">
        <v>1070</v>
      </c>
      <c r="I494" s="2462">
        <v>9.7264943881158542E-2</v>
      </c>
      <c r="J494" s="2462">
        <v>142.86101690282146</v>
      </c>
    </row>
    <row r="495" spans="1:10" outlineLevel="2">
      <c r="A495" s="2459" t="s">
        <v>1669</v>
      </c>
      <c r="B495" s="2459" t="s">
        <v>1640</v>
      </c>
      <c r="C495" s="2459" t="s">
        <v>1672</v>
      </c>
      <c r="D495" s="2460" t="s">
        <v>1671</v>
      </c>
      <c r="E495" s="2461" t="s">
        <v>213</v>
      </c>
      <c r="F495" s="2461" t="s">
        <v>1482</v>
      </c>
      <c r="G495" s="2461" t="s">
        <v>1409</v>
      </c>
      <c r="H495" s="2461" t="s">
        <v>1070</v>
      </c>
      <c r="I495" s="2462">
        <v>3.8207232047974445E-2</v>
      </c>
      <c r="J495" s="2462">
        <v>46.810454640611482</v>
      </c>
    </row>
    <row r="496" spans="1:10" outlineLevel="2">
      <c r="A496" s="2459" t="s">
        <v>1669</v>
      </c>
      <c r="B496" s="2459" t="s">
        <v>1640</v>
      </c>
      <c r="C496" s="2459" t="s">
        <v>1672</v>
      </c>
      <c r="D496" s="2460" t="s">
        <v>1671</v>
      </c>
      <c r="E496" s="2461" t="s">
        <v>213</v>
      </c>
      <c r="F496" s="2461" t="s">
        <v>1483</v>
      </c>
      <c r="G496" s="2461" t="s">
        <v>1409</v>
      </c>
      <c r="H496" s="2461" t="s">
        <v>1070</v>
      </c>
      <c r="I496" s="2462">
        <v>3.1793008776742959E-2</v>
      </c>
      <c r="J496" s="2462">
        <v>34.204494633195637</v>
      </c>
    </row>
    <row r="497" spans="1:10" outlineLevel="2">
      <c r="A497" s="2459" t="s">
        <v>1669</v>
      </c>
      <c r="B497" s="2459" t="s">
        <v>1640</v>
      </c>
      <c r="C497" s="2459" t="s">
        <v>1672</v>
      </c>
      <c r="D497" s="2460" t="s">
        <v>1671</v>
      </c>
      <c r="E497" s="2461" t="s">
        <v>213</v>
      </c>
      <c r="F497" s="2461" t="s">
        <v>1484</v>
      </c>
      <c r="G497" s="2461" t="s">
        <v>1412</v>
      </c>
      <c r="H497" s="2461" t="s">
        <v>1116</v>
      </c>
      <c r="I497" s="2462">
        <v>0.27215921910473512</v>
      </c>
      <c r="J497" s="2462">
        <v>544.96640981489929</v>
      </c>
    </row>
    <row r="498" spans="1:10" outlineLevel="2">
      <c r="A498" s="2459" t="s">
        <v>1669</v>
      </c>
      <c r="B498" s="2459" t="s">
        <v>1640</v>
      </c>
      <c r="C498" s="2459" t="s">
        <v>1672</v>
      </c>
      <c r="D498" s="2460" t="s">
        <v>1671</v>
      </c>
      <c r="E498" s="2461" t="s">
        <v>213</v>
      </c>
      <c r="F498" s="2461" t="s">
        <v>1485</v>
      </c>
      <c r="G498" s="2461" t="s">
        <v>1412</v>
      </c>
      <c r="H498" s="2461" t="s">
        <v>1116</v>
      </c>
      <c r="I498" s="2462">
        <v>0.19555494200371773</v>
      </c>
      <c r="J498" s="2462">
        <v>2062.4249864555759</v>
      </c>
    </row>
    <row r="499" spans="1:10" outlineLevel="2">
      <c r="A499" s="2459" t="s">
        <v>1669</v>
      </c>
      <c r="B499" s="2459" t="s">
        <v>1640</v>
      </c>
      <c r="C499" s="2459" t="s">
        <v>1672</v>
      </c>
      <c r="D499" s="2460" t="s">
        <v>1671</v>
      </c>
      <c r="E499" s="2461" t="s">
        <v>213</v>
      </c>
      <c r="F499" s="2461" t="s">
        <v>1486</v>
      </c>
      <c r="G499" s="2461" t="s">
        <v>1412</v>
      </c>
      <c r="H499" s="2461" t="s">
        <v>1116</v>
      </c>
      <c r="I499" s="2462">
        <v>0.1622765611952699</v>
      </c>
      <c r="J499" s="2462">
        <v>443.17784545400195</v>
      </c>
    </row>
    <row r="500" spans="1:10" outlineLevel="2">
      <c r="A500" s="2459" t="s">
        <v>1669</v>
      </c>
      <c r="B500" s="2459" t="s">
        <v>1640</v>
      </c>
      <c r="C500" s="2459" t="s">
        <v>1672</v>
      </c>
      <c r="D500" s="2460" t="s">
        <v>1671</v>
      </c>
      <c r="E500" s="2461" t="s">
        <v>213</v>
      </c>
      <c r="F500" s="2461" t="s">
        <v>1487</v>
      </c>
      <c r="G500" s="2461" t="s">
        <v>1412</v>
      </c>
      <c r="H500" s="2461" t="s">
        <v>1116</v>
      </c>
      <c r="I500" s="2462">
        <v>0.62421027125637074</v>
      </c>
      <c r="J500" s="2462">
        <v>832.40995520542435</v>
      </c>
    </row>
    <row r="501" spans="1:10" outlineLevel="2">
      <c r="A501" s="2459" t="s">
        <v>1669</v>
      </c>
      <c r="B501" s="2459" t="s">
        <v>1640</v>
      </c>
      <c r="C501" s="2459" t="s">
        <v>1672</v>
      </c>
      <c r="D501" s="2460" t="s">
        <v>1671</v>
      </c>
      <c r="E501" s="2461" t="s">
        <v>213</v>
      </c>
      <c r="F501" s="2461" t="s">
        <v>1488</v>
      </c>
      <c r="G501" s="2461" t="s">
        <v>1412</v>
      </c>
      <c r="H501" s="2461" t="s">
        <v>1116</v>
      </c>
      <c r="I501" s="2462">
        <v>1.7608639312578452E-2</v>
      </c>
      <c r="J501" s="2462">
        <v>38.194518337637149</v>
      </c>
    </row>
    <row r="502" spans="1:10" outlineLevel="2">
      <c r="A502" s="2459" t="s">
        <v>1669</v>
      </c>
      <c r="B502" s="2459" t="s">
        <v>1640</v>
      </c>
      <c r="C502" s="2459" t="s">
        <v>1672</v>
      </c>
      <c r="D502" s="2460" t="s">
        <v>1671</v>
      </c>
      <c r="E502" s="2461" t="s">
        <v>213</v>
      </c>
      <c r="F502" s="2461" t="s">
        <v>1489</v>
      </c>
      <c r="G502" s="2461" t="s">
        <v>1412</v>
      </c>
      <c r="H502" s="2461" t="s">
        <v>1116</v>
      </c>
      <c r="I502" s="2462">
        <v>1.6986166536658381E-2</v>
      </c>
      <c r="J502" s="2462">
        <v>25.191142555072965</v>
      </c>
    </row>
    <row r="503" spans="1:10" outlineLevel="2">
      <c r="A503" s="2459" t="s">
        <v>1669</v>
      </c>
      <c r="B503" s="2459" t="s">
        <v>1640</v>
      </c>
      <c r="C503" s="2459" t="s">
        <v>1672</v>
      </c>
      <c r="D503" s="2460" t="s">
        <v>1671</v>
      </c>
      <c r="E503" s="2461" t="s">
        <v>213</v>
      </c>
      <c r="F503" s="2461" t="s">
        <v>1490</v>
      </c>
      <c r="G503" s="2461" t="s">
        <v>1412</v>
      </c>
      <c r="H503" s="2461" t="s">
        <v>1116</v>
      </c>
      <c r="I503" s="2462">
        <v>1.2821453231754102E-2</v>
      </c>
      <c r="J503" s="2462">
        <v>182.14413370155867</v>
      </c>
    </row>
    <row r="504" spans="1:10" outlineLevel="2">
      <c r="A504" s="2459" t="s">
        <v>1669</v>
      </c>
      <c r="B504" s="2459" t="s">
        <v>1640</v>
      </c>
      <c r="C504" s="2459" t="s">
        <v>1672</v>
      </c>
      <c r="D504" s="2460" t="s">
        <v>1671</v>
      </c>
      <c r="E504" s="2461" t="s">
        <v>213</v>
      </c>
      <c r="F504" s="2461" t="s">
        <v>1491</v>
      </c>
      <c r="G504" s="2461" t="s">
        <v>1439</v>
      </c>
      <c r="H504" s="2461" t="s">
        <v>1440</v>
      </c>
      <c r="I504" s="2462">
        <v>4.3742866559060909</v>
      </c>
      <c r="J504" s="2462">
        <v>4673.4771981606127</v>
      </c>
    </row>
    <row r="505" spans="1:10" outlineLevel="2">
      <c r="A505" s="2459" t="s">
        <v>1669</v>
      </c>
      <c r="B505" s="2459" t="s">
        <v>1640</v>
      </c>
      <c r="C505" s="2459" t="s">
        <v>1672</v>
      </c>
      <c r="D505" s="2460" t="s">
        <v>1671</v>
      </c>
      <c r="E505" s="2461" t="s">
        <v>213</v>
      </c>
      <c r="F505" s="2461" t="s">
        <v>1492</v>
      </c>
      <c r="G505" s="2461" t="s">
        <v>1439</v>
      </c>
      <c r="H505" s="2461" t="s">
        <v>1440</v>
      </c>
      <c r="I505" s="2462">
        <v>3.588068221233355</v>
      </c>
      <c r="J505" s="2462">
        <v>4863.3402254220246</v>
      </c>
    </row>
    <row r="506" spans="1:10" outlineLevel="2">
      <c r="A506" s="2459" t="s">
        <v>1669</v>
      </c>
      <c r="B506" s="2459" t="s">
        <v>1640</v>
      </c>
      <c r="C506" s="2459" t="s">
        <v>1672</v>
      </c>
      <c r="D506" s="2460" t="s">
        <v>1671</v>
      </c>
      <c r="E506" s="2461" t="s">
        <v>213</v>
      </c>
      <c r="F506" s="2461" t="s">
        <v>1493</v>
      </c>
      <c r="G506" s="2461" t="s">
        <v>1439</v>
      </c>
      <c r="H506" s="2461" t="s">
        <v>1440</v>
      </c>
      <c r="I506" s="2462">
        <v>0.37655901252071666</v>
      </c>
      <c r="J506" s="2462">
        <v>402.16092399328988</v>
      </c>
    </row>
    <row r="507" spans="1:10" outlineLevel="2">
      <c r="A507" s="2459" t="s">
        <v>1669</v>
      </c>
      <c r="B507" s="2459" t="s">
        <v>1640</v>
      </c>
      <c r="C507" s="2459" t="s">
        <v>1672</v>
      </c>
      <c r="D507" s="2460" t="s">
        <v>1671</v>
      </c>
      <c r="E507" s="2461" t="s">
        <v>213</v>
      </c>
      <c r="F507" s="2461" t="s">
        <v>1494</v>
      </c>
      <c r="G507" s="2461" t="s">
        <v>1439</v>
      </c>
      <c r="H507" s="2461" t="s">
        <v>1440</v>
      </c>
      <c r="I507" s="2462">
        <v>2.2865727824917501</v>
      </c>
      <c r="J507" s="2462">
        <v>2884.7556382926191</v>
      </c>
    </row>
    <row r="508" spans="1:10" outlineLevel="2">
      <c r="A508" s="2459" t="s">
        <v>1669</v>
      </c>
      <c r="B508" s="2459" t="s">
        <v>1640</v>
      </c>
      <c r="C508" s="2459" t="s">
        <v>1672</v>
      </c>
      <c r="D508" s="2460" t="s">
        <v>1671</v>
      </c>
      <c r="E508" s="2461" t="s">
        <v>213</v>
      </c>
      <c r="F508" s="2461" t="s">
        <v>1495</v>
      </c>
      <c r="G508" s="2461" t="s">
        <v>1439</v>
      </c>
      <c r="H508" s="2461" t="s">
        <v>1440</v>
      </c>
      <c r="I508" s="2462">
        <v>2.0513276960251677E-2</v>
      </c>
      <c r="J508" s="2462">
        <v>25.978549057373641</v>
      </c>
    </row>
    <row r="509" spans="1:10" outlineLevel="2">
      <c r="A509" s="2459" t="s">
        <v>1669</v>
      </c>
      <c r="B509" s="2459" t="s">
        <v>1640</v>
      </c>
      <c r="C509" s="2459" t="s">
        <v>1672</v>
      </c>
      <c r="D509" s="2460" t="s">
        <v>1671</v>
      </c>
      <c r="E509" s="2461" t="s">
        <v>213</v>
      </c>
      <c r="F509" s="2461" t="s">
        <v>1496</v>
      </c>
      <c r="G509" s="2461" t="s">
        <v>1439</v>
      </c>
      <c r="H509" s="2461" t="s">
        <v>1440</v>
      </c>
      <c r="I509" s="2462">
        <v>7.9659728647512376E-2</v>
      </c>
      <c r="J509" s="2462">
        <v>112.6471458588135</v>
      </c>
    </row>
    <row r="510" spans="1:10" outlineLevel="2">
      <c r="A510" s="2459" t="s">
        <v>1669</v>
      </c>
      <c r="B510" s="2459" t="s">
        <v>1640</v>
      </c>
      <c r="C510" s="2459" t="s">
        <v>1672</v>
      </c>
      <c r="D510" s="2460" t="s">
        <v>1671</v>
      </c>
      <c r="E510" s="2461" t="s">
        <v>213</v>
      </c>
      <c r="F510" s="2461" t="s">
        <v>1497</v>
      </c>
      <c r="G510" s="2461" t="s">
        <v>1439</v>
      </c>
      <c r="H510" s="2461" t="s">
        <v>1440</v>
      </c>
      <c r="I510" s="2462">
        <v>3.9068127382457303E-2</v>
      </c>
      <c r="J510" s="2462">
        <v>49.561217997331084</v>
      </c>
    </row>
    <row r="511" spans="1:10" outlineLevel="2">
      <c r="A511" s="2459" t="s">
        <v>1669</v>
      </c>
      <c r="B511" s="2459" t="s">
        <v>1640</v>
      </c>
      <c r="C511" s="2459" t="s">
        <v>1672</v>
      </c>
      <c r="D511" s="2460" t="s">
        <v>1671</v>
      </c>
      <c r="E511" s="2461" t="s">
        <v>213</v>
      </c>
      <c r="F511" s="2461" t="s">
        <v>1498</v>
      </c>
      <c r="G511" s="2461" t="s">
        <v>1439</v>
      </c>
      <c r="H511" s="2461" t="s">
        <v>1440</v>
      </c>
      <c r="I511" s="2462">
        <v>2.7224206531140407</v>
      </c>
      <c r="J511" s="2462">
        <v>4622.4325752023715</v>
      </c>
    </row>
    <row r="512" spans="1:10" outlineLevel="2">
      <c r="A512" s="2459" t="s">
        <v>1669</v>
      </c>
      <c r="B512" s="2459" t="s">
        <v>1640</v>
      </c>
      <c r="C512" s="2459" t="s">
        <v>1672</v>
      </c>
      <c r="D512" s="2460" t="s">
        <v>1671</v>
      </c>
      <c r="E512" s="2461" t="s">
        <v>213</v>
      </c>
      <c r="F512" s="2461" t="s">
        <v>1499</v>
      </c>
      <c r="G512" s="2461" t="s">
        <v>1439</v>
      </c>
      <c r="H512" s="2461" t="s">
        <v>1440</v>
      </c>
      <c r="I512" s="2462">
        <v>0.99481401613603759</v>
      </c>
      <c r="J512" s="2462">
        <v>528.92010817897994</v>
      </c>
    </row>
    <row r="513" spans="1:10" outlineLevel="2">
      <c r="A513" s="2459" t="s">
        <v>1669</v>
      </c>
      <c r="B513" s="2459" t="s">
        <v>1640</v>
      </c>
      <c r="C513" s="2459" t="s">
        <v>1672</v>
      </c>
      <c r="D513" s="2460" t="s">
        <v>1671</v>
      </c>
      <c r="E513" s="2461" t="s">
        <v>213</v>
      </c>
      <c r="F513" s="2461" t="s">
        <v>1500</v>
      </c>
      <c r="G513" s="2461" t="s">
        <v>1439</v>
      </c>
      <c r="H513" s="2461" t="s">
        <v>1440</v>
      </c>
      <c r="I513" s="2462">
        <v>3.4399569357219231</v>
      </c>
      <c r="J513" s="2462">
        <v>1828.7348535405681</v>
      </c>
    </row>
    <row r="514" spans="1:10" outlineLevel="2">
      <c r="A514" s="2459" t="s">
        <v>1669</v>
      </c>
      <c r="B514" s="2459" t="s">
        <v>1640</v>
      </c>
      <c r="C514" s="2459" t="s">
        <v>1672</v>
      </c>
      <c r="D514" s="2460" t="s">
        <v>1671</v>
      </c>
      <c r="E514" s="2461" t="s">
        <v>213</v>
      </c>
      <c r="F514" s="2461" t="s">
        <v>1501</v>
      </c>
      <c r="G514" s="2461" t="s">
        <v>1439</v>
      </c>
      <c r="H514" s="2461" t="s">
        <v>1440</v>
      </c>
      <c r="I514" s="2462">
        <v>0.6517736066745502</v>
      </c>
      <c r="J514" s="2462">
        <v>949.19792202076269</v>
      </c>
    </row>
    <row r="515" spans="1:10" outlineLevel="2">
      <c r="A515" s="2459" t="s">
        <v>1669</v>
      </c>
      <c r="B515" s="2459" t="s">
        <v>1640</v>
      </c>
      <c r="C515" s="2459" t="s">
        <v>1672</v>
      </c>
      <c r="D515" s="2460" t="s">
        <v>1671</v>
      </c>
      <c r="E515" s="2461" t="s">
        <v>213</v>
      </c>
      <c r="F515" s="2461" t="s">
        <v>1502</v>
      </c>
      <c r="G515" s="2461" t="s">
        <v>1439</v>
      </c>
      <c r="H515" s="2461" t="s">
        <v>1440</v>
      </c>
      <c r="I515" s="2462">
        <v>0.40975789142845431</v>
      </c>
      <c r="J515" s="2462">
        <v>617.88520299434788</v>
      </c>
    </row>
    <row r="516" spans="1:10" outlineLevel="2">
      <c r="A516" s="2459" t="s">
        <v>1669</v>
      </c>
      <c r="B516" s="2459" t="s">
        <v>1640</v>
      </c>
      <c r="C516" s="2459" t="s">
        <v>1672</v>
      </c>
      <c r="D516" s="2460" t="s">
        <v>1671</v>
      </c>
      <c r="E516" s="2461" t="s">
        <v>213</v>
      </c>
      <c r="F516" s="2461" t="s">
        <v>1503</v>
      </c>
      <c r="G516" s="2461" t="s">
        <v>1439</v>
      </c>
      <c r="H516" s="2461" t="s">
        <v>1440</v>
      </c>
      <c r="I516" s="2462">
        <v>0.5406107568983114</v>
      </c>
      <c r="J516" s="2462">
        <v>699.38518990374723</v>
      </c>
    </row>
    <row r="517" spans="1:10" outlineLevel="2">
      <c r="A517" s="2459" t="s">
        <v>1669</v>
      </c>
      <c r="B517" s="2459" t="s">
        <v>1640</v>
      </c>
      <c r="C517" s="2459" t="s">
        <v>1672</v>
      </c>
      <c r="D517" s="2460" t="s">
        <v>1671</v>
      </c>
      <c r="E517" s="2461" t="s">
        <v>213</v>
      </c>
      <c r="F517" s="2461" t="s">
        <v>1504</v>
      </c>
      <c r="G517" s="2461" t="s">
        <v>1439</v>
      </c>
      <c r="H517" s="2461" t="s">
        <v>1440</v>
      </c>
      <c r="I517" s="2462">
        <v>0.27585504178473941</v>
      </c>
      <c r="J517" s="2462">
        <v>332.06396177096997</v>
      </c>
    </row>
    <row r="518" spans="1:10" outlineLevel="2">
      <c r="A518" s="2459" t="s">
        <v>1669</v>
      </c>
      <c r="B518" s="2459" t="s">
        <v>1640</v>
      </c>
      <c r="C518" s="2459" t="s">
        <v>1672</v>
      </c>
      <c r="D518" s="2460" t="s">
        <v>1671</v>
      </c>
      <c r="E518" s="2461" t="s">
        <v>213</v>
      </c>
      <c r="F518" s="2461" t="s">
        <v>1505</v>
      </c>
      <c r="G518" s="2461" t="s">
        <v>1439</v>
      </c>
      <c r="H518" s="2461" t="s">
        <v>1440</v>
      </c>
      <c r="I518" s="2462">
        <v>8.716649024680704</v>
      </c>
      <c r="J518" s="2462">
        <v>12723.227119204415</v>
      </c>
    </row>
    <row r="519" spans="1:10" outlineLevel="2">
      <c r="A519" s="2459" t="s">
        <v>1669</v>
      </c>
      <c r="B519" s="2459" t="s">
        <v>1640</v>
      </c>
      <c r="C519" s="2459" t="s">
        <v>1672</v>
      </c>
      <c r="D519" s="2460" t="s">
        <v>1671</v>
      </c>
      <c r="E519" s="2461" t="s">
        <v>213</v>
      </c>
      <c r="F519" s="2461" t="s">
        <v>1506</v>
      </c>
      <c r="G519" s="2461" t="s">
        <v>1439</v>
      </c>
      <c r="H519" s="2461" t="s">
        <v>1440</v>
      </c>
      <c r="I519" s="2462">
        <v>5.5673766334422696</v>
      </c>
      <c r="J519" s="2462">
        <v>8397.0870713131826</v>
      </c>
    </row>
    <row r="520" spans="1:10" outlineLevel="2">
      <c r="A520" s="2459" t="s">
        <v>1669</v>
      </c>
      <c r="B520" s="2459" t="s">
        <v>1640</v>
      </c>
      <c r="C520" s="2459" t="s">
        <v>1672</v>
      </c>
      <c r="D520" s="2460" t="s">
        <v>1671</v>
      </c>
      <c r="E520" s="2461" t="s">
        <v>213</v>
      </c>
      <c r="F520" s="2461" t="s">
        <v>1507</v>
      </c>
      <c r="G520" s="2461" t="s">
        <v>1439</v>
      </c>
      <c r="H520" s="2461" t="s">
        <v>1440</v>
      </c>
      <c r="I520" s="2462">
        <v>0.62297837617842067</v>
      </c>
      <c r="J520" s="2462">
        <v>1402.0940205094585</v>
      </c>
    </row>
    <row r="521" spans="1:10" outlineLevel="2">
      <c r="A521" s="2459" t="s">
        <v>1669</v>
      </c>
      <c r="B521" s="2459" t="s">
        <v>1640</v>
      </c>
      <c r="C521" s="2459" t="s">
        <v>1672</v>
      </c>
      <c r="D521" s="2460" t="s">
        <v>1671</v>
      </c>
      <c r="E521" s="2461" t="s">
        <v>213</v>
      </c>
      <c r="F521" s="2461" t="s">
        <v>1508</v>
      </c>
      <c r="G521" s="2461" t="s">
        <v>1439</v>
      </c>
      <c r="H521" s="2461" t="s">
        <v>1440</v>
      </c>
      <c r="I521" s="2462">
        <v>17.147794502257653</v>
      </c>
      <c r="J521" s="2462">
        <v>27106.33534991659</v>
      </c>
    </row>
    <row r="522" spans="1:10" outlineLevel="2">
      <c r="A522" s="2459" t="s">
        <v>1669</v>
      </c>
      <c r="B522" s="2459" t="s">
        <v>1640</v>
      </c>
      <c r="C522" s="2459" t="s">
        <v>1672</v>
      </c>
      <c r="D522" s="2460" t="s">
        <v>1671</v>
      </c>
      <c r="E522" s="2461" t="s">
        <v>213</v>
      </c>
      <c r="F522" s="2461" t="s">
        <v>1509</v>
      </c>
      <c r="G522" s="2461" t="s">
        <v>1439</v>
      </c>
      <c r="H522" s="2461" t="s">
        <v>1440</v>
      </c>
      <c r="I522" s="2462">
        <v>0.39683178093680377</v>
      </c>
      <c r="J522" s="2462">
        <v>452.26519959568543</v>
      </c>
    </row>
    <row r="523" spans="1:10" outlineLevel="2">
      <c r="A523" s="2459" t="s">
        <v>1669</v>
      </c>
      <c r="B523" s="2459" t="s">
        <v>1640</v>
      </c>
      <c r="C523" s="2459" t="s">
        <v>1672</v>
      </c>
      <c r="D523" s="2460" t="s">
        <v>1671</v>
      </c>
      <c r="E523" s="2461" t="s">
        <v>213</v>
      </c>
      <c r="F523" s="2461" t="s">
        <v>1510</v>
      </c>
      <c r="G523" s="2461" t="s">
        <v>1439</v>
      </c>
      <c r="H523" s="2461" t="s">
        <v>1440</v>
      </c>
      <c r="I523" s="2462">
        <v>0.71959265027809527</v>
      </c>
      <c r="J523" s="2462">
        <v>832.93217292247232</v>
      </c>
    </row>
    <row r="524" spans="1:10" outlineLevel="2">
      <c r="A524" s="2459" t="s">
        <v>1669</v>
      </c>
      <c r="B524" s="2459" t="s">
        <v>1640</v>
      </c>
      <c r="C524" s="2459" t="s">
        <v>1672</v>
      </c>
      <c r="D524" s="2460" t="s">
        <v>1671</v>
      </c>
      <c r="E524" s="2461" t="s">
        <v>213</v>
      </c>
      <c r="F524" s="2461" t="s">
        <v>1511</v>
      </c>
      <c r="G524" s="2461" t="s">
        <v>1418</v>
      </c>
      <c r="H524" s="2461" t="s">
        <v>1452</v>
      </c>
      <c r="I524" s="2462">
        <v>4.5412828629321422E-4</v>
      </c>
      <c r="J524" s="2462">
        <v>0.66897206473559612</v>
      </c>
    </row>
    <row r="525" spans="1:10" outlineLevel="2">
      <c r="A525" s="2459" t="s">
        <v>1669</v>
      </c>
      <c r="B525" s="2459" t="s">
        <v>1640</v>
      </c>
      <c r="C525" s="2459" t="s">
        <v>1672</v>
      </c>
      <c r="D525" s="2460" t="s">
        <v>1671</v>
      </c>
      <c r="E525" s="2461" t="s">
        <v>213</v>
      </c>
      <c r="F525" s="2461" t="s">
        <v>1512</v>
      </c>
      <c r="G525" s="2461" t="s">
        <v>1418</v>
      </c>
      <c r="H525" s="2461" t="s">
        <v>1452</v>
      </c>
      <c r="I525" s="2462">
        <v>5.9426815580053275E-4</v>
      </c>
      <c r="J525" s="2462">
        <v>2.588681274288223</v>
      </c>
    </row>
    <row r="526" spans="1:10" outlineLevel="2">
      <c r="A526" s="2459" t="s">
        <v>1669</v>
      </c>
      <c r="B526" s="2459" t="s">
        <v>1640</v>
      </c>
      <c r="C526" s="2459" t="s">
        <v>1672</v>
      </c>
      <c r="D526" s="2460" t="s">
        <v>1671</v>
      </c>
      <c r="E526" s="2461" t="s">
        <v>213</v>
      </c>
      <c r="F526" s="2461" t="s">
        <v>1513</v>
      </c>
      <c r="G526" s="2461" t="s">
        <v>1418</v>
      </c>
      <c r="H526" s="2461" t="s">
        <v>1452</v>
      </c>
      <c r="I526" s="2462">
        <v>2.2156891478544474E-5</v>
      </c>
      <c r="J526" s="2462">
        <v>2.0765719397582181E-2</v>
      </c>
    </row>
    <row r="527" spans="1:10" outlineLevel="2">
      <c r="A527" s="2459" t="s">
        <v>1669</v>
      </c>
      <c r="B527" s="2459" t="s">
        <v>1640</v>
      </c>
      <c r="C527" s="2459" t="s">
        <v>1672</v>
      </c>
      <c r="D527" s="2460" t="s">
        <v>1671</v>
      </c>
      <c r="E527" s="2461" t="s">
        <v>213</v>
      </c>
      <c r="F527" s="2461" t="s">
        <v>1514</v>
      </c>
      <c r="G527" s="2461" t="s">
        <v>1418</v>
      </c>
      <c r="H527" s="2461" t="s">
        <v>1452</v>
      </c>
      <c r="I527" s="2462">
        <v>1.9874374966944875E-3</v>
      </c>
      <c r="J527" s="2462">
        <v>1.8589410820891641</v>
      </c>
    </row>
    <row r="528" spans="1:10" outlineLevel="2">
      <c r="A528" s="2459" t="s">
        <v>1669</v>
      </c>
      <c r="B528" s="2459" t="s">
        <v>1640</v>
      </c>
      <c r="C528" s="2459" t="s">
        <v>1672</v>
      </c>
      <c r="D528" s="2460" t="s">
        <v>1671</v>
      </c>
      <c r="E528" s="2461" t="s">
        <v>213</v>
      </c>
      <c r="F528" s="2461" t="s">
        <v>1515</v>
      </c>
      <c r="G528" s="2461" t="s">
        <v>1418</v>
      </c>
      <c r="H528" s="2461" t="s">
        <v>1452</v>
      </c>
      <c r="I528" s="2462">
        <v>3.8207567283635982E-4</v>
      </c>
      <c r="J528" s="2462">
        <v>0.54999674799075993</v>
      </c>
    </row>
    <row r="529" spans="1:10" outlineLevel="2">
      <c r="A529" s="2459" t="s">
        <v>1669</v>
      </c>
      <c r="B529" s="2459" t="s">
        <v>1640</v>
      </c>
      <c r="C529" s="2459" t="s">
        <v>1672</v>
      </c>
      <c r="D529" s="2460" t="s">
        <v>1671</v>
      </c>
      <c r="E529" s="2461" t="s">
        <v>213</v>
      </c>
      <c r="F529" s="2461" t="s">
        <v>1516</v>
      </c>
      <c r="G529" s="2461" t="s">
        <v>1418</v>
      </c>
      <c r="H529" s="2461" t="s">
        <v>1452</v>
      </c>
      <c r="I529" s="2462">
        <v>5.4594404727256627E-3</v>
      </c>
      <c r="J529" s="2462">
        <v>6.0939334468447566</v>
      </c>
    </row>
    <row r="530" spans="1:10" outlineLevel="2">
      <c r="A530" s="2459" t="s">
        <v>1669</v>
      </c>
      <c r="B530" s="2459" t="s">
        <v>1640</v>
      </c>
      <c r="C530" s="2459" t="s">
        <v>1672</v>
      </c>
      <c r="D530" s="2460" t="s">
        <v>1671</v>
      </c>
      <c r="E530" s="2461" t="s">
        <v>213</v>
      </c>
      <c r="F530" s="2461" t="s">
        <v>1517</v>
      </c>
      <c r="G530" s="2461" t="s">
        <v>1418</v>
      </c>
      <c r="H530" s="2461" t="s">
        <v>1452</v>
      </c>
      <c r="I530" s="2462">
        <v>2.794714842213309E-2</v>
      </c>
      <c r="J530" s="2462">
        <v>13.661971098152694</v>
      </c>
    </row>
    <row r="531" spans="1:10" outlineLevel="2">
      <c r="A531" s="2459" t="s">
        <v>1669</v>
      </c>
      <c r="B531" s="2459" t="s">
        <v>1640</v>
      </c>
      <c r="C531" s="2459" t="s">
        <v>1672</v>
      </c>
      <c r="D531" s="2460" t="s">
        <v>1671</v>
      </c>
      <c r="E531" s="2461" t="s">
        <v>213</v>
      </c>
      <c r="F531" s="2461" t="s">
        <v>1518</v>
      </c>
      <c r="G531" s="2461" t="s">
        <v>1418</v>
      </c>
      <c r="H531" s="2461" t="s">
        <v>1452</v>
      </c>
      <c r="I531" s="2462">
        <v>3.147489974026104E-3</v>
      </c>
      <c r="J531" s="2462">
        <v>2.9439909202507057</v>
      </c>
    </row>
    <row r="532" spans="1:10" outlineLevel="2">
      <c r="A532" s="2459" t="s">
        <v>1669</v>
      </c>
      <c r="B532" s="2459" t="s">
        <v>1640</v>
      </c>
      <c r="C532" s="2459" t="s">
        <v>1672</v>
      </c>
      <c r="D532" s="2460" t="s">
        <v>1671</v>
      </c>
      <c r="E532" s="2461" t="s">
        <v>213</v>
      </c>
      <c r="F532" s="2461" t="s">
        <v>1519</v>
      </c>
      <c r="G532" s="2461" t="s">
        <v>1418</v>
      </c>
      <c r="H532" s="2461" t="s">
        <v>1452</v>
      </c>
      <c r="I532" s="2462">
        <v>4.1323172209990593E-3</v>
      </c>
      <c r="J532" s="2462">
        <v>4.2011818190915262</v>
      </c>
    </row>
    <row r="533" spans="1:10" outlineLevel="2">
      <c r="A533" s="2459" t="s">
        <v>1669</v>
      </c>
      <c r="B533" s="2459" t="s">
        <v>1640</v>
      </c>
      <c r="C533" s="2459" t="s">
        <v>1672</v>
      </c>
      <c r="D533" s="2460" t="s">
        <v>1671</v>
      </c>
      <c r="E533" s="2461" t="s">
        <v>213</v>
      </c>
      <c r="F533" s="2461" t="s">
        <v>1520</v>
      </c>
      <c r="G533" s="2461" t="s">
        <v>1418</v>
      </c>
      <c r="H533" s="2461" t="s">
        <v>1452</v>
      </c>
      <c r="I533" s="2462">
        <v>4.9518865860031624E-4</v>
      </c>
      <c r="J533" s="2462">
        <v>4.4898287553904517</v>
      </c>
    </row>
    <row r="534" spans="1:10" outlineLevel="2">
      <c r="A534" s="2459" t="s">
        <v>1669</v>
      </c>
      <c r="B534" s="2459" t="s">
        <v>1640</v>
      </c>
      <c r="C534" s="2459" t="s">
        <v>1672</v>
      </c>
      <c r="D534" s="2460" t="s">
        <v>1671</v>
      </c>
      <c r="E534" s="2461" t="s">
        <v>213</v>
      </c>
      <c r="F534" s="2461" t="s">
        <v>1521</v>
      </c>
      <c r="G534" s="2461" t="s">
        <v>1421</v>
      </c>
      <c r="H534" s="2461" t="s">
        <v>1454</v>
      </c>
      <c r="I534" s="2462">
        <v>6.5481277434603689</v>
      </c>
      <c r="J534" s="2462">
        <v>9066.5682687832159</v>
      </c>
    </row>
    <row r="535" spans="1:10" outlineLevel="2">
      <c r="A535" s="2459" t="s">
        <v>1669</v>
      </c>
      <c r="B535" s="2459" t="s">
        <v>1640</v>
      </c>
      <c r="C535" s="2459" t="s">
        <v>1672</v>
      </c>
      <c r="D535" s="2460" t="s">
        <v>1671</v>
      </c>
      <c r="E535" s="2461" t="s">
        <v>213</v>
      </c>
      <c r="F535" s="2461" t="s">
        <v>1522</v>
      </c>
      <c r="G535" s="2461" t="s">
        <v>1421</v>
      </c>
      <c r="H535" s="2461" t="s">
        <v>1454</v>
      </c>
      <c r="I535" s="2462">
        <v>1.5380424277597333</v>
      </c>
      <c r="J535" s="2462">
        <v>2268.3742300854665</v>
      </c>
    </row>
    <row r="536" spans="1:10" outlineLevel="2">
      <c r="A536" s="2459" t="s">
        <v>1669</v>
      </c>
      <c r="B536" s="2459" t="s">
        <v>1640</v>
      </c>
      <c r="C536" s="2459" t="s">
        <v>1672</v>
      </c>
      <c r="D536" s="2460" t="s">
        <v>1671</v>
      </c>
      <c r="E536" s="2461" t="s">
        <v>213</v>
      </c>
      <c r="F536" s="2461" t="s">
        <v>1523</v>
      </c>
      <c r="G536" s="2461" t="s">
        <v>1421</v>
      </c>
      <c r="H536" s="2461" t="s">
        <v>1454</v>
      </c>
      <c r="I536" s="2462">
        <v>0.70953721723067298</v>
      </c>
      <c r="J536" s="2462">
        <v>1199.4417067560482</v>
      </c>
    </row>
    <row r="537" spans="1:10" outlineLevel="2">
      <c r="A537" s="2459" t="s">
        <v>1669</v>
      </c>
      <c r="B537" s="2459" t="s">
        <v>1640</v>
      </c>
      <c r="C537" s="2459" t="s">
        <v>1672</v>
      </c>
      <c r="D537" s="2460" t="s">
        <v>1671</v>
      </c>
      <c r="E537" s="2461" t="s">
        <v>213</v>
      </c>
      <c r="F537" s="2461" t="s">
        <v>1524</v>
      </c>
      <c r="G537" s="2461" t="s">
        <v>1421</v>
      </c>
      <c r="H537" s="2461" t="s">
        <v>1454</v>
      </c>
      <c r="I537" s="2462">
        <v>1.634939066034065</v>
      </c>
      <c r="J537" s="2462">
        <v>2578.4747316746202</v>
      </c>
    </row>
    <row r="538" spans="1:10" outlineLevel="2">
      <c r="A538" s="2459" t="s">
        <v>1669</v>
      </c>
      <c r="B538" s="2459" t="s">
        <v>1640</v>
      </c>
      <c r="C538" s="2459" t="s">
        <v>1672</v>
      </c>
      <c r="D538" s="2460" t="s">
        <v>1671</v>
      </c>
      <c r="E538" s="2461" t="s">
        <v>213</v>
      </c>
      <c r="F538" s="2461" t="s">
        <v>1525</v>
      </c>
      <c r="G538" s="2461" t="s">
        <v>1421</v>
      </c>
      <c r="H538" s="2461" t="s">
        <v>1454</v>
      </c>
      <c r="I538" s="2462">
        <v>2.8802007734020725</v>
      </c>
      <c r="J538" s="2462">
        <v>4073.9220190768328</v>
      </c>
    </row>
    <row r="539" spans="1:10" outlineLevel="2">
      <c r="A539" s="2459" t="s">
        <v>1669</v>
      </c>
      <c r="B539" s="2459" t="s">
        <v>1640</v>
      </c>
      <c r="C539" s="2459" t="s">
        <v>1672</v>
      </c>
      <c r="D539" s="2460" t="s">
        <v>1671</v>
      </c>
      <c r="E539" s="2461" t="s">
        <v>213</v>
      </c>
      <c r="F539" s="2461" t="s">
        <v>1526</v>
      </c>
      <c r="G539" s="2461" t="s">
        <v>1421</v>
      </c>
      <c r="H539" s="2461" t="s">
        <v>1454</v>
      </c>
      <c r="I539" s="2462">
        <v>0.13343203832321693</v>
      </c>
      <c r="J539" s="2462">
        <v>191.14176969924148</v>
      </c>
    </row>
    <row r="540" spans="1:10" outlineLevel="2">
      <c r="A540" s="2459" t="s">
        <v>1669</v>
      </c>
      <c r="B540" s="2459" t="s">
        <v>1640</v>
      </c>
      <c r="C540" s="2459" t="s">
        <v>1672</v>
      </c>
      <c r="D540" s="2460" t="s">
        <v>1671</v>
      </c>
      <c r="E540" s="2461" t="s">
        <v>213</v>
      </c>
      <c r="F540" s="2461" t="s">
        <v>1527</v>
      </c>
      <c r="G540" s="2461" t="s">
        <v>1459</v>
      </c>
      <c r="H540" s="2461" t="s">
        <v>1460</v>
      </c>
      <c r="I540" s="2462">
        <v>1.2108090538957072E-2</v>
      </c>
      <c r="J540" s="2462">
        <v>12.619451564803304</v>
      </c>
    </row>
    <row r="541" spans="1:10" outlineLevel="2">
      <c r="A541" s="2459" t="s">
        <v>1669</v>
      </c>
      <c r="B541" s="2459" t="s">
        <v>1640</v>
      </c>
      <c r="C541" s="2459" t="s">
        <v>1672</v>
      </c>
      <c r="D541" s="2460" t="s">
        <v>1671</v>
      </c>
      <c r="E541" s="2461" t="s">
        <v>213</v>
      </c>
      <c r="F541" s="2461" t="s">
        <v>1528</v>
      </c>
      <c r="G541" s="2461" t="s">
        <v>1459</v>
      </c>
      <c r="H541" s="2461" t="s">
        <v>1460</v>
      </c>
      <c r="I541" s="2462">
        <v>1.0539560232579294E-4</v>
      </c>
      <c r="J541" s="2462">
        <v>0.13449366108053024</v>
      </c>
    </row>
    <row r="542" spans="1:10" outlineLevel="2">
      <c r="A542" s="2459" t="s">
        <v>1669</v>
      </c>
      <c r="B542" s="2459" t="s">
        <v>1640</v>
      </c>
      <c r="C542" s="2459" t="s">
        <v>1672</v>
      </c>
      <c r="D542" s="2460" t="s">
        <v>1671</v>
      </c>
      <c r="E542" s="2461" t="s">
        <v>213</v>
      </c>
      <c r="F542" s="2461" t="s">
        <v>1642</v>
      </c>
      <c r="G542" s="2461" t="s">
        <v>1412</v>
      </c>
      <c r="H542" s="2461" t="s">
        <v>1116</v>
      </c>
      <c r="I542" s="2462">
        <v>8.7642918818523693E-3</v>
      </c>
      <c r="J542" s="2462">
        <v>10.818214320540029</v>
      </c>
    </row>
    <row r="543" spans="1:10" outlineLevel="2">
      <c r="A543" s="2459" t="s">
        <v>1669</v>
      </c>
      <c r="B543" s="2459" t="s">
        <v>1640</v>
      </c>
      <c r="C543" s="2459" t="s">
        <v>1672</v>
      </c>
      <c r="D543" s="2460" t="s">
        <v>1671</v>
      </c>
      <c r="E543" s="2461" t="s">
        <v>213</v>
      </c>
      <c r="F543" s="2461" t="s">
        <v>1529</v>
      </c>
      <c r="G543" s="2461" t="s">
        <v>1530</v>
      </c>
      <c r="H543" s="2461" t="s">
        <v>1531</v>
      </c>
      <c r="I543" s="2462">
        <v>5.3362099591795253</v>
      </c>
      <c r="J543" s="2462">
        <v>4540.1470989301424</v>
      </c>
    </row>
    <row r="544" spans="1:10" outlineLevel="2">
      <c r="A544" s="2459" t="s">
        <v>1669</v>
      </c>
      <c r="B544" s="2459" t="s">
        <v>1640</v>
      </c>
      <c r="C544" s="2459" t="s">
        <v>1672</v>
      </c>
      <c r="D544" s="2460" t="s">
        <v>1671</v>
      </c>
      <c r="E544" s="2461" t="s">
        <v>213</v>
      </c>
      <c r="F544" s="2461" t="s">
        <v>1532</v>
      </c>
      <c r="G544" s="2461" t="s">
        <v>1530</v>
      </c>
      <c r="H544" s="2461" t="s">
        <v>1531</v>
      </c>
      <c r="I544" s="2462">
        <v>2.2460785888422641</v>
      </c>
      <c r="J544" s="2462">
        <v>1916.152855716904</v>
      </c>
    </row>
    <row r="545" spans="1:10" outlineLevel="2">
      <c r="A545" s="2459" t="s">
        <v>1669</v>
      </c>
      <c r="B545" s="2459" t="s">
        <v>1640</v>
      </c>
      <c r="C545" s="2459" t="s">
        <v>1672</v>
      </c>
      <c r="D545" s="2460" t="s">
        <v>1671</v>
      </c>
      <c r="E545" s="2461" t="s">
        <v>213</v>
      </c>
      <c r="F545" s="2461" t="s">
        <v>1533</v>
      </c>
      <c r="G545" s="2461" t="s">
        <v>1534</v>
      </c>
      <c r="H545" s="2461" t="s">
        <v>1531</v>
      </c>
      <c r="I545" s="2462">
        <v>1.606838379295096</v>
      </c>
      <c r="J545" s="2462">
        <v>2699.5262063379964</v>
      </c>
    </row>
    <row r="546" spans="1:10" outlineLevel="2">
      <c r="A546" s="2459" t="s">
        <v>1669</v>
      </c>
      <c r="B546" s="2459" t="s">
        <v>1640</v>
      </c>
      <c r="C546" s="2459" t="s">
        <v>1672</v>
      </c>
      <c r="D546" s="2460" t="s">
        <v>1671</v>
      </c>
      <c r="E546" s="2461" t="s">
        <v>213</v>
      </c>
      <c r="F546" s="2461" t="s">
        <v>1535</v>
      </c>
      <c r="G546" s="2461" t="s">
        <v>1536</v>
      </c>
      <c r="H546" s="2461" t="s">
        <v>1537</v>
      </c>
      <c r="I546" s="2462">
        <v>9.6942198864777493E-3</v>
      </c>
      <c r="J546" s="2462">
        <v>14.431549716993832</v>
      </c>
    </row>
    <row r="547" spans="1:10" outlineLevel="2">
      <c r="A547" s="2459" t="s">
        <v>1669</v>
      </c>
      <c r="B547" s="2459" t="s">
        <v>1640</v>
      </c>
      <c r="C547" s="2459" t="s">
        <v>1672</v>
      </c>
      <c r="D547" s="2460" t="s">
        <v>1671</v>
      </c>
      <c r="E547" s="2461" t="s">
        <v>1538</v>
      </c>
      <c r="F547" s="2461" t="s">
        <v>1539</v>
      </c>
      <c r="G547" s="2461" t="s">
        <v>1426</v>
      </c>
      <c r="H547" s="2461" t="s">
        <v>1540</v>
      </c>
      <c r="I547" s="2462">
        <v>3.8453088531034021E-3</v>
      </c>
      <c r="J547" s="2462">
        <v>7.3639532715053102</v>
      </c>
    </row>
    <row r="548" spans="1:10" outlineLevel="2">
      <c r="A548" s="2459" t="s">
        <v>1669</v>
      </c>
      <c r="B548" s="2459" t="s">
        <v>1640</v>
      </c>
      <c r="C548" s="2459" t="s">
        <v>1672</v>
      </c>
      <c r="D548" s="2460" t="s">
        <v>1671</v>
      </c>
      <c r="E548" s="2461" t="s">
        <v>1538</v>
      </c>
      <c r="F548" s="2461" t="s">
        <v>1541</v>
      </c>
      <c r="G548" s="2461" t="s">
        <v>1409</v>
      </c>
      <c r="H548" s="2461" t="s">
        <v>1540</v>
      </c>
      <c r="I548" s="2462">
        <v>3.0354267386504268E-3</v>
      </c>
      <c r="J548" s="2462">
        <v>14.129903055024998</v>
      </c>
    </row>
    <row r="549" spans="1:10" outlineLevel="2">
      <c r="A549" s="2459" t="s">
        <v>1669</v>
      </c>
      <c r="B549" s="2459" t="s">
        <v>1640</v>
      </c>
      <c r="C549" s="2459" t="s">
        <v>1672</v>
      </c>
      <c r="D549" s="2460" t="s">
        <v>1671</v>
      </c>
      <c r="E549" s="2461" t="s">
        <v>1538</v>
      </c>
      <c r="F549" s="2461" t="s">
        <v>1542</v>
      </c>
      <c r="G549" s="2461" t="s">
        <v>1409</v>
      </c>
      <c r="H549" s="2461" t="s">
        <v>1540</v>
      </c>
      <c r="I549" s="2462">
        <v>1.6279970448786197E-3</v>
      </c>
      <c r="J549" s="2462">
        <v>23.630151415834327</v>
      </c>
    </row>
    <row r="550" spans="1:10" outlineLevel="2">
      <c r="A550" s="2459" t="s">
        <v>1669</v>
      </c>
      <c r="B550" s="2459" t="s">
        <v>1640</v>
      </c>
      <c r="C550" s="2459" t="s">
        <v>1672</v>
      </c>
      <c r="D550" s="2460" t="s">
        <v>1671</v>
      </c>
      <c r="E550" s="2461" t="s">
        <v>1538</v>
      </c>
      <c r="F550" s="2461" t="s">
        <v>1543</v>
      </c>
      <c r="G550" s="2461" t="s">
        <v>1409</v>
      </c>
      <c r="H550" s="2461" t="s">
        <v>1540</v>
      </c>
      <c r="I550" s="2462">
        <v>2.4137604626301092E-3</v>
      </c>
      <c r="J550" s="2462">
        <v>4.1730628103737315</v>
      </c>
    </row>
    <row r="551" spans="1:10" outlineLevel="2">
      <c r="A551" s="2459" t="s">
        <v>1669</v>
      </c>
      <c r="B551" s="2459" t="s">
        <v>1640</v>
      </c>
      <c r="C551" s="2459" t="s">
        <v>1672</v>
      </c>
      <c r="D551" s="2460" t="s">
        <v>1671</v>
      </c>
      <c r="E551" s="2461" t="s">
        <v>1538</v>
      </c>
      <c r="F551" s="2461" t="s">
        <v>1544</v>
      </c>
      <c r="G551" s="2461" t="s">
        <v>1409</v>
      </c>
      <c r="H551" s="2461" t="s">
        <v>1540</v>
      </c>
      <c r="I551" s="2462">
        <v>4.4190918161961593E-4</v>
      </c>
      <c r="J551" s="2462">
        <v>2.419314575222189</v>
      </c>
    </row>
    <row r="552" spans="1:10" outlineLevel="2">
      <c r="A552" s="2459" t="s">
        <v>1669</v>
      </c>
      <c r="B552" s="2459" t="s">
        <v>1640</v>
      </c>
      <c r="C552" s="2459" t="s">
        <v>1672</v>
      </c>
      <c r="D552" s="2460" t="s">
        <v>1671</v>
      </c>
      <c r="E552" s="2461" t="s">
        <v>1538</v>
      </c>
      <c r="F552" s="2461" t="s">
        <v>1545</v>
      </c>
      <c r="G552" s="2461" t="s">
        <v>1409</v>
      </c>
      <c r="H552" s="2461" t="s">
        <v>1540</v>
      </c>
      <c r="I552" s="2462">
        <v>9.7809783855324767E-3</v>
      </c>
      <c r="J552" s="2462">
        <v>43.698336319313668</v>
      </c>
    </row>
    <row r="553" spans="1:10" outlineLevel="2">
      <c r="A553" s="2459" t="s">
        <v>1669</v>
      </c>
      <c r="B553" s="2459" t="s">
        <v>1640</v>
      </c>
      <c r="C553" s="2459" t="s">
        <v>1672</v>
      </c>
      <c r="D553" s="2460" t="s">
        <v>1671</v>
      </c>
      <c r="E553" s="2461" t="s">
        <v>1538</v>
      </c>
      <c r="F553" s="2461" t="s">
        <v>1546</v>
      </c>
      <c r="G553" s="2461" t="s">
        <v>1409</v>
      </c>
      <c r="H553" s="2461" t="s">
        <v>1540</v>
      </c>
      <c r="I553" s="2462">
        <v>1.870925830921838E-2</v>
      </c>
      <c r="J553" s="2462">
        <v>21.948748174703795</v>
      </c>
    </row>
    <row r="554" spans="1:10" outlineLevel="2">
      <c r="A554" s="2459" t="s">
        <v>1669</v>
      </c>
      <c r="B554" s="2459" t="s">
        <v>1640</v>
      </c>
      <c r="C554" s="2459" t="s">
        <v>1672</v>
      </c>
      <c r="D554" s="2460" t="s">
        <v>1671</v>
      </c>
      <c r="E554" s="2461" t="s">
        <v>1538</v>
      </c>
      <c r="F554" s="2461" t="s">
        <v>1547</v>
      </c>
      <c r="G554" s="2461" t="s">
        <v>1409</v>
      </c>
      <c r="H554" s="2461" t="s">
        <v>1540</v>
      </c>
      <c r="I554" s="2462">
        <v>2.0320712074498831E-3</v>
      </c>
      <c r="J554" s="2462">
        <v>40.429001810868549</v>
      </c>
    </row>
    <row r="555" spans="1:10" outlineLevel="2">
      <c r="A555" s="2459" t="s">
        <v>1669</v>
      </c>
      <c r="B555" s="2459" t="s">
        <v>1640</v>
      </c>
      <c r="C555" s="2459" t="s">
        <v>1672</v>
      </c>
      <c r="D555" s="2460" t="s">
        <v>1671</v>
      </c>
      <c r="E555" s="2461" t="s">
        <v>1538</v>
      </c>
      <c r="F555" s="2461" t="s">
        <v>1548</v>
      </c>
      <c r="G555" s="2461" t="s">
        <v>1409</v>
      </c>
      <c r="H555" s="2461" t="s">
        <v>1540</v>
      </c>
      <c r="I555" s="2462">
        <v>9.4313630957261595E-3</v>
      </c>
      <c r="J555" s="2462">
        <v>16.473499594752816</v>
      </c>
    </row>
    <row r="556" spans="1:10" outlineLevel="2">
      <c r="A556" s="2459" t="s">
        <v>1669</v>
      </c>
      <c r="B556" s="2459" t="s">
        <v>1640</v>
      </c>
      <c r="C556" s="2459" t="s">
        <v>1672</v>
      </c>
      <c r="D556" s="2460" t="s">
        <v>1671</v>
      </c>
      <c r="E556" s="2461" t="s">
        <v>1538</v>
      </c>
      <c r="F556" s="2461" t="s">
        <v>1549</v>
      </c>
      <c r="G556" s="2461" t="s">
        <v>1409</v>
      </c>
      <c r="H556" s="2461" t="s">
        <v>1540</v>
      </c>
      <c r="I556" s="2462">
        <v>1.4098804859989434E-3</v>
      </c>
      <c r="J556" s="2462">
        <v>2.7000063014387146</v>
      </c>
    </row>
    <row r="557" spans="1:10" outlineLevel="2">
      <c r="A557" s="2459" t="s">
        <v>1669</v>
      </c>
      <c r="B557" s="2459" t="s">
        <v>1640</v>
      </c>
      <c r="C557" s="2459" t="s">
        <v>1672</v>
      </c>
      <c r="D557" s="2460" t="s">
        <v>1671</v>
      </c>
      <c r="E557" s="2461" t="s">
        <v>1538</v>
      </c>
      <c r="F557" s="2461" t="s">
        <v>1550</v>
      </c>
      <c r="G557" s="2461" t="s">
        <v>1409</v>
      </c>
      <c r="H557" s="2461" t="s">
        <v>1540</v>
      </c>
      <c r="I557" s="2462">
        <v>7.7268617953988915E-3</v>
      </c>
      <c r="J557" s="2462">
        <v>28.075369328398313</v>
      </c>
    </row>
    <row r="558" spans="1:10" outlineLevel="2">
      <c r="A558" s="2459" t="s">
        <v>1669</v>
      </c>
      <c r="B558" s="2459" t="s">
        <v>1640</v>
      </c>
      <c r="C558" s="2459" t="s">
        <v>1672</v>
      </c>
      <c r="D558" s="2460" t="s">
        <v>1671</v>
      </c>
      <c r="E558" s="2461" t="s">
        <v>1538</v>
      </c>
      <c r="F558" s="2461" t="s">
        <v>1551</v>
      </c>
      <c r="G558" s="2461" t="s">
        <v>1409</v>
      </c>
      <c r="H558" s="2461" t="s">
        <v>1540</v>
      </c>
      <c r="I558" s="2462">
        <v>6.3656745041695073E-3</v>
      </c>
      <c r="J558" s="2462">
        <v>67.795857824322866</v>
      </c>
    </row>
    <row r="559" spans="1:10" outlineLevel="2">
      <c r="A559" s="2459" t="s">
        <v>1669</v>
      </c>
      <c r="B559" s="2459" t="s">
        <v>1640</v>
      </c>
      <c r="C559" s="2459" t="s">
        <v>1672</v>
      </c>
      <c r="D559" s="2460" t="s">
        <v>1671</v>
      </c>
      <c r="E559" s="2461" t="s">
        <v>1538</v>
      </c>
      <c r="F559" s="2461" t="s">
        <v>1552</v>
      </c>
      <c r="G559" s="2461" t="s">
        <v>1409</v>
      </c>
      <c r="H559" s="2461" t="s">
        <v>1540</v>
      </c>
      <c r="I559" s="2462">
        <v>4.4791763233037717E-4</v>
      </c>
      <c r="J559" s="2462">
        <v>7.1330088543539354</v>
      </c>
    </row>
    <row r="560" spans="1:10" outlineLevel="2">
      <c r="A560" s="2459" t="s">
        <v>1669</v>
      </c>
      <c r="B560" s="2459" t="s">
        <v>1640</v>
      </c>
      <c r="C560" s="2459" t="s">
        <v>1672</v>
      </c>
      <c r="D560" s="2460" t="s">
        <v>1671</v>
      </c>
      <c r="E560" s="2461" t="s">
        <v>1538</v>
      </c>
      <c r="F560" s="2461" t="s">
        <v>1553</v>
      </c>
      <c r="G560" s="2461" t="s">
        <v>1409</v>
      </c>
      <c r="H560" s="2461" t="s">
        <v>1540</v>
      </c>
      <c r="I560" s="2462">
        <v>3.3217439902173414E-2</v>
      </c>
      <c r="J560" s="2462">
        <v>61.067065232474036</v>
      </c>
    </row>
    <row r="561" spans="1:10" outlineLevel="2">
      <c r="A561" s="2459" t="s">
        <v>1669</v>
      </c>
      <c r="B561" s="2459" t="s">
        <v>1640</v>
      </c>
      <c r="C561" s="2459" t="s">
        <v>1672</v>
      </c>
      <c r="D561" s="2460" t="s">
        <v>1671</v>
      </c>
      <c r="E561" s="2461" t="s">
        <v>1538</v>
      </c>
      <c r="F561" s="2461" t="s">
        <v>1554</v>
      </c>
      <c r="G561" s="2461" t="s">
        <v>1409</v>
      </c>
      <c r="H561" s="2461" t="s">
        <v>1540</v>
      </c>
      <c r="I561" s="2462">
        <v>1.8515367233587345E-2</v>
      </c>
      <c r="J561" s="2462">
        <v>25.628159973581415</v>
      </c>
    </row>
    <row r="562" spans="1:10" outlineLevel="2">
      <c r="A562" s="2459" t="s">
        <v>1669</v>
      </c>
      <c r="B562" s="2459" t="s">
        <v>1640</v>
      </c>
      <c r="C562" s="2459" t="s">
        <v>1672</v>
      </c>
      <c r="D562" s="2460" t="s">
        <v>1671</v>
      </c>
      <c r="E562" s="2461" t="s">
        <v>1538</v>
      </c>
      <c r="F562" s="2461" t="s">
        <v>1555</v>
      </c>
      <c r="G562" s="2461" t="s">
        <v>1412</v>
      </c>
      <c r="H562" s="2461" t="s">
        <v>1540</v>
      </c>
      <c r="I562" s="2462">
        <v>9.5846169397790115E-2</v>
      </c>
      <c r="J562" s="2462">
        <v>295.05176761419955</v>
      </c>
    </row>
    <row r="563" spans="1:10" outlineLevel="2">
      <c r="A563" s="2459" t="s">
        <v>1669</v>
      </c>
      <c r="B563" s="2459" t="s">
        <v>1640</v>
      </c>
      <c r="C563" s="2459" t="s">
        <v>1672</v>
      </c>
      <c r="D563" s="2460" t="s">
        <v>1671</v>
      </c>
      <c r="E563" s="2461" t="s">
        <v>1538</v>
      </c>
      <c r="F563" s="2461" t="s">
        <v>1556</v>
      </c>
      <c r="G563" s="2461" t="s">
        <v>1412</v>
      </c>
      <c r="H563" s="2461" t="s">
        <v>1540</v>
      </c>
      <c r="I563" s="2462">
        <v>1.9054858181816559</v>
      </c>
      <c r="J563" s="2462">
        <v>26838.188361121098</v>
      </c>
    </row>
    <row r="564" spans="1:10" outlineLevel="2">
      <c r="A564" s="2459" t="s">
        <v>1669</v>
      </c>
      <c r="B564" s="2459" t="s">
        <v>1640</v>
      </c>
      <c r="C564" s="2459" t="s">
        <v>1672</v>
      </c>
      <c r="D564" s="2460" t="s">
        <v>1671</v>
      </c>
      <c r="E564" s="2461" t="s">
        <v>1538</v>
      </c>
      <c r="F564" s="2461" t="s">
        <v>1557</v>
      </c>
      <c r="G564" s="2461" t="s">
        <v>1412</v>
      </c>
      <c r="H564" s="2461" t="s">
        <v>1540</v>
      </c>
      <c r="I564" s="2462">
        <v>1.1344307686540352E-2</v>
      </c>
      <c r="J564" s="2462">
        <v>199.9341069829874</v>
      </c>
    </row>
    <row r="565" spans="1:10" outlineLevel="2">
      <c r="A565" s="2459" t="s">
        <v>1669</v>
      </c>
      <c r="B565" s="2459" t="s">
        <v>1640</v>
      </c>
      <c r="C565" s="2459" t="s">
        <v>1672</v>
      </c>
      <c r="D565" s="2460" t="s">
        <v>1671</v>
      </c>
      <c r="E565" s="2461" t="s">
        <v>1538</v>
      </c>
      <c r="F565" s="2461" t="s">
        <v>1558</v>
      </c>
      <c r="G565" s="2461" t="s">
        <v>1412</v>
      </c>
      <c r="H565" s="2461" t="s">
        <v>1540</v>
      </c>
      <c r="I565" s="2462">
        <v>3.7948983810416723E-3</v>
      </c>
      <c r="J565" s="2462">
        <v>63.066366773298448</v>
      </c>
    </row>
    <row r="566" spans="1:10" outlineLevel="2">
      <c r="A566" s="2459" t="s">
        <v>1669</v>
      </c>
      <c r="B566" s="2459" t="s">
        <v>1640</v>
      </c>
      <c r="C566" s="2459" t="s">
        <v>1672</v>
      </c>
      <c r="D566" s="2460" t="s">
        <v>1671</v>
      </c>
      <c r="E566" s="2461" t="s">
        <v>1538</v>
      </c>
      <c r="F566" s="2461" t="s">
        <v>1559</v>
      </c>
      <c r="G566" s="2461" t="s">
        <v>1412</v>
      </c>
      <c r="H566" s="2461" t="s">
        <v>1540</v>
      </c>
      <c r="I566" s="2462">
        <v>4.0520067871322807E-3</v>
      </c>
      <c r="J566" s="2462">
        <v>15.575508498272827</v>
      </c>
    </row>
    <row r="567" spans="1:10" outlineLevel="2">
      <c r="A567" s="2459" t="s">
        <v>1669</v>
      </c>
      <c r="B567" s="2459" t="s">
        <v>1640</v>
      </c>
      <c r="C567" s="2459" t="s">
        <v>1672</v>
      </c>
      <c r="D567" s="2460" t="s">
        <v>1671</v>
      </c>
      <c r="E567" s="2461" t="s">
        <v>1538</v>
      </c>
      <c r="F567" s="2461" t="s">
        <v>1560</v>
      </c>
      <c r="G567" s="2461" t="s">
        <v>1412</v>
      </c>
      <c r="H567" s="2461" t="s">
        <v>1540</v>
      </c>
      <c r="I567" s="2462">
        <v>5.6874902765654874E-3</v>
      </c>
      <c r="J567" s="2462">
        <v>123.86843431189209</v>
      </c>
    </row>
    <row r="568" spans="1:10" outlineLevel="2">
      <c r="A568" s="2459" t="s">
        <v>1669</v>
      </c>
      <c r="B568" s="2459" t="s">
        <v>1640</v>
      </c>
      <c r="C568" s="2459" t="s">
        <v>1672</v>
      </c>
      <c r="D568" s="2460" t="s">
        <v>1671</v>
      </c>
      <c r="E568" s="2461" t="s">
        <v>1538</v>
      </c>
      <c r="F568" s="2461" t="s">
        <v>1561</v>
      </c>
      <c r="G568" s="2461" t="s">
        <v>1439</v>
      </c>
      <c r="H568" s="2461" t="s">
        <v>1540</v>
      </c>
      <c r="I568" s="2462">
        <v>3.0495236499192838E-2</v>
      </c>
      <c r="J568" s="2462">
        <v>462.13396951473158</v>
      </c>
    </row>
    <row r="569" spans="1:10" outlineLevel="2">
      <c r="A569" s="2459" t="s">
        <v>1669</v>
      </c>
      <c r="B569" s="2459" t="s">
        <v>1640</v>
      </c>
      <c r="C569" s="2459" t="s">
        <v>1672</v>
      </c>
      <c r="D569" s="2460" t="s">
        <v>1671</v>
      </c>
      <c r="E569" s="2461" t="s">
        <v>1538</v>
      </c>
      <c r="F569" s="2461" t="s">
        <v>1562</v>
      </c>
      <c r="G569" s="2461" t="s">
        <v>1418</v>
      </c>
      <c r="H569" s="2461" t="s">
        <v>1540</v>
      </c>
      <c r="I569" s="2462">
        <v>2.1062501781408463E-5</v>
      </c>
      <c r="J569" s="2462">
        <v>2.6540481123021049E-2</v>
      </c>
    </row>
    <row r="570" spans="1:10" outlineLevel="2">
      <c r="A570" s="2459" t="s">
        <v>1669</v>
      </c>
      <c r="B570" s="2459" t="s">
        <v>1640</v>
      </c>
      <c r="C570" s="2459" t="s">
        <v>1672</v>
      </c>
      <c r="D570" s="2460" t="s">
        <v>1671</v>
      </c>
      <c r="E570" s="2461" t="s">
        <v>1538</v>
      </c>
      <c r="F570" s="2461" t="s">
        <v>1563</v>
      </c>
      <c r="G570" s="2461" t="s">
        <v>1418</v>
      </c>
      <c r="H570" s="2461" t="s">
        <v>1540</v>
      </c>
      <c r="I570" s="2462">
        <v>3.0517615143166532E-6</v>
      </c>
      <c r="J570" s="2462">
        <v>5.1693399832334508E-2</v>
      </c>
    </row>
    <row r="571" spans="1:10" outlineLevel="2">
      <c r="A571" s="2459" t="s">
        <v>1669</v>
      </c>
      <c r="B571" s="2459" t="s">
        <v>1640</v>
      </c>
      <c r="C571" s="2459" t="s">
        <v>1672</v>
      </c>
      <c r="D571" s="2460" t="s">
        <v>1671</v>
      </c>
      <c r="E571" s="2461" t="s">
        <v>1538</v>
      </c>
      <c r="F571" s="2461" t="s">
        <v>1564</v>
      </c>
      <c r="G571" s="2461" t="s">
        <v>1421</v>
      </c>
      <c r="H571" s="2461" t="s">
        <v>1540</v>
      </c>
      <c r="I571" s="2462">
        <v>0.35486251922054191</v>
      </c>
      <c r="J571" s="2462">
        <v>871.30195938949248</v>
      </c>
    </row>
    <row r="572" spans="1:10" outlineLevel="2">
      <c r="A572" s="2459" t="s">
        <v>1669</v>
      </c>
      <c r="B572" s="2459" t="s">
        <v>1640</v>
      </c>
      <c r="C572" s="2459" t="s">
        <v>1672</v>
      </c>
      <c r="D572" s="2460" t="s">
        <v>1671</v>
      </c>
      <c r="E572" s="2461" t="s">
        <v>1538</v>
      </c>
      <c r="F572" s="2461" t="s">
        <v>1565</v>
      </c>
      <c r="G572" s="2461" t="s">
        <v>1421</v>
      </c>
      <c r="H572" s="2461" t="s">
        <v>1540</v>
      </c>
      <c r="I572" s="2462">
        <v>4.1755376405514757E-2</v>
      </c>
      <c r="J572" s="2462">
        <v>190.71707527703362</v>
      </c>
    </row>
    <row r="573" spans="1:10" outlineLevel="2">
      <c r="A573" s="2459" t="s">
        <v>1669</v>
      </c>
      <c r="B573" s="2459" t="s">
        <v>1640</v>
      </c>
      <c r="C573" s="2459" t="s">
        <v>1672</v>
      </c>
      <c r="D573" s="2460" t="s">
        <v>1671</v>
      </c>
      <c r="E573" s="2461" t="s">
        <v>1538</v>
      </c>
      <c r="F573" s="2461" t="s">
        <v>1566</v>
      </c>
      <c r="G573" s="2461" t="s">
        <v>1421</v>
      </c>
      <c r="H573" s="2461" t="s">
        <v>1540</v>
      </c>
      <c r="I573" s="2462">
        <v>2.1771615478297562E-2</v>
      </c>
      <c r="J573" s="2462">
        <v>222.69531644560419</v>
      </c>
    </row>
    <row r="574" spans="1:10" outlineLevel="2">
      <c r="A574" s="2459" t="s">
        <v>1669</v>
      </c>
      <c r="B574" s="2459" t="s">
        <v>1640</v>
      </c>
      <c r="C574" s="2459" t="s">
        <v>1672</v>
      </c>
      <c r="D574" s="2460" t="s">
        <v>1671</v>
      </c>
      <c r="E574" s="2461" t="s">
        <v>1538</v>
      </c>
      <c r="F574" s="2461" t="s">
        <v>1567</v>
      </c>
      <c r="G574" s="2461" t="s">
        <v>1421</v>
      </c>
      <c r="H574" s="2461" t="s">
        <v>1540</v>
      </c>
      <c r="I574" s="2462">
        <v>3.6042770822972636E-2</v>
      </c>
      <c r="J574" s="2462">
        <v>276.77777419639193</v>
      </c>
    </row>
    <row r="575" spans="1:10" outlineLevel="2">
      <c r="A575" s="2459" t="s">
        <v>1669</v>
      </c>
      <c r="B575" s="2459" t="s">
        <v>1640</v>
      </c>
      <c r="C575" s="2459" t="s">
        <v>1672</v>
      </c>
      <c r="D575" s="2460" t="s">
        <v>1671</v>
      </c>
      <c r="E575" s="2461" t="s">
        <v>1538</v>
      </c>
      <c r="F575" s="2461" t="s">
        <v>1568</v>
      </c>
      <c r="G575" s="2461" t="s">
        <v>1421</v>
      </c>
      <c r="H575" s="2461" t="s">
        <v>1540</v>
      </c>
      <c r="I575" s="2462">
        <v>1.2476630950252659E-3</v>
      </c>
      <c r="J575" s="2462">
        <v>3.764330469367422</v>
      </c>
    </row>
    <row r="576" spans="1:10" outlineLevel="2">
      <c r="A576" s="2459" t="s">
        <v>1669</v>
      </c>
      <c r="B576" s="2459" t="s">
        <v>1640</v>
      </c>
      <c r="C576" s="2459" t="s">
        <v>1672</v>
      </c>
      <c r="D576" s="2460" t="s">
        <v>1671</v>
      </c>
      <c r="E576" s="2461" t="s">
        <v>1538</v>
      </c>
      <c r="F576" s="2461" t="s">
        <v>1569</v>
      </c>
      <c r="G576" s="2461" t="s">
        <v>1421</v>
      </c>
      <c r="H576" s="2461" t="s">
        <v>1540</v>
      </c>
      <c r="I576" s="2462">
        <v>2.9575594121538209E-4</v>
      </c>
      <c r="J576" s="2462">
        <v>3.41768673863064</v>
      </c>
    </row>
    <row r="577" spans="1:10" outlineLevel="2">
      <c r="A577" s="2459" t="s">
        <v>1669</v>
      </c>
      <c r="B577" s="2459" t="s">
        <v>1640</v>
      </c>
      <c r="C577" s="2459" t="s">
        <v>1672</v>
      </c>
      <c r="D577" s="2460" t="s">
        <v>1671</v>
      </c>
      <c r="E577" s="2461" t="s">
        <v>1538</v>
      </c>
      <c r="F577" s="2461" t="s">
        <v>1570</v>
      </c>
      <c r="G577" s="2461" t="s">
        <v>899</v>
      </c>
      <c r="H577" s="2461" t="s">
        <v>1540</v>
      </c>
      <c r="I577" s="2462">
        <v>1.0139880017792469E-4</v>
      </c>
      <c r="J577" s="2462">
        <v>0.43807766645799989</v>
      </c>
    </row>
    <row r="578" spans="1:10" outlineLevel="2">
      <c r="A578" s="2459" t="s">
        <v>1669</v>
      </c>
      <c r="B578" s="2459" t="s">
        <v>1640</v>
      </c>
      <c r="C578" s="2459" t="s">
        <v>1672</v>
      </c>
      <c r="D578" s="2460" t="s">
        <v>1671</v>
      </c>
      <c r="E578" s="2461" t="s">
        <v>1400</v>
      </c>
      <c r="F578" s="2461" t="s">
        <v>1571</v>
      </c>
      <c r="G578" s="2461" t="s">
        <v>215</v>
      </c>
      <c r="H578" s="2461" t="s">
        <v>1531</v>
      </c>
      <c r="I578" s="2462">
        <v>5.6993727136432519E-2</v>
      </c>
      <c r="J578" s="2462">
        <v>2051.2485104882435</v>
      </c>
    </row>
    <row r="579" spans="1:10" outlineLevel="2">
      <c r="A579" s="2459" t="s">
        <v>1669</v>
      </c>
      <c r="B579" s="2459" t="s">
        <v>1640</v>
      </c>
      <c r="C579" s="2459" t="s">
        <v>1672</v>
      </c>
      <c r="D579" s="2460" t="s">
        <v>1671</v>
      </c>
      <c r="E579" s="2461" t="s">
        <v>1400</v>
      </c>
      <c r="F579" s="2461" t="s">
        <v>1572</v>
      </c>
      <c r="G579" s="2461" t="s">
        <v>215</v>
      </c>
      <c r="H579" s="2461" t="s">
        <v>1531</v>
      </c>
      <c r="I579" s="2462">
        <v>4.735911406248195E-4</v>
      </c>
      <c r="J579" s="2462">
        <v>8.9837586170575143</v>
      </c>
    </row>
    <row r="580" spans="1:10" outlineLevel="2">
      <c r="A580" s="2459" t="s">
        <v>1669</v>
      </c>
      <c r="B580" s="2459" t="s">
        <v>1640</v>
      </c>
      <c r="C580" s="2459" t="s">
        <v>1672</v>
      </c>
      <c r="D580" s="2460" t="s">
        <v>1671</v>
      </c>
      <c r="E580" s="2461" t="s">
        <v>1573</v>
      </c>
      <c r="F580" s="2461" t="s">
        <v>1574</v>
      </c>
      <c r="G580" s="2461" t="s">
        <v>1426</v>
      </c>
      <c r="H580" s="2461" t="s">
        <v>1427</v>
      </c>
      <c r="I580" s="2462">
        <v>4.661726690934313E-3</v>
      </c>
      <c r="J580" s="2462">
        <v>115.24447296446013</v>
      </c>
    </row>
    <row r="581" spans="1:10" outlineLevel="2">
      <c r="A581" s="2459" t="s">
        <v>1669</v>
      </c>
      <c r="B581" s="2459" t="s">
        <v>1640</v>
      </c>
      <c r="C581" s="2459" t="s">
        <v>1672</v>
      </c>
      <c r="D581" s="2460" t="s">
        <v>1671</v>
      </c>
      <c r="E581" s="2461" t="s">
        <v>1573</v>
      </c>
      <c r="F581" s="2461" t="s">
        <v>1575</v>
      </c>
      <c r="G581" s="2461" t="s">
        <v>1409</v>
      </c>
      <c r="H581" s="2461" t="s">
        <v>1070</v>
      </c>
      <c r="I581" s="2462">
        <v>2.8976617563995888E-2</v>
      </c>
      <c r="J581" s="2462">
        <v>1689.9284217507941</v>
      </c>
    </row>
    <row r="582" spans="1:10" outlineLevel="2">
      <c r="A582" s="2459" t="s">
        <v>1669</v>
      </c>
      <c r="B582" s="2459" t="s">
        <v>1640</v>
      </c>
      <c r="C582" s="2459" t="s">
        <v>1672</v>
      </c>
      <c r="D582" s="2460" t="s">
        <v>1671</v>
      </c>
      <c r="E582" s="2461" t="s">
        <v>1573</v>
      </c>
      <c r="F582" s="2461" t="s">
        <v>1576</v>
      </c>
      <c r="G582" s="2461" t="s">
        <v>1409</v>
      </c>
      <c r="H582" s="2461" t="s">
        <v>1070</v>
      </c>
      <c r="I582" s="2462">
        <v>2.4914946975730418E-4</v>
      </c>
      <c r="J582" s="2462">
        <v>2.7520124440940528</v>
      </c>
    </row>
    <row r="583" spans="1:10" outlineLevel="2">
      <c r="A583" s="2459" t="s">
        <v>1669</v>
      </c>
      <c r="B583" s="2459" t="s">
        <v>1640</v>
      </c>
      <c r="C583" s="2459" t="s">
        <v>1672</v>
      </c>
      <c r="D583" s="2460" t="s">
        <v>1671</v>
      </c>
      <c r="E583" s="2461" t="s">
        <v>1573</v>
      </c>
      <c r="F583" s="2461" t="s">
        <v>1577</v>
      </c>
      <c r="G583" s="2461" t="s">
        <v>1409</v>
      </c>
      <c r="H583" s="2461" t="s">
        <v>1070</v>
      </c>
      <c r="I583" s="2462">
        <v>3.6133085645393055E-3</v>
      </c>
      <c r="J583" s="2462">
        <v>45.333148617836343</v>
      </c>
    </row>
    <row r="584" spans="1:10" outlineLevel="2">
      <c r="A584" s="2459" t="s">
        <v>1669</v>
      </c>
      <c r="B584" s="2459" t="s">
        <v>1640</v>
      </c>
      <c r="C584" s="2459" t="s">
        <v>1672</v>
      </c>
      <c r="D584" s="2460" t="s">
        <v>1671</v>
      </c>
      <c r="E584" s="2461" t="s">
        <v>1573</v>
      </c>
      <c r="F584" s="2461" t="s">
        <v>1578</v>
      </c>
      <c r="G584" s="2461" t="s">
        <v>1409</v>
      </c>
      <c r="H584" s="2461" t="s">
        <v>1070</v>
      </c>
      <c r="I584" s="2462">
        <v>8.2513664746966392E-2</v>
      </c>
      <c r="J584" s="2462">
        <v>4230.1463386644155</v>
      </c>
    </row>
    <row r="585" spans="1:10" outlineLevel="2">
      <c r="A585" s="2459" t="s">
        <v>1669</v>
      </c>
      <c r="B585" s="2459" t="s">
        <v>1640</v>
      </c>
      <c r="C585" s="2459" t="s">
        <v>1672</v>
      </c>
      <c r="D585" s="2460" t="s">
        <v>1671</v>
      </c>
      <c r="E585" s="2461" t="s">
        <v>1573</v>
      </c>
      <c r="F585" s="2461" t="s">
        <v>1579</v>
      </c>
      <c r="G585" s="2461" t="s">
        <v>1409</v>
      </c>
      <c r="H585" s="2461" t="s">
        <v>1070</v>
      </c>
      <c r="I585" s="2462">
        <v>6.2638349303966723E-2</v>
      </c>
      <c r="J585" s="2462">
        <v>4602.6864945780062</v>
      </c>
    </row>
    <row r="586" spans="1:10" outlineLevel="2">
      <c r="A586" s="2459" t="s">
        <v>1669</v>
      </c>
      <c r="B586" s="2459" t="s">
        <v>1640</v>
      </c>
      <c r="C586" s="2459" t="s">
        <v>1672</v>
      </c>
      <c r="D586" s="2460" t="s">
        <v>1671</v>
      </c>
      <c r="E586" s="2461" t="s">
        <v>1573</v>
      </c>
      <c r="F586" s="2461" t="s">
        <v>1580</v>
      </c>
      <c r="G586" s="2461" t="s">
        <v>1409</v>
      </c>
      <c r="H586" s="2461" t="s">
        <v>1070</v>
      </c>
      <c r="I586" s="2462">
        <v>7.0768272726459804E-3</v>
      </c>
      <c r="J586" s="2462">
        <v>254.15170600660184</v>
      </c>
    </row>
    <row r="587" spans="1:10" outlineLevel="2">
      <c r="A587" s="2459" t="s">
        <v>1669</v>
      </c>
      <c r="B587" s="2459" t="s">
        <v>1640</v>
      </c>
      <c r="C587" s="2459" t="s">
        <v>1672</v>
      </c>
      <c r="D587" s="2460" t="s">
        <v>1671</v>
      </c>
      <c r="E587" s="2461" t="s">
        <v>1573</v>
      </c>
      <c r="F587" s="2461" t="s">
        <v>1581</v>
      </c>
      <c r="G587" s="2461" t="s">
        <v>1409</v>
      </c>
      <c r="H587" s="2461" t="s">
        <v>1070</v>
      </c>
      <c r="I587" s="2462">
        <v>3.7640992460079054E-3</v>
      </c>
      <c r="J587" s="2462">
        <v>173.066361105548</v>
      </c>
    </row>
    <row r="588" spans="1:10" outlineLevel="2">
      <c r="A588" s="2459" t="s">
        <v>1669</v>
      </c>
      <c r="B588" s="2459" t="s">
        <v>1640</v>
      </c>
      <c r="C588" s="2459" t="s">
        <v>1672</v>
      </c>
      <c r="D588" s="2460" t="s">
        <v>1671</v>
      </c>
      <c r="E588" s="2461" t="s">
        <v>1573</v>
      </c>
      <c r="F588" s="2461" t="s">
        <v>1582</v>
      </c>
      <c r="G588" s="2461" t="s">
        <v>1409</v>
      </c>
      <c r="H588" s="2461" t="s">
        <v>1070</v>
      </c>
      <c r="I588" s="2462">
        <v>2.0006041234826719E-2</v>
      </c>
      <c r="J588" s="2462">
        <v>475.25691734868883</v>
      </c>
    </row>
    <row r="589" spans="1:10" outlineLevel="2">
      <c r="A589" s="2459" t="s">
        <v>1669</v>
      </c>
      <c r="B589" s="2459" t="s">
        <v>1640</v>
      </c>
      <c r="C589" s="2459" t="s">
        <v>1672</v>
      </c>
      <c r="D589" s="2460" t="s">
        <v>1671</v>
      </c>
      <c r="E589" s="2461" t="s">
        <v>1573</v>
      </c>
      <c r="F589" s="2461" t="s">
        <v>1583</v>
      </c>
      <c r="G589" s="2461" t="s">
        <v>1409</v>
      </c>
      <c r="H589" s="2461" t="s">
        <v>1070</v>
      </c>
      <c r="I589" s="2462">
        <v>5.7351612075971177E-2</v>
      </c>
      <c r="J589" s="2462">
        <v>2033.7501794973844</v>
      </c>
    </row>
    <row r="590" spans="1:10" outlineLevel="2">
      <c r="A590" s="2459" t="s">
        <v>1669</v>
      </c>
      <c r="B590" s="2459" t="s">
        <v>1640</v>
      </c>
      <c r="C590" s="2459" t="s">
        <v>1672</v>
      </c>
      <c r="D590" s="2460" t="s">
        <v>1671</v>
      </c>
      <c r="E590" s="2461" t="s">
        <v>1573</v>
      </c>
      <c r="F590" s="2461" t="s">
        <v>1584</v>
      </c>
      <c r="G590" s="2461" t="s">
        <v>1409</v>
      </c>
      <c r="H590" s="2461" t="s">
        <v>1070</v>
      </c>
      <c r="I590" s="2462">
        <v>4.0545698903224327E-2</v>
      </c>
      <c r="J590" s="2462">
        <v>2232.9315658953292</v>
      </c>
    </row>
    <row r="591" spans="1:10" outlineLevel="2">
      <c r="A591" s="2459" t="s">
        <v>1669</v>
      </c>
      <c r="B591" s="2459" t="s">
        <v>1640</v>
      </c>
      <c r="C591" s="2459" t="s">
        <v>1672</v>
      </c>
      <c r="D591" s="2460" t="s">
        <v>1671</v>
      </c>
      <c r="E591" s="2461" t="s">
        <v>1573</v>
      </c>
      <c r="F591" s="2461" t="s">
        <v>1585</v>
      </c>
      <c r="G591" s="2461" t="s">
        <v>1409</v>
      </c>
      <c r="H591" s="2461" t="s">
        <v>1070</v>
      </c>
      <c r="I591" s="2462">
        <v>0.22229030984674575</v>
      </c>
      <c r="J591" s="2462">
        <v>17145.510724707721</v>
      </c>
    </row>
    <row r="592" spans="1:10" outlineLevel="2">
      <c r="A592" s="2459" t="s">
        <v>1669</v>
      </c>
      <c r="B592" s="2459" t="s">
        <v>1640</v>
      </c>
      <c r="C592" s="2459" t="s">
        <v>1672</v>
      </c>
      <c r="D592" s="2460" t="s">
        <v>1671</v>
      </c>
      <c r="E592" s="2461" t="s">
        <v>1573</v>
      </c>
      <c r="F592" s="2461" t="s">
        <v>1586</v>
      </c>
      <c r="G592" s="2461" t="s">
        <v>1409</v>
      </c>
      <c r="H592" s="2461" t="s">
        <v>1070</v>
      </c>
      <c r="I592" s="2462">
        <v>4.7016079768953511E-3</v>
      </c>
      <c r="J592" s="2462">
        <v>142.56696971560683</v>
      </c>
    </row>
    <row r="593" spans="1:10" outlineLevel="2">
      <c r="A593" s="2459" t="s">
        <v>1669</v>
      </c>
      <c r="B593" s="2459" t="s">
        <v>1640</v>
      </c>
      <c r="C593" s="2459" t="s">
        <v>1672</v>
      </c>
      <c r="D593" s="2460" t="s">
        <v>1671</v>
      </c>
      <c r="E593" s="2461" t="s">
        <v>1573</v>
      </c>
      <c r="F593" s="2461" t="s">
        <v>1587</v>
      </c>
      <c r="G593" s="2461" t="s">
        <v>1409</v>
      </c>
      <c r="H593" s="2461" t="s">
        <v>1070</v>
      </c>
      <c r="I593" s="2462">
        <v>1.8515447414178469E-3</v>
      </c>
      <c r="J593" s="2462">
        <v>87.294063117335881</v>
      </c>
    </row>
    <row r="594" spans="1:10" outlineLevel="2">
      <c r="A594" s="2459" t="s">
        <v>1669</v>
      </c>
      <c r="B594" s="2459" t="s">
        <v>1640</v>
      </c>
      <c r="C594" s="2459" t="s">
        <v>1672</v>
      </c>
      <c r="D594" s="2460" t="s">
        <v>1671</v>
      </c>
      <c r="E594" s="2461" t="s">
        <v>1573</v>
      </c>
      <c r="F594" s="2461" t="s">
        <v>1588</v>
      </c>
      <c r="G594" s="2461" t="s">
        <v>1409</v>
      </c>
      <c r="H594" s="2461" t="s">
        <v>1070</v>
      </c>
      <c r="I594" s="2462">
        <v>6.5594419902439569E-2</v>
      </c>
      <c r="J594" s="2462">
        <v>3919.0241275108442</v>
      </c>
    </row>
    <row r="595" spans="1:10" outlineLevel="2">
      <c r="A595" s="2459" t="s">
        <v>1669</v>
      </c>
      <c r="B595" s="2459" t="s">
        <v>1640</v>
      </c>
      <c r="C595" s="2459" t="s">
        <v>1672</v>
      </c>
      <c r="D595" s="2460" t="s">
        <v>1671</v>
      </c>
      <c r="E595" s="2461" t="s">
        <v>1573</v>
      </c>
      <c r="F595" s="2461" t="s">
        <v>1589</v>
      </c>
      <c r="G595" s="2461" t="s">
        <v>1409</v>
      </c>
      <c r="H595" s="2461" t="s">
        <v>1070</v>
      </c>
      <c r="I595" s="2462">
        <v>5.6392456830520202E-2</v>
      </c>
      <c r="J595" s="2462">
        <v>4265.9088120230199</v>
      </c>
    </row>
    <row r="596" spans="1:10" outlineLevel="2">
      <c r="A596" s="2459" t="s">
        <v>1669</v>
      </c>
      <c r="B596" s="2459" t="s">
        <v>1640</v>
      </c>
      <c r="C596" s="2459" t="s">
        <v>1672</v>
      </c>
      <c r="D596" s="2460" t="s">
        <v>1671</v>
      </c>
      <c r="E596" s="2461" t="s">
        <v>1573</v>
      </c>
      <c r="F596" s="2461" t="s">
        <v>1590</v>
      </c>
      <c r="G596" s="2461" t="s">
        <v>1409</v>
      </c>
      <c r="H596" s="2461" t="s">
        <v>1070</v>
      </c>
      <c r="I596" s="2462">
        <v>0.20589417233613189</v>
      </c>
      <c r="J596" s="2462">
        <v>14674.121253048201</v>
      </c>
    </row>
    <row r="597" spans="1:10" outlineLevel="2">
      <c r="A597" s="2459" t="s">
        <v>1669</v>
      </c>
      <c r="B597" s="2459" t="s">
        <v>1640</v>
      </c>
      <c r="C597" s="2459" t="s">
        <v>1672</v>
      </c>
      <c r="D597" s="2460" t="s">
        <v>1671</v>
      </c>
      <c r="E597" s="2461" t="s">
        <v>1573</v>
      </c>
      <c r="F597" s="2461" t="s">
        <v>1591</v>
      </c>
      <c r="G597" s="2461" t="s">
        <v>1409</v>
      </c>
      <c r="H597" s="2461" t="s">
        <v>1070</v>
      </c>
      <c r="I597" s="2462">
        <v>1.4172745493731535E-2</v>
      </c>
      <c r="J597" s="2462">
        <v>690.00305584645673</v>
      </c>
    </row>
    <row r="598" spans="1:10" outlineLevel="2">
      <c r="A598" s="2459" t="s">
        <v>1669</v>
      </c>
      <c r="B598" s="2459" t="s">
        <v>1640</v>
      </c>
      <c r="C598" s="2459" t="s">
        <v>1672</v>
      </c>
      <c r="D598" s="2460" t="s">
        <v>1671</v>
      </c>
      <c r="E598" s="2461" t="s">
        <v>1573</v>
      </c>
      <c r="F598" s="2461" t="s">
        <v>1592</v>
      </c>
      <c r="G598" s="2461" t="s">
        <v>1409</v>
      </c>
      <c r="H598" s="2461" t="s">
        <v>1070</v>
      </c>
      <c r="I598" s="2462">
        <v>0.11917460597449887</v>
      </c>
      <c r="J598" s="2462">
        <v>5488.6013409170528</v>
      </c>
    </row>
    <row r="599" spans="1:10" outlineLevel="2">
      <c r="A599" s="2459" t="s">
        <v>1669</v>
      </c>
      <c r="B599" s="2459" t="s">
        <v>1640</v>
      </c>
      <c r="C599" s="2459" t="s">
        <v>1672</v>
      </c>
      <c r="D599" s="2460" t="s">
        <v>1671</v>
      </c>
      <c r="E599" s="2461" t="s">
        <v>1573</v>
      </c>
      <c r="F599" s="2461" t="s">
        <v>1593</v>
      </c>
      <c r="G599" s="2461" t="s">
        <v>1409</v>
      </c>
      <c r="H599" s="2461" t="s">
        <v>1070</v>
      </c>
      <c r="I599" s="2462">
        <v>0.29118008431851272</v>
      </c>
      <c r="J599" s="2462">
        <v>18660.196912817708</v>
      </c>
    </row>
    <row r="600" spans="1:10" outlineLevel="2">
      <c r="A600" s="2459" t="s">
        <v>1669</v>
      </c>
      <c r="B600" s="2459" t="s">
        <v>1640</v>
      </c>
      <c r="C600" s="2459" t="s">
        <v>1672</v>
      </c>
      <c r="D600" s="2460" t="s">
        <v>1671</v>
      </c>
      <c r="E600" s="2461" t="s">
        <v>1573</v>
      </c>
      <c r="F600" s="2461" t="s">
        <v>1594</v>
      </c>
      <c r="G600" s="2461" t="s">
        <v>1409</v>
      </c>
      <c r="H600" s="2461" t="s">
        <v>1070</v>
      </c>
      <c r="I600" s="2462">
        <v>0.63775600386777209</v>
      </c>
      <c r="J600" s="2462">
        <v>12518.443615399108</v>
      </c>
    </row>
    <row r="601" spans="1:10" outlineLevel="2">
      <c r="A601" s="2459" t="s">
        <v>1669</v>
      </c>
      <c r="B601" s="2459" t="s">
        <v>1640</v>
      </c>
      <c r="C601" s="2459" t="s">
        <v>1672</v>
      </c>
      <c r="D601" s="2460" t="s">
        <v>1671</v>
      </c>
      <c r="E601" s="2461" t="s">
        <v>1573</v>
      </c>
      <c r="F601" s="2461" t="s">
        <v>1595</v>
      </c>
      <c r="G601" s="2461" t="s">
        <v>1409</v>
      </c>
      <c r="H601" s="2461" t="s">
        <v>1070</v>
      </c>
      <c r="I601" s="2462">
        <v>0.23448771691614279</v>
      </c>
      <c r="J601" s="2462">
        <v>17070.132790937085</v>
      </c>
    </row>
    <row r="602" spans="1:10" outlineLevel="2">
      <c r="A602" s="2459" t="s">
        <v>1669</v>
      </c>
      <c r="B602" s="2459" t="s">
        <v>1640</v>
      </c>
      <c r="C602" s="2459" t="s">
        <v>1672</v>
      </c>
      <c r="D602" s="2460" t="s">
        <v>1671</v>
      </c>
      <c r="E602" s="2461" t="s">
        <v>1573</v>
      </c>
      <c r="F602" s="2461" t="s">
        <v>1596</v>
      </c>
      <c r="G602" s="2461" t="s">
        <v>1409</v>
      </c>
      <c r="H602" s="2461" t="s">
        <v>1070</v>
      </c>
      <c r="I602" s="2462">
        <v>0.42695650358337683</v>
      </c>
      <c r="J602" s="2462">
        <v>9826.3383428043107</v>
      </c>
    </row>
    <row r="603" spans="1:10" outlineLevel="2">
      <c r="A603" s="2459" t="s">
        <v>1669</v>
      </c>
      <c r="B603" s="2459" t="s">
        <v>1640</v>
      </c>
      <c r="C603" s="2459" t="s">
        <v>1672</v>
      </c>
      <c r="D603" s="2460" t="s">
        <v>1671</v>
      </c>
      <c r="E603" s="2461" t="s">
        <v>1573</v>
      </c>
      <c r="F603" s="2461" t="s">
        <v>1597</v>
      </c>
      <c r="G603" s="2461" t="s">
        <v>1409</v>
      </c>
      <c r="H603" s="2461" t="s">
        <v>1070</v>
      </c>
      <c r="I603" s="2462">
        <v>2.506317889134833E-2</v>
      </c>
      <c r="J603" s="2462">
        <v>1831.6464405248857</v>
      </c>
    </row>
    <row r="604" spans="1:10" outlineLevel="2">
      <c r="A604" s="2459" t="s">
        <v>1669</v>
      </c>
      <c r="B604" s="2459" t="s">
        <v>1640</v>
      </c>
      <c r="C604" s="2459" t="s">
        <v>1672</v>
      </c>
      <c r="D604" s="2460" t="s">
        <v>1671</v>
      </c>
      <c r="E604" s="2461" t="s">
        <v>1573</v>
      </c>
      <c r="F604" s="2461" t="s">
        <v>1598</v>
      </c>
      <c r="G604" s="2461" t="s">
        <v>1409</v>
      </c>
      <c r="H604" s="2461" t="s">
        <v>1070</v>
      </c>
      <c r="I604" s="2462">
        <v>1.3017608839989054E-3</v>
      </c>
      <c r="J604" s="2462">
        <v>30.05058454565555</v>
      </c>
    </row>
    <row r="605" spans="1:10" outlineLevel="2">
      <c r="A605" s="2459" t="s">
        <v>1669</v>
      </c>
      <c r="B605" s="2459" t="s">
        <v>1640</v>
      </c>
      <c r="C605" s="2459" t="s">
        <v>1672</v>
      </c>
      <c r="D605" s="2460" t="s">
        <v>1671</v>
      </c>
      <c r="E605" s="2461" t="s">
        <v>1573</v>
      </c>
      <c r="F605" s="2461" t="s">
        <v>1599</v>
      </c>
      <c r="G605" s="2461" t="s">
        <v>1409</v>
      </c>
      <c r="H605" s="2461" t="s">
        <v>1070</v>
      </c>
      <c r="I605" s="2462">
        <v>3.5539265391814692E-2</v>
      </c>
      <c r="J605" s="2462">
        <v>1910.5869595798135</v>
      </c>
    </row>
    <row r="606" spans="1:10" outlineLevel="2">
      <c r="A606" s="2459" t="s">
        <v>1669</v>
      </c>
      <c r="B606" s="2459" t="s">
        <v>1640</v>
      </c>
      <c r="C606" s="2459" t="s">
        <v>1672</v>
      </c>
      <c r="D606" s="2460" t="s">
        <v>1671</v>
      </c>
      <c r="E606" s="2461" t="s">
        <v>1573</v>
      </c>
      <c r="F606" s="2461" t="s">
        <v>1600</v>
      </c>
      <c r="G606" s="2461" t="s">
        <v>1412</v>
      </c>
      <c r="H606" s="2461" t="s">
        <v>1116</v>
      </c>
      <c r="I606" s="2462">
        <v>1.9942347194525093E-2</v>
      </c>
      <c r="J606" s="2462">
        <v>482.45847167993406</v>
      </c>
    </row>
    <row r="607" spans="1:10" outlineLevel="2">
      <c r="A607" s="2459" t="s">
        <v>1669</v>
      </c>
      <c r="B607" s="2459" t="s">
        <v>1640</v>
      </c>
      <c r="C607" s="2459" t="s">
        <v>1672</v>
      </c>
      <c r="D607" s="2460" t="s">
        <v>1671</v>
      </c>
      <c r="E607" s="2461" t="s">
        <v>1573</v>
      </c>
      <c r="F607" s="2461" t="s">
        <v>1601</v>
      </c>
      <c r="G607" s="2461" t="s">
        <v>1412</v>
      </c>
      <c r="H607" s="2461" t="s">
        <v>1116</v>
      </c>
      <c r="I607" s="2462">
        <v>9.9245737695688507E-2</v>
      </c>
      <c r="J607" s="2462">
        <v>6999.3143536820235</v>
      </c>
    </row>
    <row r="608" spans="1:10" outlineLevel="2">
      <c r="A608" s="2459" t="s">
        <v>1669</v>
      </c>
      <c r="B608" s="2459" t="s">
        <v>1640</v>
      </c>
      <c r="C608" s="2459" t="s">
        <v>1672</v>
      </c>
      <c r="D608" s="2460" t="s">
        <v>1671</v>
      </c>
      <c r="E608" s="2461" t="s">
        <v>1573</v>
      </c>
      <c r="F608" s="2461" t="s">
        <v>1602</v>
      </c>
      <c r="G608" s="2461" t="s">
        <v>1412</v>
      </c>
      <c r="H608" s="2461" t="s">
        <v>1116</v>
      </c>
      <c r="I608" s="2462">
        <v>5.8301632520093294E-2</v>
      </c>
      <c r="J608" s="2462">
        <v>3057.1560446602048</v>
      </c>
    </row>
    <row r="609" spans="1:10" outlineLevel="2">
      <c r="A609" s="2459" t="s">
        <v>1669</v>
      </c>
      <c r="B609" s="2459" t="s">
        <v>1640</v>
      </c>
      <c r="C609" s="2459" t="s">
        <v>1672</v>
      </c>
      <c r="D609" s="2460" t="s">
        <v>1671</v>
      </c>
      <c r="E609" s="2461" t="s">
        <v>1573</v>
      </c>
      <c r="F609" s="2461" t="s">
        <v>1603</v>
      </c>
      <c r="G609" s="2461" t="s">
        <v>1412</v>
      </c>
      <c r="H609" s="2461" t="s">
        <v>1116</v>
      </c>
      <c r="I609" s="2462">
        <v>6.9010266968299927E-2</v>
      </c>
      <c r="J609" s="2462">
        <v>3100.0759431417509</v>
      </c>
    </row>
    <row r="610" spans="1:10" outlineLevel="2">
      <c r="A610" s="2459" t="s">
        <v>1669</v>
      </c>
      <c r="B610" s="2459" t="s">
        <v>1640</v>
      </c>
      <c r="C610" s="2459" t="s">
        <v>1672</v>
      </c>
      <c r="D610" s="2460" t="s">
        <v>1671</v>
      </c>
      <c r="E610" s="2461" t="s">
        <v>1573</v>
      </c>
      <c r="F610" s="2461" t="s">
        <v>1604</v>
      </c>
      <c r="G610" s="2461" t="s">
        <v>1412</v>
      </c>
      <c r="H610" s="2461" t="s">
        <v>1116</v>
      </c>
      <c r="I610" s="2462">
        <v>4.370794957236337E-3</v>
      </c>
      <c r="J610" s="2462">
        <v>119.55805072830476</v>
      </c>
    </row>
    <row r="611" spans="1:10" outlineLevel="2">
      <c r="A611" s="2459" t="s">
        <v>1669</v>
      </c>
      <c r="B611" s="2459" t="s">
        <v>1640</v>
      </c>
      <c r="C611" s="2459" t="s">
        <v>1672</v>
      </c>
      <c r="D611" s="2460" t="s">
        <v>1671</v>
      </c>
      <c r="E611" s="2461" t="s">
        <v>1573</v>
      </c>
      <c r="F611" s="2461" t="s">
        <v>1605</v>
      </c>
      <c r="G611" s="2461" t="s">
        <v>1412</v>
      </c>
      <c r="H611" s="2461" t="s">
        <v>1116</v>
      </c>
      <c r="I611" s="2462">
        <v>0.41174326918052323</v>
      </c>
      <c r="J611" s="2462">
        <v>13532.519389373574</v>
      </c>
    </row>
    <row r="612" spans="1:10" outlineLevel="2">
      <c r="A612" s="2459" t="s">
        <v>1669</v>
      </c>
      <c r="B612" s="2459" t="s">
        <v>1640</v>
      </c>
      <c r="C612" s="2459" t="s">
        <v>1672</v>
      </c>
      <c r="D612" s="2460" t="s">
        <v>1671</v>
      </c>
      <c r="E612" s="2461" t="s">
        <v>1573</v>
      </c>
      <c r="F612" s="2461" t="s">
        <v>1606</v>
      </c>
      <c r="G612" s="2461" t="s">
        <v>1412</v>
      </c>
      <c r="H612" s="2461" t="s">
        <v>1116</v>
      </c>
      <c r="I612" s="2462">
        <v>5.4416857991642746E-2</v>
      </c>
      <c r="J612" s="2462">
        <v>4411.4149160442266</v>
      </c>
    </row>
    <row r="613" spans="1:10" outlineLevel="2">
      <c r="A613" s="2459" t="s">
        <v>1669</v>
      </c>
      <c r="B613" s="2459" t="s">
        <v>1640</v>
      </c>
      <c r="C613" s="2459" t="s">
        <v>1672</v>
      </c>
      <c r="D613" s="2460" t="s">
        <v>1671</v>
      </c>
      <c r="E613" s="2461" t="s">
        <v>1573</v>
      </c>
      <c r="F613" s="2461" t="s">
        <v>1607</v>
      </c>
      <c r="G613" s="2461" t="s">
        <v>1439</v>
      </c>
      <c r="H613" s="2461" t="s">
        <v>1440</v>
      </c>
      <c r="I613" s="2462">
        <v>2.1649224287773662E-5</v>
      </c>
      <c r="J613" s="2462">
        <v>0.54261368674125909</v>
      </c>
    </row>
    <row r="614" spans="1:10" outlineLevel="2">
      <c r="A614" s="2459" t="s">
        <v>1669</v>
      </c>
      <c r="B614" s="2459" t="s">
        <v>1640</v>
      </c>
      <c r="C614" s="2459" t="s">
        <v>1672</v>
      </c>
      <c r="D614" s="2460" t="s">
        <v>1671</v>
      </c>
      <c r="E614" s="2461" t="s">
        <v>1573</v>
      </c>
      <c r="F614" s="2461" t="s">
        <v>1608</v>
      </c>
      <c r="G614" s="2461" t="s">
        <v>1439</v>
      </c>
      <c r="H614" s="2461" t="s">
        <v>1440</v>
      </c>
      <c r="I614" s="2462">
        <v>2.5444273578983869E-3</v>
      </c>
      <c r="J614" s="2462">
        <v>142.52839981851039</v>
      </c>
    </row>
    <row r="615" spans="1:10" outlineLevel="2">
      <c r="A615" s="2459" t="s">
        <v>1669</v>
      </c>
      <c r="B615" s="2459" t="s">
        <v>1640</v>
      </c>
      <c r="C615" s="2459" t="s">
        <v>1672</v>
      </c>
      <c r="D615" s="2460" t="s">
        <v>1671</v>
      </c>
      <c r="E615" s="2461" t="s">
        <v>1573</v>
      </c>
      <c r="F615" s="2461" t="s">
        <v>1609</v>
      </c>
      <c r="G615" s="2461" t="s">
        <v>1439</v>
      </c>
      <c r="H615" s="2461" t="s">
        <v>1440</v>
      </c>
      <c r="I615" s="2462">
        <v>0.17121602219905269</v>
      </c>
      <c r="J615" s="2462">
        <v>3803.5883200269</v>
      </c>
    </row>
    <row r="616" spans="1:10" outlineLevel="2">
      <c r="A616" s="2459" t="s">
        <v>1669</v>
      </c>
      <c r="B616" s="2459" t="s">
        <v>1640</v>
      </c>
      <c r="C616" s="2459" t="s">
        <v>1672</v>
      </c>
      <c r="D616" s="2460" t="s">
        <v>1671</v>
      </c>
      <c r="E616" s="2461" t="s">
        <v>1573</v>
      </c>
      <c r="F616" s="2461" t="s">
        <v>1610</v>
      </c>
      <c r="G616" s="2461" t="s">
        <v>1439</v>
      </c>
      <c r="H616" s="2461" t="s">
        <v>1440</v>
      </c>
      <c r="I616" s="2462">
        <v>4.502675568479126E-2</v>
      </c>
      <c r="J616" s="2462">
        <v>785.18188801058398</v>
      </c>
    </row>
    <row r="617" spans="1:10" outlineLevel="2">
      <c r="A617" s="2459" t="s">
        <v>1669</v>
      </c>
      <c r="B617" s="2459" t="s">
        <v>1640</v>
      </c>
      <c r="C617" s="2459" t="s">
        <v>1672</v>
      </c>
      <c r="D617" s="2460" t="s">
        <v>1671</v>
      </c>
      <c r="E617" s="2461" t="s">
        <v>1573</v>
      </c>
      <c r="F617" s="2461" t="s">
        <v>1611</v>
      </c>
      <c r="G617" s="2461" t="s">
        <v>1439</v>
      </c>
      <c r="H617" s="2461" t="s">
        <v>1440</v>
      </c>
      <c r="I617" s="2462">
        <v>0.10642565505197879</v>
      </c>
      <c r="J617" s="2462">
        <v>5185.0492351718422</v>
      </c>
    </row>
    <row r="618" spans="1:10" outlineLevel="2">
      <c r="A618" s="2459" t="s">
        <v>1669</v>
      </c>
      <c r="B618" s="2459" t="s">
        <v>1640</v>
      </c>
      <c r="C618" s="2459" t="s">
        <v>1672</v>
      </c>
      <c r="D618" s="2460" t="s">
        <v>1671</v>
      </c>
      <c r="E618" s="2461" t="s">
        <v>1573</v>
      </c>
      <c r="F618" s="2461" t="s">
        <v>1612</v>
      </c>
      <c r="G618" s="2461" t="s">
        <v>1439</v>
      </c>
      <c r="H618" s="2461" t="s">
        <v>1440</v>
      </c>
      <c r="I618" s="2462">
        <v>1.8251538195122947E-2</v>
      </c>
      <c r="J618" s="2462">
        <v>610.92931539932113</v>
      </c>
    </row>
    <row r="619" spans="1:10" outlineLevel="2">
      <c r="A619" s="2459" t="s">
        <v>1669</v>
      </c>
      <c r="B619" s="2459" t="s">
        <v>1640</v>
      </c>
      <c r="C619" s="2459" t="s">
        <v>1672</v>
      </c>
      <c r="D619" s="2460" t="s">
        <v>1671</v>
      </c>
      <c r="E619" s="2461" t="s">
        <v>1573</v>
      </c>
      <c r="F619" s="2461" t="s">
        <v>1613</v>
      </c>
      <c r="G619" s="2461" t="s">
        <v>1439</v>
      </c>
      <c r="H619" s="2461" t="s">
        <v>1440</v>
      </c>
      <c r="I619" s="2462">
        <v>5.1313967676799464E-4</v>
      </c>
      <c r="J619" s="2462">
        <v>15.512835613940654</v>
      </c>
    </row>
    <row r="620" spans="1:10" outlineLevel="2">
      <c r="A620" s="2459" t="s">
        <v>1669</v>
      </c>
      <c r="B620" s="2459" t="s">
        <v>1640</v>
      </c>
      <c r="C620" s="2459" t="s">
        <v>1672</v>
      </c>
      <c r="D620" s="2460" t="s">
        <v>1671</v>
      </c>
      <c r="E620" s="2461" t="s">
        <v>1573</v>
      </c>
      <c r="F620" s="2461" t="s">
        <v>1614</v>
      </c>
      <c r="G620" s="2461" t="s">
        <v>1418</v>
      </c>
      <c r="H620" s="2461" t="s">
        <v>1452</v>
      </c>
      <c r="I620" s="2462">
        <v>6.0601816141228389E-6</v>
      </c>
      <c r="J620" s="2462">
        <v>5.1798807425012472E-2</v>
      </c>
    </row>
    <row r="621" spans="1:10" outlineLevel="2">
      <c r="A621" s="2459" t="s">
        <v>1669</v>
      </c>
      <c r="B621" s="2459" t="s">
        <v>1640</v>
      </c>
      <c r="C621" s="2459" t="s">
        <v>1672</v>
      </c>
      <c r="D621" s="2460" t="s">
        <v>1671</v>
      </c>
      <c r="E621" s="2461" t="s">
        <v>1573</v>
      </c>
      <c r="F621" s="2461" t="s">
        <v>1615</v>
      </c>
      <c r="G621" s="2461" t="s">
        <v>1418</v>
      </c>
      <c r="H621" s="2461" t="s">
        <v>1452</v>
      </c>
      <c r="I621" s="2462">
        <v>3.665818638587421E-2</v>
      </c>
      <c r="J621" s="2462">
        <v>2150.7990276815399</v>
      </c>
    </row>
    <row r="622" spans="1:10" outlineLevel="2">
      <c r="A622" s="2459" t="s">
        <v>1669</v>
      </c>
      <c r="B622" s="2459" t="s">
        <v>1640</v>
      </c>
      <c r="C622" s="2459" t="s">
        <v>1672</v>
      </c>
      <c r="D622" s="2460" t="s">
        <v>1671</v>
      </c>
      <c r="E622" s="2461" t="s">
        <v>1573</v>
      </c>
      <c r="F622" s="2461" t="s">
        <v>1616</v>
      </c>
      <c r="G622" s="2461" t="s">
        <v>1418</v>
      </c>
      <c r="H622" s="2461" t="s">
        <v>1452</v>
      </c>
      <c r="I622" s="2462">
        <v>1.7496584688121704E-3</v>
      </c>
      <c r="J622" s="2462">
        <v>192.83747789685151</v>
      </c>
    </row>
    <row r="623" spans="1:10" outlineLevel="2">
      <c r="A623" s="2459" t="s">
        <v>1669</v>
      </c>
      <c r="B623" s="2459" t="s">
        <v>1640</v>
      </c>
      <c r="C623" s="2459" t="s">
        <v>1672</v>
      </c>
      <c r="D623" s="2460" t="s">
        <v>1671</v>
      </c>
      <c r="E623" s="2461" t="s">
        <v>1573</v>
      </c>
      <c r="F623" s="2461" t="s">
        <v>1617</v>
      </c>
      <c r="G623" s="2461" t="s">
        <v>1418</v>
      </c>
      <c r="H623" s="2461" t="s">
        <v>1452</v>
      </c>
      <c r="I623" s="2462">
        <v>1.3897664817943876E-5</v>
      </c>
      <c r="J623" s="2462">
        <v>1.0673692681060079</v>
      </c>
    </row>
    <row r="624" spans="1:10" outlineLevel="2">
      <c r="A624" s="2459" t="s">
        <v>1669</v>
      </c>
      <c r="B624" s="2459" t="s">
        <v>1640</v>
      </c>
      <c r="C624" s="2459" t="s">
        <v>1672</v>
      </c>
      <c r="D624" s="2460" t="s">
        <v>1671</v>
      </c>
      <c r="E624" s="2461" t="s">
        <v>1573</v>
      </c>
      <c r="F624" s="2461" t="s">
        <v>1618</v>
      </c>
      <c r="G624" s="2461" t="s">
        <v>1418</v>
      </c>
      <c r="H624" s="2461" t="s">
        <v>1452</v>
      </c>
      <c r="I624" s="2462">
        <v>2.7091506739882218E-6</v>
      </c>
      <c r="J624" s="2462">
        <v>0.22422169587327459</v>
      </c>
    </row>
    <row r="625" spans="1:10" outlineLevel="2">
      <c r="A625" s="2459" t="s">
        <v>1669</v>
      </c>
      <c r="B625" s="2459" t="s">
        <v>1640</v>
      </c>
      <c r="C625" s="2459" t="s">
        <v>1672</v>
      </c>
      <c r="D625" s="2460" t="s">
        <v>1671</v>
      </c>
      <c r="E625" s="2461" t="s">
        <v>1573</v>
      </c>
      <c r="F625" s="2461" t="s">
        <v>1619</v>
      </c>
      <c r="G625" s="2461" t="s">
        <v>1418</v>
      </c>
      <c r="H625" s="2461" t="s">
        <v>1452</v>
      </c>
      <c r="I625" s="2462">
        <v>1.7785543885599086E-4</v>
      </c>
      <c r="J625" s="2462">
        <v>16.353461627321806</v>
      </c>
    </row>
    <row r="626" spans="1:10" outlineLevel="2">
      <c r="A626" s="2459" t="s">
        <v>1669</v>
      </c>
      <c r="B626" s="2459" t="s">
        <v>1640</v>
      </c>
      <c r="C626" s="2459" t="s">
        <v>1672</v>
      </c>
      <c r="D626" s="2460" t="s">
        <v>1671</v>
      </c>
      <c r="E626" s="2461" t="s">
        <v>1573</v>
      </c>
      <c r="F626" s="2461" t="s">
        <v>1620</v>
      </c>
      <c r="G626" s="2461" t="s">
        <v>1418</v>
      </c>
      <c r="H626" s="2461" t="s">
        <v>1452</v>
      </c>
      <c r="I626" s="2462">
        <v>3.760319759027589E-7</v>
      </c>
      <c r="J626" s="2462">
        <v>4.5244985479295508E-2</v>
      </c>
    </row>
    <row r="627" spans="1:10" outlineLevel="2">
      <c r="A627" s="2459" t="s">
        <v>1669</v>
      </c>
      <c r="B627" s="2459" t="s">
        <v>1640</v>
      </c>
      <c r="C627" s="2459" t="s">
        <v>1672</v>
      </c>
      <c r="D627" s="2460" t="s">
        <v>1671</v>
      </c>
      <c r="E627" s="2461" t="s">
        <v>1573</v>
      </c>
      <c r="F627" s="2461" t="s">
        <v>1621</v>
      </c>
      <c r="G627" s="2461" t="s">
        <v>1418</v>
      </c>
      <c r="H627" s="2461" t="s">
        <v>1452</v>
      </c>
      <c r="I627" s="2462">
        <v>1.600810627982473E-4</v>
      </c>
      <c r="J627" s="2462">
        <v>15.120939165850141</v>
      </c>
    </row>
    <row r="628" spans="1:10" outlineLevel="2">
      <c r="A628" s="2459" t="s">
        <v>1669</v>
      </c>
      <c r="B628" s="2459" t="s">
        <v>1640</v>
      </c>
      <c r="C628" s="2459" t="s">
        <v>1672</v>
      </c>
      <c r="D628" s="2460" t="s">
        <v>1671</v>
      </c>
      <c r="E628" s="2461" t="s">
        <v>1573</v>
      </c>
      <c r="F628" s="2461" t="s">
        <v>1622</v>
      </c>
      <c r="G628" s="2461" t="s">
        <v>1418</v>
      </c>
      <c r="H628" s="2461" t="s">
        <v>1452</v>
      </c>
      <c r="I628" s="2462">
        <v>4.7330804836248364E-4</v>
      </c>
      <c r="J628" s="2462">
        <v>42.079083280607421</v>
      </c>
    </row>
    <row r="629" spans="1:10" outlineLevel="2">
      <c r="A629" s="2459" t="s">
        <v>1669</v>
      </c>
      <c r="B629" s="2459" t="s">
        <v>1640</v>
      </c>
      <c r="C629" s="2459" t="s">
        <v>1672</v>
      </c>
      <c r="D629" s="2460" t="s">
        <v>1671</v>
      </c>
      <c r="E629" s="2461" t="s">
        <v>1573</v>
      </c>
      <c r="F629" s="2461" t="s">
        <v>1623</v>
      </c>
      <c r="G629" s="2461" t="s">
        <v>1418</v>
      </c>
      <c r="H629" s="2461" t="s">
        <v>1452</v>
      </c>
      <c r="I629" s="2462">
        <v>7.1782774242959099E-4</v>
      </c>
      <c r="J629" s="2462">
        <v>31.027919812502361</v>
      </c>
    </row>
    <row r="630" spans="1:10" outlineLevel="2">
      <c r="A630" s="2459" t="s">
        <v>1669</v>
      </c>
      <c r="B630" s="2459" t="s">
        <v>1640</v>
      </c>
      <c r="C630" s="2459" t="s">
        <v>1672</v>
      </c>
      <c r="D630" s="2460" t="s">
        <v>1671</v>
      </c>
      <c r="E630" s="2461" t="s">
        <v>1573</v>
      </c>
      <c r="F630" s="2461" t="s">
        <v>1624</v>
      </c>
      <c r="G630" s="2461" t="s">
        <v>1421</v>
      </c>
      <c r="H630" s="2461" t="s">
        <v>1454</v>
      </c>
      <c r="I630" s="2462">
        <v>0.18119054772330367</v>
      </c>
      <c r="J630" s="2462">
        <v>6625.5891903392785</v>
      </c>
    </row>
    <row r="631" spans="1:10" outlineLevel="2">
      <c r="A631" s="2459" t="s">
        <v>1669</v>
      </c>
      <c r="B631" s="2459" t="s">
        <v>1640</v>
      </c>
      <c r="C631" s="2459" t="s">
        <v>1672</v>
      </c>
      <c r="D631" s="2460" t="s">
        <v>1671</v>
      </c>
      <c r="E631" s="2461" t="s">
        <v>1573</v>
      </c>
      <c r="F631" s="2461" t="s">
        <v>1625</v>
      </c>
      <c r="G631" s="2461" t="s">
        <v>1421</v>
      </c>
      <c r="H631" s="2461" t="s">
        <v>1454</v>
      </c>
      <c r="I631" s="2462">
        <v>4.2730306722524689E-2</v>
      </c>
      <c r="J631" s="2462">
        <v>1563.7600531982614</v>
      </c>
    </row>
    <row r="632" spans="1:10" outlineLevel="2">
      <c r="A632" s="2459" t="s">
        <v>1669</v>
      </c>
      <c r="B632" s="2459" t="s">
        <v>1640</v>
      </c>
      <c r="C632" s="2459" t="s">
        <v>1672</v>
      </c>
      <c r="D632" s="2460" t="s">
        <v>1671</v>
      </c>
      <c r="E632" s="2461" t="s">
        <v>1573</v>
      </c>
      <c r="F632" s="2461" t="s">
        <v>1626</v>
      </c>
      <c r="G632" s="2461" t="s">
        <v>1421</v>
      </c>
      <c r="H632" s="2461" t="s">
        <v>1454</v>
      </c>
      <c r="I632" s="2462">
        <v>0.11992598975727055</v>
      </c>
      <c r="J632" s="2462">
        <v>4338.4610812087831</v>
      </c>
    </row>
    <row r="633" spans="1:10" outlineLevel="2">
      <c r="A633" s="2459" t="s">
        <v>1669</v>
      </c>
      <c r="B633" s="2459" t="s">
        <v>1640</v>
      </c>
      <c r="C633" s="2459" t="s">
        <v>1672</v>
      </c>
      <c r="D633" s="2460" t="s">
        <v>1671</v>
      </c>
      <c r="E633" s="2461" t="s">
        <v>1573</v>
      </c>
      <c r="F633" s="2461" t="s">
        <v>1627</v>
      </c>
      <c r="G633" s="2461" t="s">
        <v>1421</v>
      </c>
      <c r="H633" s="2461" t="s">
        <v>1454</v>
      </c>
      <c r="I633" s="2462">
        <v>0.10126752771362019</v>
      </c>
      <c r="J633" s="2462">
        <v>2202.769254627171</v>
      </c>
    </row>
    <row r="634" spans="1:10" outlineLevel="2">
      <c r="A634" s="2459" t="s">
        <v>1669</v>
      </c>
      <c r="B634" s="2459" t="s">
        <v>1640</v>
      </c>
      <c r="C634" s="2459" t="s">
        <v>1672</v>
      </c>
      <c r="D634" s="2460" t="s">
        <v>1671</v>
      </c>
      <c r="E634" s="2461" t="s">
        <v>1573</v>
      </c>
      <c r="F634" s="2461" t="s">
        <v>1628</v>
      </c>
      <c r="G634" s="2461" t="s">
        <v>1421</v>
      </c>
      <c r="H634" s="2461" t="s">
        <v>1454</v>
      </c>
      <c r="I634" s="2462">
        <v>5.0374909361982504E-3</v>
      </c>
      <c r="J634" s="2462">
        <v>211.85114869792943</v>
      </c>
    </row>
    <row r="635" spans="1:10" outlineLevel="2">
      <c r="A635" s="2459" t="s">
        <v>1669</v>
      </c>
      <c r="B635" s="2459" t="s">
        <v>1640</v>
      </c>
      <c r="C635" s="2459" t="s">
        <v>1672</v>
      </c>
      <c r="D635" s="2460" t="s">
        <v>1671</v>
      </c>
      <c r="E635" s="2461" t="s">
        <v>1573</v>
      </c>
      <c r="F635" s="2461" t="s">
        <v>1629</v>
      </c>
      <c r="G635" s="2461" t="s">
        <v>1421</v>
      </c>
      <c r="H635" s="2461" t="s">
        <v>1454</v>
      </c>
      <c r="I635" s="2462">
        <v>5.8278013939419525E-3</v>
      </c>
      <c r="J635" s="2462">
        <v>187.50523168520076</v>
      </c>
    </row>
    <row r="636" spans="1:10" outlineLevel="2">
      <c r="A636" s="2459" t="s">
        <v>1669</v>
      </c>
      <c r="B636" s="2459" t="s">
        <v>1640</v>
      </c>
      <c r="C636" s="2459" t="s">
        <v>1672</v>
      </c>
      <c r="D636" s="2460" t="s">
        <v>1671</v>
      </c>
      <c r="E636" s="2461" t="s">
        <v>1573</v>
      </c>
      <c r="F636" s="2461" t="s">
        <v>1630</v>
      </c>
      <c r="G636" s="2461" t="s">
        <v>1459</v>
      </c>
      <c r="H636" s="2461" t="s">
        <v>1460</v>
      </c>
      <c r="I636" s="2462">
        <v>4.3966189939270914E-3</v>
      </c>
      <c r="J636" s="2462">
        <v>288.14507999763799</v>
      </c>
    </row>
    <row r="637" spans="1:10" outlineLevel="2">
      <c r="A637" s="2459" t="s">
        <v>1669</v>
      </c>
      <c r="B637" s="2459" t="s">
        <v>1640</v>
      </c>
      <c r="C637" s="2459" t="s">
        <v>1672</v>
      </c>
      <c r="D637" s="2460" t="s">
        <v>1671</v>
      </c>
      <c r="E637" s="2461" t="s">
        <v>1573</v>
      </c>
      <c r="F637" s="2461" t="s">
        <v>1643</v>
      </c>
      <c r="G637" s="2461" t="s">
        <v>1412</v>
      </c>
      <c r="H637" s="2461" t="s">
        <v>1116</v>
      </c>
      <c r="I637" s="2462">
        <v>4.6144460379188229E-3</v>
      </c>
      <c r="J637" s="2462">
        <v>146.58617839097403</v>
      </c>
    </row>
    <row r="638" spans="1:10" outlineLevel="2">
      <c r="A638" s="2459" t="s">
        <v>1669</v>
      </c>
      <c r="B638" s="2459" t="s">
        <v>1640</v>
      </c>
      <c r="C638" s="2459" t="s">
        <v>1672</v>
      </c>
      <c r="D638" s="2460" t="s">
        <v>1671</v>
      </c>
      <c r="E638" s="2461" t="s">
        <v>1573</v>
      </c>
      <c r="F638" s="2461" t="s">
        <v>1633</v>
      </c>
      <c r="G638" s="2461" t="s">
        <v>215</v>
      </c>
      <c r="H638" s="2461" t="s">
        <v>1537</v>
      </c>
      <c r="I638" s="2462">
        <v>1.0952582429895569E-2</v>
      </c>
      <c r="J638" s="2462">
        <v>244.1787438697643</v>
      </c>
    </row>
    <row r="639" spans="1:10" outlineLevel="2">
      <c r="A639" s="2459" t="s">
        <v>1669</v>
      </c>
      <c r="B639" s="2459" t="s">
        <v>1640</v>
      </c>
      <c r="C639" s="2459" t="s">
        <v>1672</v>
      </c>
      <c r="D639" s="2460" t="s">
        <v>1676</v>
      </c>
      <c r="E639" s="2461" t="s">
        <v>213</v>
      </c>
      <c r="F639" s="2461" t="s">
        <v>1635</v>
      </c>
      <c r="G639" s="2461" t="s">
        <v>1636</v>
      </c>
      <c r="H639" s="2461" t="s">
        <v>1637</v>
      </c>
      <c r="I639" s="2462">
        <v>7.6416446812835532E-5</v>
      </c>
      <c r="J639" s="2462">
        <v>0.25812196598747422</v>
      </c>
    </row>
    <row r="640" spans="1:10" outlineLevel="2">
      <c r="A640" s="2459" t="s">
        <v>1669</v>
      </c>
      <c r="B640" s="2459" t="s">
        <v>1640</v>
      </c>
      <c r="C640" s="2459" t="s">
        <v>1672</v>
      </c>
      <c r="D640" s="2460" t="s">
        <v>1676</v>
      </c>
      <c r="E640" s="2461" t="s">
        <v>1538</v>
      </c>
      <c r="F640" s="2461" t="s">
        <v>1638</v>
      </c>
      <c r="G640" s="2461" t="s">
        <v>1636</v>
      </c>
      <c r="H640" s="2461" t="s">
        <v>1540</v>
      </c>
      <c r="I640" s="2462">
        <v>8.5930569014407572E-6</v>
      </c>
      <c r="J640" s="2462">
        <v>0.1440233810627862</v>
      </c>
    </row>
    <row r="641" spans="1:10" outlineLevel="2">
      <c r="A641" s="2459" t="s">
        <v>1669</v>
      </c>
      <c r="B641" s="2459" t="s">
        <v>1640</v>
      </c>
      <c r="C641" s="2459" t="s">
        <v>1672</v>
      </c>
      <c r="D641" s="2460" t="s">
        <v>1676</v>
      </c>
      <c r="E641" s="2461" t="s">
        <v>1573</v>
      </c>
      <c r="F641" s="2461" t="s">
        <v>1639</v>
      </c>
      <c r="G641" s="2461" t="s">
        <v>1636</v>
      </c>
      <c r="H641" s="2461" t="s">
        <v>1637</v>
      </c>
      <c r="I641" s="2462">
        <v>1.4958394590879517E-4</v>
      </c>
      <c r="J641" s="2462">
        <v>7.9662347979523824</v>
      </c>
    </row>
    <row r="642" spans="1:10" outlineLevel="2">
      <c r="A642" s="2459" t="s">
        <v>1669</v>
      </c>
      <c r="B642" s="2459" t="s">
        <v>1644</v>
      </c>
      <c r="C642" s="2459" t="s">
        <v>1672</v>
      </c>
      <c r="D642" s="2460" t="s">
        <v>1671</v>
      </c>
      <c r="E642" s="2461" t="s">
        <v>1407</v>
      </c>
      <c r="F642" s="2461" t="s">
        <v>1411</v>
      </c>
      <c r="G642" s="2461" t="s">
        <v>1412</v>
      </c>
      <c r="H642" s="2461" t="s">
        <v>1410</v>
      </c>
      <c r="I642" s="2462">
        <v>8.415666465320319</v>
      </c>
      <c r="J642" s="2462">
        <v>1366.6533559220959</v>
      </c>
    </row>
    <row r="643" spans="1:10" outlineLevel="2">
      <c r="A643" s="2459" t="s">
        <v>1669</v>
      </c>
      <c r="B643" s="2459" t="s">
        <v>1644</v>
      </c>
      <c r="C643" s="2459" t="s">
        <v>1672</v>
      </c>
      <c r="D643" s="2460" t="s">
        <v>1671</v>
      </c>
      <c r="E643" s="2461" t="s">
        <v>1407</v>
      </c>
      <c r="F643" s="2461" t="s">
        <v>1413</v>
      </c>
      <c r="G643" s="2461" t="s">
        <v>1412</v>
      </c>
      <c r="H643" s="2461" t="s">
        <v>1410</v>
      </c>
      <c r="I643" s="2462">
        <v>6.8343518224160283E-3</v>
      </c>
      <c r="J643" s="2462">
        <v>1.1577977635992966</v>
      </c>
    </row>
    <row r="644" spans="1:10" outlineLevel="2">
      <c r="A644" s="2459" t="s">
        <v>1669</v>
      </c>
      <c r="B644" s="2459" t="s">
        <v>1644</v>
      </c>
      <c r="C644" s="2459" t="s">
        <v>1672</v>
      </c>
      <c r="D644" s="2460" t="s">
        <v>1671</v>
      </c>
      <c r="E644" s="2461" t="s">
        <v>1407</v>
      </c>
      <c r="F644" s="2461" t="s">
        <v>1414</v>
      </c>
      <c r="G644" s="2461" t="s">
        <v>1412</v>
      </c>
      <c r="H644" s="2461" t="s">
        <v>1410</v>
      </c>
      <c r="I644" s="2462">
        <v>3.4344423885246983E-3</v>
      </c>
      <c r="J644" s="2462">
        <v>0.6309210301488688</v>
      </c>
    </row>
    <row r="645" spans="1:10" outlineLevel="2">
      <c r="A645" s="2459" t="s">
        <v>1669</v>
      </c>
      <c r="B645" s="2459" t="s">
        <v>1644</v>
      </c>
      <c r="C645" s="2459" t="s">
        <v>1672</v>
      </c>
      <c r="D645" s="2460" t="s">
        <v>1671</v>
      </c>
      <c r="E645" s="2461" t="s">
        <v>1407</v>
      </c>
      <c r="F645" s="2461" t="s">
        <v>1415</v>
      </c>
      <c r="G645" s="2461" t="s">
        <v>1412</v>
      </c>
      <c r="H645" s="2461" t="s">
        <v>1410</v>
      </c>
      <c r="I645" s="2462">
        <v>2.6936985743735032E-2</v>
      </c>
      <c r="J645" s="2462">
        <v>4.2908194662887107</v>
      </c>
    </row>
    <row r="646" spans="1:10" outlineLevel="2">
      <c r="A646" s="2459" t="s">
        <v>1669</v>
      </c>
      <c r="B646" s="2459" t="s">
        <v>1644</v>
      </c>
      <c r="C646" s="2459" t="s">
        <v>1672</v>
      </c>
      <c r="D646" s="2460" t="s">
        <v>1671</v>
      </c>
      <c r="E646" s="2461" t="s">
        <v>1407</v>
      </c>
      <c r="F646" s="2461" t="s">
        <v>1416</v>
      </c>
      <c r="G646" s="2461" t="s">
        <v>1412</v>
      </c>
      <c r="H646" s="2461" t="s">
        <v>1410</v>
      </c>
      <c r="I646" s="2462">
        <v>3.1436285260917227E-2</v>
      </c>
      <c r="J646" s="2462">
        <v>7.7330595208526205</v>
      </c>
    </row>
    <row r="647" spans="1:10" outlineLevel="2">
      <c r="A647" s="2459" t="s">
        <v>1669</v>
      </c>
      <c r="B647" s="2459" t="s">
        <v>1644</v>
      </c>
      <c r="C647" s="2459" t="s">
        <v>1672</v>
      </c>
      <c r="D647" s="2460" t="s">
        <v>1671</v>
      </c>
      <c r="E647" s="2461" t="s">
        <v>1407</v>
      </c>
      <c r="F647" s="2461" t="s">
        <v>1420</v>
      </c>
      <c r="G647" s="2461" t="s">
        <v>1421</v>
      </c>
      <c r="H647" s="2461" t="s">
        <v>1410</v>
      </c>
      <c r="I647" s="2462">
        <v>6.3717900396821001</v>
      </c>
      <c r="J647" s="2462">
        <v>165.36489331754933</v>
      </c>
    </row>
    <row r="648" spans="1:10" outlineLevel="2">
      <c r="A648" s="2459" t="s">
        <v>1669</v>
      </c>
      <c r="B648" s="2459" t="s">
        <v>1644</v>
      </c>
      <c r="C648" s="2459" t="s">
        <v>1672</v>
      </c>
      <c r="D648" s="2460" t="s">
        <v>1671</v>
      </c>
      <c r="E648" s="2461" t="s">
        <v>1407</v>
      </c>
      <c r="F648" s="2461" t="s">
        <v>1422</v>
      </c>
      <c r="G648" s="2461" t="s">
        <v>1421</v>
      </c>
      <c r="H648" s="2461" t="s">
        <v>1410</v>
      </c>
      <c r="I648" s="2462">
        <v>0.19268207658176165</v>
      </c>
      <c r="J648" s="2462">
        <v>7.8948035206596527</v>
      </c>
    </row>
    <row r="649" spans="1:10" outlineLevel="2">
      <c r="A649" s="2459" t="s">
        <v>1669</v>
      </c>
      <c r="B649" s="2459" t="s">
        <v>1644</v>
      </c>
      <c r="C649" s="2459" t="s">
        <v>1672</v>
      </c>
      <c r="D649" s="2460" t="s">
        <v>1671</v>
      </c>
      <c r="E649" s="2461" t="s">
        <v>1407</v>
      </c>
      <c r="F649" s="2461" t="s">
        <v>1423</v>
      </c>
      <c r="G649" s="2461" t="s">
        <v>1421</v>
      </c>
      <c r="H649" s="2461" t="s">
        <v>1410</v>
      </c>
      <c r="I649" s="2462">
        <v>0.10015141178151515</v>
      </c>
      <c r="J649" s="2462">
        <v>11.541304726870429</v>
      </c>
    </row>
    <row r="650" spans="1:10" outlineLevel="2">
      <c r="A650" s="2459" t="s">
        <v>1669</v>
      </c>
      <c r="B650" s="2459" t="s">
        <v>1644</v>
      </c>
      <c r="C650" s="2459" t="s">
        <v>1672</v>
      </c>
      <c r="D650" s="2460" t="s">
        <v>1671</v>
      </c>
      <c r="E650" s="2461" t="s">
        <v>1407</v>
      </c>
      <c r="F650" s="2461" t="s">
        <v>1424</v>
      </c>
      <c r="G650" s="2461" t="s">
        <v>1421</v>
      </c>
      <c r="H650" s="2461" t="s">
        <v>1410</v>
      </c>
      <c r="I650" s="2462">
        <v>1.95851381749511</v>
      </c>
      <c r="J650" s="2462">
        <v>409.84912294792457</v>
      </c>
    </row>
    <row r="651" spans="1:10" outlineLevel="2">
      <c r="A651" s="2459" t="s">
        <v>1669</v>
      </c>
      <c r="B651" s="2459" t="s">
        <v>1644</v>
      </c>
      <c r="C651" s="2459" t="s">
        <v>1672</v>
      </c>
      <c r="D651" s="2460" t="s">
        <v>1671</v>
      </c>
      <c r="E651" s="2461" t="s">
        <v>1407</v>
      </c>
      <c r="F651" s="2461" t="s">
        <v>1641</v>
      </c>
      <c r="G651" s="2461" t="s">
        <v>1412</v>
      </c>
      <c r="H651" s="2461" t="s">
        <v>1410</v>
      </c>
      <c r="I651" s="2462">
        <v>3.2298052061064723E-2</v>
      </c>
      <c r="J651" s="2462">
        <v>7.3396805580313709</v>
      </c>
    </row>
    <row r="652" spans="1:10" outlineLevel="2">
      <c r="A652" s="2459" t="s">
        <v>1669</v>
      </c>
      <c r="B652" s="2459" t="s">
        <v>1644</v>
      </c>
      <c r="C652" s="2459" t="s">
        <v>1672</v>
      </c>
      <c r="D652" s="2460" t="s">
        <v>1671</v>
      </c>
      <c r="E652" s="2461" t="s">
        <v>213</v>
      </c>
      <c r="F652" s="2461" t="s">
        <v>1436</v>
      </c>
      <c r="G652" s="2461" t="s">
        <v>1412</v>
      </c>
      <c r="H652" s="2461" t="s">
        <v>1116</v>
      </c>
      <c r="I652" s="2462">
        <v>8.3348564519347985E-3</v>
      </c>
      <c r="J652" s="2462">
        <v>3.730240809837178</v>
      </c>
    </row>
    <row r="653" spans="1:10" outlineLevel="2">
      <c r="A653" s="2459" t="s">
        <v>1669</v>
      </c>
      <c r="B653" s="2459" t="s">
        <v>1644</v>
      </c>
      <c r="C653" s="2459" t="s">
        <v>1672</v>
      </c>
      <c r="D653" s="2460" t="s">
        <v>1671</v>
      </c>
      <c r="E653" s="2461" t="s">
        <v>213</v>
      </c>
      <c r="F653" s="2461" t="s">
        <v>1437</v>
      </c>
      <c r="G653" s="2461" t="s">
        <v>1412</v>
      </c>
      <c r="H653" s="2461" t="s">
        <v>1116</v>
      </c>
      <c r="I653" s="2462">
        <v>6.3779497127512469E-4</v>
      </c>
      <c r="J653" s="2462">
        <v>0.28544315315864771</v>
      </c>
    </row>
    <row r="654" spans="1:10" outlineLevel="2">
      <c r="A654" s="2459" t="s">
        <v>1669</v>
      </c>
      <c r="B654" s="2459" t="s">
        <v>1644</v>
      </c>
      <c r="C654" s="2459" t="s">
        <v>1672</v>
      </c>
      <c r="D654" s="2460" t="s">
        <v>1671</v>
      </c>
      <c r="E654" s="2461" t="s">
        <v>213</v>
      </c>
      <c r="F654" s="2461" t="s">
        <v>1438</v>
      </c>
      <c r="G654" s="2461" t="s">
        <v>1439</v>
      </c>
      <c r="H654" s="2461" t="s">
        <v>1440</v>
      </c>
      <c r="I654" s="2462">
        <v>4.7008931698069398E-2</v>
      </c>
      <c r="J654" s="2462">
        <v>25.745208896091892</v>
      </c>
    </row>
    <row r="655" spans="1:10" outlineLevel="2">
      <c r="A655" s="2459" t="s">
        <v>1669</v>
      </c>
      <c r="B655" s="2459" t="s">
        <v>1644</v>
      </c>
      <c r="C655" s="2459" t="s">
        <v>1672</v>
      </c>
      <c r="D655" s="2460" t="s">
        <v>1671</v>
      </c>
      <c r="E655" s="2461" t="s">
        <v>213</v>
      </c>
      <c r="F655" s="2461" t="s">
        <v>1441</v>
      </c>
      <c r="G655" s="2461" t="s">
        <v>1439</v>
      </c>
      <c r="H655" s="2461" t="s">
        <v>1440</v>
      </c>
      <c r="I655" s="2462">
        <v>4.623443980215021E-2</v>
      </c>
      <c r="J655" s="2462">
        <v>24.848500696824043</v>
      </c>
    </row>
    <row r="656" spans="1:10" outlineLevel="2">
      <c r="A656" s="2459" t="s">
        <v>1669</v>
      </c>
      <c r="B656" s="2459" t="s">
        <v>1644</v>
      </c>
      <c r="C656" s="2459" t="s">
        <v>1672</v>
      </c>
      <c r="D656" s="2460" t="s">
        <v>1671</v>
      </c>
      <c r="E656" s="2461" t="s">
        <v>213</v>
      </c>
      <c r="F656" s="2461" t="s">
        <v>1442</v>
      </c>
      <c r="G656" s="2461" t="s">
        <v>1439</v>
      </c>
      <c r="H656" s="2461" t="s">
        <v>1440</v>
      </c>
      <c r="I656" s="2462">
        <v>0.6616280082640309</v>
      </c>
      <c r="J656" s="2462">
        <v>343.74690648604093</v>
      </c>
    </row>
    <row r="657" spans="1:10" outlineLevel="2">
      <c r="A657" s="2459" t="s">
        <v>1669</v>
      </c>
      <c r="B657" s="2459" t="s">
        <v>1644</v>
      </c>
      <c r="C657" s="2459" t="s">
        <v>1672</v>
      </c>
      <c r="D657" s="2460" t="s">
        <v>1671</v>
      </c>
      <c r="E657" s="2461" t="s">
        <v>213</v>
      </c>
      <c r="F657" s="2461" t="s">
        <v>1443</v>
      </c>
      <c r="G657" s="2461" t="s">
        <v>1439</v>
      </c>
      <c r="H657" s="2461" t="s">
        <v>1440</v>
      </c>
      <c r="I657" s="2462">
        <v>0.43717316644172804</v>
      </c>
      <c r="J657" s="2462">
        <v>239.31028713109725</v>
      </c>
    </row>
    <row r="658" spans="1:10" outlineLevel="2">
      <c r="A658" s="2459" t="s">
        <v>1669</v>
      </c>
      <c r="B658" s="2459" t="s">
        <v>1644</v>
      </c>
      <c r="C658" s="2459" t="s">
        <v>1672</v>
      </c>
      <c r="D658" s="2460" t="s">
        <v>1671</v>
      </c>
      <c r="E658" s="2461" t="s">
        <v>213</v>
      </c>
      <c r="F658" s="2461" t="s">
        <v>1444</v>
      </c>
      <c r="G658" s="2461" t="s">
        <v>1439</v>
      </c>
      <c r="H658" s="2461" t="s">
        <v>1440</v>
      </c>
      <c r="I658" s="2462">
        <v>0.81277294006215473</v>
      </c>
      <c r="J658" s="2462">
        <v>477.39005586441192</v>
      </c>
    </row>
    <row r="659" spans="1:10" outlineLevel="2">
      <c r="A659" s="2459" t="s">
        <v>1669</v>
      </c>
      <c r="B659" s="2459" t="s">
        <v>1644</v>
      </c>
      <c r="C659" s="2459" t="s">
        <v>1672</v>
      </c>
      <c r="D659" s="2460" t="s">
        <v>1671</v>
      </c>
      <c r="E659" s="2461" t="s">
        <v>213</v>
      </c>
      <c r="F659" s="2461" t="s">
        <v>1445</v>
      </c>
      <c r="G659" s="2461" t="s">
        <v>1439</v>
      </c>
      <c r="H659" s="2461" t="s">
        <v>1440</v>
      </c>
      <c r="I659" s="2462">
        <v>0.41366870684556434</v>
      </c>
      <c r="J659" s="2462">
        <v>209.12503132337292</v>
      </c>
    </row>
    <row r="660" spans="1:10" outlineLevel="2">
      <c r="A660" s="2459" t="s">
        <v>1669</v>
      </c>
      <c r="B660" s="2459" t="s">
        <v>1644</v>
      </c>
      <c r="C660" s="2459" t="s">
        <v>1672</v>
      </c>
      <c r="D660" s="2460" t="s">
        <v>1671</v>
      </c>
      <c r="E660" s="2461" t="s">
        <v>213</v>
      </c>
      <c r="F660" s="2461" t="s">
        <v>1446</v>
      </c>
      <c r="G660" s="2461" t="s">
        <v>1439</v>
      </c>
      <c r="H660" s="2461" t="s">
        <v>1440</v>
      </c>
      <c r="I660" s="2462">
        <v>0.57287951354962252</v>
      </c>
      <c r="J660" s="2462">
        <v>307.24722616242025</v>
      </c>
    </row>
    <row r="661" spans="1:10" outlineLevel="2">
      <c r="A661" s="2459" t="s">
        <v>1669</v>
      </c>
      <c r="B661" s="2459" t="s">
        <v>1644</v>
      </c>
      <c r="C661" s="2459" t="s">
        <v>1672</v>
      </c>
      <c r="D661" s="2460" t="s">
        <v>1671</v>
      </c>
      <c r="E661" s="2461" t="s">
        <v>213</v>
      </c>
      <c r="F661" s="2461" t="s">
        <v>1447</v>
      </c>
      <c r="G661" s="2461" t="s">
        <v>1439</v>
      </c>
      <c r="H661" s="2461" t="s">
        <v>1440</v>
      </c>
      <c r="I661" s="2462">
        <v>0.36510131514788369</v>
      </c>
      <c r="J661" s="2462">
        <v>195.27274578222486</v>
      </c>
    </row>
    <row r="662" spans="1:10" outlineLevel="2">
      <c r="A662" s="2459" t="s">
        <v>1669</v>
      </c>
      <c r="B662" s="2459" t="s">
        <v>1644</v>
      </c>
      <c r="C662" s="2459" t="s">
        <v>1672</v>
      </c>
      <c r="D662" s="2460" t="s">
        <v>1671</v>
      </c>
      <c r="E662" s="2461" t="s">
        <v>213</v>
      </c>
      <c r="F662" s="2461" t="s">
        <v>1448</v>
      </c>
      <c r="G662" s="2461" t="s">
        <v>1439</v>
      </c>
      <c r="H662" s="2461" t="s">
        <v>1440</v>
      </c>
      <c r="I662" s="2462">
        <v>1.0382846068262683</v>
      </c>
      <c r="J662" s="2462">
        <v>152.0185274692017</v>
      </c>
    </row>
    <row r="663" spans="1:10" outlineLevel="2">
      <c r="A663" s="2459" t="s">
        <v>1669</v>
      </c>
      <c r="B663" s="2459" t="s">
        <v>1644</v>
      </c>
      <c r="C663" s="2459" t="s">
        <v>1672</v>
      </c>
      <c r="D663" s="2460" t="s">
        <v>1671</v>
      </c>
      <c r="E663" s="2461" t="s">
        <v>213</v>
      </c>
      <c r="F663" s="2461" t="s">
        <v>1449</v>
      </c>
      <c r="G663" s="2461" t="s">
        <v>1439</v>
      </c>
      <c r="H663" s="2461" t="s">
        <v>1440</v>
      </c>
      <c r="I663" s="2462">
        <v>0.485630764962238</v>
      </c>
      <c r="J663" s="2462">
        <v>71.10076061745049</v>
      </c>
    </row>
    <row r="664" spans="1:10" outlineLevel="2">
      <c r="A664" s="2459" t="s">
        <v>1669</v>
      </c>
      <c r="B664" s="2459" t="s">
        <v>1644</v>
      </c>
      <c r="C664" s="2459" t="s">
        <v>1672</v>
      </c>
      <c r="D664" s="2460" t="s">
        <v>1671</v>
      </c>
      <c r="E664" s="2461" t="s">
        <v>213</v>
      </c>
      <c r="F664" s="2461" t="s">
        <v>1450</v>
      </c>
      <c r="G664" s="2461" t="s">
        <v>1439</v>
      </c>
      <c r="H664" s="2461" t="s">
        <v>1440</v>
      </c>
      <c r="I664" s="2462">
        <v>2.0882388203532882E-4</v>
      </c>
      <c r="J664" s="2462">
        <v>0.10419902400009197</v>
      </c>
    </row>
    <row r="665" spans="1:10" outlineLevel="2">
      <c r="A665" s="2459" t="s">
        <v>1669</v>
      </c>
      <c r="B665" s="2459" t="s">
        <v>1644</v>
      </c>
      <c r="C665" s="2459" t="s">
        <v>1672</v>
      </c>
      <c r="D665" s="2460" t="s">
        <v>1671</v>
      </c>
      <c r="E665" s="2461" t="s">
        <v>213</v>
      </c>
      <c r="F665" s="2461" t="s">
        <v>1453</v>
      </c>
      <c r="G665" s="2461" t="s">
        <v>1421</v>
      </c>
      <c r="H665" s="2461" t="s">
        <v>1454</v>
      </c>
      <c r="I665" s="2462">
        <v>5.6152984514977633E-2</v>
      </c>
      <c r="J665" s="2462">
        <v>27.801857515551042</v>
      </c>
    </row>
    <row r="666" spans="1:10" outlineLevel="2">
      <c r="A666" s="2459" t="s">
        <v>1669</v>
      </c>
      <c r="B666" s="2459" t="s">
        <v>1644</v>
      </c>
      <c r="C666" s="2459" t="s">
        <v>1672</v>
      </c>
      <c r="D666" s="2460" t="s">
        <v>1671</v>
      </c>
      <c r="E666" s="2461" t="s">
        <v>213</v>
      </c>
      <c r="F666" s="2461" t="s">
        <v>1455</v>
      </c>
      <c r="G666" s="2461" t="s">
        <v>1421</v>
      </c>
      <c r="H666" s="2461" t="s">
        <v>1454</v>
      </c>
      <c r="I666" s="2462">
        <v>0.35834525771099246</v>
      </c>
      <c r="J666" s="2462">
        <v>185.4696772587487</v>
      </c>
    </row>
    <row r="667" spans="1:10" outlineLevel="2">
      <c r="A667" s="2459" t="s">
        <v>1669</v>
      </c>
      <c r="B667" s="2459" t="s">
        <v>1644</v>
      </c>
      <c r="C667" s="2459" t="s">
        <v>1672</v>
      </c>
      <c r="D667" s="2460" t="s">
        <v>1671</v>
      </c>
      <c r="E667" s="2461" t="s">
        <v>213</v>
      </c>
      <c r="F667" s="2461" t="s">
        <v>1456</v>
      </c>
      <c r="G667" s="2461" t="s">
        <v>1421</v>
      </c>
      <c r="H667" s="2461" t="s">
        <v>1454</v>
      </c>
      <c r="I667" s="2462">
        <v>1.4373185342064044E-4</v>
      </c>
      <c r="J667" s="2462">
        <v>6.4326609561427259E-2</v>
      </c>
    </row>
    <row r="668" spans="1:10" outlineLevel="2">
      <c r="A668" s="2459" t="s">
        <v>1669</v>
      </c>
      <c r="B668" s="2459" t="s">
        <v>1644</v>
      </c>
      <c r="C668" s="2459" t="s">
        <v>1672</v>
      </c>
      <c r="D668" s="2460" t="s">
        <v>1671</v>
      </c>
      <c r="E668" s="2461" t="s">
        <v>213</v>
      </c>
      <c r="F668" s="2461" t="s">
        <v>1457</v>
      </c>
      <c r="G668" s="2461" t="s">
        <v>1421</v>
      </c>
      <c r="H668" s="2461" t="s">
        <v>1454</v>
      </c>
      <c r="I668" s="2462">
        <v>2.5071386843184096E-3</v>
      </c>
      <c r="J668" s="2462">
        <v>1.1220606216985505</v>
      </c>
    </row>
    <row r="669" spans="1:10" outlineLevel="2">
      <c r="A669" s="2459" t="s">
        <v>1669</v>
      </c>
      <c r="B669" s="2459" t="s">
        <v>1644</v>
      </c>
      <c r="C669" s="2459" t="s">
        <v>1672</v>
      </c>
      <c r="D669" s="2460" t="s">
        <v>1671</v>
      </c>
      <c r="E669" s="2461" t="s">
        <v>213</v>
      </c>
      <c r="F669" s="2461" t="s">
        <v>1463</v>
      </c>
      <c r="G669" s="2461" t="s">
        <v>1426</v>
      </c>
      <c r="H669" s="2461" t="s">
        <v>1427</v>
      </c>
      <c r="I669" s="2462">
        <v>0.34252603908197471</v>
      </c>
      <c r="J669" s="2462">
        <v>455.46394954793743</v>
      </c>
    </row>
    <row r="670" spans="1:10" outlineLevel="2">
      <c r="A670" s="2459" t="s">
        <v>1669</v>
      </c>
      <c r="B670" s="2459" t="s">
        <v>1644</v>
      </c>
      <c r="C670" s="2459" t="s">
        <v>1672</v>
      </c>
      <c r="D670" s="2460" t="s">
        <v>1671</v>
      </c>
      <c r="E670" s="2461" t="s">
        <v>213</v>
      </c>
      <c r="F670" s="2461" t="s">
        <v>1484</v>
      </c>
      <c r="G670" s="2461" t="s">
        <v>1412</v>
      </c>
      <c r="H670" s="2461" t="s">
        <v>1116</v>
      </c>
      <c r="I670" s="2462">
        <v>0.20630579359087392</v>
      </c>
      <c r="J670" s="2462">
        <v>413.47847606462284</v>
      </c>
    </row>
    <row r="671" spans="1:10" outlineLevel="2">
      <c r="A671" s="2459" t="s">
        <v>1669</v>
      </c>
      <c r="B671" s="2459" t="s">
        <v>1644</v>
      </c>
      <c r="C671" s="2459" t="s">
        <v>1672</v>
      </c>
      <c r="D671" s="2460" t="s">
        <v>1671</v>
      </c>
      <c r="E671" s="2461" t="s">
        <v>213</v>
      </c>
      <c r="F671" s="2461" t="s">
        <v>1485</v>
      </c>
      <c r="G671" s="2461" t="s">
        <v>1412</v>
      </c>
      <c r="H671" s="2461" t="s">
        <v>1116</v>
      </c>
      <c r="I671" s="2462">
        <v>0.14822517214504927</v>
      </c>
      <c r="J671" s="2462">
        <v>1564.8094706435127</v>
      </c>
    </row>
    <row r="672" spans="1:10" outlineLevel="2">
      <c r="A672" s="2459" t="s">
        <v>1669</v>
      </c>
      <c r="B672" s="2459" t="s">
        <v>1644</v>
      </c>
      <c r="C672" s="2459" t="s">
        <v>1672</v>
      </c>
      <c r="D672" s="2460" t="s">
        <v>1671</v>
      </c>
      <c r="E672" s="2461" t="s">
        <v>213</v>
      </c>
      <c r="F672" s="2461" t="s">
        <v>1486</v>
      </c>
      <c r="G672" s="2461" t="s">
        <v>1412</v>
      </c>
      <c r="H672" s="2461" t="s">
        <v>1116</v>
      </c>
      <c r="I672" s="2462">
        <v>0.12299459931750885</v>
      </c>
      <c r="J672" s="2462">
        <v>336.24927438571473</v>
      </c>
    </row>
    <row r="673" spans="1:10" outlineLevel="2">
      <c r="A673" s="2459" t="s">
        <v>1669</v>
      </c>
      <c r="B673" s="2459" t="s">
        <v>1644</v>
      </c>
      <c r="C673" s="2459" t="s">
        <v>1672</v>
      </c>
      <c r="D673" s="2460" t="s">
        <v>1671</v>
      </c>
      <c r="E673" s="2461" t="s">
        <v>213</v>
      </c>
      <c r="F673" s="2461" t="s">
        <v>1487</v>
      </c>
      <c r="G673" s="2461" t="s">
        <v>1412</v>
      </c>
      <c r="H673" s="2461" t="s">
        <v>1116</v>
      </c>
      <c r="I673" s="2462">
        <v>0.47310748053154844</v>
      </c>
      <c r="J673" s="2462">
        <v>631.56870740646491</v>
      </c>
    </row>
    <row r="674" spans="1:10" outlineLevel="2">
      <c r="A674" s="2459" t="s">
        <v>1669</v>
      </c>
      <c r="B674" s="2459" t="s">
        <v>1644</v>
      </c>
      <c r="C674" s="2459" t="s">
        <v>1672</v>
      </c>
      <c r="D674" s="2460" t="s">
        <v>1671</v>
      </c>
      <c r="E674" s="2461" t="s">
        <v>213</v>
      </c>
      <c r="F674" s="2461" t="s">
        <v>1488</v>
      </c>
      <c r="G674" s="2461" t="s">
        <v>1412</v>
      </c>
      <c r="H674" s="2461" t="s">
        <v>1116</v>
      </c>
      <c r="I674" s="2462">
        <v>1.3347292901720143E-2</v>
      </c>
      <c r="J674" s="2462">
        <v>28.979058756872277</v>
      </c>
    </row>
    <row r="675" spans="1:10" outlineLevel="2">
      <c r="A675" s="2459" t="s">
        <v>1669</v>
      </c>
      <c r="B675" s="2459" t="s">
        <v>1644</v>
      </c>
      <c r="C675" s="2459" t="s">
        <v>1672</v>
      </c>
      <c r="D675" s="2460" t="s">
        <v>1671</v>
      </c>
      <c r="E675" s="2461" t="s">
        <v>213</v>
      </c>
      <c r="F675" s="2461" t="s">
        <v>1489</v>
      </c>
      <c r="G675" s="2461" t="s">
        <v>1412</v>
      </c>
      <c r="H675" s="2461" t="s">
        <v>1116</v>
      </c>
      <c r="I675" s="2462">
        <v>1.4043672234942895E-2</v>
      </c>
      <c r="J675" s="2462">
        <v>20.849128995177566</v>
      </c>
    </row>
    <row r="676" spans="1:10" outlineLevel="2">
      <c r="A676" s="2459" t="s">
        <v>1669</v>
      </c>
      <c r="B676" s="2459" t="s">
        <v>1644</v>
      </c>
      <c r="C676" s="2459" t="s">
        <v>1672</v>
      </c>
      <c r="D676" s="2460" t="s">
        <v>1671</v>
      </c>
      <c r="E676" s="2461" t="s">
        <v>213</v>
      </c>
      <c r="F676" s="2461" t="s">
        <v>1490</v>
      </c>
      <c r="G676" s="2461" t="s">
        <v>1412</v>
      </c>
      <c r="H676" s="2461" t="s">
        <v>1116</v>
      </c>
      <c r="I676" s="2462">
        <v>9.7177602815913602E-3</v>
      </c>
      <c r="J676" s="2462">
        <v>138.19695670289741</v>
      </c>
    </row>
    <row r="677" spans="1:10" outlineLevel="2">
      <c r="A677" s="2459" t="s">
        <v>1669</v>
      </c>
      <c r="B677" s="2459" t="s">
        <v>1644</v>
      </c>
      <c r="C677" s="2459" t="s">
        <v>1672</v>
      </c>
      <c r="D677" s="2460" t="s">
        <v>1671</v>
      </c>
      <c r="E677" s="2461" t="s">
        <v>213</v>
      </c>
      <c r="F677" s="2461" t="s">
        <v>1491</v>
      </c>
      <c r="G677" s="2461" t="s">
        <v>1439</v>
      </c>
      <c r="H677" s="2461" t="s">
        <v>1440</v>
      </c>
      <c r="I677" s="2462">
        <v>4.0623036699521045</v>
      </c>
      <c r="J677" s="2462">
        <v>4342.5403003817255</v>
      </c>
    </row>
    <row r="678" spans="1:10" outlineLevel="2">
      <c r="A678" s="2459" t="s">
        <v>1669</v>
      </c>
      <c r="B678" s="2459" t="s">
        <v>1644</v>
      </c>
      <c r="C678" s="2459" t="s">
        <v>1672</v>
      </c>
      <c r="D678" s="2460" t="s">
        <v>1671</v>
      </c>
      <c r="E678" s="2461" t="s">
        <v>213</v>
      </c>
      <c r="F678" s="2461" t="s">
        <v>1492</v>
      </c>
      <c r="G678" s="2461" t="s">
        <v>1439</v>
      </c>
      <c r="H678" s="2461" t="s">
        <v>1440</v>
      </c>
      <c r="I678" s="2462">
        <v>0.45075249339129952</v>
      </c>
      <c r="J678" s="2462">
        <v>611.29465070597132</v>
      </c>
    </row>
    <row r="679" spans="1:10" outlineLevel="2">
      <c r="A679" s="2459" t="s">
        <v>1669</v>
      </c>
      <c r="B679" s="2459" t="s">
        <v>1644</v>
      </c>
      <c r="C679" s="2459" t="s">
        <v>1672</v>
      </c>
      <c r="D679" s="2460" t="s">
        <v>1671</v>
      </c>
      <c r="E679" s="2461" t="s">
        <v>213</v>
      </c>
      <c r="F679" s="2461" t="s">
        <v>1493</v>
      </c>
      <c r="G679" s="2461" t="s">
        <v>1439</v>
      </c>
      <c r="H679" s="2461" t="s">
        <v>1440</v>
      </c>
      <c r="I679" s="2462">
        <v>0.34970204186636311</v>
      </c>
      <c r="J679" s="2462">
        <v>373.6829459755009</v>
      </c>
    </row>
    <row r="680" spans="1:10" outlineLevel="2">
      <c r="A680" s="2459" t="s">
        <v>1669</v>
      </c>
      <c r="B680" s="2459" t="s">
        <v>1644</v>
      </c>
      <c r="C680" s="2459" t="s">
        <v>1672</v>
      </c>
      <c r="D680" s="2460" t="s">
        <v>1671</v>
      </c>
      <c r="E680" s="2461" t="s">
        <v>213</v>
      </c>
      <c r="F680" s="2461" t="s">
        <v>1494</v>
      </c>
      <c r="G680" s="2461" t="s">
        <v>1439</v>
      </c>
      <c r="H680" s="2461" t="s">
        <v>1440</v>
      </c>
      <c r="I680" s="2462">
        <v>0.28725179511836613</v>
      </c>
      <c r="J680" s="2462">
        <v>362.59778305793361</v>
      </c>
    </row>
    <row r="681" spans="1:10" outlineLevel="2">
      <c r="A681" s="2459" t="s">
        <v>1669</v>
      </c>
      <c r="B681" s="2459" t="s">
        <v>1644</v>
      </c>
      <c r="C681" s="2459" t="s">
        <v>1672</v>
      </c>
      <c r="D681" s="2460" t="s">
        <v>1671</v>
      </c>
      <c r="E681" s="2461" t="s">
        <v>213</v>
      </c>
      <c r="F681" s="2461" t="s">
        <v>1495</v>
      </c>
      <c r="G681" s="2461" t="s">
        <v>1439</v>
      </c>
      <c r="H681" s="2461" t="s">
        <v>1440</v>
      </c>
      <c r="I681" s="2462">
        <v>1.9050234448086685E-2</v>
      </c>
      <c r="J681" s="2462">
        <v>24.138952316957955</v>
      </c>
    </row>
    <row r="682" spans="1:10" outlineLevel="2">
      <c r="A682" s="2459" t="s">
        <v>1669</v>
      </c>
      <c r="B682" s="2459" t="s">
        <v>1644</v>
      </c>
      <c r="C682" s="2459" t="s">
        <v>1672</v>
      </c>
      <c r="D682" s="2460" t="s">
        <v>1671</v>
      </c>
      <c r="E682" s="2461" t="s">
        <v>213</v>
      </c>
      <c r="F682" s="2461" t="s">
        <v>1496</v>
      </c>
      <c r="G682" s="2461" t="s">
        <v>1439</v>
      </c>
      <c r="H682" s="2461" t="s">
        <v>1440</v>
      </c>
      <c r="I682" s="2462">
        <v>1.0007290229797475E-2</v>
      </c>
      <c r="J682" s="2462">
        <v>14.159119851389333</v>
      </c>
    </row>
    <row r="683" spans="1:10" outlineLevel="2">
      <c r="A683" s="2459" t="s">
        <v>1669</v>
      </c>
      <c r="B683" s="2459" t="s">
        <v>1644</v>
      </c>
      <c r="C683" s="2459" t="s">
        <v>1672</v>
      </c>
      <c r="D683" s="2460" t="s">
        <v>1671</v>
      </c>
      <c r="E683" s="2461" t="s">
        <v>213</v>
      </c>
      <c r="F683" s="2461" t="s">
        <v>1497</v>
      </c>
      <c r="G683" s="2461" t="s">
        <v>1439</v>
      </c>
      <c r="H683" s="2461" t="s">
        <v>1440</v>
      </c>
      <c r="I683" s="2462">
        <v>3.6281702990101874E-2</v>
      </c>
      <c r="J683" s="2462">
        <v>46.051669604058347</v>
      </c>
    </row>
    <row r="684" spans="1:10" outlineLevel="2">
      <c r="A684" s="2459" t="s">
        <v>1669</v>
      </c>
      <c r="B684" s="2459" t="s">
        <v>1644</v>
      </c>
      <c r="C684" s="2459" t="s">
        <v>1672</v>
      </c>
      <c r="D684" s="2460" t="s">
        <v>1671</v>
      </c>
      <c r="E684" s="2461" t="s">
        <v>213</v>
      </c>
      <c r="F684" s="2461" t="s">
        <v>1498</v>
      </c>
      <c r="G684" s="2461" t="s">
        <v>1439</v>
      </c>
      <c r="H684" s="2461" t="s">
        <v>1440</v>
      </c>
      <c r="I684" s="2462">
        <v>0.34200707004931208</v>
      </c>
      <c r="J684" s="2462">
        <v>581.01397805557849</v>
      </c>
    </row>
    <row r="685" spans="1:10" outlineLevel="2">
      <c r="A685" s="2459" t="s">
        <v>1669</v>
      </c>
      <c r="B685" s="2459" t="s">
        <v>1644</v>
      </c>
      <c r="C685" s="2459" t="s">
        <v>1672</v>
      </c>
      <c r="D685" s="2460" t="s">
        <v>1671</v>
      </c>
      <c r="E685" s="2461" t="s">
        <v>213</v>
      </c>
      <c r="F685" s="2461" t="s">
        <v>1499</v>
      </c>
      <c r="G685" s="2461" t="s">
        <v>1439</v>
      </c>
      <c r="H685" s="2461" t="s">
        <v>1440</v>
      </c>
      <c r="I685" s="2462">
        <v>0.92269406244238739</v>
      </c>
      <c r="J685" s="2462">
        <v>491.46636092993697</v>
      </c>
    </row>
    <row r="686" spans="1:10" outlineLevel="2">
      <c r="A686" s="2459" t="s">
        <v>1669</v>
      </c>
      <c r="B686" s="2459" t="s">
        <v>1644</v>
      </c>
      <c r="C686" s="2459" t="s">
        <v>1672</v>
      </c>
      <c r="D686" s="2460" t="s">
        <v>1671</v>
      </c>
      <c r="E686" s="2461" t="s">
        <v>213</v>
      </c>
      <c r="F686" s="2461" t="s">
        <v>1500</v>
      </c>
      <c r="G686" s="2461" t="s">
        <v>1439</v>
      </c>
      <c r="H686" s="2461" t="s">
        <v>1440</v>
      </c>
      <c r="I686" s="2462">
        <v>0.43160011372763324</v>
      </c>
      <c r="J686" s="2462">
        <v>229.86169512525186</v>
      </c>
    </row>
    <row r="687" spans="1:10" outlineLevel="2">
      <c r="A687" s="2459" t="s">
        <v>1669</v>
      </c>
      <c r="B687" s="2459" t="s">
        <v>1644</v>
      </c>
      <c r="C687" s="2459" t="s">
        <v>1672</v>
      </c>
      <c r="D687" s="2460" t="s">
        <v>1671</v>
      </c>
      <c r="E687" s="2461" t="s">
        <v>213</v>
      </c>
      <c r="F687" s="2461" t="s">
        <v>1501</v>
      </c>
      <c r="G687" s="2461" t="s">
        <v>1439</v>
      </c>
      <c r="H687" s="2461" t="s">
        <v>1440</v>
      </c>
      <c r="I687" s="2462">
        <v>0.60528803254602093</v>
      </c>
      <c r="J687" s="2462">
        <v>881.98320684730618</v>
      </c>
    </row>
    <row r="688" spans="1:10" outlineLevel="2">
      <c r="A688" s="2459" t="s">
        <v>1669</v>
      </c>
      <c r="B688" s="2459" t="s">
        <v>1644</v>
      </c>
      <c r="C688" s="2459" t="s">
        <v>1672</v>
      </c>
      <c r="D688" s="2460" t="s">
        <v>1671</v>
      </c>
      <c r="E688" s="2461" t="s">
        <v>213</v>
      </c>
      <c r="F688" s="2461" t="s">
        <v>1502</v>
      </c>
      <c r="G688" s="2461" t="s">
        <v>1439</v>
      </c>
      <c r="H688" s="2461" t="s">
        <v>1440</v>
      </c>
      <c r="I688" s="2462">
        <v>5.1476050222605416E-2</v>
      </c>
      <c r="J688" s="2462">
        <v>77.664738910082988</v>
      </c>
    </row>
    <row r="689" spans="1:10" outlineLevel="2">
      <c r="A689" s="2459" t="s">
        <v>1669</v>
      </c>
      <c r="B689" s="2459" t="s">
        <v>1644</v>
      </c>
      <c r="C689" s="2459" t="s">
        <v>1672</v>
      </c>
      <c r="D689" s="2460" t="s">
        <v>1671</v>
      </c>
      <c r="E689" s="2461" t="s">
        <v>213</v>
      </c>
      <c r="F689" s="2461" t="s">
        <v>1503</v>
      </c>
      <c r="G689" s="2461" t="s">
        <v>1439</v>
      </c>
      <c r="H689" s="2461" t="s">
        <v>1440</v>
      </c>
      <c r="I689" s="2462">
        <v>6.791457933978691E-2</v>
      </c>
      <c r="J689" s="2462">
        <v>87.908808280977325</v>
      </c>
    </row>
    <row r="690" spans="1:10" outlineLevel="2">
      <c r="A690" s="2459" t="s">
        <v>1669</v>
      </c>
      <c r="B690" s="2459" t="s">
        <v>1644</v>
      </c>
      <c r="C690" s="2459" t="s">
        <v>1672</v>
      </c>
      <c r="D690" s="2460" t="s">
        <v>1671</v>
      </c>
      <c r="E690" s="2461" t="s">
        <v>213</v>
      </c>
      <c r="F690" s="2461" t="s">
        <v>1504</v>
      </c>
      <c r="G690" s="2461" t="s">
        <v>1439</v>
      </c>
      <c r="H690" s="2461" t="s">
        <v>1440</v>
      </c>
      <c r="I690" s="2462">
        <v>3.465441787606157E-2</v>
      </c>
      <c r="J690" s="2462">
        <v>41.738588400731466</v>
      </c>
    </row>
    <row r="691" spans="1:10" outlineLevel="2">
      <c r="A691" s="2459" t="s">
        <v>1669</v>
      </c>
      <c r="B691" s="2459" t="s">
        <v>1644</v>
      </c>
      <c r="C691" s="2459" t="s">
        <v>1672</v>
      </c>
      <c r="D691" s="2460" t="s">
        <v>1671</v>
      </c>
      <c r="E691" s="2461" t="s">
        <v>213</v>
      </c>
      <c r="F691" s="2461" t="s">
        <v>1505</v>
      </c>
      <c r="G691" s="2461" t="s">
        <v>1439</v>
      </c>
      <c r="H691" s="2461" t="s">
        <v>1440</v>
      </c>
      <c r="I691" s="2462">
        <v>8.0949606085040067</v>
      </c>
      <c r="J691" s="2462">
        <v>11822.267157484939</v>
      </c>
    </row>
    <row r="692" spans="1:10" outlineLevel="2">
      <c r="A692" s="2459" t="s">
        <v>1669</v>
      </c>
      <c r="B692" s="2459" t="s">
        <v>1644</v>
      </c>
      <c r="C692" s="2459" t="s">
        <v>1672</v>
      </c>
      <c r="D692" s="2460" t="s">
        <v>1671</v>
      </c>
      <c r="E692" s="2461" t="s">
        <v>213</v>
      </c>
      <c r="F692" s="2461" t="s">
        <v>1506</v>
      </c>
      <c r="G692" s="2461" t="s">
        <v>1439</v>
      </c>
      <c r="H692" s="2461" t="s">
        <v>1440</v>
      </c>
      <c r="I692" s="2462">
        <v>0.69940402516791333</v>
      </c>
      <c r="J692" s="2462">
        <v>1055.4669769116222</v>
      </c>
    </row>
    <row r="693" spans="1:10" outlineLevel="2">
      <c r="A693" s="2459" t="s">
        <v>1669</v>
      </c>
      <c r="B693" s="2459" t="s">
        <v>1644</v>
      </c>
      <c r="C693" s="2459" t="s">
        <v>1672</v>
      </c>
      <c r="D693" s="2460" t="s">
        <v>1671</v>
      </c>
      <c r="E693" s="2461" t="s">
        <v>213</v>
      </c>
      <c r="F693" s="2461" t="s">
        <v>1507</v>
      </c>
      <c r="G693" s="2461" t="s">
        <v>1439</v>
      </c>
      <c r="H693" s="2461" t="s">
        <v>1440</v>
      </c>
      <c r="I693" s="2462">
        <v>7.8262060462321509E-2</v>
      </c>
      <c r="J693" s="2462">
        <v>176.23540709153428</v>
      </c>
    </row>
    <row r="694" spans="1:10" outlineLevel="2">
      <c r="A694" s="2459" t="s">
        <v>1669</v>
      </c>
      <c r="B694" s="2459" t="s">
        <v>1644</v>
      </c>
      <c r="C694" s="2459" t="s">
        <v>1672</v>
      </c>
      <c r="D694" s="2460" t="s">
        <v>1671</v>
      </c>
      <c r="E694" s="2461" t="s">
        <v>213</v>
      </c>
      <c r="F694" s="2461" t="s">
        <v>1508</v>
      </c>
      <c r="G694" s="2461" t="s">
        <v>1439</v>
      </c>
      <c r="H694" s="2461" t="s">
        <v>1440</v>
      </c>
      <c r="I694" s="2462">
        <v>2.1541988541794668</v>
      </c>
      <c r="J694" s="2462">
        <v>3407.1154872048451</v>
      </c>
    </row>
    <row r="695" spans="1:10" outlineLevel="2">
      <c r="A695" s="2459" t="s">
        <v>1669</v>
      </c>
      <c r="B695" s="2459" t="s">
        <v>1644</v>
      </c>
      <c r="C695" s="2459" t="s">
        <v>1672</v>
      </c>
      <c r="D695" s="2460" t="s">
        <v>1671</v>
      </c>
      <c r="E695" s="2461" t="s">
        <v>213</v>
      </c>
      <c r="F695" s="2461" t="s">
        <v>1509</v>
      </c>
      <c r="G695" s="2461" t="s">
        <v>1439</v>
      </c>
      <c r="H695" s="2461" t="s">
        <v>1440</v>
      </c>
      <c r="I695" s="2462">
        <v>0.36852910079338513</v>
      </c>
      <c r="J695" s="2462">
        <v>420.23939556872216</v>
      </c>
    </row>
    <row r="696" spans="1:10" outlineLevel="2">
      <c r="A696" s="2459" t="s">
        <v>1669</v>
      </c>
      <c r="B696" s="2459" t="s">
        <v>1644</v>
      </c>
      <c r="C696" s="2459" t="s">
        <v>1672</v>
      </c>
      <c r="D696" s="2460" t="s">
        <v>1671</v>
      </c>
      <c r="E696" s="2461" t="s">
        <v>213</v>
      </c>
      <c r="F696" s="2461" t="s">
        <v>1510</v>
      </c>
      <c r="G696" s="2461" t="s">
        <v>1439</v>
      </c>
      <c r="H696" s="2461" t="s">
        <v>1440</v>
      </c>
      <c r="I696" s="2462">
        <v>9.039921183635137E-2</v>
      </c>
      <c r="J696" s="2462">
        <v>104.69496063246987</v>
      </c>
    </row>
    <row r="697" spans="1:10" outlineLevel="2">
      <c r="A697" s="2459" t="s">
        <v>1669</v>
      </c>
      <c r="B697" s="2459" t="s">
        <v>1644</v>
      </c>
      <c r="C697" s="2459" t="s">
        <v>1672</v>
      </c>
      <c r="D697" s="2460" t="s">
        <v>1671</v>
      </c>
      <c r="E697" s="2461" t="s">
        <v>213</v>
      </c>
      <c r="F697" s="2461" t="s">
        <v>1521</v>
      </c>
      <c r="G697" s="2461" t="s">
        <v>1421</v>
      </c>
      <c r="H697" s="2461" t="s">
        <v>1454</v>
      </c>
      <c r="I697" s="2462">
        <v>4.127235802094714</v>
      </c>
      <c r="J697" s="2462">
        <v>5720.5708846256603</v>
      </c>
    </row>
    <row r="698" spans="1:10" outlineLevel="2">
      <c r="A698" s="2459" t="s">
        <v>1669</v>
      </c>
      <c r="B698" s="2459" t="s">
        <v>1644</v>
      </c>
      <c r="C698" s="2459" t="s">
        <v>1672</v>
      </c>
      <c r="D698" s="2460" t="s">
        <v>1671</v>
      </c>
      <c r="E698" s="2461" t="s">
        <v>213</v>
      </c>
      <c r="F698" s="2461" t="s">
        <v>1522</v>
      </c>
      <c r="G698" s="2461" t="s">
        <v>1421</v>
      </c>
      <c r="H698" s="2461" t="s">
        <v>1454</v>
      </c>
      <c r="I698" s="2462">
        <v>0.96942779046159766</v>
      </c>
      <c r="J698" s="2462">
        <v>1431.2357138609946</v>
      </c>
    </row>
    <row r="699" spans="1:10" outlineLevel="2">
      <c r="A699" s="2459" t="s">
        <v>1669</v>
      </c>
      <c r="B699" s="2459" t="s">
        <v>1644</v>
      </c>
      <c r="C699" s="2459" t="s">
        <v>1672</v>
      </c>
      <c r="D699" s="2460" t="s">
        <v>1671</v>
      </c>
      <c r="E699" s="2461" t="s">
        <v>213</v>
      </c>
      <c r="F699" s="2461" t="s">
        <v>1523</v>
      </c>
      <c r="G699" s="2461" t="s">
        <v>1421</v>
      </c>
      <c r="H699" s="2461" t="s">
        <v>1454</v>
      </c>
      <c r="I699" s="2462">
        <v>0.447219601214846</v>
      </c>
      <c r="J699" s="2462">
        <v>756.79054420681541</v>
      </c>
    </row>
    <row r="700" spans="1:10" outlineLevel="2">
      <c r="A700" s="2459" t="s">
        <v>1669</v>
      </c>
      <c r="B700" s="2459" t="s">
        <v>1644</v>
      </c>
      <c r="C700" s="2459" t="s">
        <v>1672</v>
      </c>
      <c r="D700" s="2460" t="s">
        <v>1671</v>
      </c>
      <c r="E700" s="2461" t="s">
        <v>213</v>
      </c>
      <c r="F700" s="2461" t="s">
        <v>1524</v>
      </c>
      <c r="G700" s="2461" t="s">
        <v>1421</v>
      </c>
      <c r="H700" s="2461" t="s">
        <v>1454</v>
      </c>
      <c r="I700" s="2462">
        <v>1.0304952408058472</v>
      </c>
      <c r="J700" s="2462">
        <v>1626.8938708462547</v>
      </c>
    </row>
    <row r="701" spans="1:10" outlineLevel="2">
      <c r="A701" s="2459" t="s">
        <v>1669</v>
      </c>
      <c r="B701" s="2459" t="s">
        <v>1644</v>
      </c>
      <c r="C701" s="2459" t="s">
        <v>1672</v>
      </c>
      <c r="D701" s="2460" t="s">
        <v>1671</v>
      </c>
      <c r="E701" s="2461" t="s">
        <v>213</v>
      </c>
      <c r="F701" s="2461" t="s">
        <v>1525</v>
      </c>
      <c r="G701" s="2461" t="s">
        <v>1421</v>
      </c>
      <c r="H701" s="2461" t="s">
        <v>1454</v>
      </c>
      <c r="I701" s="2462">
        <v>1.8153695857061793</v>
      </c>
      <c r="J701" s="2462">
        <v>2570.4506652475598</v>
      </c>
    </row>
    <row r="702" spans="1:10" outlineLevel="2">
      <c r="A702" s="2459" t="s">
        <v>1669</v>
      </c>
      <c r="B702" s="2459" t="s">
        <v>1644</v>
      </c>
      <c r="C702" s="2459" t="s">
        <v>1672</v>
      </c>
      <c r="D702" s="2460" t="s">
        <v>1671</v>
      </c>
      <c r="E702" s="2461" t="s">
        <v>213</v>
      </c>
      <c r="F702" s="2461" t="s">
        <v>1526</v>
      </c>
      <c r="G702" s="2461" t="s">
        <v>1421</v>
      </c>
      <c r="H702" s="2461" t="s">
        <v>1454</v>
      </c>
      <c r="I702" s="2462">
        <v>8.4101257331210516E-2</v>
      </c>
      <c r="J702" s="2462">
        <v>120.60128230460913</v>
      </c>
    </row>
    <row r="703" spans="1:10" outlineLevel="2">
      <c r="A703" s="2459" t="s">
        <v>1669</v>
      </c>
      <c r="B703" s="2459" t="s">
        <v>1644</v>
      </c>
      <c r="C703" s="2459" t="s">
        <v>1672</v>
      </c>
      <c r="D703" s="2460" t="s">
        <v>1671</v>
      </c>
      <c r="E703" s="2461" t="s">
        <v>213</v>
      </c>
      <c r="F703" s="2461" t="s">
        <v>1642</v>
      </c>
      <c r="G703" s="2461" t="s">
        <v>1412</v>
      </c>
      <c r="H703" s="2461" t="s">
        <v>1116</v>
      </c>
      <c r="I703" s="2462">
        <v>8.7566814555132214E-3</v>
      </c>
      <c r="J703" s="2462">
        <v>10.818214320540028</v>
      </c>
    </row>
    <row r="704" spans="1:10" outlineLevel="2">
      <c r="A704" s="2459" t="s">
        <v>1669</v>
      </c>
      <c r="B704" s="2459" t="s">
        <v>1644</v>
      </c>
      <c r="C704" s="2459" t="s">
        <v>1672</v>
      </c>
      <c r="D704" s="2460" t="s">
        <v>1671</v>
      </c>
      <c r="E704" s="2461" t="s">
        <v>213</v>
      </c>
      <c r="F704" s="2461" t="s">
        <v>1529</v>
      </c>
      <c r="G704" s="2461" t="s">
        <v>1530</v>
      </c>
      <c r="H704" s="2461" t="s">
        <v>1531</v>
      </c>
      <c r="I704" s="2462">
        <v>1.7053868602308326</v>
      </c>
      <c r="J704" s="2462">
        <v>1450.9747593065945</v>
      </c>
    </row>
    <row r="705" spans="1:10" outlineLevel="2">
      <c r="A705" s="2459" t="s">
        <v>1669</v>
      </c>
      <c r="B705" s="2459" t="s">
        <v>1644</v>
      </c>
      <c r="C705" s="2459" t="s">
        <v>1672</v>
      </c>
      <c r="D705" s="2460" t="s">
        <v>1671</v>
      </c>
      <c r="E705" s="2461" t="s">
        <v>213</v>
      </c>
      <c r="F705" s="2461" t="s">
        <v>1532</v>
      </c>
      <c r="G705" s="2461" t="s">
        <v>1530</v>
      </c>
      <c r="H705" s="2461" t="s">
        <v>1531</v>
      </c>
      <c r="I705" s="2462">
        <v>0.71781888603068567</v>
      </c>
      <c r="J705" s="2462">
        <v>612.37872820875577</v>
      </c>
    </row>
    <row r="706" spans="1:10" outlineLevel="2">
      <c r="A706" s="2459" t="s">
        <v>1669</v>
      </c>
      <c r="B706" s="2459" t="s">
        <v>1644</v>
      </c>
      <c r="C706" s="2459" t="s">
        <v>1672</v>
      </c>
      <c r="D706" s="2460" t="s">
        <v>1671</v>
      </c>
      <c r="E706" s="2461" t="s">
        <v>213</v>
      </c>
      <c r="F706" s="2461" t="s">
        <v>1533</v>
      </c>
      <c r="G706" s="2461" t="s">
        <v>1534</v>
      </c>
      <c r="H706" s="2461" t="s">
        <v>1531</v>
      </c>
      <c r="I706" s="2462">
        <v>0.39952818436416204</v>
      </c>
      <c r="J706" s="2462">
        <v>671.23351589814263</v>
      </c>
    </row>
    <row r="707" spans="1:10" outlineLevel="2">
      <c r="A707" s="2459" t="s">
        <v>1669</v>
      </c>
      <c r="B707" s="2459" t="s">
        <v>1644</v>
      </c>
      <c r="C707" s="2459" t="s">
        <v>1672</v>
      </c>
      <c r="D707" s="2460" t="s">
        <v>1671</v>
      </c>
      <c r="E707" s="2461" t="s">
        <v>213</v>
      </c>
      <c r="F707" s="2461" t="s">
        <v>1535</v>
      </c>
      <c r="G707" s="2461" t="s">
        <v>1536</v>
      </c>
      <c r="H707" s="2461" t="s">
        <v>1537</v>
      </c>
      <c r="I707" s="2462">
        <v>4.933395936684069E-3</v>
      </c>
      <c r="J707" s="2462">
        <v>7.3518979191002813</v>
      </c>
    </row>
    <row r="708" spans="1:10" outlineLevel="2">
      <c r="A708" s="2459" t="s">
        <v>1669</v>
      </c>
      <c r="B708" s="2459" t="s">
        <v>1644</v>
      </c>
      <c r="C708" s="2459" t="s">
        <v>1672</v>
      </c>
      <c r="D708" s="2460" t="s">
        <v>1671</v>
      </c>
      <c r="E708" s="2461" t="s">
        <v>1538</v>
      </c>
      <c r="F708" s="2461" t="s">
        <v>1555</v>
      </c>
      <c r="G708" s="2461" t="s">
        <v>1412</v>
      </c>
      <c r="H708" s="2461" t="s">
        <v>1540</v>
      </c>
      <c r="I708" s="2462">
        <v>7.2720635008178838E-2</v>
      </c>
      <c r="J708" s="2462">
        <v>223.86254059254185</v>
      </c>
    </row>
    <row r="709" spans="1:10" outlineLevel="2">
      <c r="A709" s="2459" t="s">
        <v>1669</v>
      </c>
      <c r="B709" s="2459" t="s">
        <v>1644</v>
      </c>
      <c r="C709" s="2459" t="s">
        <v>1672</v>
      </c>
      <c r="D709" s="2460" t="s">
        <v>1671</v>
      </c>
      <c r="E709" s="2461" t="s">
        <v>1538</v>
      </c>
      <c r="F709" s="2461" t="s">
        <v>1556</v>
      </c>
      <c r="G709" s="2461" t="s">
        <v>1412</v>
      </c>
      <c r="H709" s="2461" t="s">
        <v>1540</v>
      </c>
      <c r="I709" s="2462">
        <v>1.4457352238549719</v>
      </c>
      <c r="J709" s="2462">
        <v>20362.747001088239</v>
      </c>
    </row>
    <row r="710" spans="1:10" outlineLevel="2">
      <c r="A710" s="2459" t="s">
        <v>1669</v>
      </c>
      <c r="B710" s="2459" t="s">
        <v>1644</v>
      </c>
      <c r="C710" s="2459" t="s">
        <v>1672</v>
      </c>
      <c r="D710" s="2460" t="s">
        <v>1671</v>
      </c>
      <c r="E710" s="2461" t="s">
        <v>1538</v>
      </c>
      <c r="F710" s="2461" t="s">
        <v>1557</v>
      </c>
      <c r="G710" s="2461" t="s">
        <v>1412</v>
      </c>
      <c r="H710" s="2461" t="s">
        <v>1540</v>
      </c>
      <c r="I710" s="2462">
        <v>8.6071907072920451E-3</v>
      </c>
      <c r="J710" s="2462">
        <v>151.69463961127877</v>
      </c>
    </row>
    <row r="711" spans="1:10" outlineLevel="2">
      <c r="A711" s="2459" t="s">
        <v>1669</v>
      </c>
      <c r="B711" s="2459" t="s">
        <v>1644</v>
      </c>
      <c r="C711" s="2459" t="s">
        <v>1672</v>
      </c>
      <c r="D711" s="2460" t="s">
        <v>1671</v>
      </c>
      <c r="E711" s="2461" t="s">
        <v>1538</v>
      </c>
      <c r="F711" s="2461" t="s">
        <v>1558</v>
      </c>
      <c r="G711" s="2461" t="s">
        <v>1412</v>
      </c>
      <c r="H711" s="2461" t="s">
        <v>1540</v>
      </c>
      <c r="I711" s="2462">
        <v>2.8792756189226503E-3</v>
      </c>
      <c r="J711" s="2462">
        <v>47.84989734577632</v>
      </c>
    </row>
    <row r="712" spans="1:10" outlineLevel="2">
      <c r="A712" s="2459" t="s">
        <v>1669</v>
      </c>
      <c r="B712" s="2459" t="s">
        <v>1644</v>
      </c>
      <c r="C712" s="2459" t="s">
        <v>1672</v>
      </c>
      <c r="D712" s="2460" t="s">
        <v>1671</v>
      </c>
      <c r="E712" s="2461" t="s">
        <v>1538</v>
      </c>
      <c r="F712" s="2461" t="s">
        <v>1559</v>
      </c>
      <c r="G712" s="2461" t="s">
        <v>1412</v>
      </c>
      <c r="H712" s="2461" t="s">
        <v>1540</v>
      </c>
      <c r="I712" s="2462">
        <v>3.0743493673605284E-3</v>
      </c>
      <c r="J712" s="2462">
        <v>11.817496666100894</v>
      </c>
    </row>
    <row r="713" spans="1:10" outlineLevel="2">
      <c r="A713" s="2459" t="s">
        <v>1669</v>
      </c>
      <c r="B713" s="2459" t="s">
        <v>1644</v>
      </c>
      <c r="C713" s="2459" t="s">
        <v>1672</v>
      </c>
      <c r="D713" s="2460" t="s">
        <v>1671</v>
      </c>
      <c r="E713" s="2461" t="s">
        <v>1538</v>
      </c>
      <c r="F713" s="2461" t="s">
        <v>1560</v>
      </c>
      <c r="G713" s="2461" t="s">
        <v>1412</v>
      </c>
      <c r="H713" s="2461" t="s">
        <v>1540</v>
      </c>
      <c r="I713" s="2462">
        <v>4.3152300276840605E-3</v>
      </c>
      <c r="J713" s="2462">
        <v>93.981854872527265</v>
      </c>
    </row>
    <row r="714" spans="1:10" outlineLevel="2">
      <c r="A714" s="2459" t="s">
        <v>1669</v>
      </c>
      <c r="B714" s="2459" t="s">
        <v>1644</v>
      </c>
      <c r="C714" s="2459" t="s">
        <v>1672</v>
      </c>
      <c r="D714" s="2460" t="s">
        <v>1671</v>
      </c>
      <c r="E714" s="2461" t="s">
        <v>1538</v>
      </c>
      <c r="F714" s="2461" t="s">
        <v>1561</v>
      </c>
      <c r="G714" s="2461" t="s">
        <v>1439</v>
      </c>
      <c r="H714" s="2461" t="s">
        <v>1540</v>
      </c>
      <c r="I714" s="2462">
        <v>3.8330813929808773E-3</v>
      </c>
      <c r="J714" s="2462">
        <v>58.087665231860548</v>
      </c>
    </row>
    <row r="715" spans="1:10" outlineLevel="2">
      <c r="A715" s="2459" t="s">
        <v>1669</v>
      </c>
      <c r="B715" s="2459" t="s">
        <v>1644</v>
      </c>
      <c r="C715" s="2459" t="s">
        <v>1672</v>
      </c>
      <c r="D715" s="2460" t="s">
        <v>1671</v>
      </c>
      <c r="E715" s="2461" t="s">
        <v>1538</v>
      </c>
      <c r="F715" s="2461" t="s">
        <v>1564</v>
      </c>
      <c r="G715" s="2461" t="s">
        <v>1421</v>
      </c>
      <c r="H715" s="2461" t="s">
        <v>1540</v>
      </c>
      <c r="I715" s="2462">
        <v>0.22390135760118213</v>
      </c>
      <c r="J715" s="2462">
        <v>549.75005949181832</v>
      </c>
    </row>
    <row r="716" spans="1:10" outlineLevel="2">
      <c r="A716" s="2459" t="s">
        <v>1669</v>
      </c>
      <c r="B716" s="2459" t="s">
        <v>1644</v>
      </c>
      <c r="C716" s="2459" t="s">
        <v>1672</v>
      </c>
      <c r="D716" s="2460" t="s">
        <v>1671</v>
      </c>
      <c r="E716" s="2461" t="s">
        <v>1538</v>
      </c>
      <c r="F716" s="2461" t="s">
        <v>1565</v>
      </c>
      <c r="G716" s="2461" t="s">
        <v>1421</v>
      </c>
      <c r="H716" s="2461" t="s">
        <v>1540</v>
      </c>
      <c r="I716" s="2462">
        <v>2.6345650557013798E-2</v>
      </c>
      <c r="J716" s="2462">
        <v>120.33336927388561</v>
      </c>
    </row>
    <row r="717" spans="1:10" outlineLevel="2">
      <c r="A717" s="2459" t="s">
        <v>1669</v>
      </c>
      <c r="B717" s="2459" t="s">
        <v>1644</v>
      </c>
      <c r="C717" s="2459" t="s">
        <v>1672</v>
      </c>
      <c r="D717" s="2460" t="s">
        <v>1671</v>
      </c>
      <c r="E717" s="2461" t="s">
        <v>1538</v>
      </c>
      <c r="F717" s="2461" t="s">
        <v>1566</v>
      </c>
      <c r="G717" s="2461" t="s">
        <v>1421</v>
      </c>
      <c r="H717" s="2461" t="s">
        <v>1540</v>
      </c>
      <c r="I717" s="2462">
        <v>1.3736855650638442E-2</v>
      </c>
      <c r="J717" s="2462">
        <v>140.51016038043201</v>
      </c>
    </row>
    <row r="718" spans="1:10" outlineLevel="2">
      <c r="A718" s="2459" t="s">
        <v>1669</v>
      </c>
      <c r="B718" s="2459" t="s">
        <v>1644</v>
      </c>
      <c r="C718" s="2459" t="s">
        <v>1672</v>
      </c>
      <c r="D718" s="2460" t="s">
        <v>1671</v>
      </c>
      <c r="E718" s="2461" t="s">
        <v>1538</v>
      </c>
      <c r="F718" s="2461" t="s">
        <v>1567</v>
      </c>
      <c r="G718" s="2461" t="s">
        <v>1421</v>
      </c>
      <c r="H718" s="2461" t="s">
        <v>1540</v>
      </c>
      <c r="I718" s="2462">
        <v>2.2741277272547208E-2</v>
      </c>
      <c r="J718" s="2462">
        <v>174.63356689146781</v>
      </c>
    </row>
    <row r="719" spans="1:10" outlineLevel="2">
      <c r="A719" s="2459" t="s">
        <v>1669</v>
      </c>
      <c r="B719" s="2459" t="s">
        <v>1644</v>
      </c>
      <c r="C719" s="2459" t="s">
        <v>1672</v>
      </c>
      <c r="D719" s="2460" t="s">
        <v>1671</v>
      </c>
      <c r="E719" s="2461" t="s">
        <v>1538</v>
      </c>
      <c r="F719" s="2461" t="s">
        <v>1568</v>
      </c>
      <c r="G719" s="2461" t="s">
        <v>1421</v>
      </c>
      <c r="H719" s="2461" t="s">
        <v>1540</v>
      </c>
      <c r="I719" s="2462">
        <v>7.8721567667237348E-4</v>
      </c>
      <c r="J719" s="2462">
        <v>2.3751126785930929</v>
      </c>
    </row>
    <row r="720" spans="1:10" outlineLevel="2">
      <c r="A720" s="2459" t="s">
        <v>1669</v>
      </c>
      <c r="B720" s="2459" t="s">
        <v>1644</v>
      </c>
      <c r="C720" s="2459" t="s">
        <v>1672</v>
      </c>
      <c r="D720" s="2460" t="s">
        <v>1671</v>
      </c>
      <c r="E720" s="2461" t="s">
        <v>1538</v>
      </c>
      <c r="F720" s="2461" t="s">
        <v>1569</v>
      </c>
      <c r="G720" s="2461" t="s">
        <v>1421</v>
      </c>
      <c r="H720" s="2461" t="s">
        <v>1540</v>
      </c>
      <c r="I720" s="2462">
        <v>1.8660786710614696E-4</v>
      </c>
      <c r="J720" s="2462">
        <v>2.1563971162462683</v>
      </c>
    </row>
    <row r="721" spans="1:10" outlineLevel="2">
      <c r="A721" s="2459" t="s">
        <v>1669</v>
      </c>
      <c r="B721" s="2459" t="s">
        <v>1644</v>
      </c>
      <c r="C721" s="2459" t="s">
        <v>1672</v>
      </c>
      <c r="D721" s="2460" t="s">
        <v>1671</v>
      </c>
      <c r="E721" s="2461" t="s">
        <v>1538</v>
      </c>
      <c r="F721" s="2461" t="s">
        <v>1570</v>
      </c>
      <c r="G721" s="2461" t="s">
        <v>899</v>
      </c>
      <c r="H721" s="2461" t="s">
        <v>1540</v>
      </c>
      <c r="I721" s="2462">
        <v>5.1655843853110339E-5</v>
      </c>
      <c r="J721" s="2462">
        <v>0.2231707998139377</v>
      </c>
    </row>
    <row r="722" spans="1:10" outlineLevel="2">
      <c r="A722" s="2459" t="s">
        <v>1669</v>
      </c>
      <c r="B722" s="2459" t="s">
        <v>1644</v>
      </c>
      <c r="C722" s="2459" t="s">
        <v>1672</v>
      </c>
      <c r="D722" s="2460" t="s">
        <v>1671</v>
      </c>
      <c r="E722" s="2461" t="s">
        <v>1400</v>
      </c>
      <c r="F722" s="2461" t="s">
        <v>1571</v>
      </c>
      <c r="G722" s="2461" t="s">
        <v>215</v>
      </c>
      <c r="H722" s="2461" t="s">
        <v>1531</v>
      </c>
      <c r="I722" s="2462">
        <v>1.4171411477082441E-2</v>
      </c>
      <c r="J722" s="2462">
        <v>510.04016097961664</v>
      </c>
    </row>
    <row r="723" spans="1:10" outlineLevel="2">
      <c r="A723" s="2459" t="s">
        <v>1669</v>
      </c>
      <c r="B723" s="2459" t="s">
        <v>1644</v>
      </c>
      <c r="C723" s="2459" t="s">
        <v>1672</v>
      </c>
      <c r="D723" s="2460" t="s">
        <v>1671</v>
      </c>
      <c r="E723" s="2461" t="s">
        <v>1400</v>
      </c>
      <c r="F723" s="2461" t="s">
        <v>1572</v>
      </c>
      <c r="G723" s="2461" t="s">
        <v>215</v>
      </c>
      <c r="H723" s="2461" t="s">
        <v>1531</v>
      </c>
      <c r="I723" s="2462">
        <v>1.5135389527572409E-4</v>
      </c>
      <c r="J723" s="2462">
        <v>2.8710966923012271</v>
      </c>
    </row>
    <row r="724" spans="1:10" outlineLevel="2">
      <c r="A724" s="2459" t="s">
        <v>1669</v>
      </c>
      <c r="B724" s="2459" t="s">
        <v>1644</v>
      </c>
      <c r="C724" s="2459" t="s">
        <v>1672</v>
      </c>
      <c r="D724" s="2460" t="s">
        <v>1671</v>
      </c>
      <c r="E724" s="2461" t="s">
        <v>1573</v>
      </c>
      <c r="F724" s="2461" t="s">
        <v>1600</v>
      </c>
      <c r="G724" s="2461" t="s">
        <v>1412</v>
      </c>
      <c r="H724" s="2461" t="s">
        <v>1116</v>
      </c>
      <c r="I724" s="2462">
        <v>1.513071791409454E-2</v>
      </c>
      <c r="J724" s="2462">
        <v>366.05225928286319</v>
      </c>
    </row>
    <row r="725" spans="1:10" outlineLevel="2">
      <c r="A725" s="2459" t="s">
        <v>1669</v>
      </c>
      <c r="B725" s="2459" t="s">
        <v>1644</v>
      </c>
      <c r="C725" s="2459" t="s">
        <v>1672</v>
      </c>
      <c r="D725" s="2460" t="s">
        <v>1671</v>
      </c>
      <c r="E725" s="2461" t="s">
        <v>1573</v>
      </c>
      <c r="F725" s="2461" t="s">
        <v>1601</v>
      </c>
      <c r="G725" s="2461" t="s">
        <v>1412</v>
      </c>
      <c r="H725" s="2461" t="s">
        <v>1116</v>
      </c>
      <c r="I725" s="2462">
        <v>7.530001815706544E-2</v>
      </c>
      <c r="J725" s="2462">
        <v>5310.5404573267933</v>
      </c>
    </row>
    <row r="726" spans="1:10" outlineLevel="2">
      <c r="A726" s="2459" t="s">
        <v>1669</v>
      </c>
      <c r="B726" s="2459" t="s">
        <v>1644</v>
      </c>
      <c r="C726" s="2459" t="s">
        <v>1672</v>
      </c>
      <c r="D726" s="2460" t="s">
        <v>1671</v>
      </c>
      <c r="E726" s="2461" t="s">
        <v>1573</v>
      </c>
      <c r="F726" s="2461" t="s">
        <v>1602</v>
      </c>
      <c r="G726" s="2461" t="s">
        <v>1412</v>
      </c>
      <c r="H726" s="2461" t="s">
        <v>1116</v>
      </c>
      <c r="I726" s="2462">
        <v>4.423478896871158E-2</v>
      </c>
      <c r="J726" s="2462">
        <v>2319.5347671288619</v>
      </c>
    </row>
    <row r="727" spans="1:10" outlineLevel="2">
      <c r="A727" s="2459" t="s">
        <v>1669</v>
      </c>
      <c r="B727" s="2459" t="s">
        <v>1644</v>
      </c>
      <c r="C727" s="2459" t="s">
        <v>1672</v>
      </c>
      <c r="D727" s="2460" t="s">
        <v>1671</v>
      </c>
      <c r="E727" s="2461" t="s">
        <v>1573</v>
      </c>
      <c r="F727" s="2461" t="s">
        <v>1603</v>
      </c>
      <c r="G727" s="2461" t="s">
        <v>1412</v>
      </c>
      <c r="H727" s="2461" t="s">
        <v>1116</v>
      </c>
      <c r="I727" s="2462">
        <v>5.235967287712593E-2</v>
      </c>
      <c r="J727" s="2462">
        <v>2352.0990114787924</v>
      </c>
    </row>
    <row r="728" spans="1:10" outlineLevel="2">
      <c r="A728" s="2459" t="s">
        <v>1669</v>
      </c>
      <c r="B728" s="2459" t="s">
        <v>1644</v>
      </c>
      <c r="C728" s="2459" t="s">
        <v>1672</v>
      </c>
      <c r="D728" s="2460" t="s">
        <v>1671</v>
      </c>
      <c r="E728" s="2461" t="s">
        <v>1573</v>
      </c>
      <c r="F728" s="2461" t="s">
        <v>1604</v>
      </c>
      <c r="G728" s="2461" t="s">
        <v>1412</v>
      </c>
      <c r="H728" s="2461" t="s">
        <v>1116</v>
      </c>
      <c r="I728" s="2462">
        <v>3.3162229356839381E-3</v>
      </c>
      <c r="J728" s="2462">
        <v>90.711443291637835</v>
      </c>
    </row>
    <row r="729" spans="1:10" outlineLevel="2">
      <c r="A729" s="2459" t="s">
        <v>1669</v>
      </c>
      <c r="B729" s="2459" t="s">
        <v>1644</v>
      </c>
      <c r="C729" s="2459" t="s">
        <v>1672</v>
      </c>
      <c r="D729" s="2460" t="s">
        <v>1671</v>
      </c>
      <c r="E729" s="2461" t="s">
        <v>1573</v>
      </c>
      <c r="F729" s="2461" t="s">
        <v>1605</v>
      </c>
      <c r="G729" s="2461" t="s">
        <v>1412</v>
      </c>
      <c r="H729" s="2461" t="s">
        <v>1116</v>
      </c>
      <c r="I729" s="2462">
        <v>0.3407741983667576</v>
      </c>
      <c r="J729" s="2462">
        <v>11200.016254252751</v>
      </c>
    </row>
    <row r="730" spans="1:10" outlineLevel="2">
      <c r="A730" s="2459" t="s">
        <v>1669</v>
      </c>
      <c r="B730" s="2459" t="s">
        <v>1644</v>
      </c>
      <c r="C730" s="2459" t="s">
        <v>1672</v>
      </c>
      <c r="D730" s="2460" t="s">
        <v>1671</v>
      </c>
      <c r="E730" s="2461" t="s">
        <v>1573</v>
      </c>
      <c r="F730" s="2461" t="s">
        <v>1606</v>
      </c>
      <c r="G730" s="2461" t="s">
        <v>1412</v>
      </c>
      <c r="H730" s="2461" t="s">
        <v>1116</v>
      </c>
      <c r="I730" s="2462">
        <v>4.128730827234639E-2</v>
      </c>
      <c r="J730" s="2462">
        <v>3347.0426473507255</v>
      </c>
    </row>
    <row r="731" spans="1:10" outlineLevel="2">
      <c r="A731" s="2459" t="s">
        <v>1669</v>
      </c>
      <c r="B731" s="2459" t="s">
        <v>1644</v>
      </c>
      <c r="C731" s="2459" t="s">
        <v>1672</v>
      </c>
      <c r="D731" s="2460" t="s">
        <v>1671</v>
      </c>
      <c r="E731" s="2461" t="s">
        <v>1573</v>
      </c>
      <c r="F731" s="2461" t="s">
        <v>1607</v>
      </c>
      <c r="G731" s="2461" t="s">
        <v>1439</v>
      </c>
      <c r="H731" s="2461" t="s">
        <v>1440</v>
      </c>
      <c r="I731" s="2462">
        <v>2.72118746104949E-6</v>
      </c>
      <c r="J731" s="2462">
        <v>6.82035288492642E-2</v>
      </c>
    </row>
    <row r="732" spans="1:10" outlineLevel="2">
      <c r="A732" s="2459" t="s">
        <v>1669</v>
      </c>
      <c r="B732" s="2459" t="s">
        <v>1644</v>
      </c>
      <c r="C732" s="2459" t="s">
        <v>1672</v>
      </c>
      <c r="D732" s="2460" t="s">
        <v>1671</v>
      </c>
      <c r="E732" s="2461" t="s">
        <v>1573</v>
      </c>
      <c r="F732" s="2461" t="s">
        <v>1608</v>
      </c>
      <c r="G732" s="2461" t="s">
        <v>1439</v>
      </c>
      <c r="H732" s="2461" t="s">
        <v>1440</v>
      </c>
      <c r="I732" s="2462">
        <v>3.1982040327565285E-4</v>
      </c>
      <c r="J732" s="2462">
        <v>17.915029682343913</v>
      </c>
    </row>
    <row r="733" spans="1:10" outlineLevel="2">
      <c r="A733" s="2459" t="s">
        <v>1669</v>
      </c>
      <c r="B733" s="2459" t="s">
        <v>1644</v>
      </c>
      <c r="C733" s="2459" t="s">
        <v>1672</v>
      </c>
      <c r="D733" s="2460" t="s">
        <v>1671</v>
      </c>
      <c r="E733" s="2461" t="s">
        <v>1573</v>
      </c>
      <c r="F733" s="2461" t="s">
        <v>1609</v>
      </c>
      <c r="G733" s="2461" t="s">
        <v>1439</v>
      </c>
      <c r="H733" s="2461" t="s">
        <v>1440</v>
      </c>
      <c r="I733" s="2462">
        <v>2.1520901202761952E-2</v>
      </c>
      <c r="J733" s="2462">
        <v>478.08988959337609</v>
      </c>
    </row>
    <row r="734" spans="1:10" outlineLevel="2">
      <c r="A734" s="2459" t="s">
        <v>1669</v>
      </c>
      <c r="B734" s="2459" t="s">
        <v>1644</v>
      </c>
      <c r="C734" s="2459" t="s">
        <v>1672</v>
      </c>
      <c r="D734" s="2460" t="s">
        <v>1671</v>
      </c>
      <c r="E734" s="2461" t="s">
        <v>1573</v>
      </c>
      <c r="F734" s="2461" t="s">
        <v>1610</v>
      </c>
      <c r="G734" s="2461" t="s">
        <v>1439</v>
      </c>
      <c r="H734" s="2461" t="s">
        <v>1440</v>
      </c>
      <c r="I734" s="2462">
        <v>5.6596139045449094E-3</v>
      </c>
      <c r="J734" s="2462">
        <v>98.692976166788029</v>
      </c>
    </row>
    <row r="735" spans="1:10" outlineLevel="2">
      <c r="A735" s="2459" t="s">
        <v>1669</v>
      </c>
      <c r="B735" s="2459" t="s">
        <v>1644</v>
      </c>
      <c r="C735" s="2459" t="s">
        <v>1672</v>
      </c>
      <c r="D735" s="2460" t="s">
        <v>1671</v>
      </c>
      <c r="E735" s="2461" t="s">
        <v>1573</v>
      </c>
      <c r="F735" s="2461" t="s">
        <v>1611</v>
      </c>
      <c r="G735" s="2461" t="s">
        <v>1439</v>
      </c>
      <c r="H735" s="2461" t="s">
        <v>1440</v>
      </c>
      <c r="I735" s="2462">
        <v>1.3377108932948703E-2</v>
      </c>
      <c r="J735" s="2462">
        <v>651.73189488666071</v>
      </c>
    </row>
    <row r="736" spans="1:10" outlineLevel="2">
      <c r="A736" s="2459" t="s">
        <v>1669</v>
      </c>
      <c r="B736" s="2459" t="s">
        <v>1644</v>
      </c>
      <c r="C736" s="2459" t="s">
        <v>1672</v>
      </c>
      <c r="D736" s="2460" t="s">
        <v>1671</v>
      </c>
      <c r="E736" s="2461" t="s">
        <v>1573</v>
      </c>
      <c r="F736" s="2461" t="s">
        <v>1612</v>
      </c>
      <c r="G736" s="2461" t="s">
        <v>1439</v>
      </c>
      <c r="H736" s="2461" t="s">
        <v>1440</v>
      </c>
      <c r="I736" s="2462">
        <v>2.2941172603968525E-3</v>
      </c>
      <c r="J736" s="2462">
        <v>76.790431337239724</v>
      </c>
    </row>
    <row r="737" spans="1:10" outlineLevel="2">
      <c r="A737" s="2459" t="s">
        <v>1669</v>
      </c>
      <c r="B737" s="2459" t="s">
        <v>1644</v>
      </c>
      <c r="C737" s="2459" t="s">
        <v>1672</v>
      </c>
      <c r="D737" s="2460" t="s">
        <v>1671</v>
      </c>
      <c r="E737" s="2461" t="s">
        <v>1573</v>
      </c>
      <c r="F737" s="2461" t="s">
        <v>1613</v>
      </c>
      <c r="G737" s="2461" t="s">
        <v>1439</v>
      </c>
      <c r="H737" s="2461" t="s">
        <v>1440</v>
      </c>
      <c r="I737" s="2462">
        <v>6.4498787688683734E-5</v>
      </c>
      <c r="J737" s="2462">
        <v>1.9498773276562757</v>
      </c>
    </row>
    <row r="738" spans="1:10" outlineLevel="2">
      <c r="A738" s="2459" t="s">
        <v>1669</v>
      </c>
      <c r="B738" s="2459" t="s">
        <v>1644</v>
      </c>
      <c r="C738" s="2459" t="s">
        <v>1672</v>
      </c>
      <c r="D738" s="2460" t="s">
        <v>1671</v>
      </c>
      <c r="E738" s="2461" t="s">
        <v>1573</v>
      </c>
      <c r="F738" s="2461" t="s">
        <v>1624</v>
      </c>
      <c r="G738" s="2461" t="s">
        <v>1421</v>
      </c>
      <c r="H738" s="2461" t="s">
        <v>1454</v>
      </c>
      <c r="I738" s="2462">
        <v>0.11432260831218061</v>
      </c>
      <c r="J738" s="2462">
        <v>4180.4315169952461</v>
      </c>
    </row>
    <row r="739" spans="1:10" outlineLevel="2">
      <c r="A739" s="2459" t="s">
        <v>1669</v>
      </c>
      <c r="B739" s="2459" t="s">
        <v>1644</v>
      </c>
      <c r="C739" s="2459" t="s">
        <v>1672</v>
      </c>
      <c r="D739" s="2460" t="s">
        <v>1671</v>
      </c>
      <c r="E739" s="2461" t="s">
        <v>1573</v>
      </c>
      <c r="F739" s="2461" t="s">
        <v>1625</v>
      </c>
      <c r="G739" s="2461" t="s">
        <v>1421</v>
      </c>
      <c r="H739" s="2461" t="s">
        <v>1454</v>
      </c>
      <c r="I739" s="2462">
        <v>2.6960788602569834E-2</v>
      </c>
      <c r="J739" s="2462">
        <v>986.6580445548534</v>
      </c>
    </row>
    <row r="740" spans="1:10" outlineLevel="2">
      <c r="A740" s="2459" t="s">
        <v>1669</v>
      </c>
      <c r="B740" s="2459" t="s">
        <v>1644</v>
      </c>
      <c r="C740" s="2459" t="s">
        <v>1672</v>
      </c>
      <c r="D740" s="2460" t="s">
        <v>1671</v>
      </c>
      <c r="E740" s="2461" t="s">
        <v>1573</v>
      </c>
      <c r="F740" s="2461" t="s">
        <v>1626</v>
      </c>
      <c r="G740" s="2461" t="s">
        <v>1421</v>
      </c>
      <c r="H740" s="2461" t="s">
        <v>1454</v>
      </c>
      <c r="I740" s="2462">
        <v>7.5667608849399187E-2</v>
      </c>
      <c r="J740" s="2462">
        <v>2737.3624018949458</v>
      </c>
    </row>
    <row r="741" spans="1:10" outlineLevel="2">
      <c r="A741" s="2459" t="s">
        <v>1669</v>
      </c>
      <c r="B741" s="2459" t="s">
        <v>1644</v>
      </c>
      <c r="C741" s="2459" t="s">
        <v>1672</v>
      </c>
      <c r="D741" s="2460" t="s">
        <v>1671</v>
      </c>
      <c r="E741" s="2461" t="s">
        <v>1573</v>
      </c>
      <c r="F741" s="2461" t="s">
        <v>1627</v>
      </c>
      <c r="G741" s="2461" t="s">
        <v>1421</v>
      </c>
      <c r="H741" s="2461" t="s">
        <v>1454</v>
      </c>
      <c r="I741" s="2462">
        <v>6.3894968873521737E-2</v>
      </c>
      <c r="J741" s="2462">
        <v>1389.8425518939443</v>
      </c>
    </row>
    <row r="742" spans="1:10" outlineLevel="2">
      <c r="A742" s="2459" t="s">
        <v>1669</v>
      </c>
      <c r="B742" s="2459" t="s">
        <v>1644</v>
      </c>
      <c r="C742" s="2459" t="s">
        <v>1672</v>
      </c>
      <c r="D742" s="2460" t="s">
        <v>1671</v>
      </c>
      <c r="E742" s="2461" t="s">
        <v>1573</v>
      </c>
      <c r="F742" s="2461" t="s">
        <v>1628</v>
      </c>
      <c r="G742" s="2461" t="s">
        <v>1421</v>
      </c>
      <c r="H742" s="2461" t="s">
        <v>1454</v>
      </c>
      <c r="I742" s="2462">
        <v>3.1784169227234687E-3</v>
      </c>
      <c r="J742" s="2462">
        <v>133.66798911816991</v>
      </c>
    </row>
    <row r="743" spans="1:10" outlineLevel="2">
      <c r="A743" s="2459" t="s">
        <v>1669</v>
      </c>
      <c r="B743" s="2459" t="s">
        <v>1644</v>
      </c>
      <c r="C743" s="2459" t="s">
        <v>1672</v>
      </c>
      <c r="D743" s="2460" t="s">
        <v>1671</v>
      </c>
      <c r="E743" s="2461" t="s">
        <v>1573</v>
      </c>
      <c r="F743" s="2461" t="s">
        <v>1629</v>
      </c>
      <c r="G743" s="2461" t="s">
        <v>1421</v>
      </c>
      <c r="H743" s="2461" t="s">
        <v>1454</v>
      </c>
      <c r="I743" s="2462">
        <v>3.6770655416606388E-3</v>
      </c>
      <c r="J743" s="2462">
        <v>118.30687592031657</v>
      </c>
    </row>
    <row r="744" spans="1:10" outlineLevel="2">
      <c r="A744" s="2459" t="s">
        <v>1669</v>
      </c>
      <c r="B744" s="2459" t="s">
        <v>1644</v>
      </c>
      <c r="C744" s="2459" t="s">
        <v>1672</v>
      </c>
      <c r="D744" s="2460" t="s">
        <v>1671</v>
      </c>
      <c r="E744" s="2461" t="s">
        <v>1573</v>
      </c>
      <c r="F744" s="2461" t="s">
        <v>1643</v>
      </c>
      <c r="G744" s="2461" t="s">
        <v>1412</v>
      </c>
      <c r="H744" s="2461" t="s">
        <v>1116</v>
      </c>
      <c r="I744" s="2462">
        <v>4.6144460379188238E-3</v>
      </c>
      <c r="J744" s="2462">
        <v>146.586178390974</v>
      </c>
    </row>
    <row r="745" spans="1:10" outlineLevel="2">
      <c r="A745" s="2459" t="s">
        <v>1669</v>
      </c>
      <c r="B745" s="2459" t="s">
        <v>1644</v>
      </c>
      <c r="C745" s="2459" t="s">
        <v>1672</v>
      </c>
      <c r="D745" s="2460" t="s">
        <v>1671</v>
      </c>
      <c r="E745" s="2461" t="s">
        <v>1573</v>
      </c>
      <c r="F745" s="2461" t="s">
        <v>1633</v>
      </c>
      <c r="G745" s="2461" t="s">
        <v>215</v>
      </c>
      <c r="H745" s="2461" t="s">
        <v>1537</v>
      </c>
      <c r="I745" s="2462">
        <v>5.5795972814423325E-3</v>
      </c>
      <c r="J745" s="2462">
        <v>124.39247823047201</v>
      </c>
    </row>
    <row r="746" spans="1:10" outlineLevel="2">
      <c r="A746" s="2459" t="s">
        <v>1669</v>
      </c>
      <c r="B746" s="2459" t="s">
        <v>1645</v>
      </c>
      <c r="C746" s="2459" t="s">
        <v>1673</v>
      </c>
      <c r="D746" s="2460" t="s">
        <v>1671</v>
      </c>
      <c r="E746" s="2461" t="s">
        <v>1407</v>
      </c>
      <c r="F746" s="2461" t="s">
        <v>1408</v>
      </c>
      <c r="G746" s="2461" t="s">
        <v>1409</v>
      </c>
      <c r="H746" s="2461" t="s">
        <v>1410</v>
      </c>
      <c r="I746" s="2462">
        <v>4.5986505969874691E-3</v>
      </c>
      <c r="J746" s="2462">
        <v>6.7647216981859909E-2</v>
      </c>
    </row>
    <row r="747" spans="1:10" outlineLevel="2">
      <c r="A747" s="2459" t="s">
        <v>1669</v>
      </c>
      <c r="B747" s="2459" t="s">
        <v>1645</v>
      </c>
      <c r="C747" s="2459" t="s">
        <v>1673</v>
      </c>
      <c r="D747" s="2460" t="s">
        <v>1671</v>
      </c>
      <c r="E747" s="2461" t="s">
        <v>1407</v>
      </c>
      <c r="F747" s="2461" t="s">
        <v>1411</v>
      </c>
      <c r="G747" s="2461" t="s">
        <v>1412</v>
      </c>
      <c r="H747" s="2461" t="s">
        <v>1410</v>
      </c>
      <c r="I747" s="2462">
        <v>0.2968003696196263</v>
      </c>
      <c r="J747" s="2462">
        <v>48.198583710057385</v>
      </c>
    </row>
    <row r="748" spans="1:10" outlineLevel="2">
      <c r="A748" s="2459" t="s">
        <v>1669</v>
      </c>
      <c r="B748" s="2459" t="s">
        <v>1645</v>
      </c>
      <c r="C748" s="2459" t="s">
        <v>1673</v>
      </c>
      <c r="D748" s="2460" t="s">
        <v>1671</v>
      </c>
      <c r="E748" s="2461" t="s">
        <v>1407</v>
      </c>
      <c r="F748" s="2461" t="s">
        <v>1413</v>
      </c>
      <c r="G748" s="2461" t="s">
        <v>1412</v>
      </c>
      <c r="H748" s="2461" t="s">
        <v>1410</v>
      </c>
      <c r="I748" s="2462">
        <v>2.4103127781549585E-4</v>
      </c>
      <c r="J748" s="2462">
        <v>4.083275634434852E-2</v>
      </c>
    </row>
    <row r="749" spans="1:10" outlineLevel="2">
      <c r="A749" s="2459" t="s">
        <v>1669</v>
      </c>
      <c r="B749" s="2459" t="s">
        <v>1645</v>
      </c>
      <c r="C749" s="2459" t="s">
        <v>1673</v>
      </c>
      <c r="D749" s="2460" t="s">
        <v>1671</v>
      </c>
      <c r="E749" s="2461" t="s">
        <v>1407</v>
      </c>
      <c r="F749" s="2461" t="s">
        <v>1414</v>
      </c>
      <c r="G749" s="2461" t="s">
        <v>1412</v>
      </c>
      <c r="H749" s="2461" t="s">
        <v>1410</v>
      </c>
      <c r="I749" s="2462">
        <v>1.2112459255495442E-4</v>
      </c>
      <c r="J749" s="2462">
        <v>2.2251081429806925E-2</v>
      </c>
    </row>
    <row r="750" spans="1:10" outlineLevel="2">
      <c r="A750" s="2459" t="s">
        <v>1669</v>
      </c>
      <c r="B750" s="2459" t="s">
        <v>1645</v>
      </c>
      <c r="C750" s="2459" t="s">
        <v>1673</v>
      </c>
      <c r="D750" s="2460" t="s">
        <v>1671</v>
      </c>
      <c r="E750" s="2461" t="s">
        <v>1407</v>
      </c>
      <c r="F750" s="2461" t="s">
        <v>1415</v>
      </c>
      <c r="G750" s="2461" t="s">
        <v>1412</v>
      </c>
      <c r="H750" s="2461" t="s">
        <v>1410</v>
      </c>
      <c r="I750" s="2462">
        <v>3.4258707027362708E-3</v>
      </c>
      <c r="J750" s="2462">
        <v>0.54571044948528324</v>
      </c>
    </row>
    <row r="751" spans="1:10" outlineLevel="2">
      <c r="A751" s="2459" t="s">
        <v>1669</v>
      </c>
      <c r="B751" s="2459" t="s">
        <v>1645</v>
      </c>
      <c r="C751" s="2459" t="s">
        <v>1673</v>
      </c>
      <c r="D751" s="2460" t="s">
        <v>1671</v>
      </c>
      <c r="E751" s="2461" t="s">
        <v>1407</v>
      </c>
      <c r="F751" s="2461" t="s">
        <v>1416</v>
      </c>
      <c r="G751" s="2461" t="s">
        <v>1412</v>
      </c>
      <c r="H751" s="2461" t="s">
        <v>1410</v>
      </c>
      <c r="I751" s="2462">
        <v>1.1086824397580502E-3</v>
      </c>
      <c r="J751" s="2462">
        <v>0.27272654228933535</v>
      </c>
    </row>
    <row r="752" spans="1:10" outlineLevel="2">
      <c r="A752" s="2459" t="s">
        <v>1669</v>
      </c>
      <c r="B752" s="2459" t="s">
        <v>1645</v>
      </c>
      <c r="C752" s="2459" t="s">
        <v>1673</v>
      </c>
      <c r="D752" s="2460" t="s">
        <v>1671</v>
      </c>
      <c r="E752" s="2461" t="s">
        <v>1407</v>
      </c>
      <c r="F752" s="2461" t="s">
        <v>1417</v>
      </c>
      <c r="G752" s="2461" t="s">
        <v>1418</v>
      </c>
      <c r="H752" s="2461" t="s">
        <v>1410</v>
      </c>
      <c r="I752" s="2462">
        <v>1.2813903323748382E-3</v>
      </c>
      <c r="J752" s="2462">
        <v>1.7020593801284203E-2</v>
      </c>
    </row>
    <row r="753" spans="1:10" outlineLevel="2">
      <c r="A753" s="2459" t="s">
        <v>1669</v>
      </c>
      <c r="B753" s="2459" t="s">
        <v>1645</v>
      </c>
      <c r="C753" s="2459" t="s">
        <v>1673</v>
      </c>
      <c r="D753" s="2460" t="s">
        <v>1671</v>
      </c>
      <c r="E753" s="2461" t="s">
        <v>1407</v>
      </c>
      <c r="F753" s="2461" t="s">
        <v>1419</v>
      </c>
      <c r="G753" s="2461" t="s">
        <v>1418</v>
      </c>
      <c r="H753" s="2461" t="s">
        <v>1410</v>
      </c>
      <c r="I753" s="2462">
        <v>9.5115561160853228E-3</v>
      </c>
      <c r="J753" s="2462">
        <v>1.8472360997869279</v>
      </c>
    </row>
    <row r="754" spans="1:10" outlineLevel="2">
      <c r="A754" s="2459" t="s">
        <v>1669</v>
      </c>
      <c r="B754" s="2459" t="s">
        <v>1645</v>
      </c>
      <c r="C754" s="2459" t="s">
        <v>1673</v>
      </c>
      <c r="D754" s="2460" t="s">
        <v>1671</v>
      </c>
      <c r="E754" s="2461" t="s">
        <v>1407</v>
      </c>
      <c r="F754" s="2461" t="s">
        <v>1420</v>
      </c>
      <c r="G754" s="2461" t="s">
        <v>1421</v>
      </c>
      <c r="H754" s="2461" t="s">
        <v>1410</v>
      </c>
      <c r="I754" s="2462">
        <v>0.3706858875903366</v>
      </c>
      <c r="J754" s="2462">
        <v>9.6202868644534867</v>
      </c>
    </row>
    <row r="755" spans="1:10" outlineLevel="2">
      <c r="A755" s="2459" t="s">
        <v>1669</v>
      </c>
      <c r="B755" s="2459" t="s">
        <v>1645</v>
      </c>
      <c r="C755" s="2459" t="s">
        <v>1673</v>
      </c>
      <c r="D755" s="2460" t="s">
        <v>1671</v>
      </c>
      <c r="E755" s="2461" t="s">
        <v>1407</v>
      </c>
      <c r="F755" s="2461" t="s">
        <v>1422</v>
      </c>
      <c r="G755" s="2461" t="s">
        <v>1421</v>
      </c>
      <c r="H755" s="2461" t="s">
        <v>1410</v>
      </c>
      <c r="I755" s="2462">
        <v>1.1209490005882951E-2</v>
      </c>
      <c r="J755" s="2462">
        <v>0.4592889084854978</v>
      </c>
    </row>
    <row r="756" spans="1:10" outlineLevel="2">
      <c r="A756" s="2459" t="s">
        <v>1669</v>
      </c>
      <c r="B756" s="2459" t="s">
        <v>1645</v>
      </c>
      <c r="C756" s="2459" t="s">
        <v>1673</v>
      </c>
      <c r="D756" s="2460" t="s">
        <v>1671</v>
      </c>
      <c r="E756" s="2461" t="s">
        <v>1407</v>
      </c>
      <c r="F756" s="2461" t="s">
        <v>1423</v>
      </c>
      <c r="G756" s="2461" t="s">
        <v>1421</v>
      </c>
      <c r="H756" s="2461" t="s">
        <v>1410</v>
      </c>
      <c r="I756" s="2462">
        <v>5.8264185735143253E-3</v>
      </c>
      <c r="J756" s="2462">
        <v>0.67142824840118964</v>
      </c>
    </row>
    <row r="757" spans="1:10" outlineLevel="2">
      <c r="A757" s="2459" t="s">
        <v>1669</v>
      </c>
      <c r="B757" s="2459" t="s">
        <v>1645</v>
      </c>
      <c r="C757" s="2459" t="s">
        <v>1673</v>
      </c>
      <c r="D757" s="2460" t="s">
        <v>1671</v>
      </c>
      <c r="E757" s="2461" t="s">
        <v>1407</v>
      </c>
      <c r="F757" s="2461" t="s">
        <v>1424</v>
      </c>
      <c r="G757" s="2461" t="s">
        <v>1421</v>
      </c>
      <c r="H757" s="2461" t="s">
        <v>1410</v>
      </c>
      <c r="I757" s="2462">
        <v>0.11393874075570999</v>
      </c>
      <c r="J757" s="2462">
        <v>23.843429024691211</v>
      </c>
    </row>
    <row r="758" spans="1:10" outlineLevel="2">
      <c r="A758" s="2459" t="s">
        <v>1669</v>
      </c>
      <c r="B758" s="2459" t="s">
        <v>1645</v>
      </c>
      <c r="C758" s="2459" t="s">
        <v>1673</v>
      </c>
      <c r="D758" s="2460" t="s">
        <v>1671</v>
      </c>
      <c r="E758" s="2461" t="s">
        <v>213</v>
      </c>
      <c r="F758" s="2461" t="s">
        <v>1430</v>
      </c>
      <c r="G758" s="2461" t="s">
        <v>1409</v>
      </c>
      <c r="H758" s="2461" t="s">
        <v>1070</v>
      </c>
      <c r="I758" s="2462">
        <v>1.4214674630917587E-2</v>
      </c>
      <c r="J758" s="2462">
        <v>8.8199218660387455</v>
      </c>
    </row>
    <row r="759" spans="1:10" outlineLevel="2">
      <c r="A759" s="2459" t="s">
        <v>1669</v>
      </c>
      <c r="B759" s="2459" t="s">
        <v>1645</v>
      </c>
      <c r="C759" s="2459" t="s">
        <v>1673</v>
      </c>
      <c r="D759" s="2460" t="s">
        <v>1671</v>
      </c>
      <c r="E759" s="2461" t="s">
        <v>213</v>
      </c>
      <c r="F759" s="2461" t="s">
        <v>1431</v>
      </c>
      <c r="G759" s="2461" t="s">
        <v>1409</v>
      </c>
      <c r="H759" s="2461" t="s">
        <v>1070</v>
      </c>
      <c r="I759" s="2462">
        <v>1.1796677494299967E-3</v>
      </c>
      <c r="J759" s="2462">
        <v>0.57132085570761049</v>
      </c>
    </row>
    <row r="760" spans="1:10" outlineLevel="2">
      <c r="A760" s="2459" t="s">
        <v>1669</v>
      </c>
      <c r="B760" s="2459" t="s">
        <v>1645</v>
      </c>
      <c r="C760" s="2459" t="s">
        <v>1673</v>
      </c>
      <c r="D760" s="2460" t="s">
        <v>1671</v>
      </c>
      <c r="E760" s="2461" t="s">
        <v>213</v>
      </c>
      <c r="F760" s="2461" t="s">
        <v>1432</v>
      </c>
      <c r="G760" s="2461" t="s">
        <v>1409</v>
      </c>
      <c r="H760" s="2461" t="s">
        <v>1070</v>
      </c>
      <c r="I760" s="2462">
        <v>1.4296028794616861E-3</v>
      </c>
      <c r="J760" s="2462">
        <v>0.68289046549572607</v>
      </c>
    </row>
    <row r="761" spans="1:10" outlineLevel="2">
      <c r="A761" s="2459" t="s">
        <v>1669</v>
      </c>
      <c r="B761" s="2459" t="s">
        <v>1645</v>
      </c>
      <c r="C761" s="2459" t="s">
        <v>1673</v>
      </c>
      <c r="D761" s="2460" t="s">
        <v>1671</v>
      </c>
      <c r="E761" s="2461" t="s">
        <v>213</v>
      </c>
      <c r="F761" s="2461" t="s">
        <v>1433</v>
      </c>
      <c r="G761" s="2461" t="s">
        <v>1409</v>
      </c>
      <c r="H761" s="2461" t="s">
        <v>1070</v>
      </c>
      <c r="I761" s="2462">
        <v>1.0572525239191929E-5</v>
      </c>
      <c r="J761" s="2462">
        <v>4.7316961885826665E-3</v>
      </c>
    </row>
    <row r="762" spans="1:10" outlineLevel="2">
      <c r="A762" s="2459" t="s">
        <v>1669</v>
      </c>
      <c r="B762" s="2459" t="s">
        <v>1645</v>
      </c>
      <c r="C762" s="2459" t="s">
        <v>1673</v>
      </c>
      <c r="D762" s="2460" t="s">
        <v>1671</v>
      </c>
      <c r="E762" s="2461" t="s">
        <v>213</v>
      </c>
      <c r="F762" s="2461" t="s">
        <v>1434</v>
      </c>
      <c r="G762" s="2461" t="s">
        <v>1409</v>
      </c>
      <c r="H762" s="2461" t="s">
        <v>1070</v>
      </c>
      <c r="I762" s="2462">
        <v>4.0751979339414962E-2</v>
      </c>
      <c r="J762" s="2462">
        <v>22.755250977673743</v>
      </c>
    </row>
    <row r="763" spans="1:10" outlineLevel="2">
      <c r="A763" s="2459" t="s">
        <v>1669</v>
      </c>
      <c r="B763" s="2459" t="s">
        <v>1645</v>
      </c>
      <c r="C763" s="2459" t="s">
        <v>1673</v>
      </c>
      <c r="D763" s="2460" t="s">
        <v>1671</v>
      </c>
      <c r="E763" s="2461" t="s">
        <v>213</v>
      </c>
      <c r="F763" s="2461" t="s">
        <v>1435</v>
      </c>
      <c r="G763" s="2461" t="s">
        <v>1409</v>
      </c>
      <c r="H763" s="2461" t="s">
        <v>1070</v>
      </c>
      <c r="I763" s="2462">
        <v>2.979653843691123E-4</v>
      </c>
      <c r="J763" s="2462">
        <v>0.13335332883805687</v>
      </c>
    </row>
    <row r="764" spans="1:10" outlineLevel="2">
      <c r="A764" s="2459" t="s">
        <v>1669</v>
      </c>
      <c r="B764" s="2459" t="s">
        <v>1645</v>
      </c>
      <c r="C764" s="2459" t="s">
        <v>1673</v>
      </c>
      <c r="D764" s="2460" t="s">
        <v>1671</v>
      </c>
      <c r="E764" s="2461" t="s">
        <v>213</v>
      </c>
      <c r="F764" s="2461" t="s">
        <v>1436</v>
      </c>
      <c r="G764" s="2461" t="s">
        <v>1412</v>
      </c>
      <c r="H764" s="2461" t="s">
        <v>1116</v>
      </c>
      <c r="I764" s="2462">
        <v>2.9395088512311647E-4</v>
      </c>
      <c r="J764" s="2462">
        <v>0.13155675891421931</v>
      </c>
    </row>
    <row r="765" spans="1:10" outlineLevel="2">
      <c r="A765" s="2459" t="s">
        <v>1669</v>
      </c>
      <c r="B765" s="2459" t="s">
        <v>1645</v>
      </c>
      <c r="C765" s="2459" t="s">
        <v>1673</v>
      </c>
      <c r="D765" s="2460" t="s">
        <v>1671</v>
      </c>
      <c r="E765" s="2461" t="s">
        <v>213</v>
      </c>
      <c r="F765" s="2461" t="s">
        <v>1437</v>
      </c>
      <c r="G765" s="2461" t="s">
        <v>1412</v>
      </c>
      <c r="H765" s="2461" t="s">
        <v>1116</v>
      </c>
      <c r="I765" s="2462">
        <v>2.2493535597150855E-5</v>
      </c>
      <c r="J765" s="2462">
        <v>1.0066903196462744E-2</v>
      </c>
    </row>
    <row r="766" spans="1:10" outlineLevel="2">
      <c r="A766" s="2459" t="s">
        <v>1669</v>
      </c>
      <c r="B766" s="2459" t="s">
        <v>1645</v>
      </c>
      <c r="C766" s="2459" t="s">
        <v>1673</v>
      </c>
      <c r="D766" s="2460" t="s">
        <v>1671</v>
      </c>
      <c r="E766" s="2461" t="s">
        <v>213</v>
      </c>
      <c r="F766" s="2461" t="s">
        <v>1438</v>
      </c>
      <c r="G766" s="2461" t="s">
        <v>1439</v>
      </c>
      <c r="H766" s="2461" t="s">
        <v>1440</v>
      </c>
      <c r="I766" s="2462">
        <v>4.6695410129421883E-3</v>
      </c>
      <c r="J766" s="2462">
        <v>2.5573494038299631</v>
      </c>
    </row>
    <row r="767" spans="1:10" outlineLevel="2">
      <c r="A767" s="2459" t="s">
        <v>1669</v>
      </c>
      <c r="B767" s="2459" t="s">
        <v>1645</v>
      </c>
      <c r="C767" s="2459" t="s">
        <v>1673</v>
      </c>
      <c r="D767" s="2460" t="s">
        <v>1671</v>
      </c>
      <c r="E767" s="2461" t="s">
        <v>213</v>
      </c>
      <c r="F767" s="2461" t="s">
        <v>1441</v>
      </c>
      <c r="G767" s="2461" t="s">
        <v>1439</v>
      </c>
      <c r="H767" s="2461" t="s">
        <v>1440</v>
      </c>
      <c r="I767" s="2462">
        <v>2.1967758544740187E-2</v>
      </c>
      <c r="J767" s="2462">
        <v>11.806466388850849</v>
      </c>
    </row>
    <row r="768" spans="1:10" outlineLevel="2">
      <c r="A768" s="2459" t="s">
        <v>1669</v>
      </c>
      <c r="B768" s="2459" t="s">
        <v>1645</v>
      </c>
      <c r="C768" s="2459" t="s">
        <v>1673</v>
      </c>
      <c r="D768" s="2460" t="s">
        <v>1671</v>
      </c>
      <c r="E768" s="2461" t="s">
        <v>213</v>
      </c>
      <c r="F768" s="2461" t="s">
        <v>1442</v>
      </c>
      <c r="G768" s="2461" t="s">
        <v>1439</v>
      </c>
      <c r="H768" s="2461" t="s">
        <v>1440</v>
      </c>
      <c r="I768" s="2462">
        <v>6.5721570463334558E-2</v>
      </c>
      <c r="J768" s="2462">
        <v>34.145449935423926</v>
      </c>
    </row>
    <row r="769" spans="1:10" outlineLevel="2">
      <c r="A769" s="2459" t="s">
        <v>1669</v>
      </c>
      <c r="B769" s="2459" t="s">
        <v>1645</v>
      </c>
      <c r="C769" s="2459" t="s">
        <v>1673</v>
      </c>
      <c r="D769" s="2460" t="s">
        <v>1671</v>
      </c>
      <c r="E769" s="2461" t="s">
        <v>213</v>
      </c>
      <c r="F769" s="2461" t="s">
        <v>1443</v>
      </c>
      <c r="G769" s="2461" t="s">
        <v>1439</v>
      </c>
      <c r="H769" s="2461" t="s">
        <v>1440</v>
      </c>
      <c r="I769" s="2462">
        <v>0.20771749432711634</v>
      </c>
      <c r="J769" s="2462">
        <v>113.70540087493625</v>
      </c>
    </row>
    <row r="770" spans="1:10" outlineLevel="2">
      <c r="A770" s="2459" t="s">
        <v>1669</v>
      </c>
      <c r="B770" s="2459" t="s">
        <v>1645</v>
      </c>
      <c r="C770" s="2459" t="s">
        <v>1673</v>
      </c>
      <c r="D770" s="2460" t="s">
        <v>1671</v>
      </c>
      <c r="E770" s="2461" t="s">
        <v>213</v>
      </c>
      <c r="F770" s="2461" t="s">
        <v>1444</v>
      </c>
      <c r="G770" s="2461" t="s">
        <v>1439</v>
      </c>
      <c r="H770" s="2461" t="s">
        <v>1440</v>
      </c>
      <c r="I770" s="2462">
        <v>8.0735185697191417E-2</v>
      </c>
      <c r="J770" s="2462">
        <v>47.420591226999491</v>
      </c>
    </row>
    <row r="771" spans="1:10" outlineLevel="2">
      <c r="A771" s="2459" t="s">
        <v>1669</v>
      </c>
      <c r="B771" s="2459" t="s">
        <v>1645</v>
      </c>
      <c r="C771" s="2459" t="s">
        <v>1673</v>
      </c>
      <c r="D771" s="2460" t="s">
        <v>1671</v>
      </c>
      <c r="E771" s="2461" t="s">
        <v>213</v>
      </c>
      <c r="F771" s="2461" t="s">
        <v>1445</v>
      </c>
      <c r="G771" s="2461" t="s">
        <v>1439</v>
      </c>
      <c r="H771" s="2461" t="s">
        <v>1440</v>
      </c>
      <c r="I771" s="2462">
        <v>0.19654982987547243</v>
      </c>
      <c r="J771" s="2462">
        <v>99.36325763948409</v>
      </c>
    </row>
    <row r="772" spans="1:10" outlineLevel="2">
      <c r="A772" s="2459" t="s">
        <v>1669</v>
      </c>
      <c r="B772" s="2459" t="s">
        <v>1645</v>
      </c>
      <c r="C772" s="2459" t="s">
        <v>1673</v>
      </c>
      <c r="D772" s="2460" t="s">
        <v>1671</v>
      </c>
      <c r="E772" s="2461" t="s">
        <v>213</v>
      </c>
      <c r="F772" s="2461" t="s">
        <v>1446</v>
      </c>
      <c r="G772" s="2461" t="s">
        <v>1439</v>
      </c>
      <c r="H772" s="2461" t="s">
        <v>1440</v>
      </c>
      <c r="I772" s="2462">
        <v>5.6905850078424317E-2</v>
      </c>
      <c r="J772" s="2462">
        <v>30.519799865139571</v>
      </c>
    </row>
    <row r="773" spans="1:10" outlineLevel="2">
      <c r="A773" s="2459" t="s">
        <v>1669</v>
      </c>
      <c r="B773" s="2459" t="s">
        <v>1645</v>
      </c>
      <c r="C773" s="2459" t="s">
        <v>1673</v>
      </c>
      <c r="D773" s="2460" t="s">
        <v>1671</v>
      </c>
      <c r="E773" s="2461" t="s">
        <v>213</v>
      </c>
      <c r="F773" s="2461" t="s">
        <v>1447</v>
      </c>
      <c r="G773" s="2461" t="s">
        <v>1439</v>
      </c>
      <c r="H773" s="2461" t="s">
        <v>1440</v>
      </c>
      <c r="I773" s="2462">
        <v>0.1734736066869986</v>
      </c>
      <c r="J773" s="2462">
        <v>92.781523681781152</v>
      </c>
    </row>
    <row r="774" spans="1:10" outlineLevel="2">
      <c r="A774" s="2459" t="s">
        <v>1669</v>
      </c>
      <c r="B774" s="2459" t="s">
        <v>1645</v>
      </c>
      <c r="C774" s="2459" t="s">
        <v>1673</v>
      </c>
      <c r="D774" s="2460" t="s">
        <v>1671</v>
      </c>
      <c r="E774" s="2461" t="s">
        <v>213</v>
      </c>
      <c r="F774" s="2461" t="s">
        <v>1448</v>
      </c>
      <c r="G774" s="2461" t="s">
        <v>1439</v>
      </c>
      <c r="H774" s="2461" t="s">
        <v>1440</v>
      </c>
      <c r="I774" s="2462">
        <v>0.1031359029242048</v>
      </c>
      <c r="J774" s="2462">
        <v>15.100460015738985</v>
      </c>
    </row>
    <row r="775" spans="1:10" outlineLevel="2">
      <c r="A775" s="2459" t="s">
        <v>1669</v>
      </c>
      <c r="B775" s="2459" t="s">
        <v>1645</v>
      </c>
      <c r="C775" s="2459" t="s">
        <v>1673</v>
      </c>
      <c r="D775" s="2460" t="s">
        <v>1671</v>
      </c>
      <c r="E775" s="2461" t="s">
        <v>213</v>
      </c>
      <c r="F775" s="2461" t="s">
        <v>1449</v>
      </c>
      <c r="G775" s="2461" t="s">
        <v>1439</v>
      </c>
      <c r="H775" s="2461" t="s">
        <v>1440</v>
      </c>
      <c r="I775" s="2462">
        <v>0.23074154455111964</v>
      </c>
      <c r="J775" s="2462">
        <v>33.782685268376362</v>
      </c>
    </row>
    <row r="776" spans="1:10" outlineLevel="2">
      <c r="A776" s="2459" t="s">
        <v>1669</v>
      </c>
      <c r="B776" s="2459" t="s">
        <v>1645</v>
      </c>
      <c r="C776" s="2459" t="s">
        <v>1673</v>
      </c>
      <c r="D776" s="2460" t="s">
        <v>1671</v>
      </c>
      <c r="E776" s="2461" t="s">
        <v>213</v>
      </c>
      <c r="F776" s="2461" t="s">
        <v>1450</v>
      </c>
      <c r="G776" s="2461" t="s">
        <v>1439</v>
      </c>
      <c r="H776" s="2461" t="s">
        <v>1440</v>
      </c>
      <c r="I776" s="2462">
        <v>9.9220151135247792E-5</v>
      </c>
      <c r="J776" s="2462">
        <v>4.9508940226205125E-2</v>
      </c>
    </row>
    <row r="777" spans="1:10" outlineLevel="2">
      <c r="A777" s="2459" t="s">
        <v>1669</v>
      </c>
      <c r="B777" s="2459" t="s">
        <v>1645</v>
      </c>
      <c r="C777" s="2459" t="s">
        <v>1673</v>
      </c>
      <c r="D777" s="2460" t="s">
        <v>1671</v>
      </c>
      <c r="E777" s="2461" t="s">
        <v>213</v>
      </c>
      <c r="F777" s="2461" t="s">
        <v>1451</v>
      </c>
      <c r="G777" s="2461" t="s">
        <v>1418</v>
      </c>
      <c r="H777" s="2461" t="s">
        <v>1452</v>
      </c>
      <c r="I777" s="2462">
        <v>1.5913151394584906E-4</v>
      </c>
      <c r="J777" s="2462">
        <v>9.6771521549013542E-2</v>
      </c>
    </row>
    <row r="778" spans="1:10" outlineLevel="2">
      <c r="A778" s="2459" t="s">
        <v>1669</v>
      </c>
      <c r="B778" s="2459" t="s">
        <v>1645</v>
      </c>
      <c r="C778" s="2459" t="s">
        <v>1673</v>
      </c>
      <c r="D778" s="2460" t="s">
        <v>1671</v>
      </c>
      <c r="E778" s="2461" t="s">
        <v>213</v>
      </c>
      <c r="F778" s="2461" t="s">
        <v>1453</v>
      </c>
      <c r="G778" s="2461" t="s">
        <v>1421</v>
      </c>
      <c r="H778" s="2461" t="s">
        <v>1454</v>
      </c>
      <c r="I778" s="2462">
        <v>3.2667591237930216E-3</v>
      </c>
      <c r="J778" s="2462">
        <v>1.6174038486279776</v>
      </c>
    </row>
    <row r="779" spans="1:10" outlineLevel="2">
      <c r="A779" s="2459" t="s">
        <v>1669</v>
      </c>
      <c r="B779" s="2459" t="s">
        <v>1645</v>
      </c>
      <c r="C779" s="2459" t="s">
        <v>1673</v>
      </c>
      <c r="D779" s="2460" t="s">
        <v>1671</v>
      </c>
      <c r="E779" s="2461" t="s">
        <v>213</v>
      </c>
      <c r="F779" s="2461" t="s">
        <v>1455</v>
      </c>
      <c r="G779" s="2461" t="s">
        <v>1421</v>
      </c>
      <c r="H779" s="2461" t="s">
        <v>1454</v>
      </c>
      <c r="I779" s="2462">
        <v>2.0847146218998924E-2</v>
      </c>
      <c r="J779" s="2462">
        <v>10.789898011569511</v>
      </c>
    </row>
    <row r="780" spans="1:10" outlineLevel="2">
      <c r="A780" s="2459" t="s">
        <v>1669</v>
      </c>
      <c r="B780" s="2459" t="s">
        <v>1645</v>
      </c>
      <c r="C780" s="2459" t="s">
        <v>1673</v>
      </c>
      <c r="D780" s="2460" t="s">
        <v>1671</v>
      </c>
      <c r="E780" s="2461" t="s">
        <v>213</v>
      </c>
      <c r="F780" s="2461" t="s">
        <v>1456</v>
      </c>
      <c r="G780" s="2461" t="s">
        <v>1421</v>
      </c>
      <c r="H780" s="2461" t="s">
        <v>1454</v>
      </c>
      <c r="I780" s="2462">
        <v>8.3617479086852908E-6</v>
      </c>
      <c r="J780" s="2462">
        <v>3.742270973186434E-3</v>
      </c>
    </row>
    <row r="781" spans="1:10" outlineLevel="2">
      <c r="A781" s="2459" t="s">
        <v>1669</v>
      </c>
      <c r="B781" s="2459" t="s">
        <v>1645</v>
      </c>
      <c r="C781" s="2459" t="s">
        <v>1673</v>
      </c>
      <c r="D781" s="2460" t="s">
        <v>1671</v>
      </c>
      <c r="E781" s="2461" t="s">
        <v>213</v>
      </c>
      <c r="F781" s="2461" t="s">
        <v>1457</v>
      </c>
      <c r="G781" s="2461" t="s">
        <v>1421</v>
      </c>
      <c r="H781" s="2461" t="s">
        <v>1454</v>
      </c>
      <c r="I781" s="2462">
        <v>1.4585532949976788E-4</v>
      </c>
      <c r="J781" s="2462">
        <v>6.5277090752774908E-2</v>
      </c>
    </row>
    <row r="782" spans="1:10" outlineLevel="2">
      <c r="A782" s="2459" t="s">
        <v>1669</v>
      </c>
      <c r="B782" s="2459" t="s">
        <v>1645</v>
      </c>
      <c r="C782" s="2459" t="s">
        <v>1673</v>
      </c>
      <c r="D782" s="2460" t="s">
        <v>1671</v>
      </c>
      <c r="E782" s="2461" t="s">
        <v>213</v>
      </c>
      <c r="F782" s="2461" t="s">
        <v>1458</v>
      </c>
      <c r="G782" s="2461" t="s">
        <v>1459</v>
      </c>
      <c r="H782" s="2461" t="s">
        <v>1460</v>
      </c>
      <c r="I782" s="2462">
        <v>1.0613080984694196E-2</v>
      </c>
      <c r="J782" s="2462">
        <v>6.1272315439080529</v>
      </c>
    </row>
    <row r="783" spans="1:10" outlineLevel="2">
      <c r="A783" s="2459" t="s">
        <v>1669</v>
      </c>
      <c r="B783" s="2459" t="s">
        <v>1645</v>
      </c>
      <c r="C783" s="2459" t="s">
        <v>1673</v>
      </c>
      <c r="D783" s="2460" t="s">
        <v>1671</v>
      </c>
      <c r="E783" s="2461" t="s">
        <v>213</v>
      </c>
      <c r="F783" s="2461" t="s">
        <v>1463</v>
      </c>
      <c r="G783" s="2461" t="s">
        <v>1426</v>
      </c>
      <c r="H783" s="2461" t="s">
        <v>1427</v>
      </c>
      <c r="I783" s="2462">
        <v>0.13676136708734982</v>
      </c>
      <c r="J783" s="2462">
        <v>182.18545927328904</v>
      </c>
    </row>
    <row r="784" spans="1:10" outlineLevel="2">
      <c r="A784" s="2459" t="s">
        <v>1669</v>
      </c>
      <c r="B784" s="2459" t="s">
        <v>1645</v>
      </c>
      <c r="C784" s="2459" t="s">
        <v>1673</v>
      </c>
      <c r="D784" s="2460" t="s">
        <v>1671</v>
      </c>
      <c r="E784" s="2461" t="s">
        <v>213</v>
      </c>
      <c r="F784" s="2461" t="s">
        <v>1465</v>
      </c>
      <c r="G784" s="2461" t="s">
        <v>1409</v>
      </c>
      <c r="H784" s="2461" t="s">
        <v>1070</v>
      </c>
      <c r="I784" s="2462">
        <v>4.7837792560465444E-3</v>
      </c>
      <c r="J784" s="2462">
        <v>7.8184627981078547</v>
      </c>
    </row>
    <row r="785" spans="1:10" outlineLevel="2">
      <c r="A785" s="2459" t="s">
        <v>1669</v>
      </c>
      <c r="B785" s="2459" t="s">
        <v>1645</v>
      </c>
      <c r="C785" s="2459" t="s">
        <v>1673</v>
      </c>
      <c r="D785" s="2460" t="s">
        <v>1671</v>
      </c>
      <c r="E785" s="2461" t="s">
        <v>213</v>
      </c>
      <c r="F785" s="2461" t="s">
        <v>1466</v>
      </c>
      <c r="G785" s="2461" t="s">
        <v>1409</v>
      </c>
      <c r="H785" s="2461" t="s">
        <v>1070</v>
      </c>
      <c r="I785" s="2462">
        <v>3.8224661618951735E-5</v>
      </c>
      <c r="J785" s="2462">
        <v>5.8358030456160032E-2</v>
      </c>
    </row>
    <row r="786" spans="1:10" outlineLevel="2">
      <c r="A786" s="2459" t="s">
        <v>1669</v>
      </c>
      <c r="B786" s="2459" t="s">
        <v>1645</v>
      </c>
      <c r="C786" s="2459" t="s">
        <v>1673</v>
      </c>
      <c r="D786" s="2460" t="s">
        <v>1671</v>
      </c>
      <c r="E786" s="2461" t="s">
        <v>213</v>
      </c>
      <c r="F786" s="2461" t="s">
        <v>1467</v>
      </c>
      <c r="G786" s="2461" t="s">
        <v>1409</v>
      </c>
      <c r="H786" s="2461" t="s">
        <v>1070</v>
      </c>
      <c r="I786" s="2462">
        <v>1.0335361527939443E-2</v>
      </c>
      <c r="J786" s="2462">
        <v>14.687933333227601</v>
      </c>
    </row>
    <row r="787" spans="1:10" outlineLevel="2">
      <c r="A787" s="2459" t="s">
        <v>1669</v>
      </c>
      <c r="B787" s="2459" t="s">
        <v>1645</v>
      </c>
      <c r="C787" s="2459" t="s">
        <v>1673</v>
      </c>
      <c r="D787" s="2460" t="s">
        <v>1671</v>
      </c>
      <c r="E787" s="2461" t="s">
        <v>213</v>
      </c>
      <c r="F787" s="2461" t="s">
        <v>1468</v>
      </c>
      <c r="G787" s="2461" t="s">
        <v>1409</v>
      </c>
      <c r="H787" s="2461" t="s">
        <v>1070</v>
      </c>
      <c r="I787" s="2462">
        <v>8.4340344992055432E-3</v>
      </c>
      <c r="J787" s="2462">
        <v>13.828441348995865</v>
      </c>
    </row>
    <row r="788" spans="1:10" outlineLevel="2">
      <c r="A788" s="2459" t="s">
        <v>1669</v>
      </c>
      <c r="B788" s="2459" t="s">
        <v>1645</v>
      </c>
      <c r="C788" s="2459" t="s">
        <v>1673</v>
      </c>
      <c r="D788" s="2460" t="s">
        <v>1671</v>
      </c>
      <c r="E788" s="2461" t="s">
        <v>213</v>
      </c>
      <c r="F788" s="2461" t="s">
        <v>1469</v>
      </c>
      <c r="G788" s="2461" t="s">
        <v>1409</v>
      </c>
      <c r="H788" s="2461" t="s">
        <v>1070</v>
      </c>
      <c r="I788" s="2462">
        <v>1.8861441173886835E-2</v>
      </c>
      <c r="J788" s="2462">
        <v>27.597314672127865</v>
      </c>
    </row>
    <row r="789" spans="1:10" outlineLevel="2">
      <c r="A789" s="2459" t="s">
        <v>1669</v>
      </c>
      <c r="B789" s="2459" t="s">
        <v>1645</v>
      </c>
      <c r="C789" s="2459" t="s">
        <v>1673</v>
      </c>
      <c r="D789" s="2460" t="s">
        <v>1671</v>
      </c>
      <c r="E789" s="2461" t="s">
        <v>213</v>
      </c>
      <c r="F789" s="2461" t="s">
        <v>1470</v>
      </c>
      <c r="G789" s="2461" t="s">
        <v>1409</v>
      </c>
      <c r="H789" s="2461" t="s">
        <v>1070</v>
      </c>
      <c r="I789" s="2462">
        <v>8.1824600208166738E-3</v>
      </c>
      <c r="J789" s="2462">
        <v>11.620508476707796</v>
      </c>
    </row>
    <row r="790" spans="1:10" outlineLevel="2">
      <c r="A790" s="2459" t="s">
        <v>1669</v>
      </c>
      <c r="B790" s="2459" t="s">
        <v>1645</v>
      </c>
      <c r="C790" s="2459" t="s">
        <v>1673</v>
      </c>
      <c r="D790" s="2460" t="s">
        <v>1671</v>
      </c>
      <c r="E790" s="2461" t="s">
        <v>213</v>
      </c>
      <c r="F790" s="2461" t="s">
        <v>1471</v>
      </c>
      <c r="G790" s="2461" t="s">
        <v>1409</v>
      </c>
      <c r="H790" s="2461" t="s">
        <v>1070</v>
      </c>
      <c r="I790" s="2462">
        <v>4.4562890935596525E-4</v>
      </c>
      <c r="J790" s="2462">
        <v>0.60563968343366203</v>
      </c>
    </row>
    <row r="791" spans="1:10" outlineLevel="2">
      <c r="A791" s="2459" t="s">
        <v>1669</v>
      </c>
      <c r="B791" s="2459" t="s">
        <v>1645</v>
      </c>
      <c r="C791" s="2459" t="s">
        <v>1673</v>
      </c>
      <c r="D791" s="2460" t="s">
        <v>1671</v>
      </c>
      <c r="E791" s="2461" t="s">
        <v>213</v>
      </c>
      <c r="F791" s="2461" t="s">
        <v>1472</v>
      </c>
      <c r="G791" s="2461" t="s">
        <v>1409</v>
      </c>
      <c r="H791" s="2461" t="s">
        <v>1070</v>
      </c>
      <c r="I791" s="2462">
        <v>1.5508478266411656E-2</v>
      </c>
      <c r="J791" s="2462">
        <v>24.318164566712575</v>
      </c>
    </row>
    <row r="792" spans="1:10" outlineLevel="2">
      <c r="A792" s="2459" t="s">
        <v>1669</v>
      </c>
      <c r="B792" s="2459" t="s">
        <v>1645</v>
      </c>
      <c r="C792" s="2459" t="s">
        <v>1673</v>
      </c>
      <c r="D792" s="2460" t="s">
        <v>1671</v>
      </c>
      <c r="E792" s="2461" t="s">
        <v>213</v>
      </c>
      <c r="F792" s="2461" t="s">
        <v>1473</v>
      </c>
      <c r="G792" s="2461" t="s">
        <v>1409</v>
      </c>
      <c r="H792" s="2461" t="s">
        <v>1070</v>
      </c>
      <c r="I792" s="2462">
        <v>7.393846693986285E-3</v>
      </c>
      <c r="J792" s="2462">
        <v>9.0191700215870778</v>
      </c>
    </row>
    <row r="793" spans="1:10" outlineLevel="2">
      <c r="A793" s="2459" t="s">
        <v>1669</v>
      </c>
      <c r="B793" s="2459" t="s">
        <v>1645</v>
      </c>
      <c r="C793" s="2459" t="s">
        <v>1673</v>
      </c>
      <c r="D793" s="2460" t="s">
        <v>1671</v>
      </c>
      <c r="E793" s="2461" t="s">
        <v>213</v>
      </c>
      <c r="F793" s="2461" t="s">
        <v>1474</v>
      </c>
      <c r="G793" s="2461" t="s">
        <v>1409</v>
      </c>
      <c r="H793" s="2461" t="s">
        <v>1070</v>
      </c>
      <c r="I793" s="2462">
        <v>3.493614809191916E-2</v>
      </c>
      <c r="J793" s="2462">
        <v>50.673732604439522</v>
      </c>
    </row>
    <row r="794" spans="1:10" outlineLevel="2">
      <c r="A794" s="2459" t="s">
        <v>1669</v>
      </c>
      <c r="B794" s="2459" t="s">
        <v>1645</v>
      </c>
      <c r="C794" s="2459" t="s">
        <v>1673</v>
      </c>
      <c r="D794" s="2460" t="s">
        <v>1671</v>
      </c>
      <c r="E794" s="2461" t="s">
        <v>213</v>
      </c>
      <c r="F794" s="2461" t="s">
        <v>1475</v>
      </c>
      <c r="G794" s="2461" t="s">
        <v>1409</v>
      </c>
      <c r="H794" s="2461" t="s">
        <v>1070</v>
      </c>
      <c r="I794" s="2462">
        <v>1.7710039022275862E-2</v>
      </c>
      <c r="J794" s="2462">
        <v>24.33492300734169</v>
      </c>
    </row>
    <row r="795" spans="1:10" outlineLevel="2">
      <c r="A795" s="2459" t="s">
        <v>1669</v>
      </c>
      <c r="B795" s="2459" t="s">
        <v>1645</v>
      </c>
      <c r="C795" s="2459" t="s">
        <v>1673</v>
      </c>
      <c r="D795" s="2460" t="s">
        <v>1671</v>
      </c>
      <c r="E795" s="2461" t="s">
        <v>213</v>
      </c>
      <c r="F795" s="2461" t="s">
        <v>1476</v>
      </c>
      <c r="G795" s="2461" t="s">
        <v>1409</v>
      </c>
      <c r="H795" s="2461" t="s">
        <v>1070</v>
      </c>
      <c r="I795" s="2462">
        <v>1.4007644168064774E-3</v>
      </c>
      <c r="J795" s="2462">
        <v>1.9601467448221488</v>
      </c>
    </row>
    <row r="796" spans="1:10" outlineLevel="2">
      <c r="A796" s="2459" t="s">
        <v>1669</v>
      </c>
      <c r="B796" s="2459" t="s">
        <v>1645</v>
      </c>
      <c r="C796" s="2459" t="s">
        <v>1673</v>
      </c>
      <c r="D796" s="2460" t="s">
        <v>1671</v>
      </c>
      <c r="E796" s="2461" t="s">
        <v>213</v>
      </c>
      <c r="F796" s="2461" t="s">
        <v>1477</v>
      </c>
      <c r="G796" s="2461" t="s">
        <v>1409</v>
      </c>
      <c r="H796" s="2461" t="s">
        <v>1070</v>
      </c>
      <c r="I796" s="2462">
        <v>2.2987593333617788E-3</v>
      </c>
      <c r="J796" s="2462">
        <v>3.2915778211926781</v>
      </c>
    </row>
    <row r="797" spans="1:10" outlineLevel="2">
      <c r="A797" s="2459" t="s">
        <v>1669</v>
      </c>
      <c r="B797" s="2459" t="s">
        <v>1645</v>
      </c>
      <c r="C797" s="2459" t="s">
        <v>1673</v>
      </c>
      <c r="D797" s="2460" t="s">
        <v>1671</v>
      </c>
      <c r="E797" s="2461" t="s">
        <v>213</v>
      </c>
      <c r="F797" s="2461" t="s">
        <v>1478</v>
      </c>
      <c r="G797" s="2461" t="s">
        <v>1409</v>
      </c>
      <c r="H797" s="2461" t="s">
        <v>1070</v>
      </c>
      <c r="I797" s="2462">
        <v>1.0069296646382936E-3</v>
      </c>
      <c r="J797" s="2462">
        <v>2.9412931319319728</v>
      </c>
    </row>
    <row r="798" spans="1:10" outlineLevel="2">
      <c r="A798" s="2459" t="s">
        <v>1669</v>
      </c>
      <c r="B798" s="2459" t="s">
        <v>1645</v>
      </c>
      <c r="C798" s="2459" t="s">
        <v>1673</v>
      </c>
      <c r="D798" s="2460" t="s">
        <v>1671</v>
      </c>
      <c r="E798" s="2461" t="s">
        <v>213</v>
      </c>
      <c r="F798" s="2461" t="s">
        <v>1479</v>
      </c>
      <c r="G798" s="2461" t="s">
        <v>1409</v>
      </c>
      <c r="H798" s="2461" t="s">
        <v>1070</v>
      </c>
      <c r="I798" s="2462">
        <v>8.1021290222678649E-4</v>
      </c>
      <c r="J798" s="2462">
        <v>6.9762422230028331</v>
      </c>
    </row>
    <row r="799" spans="1:10" outlineLevel="2">
      <c r="A799" s="2459" t="s">
        <v>1669</v>
      </c>
      <c r="B799" s="2459" t="s">
        <v>1645</v>
      </c>
      <c r="C799" s="2459" t="s">
        <v>1673</v>
      </c>
      <c r="D799" s="2460" t="s">
        <v>1671</v>
      </c>
      <c r="E799" s="2461" t="s">
        <v>213</v>
      </c>
      <c r="F799" s="2461" t="s">
        <v>1480</v>
      </c>
      <c r="G799" s="2461" t="s">
        <v>1409</v>
      </c>
      <c r="H799" s="2461" t="s">
        <v>1070</v>
      </c>
      <c r="I799" s="2462">
        <v>1.102248935166893E-2</v>
      </c>
      <c r="J799" s="2462">
        <v>16.634340563482521</v>
      </c>
    </row>
    <row r="800" spans="1:10" outlineLevel="2">
      <c r="A800" s="2459" t="s">
        <v>1669</v>
      </c>
      <c r="B800" s="2459" t="s">
        <v>1645</v>
      </c>
      <c r="C800" s="2459" t="s">
        <v>1673</v>
      </c>
      <c r="D800" s="2460" t="s">
        <v>1671</v>
      </c>
      <c r="E800" s="2461" t="s">
        <v>213</v>
      </c>
      <c r="F800" s="2461" t="s">
        <v>1481</v>
      </c>
      <c r="G800" s="2461" t="s">
        <v>1409</v>
      </c>
      <c r="H800" s="2461" t="s">
        <v>1070</v>
      </c>
      <c r="I800" s="2462">
        <v>7.871657038313962E-3</v>
      </c>
      <c r="J800" s="2462">
        <v>11.593475349487415</v>
      </c>
    </row>
    <row r="801" spans="1:10" outlineLevel="2">
      <c r="A801" s="2459" t="s">
        <v>1669</v>
      </c>
      <c r="B801" s="2459" t="s">
        <v>1645</v>
      </c>
      <c r="C801" s="2459" t="s">
        <v>1673</v>
      </c>
      <c r="D801" s="2460" t="s">
        <v>1671</v>
      </c>
      <c r="E801" s="2461" t="s">
        <v>213</v>
      </c>
      <c r="F801" s="2461" t="s">
        <v>1482</v>
      </c>
      <c r="G801" s="2461" t="s">
        <v>1409</v>
      </c>
      <c r="H801" s="2461" t="s">
        <v>1070</v>
      </c>
      <c r="I801" s="2462">
        <v>3.0910298535798716E-3</v>
      </c>
      <c r="J801" s="2462">
        <v>3.7987690978838931</v>
      </c>
    </row>
    <row r="802" spans="1:10" outlineLevel="2">
      <c r="A802" s="2459" t="s">
        <v>1669</v>
      </c>
      <c r="B802" s="2459" t="s">
        <v>1645</v>
      </c>
      <c r="C802" s="2459" t="s">
        <v>1673</v>
      </c>
      <c r="D802" s="2460" t="s">
        <v>1671</v>
      </c>
      <c r="E802" s="2461" t="s">
        <v>213</v>
      </c>
      <c r="F802" s="2461" t="s">
        <v>1483</v>
      </c>
      <c r="G802" s="2461" t="s">
        <v>1409</v>
      </c>
      <c r="H802" s="2461" t="s">
        <v>1070</v>
      </c>
      <c r="I802" s="2462">
        <v>2.5739613209945136E-3</v>
      </c>
      <c r="J802" s="2462">
        <v>2.7757677542995873</v>
      </c>
    </row>
    <row r="803" spans="1:10" outlineLevel="2">
      <c r="A803" s="2459" t="s">
        <v>1669</v>
      </c>
      <c r="B803" s="2459" t="s">
        <v>1645</v>
      </c>
      <c r="C803" s="2459" t="s">
        <v>1673</v>
      </c>
      <c r="D803" s="2460" t="s">
        <v>1671</v>
      </c>
      <c r="E803" s="2461" t="s">
        <v>213</v>
      </c>
      <c r="F803" s="2461" t="s">
        <v>1484</v>
      </c>
      <c r="G803" s="2461" t="s">
        <v>1412</v>
      </c>
      <c r="H803" s="2461" t="s">
        <v>1116</v>
      </c>
      <c r="I803" s="2462">
        <v>7.2606093673153495E-3</v>
      </c>
      <c r="J803" s="2462">
        <v>14.582392878520174</v>
      </c>
    </row>
    <row r="804" spans="1:10" outlineLevel="2">
      <c r="A804" s="2459" t="s">
        <v>1669</v>
      </c>
      <c r="B804" s="2459" t="s">
        <v>1645</v>
      </c>
      <c r="C804" s="2459" t="s">
        <v>1673</v>
      </c>
      <c r="D804" s="2460" t="s">
        <v>1671</v>
      </c>
      <c r="E804" s="2461" t="s">
        <v>213</v>
      </c>
      <c r="F804" s="2461" t="s">
        <v>1485</v>
      </c>
      <c r="G804" s="2461" t="s">
        <v>1412</v>
      </c>
      <c r="H804" s="2461" t="s">
        <v>1116</v>
      </c>
      <c r="I804" s="2462">
        <v>5.2155718760243863E-3</v>
      </c>
      <c r="J804" s="2462">
        <v>55.18710202659274</v>
      </c>
    </row>
    <row r="805" spans="1:10" outlineLevel="2">
      <c r="A805" s="2459" t="s">
        <v>1669</v>
      </c>
      <c r="B805" s="2459" t="s">
        <v>1645</v>
      </c>
      <c r="C805" s="2459" t="s">
        <v>1673</v>
      </c>
      <c r="D805" s="2460" t="s">
        <v>1671</v>
      </c>
      <c r="E805" s="2461" t="s">
        <v>213</v>
      </c>
      <c r="F805" s="2461" t="s">
        <v>1486</v>
      </c>
      <c r="G805" s="2461" t="s">
        <v>1412</v>
      </c>
      <c r="H805" s="2461" t="s">
        <v>1116</v>
      </c>
      <c r="I805" s="2462">
        <v>4.3272559468109841E-3</v>
      </c>
      <c r="J805" s="2462">
        <v>11.858710688246742</v>
      </c>
    </row>
    <row r="806" spans="1:10" outlineLevel="2">
      <c r="A806" s="2459" t="s">
        <v>1669</v>
      </c>
      <c r="B806" s="2459" t="s">
        <v>1645</v>
      </c>
      <c r="C806" s="2459" t="s">
        <v>1673</v>
      </c>
      <c r="D806" s="2460" t="s">
        <v>1671</v>
      </c>
      <c r="E806" s="2461" t="s">
        <v>213</v>
      </c>
      <c r="F806" s="2461" t="s">
        <v>1487</v>
      </c>
      <c r="G806" s="2461" t="s">
        <v>1412</v>
      </c>
      <c r="H806" s="2461" t="s">
        <v>1116</v>
      </c>
      <c r="I806" s="2462">
        <v>1.6644988091479185E-2</v>
      </c>
      <c r="J806" s="2462">
        <v>22.273904634571078</v>
      </c>
    </row>
    <row r="807" spans="1:10" outlineLevel="2">
      <c r="A807" s="2459" t="s">
        <v>1669</v>
      </c>
      <c r="B807" s="2459" t="s">
        <v>1645</v>
      </c>
      <c r="C807" s="2459" t="s">
        <v>1673</v>
      </c>
      <c r="D807" s="2460" t="s">
        <v>1671</v>
      </c>
      <c r="E807" s="2461" t="s">
        <v>213</v>
      </c>
      <c r="F807" s="2461" t="s">
        <v>1488</v>
      </c>
      <c r="G807" s="2461" t="s">
        <v>1412</v>
      </c>
      <c r="H807" s="2461" t="s">
        <v>1116</v>
      </c>
      <c r="I807" s="2462">
        <v>4.6968424058821607E-4</v>
      </c>
      <c r="J807" s="2462">
        <v>1.0220225649202532</v>
      </c>
    </row>
    <row r="808" spans="1:10" outlineLevel="2">
      <c r="A808" s="2459" t="s">
        <v>1669</v>
      </c>
      <c r="B808" s="2459" t="s">
        <v>1645</v>
      </c>
      <c r="C808" s="2459" t="s">
        <v>1673</v>
      </c>
      <c r="D808" s="2460" t="s">
        <v>1671</v>
      </c>
      <c r="E808" s="2461" t="s">
        <v>213</v>
      </c>
      <c r="F808" s="2461" t="s">
        <v>1489</v>
      </c>
      <c r="G808" s="2461" t="s">
        <v>1412</v>
      </c>
      <c r="H808" s="2461" t="s">
        <v>1116</v>
      </c>
      <c r="I808" s="2462">
        <v>1.7817646235160879E-3</v>
      </c>
      <c r="J808" s="2462">
        <v>2.6516119614756435</v>
      </c>
    </row>
    <row r="809" spans="1:10" outlineLevel="2">
      <c r="A809" s="2459" t="s">
        <v>1669</v>
      </c>
      <c r="B809" s="2459" t="s">
        <v>1645</v>
      </c>
      <c r="C809" s="2459" t="s">
        <v>1673</v>
      </c>
      <c r="D809" s="2460" t="s">
        <v>1671</v>
      </c>
      <c r="E809" s="2461" t="s">
        <v>213</v>
      </c>
      <c r="F809" s="2461" t="s">
        <v>1490</v>
      </c>
      <c r="G809" s="2461" t="s">
        <v>1412</v>
      </c>
      <c r="H809" s="2461" t="s">
        <v>1116</v>
      </c>
      <c r="I809" s="2462">
        <v>3.4189255828761264E-4</v>
      </c>
      <c r="J809" s="2462">
        <v>4.873877128223592</v>
      </c>
    </row>
    <row r="810" spans="1:10" outlineLevel="2">
      <c r="A810" s="2459" t="s">
        <v>1669</v>
      </c>
      <c r="B810" s="2459" t="s">
        <v>1645</v>
      </c>
      <c r="C810" s="2459" t="s">
        <v>1673</v>
      </c>
      <c r="D810" s="2460" t="s">
        <v>1671</v>
      </c>
      <c r="E810" s="2461" t="s">
        <v>213</v>
      </c>
      <c r="F810" s="2461" t="s">
        <v>1491</v>
      </c>
      <c r="G810" s="2461" t="s">
        <v>1439</v>
      </c>
      <c r="H810" s="2461" t="s">
        <v>1440</v>
      </c>
      <c r="I810" s="2462">
        <v>0.40279221548025179</v>
      </c>
      <c r="J810" s="2462">
        <v>431.35749503048476</v>
      </c>
    </row>
    <row r="811" spans="1:10" outlineLevel="2">
      <c r="A811" s="2459" t="s">
        <v>1669</v>
      </c>
      <c r="B811" s="2459" t="s">
        <v>1645</v>
      </c>
      <c r="C811" s="2459" t="s">
        <v>1673</v>
      </c>
      <c r="D811" s="2460" t="s">
        <v>1671</v>
      </c>
      <c r="E811" s="2461" t="s">
        <v>213</v>
      </c>
      <c r="F811" s="2461" t="s">
        <v>1492</v>
      </c>
      <c r="G811" s="2461" t="s">
        <v>1439</v>
      </c>
      <c r="H811" s="2461" t="s">
        <v>1440</v>
      </c>
      <c r="I811" s="2462">
        <v>0.21378304216927368</v>
      </c>
      <c r="J811" s="2462">
        <v>290.44939636461584</v>
      </c>
    </row>
    <row r="812" spans="1:10" outlineLevel="2">
      <c r="A812" s="2459" t="s">
        <v>1669</v>
      </c>
      <c r="B812" s="2459" t="s">
        <v>1645</v>
      </c>
      <c r="C812" s="2459" t="s">
        <v>1673</v>
      </c>
      <c r="D812" s="2460" t="s">
        <v>1671</v>
      </c>
      <c r="E812" s="2461" t="s">
        <v>213</v>
      </c>
      <c r="F812" s="2461" t="s">
        <v>1493</v>
      </c>
      <c r="G812" s="2461" t="s">
        <v>1439</v>
      </c>
      <c r="H812" s="2461" t="s">
        <v>1440</v>
      </c>
      <c r="I812" s="2462">
        <v>3.4674237192961532E-2</v>
      </c>
      <c r="J812" s="2462">
        <v>37.119067602831713</v>
      </c>
    </row>
    <row r="813" spans="1:10" outlineLevel="2">
      <c r="A813" s="2459" t="s">
        <v>1669</v>
      </c>
      <c r="B813" s="2459" t="s">
        <v>1645</v>
      </c>
      <c r="C813" s="2459" t="s">
        <v>1673</v>
      </c>
      <c r="D813" s="2460" t="s">
        <v>1671</v>
      </c>
      <c r="E813" s="2461" t="s">
        <v>213</v>
      </c>
      <c r="F813" s="2461" t="s">
        <v>1494</v>
      </c>
      <c r="G813" s="2461" t="s">
        <v>1439</v>
      </c>
      <c r="H813" s="2461" t="s">
        <v>1440</v>
      </c>
      <c r="I813" s="2462">
        <v>0.1362377542633888</v>
      </c>
      <c r="J813" s="2462">
        <v>172.28404989680348</v>
      </c>
    </row>
    <row r="814" spans="1:10" outlineLevel="2">
      <c r="A814" s="2459" t="s">
        <v>1669</v>
      </c>
      <c r="B814" s="2459" t="s">
        <v>1645</v>
      </c>
      <c r="C814" s="2459" t="s">
        <v>1673</v>
      </c>
      <c r="D814" s="2460" t="s">
        <v>1671</v>
      </c>
      <c r="E814" s="2461" t="s">
        <v>213</v>
      </c>
      <c r="F814" s="2461" t="s">
        <v>1495</v>
      </c>
      <c r="G814" s="2461" t="s">
        <v>1439</v>
      </c>
      <c r="H814" s="2461" t="s">
        <v>1440</v>
      </c>
      <c r="I814" s="2462">
        <v>1.8888996170509625E-3</v>
      </c>
      <c r="J814" s="2462">
        <v>2.3977956738219603</v>
      </c>
    </row>
    <row r="815" spans="1:10" outlineLevel="2">
      <c r="A815" s="2459" t="s">
        <v>1669</v>
      </c>
      <c r="B815" s="2459" t="s">
        <v>1645</v>
      </c>
      <c r="C815" s="2459" t="s">
        <v>1673</v>
      </c>
      <c r="D815" s="2460" t="s">
        <v>1671</v>
      </c>
      <c r="E815" s="2461" t="s">
        <v>213</v>
      </c>
      <c r="F815" s="2461" t="s">
        <v>1496</v>
      </c>
      <c r="G815" s="2461" t="s">
        <v>1439</v>
      </c>
      <c r="H815" s="2461" t="s">
        <v>1440</v>
      </c>
      <c r="I815" s="2462">
        <v>4.746259061789355E-3</v>
      </c>
      <c r="J815" s="2462">
        <v>6.7275376539284508</v>
      </c>
    </row>
    <row r="816" spans="1:10" outlineLevel="2">
      <c r="A816" s="2459" t="s">
        <v>1669</v>
      </c>
      <c r="B816" s="2459" t="s">
        <v>1645</v>
      </c>
      <c r="C816" s="2459" t="s">
        <v>1673</v>
      </c>
      <c r="D816" s="2460" t="s">
        <v>1671</v>
      </c>
      <c r="E816" s="2461" t="s">
        <v>213</v>
      </c>
      <c r="F816" s="2461" t="s">
        <v>1497</v>
      </c>
      <c r="G816" s="2461" t="s">
        <v>1439</v>
      </c>
      <c r="H816" s="2461" t="s">
        <v>1440</v>
      </c>
      <c r="I816" s="2462">
        <v>3.5974646091057887E-3</v>
      </c>
      <c r="J816" s="2462">
        <v>4.5744530323771428</v>
      </c>
    </row>
    <row r="817" spans="1:10" outlineLevel="2">
      <c r="A817" s="2459" t="s">
        <v>1669</v>
      </c>
      <c r="B817" s="2459" t="s">
        <v>1645</v>
      </c>
      <c r="C817" s="2459" t="s">
        <v>1673</v>
      </c>
      <c r="D817" s="2460" t="s">
        <v>1671</v>
      </c>
      <c r="E817" s="2461" t="s">
        <v>213</v>
      </c>
      <c r="F817" s="2461" t="s">
        <v>1498</v>
      </c>
      <c r="G817" s="2461" t="s">
        <v>1439</v>
      </c>
      <c r="H817" s="2461" t="s">
        <v>1440</v>
      </c>
      <c r="I817" s="2462">
        <v>0.16220983157605798</v>
      </c>
      <c r="J817" s="2462">
        <v>276.0619335239104</v>
      </c>
    </row>
    <row r="818" spans="1:10" outlineLevel="2">
      <c r="A818" s="2459" t="s">
        <v>1669</v>
      </c>
      <c r="B818" s="2459" t="s">
        <v>1645</v>
      </c>
      <c r="C818" s="2459" t="s">
        <v>1673</v>
      </c>
      <c r="D818" s="2460" t="s">
        <v>1671</v>
      </c>
      <c r="E818" s="2461" t="s">
        <v>213</v>
      </c>
      <c r="F818" s="2461" t="s">
        <v>1499</v>
      </c>
      <c r="G818" s="2461" t="s">
        <v>1439</v>
      </c>
      <c r="H818" s="2461" t="s">
        <v>1440</v>
      </c>
      <c r="I818" s="2462">
        <v>9.1338355037003077E-2</v>
      </c>
      <c r="J818" s="2462">
        <v>48.818853366452302</v>
      </c>
    </row>
    <row r="819" spans="1:10" outlineLevel="2">
      <c r="A819" s="2459" t="s">
        <v>1669</v>
      </c>
      <c r="B819" s="2459" t="s">
        <v>1645</v>
      </c>
      <c r="C819" s="2459" t="s">
        <v>1673</v>
      </c>
      <c r="D819" s="2460" t="s">
        <v>1671</v>
      </c>
      <c r="E819" s="2461" t="s">
        <v>213</v>
      </c>
      <c r="F819" s="2461" t="s">
        <v>1500</v>
      </c>
      <c r="G819" s="2461" t="s">
        <v>1439</v>
      </c>
      <c r="H819" s="2461" t="s">
        <v>1440</v>
      </c>
      <c r="I819" s="2462">
        <v>0.20436329142726195</v>
      </c>
      <c r="J819" s="2462">
        <v>109.21604287309279</v>
      </c>
    </row>
    <row r="820" spans="1:10" outlineLevel="2">
      <c r="A820" s="2459" t="s">
        <v>1669</v>
      </c>
      <c r="B820" s="2459" t="s">
        <v>1645</v>
      </c>
      <c r="C820" s="2459" t="s">
        <v>1673</v>
      </c>
      <c r="D820" s="2460" t="s">
        <v>1671</v>
      </c>
      <c r="E820" s="2461" t="s">
        <v>213</v>
      </c>
      <c r="F820" s="2461" t="s">
        <v>1501</v>
      </c>
      <c r="G820" s="2461" t="s">
        <v>1439</v>
      </c>
      <c r="H820" s="2461" t="s">
        <v>1440</v>
      </c>
      <c r="I820" s="2462">
        <v>6.0016525963036547E-2</v>
      </c>
      <c r="J820" s="2462">
        <v>87.610068142864051</v>
      </c>
    </row>
    <row r="821" spans="1:10" outlineLevel="2">
      <c r="A821" s="2459" t="s">
        <v>1669</v>
      </c>
      <c r="B821" s="2459" t="s">
        <v>1645</v>
      </c>
      <c r="C821" s="2459" t="s">
        <v>1673</v>
      </c>
      <c r="D821" s="2460" t="s">
        <v>1671</v>
      </c>
      <c r="E821" s="2461" t="s">
        <v>213</v>
      </c>
      <c r="F821" s="2461" t="s">
        <v>1502</v>
      </c>
      <c r="G821" s="2461" t="s">
        <v>1439</v>
      </c>
      <c r="H821" s="2461" t="s">
        <v>1440</v>
      </c>
      <c r="I821" s="2462">
        <v>2.441406305239997E-2</v>
      </c>
      <c r="J821" s="2462">
        <v>36.901484879051495</v>
      </c>
    </row>
    <row r="822" spans="1:10" outlineLevel="2">
      <c r="A822" s="2459" t="s">
        <v>1669</v>
      </c>
      <c r="B822" s="2459" t="s">
        <v>1645</v>
      </c>
      <c r="C822" s="2459" t="s">
        <v>1673</v>
      </c>
      <c r="D822" s="2460" t="s">
        <v>1671</v>
      </c>
      <c r="E822" s="2461" t="s">
        <v>213</v>
      </c>
      <c r="F822" s="2461" t="s">
        <v>1503</v>
      </c>
      <c r="G822" s="2461" t="s">
        <v>1439</v>
      </c>
      <c r="H822" s="2461" t="s">
        <v>1440</v>
      </c>
      <c r="I822" s="2462">
        <v>3.2210676608902679E-2</v>
      </c>
      <c r="J822" s="2462">
        <v>41.768842860668272</v>
      </c>
    </row>
    <row r="823" spans="1:10" outlineLevel="2">
      <c r="A823" s="2459" t="s">
        <v>1669</v>
      </c>
      <c r="B823" s="2459" t="s">
        <v>1645</v>
      </c>
      <c r="C823" s="2459" t="s">
        <v>1673</v>
      </c>
      <c r="D823" s="2460" t="s">
        <v>1671</v>
      </c>
      <c r="E823" s="2461" t="s">
        <v>213</v>
      </c>
      <c r="F823" s="2461" t="s">
        <v>1504</v>
      </c>
      <c r="G823" s="2461" t="s">
        <v>1439</v>
      </c>
      <c r="H823" s="2461" t="s">
        <v>1440</v>
      </c>
      <c r="I823" s="2462">
        <v>1.6435895863299816E-2</v>
      </c>
      <c r="J823" s="2462">
        <v>19.831592277923015</v>
      </c>
    </row>
    <row r="824" spans="1:10" outlineLevel="2">
      <c r="A824" s="2459" t="s">
        <v>1669</v>
      </c>
      <c r="B824" s="2459" t="s">
        <v>1645</v>
      </c>
      <c r="C824" s="2459" t="s">
        <v>1673</v>
      </c>
      <c r="D824" s="2460" t="s">
        <v>1671</v>
      </c>
      <c r="E824" s="2461" t="s">
        <v>213</v>
      </c>
      <c r="F824" s="2461" t="s">
        <v>1505</v>
      </c>
      <c r="G824" s="2461" t="s">
        <v>1439</v>
      </c>
      <c r="H824" s="2461" t="s">
        <v>1440</v>
      </c>
      <c r="I824" s="2462">
        <v>0.8026447189999143</v>
      </c>
      <c r="J824" s="2462">
        <v>1174.3420329063201</v>
      </c>
    </row>
    <row r="825" spans="1:10" outlineLevel="2">
      <c r="A825" s="2459" t="s">
        <v>1669</v>
      </c>
      <c r="B825" s="2459" t="s">
        <v>1645</v>
      </c>
      <c r="C825" s="2459" t="s">
        <v>1673</v>
      </c>
      <c r="D825" s="2460" t="s">
        <v>1671</v>
      </c>
      <c r="E825" s="2461" t="s">
        <v>213</v>
      </c>
      <c r="F825" s="2461" t="s">
        <v>1506</v>
      </c>
      <c r="G825" s="2461" t="s">
        <v>1439</v>
      </c>
      <c r="H825" s="2461" t="s">
        <v>1440</v>
      </c>
      <c r="I825" s="2462">
        <v>0.33171342059731301</v>
      </c>
      <c r="J825" s="2462">
        <v>501.49273428416234</v>
      </c>
    </row>
    <row r="826" spans="1:10" outlineLevel="2">
      <c r="A826" s="2459" t="s">
        <v>1669</v>
      </c>
      <c r="B826" s="2459" t="s">
        <v>1645</v>
      </c>
      <c r="C826" s="2459" t="s">
        <v>1673</v>
      </c>
      <c r="D826" s="2460" t="s">
        <v>1671</v>
      </c>
      <c r="E826" s="2461" t="s">
        <v>213</v>
      </c>
      <c r="F826" s="2461" t="s">
        <v>1507</v>
      </c>
      <c r="G826" s="2461" t="s">
        <v>1439</v>
      </c>
      <c r="H826" s="2461" t="s">
        <v>1440</v>
      </c>
      <c r="I826" s="2462">
        <v>3.7118345732734259E-2</v>
      </c>
      <c r="J826" s="2462">
        <v>83.736140193080885</v>
      </c>
    </row>
    <row r="827" spans="1:10" outlineLevel="2">
      <c r="A827" s="2459" t="s">
        <v>1669</v>
      </c>
      <c r="B827" s="2459" t="s">
        <v>1645</v>
      </c>
      <c r="C827" s="2459" t="s">
        <v>1673</v>
      </c>
      <c r="D827" s="2460" t="s">
        <v>1671</v>
      </c>
      <c r="E827" s="2461" t="s">
        <v>213</v>
      </c>
      <c r="F827" s="2461" t="s">
        <v>1508</v>
      </c>
      <c r="G827" s="2461" t="s">
        <v>1439</v>
      </c>
      <c r="H827" s="2461" t="s">
        <v>1440</v>
      </c>
      <c r="I827" s="2462">
        <v>1.0216934512445555</v>
      </c>
      <c r="J827" s="2462">
        <v>1618.8502928114949</v>
      </c>
    </row>
    <row r="828" spans="1:10" outlineLevel="2">
      <c r="A828" s="2459" t="s">
        <v>1669</v>
      </c>
      <c r="B828" s="2459" t="s">
        <v>1645</v>
      </c>
      <c r="C828" s="2459" t="s">
        <v>1673</v>
      </c>
      <c r="D828" s="2460" t="s">
        <v>1671</v>
      </c>
      <c r="E828" s="2461" t="s">
        <v>213</v>
      </c>
      <c r="F828" s="2461" t="s">
        <v>1509</v>
      </c>
      <c r="G828" s="2461" t="s">
        <v>1439</v>
      </c>
      <c r="H828" s="2461" t="s">
        <v>1440</v>
      </c>
      <c r="I828" s="2462">
        <v>3.6541029829173809E-2</v>
      </c>
      <c r="J828" s="2462">
        <v>41.743650948637189</v>
      </c>
    </row>
    <row r="829" spans="1:10" outlineLevel="2">
      <c r="A829" s="2459" t="s">
        <v>1669</v>
      </c>
      <c r="B829" s="2459" t="s">
        <v>1645</v>
      </c>
      <c r="C829" s="2459" t="s">
        <v>1673</v>
      </c>
      <c r="D829" s="2460" t="s">
        <v>1671</v>
      </c>
      <c r="E829" s="2461" t="s">
        <v>213</v>
      </c>
      <c r="F829" s="2461" t="s">
        <v>1510</v>
      </c>
      <c r="G829" s="2461" t="s">
        <v>1439</v>
      </c>
      <c r="H829" s="2461" t="s">
        <v>1440</v>
      </c>
      <c r="I829" s="2462">
        <v>4.2874641100668132E-2</v>
      </c>
      <c r="J829" s="2462">
        <v>49.744566031083018</v>
      </c>
    </row>
    <row r="830" spans="1:10" outlineLevel="2">
      <c r="A830" s="2459" t="s">
        <v>1669</v>
      </c>
      <c r="B830" s="2459" t="s">
        <v>1645</v>
      </c>
      <c r="C830" s="2459" t="s">
        <v>1673</v>
      </c>
      <c r="D830" s="2460" t="s">
        <v>1671</v>
      </c>
      <c r="E830" s="2461" t="s">
        <v>213</v>
      </c>
      <c r="F830" s="2461" t="s">
        <v>1511</v>
      </c>
      <c r="G830" s="2461" t="s">
        <v>1418</v>
      </c>
      <c r="H830" s="2461" t="s">
        <v>1452</v>
      </c>
      <c r="I830" s="2462">
        <v>1.5942695580703937E-4</v>
      </c>
      <c r="J830" s="2462">
        <v>0.23540453752450863</v>
      </c>
    </row>
    <row r="831" spans="1:10" outlineLevel="2">
      <c r="A831" s="2459" t="s">
        <v>1669</v>
      </c>
      <c r="B831" s="2459" t="s">
        <v>1645</v>
      </c>
      <c r="C831" s="2459" t="s">
        <v>1673</v>
      </c>
      <c r="D831" s="2460" t="s">
        <v>1671</v>
      </c>
      <c r="E831" s="2461" t="s">
        <v>213</v>
      </c>
      <c r="F831" s="2461" t="s">
        <v>1512</v>
      </c>
      <c r="G831" s="2461" t="s">
        <v>1418</v>
      </c>
      <c r="H831" s="2461" t="s">
        <v>1452</v>
      </c>
      <c r="I831" s="2462">
        <v>2.0863909970812022E-4</v>
      </c>
      <c r="J831" s="2462">
        <v>0.9109306139290575</v>
      </c>
    </row>
    <row r="832" spans="1:10" outlineLevel="2">
      <c r="A832" s="2459" t="s">
        <v>1669</v>
      </c>
      <c r="B832" s="2459" t="s">
        <v>1645</v>
      </c>
      <c r="C832" s="2459" t="s">
        <v>1673</v>
      </c>
      <c r="D832" s="2460" t="s">
        <v>1671</v>
      </c>
      <c r="E832" s="2461" t="s">
        <v>213</v>
      </c>
      <c r="F832" s="2461" t="s">
        <v>1513</v>
      </c>
      <c r="G832" s="2461" t="s">
        <v>1418</v>
      </c>
      <c r="H832" s="2461" t="s">
        <v>1452</v>
      </c>
      <c r="I832" s="2462">
        <v>7.7834751416592885E-6</v>
      </c>
      <c r="J832" s="2462">
        <v>7.3072448442140451E-3</v>
      </c>
    </row>
    <row r="833" spans="1:10" outlineLevel="2">
      <c r="A833" s="2459" t="s">
        <v>1669</v>
      </c>
      <c r="B833" s="2459" t="s">
        <v>1645</v>
      </c>
      <c r="C833" s="2459" t="s">
        <v>1673</v>
      </c>
      <c r="D833" s="2460" t="s">
        <v>1671</v>
      </c>
      <c r="E833" s="2461" t="s">
        <v>213</v>
      </c>
      <c r="F833" s="2461" t="s">
        <v>1514</v>
      </c>
      <c r="G833" s="2461" t="s">
        <v>1418</v>
      </c>
      <c r="H833" s="2461" t="s">
        <v>1452</v>
      </c>
      <c r="I833" s="2462">
        <v>6.9816522905761591E-4</v>
      </c>
      <c r="J833" s="2462">
        <v>0.65414247794380298</v>
      </c>
    </row>
    <row r="834" spans="1:10" outlineLevel="2">
      <c r="A834" s="2459" t="s">
        <v>1669</v>
      </c>
      <c r="B834" s="2459" t="s">
        <v>1645</v>
      </c>
      <c r="C834" s="2459" t="s">
        <v>1673</v>
      </c>
      <c r="D834" s="2460" t="s">
        <v>1671</v>
      </c>
      <c r="E834" s="2461" t="s">
        <v>213</v>
      </c>
      <c r="F834" s="2461" t="s">
        <v>1515</v>
      </c>
      <c r="G834" s="2461" t="s">
        <v>1418</v>
      </c>
      <c r="H834" s="2461" t="s">
        <v>1452</v>
      </c>
      <c r="I834" s="2462">
        <v>1.3413210555565712E-4</v>
      </c>
      <c r="J834" s="2462">
        <v>0.19353827765418011</v>
      </c>
    </row>
    <row r="835" spans="1:10" outlineLevel="2">
      <c r="A835" s="2459" t="s">
        <v>1669</v>
      </c>
      <c r="B835" s="2459" t="s">
        <v>1645</v>
      </c>
      <c r="C835" s="2459" t="s">
        <v>1673</v>
      </c>
      <c r="D835" s="2460" t="s">
        <v>1671</v>
      </c>
      <c r="E835" s="2461" t="s">
        <v>213</v>
      </c>
      <c r="F835" s="2461" t="s">
        <v>1516</v>
      </c>
      <c r="G835" s="2461" t="s">
        <v>1418</v>
      </c>
      <c r="H835" s="2461" t="s">
        <v>1452</v>
      </c>
      <c r="I835" s="2462">
        <v>1.9170942125796783E-3</v>
      </c>
      <c r="J835" s="2462">
        <v>2.1443933333084693</v>
      </c>
    </row>
    <row r="836" spans="1:10" outlineLevel="2">
      <c r="A836" s="2459" t="s">
        <v>1669</v>
      </c>
      <c r="B836" s="2459" t="s">
        <v>1645</v>
      </c>
      <c r="C836" s="2459" t="s">
        <v>1673</v>
      </c>
      <c r="D836" s="2460" t="s">
        <v>1671</v>
      </c>
      <c r="E836" s="2461" t="s">
        <v>213</v>
      </c>
      <c r="F836" s="2461" t="s">
        <v>1517</v>
      </c>
      <c r="G836" s="2461" t="s">
        <v>1418</v>
      </c>
      <c r="H836" s="2461" t="s">
        <v>1452</v>
      </c>
      <c r="I836" s="2462">
        <v>9.8159720744997632E-3</v>
      </c>
      <c r="J836" s="2462">
        <v>4.8075094784289814</v>
      </c>
    </row>
    <row r="837" spans="1:10" outlineLevel="2">
      <c r="A837" s="2459" t="s">
        <v>1669</v>
      </c>
      <c r="B837" s="2459" t="s">
        <v>1645</v>
      </c>
      <c r="C837" s="2459" t="s">
        <v>1673</v>
      </c>
      <c r="D837" s="2460" t="s">
        <v>1671</v>
      </c>
      <c r="E837" s="2461" t="s">
        <v>213</v>
      </c>
      <c r="F837" s="2461" t="s">
        <v>1518</v>
      </c>
      <c r="G837" s="2461" t="s">
        <v>1418</v>
      </c>
      <c r="H837" s="2461" t="s">
        <v>1452</v>
      </c>
      <c r="I837" s="2462">
        <v>1.1056789495684908E-3</v>
      </c>
      <c r="J837" s="2462">
        <v>1.0359608556251383</v>
      </c>
    </row>
    <row r="838" spans="1:10" outlineLevel="2">
      <c r="A838" s="2459" t="s">
        <v>1669</v>
      </c>
      <c r="B838" s="2459" t="s">
        <v>1645</v>
      </c>
      <c r="C838" s="2459" t="s">
        <v>1673</v>
      </c>
      <c r="D838" s="2460" t="s">
        <v>1671</v>
      </c>
      <c r="E838" s="2461" t="s">
        <v>213</v>
      </c>
      <c r="F838" s="2461" t="s">
        <v>1519</v>
      </c>
      <c r="G838" s="2461" t="s">
        <v>1418</v>
      </c>
      <c r="H838" s="2461" t="s">
        <v>1452</v>
      </c>
      <c r="I838" s="2462">
        <v>1.4514664752068084E-3</v>
      </c>
      <c r="J838" s="2462">
        <v>1.4783532800668731</v>
      </c>
    </row>
    <row r="839" spans="1:10" outlineLevel="2">
      <c r="A839" s="2459" t="s">
        <v>1669</v>
      </c>
      <c r="B839" s="2459" t="s">
        <v>1645</v>
      </c>
      <c r="C839" s="2459" t="s">
        <v>1673</v>
      </c>
      <c r="D839" s="2460" t="s">
        <v>1671</v>
      </c>
      <c r="E839" s="2461" t="s">
        <v>213</v>
      </c>
      <c r="F839" s="2461" t="s">
        <v>1520</v>
      </c>
      <c r="G839" s="2461" t="s">
        <v>1418</v>
      </c>
      <c r="H839" s="2461" t="s">
        <v>1452</v>
      </c>
      <c r="I839" s="2462">
        <v>1.7384174316378541E-4</v>
      </c>
      <c r="J839" s="2462">
        <v>1.5799248729291602</v>
      </c>
    </row>
    <row r="840" spans="1:10" outlineLevel="2">
      <c r="A840" s="2459" t="s">
        <v>1669</v>
      </c>
      <c r="B840" s="2459" t="s">
        <v>1645</v>
      </c>
      <c r="C840" s="2459" t="s">
        <v>1673</v>
      </c>
      <c r="D840" s="2460" t="s">
        <v>1671</v>
      </c>
      <c r="E840" s="2461" t="s">
        <v>213</v>
      </c>
      <c r="F840" s="2461" t="s">
        <v>1521</v>
      </c>
      <c r="G840" s="2461" t="s">
        <v>1421</v>
      </c>
      <c r="H840" s="2461" t="s">
        <v>1454</v>
      </c>
      <c r="I840" s="2462">
        <v>0.23952518650095875</v>
      </c>
      <c r="J840" s="2462">
        <v>332.80063776113872</v>
      </c>
    </row>
    <row r="841" spans="1:10" outlineLevel="2">
      <c r="A841" s="2459" t="s">
        <v>1669</v>
      </c>
      <c r="B841" s="2459" t="s">
        <v>1645</v>
      </c>
      <c r="C841" s="2459" t="s">
        <v>1673</v>
      </c>
      <c r="D841" s="2460" t="s">
        <v>1671</v>
      </c>
      <c r="E841" s="2461" t="s">
        <v>213</v>
      </c>
      <c r="F841" s="2461" t="s">
        <v>1522</v>
      </c>
      <c r="G841" s="2461" t="s">
        <v>1421</v>
      </c>
      <c r="H841" s="2461" t="s">
        <v>1454</v>
      </c>
      <c r="I841" s="2462">
        <v>5.626250367048645E-2</v>
      </c>
      <c r="J841" s="2462">
        <v>83.263750840943644</v>
      </c>
    </row>
    <row r="842" spans="1:10" outlineLevel="2">
      <c r="A842" s="2459" t="s">
        <v>1669</v>
      </c>
      <c r="B842" s="2459" t="s">
        <v>1645</v>
      </c>
      <c r="C842" s="2459" t="s">
        <v>1673</v>
      </c>
      <c r="D842" s="2460" t="s">
        <v>1671</v>
      </c>
      <c r="E842" s="2461" t="s">
        <v>213</v>
      </c>
      <c r="F842" s="2461" t="s">
        <v>1523</v>
      </c>
      <c r="G842" s="2461" t="s">
        <v>1421</v>
      </c>
      <c r="H842" s="2461" t="s">
        <v>1454</v>
      </c>
      <c r="I842" s="2462">
        <v>2.5954991503742256E-2</v>
      </c>
      <c r="J842" s="2462">
        <v>44.027125258642194</v>
      </c>
    </row>
    <row r="843" spans="1:10" outlineLevel="2">
      <c r="A843" s="2459" t="s">
        <v>1669</v>
      </c>
      <c r="B843" s="2459" t="s">
        <v>1645</v>
      </c>
      <c r="C843" s="2459" t="s">
        <v>1673</v>
      </c>
      <c r="D843" s="2460" t="s">
        <v>1671</v>
      </c>
      <c r="E843" s="2461" t="s">
        <v>213</v>
      </c>
      <c r="F843" s="2461" t="s">
        <v>1524</v>
      </c>
      <c r="G843" s="2461" t="s">
        <v>1421</v>
      </c>
      <c r="H843" s="2461" t="s">
        <v>1454</v>
      </c>
      <c r="I843" s="2462">
        <v>5.9805778485518685E-2</v>
      </c>
      <c r="J843" s="2462">
        <v>94.646383092585367</v>
      </c>
    </row>
    <row r="844" spans="1:10" outlineLevel="2">
      <c r="A844" s="2459" t="s">
        <v>1669</v>
      </c>
      <c r="B844" s="2459" t="s">
        <v>1645</v>
      </c>
      <c r="C844" s="2459" t="s">
        <v>1673</v>
      </c>
      <c r="D844" s="2460" t="s">
        <v>1671</v>
      </c>
      <c r="E844" s="2461" t="s">
        <v>213</v>
      </c>
      <c r="F844" s="2461" t="s">
        <v>1525</v>
      </c>
      <c r="G844" s="2461" t="s">
        <v>1421</v>
      </c>
      <c r="H844" s="2461" t="s">
        <v>1454</v>
      </c>
      <c r="I844" s="2462">
        <v>0.10535548545511944</v>
      </c>
      <c r="J844" s="2462">
        <v>149.53878322041405</v>
      </c>
    </row>
    <row r="845" spans="1:10" outlineLevel="2">
      <c r="A845" s="2459" t="s">
        <v>1669</v>
      </c>
      <c r="B845" s="2459" t="s">
        <v>1645</v>
      </c>
      <c r="C845" s="2459" t="s">
        <v>1673</v>
      </c>
      <c r="D845" s="2460" t="s">
        <v>1671</v>
      </c>
      <c r="E845" s="2461" t="s">
        <v>213</v>
      </c>
      <c r="F845" s="2461" t="s">
        <v>1526</v>
      </c>
      <c r="G845" s="2461" t="s">
        <v>1421</v>
      </c>
      <c r="H845" s="2461" t="s">
        <v>1454</v>
      </c>
      <c r="I845" s="2462">
        <v>4.8808444091964524E-3</v>
      </c>
      <c r="J845" s="2462">
        <v>7.016114701723164</v>
      </c>
    </row>
    <row r="846" spans="1:10" outlineLevel="2">
      <c r="A846" s="2459" t="s">
        <v>1669</v>
      </c>
      <c r="B846" s="2459" t="s">
        <v>1645</v>
      </c>
      <c r="C846" s="2459" t="s">
        <v>1673</v>
      </c>
      <c r="D846" s="2460" t="s">
        <v>1671</v>
      </c>
      <c r="E846" s="2461" t="s">
        <v>213</v>
      </c>
      <c r="F846" s="2461" t="s">
        <v>1527</v>
      </c>
      <c r="G846" s="2461" t="s">
        <v>1459</v>
      </c>
      <c r="H846" s="2461" t="s">
        <v>1460</v>
      </c>
      <c r="I846" s="2462">
        <v>1.411853702039328E-2</v>
      </c>
      <c r="J846" s="2462">
        <v>14.76568465918529</v>
      </c>
    </row>
    <row r="847" spans="1:10" outlineLevel="2">
      <c r="A847" s="2459" t="s">
        <v>1669</v>
      </c>
      <c r="B847" s="2459" t="s">
        <v>1645</v>
      </c>
      <c r="C847" s="2459" t="s">
        <v>1673</v>
      </c>
      <c r="D847" s="2460" t="s">
        <v>1671</v>
      </c>
      <c r="E847" s="2461" t="s">
        <v>213</v>
      </c>
      <c r="F847" s="2461" t="s">
        <v>1528</v>
      </c>
      <c r="G847" s="2461" t="s">
        <v>1459</v>
      </c>
      <c r="H847" s="2461" t="s">
        <v>1460</v>
      </c>
      <c r="I847" s="2462">
        <v>1.2289329565152613E-4</v>
      </c>
      <c r="J847" s="2462">
        <v>0.15736717860570601</v>
      </c>
    </row>
    <row r="848" spans="1:10" outlineLevel="2">
      <c r="A848" s="2459" t="s">
        <v>1669</v>
      </c>
      <c r="B848" s="2459" t="s">
        <v>1645</v>
      </c>
      <c r="C848" s="2459" t="s">
        <v>1673</v>
      </c>
      <c r="D848" s="2460" t="s">
        <v>1671</v>
      </c>
      <c r="E848" s="2461" t="s">
        <v>213</v>
      </c>
      <c r="F848" s="2461" t="s">
        <v>1529</v>
      </c>
      <c r="G848" s="2461" t="s">
        <v>1530</v>
      </c>
      <c r="H848" s="2461" t="s">
        <v>1531</v>
      </c>
      <c r="I848" s="2462">
        <v>4.6760595721726554</v>
      </c>
      <c r="J848" s="2462">
        <v>3978.4793021409491</v>
      </c>
    </row>
    <row r="849" spans="1:10" outlineLevel="2">
      <c r="A849" s="2459" t="s">
        <v>1669</v>
      </c>
      <c r="B849" s="2459" t="s">
        <v>1645</v>
      </c>
      <c r="C849" s="2459" t="s">
        <v>1673</v>
      </c>
      <c r="D849" s="2460" t="s">
        <v>1671</v>
      </c>
      <c r="E849" s="2461" t="s">
        <v>213</v>
      </c>
      <c r="F849" s="2461" t="s">
        <v>1532</v>
      </c>
      <c r="G849" s="2461" t="s">
        <v>1530</v>
      </c>
      <c r="H849" s="2461" t="s">
        <v>1531</v>
      </c>
      <c r="I849" s="2462">
        <v>1.9682130858569362</v>
      </c>
      <c r="J849" s="2462">
        <v>1679.1032824977162</v>
      </c>
    </row>
    <row r="850" spans="1:10" outlineLevel="2">
      <c r="A850" s="2459" t="s">
        <v>1669</v>
      </c>
      <c r="B850" s="2459" t="s">
        <v>1645</v>
      </c>
      <c r="C850" s="2459" t="s">
        <v>1673</v>
      </c>
      <c r="D850" s="2460" t="s">
        <v>1671</v>
      </c>
      <c r="E850" s="2461" t="s">
        <v>213</v>
      </c>
      <c r="F850" s="2461" t="s">
        <v>1533</v>
      </c>
      <c r="G850" s="2461" t="s">
        <v>1534</v>
      </c>
      <c r="H850" s="2461" t="s">
        <v>1531</v>
      </c>
      <c r="I850" s="2462">
        <v>1.9604810673326778</v>
      </c>
      <c r="J850" s="2462">
        <v>3297.7994390645099</v>
      </c>
    </row>
    <row r="851" spans="1:10" outlineLevel="2">
      <c r="A851" s="2459" t="s">
        <v>1669</v>
      </c>
      <c r="B851" s="2459" t="s">
        <v>1645</v>
      </c>
      <c r="C851" s="2459" t="s">
        <v>1673</v>
      </c>
      <c r="D851" s="2460" t="s">
        <v>1671</v>
      </c>
      <c r="E851" s="2461" t="s">
        <v>1538</v>
      </c>
      <c r="F851" s="2461" t="s">
        <v>1541</v>
      </c>
      <c r="G851" s="2461" t="s">
        <v>1409</v>
      </c>
      <c r="H851" s="2461" t="s">
        <v>1540</v>
      </c>
      <c r="I851" s="2462">
        <v>2.463313693425493E-4</v>
      </c>
      <c r="J851" s="2462">
        <v>1.1466714669574689</v>
      </c>
    </row>
    <row r="852" spans="1:10" outlineLevel="2">
      <c r="A852" s="2459" t="s">
        <v>1669</v>
      </c>
      <c r="B852" s="2459" t="s">
        <v>1645</v>
      </c>
      <c r="C852" s="2459" t="s">
        <v>1673</v>
      </c>
      <c r="D852" s="2460" t="s">
        <v>1671</v>
      </c>
      <c r="E852" s="2461" t="s">
        <v>1538</v>
      </c>
      <c r="F852" s="2461" t="s">
        <v>1542</v>
      </c>
      <c r="G852" s="2461" t="s">
        <v>1409</v>
      </c>
      <c r="H852" s="2461" t="s">
        <v>1540</v>
      </c>
      <c r="I852" s="2462">
        <v>1.3211544346563943E-4</v>
      </c>
      <c r="J852" s="2462">
        <v>1.9176372970155713</v>
      </c>
    </row>
    <row r="853" spans="1:10" outlineLevel="2">
      <c r="A853" s="2459" t="s">
        <v>1669</v>
      </c>
      <c r="B853" s="2459" t="s">
        <v>1645</v>
      </c>
      <c r="C853" s="2459" t="s">
        <v>1673</v>
      </c>
      <c r="D853" s="2460" t="s">
        <v>1671</v>
      </c>
      <c r="E853" s="2461" t="s">
        <v>1538</v>
      </c>
      <c r="F853" s="2461" t="s">
        <v>1543</v>
      </c>
      <c r="G853" s="2461" t="s">
        <v>1409</v>
      </c>
      <c r="H853" s="2461" t="s">
        <v>1540</v>
      </c>
      <c r="I853" s="2462">
        <v>1.9588174925374806E-4</v>
      </c>
      <c r="J853" s="2462">
        <v>0.33865300778117929</v>
      </c>
    </row>
    <row r="854" spans="1:10" outlineLevel="2">
      <c r="A854" s="2459" t="s">
        <v>1669</v>
      </c>
      <c r="B854" s="2459" t="s">
        <v>1645</v>
      </c>
      <c r="C854" s="2459" t="s">
        <v>1673</v>
      </c>
      <c r="D854" s="2460" t="s">
        <v>1671</v>
      </c>
      <c r="E854" s="2461" t="s">
        <v>1538</v>
      </c>
      <c r="F854" s="2461" t="s">
        <v>1544</v>
      </c>
      <c r="G854" s="2461" t="s">
        <v>1409</v>
      </c>
      <c r="H854" s="2461" t="s">
        <v>1540</v>
      </c>
      <c r="I854" s="2462">
        <v>3.5861857152708221E-5</v>
      </c>
      <c r="J854" s="2462">
        <v>0.19633253425841846</v>
      </c>
    </row>
    <row r="855" spans="1:10" outlineLevel="2">
      <c r="A855" s="2459" t="s">
        <v>1669</v>
      </c>
      <c r="B855" s="2459" t="s">
        <v>1645</v>
      </c>
      <c r="C855" s="2459" t="s">
        <v>1673</v>
      </c>
      <c r="D855" s="2460" t="s">
        <v>1671</v>
      </c>
      <c r="E855" s="2461" t="s">
        <v>1538</v>
      </c>
      <c r="F855" s="2461" t="s">
        <v>1545</v>
      </c>
      <c r="G855" s="2461" t="s">
        <v>1409</v>
      </c>
      <c r="H855" s="2461" t="s">
        <v>1540</v>
      </c>
      <c r="I855" s="2462">
        <v>7.9374746852006088E-4</v>
      </c>
      <c r="J855" s="2462">
        <v>3.5462133197579</v>
      </c>
    </row>
    <row r="856" spans="1:10" outlineLevel="2">
      <c r="A856" s="2459" t="s">
        <v>1669</v>
      </c>
      <c r="B856" s="2459" t="s">
        <v>1645</v>
      </c>
      <c r="C856" s="2459" t="s">
        <v>1673</v>
      </c>
      <c r="D856" s="2460" t="s">
        <v>1671</v>
      </c>
      <c r="E856" s="2461" t="s">
        <v>1538</v>
      </c>
      <c r="F856" s="2461" t="s">
        <v>1546</v>
      </c>
      <c r="G856" s="2461" t="s">
        <v>1409</v>
      </c>
      <c r="H856" s="2461" t="s">
        <v>1540</v>
      </c>
      <c r="I856" s="2462">
        <v>1.518296219012833E-3</v>
      </c>
      <c r="J856" s="2462">
        <v>1.7811876496694201</v>
      </c>
    </row>
    <row r="857" spans="1:10" outlineLevel="2">
      <c r="A857" s="2459" t="s">
        <v>1669</v>
      </c>
      <c r="B857" s="2459" t="s">
        <v>1645</v>
      </c>
      <c r="C857" s="2459" t="s">
        <v>1673</v>
      </c>
      <c r="D857" s="2460" t="s">
        <v>1671</v>
      </c>
      <c r="E857" s="2461" t="s">
        <v>1538</v>
      </c>
      <c r="F857" s="2461" t="s">
        <v>1547</v>
      </c>
      <c r="G857" s="2461" t="s">
        <v>1409</v>
      </c>
      <c r="H857" s="2461" t="s">
        <v>1540</v>
      </c>
      <c r="I857" s="2462">
        <v>1.6490693076734615E-4</v>
      </c>
      <c r="J857" s="2462">
        <v>3.2809000835633433</v>
      </c>
    </row>
    <row r="858" spans="1:10" outlineLevel="2">
      <c r="A858" s="2459" t="s">
        <v>1669</v>
      </c>
      <c r="B858" s="2459" t="s">
        <v>1645</v>
      </c>
      <c r="C858" s="2459" t="s">
        <v>1673</v>
      </c>
      <c r="D858" s="2460" t="s">
        <v>1671</v>
      </c>
      <c r="E858" s="2461" t="s">
        <v>1538</v>
      </c>
      <c r="F858" s="2461" t="s">
        <v>1548</v>
      </c>
      <c r="G858" s="2461" t="s">
        <v>1409</v>
      </c>
      <c r="H858" s="2461" t="s">
        <v>1540</v>
      </c>
      <c r="I858" s="2462">
        <v>7.6537531348041155E-4</v>
      </c>
      <c r="J858" s="2462">
        <v>1.336859635227069</v>
      </c>
    </row>
    <row r="859" spans="1:10" outlineLevel="2">
      <c r="A859" s="2459" t="s">
        <v>1669</v>
      </c>
      <c r="B859" s="2459" t="s">
        <v>1645</v>
      </c>
      <c r="C859" s="2459" t="s">
        <v>1673</v>
      </c>
      <c r="D859" s="2460" t="s">
        <v>1671</v>
      </c>
      <c r="E859" s="2461" t="s">
        <v>1538</v>
      </c>
      <c r="F859" s="2461" t="s">
        <v>1549</v>
      </c>
      <c r="G859" s="2461" t="s">
        <v>1409</v>
      </c>
      <c r="H859" s="2461" t="s">
        <v>1540</v>
      </c>
      <c r="I859" s="2462">
        <v>1.1441476652793136E-4</v>
      </c>
      <c r="J859" s="2462">
        <v>0.21911134598387361</v>
      </c>
    </row>
    <row r="860" spans="1:10" outlineLevel="2">
      <c r="A860" s="2459" t="s">
        <v>1669</v>
      </c>
      <c r="B860" s="2459" t="s">
        <v>1645</v>
      </c>
      <c r="C860" s="2459" t="s">
        <v>1673</v>
      </c>
      <c r="D860" s="2460" t="s">
        <v>1671</v>
      </c>
      <c r="E860" s="2461" t="s">
        <v>1538</v>
      </c>
      <c r="F860" s="2461" t="s">
        <v>1550</v>
      </c>
      <c r="G860" s="2461" t="s">
        <v>1409</v>
      </c>
      <c r="H860" s="2461" t="s">
        <v>1540</v>
      </c>
      <c r="I860" s="2462">
        <v>6.2705132978140953E-4</v>
      </c>
      <c r="J860" s="2462">
        <v>2.2783753306628238</v>
      </c>
    </row>
    <row r="861" spans="1:10" outlineLevel="2">
      <c r="A861" s="2459" t="s">
        <v>1669</v>
      </c>
      <c r="B861" s="2459" t="s">
        <v>1645</v>
      </c>
      <c r="C861" s="2459" t="s">
        <v>1673</v>
      </c>
      <c r="D861" s="2460" t="s">
        <v>1671</v>
      </c>
      <c r="E861" s="2461" t="s">
        <v>1538</v>
      </c>
      <c r="F861" s="2461" t="s">
        <v>1551</v>
      </c>
      <c r="G861" s="2461" t="s">
        <v>1409</v>
      </c>
      <c r="H861" s="2461" t="s">
        <v>1540</v>
      </c>
      <c r="I861" s="2462">
        <v>5.1658830874366812E-4</v>
      </c>
      <c r="J861" s="2462">
        <v>5.5017794822879456</v>
      </c>
    </row>
    <row r="862" spans="1:10" outlineLevel="2">
      <c r="A862" s="2459" t="s">
        <v>1669</v>
      </c>
      <c r="B862" s="2459" t="s">
        <v>1645</v>
      </c>
      <c r="C862" s="2459" t="s">
        <v>1673</v>
      </c>
      <c r="D862" s="2460" t="s">
        <v>1671</v>
      </c>
      <c r="E862" s="2461" t="s">
        <v>1538</v>
      </c>
      <c r="F862" s="2461" t="s">
        <v>1552</v>
      </c>
      <c r="G862" s="2461" t="s">
        <v>1409</v>
      </c>
      <c r="H862" s="2461" t="s">
        <v>1540</v>
      </c>
      <c r="I862" s="2462">
        <v>3.6349471840754213E-5</v>
      </c>
      <c r="J862" s="2462">
        <v>0.57885890732110412</v>
      </c>
    </row>
    <row r="863" spans="1:10" outlineLevel="2">
      <c r="A863" s="2459" t="s">
        <v>1669</v>
      </c>
      <c r="B863" s="2459" t="s">
        <v>1645</v>
      </c>
      <c r="C863" s="2459" t="s">
        <v>1673</v>
      </c>
      <c r="D863" s="2460" t="s">
        <v>1671</v>
      </c>
      <c r="E863" s="2461" t="s">
        <v>1538</v>
      </c>
      <c r="F863" s="2461" t="s">
        <v>1553</v>
      </c>
      <c r="G863" s="2461" t="s">
        <v>1409</v>
      </c>
      <c r="H863" s="2461" t="s">
        <v>1540</v>
      </c>
      <c r="I863" s="2462">
        <v>2.6956662020138395E-3</v>
      </c>
      <c r="J863" s="2462">
        <v>4.9557228446788111</v>
      </c>
    </row>
    <row r="864" spans="1:10" outlineLevel="2">
      <c r="A864" s="2459" t="s">
        <v>1669</v>
      </c>
      <c r="B864" s="2459" t="s">
        <v>1645</v>
      </c>
      <c r="C864" s="2459" t="s">
        <v>1673</v>
      </c>
      <c r="D864" s="2460" t="s">
        <v>1671</v>
      </c>
      <c r="E864" s="2461" t="s">
        <v>1538</v>
      </c>
      <c r="F864" s="2461" t="s">
        <v>1554</v>
      </c>
      <c r="G864" s="2461" t="s">
        <v>1409</v>
      </c>
      <c r="H864" s="2461" t="s">
        <v>1540</v>
      </c>
      <c r="I864" s="2462">
        <v>1.5025616252380904E-3</v>
      </c>
      <c r="J864" s="2462">
        <v>2.0797793382366465</v>
      </c>
    </row>
    <row r="865" spans="1:10" outlineLevel="2">
      <c r="A865" s="2459" t="s">
        <v>1669</v>
      </c>
      <c r="B865" s="2459" t="s">
        <v>1645</v>
      </c>
      <c r="C865" s="2459" t="s">
        <v>1673</v>
      </c>
      <c r="D865" s="2460" t="s">
        <v>1671</v>
      </c>
      <c r="E865" s="2461" t="s">
        <v>1538</v>
      </c>
      <c r="F865" s="2461" t="s">
        <v>1555</v>
      </c>
      <c r="G865" s="2461" t="s">
        <v>1412</v>
      </c>
      <c r="H865" s="2461" t="s">
        <v>1540</v>
      </c>
      <c r="I865" s="2462">
        <v>2.5646844259944452E-3</v>
      </c>
      <c r="J865" s="2462">
        <v>7.8950992461031095</v>
      </c>
    </row>
    <row r="866" spans="1:10" outlineLevel="2">
      <c r="A866" s="2459" t="s">
        <v>1669</v>
      </c>
      <c r="B866" s="2459" t="s">
        <v>1645</v>
      </c>
      <c r="C866" s="2459" t="s">
        <v>1673</v>
      </c>
      <c r="D866" s="2460" t="s">
        <v>1671</v>
      </c>
      <c r="E866" s="2461" t="s">
        <v>1538</v>
      </c>
      <c r="F866" s="2461" t="s">
        <v>1556</v>
      </c>
      <c r="G866" s="2461" t="s">
        <v>1412</v>
      </c>
      <c r="H866" s="2461" t="s">
        <v>1540</v>
      </c>
      <c r="I866" s="2462">
        <v>5.0987632134584418E-2</v>
      </c>
      <c r="J866" s="2462">
        <v>718.1454440799821</v>
      </c>
    </row>
    <row r="867" spans="1:10" outlineLevel="2">
      <c r="A867" s="2459" t="s">
        <v>1669</v>
      </c>
      <c r="B867" s="2459" t="s">
        <v>1645</v>
      </c>
      <c r="C867" s="2459" t="s">
        <v>1673</v>
      </c>
      <c r="D867" s="2460" t="s">
        <v>1671</v>
      </c>
      <c r="E867" s="2461" t="s">
        <v>1538</v>
      </c>
      <c r="F867" s="2461" t="s">
        <v>1557</v>
      </c>
      <c r="G867" s="2461" t="s">
        <v>1412</v>
      </c>
      <c r="H867" s="2461" t="s">
        <v>1540</v>
      </c>
      <c r="I867" s="2462">
        <v>3.0355511843510737E-4</v>
      </c>
      <c r="J867" s="2462">
        <v>5.3499078312102943</v>
      </c>
    </row>
    <row r="868" spans="1:10" outlineLevel="2">
      <c r="A868" s="2459" t="s">
        <v>1669</v>
      </c>
      <c r="B868" s="2459" t="s">
        <v>1645</v>
      </c>
      <c r="C868" s="2459" t="s">
        <v>1673</v>
      </c>
      <c r="D868" s="2460" t="s">
        <v>1671</v>
      </c>
      <c r="E868" s="2461" t="s">
        <v>1538</v>
      </c>
      <c r="F868" s="2461" t="s">
        <v>1558</v>
      </c>
      <c r="G868" s="2461" t="s">
        <v>1412</v>
      </c>
      <c r="H868" s="2461" t="s">
        <v>1540</v>
      </c>
      <c r="I868" s="2462">
        <v>1.0154520128898742E-4</v>
      </c>
      <c r="J868" s="2462">
        <v>1.6875520620459445</v>
      </c>
    </row>
    <row r="869" spans="1:10" outlineLevel="2">
      <c r="A869" s="2459" t="s">
        <v>1669</v>
      </c>
      <c r="B869" s="2459" t="s">
        <v>1645</v>
      </c>
      <c r="C869" s="2459" t="s">
        <v>1673</v>
      </c>
      <c r="D869" s="2460" t="s">
        <v>1671</v>
      </c>
      <c r="E869" s="2461" t="s">
        <v>1538</v>
      </c>
      <c r="F869" s="2461" t="s">
        <v>1559</v>
      </c>
      <c r="G869" s="2461" t="s">
        <v>1412</v>
      </c>
      <c r="H869" s="2461" t="s">
        <v>1540</v>
      </c>
      <c r="I869" s="2462">
        <v>1.0842499951666722E-4</v>
      </c>
      <c r="J869" s="2462">
        <v>0.41677493276624128</v>
      </c>
    </row>
    <row r="870" spans="1:10" outlineLevel="2">
      <c r="A870" s="2459" t="s">
        <v>1669</v>
      </c>
      <c r="B870" s="2459" t="s">
        <v>1645</v>
      </c>
      <c r="C870" s="2459" t="s">
        <v>1673</v>
      </c>
      <c r="D870" s="2460" t="s">
        <v>1671</v>
      </c>
      <c r="E870" s="2461" t="s">
        <v>1538</v>
      </c>
      <c r="F870" s="2461" t="s">
        <v>1560</v>
      </c>
      <c r="G870" s="2461" t="s">
        <v>1412</v>
      </c>
      <c r="H870" s="2461" t="s">
        <v>1540</v>
      </c>
      <c r="I870" s="2462">
        <v>1.5218789811846097E-4</v>
      </c>
      <c r="J870" s="2462">
        <v>3.314514501636971</v>
      </c>
    </row>
    <row r="871" spans="1:10" outlineLevel="2">
      <c r="A871" s="2459" t="s">
        <v>1669</v>
      </c>
      <c r="B871" s="2459" t="s">
        <v>1645</v>
      </c>
      <c r="C871" s="2459" t="s">
        <v>1673</v>
      </c>
      <c r="D871" s="2460" t="s">
        <v>1671</v>
      </c>
      <c r="E871" s="2461" t="s">
        <v>1538</v>
      </c>
      <c r="F871" s="2461" t="s">
        <v>1561</v>
      </c>
      <c r="G871" s="2461" t="s">
        <v>1439</v>
      </c>
      <c r="H871" s="2461" t="s">
        <v>1540</v>
      </c>
      <c r="I871" s="2462">
        <v>1.8212429154317203E-3</v>
      </c>
      <c r="J871" s="2462">
        <v>27.599662621183843</v>
      </c>
    </row>
    <row r="872" spans="1:10" outlineLevel="2">
      <c r="A872" s="2459" t="s">
        <v>1669</v>
      </c>
      <c r="B872" s="2459" t="s">
        <v>1645</v>
      </c>
      <c r="C872" s="2459" t="s">
        <v>1673</v>
      </c>
      <c r="D872" s="2460" t="s">
        <v>1671</v>
      </c>
      <c r="E872" s="2461" t="s">
        <v>1538</v>
      </c>
      <c r="F872" s="2461" t="s">
        <v>1562</v>
      </c>
      <c r="G872" s="2461" t="s">
        <v>1418</v>
      </c>
      <c r="H872" s="2461" t="s">
        <v>1540</v>
      </c>
      <c r="I872" s="2462">
        <v>7.4116806956873254E-6</v>
      </c>
      <c r="J872" s="2462">
        <v>9.3393266088197084E-3</v>
      </c>
    </row>
    <row r="873" spans="1:10" outlineLevel="2">
      <c r="A873" s="2459" t="s">
        <v>1669</v>
      </c>
      <c r="B873" s="2459" t="s">
        <v>1645</v>
      </c>
      <c r="C873" s="2459" t="s">
        <v>1673</v>
      </c>
      <c r="D873" s="2460" t="s">
        <v>1671</v>
      </c>
      <c r="E873" s="2461" t="s">
        <v>1538</v>
      </c>
      <c r="F873" s="2461" t="s">
        <v>1563</v>
      </c>
      <c r="G873" s="2461" t="s">
        <v>1418</v>
      </c>
      <c r="H873" s="2461" t="s">
        <v>1540</v>
      </c>
      <c r="I873" s="2462">
        <v>1.0738845769671998E-6</v>
      </c>
      <c r="J873" s="2462">
        <v>1.8190375165725612E-2</v>
      </c>
    </row>
    <row r="874" spans="1:10" outlineLevel="2">
      <c r="A874" s="2459" t="s">
        <v>1669</v>
      </c>
      <c r="B874" s="2459" t="s">
        <v>1645</v>
      </c>
      <c r="C874" s="2459" t="s">
        <v>1673</v>
      </c>
      <c r="D874" s="2460" t="s">
        <v>1671</v>
      </c>
      <c r="E874" s="2461" t="s">
        <v>1538</v>
      </c>
      <c r="F874" s="2461" t="s">
        <v>1564</v>
      </c>
      <c r="G874" s="2461" t="s">
        <v>1421</v>
      </c>
      <c r="H874" s="2461" t="s">
        <v>1540</v>
      </c>
      <c r="I874" s="2462">
        <v>1.3025710978808665E-2</v>
      </c>
      <c r="J874" s="2462">
        <v>31.982317796904862</v>
      </c>
    </row>
    <row r="875" spans="1:10" outlineLevel="2">
      <c r="A875" s="2459" t="s">
        <v>1669</v>
      </c>
      <c r="B875" s="2459" t="s">
        <v>1645</v>
      </c>
      <c r="C875" s="2459" t="s">
        <v>1673</v>
      </c>
      <c r="D875" s="2460" t="s">
        <v>1671</v>
      </c>
      <c r="E875" s="2461" t="s">
        <v>1538</v>
      </c>
      <c r="F875" s="2461" t="s">
        <v>1565</v>
      </c>
      <c r="G875" s="2461" t="s">
        <v>1421</v>
      </c>
      <c r="H875" s="2461" t="s">
        <v>1540</v>
      </c>
      <c r="I875" s="2462">
        <v>1.5326868756157159E-3</v>
      </c>
      <c r="J875" s="2462">
        <v>7.0005283691388493</v>
      </c>
    </row>
    <row r="876" spans="1:10" outlineLevel="2">
      <c r="A876" s="2459" t="s">
        <v>1669</v>
      </c>
      <c r="B876" s="2459" t="s">
        <v>1645</v>
      </c>
      <c r="C876" s="2459" t="s">
        <v>1673</v>
      </c>
      <c r="D876" s="2460" t="s">
        <v>1671</v>
      </c>
      <c r="E876" s="2461" t="s">
        <v>1538</v>
      </c>
      <c r="F876" s="2461" t="s">
        <v>1566</v>
      </c>
      <c r="G876" s="2461" t="s">
        <v>1421</v>
      </c>
      <c r="H876" s="2461" t="s">
        <v>1540</v>
      </c>
      <c r="I876" s="2462">
        <v>7.9915672837172912E-4</v>
      </c>
      <c r="J876" s="2462">
        <v>8.1743338019636962</v>
      </c>
    </row>
    <row r="877" spans="1:10" outlineLevel="2">
      <c r="A877" s="2459" t="s">
        <v>1669</v>
      </c>
      <c r="B877" s="2459" t="s">
        <v>1645</v>
      </c>
      <c r="C877" s="2459" t="s">
        <v>1673</v>
      </c>
      <c r="D877" s="2460" t="s">
        <v>1671</v>
      </c>
      <c r="E877" s="2461" t="s">
        <v>1538</v>
      </c>
      <c r="F877" s="2461" t="s">
        <v>1567</v>
      </c>
      <c r="G877" s="2461" t="s">
        <v>1421</v>
      </c>
      <c r="H877" s="2461" t="s">
        <v>1540</v>
      </c>
      <c r="I877" s="2462">
        <v>1.3229993231338776E-3</v>
      </c>
      <c r="J877" s="2462">
        <v>10.159500209983046</v>
      </c>
    </row>
    <row r="878" spans="1:10" outlineLevel="2">
      <c r="A878" s="2459" t="s">
        <v>1669</v>
      </c>
      <c r="B878" s="2459" t="s">
        <v>1645</v>
      </c>
      <c r="C878" s="2459" t="s">
        <v>1673</v>
      </c>
      <c r="D878" s="2460" t="s">
        <v>1671</v>
      </c>
      <c r="E878" s="2461" t="s">
        <v>1538</v>
      </c>
      <c r="F878" s="2461" t="s">
        <v>1568</v>
      </c>
      <c r="G878" s="2461" t="s">
        <v>1421</v>
      </c>
      <c r="H878" s="2461" t="s">
        <v>1540</v>
      </c>
      <c r="I878" s="2462">
        <v>4.5797136064434651E-5</v>
      </c>
      <c r="J878" s="2462">
        <v>0.13817482614191026</v>
      </c>
    </row>
    <row r="879" spans="1:10" outlineLevel="2">
      <c r="A879" s="2459" t="s">
        <v>1669</v>
      </c>
      <c r="B879" s="2459" t="s">
        <v>1645</v>
      </c>
      <c r="C879" s="2459" t="s">
        <v>1673</v>
      </c>
      <c r="D879" s="2460" t="s">
        <v>1671</v>
      </c>
      <c r="E879" s="2461" t="s">
        <v>1538</v>
      </c>
      <c r="F879" s="2461" t="s">
        <v>1569</v>
      </c>
      <c r="G879" s="2461" t="s">
        <v>1421</v>
      </c>
      <c r="H879" s="2461" t="s">
        <v>1540</v>
      </c>
      <c r="I879" s="2462">
        <v>1.0856119025442227E-5</v>
      </c>
      <c r="J879" s="2462">
        <v>0.12545081526450114</v>
      </c>
    </row>
    <row r="880" spans="1:10" outlineLevel="2">
      <c r="A880" s="2459" t="s">
        <v>1669</v>
      </c>
      <c r="B880" s="2459" t="s">
        <v>1645</v>
      </c>
      <c r="C880" s="2459" t="s">
        <v>1673</v>
      </c>
      <c r="D880" s="2460" t="s">
        <v>1671</v>
      </c>
      <c r="E880" s="2461" t="s">
        <v>1400</v>
      </c>
      <c r="F880" s="2461" t="s">
        <v>1571</v>
      </c>
      <c r="G880" s="2461" t="s">
        <v>215</v>
      </c>
      <c r="H880" s="2461" t="s">
        <v>1531</v>
      </c>
      <c r="I880" s="2462">
        <v>6.9624759449395418E-2</v>
      </c>
      <c r="J880" s="2462">
        <v>2505.8492945510529</v>
      </c>
    </row>
    <row r="881" spans="1:10" outlineLevel="2">
      <c r="A881" s="2459" t="s">
        <v>1669</v>
      </c>
      <c r="B881" s="2459" t="s">
        <v>1645</v>
      </c>
      <c r="C881" s="2459" t="s">
        <v>1673</v>
      </c>
      <c r="D881" s="2460" t="s">
        <v>1671</v>
      </c>
      <c r="E881" s="2461" t="s">
        <v>1400</v>
      </c>
      <c r="F881" s="2461" t="s">
        <v>1572</v>
      </c>
      <c r="G881" s="2461" t="s">
        <v>215</v>
      </c>
      <c r="H881" s="2461" t="s">
        <v>1531</v>
      </c>
      <c r="I881" s="2462">
        <v>4.1500255280241857E-4</v>
      </c>
      <c r="J881" s="2462">
        <v>7.8723628028042691</v>
      </c>
    </row>
    <row r="882" spans="1:10" outlineLevel="2">
      <c r="A882" s="2459" t="s">
        <v>1669</v>
      </c>
      <c r="B882" s="2459" t="s">
        <v>1645</v>
      </c>
      <c r="C882" s="2459" t="s">
        <v>1673</v>
      </c>
      <c r="D882" s="2460" t="s">
        <v>1671</v>
      </c>
      <c r="E882" s="2461" t="s">
        <v>1573</v>
      </c>
      <c r="F882" s="2461" t="s">
        <v>1575</v>
      </c>
      <c r="G882" s="2461" t="s">
        <v>1409</v>
      </c>
      <c r="H882" s="2461" t="s">
        <v>1070</v>
      </c>
      <c r="I882" s="2462">
        <v>2.3515135215718187E-3</v>
      </c>
      <c r="J882" s="2462">
        <v>137.14129880045459</v>
      </c>
    </row>
    <row r="883" spans="1:10" outlineLevel="2">
      <c r="A883" s="2459" t="s">
        <v>1669</v>
      </c>
      <c r="B883" s="2459" t="s">
        <v>1645</v>
      </c>
      <c r="C883" s="2459" t="s">
        <v>1673</v>
      </c>
      <c r="D883" s="2460" t="s">
        <v>1671</v>
      </c>
      <c r="E883" s="2461" t="s">
        <v>1573</v>
      </c>
      <c r="F883" s="2461" t="s">
        <v>1576</v>
      </c>
      <c r="G883" s="2461" t="s">
        <v>1409</v>
      </c>
      <c r="H883" s="2461" t="s">
        <v>1070</v>
      </c>
      <c r="I883" s="2462">
        <v>2.0219024716409472E-5</v>
      </c>
      <c r="J883" s="2462">
        <v>0.22333170872013944</v>
      </c>
    </row>
    <row r="884" spans="1:10" outlineLevel="2">
      <c r="A884" s="2459" t="s">
        <v>1669</v>
      </c>
      <c r="B884" s="2459" t="s">
        <v>1645</v>
      </c>
      <c r="C884" s="2459" t="s">
        <v>1673</v>
      </c>
      <c r="D884" s="2460" t="s">
        <v>1671</v>
      </c>
      <c r="E884" s="2461" t="s">
        <v>1573</v>
      </c>
      <c r="F884" s="2461" t="s">
        <v>1577</v>
      </c>
      <c r="G884" s="2461" t="s">
        <v>1409</v>
      </c>
      <c r="H884" s="2461" t="s">
        <v>1070</v>
      </c>
      <c r="I884" s="2462">
        <v>2.9322780825173194E-4</v>
      </c>
      <c r="J884" s="2462">
        <v>3.6788820347637916</v>
      </c>
    </row>
    <row r="885" spans="1:10" outlineLevel="2">
      <c r="A885" s="2459" t="s">
        <v>1669</v>
      </c>
      <c r="B885" s="2459" t="s">
        <v>1645</v>
      </c>
      <c r="C885" s="2459" t="s">
        <v>1673</v>
      </c>
      <c r="D885" s="2460" t="s">
        <v>1671</v>
      </c>
      <c r="E885" s="2461" t="s">
        <v>1573</v>
      </c>
      <c r="F885" s="2461" t="s">
        <v>1578</v>
      </c>
      <c r="G885" s="2461" t="s">
        <v>1409</v>
      </c>
      <c r="H885" s="2461" t="s">
        <v>1070</v>
      </c>
      <c r="I885" s="2462">
        <v>6.6961593434089611E-3</v>
      </c>
      <c r="J885" s="2462">
        <v>343.28538912545594</v>
      </c>
    </row>
    <row r="886" spans="1:10" outlineLevel="2">
      <c r="A886" s="2459" t="s">
        <v>1669</v>
      </c>
      <c r="B886" s="2459" t="s">
        <v>1645</v>
      </c>
      <c r="C886" s="2459" t="s">
        <v>1673</v>
      </c>
      <c r="D886" s="2460" t="s">
        <v>1671</v>
      </c>
      <c r="E886" s="2461" t="s">
        <v>1573</v>
      </c>
      <c r="F886" s="2461" t="s">
        <v>1579</v>
      </c>
      <c r="G886" s="2461" t="s">
        <v>1409</v>
      </c>
      <c r="H886" s="2461" t="s">
        <v>1070</v>
      </c>
      <c r="I886" s="2462">
        <v>5.0832367865786387E-3</v>
      </c>
      <c r="J886" s="2462">
        <v>373.5177736223734</v>
      </c>
    </row>
    <row r="887" spans="1:10" outlineLevel="2">
      <c r="A887" s="2459" t="s">
        <v>1669</v>
      </c>
      <c r="B887" s="2459" t="s">
        <v>1645</v>
      </c>
      <c r="C887" s="2459" t="s">
        <v>1673</v>
      </c>
      <c r="D887" s="2460" t="s">
        <v>1671</v>
      </c>
      <c r="E887" s="2461" t="s">
        <v>1573</v>
      </c>
      <c r="F887" s="2461" t="s">
        <v>1580</v>
      </c>
      <c r="G887" s="2461" t="s">
        <v>1409</v>
      </c>
      <c r="H887" s="2461" t="s">
        <v>1070</v>
      </c>
      <c r="I887" s="2462">
        <v>5.7429941981580908E-4</v>
      </c>
      <c r="J887" s="2462">
        <v>20.624953312110726</v>
      </c>
    </row>
    <row r="888" spans="1:10" outlineLevel="2">
      <c r="A888" s="2459" t="s">
        <v>1669</v>
      </c>
      <c r="B888" s="2459" t="s">
        <v>1645</v>
      </c>
      <c r="C888" s="2459" t="s">
        <v>1673</v>
      </c>
      <c r="D888" s="2460" t="s">
        <v>1671</v>
      </c>
      <c r="E888" s="2461" t="s">
        <v>1573</v>
      </c>
      <c r="F888" s="2461" t="s">
        <v>1581</v>
      </c>
      <c r="G888" s="2461" t="s">
        <v>1409</v>
      </c>
      <c r="H888" s="2461" t="s">
        <v>1070</v>
      </c>
      <c r="I888" s="2462">
        <v>3.0546474392898816E-4</v>
      </c>
      <c r="J888" s="2462">
        <v>14.044702073132965</v>
      </c>
    </row>
    <row r="889" spans="1:10" outlineLevel="2">
      <c r="A889" s="2459" t="s">
        <v>1669</v>
      </c>
      <c r="B889" s="2459" t="s">
        <v>1645</v>
      </c>
      <c r="C889" s="2459" t="s">
        <v>1673</v>
      </c>
      <c r="D889" s="2460" t="s">
        <v>1671</v>
      </c>
      <c r="E889" s="2461" t="s">
        <v>1573</v>
      </c>
      <c r="F889" s="2461" t="s">
        <v>1582</v>
      </c>
      <c r="G889" s="2461" t="s">
        <v>1409</v>
      </c>
      <c r="H889" s="2461" t="s">
        <v>1070</v>
      </c>
      <c r="I889" s="2462">
        <v>1.6235331274853915E-3</v>
      </c>
      <c r="J889" s="2462">
        <v>38.568110988601312</v>
      </c>
    </row>
    <row r="890" spans="1:10" outlineLevel="2">
      <c r="A890" s="2459" t="s">
        <v>1669</v>
      </c>
      <c r="B890" s="2459" t="s">
        <v>1645</v>
      </c>
      <c r="C890" s="2459" t="s">
        <v>1673</v>
      </c>
      <c r="D890" s="2460" t="s">
        <v>1671</v>
      </c>
      <c r="E890" s="2461" t="s">
        <v>1573</v>
      </c>
      <c r="F890" s="2461" t="s">
        <v>1583</v>
      </c>
      <c r="G890" s="2461" t="s">
        <v>1409</v>
      </c>
      <c r="H890" s="2461" t="s">
        <v>1070</v>
      </c>
      <c r="I890" s="2462">
        <v>4.654204788832295E-3</v>
      </c>
      <c r="J890" s="2462">
        <v>165.04318518209874</v>
      </c>
    </row>
    <row r="891" spans="1:10" outlineLevel="2">
      <c r="A891" s="2459" t="s">
        <v>1669</v>
      </c>
      <c r="B891" s="2459" t="s">
        <v>1645</v>
      </c>
      <c r="C891" s="2459" t="s">
        <v>1673</v>
      </c>
      <c r="D891" s="2460" t="s">
        <v>1671</v>
      </c>
      <c r="E891" s="2461" t="s">
        <v>1573</v>
      </c>
      <c r="F891" s="2461" t="s">
        <v>1584</v>
      </c>
      <c r="G891" s="2461" t="s">
        <v>1409</v>
      </c>
      <c r="H891" s="2461" t="s">
        <v>1070</v>
      </c>
      <c r="I891" s="2462">
        <v>3.2903699310907791E-3</v>
      </c>
      <c r="J891" s="2462">
        <v>181.20716541091787</v>
      </c>
    </row>
    <row r="892" spans="1:10" outlineLevel="2">
      <c r="A892" s="2459" t="s">
        <v>1669</v>
      </c>
      <c r="B892" s="2459" t="s">
        <v>1645</v>
      </c>
      <c r="C892" s="2459" t="s">
        <v>1673</v>
      </c>
      <c r="D892" s="2460" t="s">
        <v>1671</v>
      </c>
      <c r="E892" s="2461" t="s">
        <v>1573</v>
      </c>
      <c r="F892" s="2461" t="s">
        <v>1585</v>
      </c>
      <c r="G892" s="2461" t="s">
        <v>1409</v>
      </c>
      <c r="H892" s="2461" t="s">
        <v>1070</v>
      </c>
      <c r="I892" s="2462">
        <v>1.8039331930234218E-2</v>
      </c>
      <c r="J892" s="2462">
        <v>1391.3947753135867</v>
      </c>
    </row>
    <row r="893" spans="1:10" outlineLevel="2">
      <c r="A893" s="2459" t="s">
        <v>1669</v>
      </c>
      <c r="B893" s="2459" t="s">
        <v>1645</v>
      </c>
      <c r="C893" s="2459" t="s">
        <v>1673</v>
      </c>
      <c r="D893" s="2460" t="s">
        <v>1671</v>
      </c>
      <c r="E893" s="2461" t="s">
        <v>1573</v>
      </c>
      <c r="F893" s="2461" t="s">
        <v>1586</v>
      </c>
      <c r="G893" s="2461" t="s">
        <v>1409</v>
      </c>
      <c r="H893" s="2461" t="s">
        <v>1070</v>
      </c>
      <c r="I893" s="2462">
        <v>3.8154560513337587E-4</v>
      </c>
      <c r="J893" s="2462">
        <v>11.56961299111048</v>
      </c>
    </row>
    <row r="894" spans="1:10" outlineLevel="2">
      <c r="A894" s="2459" t="s">
        <v>1669</v>
      </c>
      <c r="B894" s="2459" t="s">
        <v>1645</v>
      </c>
      <c r="C894" s="2459" t="s">
        <v>1673</v>
      </c>
      <c r="D894" s="2460" t="s">
        <v>1671</v>
      </c>
      <c r="E894" s="2461" t="s">
        <v>1573</v>
      </c>
      <c r="F894" s="2461" t="s">
        <v>1587</v>
      </c>
      <c r="G894" s="2461" t="s">
        <v>1409</v>
      </c>
      <c r="H894" s="2461" t="s">
        <v>1070</v>
      </c>
      <c r="I894" s="2462">
        <v>1.5025677931303238E-4</v>
      </c>
      <c r="J894" s="2462">
        <v>7.0840994629812988</v>
      </c>
    </row>
    <row r="895" spans="1:10" outlineLevel="2">
      <c r="A895" s="2459" t="s">
        <v>1669</v>
      </c>
      <c r="B895" s="2459" t="s">
        <v>1645</v>
      </c>
      <c r="C895" s="2459" t="s">
        <v>1673</v>
      </c>
      <c r="D895" s="2460" t="s">
        <v>1671</v>
      </c>
      <c r="E895" s="2461" t="s">
        <v>1573</v>
      </c>
      <c r="F895" s="2461" t="s">
        <v>1588</v>
      </c>
      <c r="G895" s="2461" t="s">
        <v>1409</v>
      </c>
      <c r="H895" s="2461" t="s">
        <v>1070</v>
      </c>
      <c r="I895" s="2462">
        <v>5.3231271928864607E-3</v>
      </c>
      <c r="J895" s="2462">
        <v>318.0371921348866</v>
      </c>
    </row>
    <row r="896" spans="1:10" outlineLevel="2">
      <c r="A896" s="2459" t="s">
        <v>1669</v>
      </c>
      <c r="B896" s="2459" t="s">
        <v>1645</v>
      </c>
      <c r="C896" s="2459" t="s">
        <v>1673</v>
      </c>
      <c r="D896" s="2460" t="s">
        <v>1671</v>
      </c>
      <c r="E896" s="2461" t="s">
        <v>1573</v>
      </c>
      <c r="F896" s="2461" t="s">
        <v>1589</v>
      </c>
      <c r="G896" s="2461" t="s">
        <v>1409</v>
      </c>
      <c r="H896" s="2461" t="s">
        <v>1070</v>
      </c>
      <c r="I896" s="2462">
        <v>4.5763675473020861E-3</v>
      </c>
      <c r="J896" s="2462">
        <v>346.18759155180561</v>
      </c>
    </row>
    <row r="897" spans="1:10" outlineLevel="2">
      <c r="A897" s="2459" t="s">
        <v>1669</v>
      </c>
      <c r="B897" s="2459" t="s">
        <v>1645</v>
      </c>
      <c r="C897" s="2459" t="s">
        <v>1673</v>
      </c>
      <c r="D897" s="2460" t="s">
        <v>1671</v>
      </c>
      <c r="E897" s="2461" t="s">
        <v>1573</v>
      </c>
      <c r="F897" s="2461" t="s">
        <v>1590</v>
      </c>
      <c r="G897" s="2461" t="s">
        <v>1409</v>
      </c>
      <c r="H897" s="2461" t="s">
        <v>1070</v>
      </c>
      <c r="I897" s="2462">
        <v>1.670874985214444E-2</v>
      </c>
      <c r="J897" s="2462">
        <v>1190.8361956808576</v>
      </c>
    </row>
    <row r="898" spans="1:10" outlineLevel="2">
      <c r="A898" s="2459" t="s">
        <v>1669</v>
      </c>
      <c r="B898" s="2459" t="s">
        <v>1645</v>
      </c>
      <c r="C898" s="2459" t="s">
        <v>1673</v>
      </c>
      <c r="D898" s="2460" t="s">
        <v>1671</v>
      </c>
      <c r="E898" s="2461" t="s">
        <v>1573</v>
      </c>
      <c r="F898" s="2461" t="s">
        <v>1591</v>
      </c>
      <c r="G898" s="2461" t="s">
        <v>1409</v>
      </c>
      <c r="H898" s="2461" t="s">
        <v>1070</v>
      </c>
      <c r="I898" s="2462">
        <v>1.1501490457646779E-3</v>
      </c>
      <c r="J898" s="2462">
        <v>55.995208189790375</v>
      </c>
    </row>
    <row r="899" spans="1:10" outlineLevel="2">
      <c r="A899" s="2459" t="s">
        <v>1669</v>
      </c>
      <c r="B899" s="2459" t="s">
        <v>1645</v>
      </c>
      <c r="C899" s="2459" t="s">
        <v>1673</v>
      </c>
      <c r="D899" s="2460" t="s">
        <v>1671</v>
      </c>
      <c r="E899" s="2461" t="s">
        <v>1573</v>
      </c>
      <c r="F899" s="2461" t="s">
        <v>1592</v>
      </c>
      <c r="G899" s="2461" t="s">
        <v>1409</v>
      </c>
      <c r="H899" s="2461" t="s">
        <v>1070</v>
      </c>
      <c r="I899" s="2462">
        <v>9.6712748518854655E-3</v>
      </c>
      <c r="J899" s="2462">
        <v>445.41178071552173</v>
      </c>
    </row>
    <row r="900" spans="1:10" outlineLevel="2">
      <c r="A900" s="2459" t="s">
        <v>1669</v>
      </c>
      <c r="B900" s="2459" t="s">
        <v>1645</v>
      </c>
      <c r="C900" s="2459" t="s">
        <v>1673</v>
      </c>
      <c r="D900" s="2460" t="s">
        <v>1671</v>
      </c>
      <c r="E900" s="2461" t="s">
        <v>1573</v>
      </c>
      <c r="F900" s="2461" t="s">
        <v>1593</v>
      </c>
      <c r="G900" s="2461" t="s">
        <v>1409</v>
      </c>
      <c r="H900" s="2461" t="s">
        <v>1070</v>
      </c>
      <c r="I900" s="2462">
        <v>2.3629888490761079E-2</v>
      </c>
      <c r="J900" s="2462">
        <v>1514.3149788156159</v>
      </c>
    </row>
    <row r="901" spans="1:10" outlineLevel="2">
      <c r="A901" s="2459" t="s">
        <v>1669</v>
      </c>
      <c r="B901" s="2459" t="s">
        <v>1645</v>
      </c>
      <c r="C901" s="2459" t="s">
        <v>1673</v>
      </c>
      <c r="D901" s="2460" t="s">
        <v>1671</v>
      </c>
      <c r="E901" s="2461" t="s">
        <v>1573</v>
      </c>
      <c r="F901" s="2461" t="s">
        <v>1594</v>
      </c>
      <c r="G901" s="2461" t="s">
        <v>1409</v>
      </c>
      <c r="H901" s="2461" t="s">
        <v>1070</v>
      </c>
      <c r="I901" s="2462">
        <v>5.1755262947788663E-2</v>
      </c>
      <c r="J901" s="2462">
        <v>1015.8983655052318</v>
      </c>
    </row>
    <row r="902" spans="1:10" outlineLevel="2">
      <c r="A902" s="2459" t="s">
        <v>1669</v>
      </c>
      <c r="B902" s="2459" t="s">
        <v>1645</v>
      </c>
      <c r="C902" s="2459" t="s">
        <v>1673</v>
      </c>
      <c r="D902" s="2460" t="s">
        <v>1671</v>
      </c>
      <c r="E902" s="2461" t="s">
        <v>1573</v>
      </c>
      <c r="F902" s="2461" t="s">
        <v>1595</v>
      </c>
      <c r="G902" s="2461" t="s">
        <v>1409</v>
      </c>
      <c r="H902" s="2461" t="s">
        <v>1070</v>
      </c>
      <c r="I902" s="2462">
        <v>1.902918083166277E-2</v>
      </c>
      <c r="J902" s="2462">
        <v>1385.2778632521306</v>
      </c>
    </row>
    <row r="903" spans="1:10" outlineLevel="2">
      <c r="A903" s="2459" t="s">
        <v>1669</v>
      </c>
      <c r="B903" s="2459" t="s">
        <v>1645</v>
      </c>
      <c r="C903" s="2459" t="s">
        <v>1673</v>
      </c>
      <c r="D903" s="2460" t="s">
        <v>1671</v>
      </c>
      <c r="E903" s="2461" t="s">
        <v>1573</v>
      </c>
      <c r="F903" s="2461" t="s">
        <v>1596</v>
      </c>
      <c r="G903" s="2461" t="s">
        <v>1409</v>
      </c>
      <c r="H903" s="2461" t="s">
        <v>1070</v>
      </c>
      <c r="I903" s="2462">
        <v>3.4648438398375836E-2</v>
      </c>
      <c r="J903" s="2462">
        <v>797.42833595128468</v>
      </c>
    </row>
    <row r="904" spans="1:10" outlineLevel="2">
      <c r="A904" s="2459" t="s">
        <v>1669</v>
      </c>
      <c r="B904" s="2459" t="s">
        <v>1645</v>
      </c>
      <c r="C904" s="2459" t="s">
        <v>1673</v>
      </c>
      <c r="D904" s="2460" t="s">
        <v>1671</v>
      </c>
      <c r="E904" s="2461" t="s">
        <v>1573</v>
      </c>
      <c r="F904" s="2461" t="s">
        <v>1597</v>
      </c>
      <c r="G904" s="2461" t="s">
        <v>1409</v>
      </c>
      <c r="H904" s="2461" t="s">
        <v>1070</v>
      </c>
      <c r="I904" s="2462">
        <v>2.0339306158860273E-3</v>
      </c>
      <c r="J904" s="2462">
        <v>148.64202615305948</v>
      </c>
    </row>
    <row r="905" spans="1:10" outlineLevel="2">
      <c r="A905" s="2459" t="s">
        <v>1669</v>
      </c>
      <c r="B905" s="2459" t="s">
        <v>1645</v>
      </c>
      <c r="C905" s="2459" t="s">
        <v>1673</v>
      </c>
      <c r="D905" s="2460" t="s">
        <v>1671</v>
      </c>
      <c r="E905" s="2461" t="s">
        <v>1573</v>
      </c>
      <c r="F905" s="2461" t="s">
        <v>1598</v>
      </c>
      <c r="G905" s="2461" t="s">
        <v>1409</v>
      </c>
      <c r="H905" s="2461" t="s">
        <v>1070</v>
      </c>
      <c r="I905" s="2462">
        <v>1.0564067824924938E-4</v>
      </c>
      <c r="J905" s="2462">
        <v>2.4386690445902532</v>
      </c>
    </row>
    <row r="906" spans="1:10" outlineLevel="2">
      <c r="A906" s="2459" t="s">
        <v>1669</v>
      </c>
      <c r="B906" s="2459" t="s">
        <v>1645</v>
      </c>
      <c r="C906" s="2459" t="s">
        <v>1673</v>
      </c>
      <c r="D906" s="2460" t="s">
        <v>1671</v>
      </c>
      <c r="E906" s="2461" t="s">
        <v>1573</v>
      </c>
      <c r="F906" s="2461" t="s">
        <v>1599</v>
      </c>
      <c r="G906" s="2461" t="s">
        <v>1409</v>
      </c>
      <c r="H906" s="2461" t="s">
        <v>1070</v>
      </c>
      <c r="I906" s="2462">
        <v>2.8840869483266235E-3</v>
      </c>
      <c r="J906" s="2462">
        <v>155.04823357182096</v>
      </c>
    </row>
    <row r="907" spans="1:10" outlineLevel="2">
      <c r="A907" s="2459" t="s">
        <v>1669</v>
      </c>
      <c r="B907" s="2459" t="s">
        <v>1645</v>
      </c>
      <c r="C907" s="2459" t="s">
        <v>1673</v>
      </c>
      <c r="D907" s="2460" t="s">
        <v>1671</v>
      </c>
      <c r="E907" s="2461" t="s">
        <v>1573</v>
      </c>
      <c r="F907" s="2461" t="s">
        <v>1600</v>
      </c>
      <c r="G907" s="2461" t="s">
        <v>1412</v>
      </c>
      <c r="H907" s="2461" t="s">
        <v>1116</v>
      </c>
      <c r="I907" s="2462">
        <v>5.3362426977366457E-4</v>
      </c>
      <c r="J907" s="2462">
        <v>12.90979037086483</v>
      </c>
    </row>
    <row r="908" spans="1:10" outlineLevel="2">
      <c r="A908" s="2459" t="s">
        <v>1669</v>
      </c>
      <c r="B908" s="2459" t="s">
        <v>1645</v>
      </c>
      <c r="C908" s="2459" t="s">
        <v>1673</v>
      </c>
      <c r="D908" s="2460" t="s">
        <v>1671</v>
      </c>
      <c r="E908" s="2461" t="s">
        <v>1573</v>
      </c>
      <c r="F908" s="2461" t="s">
        <v>1601</v>
      </c>
      <c r="G908" s="2461" t="s">
        <v>1412</v>
      </c>
      <c r="H908" s="2461" t="s">
        <v>1116</v>
      </c>
      <c r="I908" s="2462">
        <v>2.6556515429739815E-3</v>
      </c>
      <c r="J908" s="2462">
        <v>187.2900951727074</v>
      </c>
    </row>
    <row r="909" spans="1:10" outlineLevel="2">
      <c r="A909" s="2459" t="s">
        <v>1669</v>
      </c>
      <c r="B909" s="2459" t="s">
        <v>1645</v>
      </c>
      <c r="C909" s="2459" t="s">
        <v>1673</v>
      </c>
      <c r="D909" s="2460" t="s">
        <v>1671</v>
      </c>
      <c r="E909" s="2461" t="s">
        <v>1573</v>
      </c>
      <c r="F909" s="2461" t="s">
        <v>1602</v>
      </c>
      <c r="G909" s="2461" t="s">
        <v>1412</v>
      </c>
      <c r="H909" s="2461" t="s">
        <v>1116</v>
      </c>
      <c r="I909" s="2462">
        <v>1.5600551855628449E-3</v>
      </c>
      <c r="J909" s="2462">
        <v>81.804454197362716</v>
      </c>
    </row>
    <row r="910" spans="1:10" outlineLevel="2">
      <c r="A910" s="2459" t="s">
        <v>1669</v>
      </c>
      <c r="B910" s="2459" t="s">
        <v>1645</v>
      </c>
      <c r="C910" s="2459" t="s">
        <v>1673</v>
      </c>
      <c r="D910" s="2460" t="s">
        <v>1671</v>
      </c>
      <c r="E910" s="2461" t="s">
        <v>1573</v>
      </c>
      <c r="F910" s="2461" t="s">
        <v>1603</v>
      </c>
      <c r="G910" s="2461" t="s">
        <v>1412</v>
      </c>
      <c r="H910" s="2461" t="s">
        <v>1116</v>
      </c>
      <c r="I910" s="2462">
        <v>1.8466005995144844E-3</v>
      </c>
      <c r="J910" s="2462">
        <v>82.952926942327849</v>
      </c>
    </row>
    <row r="911" spans="1:10" outlineLevel="2">
      <c r="A911" s="2459" t="s">
        <v>1669</v>
      </c>
      <c r="B911" s="2459" t="s">
        <v>1645</v>
      </c>
      <c r="C911" s="2459" t="s">
        <v>1673</v>
      </c>
      <c r="D911" s="2460" t="s">
        <v>1671</v>
      </c>
      <c r="E911" s="2461" t="s">
        <v>1573</v>
      </c>
      <c r="F911" s="2461" t="s">
        <v>1604</v>
      </c>
      <c r="G911" s="2461" t="s">
        <v>1412</v>
      </c>
      <c r="H911" s="2461" t="s">
        <v>1116</v>
      </c>
      <c r="I911" s="2462">
        <v>1.1695529792803712E-4</v>
      </c>
      <c r="J911" s="2462">
        <v>3.1991763070063102</v>
      </c>
    </row>
    <row r="912" spans="1:10" outlineLevel="2">
      <c r="A912" s="2459" t="s">
        <v>1669</v>
      </c>
      <c r="B912" s="2459" t="s">
        <v>1645</v>
      </c>
      <c r="C912" s="2459" t="s">
        <v>1673</v>
      </c>
      <c r="D912" s="2460" t="s">
        <v>1671</v>
      </c>
      <c r="E912" s="2461" t="s">
        <v>1573</v>
      </c>
      <c r="F912" s="2461" t="s">
        <v>1605</v>
      </c>
      <c r="G912" s="2461" t="s">
        <v>1412</v>
      </c>
      <c r="H912" s="2461" t="s">
        <v>1116</v>
      </c>
      <c r="I912" s="2462">
        <v>4.3339994033216124E-2</v>
      </c>
      <c r="J912" s="2462">
        <v>1424.429035087782</v>
      </c>
    </row>
    <row r="913" spans="1:10" outlineLevel="2">
      <c r="A913" s="2459" t="s">
        <v>1669</v>
      </c>
      <c r="B913" s="2459" t="s">
        <v>1645</v>
      </c>
      <c r="C913" s="2459" t="s">
        <v>1673</v>
      </c>
      <c r="D913" s="2460" t="s">
        <v>1671</v>
      </c>
      <c r="E913" s="2461" t="s">
        <v>1573</v>
      </c>
      <c r="F913" s="2461" t="s">
        <v>1606</v>
      </c>
      <c r="G913" s="2461" t="s">
        <v>1412</v>
      </c>
      <c r="H913" s="2461" t="s">
        <v>1116</v>
      </c>
      <c r="I913" s="2462">
        <v>1.456105161396657E-3</v>
      </c>
      <c r="J913" s="2462">
        <v>118.04219029507067</v>
      </c>
    </row>
    <row r="914" spans="1:10" outlineLevel="2">
      <c r="A914" s="2459" t="s">
        <v>1669</v>
      </c>
      <c r="B914" s="2459" t="s">
        <v>1645</v>
      </c>
      <c r="C914" s="2459" t="s">
        <v>1673</v>
      </c>
      <c r="D914" s="2460" t="s">
        <v>1671</v>
      </c>
      <c r="E914" s="2461" t="s">
        <v>1573</v>
      </c>
      <c r="F914" s="2461" t="s">
        <v>1607</v>
      </c>
      <c r="G914" s="2461" t="s">
        <v>1439</v>
      </c>
      <c r="H914" s="2461" t="s">
        <v>1440</v>
      </c>
      <c r="I914" s="2462">
        <v>1.292940116557891E-6</v>
      </c>
      <c r="J914" s="2462">
        <v>3.2406091707847279E-2</v>
      </c>
    </row>
    <row r="915" spans="1:10" outlineLevel="2">
      <c r="A915" s="2459" t="s">
        <v>1669</v>
      </c>
      <c r="B915" s="2459" t="s">
        <v>1645</v>
      </c>
      <c r="C915" s="2459" t="s">
        <v>1673</v>
      </c>
      <c r="D915" s="2460" t="s">
        <v>1671</v>
      </c>
      <c r="E915" s="2461" t="s">
        <v>1573</v>
      </c>
      <c r="F915" s="2461" t="s">
        <v>1608</v>
      </c>
      <c r="G915" s="2461" t="s">
        <v>1439</v>
      </c>
      <c r="H915" s="2461" t="s">
        <v>1440</v>
      </c>
      <c r="I915" s="2462">
        <v>1.5195890463222449E-4</v>
      </c>
      <c r="J915" s="2462">
        <v>8.5121136582680297</v>
      </c>
    </row>
    <row r="916" spans="1:10" outlineLevel="2">
      <c r="A916" s="2459" t="s">
        <v>1669</v>
      </c>
      <c r="B916" s="2459" t="s">
        <v>1645</v>
      </c>
      <c r="C916" s="2459" t="s">
        <v>1673</v>
      </c>
      <c r="D916" s="2460" t="s">
        <v>1671</v>
      </c>
      <c r="E916" s="2461" t="s">
        <v>1573</v>
      </c>
      <c r="F916" s="2461" t="s">
        <v>1609</v>
      </c>
      <c r="G916" s="2461" t="s">
        <v>1439</v>
      </c>
      <c r="H916" s="2461" t="s">
        <v>1440</v>
      </c>
      <c r="I916" s="2462">
        <v>1.0225401573001105E-2</v>
      </c>
      <c r="J916" s="2462">
        <v>227.15876667031526</v>
      </c>
    </row>
    <row r="917" spans="1:10" outlineLevel="2">
      <c r="A917" s="2459" t="s">
        <v>1669</v>
      </c>
      <c r="B917" s="2459" t="s">
        <v>1645</v>
      </c>
      <c r="C917" s="2459" t="s">
        <v>1673</v>
      </c>
      <c r="D917" s="2460" t="s">
        <v>1671</v>
      </c>
      <c r="E917" s="2461" t="s">
        <v>1573</v>
      </c>
      <c r="F917" s="2461" t="s">
        <v>1610</v>
      </c>
      <c r="G917" s="2461" t="s">
        <v>1439</v>
      </c>
      <c r="H917" s="2461" t="s">
        <v>1440</v>
      </c>
      <c r="I917" s="2462">
        <v>2.6890990468277326E-3</v>
      </c>
      <c r="J917" s="2462">
        <v>46.892799172225459</v>
      </c>
    </row>
    <row r="918" spans="1:10" outlineLevel="2">
      <c r="A918" s="2459" t="s">
        <v>1669</v>
      </c>
      <c r="B918" s="2459" t="s">
        <v>1645</v>
      </c>
      <c r="C918" s="2459" t="s">
        <v>1673</v>
      </c>
      <c r="D918" s="2460" t="s">
        <v>1671</v>
      </c>
      <c r="E918" s="2461" t="s">
        <v>1573</v>
      </c>
      <c r="F918" s="2461" t="s">
        <v>1611</v>
      </c>
      <c r="G918" s="2461" t="s">
        <v>1439</v>
      </c>
      <c r="H918" s="2461" t="s">
        <v>1440</v>
      </c>
      <c r="I918" s="2462">
        <v>6.3559759038384674E-3</v>
      </c>
      <c r="J918" s="2462">
        <v>309.66266462035315</v>
      </c>
    </row>
    <row r="919" spans="1:10" outlineLevel="2">
      <c r="A919" s="2459" t="s">
        <v>1669</v>
      </c>
      <c r="B919" s="2459" t="s">
        <v>1645</v>
      </c>
      <c r="C919" s="2459" t="s">
        <v>1673</v>
      </c>
      <c r="D919" s="2460" t="s">
        <v>1671</v>
      </c>
      <c r="E919" s="2461" t="s">
        <v>1573</v>
      </c>
      <c r="F919" s="2461" t="s">
        <v>1612</v>
      </c>
      <c r="G919" s="2461" t="s">
        <v>1439</v>
      </c>
      <c r="H919" s="2461" t="s">
        <v>1440</v>
      </c>
      <c r="I919" s="2462">
        <v>1.0900225270616738E-3</v>
      </c>
      <c r="J919" s="2462">
        <v>36.486057298357537</v>
      </c>
    </row>
    <row r="920" spans="1:10" outlineLevel="2">
      <c r="A920" s="2459" t="s">
        <v>1669</v>
      </c>
      <c r="B920" s="2459" t="s">
        <v>1645</v>
      </c>
      <c r="C920" s="2459" t="s">
        <v>1673</v>
      </c>
      <c r="D920" s="2460" t="s">
        <v>1671</v>
      </c>
      <c r="E920" s="2461" t="s">
        <v>1573</v>
      </c>
      <c r="F920" s="2461" t="s">
        <v>1613</v>
      </c>
      <c r="G920" s="2461" t="s">
        <v>1439</v>
      </c>
      <c r="H920" s="2461" t="s">
        <v>1440</v>
      </c>
      <c r="I920" s="2462">
        <v>3.0645838269997405E-5</v>
      </c>
      <c r="J920" s="2462">
        <v>0.92646110633842949</v>
      </c>
    </row>
    <row r="921" spans="1:10" outlineLevel="2">
      <c r="A921" s="2459" t="s">
        <v>1669</v>
      </c>
      <c r="B921" s="2459" t="s">
        <v>1645</v>
      </c>
      <c r="C921" s="2459" t="s">
        <v>1673</v>
      </c>
      <c r="D921" s="2460" t="s">
        <v>1671</v>
      </c>
      <c r="E921" s="2461" t="s">
        <v>1573</v>
      </c>
      <c r="F921" s="2461" t="s">
        <v>1614</v>
      </c>
      <c r="G921" s="2461" t="s">
        <v>1418</v>
      </c>
      <c r="H921" s="2461" t="s">
        <v>1452</v>
      </c>
      <c r="I921" s="2462">
        <v>2.132516587490023E-6</v>
      </c>
      <c r="J921" s="2462">
        <v>1.8227480516858685E-2</v>
      </c>
    </row>
    <row r="922" spans="1:10" outlineLevel="2">
      <c r="A922" s="2459" t="s">
        <v>1669</v>
      </c>
      <c r="B922" s="2459" t="s">
        <v>1645</v>
      </c>
      <c r="C922" s="2459" t="s">
        <v>1673</v>
      </c>
      <c r="D922" s="2460" t="s">
        <v>1671</v>
      </c>
      <c r="E922" s="2461" t="s">
        <v>1573</v>
      </c>
      <c r="F922" s="2461" t="s">
        <v>1615</v>
      </c>
      <c r="G922" s="2461" t="s">
        <v>1418</v>
      </c>
      <c r="H922" s="2461" t="s">
        <v>1452</v>
      </c>
      <c r="I922" s="2462">
        <v>1.2899643168061331E-2</v>
      </c>
      <c r="J922" s="2462">
        <v>756.84445766503416</v>
      </c>
    </row>
    <row r="923" spans="1:10" outlineLevel="2">
      <c r="A923" s="2459" t="s">
        <v>1669</v>
      </c>
      <c r="B923" s="2459" t="s">
        <v>1645</v>
      </c>
      <c r="C923" s="2459" t="s">
        <v>1673</v>
      </c>
      <c r="D923" s="2460" t="s">
        <v>1671</v>
      </c>
      <c r="E923" s="2461" t="s">
        <v>1573</v>
      </c>
      <c r="F923" s="2461" t="s">
        <v>1616</v>
      </c>
      <c r="G923" s="2461" t="s">
        <v>1418</v>
      </c>
      <c r="H923" s="2461" t="s">
        <v>1452</v>
      </c>
      <c r="I923" s="2462">
        <v>6.1568706914562712E-4</v>
      </c>
      <c r="J923" s="2462">
        <v>67.857559638264917</v>
      </c>
    </row>
    <row r="924" spans="1:10" outlineLevel="2">
      <c r="A924" s="2459" t="s">
        <v>1669</v>
      </c>
      <c r="B924" s="2459" t="s">
        <v>1645</v>
      </c>
      <c r="C924" s="2459" t="s">
        <v>1673</v>
      </c>
      <c r="D924" s="2460" t="s">
        <v>1671</v>
      </c>
      <c r="E924" s="2461" t="s">
        <v>1573</v>
      </c>
      <c r="F924" s="2461" t="s">
        <v>1617</v>
      </c>
      <c r="G924" s="2461" t="s">
        <v>1418</v>
      </c>
      <c r="H924" s="2461" t="s">
        <v>1452</v>
      </c>
      <c r="I924" s="2462">
        <v>4.8904468387845682E-6</v>
      </c>
      <c r="J924" s="2462">
        <v>0.37559638232404463</v>
      </c>
    </row>
    <row r="925" spans="1:10" outlineLevel="2">
      <c r="A925" s="2459" t="s">
        <v>1669</v>
      </c>
      <c r="B925" s="2459" t="s">
        <v>1645</v>
      </c>
      <c r="C925" s="2459" t="s">
        <v>1673</v>
      </c>
      <c r="D925" s="2460" t="s">
        <v>1671</v>
      </c>
      <c r="E925" s="2461" t="s">
        <v>1573</v>
      </c>
      <c r="F925" s="2461" t="s">
        <v>1618</v>
      </c>
      <c r="G925" s="2461" t="s">
        <v>1418</v>
      </c>
      <c r="H925" s="2461" t="s">
        <v>1452</v>
      </c>
      <c r="I925" s="2462">
        <v>9.5332269210857648E-7</v>
      </c>
      <c r="J925" s="2462">
        <v>7.8901357347225462E-2</v>
      </c>
    </row>
    <row r="926" spans="1:10" outlineLevel="2">
      <c r="A926" s="2459" t="s">
        <v>1669</v>
      </c>
      <c r="B926" s="2459" t="s">
        <v>1645</v>
      </c>
      <c r="C926" s="2459" t="s">
        <v>1673</v>
      </c>
      <c r="D926" s="2460" t="s">
        <v>1671</v>
      </c>
      <c r="E926" s="2461" t="s">
        <v>1573</v>
      </c>
      <c r="F926" s="2461" t="s">
        <v>1619</v>
      </c>
      <c r="G926" s="2461" t="s">
        <v>1418</v>
      </c>
      <c r="H926" s="2461" t="s">
        <v>1452</v>
      </c>
      <c r="I926" s="2462">
        <v>6.2585522911784848E-5</v>
      </c>
      <c r="J926" s="2462">
        <v>5.7546173388493624</v>
      </c>
    </row>
    <row r="927" spans="1:10" outlineLevel="2">
      <c r="A927" s="2459" t="s">
        <v>1669</v>
      </c>
      <c r="B927" s="2459" t="s">
        <v>1645</v>
      </c>
      <c r="C927" s="2459" t="s">
        <v>1673</v>
      </c>
      <c r="D927" s="2460" t="s">
        <v>1671</v>
      </c>
      <c r="E927" s="2461" t="s">
        <v>1573</v>
      </c>
      <c r="F927" s="2461" t="s">
        <v>1620</v>
      </c>
      <c r="G927" s="2461" t="s">
        <v>1418</v>
      </c>
      <c r="H927" s="2461" t="s">
        <v>1452</v>
      </c>
      <c r="I927" s="2462">
        <v>1.3232183348740077E-7</v>
      </c>
      <c r="J927" s="2462">
        <v>1.5921254517581286E-2</v>
      </c>
    </row>
    <row r="928" spans="1:10" outlineLevel="2">
      <c r="A928" s="2459" t="s">
        <v>1669</v>
      </c>
      <c r="B928" s="2459" t="s">
        <v>1645</v>
      </c>
      <c r="C928" s="2459" t="s">
        <v>1673</v>
      </c>
      <c r="D928" s="2460" t="s">
        <v>1671</v>
      </c>
      <c r="E928" s="2461" t="s">
        <v>1573</v>
      </c>
      <c r="F928" s="2461" t="s">
        <v>1621</v>
      </c>
      <c r="G928" s="2461" t="s">
        <v>1418</v>
      </c>
      <c r="H928" s="2461" t="s">
        <v>1452</v>
      </c>
      <c r="I928" s="2462">
        <v>5.6330914470795974E-5</v>
      </c>
      <c r="J928" s="2462">
        <v>5.3209044323783514</v>
      </c>
    </row>
    <row r="929" spans="1:10" outlineLevel="2">
      <c r="A929" s="2459" t="s">
        <v>1669</v>
      </c>
      <c r="B929" s="2459" t="s">
        <v>1645</v>
      </c>
      <c r="C929" s="2459" t="s">
        <v>1673</v>
      </c>
      <c r="D929" s="2460" t="s">
        <v>1671</v>
      </c>
      <c r="E929" s="2461" t="s">
        <v>1573</v>
      </c>
      <c r="F929" s="2461" t="s">
        <v>1622</v>
      </c>
      <c r="G929" s="2461" t="s">
        <v>1418</v>
      </c>
      <c r="H929" s="2461" t="s">
        <v>1452</v>
      </c>
      <c r="I929" s="2462">
        <v>1.665523092323091E-4</v>
      </c>
      <c r="J929" s="2462">
        <v>14.807201238865824</v>
      </c>
    </row>
    <row r="930" spans="1:10" outlineLevel="2">
      <c r="A930" s="2459" t="s">
        <v>1669</v>
      </c>
      <c r="B930" s="2459" t="s">
        <v>1645</v>
      </c>
      <c r="C930" s="2459" t="s">
        <v>1673</v>
      </c>
      <c r="D930" s="2460" t="s">
        <v>1671</v>
      </c>
      <c r="E930" s="2461" t="s">
        <v>1573</v>
      </c>
      <c r="F930" s="2461" t="s">
        <v>1623</v>
      </c>
      <c r="G930" s="2461" t="s">
        <v>1418</v>
      </c>
      <c r="H930" s="2461" t="s">
        <v>1452</v>
      </c>
      <c r="I930" s="2462">
        <v>2.5259626637323793E-4</v>
      </c>
      <c r="J930" s="2462">
        <v>10.918410189238672</v>
      </c>
    </row>
    <row r="931" spans="1:10" outlineLevel="2">
      <c r="A931" s="2459" t="s">
        <v>1669</v>
      </c>
      <c r="B931" s="2459" t="s">
        <v>1645</v>
      </c>
      <c r="C931" s="2459" t="s">
        <v>1673</v>
      </c>
      <c r="D931" s="2460" t="s">
        <v>1671</v>
      </c>
      <c r="E931" s="2461" t="s">
        <v>1573</v>
      </c>
      <c r="F931" s="2461" t="s">
        <v>1624</v>
      </c>
      <c r="G931" s="2461" t="s">
        <v>1421</v>
      </c>
      <c r="H931" s="2461" t="s">
        <v>1454</v>
      </c>
      <c r="I931" s="2462">
        <v>6.6508426194325605E-3</v>
      </c>
      <c r="J931" s="2462">
        <v>243.20121332425666</v>
      </c>
    </row>
    <row r="932" spans="1:10" outlineLevel="2">
      <c r="A932" s="2459" t="s">
        <v>1669</v>
      </c>
      <c r="B932" s="2459" t="s">
        <v>1645</v>
      </c>
      <c r="C932" s="2459" t="s">
        <v>1673</v>
      </c>
      <c r="D932" s="2460" t="s">
        <v>1671</v>
      </c>
      <c r="E932" s="2461" t="s">
        <v>1573</v>
      </c>
      <c r="F932" s="2461" t="s">
        <v>1625</v>
      </c>
      <c r="G932" s="2461" t="s">
        <v>1421</v>
      </c>
      <c r="H932" s="2461" t="s">
        <v>1454</v>
      </c>
      <c r="I932" s="2462">
        <v>1.5684736851076897E-3</v>
      </c>
      <c r="J932" s="2462">
        <v>57.399916154491294</v>
      </c>
    </row>
    <row r="933" spans="1:10" outlineLevel="2">
      <c r="A933" s="2459" t="s">
        <v>1669</v>
      </c>
      <c r="B933" s="2459" t="s">
        <v>1645</v>
      </c>
      <c r="C933" s="2459" t="s">
        <v>1673</v>
      </c>
      <c r="D933" s="2460" t="s">
        <v>1671</v>
      </c>
      <c r="E933" s="2461" t="s">
        <v>1573</v>
      </c>
      <c r="F933" s="2461" t="s">
        <v>1626</v>
      </c>
      <c r="G933" s="2461" t="s">
        <v>1421</v>
      </c>
      <c r="H933" s="2461" t="s">
        <v>1454</v>
      </c>
      <c r="I933" s="2462">
        <v>4.4020448863019502E-3</v>
      </c>
      <c r="J933" s="2462">
        <v>159.24910135793434</v>
      </c>
    </row>
    <row r="934" spans="1:10" outlineLevel="2">
      <c r="A934" s="2459" t="s">
        <v>1669</v>
      </c>
      <c r="B934" s="2459" t="s">
        <v>1645</v>
      </c>
      <c r="C934" s="2459" t="s">
        <v>1673</v>
      </c>
      <c r="D934" s="2460" t="s">
        <v>1671</v>
      </c>
      <c r="E934" s="2461" t="s">
        <v>1573</v>
      </c>
      <c r="F934" s="2461" t="s">
        <v>1627</v>
      </c>
      <c r="G934" s="2461" t="s">
        <v>1421</v>
      </c>
      <c r="H934" s="2461" t="s">
        <v>1454</v>
      </c>
      <c r="I934" s="2462">
        <v>3.7171603554028683E-3</v>
      </c>
      <c r="J934" s="2462">
        <v>80.855612185403317</v>
      </c>
    </row>
    <row r="935" spans="1:10" outlineLevel="2">
      <c r="A935" s="2459" t="s">
        <v>1669</v>
      </c>
      <c r="B935" s="2459" t="s">
        <v>1645</v>
      </c>
      <c r="C935" s="2459" t="s">
        <v>1673</v>
      </c>
      <c r="D935" s="2460" t="s">
        <v>1671</v>
      </c>
      <c r="E935" s="2461" t="s">
        <v>1573</v>
      </c>
      <c r="F935" s="2461" t="s">
        <v>1628</v>
      </c>
      <c r="G935" s="2461" t="s">
        <v>1421</v>
      </c>
      <c r="H935" s="2461" t="s">
        <v>1454</v>
      </c>
      <c r="I935" s="2462">
        <v>1.8490789400792763E-4</v>
      </c>
      <c r="J935" s="2462">
        <v>7.7762815496704496</v>
      </c>
    </row>
    <row r="936" spans="1:10" outlineLevel="2">
      <c r="A936" s="2459" t="s">
        <v>1669</v>
      </c>
      <c r="B936" s="2459" t="s">
        <v>1645</v>
      </c>
      <c r="C936" s="2459" t="s">
        <v>1673</v>
      </c>
      <c r="D936" s="2460" t="s">
        <v>1671</v>
      </c>
      <c r="E936" s="2461" t="s">
        <v>1573</v>
      </c>
      <c r="F936" s="2461" t="s">
        <v>1629</v>
      </c>
      <c r="G936" s="2461" t="s">
        <v>1421</v>
      </c>
      <c r="H936" s="2461" t="s">
        <v>1454</v>
      </c>
      <c r="I936" s="2462">
        <v>2.139173138795419E-4</v>
      </c>
      <c r="J936" s="2462">
        <v>6.882633118069422</v>
      </c>
    </row>
    <row r="937" spans="1:10" outlineLevel="2">
      <c r="A937" s="2459" t="s">
        <v>1669</v>
      </c>
      <c r="B937" s="2459" t="s">
        <v>1645</v>
      </c>
      <c r="C937" s="2459" t="s">
        <v>1673</v>
      </c>
      <c r="D937" s="2460" t="s">
        <v>1671</v>
      </c>
      <c r="E937" s="2461" t="s">
        <v>1573</v>
      </c>
      <c r="F937" s="2461" t="s">
        <v>1630</v>
      </c>
      <c r="G937" s="2461" t="s">
        <v>1459</v>
      </c>
      <c r="H937" s="2461" t="s">
        <v>1460</v>
      </c>
      <c r="I937" s="2462">
        <v>5.1443680584340786E-3</v>
      </c>
      <c r="J937" s="2462">
        <v>337.15070844847924</v>
      </c>
    </row>
    <row r="938" spans="1:10" outlineLevel="2">
      <c r="A938" s="2459" t="s">
        <v>1669</v>
      </c>
      <c r="B938" s="2459" t="s">
        <v>1646</v>
      </c>
      <c r="C938" s="2459" t="s">
        <v>1670</v>
      </c>
      <c r="D938" s="2460" t="s">
        <v>1671</v>
      </c>
      <c r="E938" s="2461" t="s">
        <v>1407</v>
      </c>
      <c r="F938" s="2461" t="s">
        <v>1408</v>
      </c>
      <c r="G938" s="2461" t="s">
        <v>1409</v>
      </c>
      <c r="H938" s="2461" t="s">
        <v>1410</v>
      </c>
      <c r="I938" s="2462">
        <v>8.5234672240657242E-4</v>
      </c>
      <c r="J938" s="2462">
        <v>1.2538218341533553E-2</v>
      </c>
    </row>
    <row r="939" spans="1:10" outlineLevel="2">
      <c r="A939" s="2459" t="s">
        <v>1669</v>
      </c>
      <c r="B939" s="2459" t="s">
        <v>1646</v>
      </c>
      <c r="C939" s="2459" t="s">
        <v>1670</v>
      </c>
      <c r="D939" s="2460" t="s">
        <v>1671</v>
      </c>
      <c r="E939" s="2461" t="s">
        <v>1407</v>
      </c>
      <c r="F939" s="2461" t="s">
        <v>1411</v>
      </c>
      <c r="G939" s="2461" t="s">
        <v>1412</v>
      </c>
      <c r="H939" s="2461" t="s">
        <v>1410</v>
      </c>
      <c r="I939" s="2462">
        <v>0.71911998242432118</v>
      </c>
      <c r="J939" s="2462">
        <v>116.78079833506374</v>
      </c>
    </row>
    <row r="940" spans="1:10" outlineLevel="2">
      <c r="A940" s="2459" t="s">
        <v>1669</v>
      </c>
      <c r="B940" s="2459" t="s">
        <v>1646</v>
      </c>
      <c r="C940" s="2459" t="s">
        <v>1670</v>
      </c>
      <c r="D940" s="2460" t="s">
        <v>1671</v>
      </c>
      <c r="E940" s="2461" t="s">
        <v>1407</v>
      </c>
      <c r="F940" s="2461" t="s">
        <v>1413</v>
      </c>
      <c r="G940" s="2461" t="s">
        <v>1412</v>
      </c>
      <c r="H940" s="2461" t="s">
        <v>1410</v>
      </c>
      <c r="I940" s="2462">
        <v>5.8399690758832994E-4</v>
      </c>
      <c r="J940" s="2462">
        <v>9.8934005055133015E-2</v>
      </c>
    </row>
    <row r="941" spans="1:10" outlineLevel="2">
      <c r="A941" s="2459" t="s">
        <v>1669</v>
      </c>
      <c r="B941" s="2459" t="s">
        <v>1646</v>
      </c>
      <c r="C941" s="2459" t="s">
        <v>1670</v>
      </c>
      <c r="D941" s="2460" t="s">
        <v>1671</v>
      </c>
      <c r="E941" s="2461" t="s">
        <v>1407</v>
      </c>
      <c r="F941" s="2461" t="s">
        <v>1414</v>
      </c>
      <c r="G941" s="2461" t="s">
        <v>1412</v>
      </c>
      <c r="H941" s="2461" t="s">
        <v>1410</v>
      </c>
      <c r="I941" s="2462">
        <v>2.9347372461201529E-4</v>
      </c>
      <c r="J941" s="2462">
        <v>5.3912290250864262E-2</v>
      </c>
    </row>
    <row r="942" spans="1:10" outlineLevel="2">
      <c r="A942" s="2459" t="s">
        <v>1669</v>
      </c>
      <c r="B942" s="2459" t="s">
        <v>1646</v>
      </c>
      <c r="C942" s="2459" t="s">
        <v>1670</v>
      </c>
      <c r="D942" s="2460" t="s">
        <v>1671</v>
      </c>
      <c r="E942" s="2461" t="s">
        <v>1407</v>
      </c>
      <c r="F942" s="2461" t="s">
        <v>1415</v>
      </c>
      <c r="G942" s="2461" t="s">
        <v>1412</v>
      </c>
      <c r="H942" s="2461" t="s">
        <v>1410</v>
      </c>
      <c r="I942" s="2462">
        <v>1.285024277705109E-3</v>
      </c>
      <c r="J942" s="2462">
        <v>0.20469283978652358</v>
      </c>
    </row>
    <row r="943" spans="1:10" outlineLevel="2">
      <c r="A943" s="2459" t="s">
        <v>1669</v>
      </c>
      <c r="B943" s="2459" t="s">
        <v>1646</v>
      </c>
      <c r="C943" s="2459" t="s">
        <v>1670</v>
      </c>
      <c r="D943" s="2460" t="s">
        <v>1671</v>
      </c>
      <c r="E943" s="2461" t="s">
        <v>1407</v>
      </c>
      <c r="F943" s="2461" t="s">
        <v>1416</v>
      </c>
      <c r="G943" s="2461" t="s">
        <v>1412</v>
      </c>
      <c r="H943" s="2461" t="s">
        <v>1410</v>
      </c>
      <c r="I943" s="2462">
        <v>2.6862352634441141E-3</v>
      </c>
      <c r="J943" s="2462">
        <v>0.66079128783676877</v>
      </c>
    </row>
    <row r="944" spans="1:10" outlineLevel="2">
      <c r="A944" s="2459" t="s">
        <v>1669</v>
      </c>
      <c r="B944" s="2459" t="s">
        <v>1646</v>
      </c>
      <c r="C944" s="2459" t="s">
        <v>1670</v>
      </c>
      <c r="D944" s="2460" t="s">
        <v>1671</v>
      </c>
      <c r="E944" s="2461" t="s">
        <v>1407</v>
      </c>
      <c r="F944" s="2461" t="s">
        <v>1417</v>
      </c>
      <c r="G944" s="2461" t="s">
        <v>1418</v>
      </c>
      <c r="H944" s="2461" t="s">
        <v>1410</v>
      </c>
      <c r="I944" s="2462">
        <v>8.3408621087805949E-3</v>
      </c>
      <c r="J944" s="2462">
        <v>0.11079090758515611</v>
      </c>
    </row>
    <row r="945" spans="1:10" outlineLevel="2">
      <c r="A945" s="2459" t="s">
        <v>1669</v>
      </c>
      <c r="B945" s="2459" t="s">
        <v>1646</v>
      </c>
      <c r="C945" s="2459" t="s">
        <v>1670</v>
      </c>
      <c r="D945" s="2460" t="s">
        <v>1671</v>
      </c>
      <c r="E945" s="2461" t="s">
        <v>1407</v>
      </c>
      <c r="F945" s="2461" t="s">
        <v>1419</v>
      </c>
      <c r="G945" s="2461" t="s">
        <v>1418</v>
      </c>
      <c r="H945" s="2461" t="s">
        <v>1410</v>
      </c>
      <c r="I945" s="2462">
        <v>6.1912875222497166E-2</v>
      </c>
      <c r="J945" s="2462">
        <v>12.024079968315906</v>
      </c>
    </row>
    <row r="946" spans="1:10" outlineLevel="2">
      <c r="A946" s="2459" t="s">
        <v>1669</v>
      </c>
      <c r="B946" s="2459" t="s">
        <v>1646</v>
      </c>
      <c r="C946" s="2459" t="s">
        <v>1670</v>
      </c>
      <c r="D946" s="2460" t="s">
        <v>1671</v>
      </c>
      <c r="E946" s="2461" t="s">
        <v>1407</v>
      </c>
      <c r="F946" s="2461" t="s">
        <v>1420</v>
      </c>
      <c r="G946" s="2461" t="s">
        <v>1421</v>
      </c>
      <c r="H946" s="2461" t="s">
        <v>1410</v>
      </c>
      <c r="I946" s="2462">
        <v>0.26048198589390015</v>
      </c>
      <c r="J946" s="2462">
        <v>6.7602012343449172</v>
      </c>
    </row>
    <row r="947" spans="1:10" outlineLevel="2">
      <c r="A947" s="2459" t="s">
        <v>1669</v>
      </c>
      <c r="B947" s="2459" t="s">
        <v>1646</v>
      </c>
      <c r="C947" s="2459" t="s">
        <v>1670</v>
      </c>
      <c r="D947" s="2460" t="s">
        <v>1671</v>
      </c>
      <c r="E947" s="2461" t="s">
        <v>1407</v>
      </c>
      <c r="F947" s="2461" t="s">
        <v>1422</v>
      </c>
      <c r="G947" s="2461" t="s">
        <v>1421</v>
      </c>
      <c r="H947" s="2461" t="s">
        <v>1410</v>
      </c>
      <c r="I947" s="2462">
        <v>7.876936387090033E-3</v>
      </c>
      <c r="J947" s="2462">
        <v>0.32274352450231392</v>
      </c>
    </row>
    <row r="948" spans="1:10" outlineLevel="2">
      <c r="A948" s="2459" t="s">
        <v>1669</v>
      </c>
      <c r="B948" s="2459" t="s">
        <v>1646</v>
      </c>
      <c r="C948" s="2459" t="s">
        <v>1670</v>
      </c>
      <c r="D948" s="2460" t="s">
        <v>1671</v>
      </c>
      <c r="E948" s="2461" t="s">
        <v>1407</v>
      </c>
      <c r="F948" s="2461" t="s">
        <v>1423</v>
      </c>
      <c r="G948" s="2461" t="s">
        <v>1421</v>
      </c>
      <c r="H948" s="2461" t="s">
        <v>1410</v>
      </c>
      <c r="I948" s="2462">
        <v>4.0942392233309661E-3</v>
      </c>
      <c r="J948" s="2462">
        <v>0.47181436256335424</v>
      </c>
    </row>
    <row r="949" spans="1:10" outlineLevel="2">
      <c r="A949" s="2459" t="s">
        <v>1669</v>
      </c>
      <c r="B949" s="2459" t="s">
        <v>1646</v>
      </c>
      <c r="C949" s="2459" t="s">
        <v>1670</v>
      </c>
      <c r="D949" s="2460" t="s">
        <v>1671</v>
      </c>
      <c r="E949" s="2461" t="s">
        <v>1407</v>
      </c>
      <c r="F949" s="2461" t="s">
        <v>1424</v>
      </c>
      <c r="G949" s="2461" t="s">
        <v>1421</v>
      </c>
      <c r="H949" s="2461" t="s">
        <v>1410</v>
      </c>
      <c r="I949" s="2462">
        <v>8.0064993988560859E-2</v>
      </c>
      <c r="J949" s="2462">
        <v>16.754842848227703</v>
      </c>
    </row>
    <row r="950" spans="1:10" outlineLevel="2">
      <c r="A950" s="2459" t="s">
        <v>1669</v>
      </c>
      <c r="B950" s="2459" t="s">
        <v>1646</v>
      </c>
      <c r="C950" s="2459" t="s">
        <v>1670</v>
      </c>
      <c r="D950" s="2460" t="s">
        <v>1671</v>
      </c>
      <c r="E950" s="2461" t="s">
        <v>213</v>
      </c>
      <c r="F950" s="2461" t="s">
        <v>1425</v>
      </c>
      <c r="G950" s="2461" t="s">
        <v>1426</v>
      </c>
      <c r="H950" s="2461" t="s">
        <v>1427</v>
      </c>
      <c r="I950" s="2462">
        <v>0.62709222247279706</v>
      </c>
      <c r="J950" s="2462">
        <v>180.18387379956297</v>
      </c>
    </row>
    <row r="951" spans="1:10" outlineLevel="2">
      <c r="A951" s="2459" t="s">
        <v>1669</v>
      </c>
      <c r="B951" s="2459" t="s">
        <v>1646</v>
      </c>
      <c r="C951" s="2459" t="s">
        <v>1670</v>
      </c>
      <c r="D951" s="2460" t="s">
        <v>1671</v>
      </c>
      <c r="E951" s="2461" t="s">
        <v>213</v>
      </c>
      <c r="F951" s="2461" t="s">
        <v>1428</v>
      </c>
      <c r="G951" s="2461" t="s">
        <v>1426</v>
      </c>
      <c r="H951" s="2461" t="s">
        <v>1427</v>
      </c>
      <c r="I951" s="2462">
        <v>0.19155200138827844</v>
      </c>
      <c r="J951" s="2462">
        <v>77.381798849913579</v>
      </c>
    </row>
    <row r="952" spans="1:10" outlineLevel="2">
      <c r="A952" s="2459" t="s">
        <v>1669</v>
      </c>
      <c r="B952" s="2459" t="s">
        <v>1646</v>
      </c>
      <c r="C952" s="2459" t="s">
        <v>1670</v>
      </c>
      <c r="D952" s="2460" t="s">
        <v>1671</v>
      </c>
      <c r="E952" s="2461" t="s">
        <v>213</v>
      </c>
      <c r="F952" s="2461" t="s">
        <v>1429</v>
      </c>
      <c r="G952" s="2461" t="s">
        <v>1426</v>
      </c>
      <c r="H952" s="2461" t="s">
        <v>1427</v>
      </c>
      <c r="I952" s="2462">
        <v>8.7185679491838947E-2</v>
      </c>
      <c r="J952" s="2462">
        <v>112.12724707176625</v>
      </c>
    </row>
    <row r="953" spans="1:10" outlineLevel="2">
      <c r="A953" s="2459" t="s">
        <v>1669</v>
      </c>
      <c r="B953" s="2459" t="s">
        <v>1646</v>
      </c>
      <c r="C953" s="2459" t="s">
        <v>1670</v>
      </c>
      <c r="D953" s="2460" t="s">
        <v>1671</v>
      </c>
      <c r="E953" s="2461" t="s">
        <v>213</v>
      </c>
      <c r="F953" s="2461" t="s">
        <v>1430</v>
      </c>
      <c r="G953" s="2461" t="s">
        <v>1409</v>
      </c>
      <c r="H953" s="2461" t="s">
        <v>1070</v>
      </c>
      <c r="I953" s="2462">
        <v>2.6346497036048213E-3</v>
      </c>
      <c r="J953" s="2462">
        <v>1.6347478662665393</v>
      </c>
    </row>
    <row r="954" spans="1:10" outlineLevel="2">
      <c r="A954" s="2459" t="s">
        <v>1669</v>
      </c>
      <c r="B954" s="2459" t="s">
        <v>1646</v>
      </c>
      <c r="C954" s="2459" t="s">
        <v>1670</v>
      </c>
      <c r="D954" s="2460" t="s">
        <v>1671</v>
      </c>
      <c r="E954" s="2461" t="s">
        <v>213</v>
      </c>
      <c r="F954" s="2461" t="s">
        <v>1431</v>
      </c>
      <c r="G954" s="2461" t="s">
        <v>1409</v>
      </c>
      <c r="H954" s="2461" t="s">
        <v>1070</v>
      </c>
      <c r="I954" s="2462">
        <v>2.1864797845155999E-4</v>
      </c>
      <c r="J954" s="2462">
        <v>0.10589264249820105</v>
      </c>
    </row>
    <row r="955" spans="1:10" outlineLevel="2">
      <c r="A955" s="2459" t="s">
        <v>1669</v>
      </c>
      <c r="B955" s="2459" t="s">
        <v>1646</v>
      </c>
      <c r="C955" s="2459" t="s">
        <v>1670</v>
      </c>
      <c r="D955" s="2460" t="s">
        <v>1671</v>
      </c>
      <c r="E955" s="2461" t="s">
        <v>213</v>
      </c>
      <c r="F955" s="2461" t="s">
        <v>1432</v>
      </c>
      <c r="G955" s="2461" t="s">
        <v>1409</v>
      </c>
      <c r="H955" s="2461" t="s">
        <v>1070</v>
      </c>
      <c r="I955" s="2462">
        <v>2.6497284030368859E-4</v>
      </c>
      <c r="J955" s="2462">
        <v>0.12657179480984326</v>
      </c>
    </row>
    <row r="956" spans="1:10" outlineLevel="2">
      <c r="A956" s="2459" t="s">
        <v>1669</v>
      </c>
      <c r="B956" s="2459" t="s">
        <v>1646</v>
      </c>
      <c r="C956" s="2459" t="s">
        <v>1670</v>
      </c>
      <c r="D956" s="2460" t="s">
        <v>1671</v>
      </c>
      <c r="E956" s="2461" t="s">
        <v>213</v>
      </c>
      <c r="F956" s="2461" t="s">
        <v>1433</v>
      </c>
      <c r="G956" s="2461" t="s">
        <v>1409</v>
      </c>
      <c r="H956" s="2461" t="s">
        <v>1070</v>
      </c>
      <c r="I956" s="2462">
        <v>1.9595889032485444E-6</v>
      </c>
      <c r="J956" s="2462">
        <v>8.7700592551081527E-4</v>
      </c>
    </row>
    <row r="957" spans="1:10" outlineLevel="2">
      <c r="A957" s="2459" t="s">
        <v>1669</v>
      </c>
      <c r="B957" s="2459" t="s">
        <v>1646</v>
      </c>
      <c r="C957" s="2459" t="s">
        <v>1670</v>
      </c>
      <c r="D957" s="2460" t="s">
        <v>1671</v>
      </c>
      <c r="E957" s="2461" t="s">
        <v>213</v>
      </c>
      <c r="F957" s="2461" t="s">
        <v>1434</v>
      </c>
      <c r="G957" s="2461" t="s">
        <v>1409</v>
      </c>
      <c r="H957" s="2461" t="s">
        <v>1070</v>
      </c>
      <c r="I957" s="2462">
        <v>7.5532698297210293E-3</v>
      </c>
      <c r="J957" s="2462">
        <v>4.2176207258697946</v>
      </c>
    </row>
    <row r="958" spans="1:10" outlineLevel="2">
      <c r="A958" s="2459" t="s">
        <v>1669</v>
      </c>
      <c r="B958" s="2459" t="s">
        <v>1646</v>
      </c>
      <c r="C958" s="2459" t="s">
        <v>1670</v>
      </c>
      <c r="D958" s="2460" t="s">
        <v>1671</v>
      </c>
      <c r="E958" s="2461" t="s">
        <v>213</v>
      </c>
      <c r="F958" s="2461" t="s">
        <v>1435</v>
      </c>
      <c r="G958" s="2461" t="s">
        <v>1409</v>
      </c>
      <c r="H958" s="2461" t="s">
        <v>1070</v>
      </c>
      <c r="I958" s="2462">
        <v>5.5226986301116872E-5</v>
      </c>
      <c r="J958" s="2462">
        <v>2.4716639837176379E-2</v>
      </c>
    </row>
    <row r="959" spans="1:10" outlineLevel="2">
      <c r="A959" s="2459" t="s">
        <v>1669</v>
      </c>
      <c r="B959" s="2459" t="s">
        <v>1646</v>
      </c>
      <c r="C959" s="2459" t="s">
        <v>1670</v>
      </c>
      <c r="D959" s="2460" t="s">
        <v>1671</v>
      </c>
      <c r="E959" s="2461" t="s">
        <v>213</v>
      </c>
      <c r="F959" s="2461" t="s">
        <v>1436</v>
      </c>
      <c r="G959" s="2461" t="s">
        <v>1412</v>
      </c>
      <c r="H959" s="2461" t="s">
        <v>1116</v>
      </c>
      <c r="I959" s="2462">
        <v>7.1221728802845809E-4</v>
      </c>
      <c r="J959" s="2462">
        <v>0.31874976977448793</v>
      </c>
    </row>
    <row r="960" spans="1:10" outlineLevel="2">
      <c r="A960" s="2459" t="s">
        <v>1669</v>
      </c>
      <c r="B960" s="2459" t="s">
        <v>1646</v>
      </c>
      <c r="C960" s="2459" t="s">
        <v>1670</v>
      </c>
      <c r="D960" s="2460" t="s">
        <v>1671</v>
      </c>
      <c r="E960" s="2461" t="s">
        <v>213</v>
      </c>
      <c r="F960" s="2461" t="s">
        <v>1437</v>
      </c>
      <c r="G960" s="2461" t="s">
        <v>1412</v>
      </c>
      <c r="H960" s="2461" t="s">
        <v>1116</v>
      </c>
      <c r="I960" s="2462">
        <v>5.4499767799865775E-5</v>
      </c>
      <c r="J960" s="2462">
        <v>2.4391172260404839E-2</v>
      </c>
    </row>
    <row r="961" spans="1:10" outlineLevel="2">
      <c r="A961" s="2459" t="s">
        <v>1669</v>
      </c>
      <c r="B961" s="2459" t="s">
        <v>1646</v>
      </c>
      <c r="C961" s="2459" t="s">
        <v>1670</v>
      </c>
      <c r="D961" s="2460" t="s">
        <v>1671</v>
      </c>
      <c r="E961" s="2461" t="s">
        <v>213</v>
      </c>
      <c r="F961" s="2461" t="s">
        <v>1438</v>
      </c>
      <c r="G961" s="2461" t="s">
        <v>1439</v>
      </c>
      <c r="H961" s="2461" t="s">
        <v>1440</v>
      </c>
      <c r="I961" s="2462">
        <v>1.9462630416610838E-3</v>
      </c>
      <c r="J961" s="2462">
        <v>1.065902196986946</v>
      </c>
    </row>
    <row r="962" spans="1:10" outlineLevel="2">
      <c r="A962" s="2459" t="s">
        <v>1669</v>
      </c>
      <c r="B962" s="2459" t="s">
        <v>1646</v>
      </c>
      <c r="C962" s="2459" t="s">
        <v>1670</v>
      </c>
      <c r="D962" s="2460" t="s">
        <v>1671</v>
      </c>
      <c r="E962" s="2461" t="s">
        <v>213</v>
      </c>
      <c r="F962" s="2461" t="s">
        <v>1441</v>
      </c>
      <c r="G962" s="2461" t="s">
        <v>1439</v>
      </c>
      <c r="H962" s="2461" t="s">
        <v>1440</v>
      </c>
      <c r="I962" s="2462">
        <v>6.896852955166493E-3</v>
      </c>
      <c r="J962" s="2462">
        <v>3.7066823651177718</v>
      </c>
    </row>
    <row r="963" spans="1:10" outlineLevel="2">
      <c r="A963" s="2459" t="s">
        <v>1669</v>
      </c>
      <c r="B963" s="2459" t="s">
        <v>1646</v>
      </c>
      <c r="C963" s="2459" t="s">
        <v>1670</v>
      </c>
      <c r="D963" s="2460" t="s">
        <v>1671</v>
      </c>
      <c r="E963" s="2461" t="s">
        <v>213</v>
      </c>
      <c r="F963" s="2461" t="s">
        <v>1442</v>
      </c>
      <c r="G963" s="2461" t="s">
        <v>1439</v>
      </c>
      <c r="H963" s="2461" t="s">
        <v>1440</v>
      </c>
      <c r="I963" s="2462">
        <v>2.7392728431325414E-2</v>
      </c>
      <c r="J963" s="2462">
        <v>14.231806258553778</v>
      </c>
    </row>
    <row r="964" spans="1:10" outlineLevel="2">
      <c r="A964" s="2459" t="s">
        <v>1669</v>
      </c>
      <c r="B964" s="2459" t="s">
        <v>1646</v>
      </c>
      <c r="C964" s="2459" t="s">
        <v>1670</v>
      </c>
      <c r="D964" s="2460" t="s">
        <v>1671</v>
      </c>
      <c r="E964" s="2461" t="s">
        <v>213</v>
      </c>
      <c r="F964" s="2461" t="s">
        <v>1443</v>
      </c>
      <c r="G964" s="2461" t="s">
        <v>1439</v>
      </c>
      <c r="H964" s="2461" t="s">
        <v>1440</v>
      </c>
      <c r="I964" s="2462">
        <v>6.5213741897680116E-2</v>
      </c>
      <c r="J964" s="2462">
        <v>35.698189139800427</v>
      </c>
    </row>
    <row r="965" spans="1:10" outlineLevel="2">
      <c r="A965" s="2459" t="s">
        <v>1669</v>
      </c>
      <c r="B965" s="2459" t="s">
        <v>1646</v>
      </c>
      <c r="C965" s="2459" t="s">
        <v>1670</v>
      </c>
      <c r="D965" s="2460" t="s">
        <v>1671</v>
      </c>
      <c r="E965" s="2461" t="s">
        <v>213</v>
      </c>
      <c r="F965" s="2461" t="s">
        <v>1444</v>
      </c>
      <c r="G965" s="2461" t="s">
        <v>1439</v>
      </c>
      <c r="H965" s="2461" t="s">
        <v>1440</v>
      </c>
      <c r="I965" s="2462">
        <v>3.365041126423305E-2</v>
      </c>
      <c r="J965" s="2462">
        <v>19.764895094386095</v>
      </c>
    </row>
    <row r="966" spans="1:10" outlineLevel="2">
      <c r="A966" s="2459" t="s">
        <v>1669</v>
      </c>
      <c r="B966" s="2459" t="s">
        <v>1646</v>
      </c>
      <c r="C966" s="2459" t="s">
        <v>1670</v>
      </c>
      <c r="D966" s="2460" t="s">
        <v>1671</v>
      </c>
      <c r="E966" s="2461" t="s">
        <v>213</v>
      </c>
      <c r="F966" s="2461" t="s">
        <v>1445</v>
      </c>
      <c r="G966" s="2461" t="s">
        <v>1439</v>
      </c>
      <c r="H966" s="2461" t="s">
        <v>1440</v>
      </c>
      <c r="I966" s="2462">
        <v>6.1707510391424851E-2</v>
      </c>
      <c r="J966" s="2462">
        <v>31.195447249636231</v>
      </c>
    </row>
    <row r="967" spans="1:10" outlineLevel="2">
      <c r="A967" s="2459" t="s">
        <v>1669</v>
      </c>
      <c r="B967" s="2459" t="s">
        <v>1646</v>
      </c>
      <c r="C967" s="2459" t="s">
        <v>1670</v>
      </c>
      <c r="D967" s="2460" t="s">
        <v>1671</v>
      </c>
      <c r="E967" s="2461" t="s">
        <v>213</v>
      </c>
      <c r="F967" s="2461" t="s">
        <v>1446</v>
      </c>
      <c r="G967" s="2461" t="s">
        <v>1439</v>
      </c>
      <c r="H967" s="2461" t="s">
        <v>1440</v>
      </c>
      <c r="I967" s="2462">
        <v>2.3718353694271894E-2</v>
      </c>
      <c r="J967" s="2462">
        <v>12.720641329899482</v>
      </c>
    </row>
    <row r="968" spans="1:10" outlineLevel="2">
      <c r="A968" s="2459" t="s">
        <v>1669</v>
      </c>
      <c r="B968" s="2459" t="s">
        <v>1646</v>
      </c>
      <c r="C968" s="2459" t="s">
        <v>1670</v>
      </c>
      <c r="D968" s="2460" t="s">
        <v>1671</v>
      </c>
      <c r="E968" s="2461" t="s">
        <v>213</v>
      </c>
      <c r="F968" s="2461" t="s">
        <v>1447</v>
      </c>
      <c r="G968" s="2461" t="s">
        <v>1439</v>
      </c>
      <c r="H968" s="2461" t="s">
        <v>1440</v>
      </c>
      <c r="I968" s="2462">
        <v>5.4462641534459399E-2</v>
      </c>
      <c r="J968" s="2462">
        <v>29.129108010532505</v>
      </c>
    </row>
    <row r="969" spans="1:10" outlineLevel="2">
      <c r="A969" s="2459" t="s">
        <v>1669</v>
      </c>
      <c r="B969" s="2459" t="s">
        <v>1646</v>
      </c>
      <c r="C969" s="2459" t="s">
        <v>1670</v>
      </c>
      <c r="D969" s="2460" t="s">
        <v>1671</v>
      </c>
      <c r="E969" s="2461" t="s">
        <v>213</v>
      </c>
      <c r="F969" s="2461" t="s">
        <v>1450</v>
      </c>
      <c r="G969" s="2461" t="s">
        <v>1439</v>
      </c>
      <c r="H969" s="2461" t="s">
        <v>1440</v>
      </c>
      <c r="I969" s="2462">
        <v>3.1150510184114138E-5</v>
      </c>
      <c r="J969" s="2462">
        <v>1.554351001565292E-2</v>
      </c>
    </row>
    <row r="970" spans="1:10" outlineLevel="2">
      <c r="A970" s="2459" t="s">
        <v>1669</v>
      </c>
      <c r="B970" s="2459" t="s">
        <v>1646</v>
      </c>
      <c r="C970" s="2459" t="s">
        <v>1670</v>
      </c>
      <c r="D970" s="2460" t="s">
        <v>1671</v>
      </c>
      <c r="E970" s="2461" t="s">
        <v>213</v>
      </c>
      <c r="F970" s="2461" t="s">
        <v>1451</v>
      </c>
      <c r="G970" s="2461" t="s">
        <v>1418</v>
      </c>
      <c r="H970" s="2461" t="s">
        <v>1452</v>
      </c>
      <c r="I970" s="2462">
        <v>1.0358237600299784E-3</v>
      </c>
      <c r="J970" s="2462">
        <v>0.62990792509633853</v>
      </c>
    </row>
    <row r="971" spans="1:10" outlineLevel="2">
      <c r="A971" s="2459" t="s">
        <v>1669</v>
      </c>
      <c r="B971" s="2459" t="s">
        <v>1646</v>
      </c>
      <c r="C971" s="2459" t="s">
        <v>1670</v>
      </c>
      <c r="D971" s="2460" t="s">
        <v>1671</v>
      </c>
      <c r="E971" s="2461" t="s">
        <v>213</v>
      </c>
      <c r="F971" s="2461" t="s">
        <v>1453</v>
      </c>
      <c r="G971" s="2461" t="s">
        <v>1421</v>
      </c>
      <c r="H971" s="2461" t="s">
        <v>1454</v>
      </c>
      <c r="I971" s="2462">
        <v>2.295561898060077E-3</v>
      </c>
      <c r="J971" s="2462">
        <v>1.1365554716875701</v>
      </c>
    </row>
    <row r="972" spans="1:10" outlineLevel="2">
      <c r="A972" s="2459" t="s">
        <v>1669</v>
      </c>
      <c r="B972" s="2459" t="s">
        <v>1646</v>
      </c>
      <c r="C972" s="2459" t="s">
        <v>1670</v>
      </c>
      <c r="D972" s="2460" t="s">
        <v>1671</v>
      </c>
      <c r="E972" s="2461" t="s">
        <v>213</v>
      </c>
      <c r="F972" s="2461" t="s">
        <v>1455</v>
      </c>
      <c r="G972" s="2461" t="s">
        <v>1421</v>
      </c>
      <c r="H972" s="2461" t="s">
        <v>1454</v>
      </c>
      <c r="I972" s="2462">
        <v>1.4649330239006974E-2</v>
      </c>
      <c r="J972" s="2462">
        <v>7.5820947039386803</v>
      </c>
    </row>
    <row r="973" spans="1:10" outlineLevel="2">
      <c r="A973" s="2459" t="s">
        <v>1669</v>
      </c>
      <c r="B973" s="2459" t="s">
        <v>1646</v>
      </c>
      <c r="C973" s="2459" t="s">
        <v>1670</v>
      </c>
      <c r="D973" s="2460" t="s">
        <v>1671</v>
      </c>
      <c r="E973" s="2461" t="s">
        <v>213</v>
      </c>
      <c r="F973" s="2461" t="s">
        <v>1456</v>
      </c>
      <c r="G973" s="2461" t="s">
        <v>1421</v>
      </c>
      <c r="H973" s="2461" t="s">
        <v>1454</v>
      </c>
      <c r="I973" s="2462">
        <v>5.8758301684489849E-6</v>
      </c>
      <c r="J973" s="2462">
        <v>2.6297055070157501E-3</v>
      </c>
    </row>
    <row r="974" spans="1:10" outlineLevel="2">
      <c r="A974" s="2459" t="s">
        <v>1669</v>
      </c>
      <c r="B974" s="2459" t="s">
        <v>1646</v>
      </c>
      <c r="C974" s="2459" t="s">
        <v>1670</v>
      </c>
      <c r="D974" s="2460" t="s">
        <v>1671</v>
      </c>
      <c r="E974" s="2461" t="s">
        <v>213</v>
      </c>
      <c r="F974" s="2461" t="s">
        <v>1457</v>
      </c>
      <c r="G974" s="2461" t="s">
        <v>1421</v>
      </c>
      <c r="H974" s="2461" t="s">
        <v>1454</v>
      </c>
      <c r="I974" s="2462">
        <v>1.0249302282108821E-4</v>
      </c>
      <c r="J974" s="2462">
        <v>4.5870370212538182E-2</v>
      </c>
    </row>
    <row r="975" spans="1:10" outlineLevel="2">
      <c r="A975" s="2459" t="s">
        <v>1669</v>
      </c>
      <c r="B975" s="2459" t="s">
        <v>1646</v>
      </c>
      <c r="C975" s="2459" t="s">
        <v>1670</v>
      </c>
      <c r="D975" s="2460" t="s">
        <v>1671</v>
      </c>
      <c r="E975" s="2461" t="s">
        <v>213</v>
      </c>
      <c r="F975" s="2461" t="s">
        <v>1458</v>
      </c>
      <c r="G975" s="2461" t="s">
        <v>1459</v>
      </c>
      <c r="H975" s="2461" t="s">
        <v>1460</v>
      </c>
      <c r="I975" s="2462">
        <v>7.3218540878665006E-3</v>
      </c>
      <c r="J975" s="2462">
        <v>4.2271227528330684</v>
      </c>
    </row>
    <row r="976" spans="1:10" outlineLevel="2">
      <c r="A976" s="2459" t="s">
        <v>1669</v>
      </c>
      <c r="B976" s="2459" t="s">
        <v>1646</v>
      </c>
      <c r="C976" s="2459" t="s">
        <v>1670</v>
      </c>
      <c r="D976" s="2460" t="s">
        <v>1671</v>
      </c>
      <c r="E976" s="2461" t="s">
        <v>213</v>
      </c>
      <c r="F976" s="2461" t="s">
        <v>1461</v>
      </c>
      <c r="G976" s="2461" t="s">
        <v>1426</v>
      </c>
      <c r="H976" s="2461" t="s">
        <v>1427</v>
      </c>
      <c r="I976" s="2462">
        <v>0.11859983623064607</v>
      </c>
      <c r="J976" s="2462">
        <v>84.034096854422884</v>
      </c>
    </row>
    <row r="977" spans="1:10" outlineLevel="2">
      <c r="A977" s="2459" t="s">
        <v>1669</v>
      </c>
      <c r="B977" s="2459" t="s">
        <v>1646</v>
      </c>
      <c r="C977" s="2459" t="s">
        <v>1670</v>
      </c>
      <c r="D977" s="2460" t="s">
        <v>1671</v>
      </c>
      <c r="E977" s="2461" t="s">
        <v>213</v>
      </c>
      <c r="F977" s="2461" t="s">
        <v>1462</v>
      </c>
      <c r="G977" s="2461" t="s">
        <v>1426</v>
      </c>
      <c r="H977" s="2461" t="s">
        <v>1427</v>
      </c>
      <c r="I977" s="2462">
        <v>0.87398367681221056</v>
      </c>
      <c r="J977" s="2462">
        <v>798.89408669602801</v>
      </c>
    </row>
    <row r="978" spans="1:10" outlineLevel="2">
      <c r="A978" s="2459" t="s">
        <v>1669</v>
      </c>
      <c r="B978" s="2459" t="s">
        <v>1646</v>
      </c>
      <c r="C978" s="2459" t="s">
        <v>1670</v>
      </c>
      <c r="D978" s="2460" t="s">
        <v>1671</v>
      </c>
      <c r="E978" s="2461" t="s">
        <v>213</v>
      </c>
      <c r="F978" s="2461" t="s">
        <v>1463</v>
      </c>
      <c r="G978" s="2461" t="s">
        <v>1426</v>
      </c>
      <c r="H978" s="2461" t="s">
        <v>1427</v>
      </c>
      <c r="I978" s="2462">
        <v>0.13681628887941288</v>
      </c>
      <c r="J978" s="2462">
        <v>182.18545927328901</v>
      </c>
    </row>
    <row r="979" spans="1:10" outlineLevel="2">
      <c r="A979" s="2459" t="s">
        <v>1669</v>
      </c>
      <c r="B979" s="2459" t="s">
        <v>1646</v>
      </c>
      <c r="C979" s="2459" t="s">
        <v>1670</v>
      </c>
      <c r="D979" s="2460" t="s">
        <v>1671</v>
      </c>
      <c r="E979" s="2461" t="s">
        <v>213</v>
      </c>
      <c r="F979" s="2461" t="s">
        <v>1464</v>
      </c>
      <c r="G979" s="2461" t="s">
        <v>1426</v>
      </c>
      <c r="H979" s="2461" t="s">
        <v>1427</v>
      </c>
      <c r="I979" s="2462">
        <v>0.1174498178213623</v>
      </c>
      <c r="J979" s="2462">
        <v>107.15204737313533</v>
      </c>
    </row>
    <row r="980" spans="1:10" outlineLevel="2">
      <c r="A980" s="2459" t="s">
        <v>1669</v>
      </c>
      <c r="B980" s="2459" t="s">
        <v>1646</v>
      </c>
      <c r="C980" s="2459" t="s">
        <v>1670</v>
      </c>
      <c r="D980" s="2460" t="s">
        <v>1671</v>
      </c>
      <c r="E980" s="2461" t="s">
        <v>213</v>
      </c>
      <c r="F980" s="2461" t="s">
        <v>1465</v>
      </c>
      <c r="G980" s="2461" t="s">
        <v>1409</v>
      </c>
      <c r="H980" s="2461" t="s">
        <v>1070</v>
      </c>
      <c r="I980" s="2462">
        <v>8.8708352370229918E-4</v>
      </c>
      <c r="J980" s="2462">
        <v>1.4491298018114944</v>
      </c>
    </row>
    <row r="981" spans="1:10" outlineLevel="2">
      <c r="A981" s="2459" t="s">
        <v>1669</v>
      </c>
      <c r="B981" s="2459" t="s">
        <v>1646</v>
      </c>
      <c r="C981" s="2459" t="s">
        <v>1670</v>
      </c>
      <c r="D981" s="2460" t="s">
        <v>1671</v>
      </c>
      <c r="E981" s="2461" t="s">
        <v>213</v>
      </c>
      <c r="F981" s="2461" t="s">
        <v>1466</v>
      </c>
      <c r="G981" s="2461" t="s">
        <v>1409</v>
      </c>
      <c r="H981" s="2461" t="s">
        <v>1070</v>
      </c>
      <c r="I981" s="2462">
        <v>7.0882714278869301E-6</v>
      </c>
      <c r="J981" s="2462">
        <v>1.0816491859587468E-2</v>
      </c>
    </row>
    <row r="982" spans="1:10" outlineLevel="2">
      <c r="A982" s="2459" t="s">
        <v>1669</v>
      </c>
      <c r="B982" s="2459" t="s">
        <v>1646</v>
      </c>
      <c r="C982" s="2459" t="s">
        <v>1670</v>
      </c>
      <c r="D982" s="2460" t="s">
        <v>1671</v>
      </c>
      <c r="E982" s="2461" t="s">
        <v>213</v>
      </c>
      <c r="F982" s="2461" t="s">
        <v>1467</v>
      </c>
      <c r="G982" s="2461" t="s">
        <v>1409</v>
      </c>
      <c r="H982" s="2461" t="s">
        <v>1070</v>
      </c>
      <c r="I982" s="2462">
        <v>1.9165590220221029E-3</v>
      </c>
      <c r="J982" s="2462">
        <v>2.7223660434721881</v>
      </c>
    </row>
    <row r="983" spans="1:10" outlineLevel="2">
      <c r="A983" s="2459" t="s">
        <v>1669</v>
      </c>
      <c r="B983" s="2459" t="s">
        <v>1646</v>
      </c>
      <c r="C983" s="2459" t="s">
        <v>1670</v>
      </c>
      <c r="D983" s="2460" t="s">
        <v>1671</v>
      </c>
      <c r="E983" s="2461" t="s">
        <v>213</v>
      </c>
      <c r="F983" s="2461" t="s">
        <v>1468</v>
      </c>
      <c r="G983" s="2461" t="s">
        <v>1409</v>
      </c>
      <c r="H983" s="2461" t="s">
        <v>1070</v>
      </c>
      <c r="I983" s="2462">
        <v>1.5639814532827641E-3</v>
      </c>
      <c r="J983" s="2462">
        <v>2.5630617615396472</v>
      </c>
    </row>
    <row r="984" spans="1:10" outlineLevel="2">
      <c r="A984" s="2459" t="s">
        <v>1669</v>
      </c>
      <c r="B984" s="2459" t="s">
        <v>1646</v>
      </c>
      <c r="C984" s="2459" t="s">
        <v>1670</v>
      </c>
      <c r="D984" s="2460" t="s">
        <v>1671</v>
      </c>
      <c r="E984" s="2461" t="s">
        <v>213</v>
      </c>
      <c r="F984" s="2461" t="s">
        <v>1469</v>
      </c>
      <c r="G984" s="2461" t="s">
        <v>1409</v>
      </c>
      <c r="H984" s="2461" t="s">
        <v>1070</v>
      </c>
      <c r="I984" s="2462">
        <v>3.4976034918155667E-3</v>
      </c>
      <c r="J984" s="2462">
        <v>5.1150824318216239</v>
      </c>
    </row>
    <row r="985" spans="1:10" outlineLevel="2">
      <c r="A985" s="2459" t="s">
        <v>1669</v>
      </c>
      <c r="B985" s="2459" t="s">
        <v>1646</v>
      </c>
      <c r="C985" s="2459" t="s">
        <v>1670</v>
      </c>
      <c r="D985" s="2460" t="s">
        <v>1671</v>
      </c>
      <c r="E985" s="2461" t="s">
        <v>213</v>
      </c>
      <c r="F985" s="2461" t="s">
        <v>1470</v>
      </c>
      <c r="G985" s="2461" t="s">
        <v>1409</v>
      </c>
      <c r="H985" s="2461" t="s">
        <v>1070</v>
      </c>
      <c r="I985" s="2462">
        <v>1.5173304036256773E-3</v>
      </c>
      <c r="J985" s="2462">
        <v>2.1538283367050401</v>
      </c>
    </row>
    <row r="986" spans="1:10" outlineLevel="2">
      <c r="A986" s="2459" t="s">
        <v>1669</v>
      </c>
      <c r="B986" s="2459" t="s">
        <v>1646</v>
      </c>
      <c r="C986" s="2459" t="s">
        <v>1670</v>
      </c>
      <c r="D986" s="2460" t="s">
        <v>1671</v>
      </c>
      <c r="E986" s="2461" t="s">
        <v>213</v>
      </c>
      <c r="F986" s="2461" t="s">
        <v>1471</v>
      </c>
      <c r="G986" s="2461" t="s">
        <v>1409</v>
      </c>
      <c r="H986" s="2461" t="s">
        <v>1070</v>
      </c>
      <c r="I986" s="2462">
        <v>8.2636114738175327E-5</v>
      </c>
      <c r="J986" s="2462">
        <v>0.11225357314258591</v>
      </c>
    </row>
    <row r="987" spans="1:10" outlineLevel="2">
      <c r="A987" s="2459" t="s">
        <v>1669</v>
      </c>
      <c r="B987" s="2459" t="s">
        <v>1646</v>
      </c>
      <c r="C987" s="2459" t="s">
        <v>1670</v>
      </c>
      <c r="D987" s="2460" t="s">
        <v>1671</v>
      </c>
      <c r="E987" s="2461" t="s">
        <v>213</v>
      </c>
      <c r="F987" s="2461" t="s">
        <v>1472</v>
      </c>
      <c r="G987" s="2461" t="s">
        <v>1409</v>
      </c>
      <c r="H987" s="2461" t="s">
        <v>1070</v>
      </c>
      <c r="I987" s="2462">
        <v>2.8758246348948506E-3</v>
      </c>
      <c r="J987" s="2462">
        <v>4.5073018149969251</v>
      </c>
    </row>
    <row r="988" spans="1:10" outlineLevel="2">
      <c r="A988" s="2459" t="s">
        <v>1669</v>
      </c>
      <c r="B988" s="2459" t="s">
        <v>1646</v>
      </c>
      <c r="C988" s="2459" t="s">
        <v>1670</v>
      </c>
      <c r="D988" s="2460" t="s">
        <v>1671</v>
      </c>
      <c r="E988" s="2461" t="s">
        <v>213</v>
      </c>
      <c r="F988" s="2461" t="s">
        <v>1473</v>
      </c>
      <c r="G988" s="2461" t="s">
        <v>1409</v>
      </c>
      <c r="H988" s="2461" t="s">
        <v>1070</v>
      </c>
      <c r="I988" s="2462">
        <v>1.3710323866094106E-3</v>
      </c>
      <c r="J988" s="2462">
        <v>1.6716770314025848</v>
      </c>
    </row>
    <row r="989" spans="1:10" outlineLevel="2">
      <c r="A989" s="2459" t="s">
        <v>1669</v>
      </c>
      <c r="B989" s="2459" t="s">
        <v>1646</v>
      </c>
      <c r="C989" s="2459" t="s">
        <v>1670</v>
      </c>
      <c r="D989" s="2460" t="s">
        <v>1671</v>
      </c>
      <c r="E989" s="2461" t="s">
        <v>213</v>
      </c>
      <c r="F989" s="2461" t="s">
        <v>1474</v>
      </c>
      <c r="G989" s="2461" t="s">
        <v>1409</v>
      </c>
      <c r="H989" s="2461" t="s">
        <v>1070</v>
      </c>
      <c r="I989" s="2462">
        <v>6.4784578961992363E-3</v>
      </c>
      <c r="J989" s="2462">
        <v>9.3922342566196733</v>
      </c>
    </row>
    <row r="990" spans="1:10" outlineLevel="2">
      <c r="A990" s="2459" t="s">
        <v>1669</v>
      </c>
      <c r="B990" s="2459" t="s">
        <v>1646</v>
      </c>
      <c r="C990" s="2459" t="s">
        <v>1670</v>
      </c>
      <c r="D990" s="2460" t="s">
        <v>1671</v>
      </c>
      <c r="E990" s="2461" t="s">
        <v>213</v>
      </c>
      <c r="F990" s="2461" t="s">
        <v>1475</v>
      </c>
      <c r="G990" s="2461" t="s">
        <v>1409</v>
      </c>
      <c r="H990" s="2461" t="s">
        <v>1070</v>
      </c>
      <c r="I990" s="2462">
        <v>3.2840922492032871E-3</v>
      </c>
      <c r="J990" s="2462">
        <v>4.5104079795189209</v>
      </c>
    </row>
    <row r="991" spans="1:10" outlineLevel="2">
      <c r="A991" s="2459" t="s">
        <v>1669</v>
      </c>
      <c r="B991" s="2459" t="s">
        <v>1646</v>
      </c>
      <c r="C991" s="2459" t="s">
        <v>1670</v>
      </c>
      <c r="D991" s="2460" t="s">
        <v>1671</v>
      </c>
      <c r="E991" s="2461" t="s">
        <v>213</v>
      </c>
      <c r="F991" s="2461" t="s">
        <v>1476</v>
      </c>
      <c r="G991" s="2461" t="s">
        <v>1409</v>
      </c>
      <c r="H991" s="2461" t="s">
        <v>1070</v>
      </c>
      <c r="I991" s="2462">
        <v>2.5972723505932673E-4</v>
      </c>
      <c r="J991" s="2462">
        <v>0.3633074802706962</v>
      </c>
    </row>
    <row r="992" spans="1:10" outlineLevel="2">
      <c r="A992" s="2459" t="s">
        <v>1669</v>
      </c>
      <c r="B992" s="2459" t="s">
        <v>1646</v>
      </c>
      <c r="C992" s="2459" t="s">
        <v>1670</v>
      </c>
      <c r="D992" s="2460" t="s">
        <v>1671</v>
      </c>
      <c r="E992" s="2461" t="s">
        <v>213</v>
      </c>
      <c r="F992" s="2461" t="s">
        <v>1477</v>
      </c>
      <c r="G992" s="2461" t="s">
        <v>1409</v>
      </c>
      <c r="H992" s="2461" t="s">
        <v>1070</v>
      </c>
      <c r="I992" s="2462">
        <v>4.2627113610917416E-4</v>
      </c>
      <c r="J992" s="2462">
        <v>0.61008420955127918</v>
      </c>
    </row>
    <row r="993" spans="1:10" outlineLevel="2">
      <c r="A993" s="2459" t="s">
        <v>1669</v>
      </c>
      <c r="B993" s="2459" t="s">
        <v>1646</v>
      </c>
      <c r="C993" s="2459" t="s">
        <v>1670</v>
      </c>
      <c r="D993" s="2460" t="s">
        <v>1671</v>
      </c>
      <c r="E993" s="2461" t="s">
        <v>213</v>
      </c>
      <c r="F993" s="2461" t="s">
        <v>1478</v>
      </c>
      <c r="G993" s="2461" t="s">
        <v>1409</v>
      </c>
      <c r="H993" s="2461" t="s">
        <v>1070</v>
      </c>
      <c r="I993" s="2462">
        <v>1.8670451859420297E-4</v>
      </c>
      <c r="J993" s="2462">
        <v>0.54516031490857453</v>
      </c>
    </row>
    <row r="994" spans="1:10" outlineLevel="2">
      <c r="A994" s="2459" t="s">
        <v>1669</v>
      </c>
      <c r="B994" s="2459" t="s">
        <v>1646</v>
      </c>
      <c r="C994" s="2459" t="s">
        <v>1670</v>
      </c>
      <c r="D994" s="2460" t="s">
        <v>1671</v>
      </c>
      <c r="E994" s="2461" t="s">
        <v>213</v>
      </c>
      <c r="F994" s="2461" t="s">
        <v>1479</v>
      </c>
      <c r="G994" s="2461" t="s">
        <v>1409</v>
      </c>
      <c r="H994" s="2461" t="s">
        <v>1070</v>
      </c>
      <c r="I994" s="2462">
        <v>1.502373581020471E-4</v>
      </c>
      <c r="J994" s="2462">
        <v>1.2930262528343321</v>
      </c>
    </row>
    <row r="995" spans="1:10" outlineLevel="2">
      <c r="A995" s="2459" t="s">
        <v>1669</v>
      </c>
      <c r="B995" s="2459" t="s">
        <v>1646</v>
      </c>
      <c r="C995" s="2459" t="s">
        <v>1670</v>
      </c>
      <c r="D995" s="2460" t="s">
        <v>1671</v>
      </c>
      <c r="E995" s="2461" t="s">
        <v>213</v>
      </c>
      <c r="F995" s="2461" t="s">
        <v>1480</v>
      </c>
      <c r="G995" s="2461" t="s">
        <v>1409</v>
      </c>
      <c r="H995" s="2461" t="s">
        <v>1070</v>
      </c>
      <c r="I995" s="2462">
        <v>2.0439787956838124E-3</v>
      </c>
      <c r="J995" s="2462">
        <v>3.0831260211995799</v>
      </c>
    </row>
    <row r="996" spans="1:10" outlineLevel="2">
      <c r="A996" s="2459" t="s">
        <v>1669</v>
      </c>
      <c r="B996" s="2459" t="s">
        <v>1646</v>
      </c>
      <c r="C996" s="2459" t="s">
        <v>1670</v>
      </c>
      <c r="D996" s="2460" t="s">
        <v>1671</v>
      </c>
      <c r="E996" s="2461" t="s">
        <v>213</v>
      </c>
      <c r="F996" s="2461" t="s">
        <v>1481</v>
      </c>
      <c r="G996" s="2461" t="s">
        <v>1409</v>
      </c>
      <c r="H996" s="2461" t="s">
        <v>1070</v>
      </c>
      <c r="I996" s="2462">
        <v>1.4596009440481395E-3</v>
      </c>
      <c r="J996" s="2462">
        <v>2.148817310219103</v>
      </c>
    </row>
    <row r="997" spans="1:10" outlineLevel="2">
      <c r="A997" s="2459" t="s">
        <v>1669</v>
      </c>
      <c r="B997" s="2459" t="s">
        <v>1646</v>
      </c>
      <c r="C997" s="2459" t="s">
        <v>1670</v>
      </c>
      <c r="D997" s="2460" t="s">
        <v>1671</v>
      </c>
      <c r="E997" s="2461" t="s">
        <v>213</v>
      </c>
      <c r="F997" s="2461" t="s">
        <v>1482</v>
      </c>
      <c r="G997" s="2461" t="s">
        <v>1409</v>
      </c>
      <c r="H997" s="2461" t="s">
        <v>1070</v>
      </c>
      <c r="I997" s="2462">
        <v>5.7318454342049569E-4</v>
      </c>
      <c r="J997" s="2462">
        <v>0.70409074477941491</v>
      </c>
    </row>
    <row r="998" spans="1:10" outlineLevel="2">
      <c r="A998" s="2459" t="s">
        <v>1669</v>
      </c>
      <c r="B998" s="2459" t="s">
        <v>1646</v>
      </c>
      <c r="C998" s="2459" t="s">
        <v>1670</v>
      </c>
      <c r="D998" s="2460" t="s">
        <v>1671</v>
      </c>
      <c r="E998" s="2461" t="s">
        <v>213</v>
      </c>
      <c r="F998" s="2461" t="s">
        <v>1483</v>
      </c>
      <c r="G998" s="2461" t="s">
        <v>1409</v>
      </c>
      <c r="H998" s="2461" t="s">
        <v>1070</v>
      </c>
      <c r="I998" s="2462">
        <v>4.7724928338769163E-4</v>
      </c>
      <c r="J998" s="2462">
        <v>0.5144807524421795</v>
      </c>
    </row>
    <row r="999" spans="1:10" outlineLevel="2">
      <c r="A999" s="2459" t="s">
        <v>1669</v>
      </c>
      <c r="B999" s="2459" t="s">
        <v>1646</v>
      </c>
      <c r="C999" s="2459" t="s">
        <v>1670</v>
      </c>
      <c r="D999" s="2460" t="s">
        <v>1671</v>
      </c>
      <c r="E999" s="2461" t="s">
        <v>213</v>
      </c>
      <c r="F999" s="2461" t="s">
        <v>1484</v>
      </c>
      <c r="G999" s="2461" t="s">
        <v>1412</v>
      </c>
      <c r="H999" s="2461" t="s">
        <v>1116</v>
      </c>
      <c r="I999" s="2462">
        <v>1.7600045888190457E-2</v>
      </c>
      <c r="J999" s="2462">
        <v>35.331805890647829</v>
      </c>
    </row>
    <row r="1000" spans="1:10" outlineLevel="2">
      <c r="A1000" s="2459" t="s">
        <v>1669</v>
      </c>
      <c r="B1000" s="2459" t="s">
        <v>1646</v>
      </c>
      <c r="C1000" s="2459" t="s">
        <v>1670</v>
      </c>
      <c r="D1000" s="2460" t="s">
        <v>1671</v>
      </c>
      <c r="E1000" s="2461" t="s">
        <v>213</v>
      </c>
      <c r="F1000" s="2461" t="s">
        <v>1485</v>
      </c>
      <c r="G1000" s="2461" t="s">
        <v>1412</v>
      </c>
      <c r="H1000" s="2461" t="s">
        <v>1116</v>
      </c>
      <c r="I1000" s="2462">
        <v>1.2643313867746503E-2</v>
      </c>
      <c r="J1000" s="2462">
        <v>133.71324671987549</v>
      </c>
    </row>
    <row r="1001" spans="1:10" outlineLevel="2">
      <c r="A1001" s="2459" t="s">
        <v>1669</v>
      </c>
      <c r="B1001" s="2459" t="s">
        <v>1646</v>
      </c>
      <c r="C1001" s="2459" t="s">
        <v>1670</v>
      </c>
      <c r="D1001" s="2460" t="s">
        <v>1671</v>
      </c>
      <c r="E1001" s="2461" t="s">
        <v>213</v>
      </c>
      <c r="F1001" s="2461" t="s">
        <v>1486</v>
      </c>
      <c r="G1001" s="2461" t="s">
        <v>1412</v>
      </c>
      <c r="H1001" s="2461" t="s">
        <v>1116</v>
      </c>
      <c r="I1001" s="2462">
        <v>1.0490193869924044E-2</v>
      </c>
      <c r="J1001" s="2462">
        <v>28.732553578286812</v>
      </c>
    </row>
    <row r="1002" spans="1:10" outlineLevel="2">
      <c r="A1002" s="2459" t="s">
        <v>1669</v>
      </c>
      <c r="B1002" s="2459" t="s">
        <v>1646</v>
      </c>
      <c r="C1002" s="2459" t="s">
        <v>1670</v>
      </c>
      <c r="D1002" s="2460" t="s">
        <v>1671</v>
      </c>
      <c r="E1002" s="2461" t="s">
        <v>213</v>
      </c>
      <c r="F1002" s="2461" t="s">
        <v>1487</v>
      </c>
      <c r="G1002" s="2461" t="s">
        <v>1412</v>
      </c>
      <c r="H1002" s="2461" t="s">
        <v>1116</v>
      </c>
      <c r="I1002" s="2462">
        <v>4.0351079500836301E-2</v>
      </c>
      <c r="J1002" s="2462">
        <v>53.967633088624865</v>
      </c>
    </row>
    <row r="1003" spans="1:10" outlineLevel="2">
      <c r="A1003" s="2459" t="s">
        <v>1669</v>
      </c>
      <c r="B1003" s="2459" t="s">
        <v>1646</v>
      </c>
      <c r="C1003" s="2459" t="s">
        <v>1670</v>
      </c>
      <c r="D1003" s="2460" t="s">
        <v>1671</v>
      </c>
      <c r="E1003" s="2461" t="s">
        <v>213</v>
      </c>
      <c r="F1003" s="2461" t="s">
        <v>1488</v>
      </c>
      <c r="G1003" s="2461" t="s">
        <v>1412</v>
      </c>
      <c r="H1003" s="2461" t="s">
        <v>1116</v>
      </c>
      <c r="I1003" s="2462">
        <v>1.1385648799031435E-3</v>
      </c>
      <c r="J1003" s="2462">
        <v>2.4762651562358338</v>
      </c>
    </row>
    <row r="1004" spans="1:10" outlineLevel="2">
      <c r="A1004" s="2459" t="s">
        <v>1669</v>
      </c>
      <c r="B1004" s="2459" t="s">
        <v>1646</v>
      </c>
      <c r="C1004" s="2459" t="s">
        <v>1670</v>
      </c>
      <c r="D1004" s="2460" t="s">
        <v>1671</v>
      </c>
      <c r="E1004" s="2461" t="s">
        <v>213</v>
      </c>
      <c r="F1004" s="2461" t="s">
        <v>1489</v>
      </c>
      <c r="G1004" s="2461" t="s">
        <v>1412</v>
      </c>
      <c r="H1004" s="2461" t="s">
        <v>1116</v>
      </c>
      <c r="I1004" s="2462">
        <v>6.6869086529836215E-4</v>
      </c>
      <c r="J1004" s="2462">
        <v>0.99460407375107496</v>
      </c>
    </row>
    <row r="1005" spans="1:10" outlineLevel="2">
      <c r="A1005" s="2459" t="s">
        <v>1669</v>
      </c>
      <c r="B1005" s="2459" t="s">
        <v>1646</v>
      </c>
      <c r="C1005" s="2459" t="s">
        <v>1670</v>
      </c>
      <c r="D1005" s="2460" t="s">
        <v>1671</v>
      </c>
      <c r="E1005" s="2461" t="s">
        <v>213</v>
      </c>
      <c r="F1005" s="2461" t="s">
        <v>1490</v>
      </c>
      <c r="G1005" s="2461" t="s">
        <v>1412</v>
      </c>
      <c r="H1005" s="2461" t="s">
        <v>1116</v>
      </c>
      <c r="I1005" s="2462">
        <v>8.2882191353621855E-4</v>
      </c>
      <c r="J1005" s="2462">
        <v>11.808951601509783</v>
      </c>
    </row>
    <row r="1006" spans="1:10" outlineLevel="2">
      <c r="A1006" s="2459" t="s">
        <v>1669</v>
      </c>
      <c r="B1006" s="2459" t="s">
        <v>1646</v>
      </c>
      <c r="C1006" s="2459" t="s">
        <v>1670</v>
      </c>
      <c r="D1006" s="2460" t="s">
        <v>1671</v>
      </c>
      <c r="E1006" s="2461" t="s">
        <v>213</v>
      </c>
      <c r="F1006" s="2461" t="s">
        <v>1491</v>
      </c>
      <c r="G1006" s="2461" t="s">
        <v>1439</v>
      </c>
      <c r="H1006" s="2461" t="s">
        <v>1440</v>
      </c>
      <c r="I1006" s="2462">
        <v>0.16795118812989421</v>
      </c>
      <c r="J1006" s="2462">
        <v>179.78970834639424</v>
      </c>
    </row>
    <row r="1007" spans="1:10" outlineLevel="2">
      <c r="A1007" s="2459" t="s">
        <v>1669</v>
      </c>
      <c r="B1007" s="2459" t="s">
        <v>1646</v>
      </c>
      <c r="C1007" s="2459" t="s">
        <v>1670</v>
      </c>
      <c r="D1007" s="2460" t="s">
        <v>1671</v>
      </c>
      <c r="E1007" s="2461" t="s">
        <v>213</v>
      </c>
      <c r="F1007" s="2461" t="s">
        <v>1492</v>
      </c>
      <c r="G1007" s="2461" t="s">
        <v>1439</v>
      </c>
      <c r="H1007" s="2461" t="s">
        <v>1440</v>
      </c>
      <c r="I1007" s="2462">
        <v>6.714487335048773E-2</v>
      </c>
      <c r="J1007" s="2462">
        <v>91.18763231338751</v>
      </c>
    </row>
    <row r="1008" spans="1:10" outlineLevel="2">
      <c r="A1008" s="2459" t="s">
        <v>1669</v>
      </c>
      <c r="B1008" s="2459" t="s">
        <v>1646</v>
      </c>
      <c r="C1008" s="2459" t="s">
        <v>1670</v>
      </c>
      <c r="D1008" s="2460" t="s">
        <v>1671</v>
      </c>
      <c r="E1008" s="2461" t="s">
        <v>213</v>
      </c>
      <c r="F1008" s="2461" t="s">
        <v>1493</v>
      </c>
      <c r="G1008" s="2461" t="s">
        <v>1439</v>
      </c>
      <c r="H1008" s="2461" t="s">
        <v>1440</v>
      </c>
      <c r="I1008" s="2462">
        <v>1.4458021318218042E-2</v>
      </c>
      <c r="J1008" s="2462">
        <v>15.471214687081281</v>
      </c>
    </row>
    <row r="1009" spans="1:10" outlineLevel="2">
      <c r="A1009" s="2459" t="s">
        <v>1669</v>
      </c>
      <c r="B1009" s="2459" t="s">
        <v>1646</v>
      </c>
      <c r="C1009" s="2459" t="s">
        <v>1670</v>
      </c>
      <c r="D1009" s="2460" t="s">
        <v>1671</v>
      </c>
      <c r="E1009" s="2461" t="s">
        <v>213</v>
      </c>
      <c r="F1009" s="2461" t="s">
        <v>1494</v>
      </c>
      <c r="G1009" s="2461" t="s">
        <v>1439</v>
      </c>
      <c r="H1009" s="2461" t="s">
        <v>1440</v>
      </c>
      <c r="I1009" s="2462">
        <v>4.2789525505585076E-2</v>
      </c>
      <c r="J1009" s="2462">
        <v>54.089183097176829</v>
      </c>
    </row>
    <row r="1010" spans="1:10" outlineLevel="2">
      <c r="A1010" s="2459" t="s">
        <v>1669</v>
      </c>
      <c r="B1010" s="2459" t="s">
        <v>1646</v>
      </c>
      <c r="C1010" s="2459" t="s">
        <v>1670</v>
      </c>
      <c r="D1010" s="2460" t="s">
        <v>1671</v>
      </c>
      <c r="E1010" s="2461" t="s">
        <v>213</v>
      </c>
      <c r="F1010" s="2461" t="s">
        <v>1495</v>
      </c>
      <c r="G1010" s="2461" t="s">
        <v>1439</v>
      </c>
      <c r="H1010" s="2461" t="s">
        <v>1440</v>
      </c>
      <c r="I1010" s="2462">
        <v>7.8760956161276062E-4</v>
      </c>
      <c r="J1010" s="2462">
        <v>0.9994006431316832</v>
      </c>
    </row>
    <row r="1011" spans="1:10" outlineLevel="2">
      <c r="A1011" s="2459" t="s">
        <v>1669</v>
      </c>
      <c r="B1011" s="2459" t="s">
        <v>1646</v>
      </c>
      <c r="C1011" s="2459" t="s">
        <v>1670</v>
      </c>
      <c r="D1011" s="2460" t="s">
        <v>1671</v>
      </c>
      <c r="E1011" s="2461" t="s">
        <v>213</v>
      </c>
      <c r="F1011" s="2461" t="s">
        <v>1496</v>
      </c>
      <c r="G1011" s="2461" t="s">
        <v>1439</v>
      </c>
      <c r="H1011" s="2461" t="s">
        <v>1440</v>
      </c>
      <c r="I1011" s="2462">
        <v>1.4907031283465358E-3</v>
      </c>
      <c r="J1011" s="2462">
        <v>2.1121339288427805</v>
      </c>
    </row>
    <row r="1012" spans="1:10" outlineLevel="2">
      <c r="A1012" s="2459" t="s">
        <v>1669</v>
      </c>
      <c r="B1012" s="2459" t="s">
        <v>1646</v>
      </c>
      <c r="C1012" s="2459" t="s">
        <v>1670</v>
      </c>
      <c r="D1012" s="2460" t="s">
        <v>1671</v>
      </c>
      <c r="E1012" s="2461" t="s">
        <v>213</v>
      </c>
      <c r="F1012" s="2461" t="s">
        <v>1497</v>
      </c>
      <c r="G1012" s="2461" t="s">
        <v>1439</v>
      </c>
      <c r="H1012" s="2461" t="s">
        <v>1440</v>
      </c>
      <c r="I1012" s="2462">
        <v>1.5000249812902769E-3</v>
      </c>
      <c r="J1012" s="2462">
        <v>1.9066307875828763</v>
      </c>
    </row>
    <row r="1013" spans="1:10" outlineLevel="2">
      <c r="A1013" s="2459" t="s">
        <v>1669</v>
      </c>
      <c r="B1013" s="2459" t="s">
        <v>1646</v>
      </c>
      <c r="C1013" s="2459" t="s">
        <v>1670</v>
      </c>
      <c r="D1013" s="2460" t="s">
        <v>1671</v>
      </c>
      <c r="E1013" s="2461" t="s">
        <v>213</v>
      </c>
      <c r="F1013" s="2461" t="s">
        <v>1498</v>
      </c>
      <c r="G1013" s="2461" t="s">
        <v>1439</v>
      </c>
      <c r="H1013" s="2461" t="s">
        <v>1440</v>
      </c>
      <c r="I1013" s="2462">
        <v>5.094663702844042E-2</v>
      </c>
      <c r="J1013" s="2462">
        <v>86.670604434019623</v>
      </c>
    </row>
    <row r="1014" spans="1:10" outlineLevel="2">
      <c r="A1014" s="2459" t="s">
        <v>1669</v>
      </c>
      <c r="B1014" s="2459" t="s">
        <v>1646</v>
      </c>
      <c r="C1014" s="2459" t="s">
        <v>1670</v>
      </c>
      <c r="D1014" s="2460" t="s">
        <v>1671</v>
      </c>
      <c r="E1014" s="2461" t="s">
        <v>213</v>
      </c>
      <c r="F1014" s="2461" t="s">
        <v>1501</v>
      </c>
      <c r="G1014" s="2461" t="s">
        <v>1439</v>
      </c>
      <c r="H1014" s="2461" t="s">
        <v>1440</v>
      </c>
      <c r="I1014" s="2462">
        <v>2.5024929037909642E-2</v>
      </c>
      <c r="J1014" s="2462">
        <v>36.515852401884445</v>
      </c>
    </row>
    <row r="1015" spans="1:10" outlineLevel="2">
      <c r="A1015" s="2459" t="s">
        <v>1669</v>
      </c>
      <c r="B1015" s="2459" t="s">
        <v>1646</v>
      </c>
      <c r="C1015" s="2459" t="s">
        <v>1670</v>
      </c>
      <c r="D1015" s="2460" t="s">
        <v>1671</v>
      </c>
      <c r="E1015" s="2461" t="s">
        <v>213</v>
      </c>
      <c r="F1015" s="2461" t="s">
        <v>1502</v>
      </c>
      <c r="G1015" s="2461" t="s">
        <v>1439</v>
      </c>
      <c r="H1015" s="2461" t="s">
        <v>1440</v>
      </c>
      <c r="I1015" s="2462">
        <v>7.6679635947919473E-3</v>
      </c>
      <c r="J1015" s="2462">
        <v>11.585348663243501</v>
      </c>
    </row>
    <row r="1016" spans="1:10" outlineLevel="2">
      <c r="A1016" s="2459" t="s">
        <v>1669</v>
      </c>
      <c r="B1016" s="2459" t="s">
        <v>1646</v>
      </c>
      <c r="C1016" s="2459" t="s">
        <v>1670</v>
      </c>
      <c r="D1016" s="2460" t="s">
        <v>1671</v>
      </c>
      <c r="E1016" s="2461" t="s">
        <v>213</v>
      </c>
      <c r="F1016" s="2461" t="s">
        <v>1503</v>
      </c>
      <c r="G1016" s="2461" t="s">
        <v>1439</v>
      </c>
      <c r="H1016" s="2461" t="s">
        <v>1440</v>
      </c>
      <c r="I1016" s="2462">
        <v>1.0116711765753652E-2</v>
      </c>
      <c r="J1016" s="2462">
        <v>13.113475744044335</v>
      </c>
    </row>
    <row r="1017" spans="1:10" outlineLevel="2">
      <c r="A1017" s="2459" t="s">
        <v>1669</v>
      </c>
      <c r="B1017" s="2459" t="s">
        <v>1646</v>
      </c>
      <c r="C1017" s="2459" t="s">
        <v>1670</v>
      </c>
      <c r="D1017" s="2460" t="s">
        <v>1671</v>
      </c>
      <c r="E1017" s="2461" t="s">
        <v>213</v>
      </c>
      <c r="F1017" s="2461" t="s">
        <v>1504</v>
      </c>
      <c r="G1017" s="2461" t="s">
        <v>1439</v>
      </c>
      <c r="H1017" s="2461" t="s">
        <v>1440</v>
      </c>
      <c r="I1017" s="2462">
        <v>5.1621827286124989E-3</v>
      </c>
      <c r="J1017" s="2462">
        <v>6.2261982011538981</v>
      </c>
    </row>
    <row r="1018" spans="1:10" outlineLevel="2">
      <c r="A1018" s="2459" t="s">
        <v>1669</v>
      </c>
      <c r="B1018" s="2459" t="s">
        <v>1646</v>
      </c>
      <c r="C1018" s="2459" t="s">
        <v>1670</v>
      </c>
      <c r="D1018" s="2460" t="s">
        <v>1671</v>
      </c>
      <c r="E1018" s="2461" t="s">
        <v>213</v>
      </c>
      <c r="F1018" s="2461" t="s">
        <v>1505</v>
      </c>
      <c r="G1018" s="2461" t="s">
        <v>1439</v>
      </c>
      <c r="H1018" s="2461" t="s">
        <v>1440</v>
      </c>
      <c r="I1018" s="2462">
        <v>0.33467660655635412</v>
      </c>
      <c r="J1018" s="2462">
        <v>489.46535262470286</v>
      </c>
    </row>
    <row r="1019" spans="1:10" outlineLevel="2">
      <c r="A1019" s="2459" t="s">
        <v>1669</v>
      </c>
      <c r="B1019" s="2459" t="s">
        <v>1646</v>
      </c>
      <c r="C1019" s="2459" t="s">
        <v>1670</v>
      </c>
      <c r="D1019" s="2460" t="s">
        <v>1671</v>
      </c>
      <c r="E1019" s="2461" t="s">
        <v>213</v>
      </c>
      <c r="F1019" s="2461" t="s">
        <v>1506</v>
      </c>
      <c r="G1019" s="2461" t="s">
        <v>1439</v>
      </c>
      <c r="H1019" s="2461" t="s">
        <v>1440</v>
      </c>
      <c r="I1019" s="2462">
        <v>0.10418445260198593</v>
      </c>
      <c r="J1019" s="2462">
        <v>157.44535249415796</v>
      </c>
    </row>
    <row r="1020" spans="1:10" outlineLevel="2">
      <c r="A1020" s="2459" t="s">
        <v>1669</v>
      </c>
      <c r="B1020" s="2459" t="s">
        <v>1646</v>
      </c>
      <c r="C1020" s="2459" t="s">
        <v>1670</v>
      </c>
      <c r="D1020" s="2460" t="s">
        <v>1671</v>
      </c>
      <c r="E1020" s="2461" t="s">
        <v>213</v>
      </c>
      <c r="F1020" s="2461" t="s">
        <v>1507</v>
      </c>
      <c r="G1020" s="2461" t="s">
        <v>1439</v>
      </c>
      <c r="H1020" s="2461" t="s">
        <v>1440</v>
      </c>
      <c r="I1020" s="2462">
        <v>1.1658105124004206E-2</v>
      </c>
      <c r="J1020" s="2462">
        <v>26.289258922992804</v>
      </c>
    </row>
    <row r="1021" spans="1:10" outlineLevel="2">
      <c r="A1021" s="2459" t="s">
        <v>1669</v>
      </c>
      <c r="B1021" s="2459" t="s">
        <v>1646</v>
      </c>
      <c r="C1021" s="2459" t="s">
        <v>1670</v>
      </c>
      <c r="D1021" s="2460" t="s">
        <v>1671</v>
      </c>
      <c r="E1021" s="2461" t="s">
        <v>213</v>
      </c>
      <c r="F1021" s="2461" t="s">
        <v>1508</v>
      </c>
      <c r="G1021" s="2461" t="s">
        <v>1439</v>
      </c>
      <c r="H1021" s="2461" t="s">
        <v>1440</v>
      </c>
      <c r="I1021" s="2462">
        <v>0.32089331499815216</v>
      </c>
      <c r="J1021" s="2462">
        <v>508.24368150452312</v>
      </c>
    </row>
    <row r="1022" spans="1:10" outlineLevel="2">
      <c r="A1022" s="2459" t="s">
        <v>1669</v>
      </c>
      <c r="B1022" s="2459" t="s">
        <v>1646</v>
      </c>
      <c r="C1022" s="2459" t="s">
        <v>1670</v>
      </c>
      <c r="D1022" s="2460" t="s">
        <v>1671</v>
      </c>
      <c r="E1022" s="2461" t="s">
        <v>213</v>
      </c>
      <c r="F1022" s="2461" t="s">
        <v>1509</v>
      </c>
      <c r="G1022" s="2461" t="s">
        <v>1439</v>
      </c>
      <c r="H1022" s="2461" t="s">
        <v>1440</v>
      </c>
      <c r="I1022" s="2462">
        <v>1.5236415742588164E-2</v>
      </c>
      <c r="J1022" s="2462">
        <v>17.398743083952514</v>
      </c>
    </row>
    <row r="1023" spans="1:10" outlineLevel="2">
      <c r="A1023" s="2459" t="s">
        <v>1669</v>
      </c>
      <c r="B1023" s="2459" t="s">
        <v>1646</v>
      </c>
      <c r="C1023" s="2459" t="s">
        <v>1670</v>
      </c>
      <c r="D1023" s="2460" t="s">
        <v>1671</v>
      </c>
      <c r="E1023" s="2461" t="s">
        <v>213</v>
      </c>
      <c r="F1023" s="2461" t="s">
        <v>1510</v>
      </c>
      <c r="G1023" s="2461" t="s">
        <v>1439</v>
      </c>
      <c r="H1023" s="2461" t="s">
        <v>1440</v>
      </c>
      <c r="I1023" s="2462">
        <v>1.3466046375947385E-2</v>
      </c>
      <c r="J1023" s="2462">
        <v>15.617480828316022</v>
      </c>
    </row>
    <row r="1024" spans="1:10" outlineLevel="2">
      <c r="A1024" s="2459" t="s">
        <v>1669</v>
      </c>
      <c r="B1024" s="2459" t="s">
        <v>1646</v>
      </c>
      <c r="C1024" s="2459" t="s">
        <v>1670</v>
      </c>
      <c r="D1024" s="2460" t="s">
        <v>1671</v>
      </c>
      <c r="E1024" s="2461" t="s">
        <v>213</v>
      </c>
      <c r="F1024" s="2461" t="s">
        <v>1511</v>
      </c>
      <c r="G1024" s="2461" t="s">
        <v>1418</v>
      </c>
      <c r="H1024" s="2461" t="s">
        <v>1452</v>
      </c>
      <c r="I1024" s="2462">
        <v>1.0381637070054593E-3</v>
      </c>
      <c r="J1024" s="2462">
        <v>1.5323017049000931</v>
      </c>
    </row>
    <row r="1025" spans="1:10" outlineLevel="2">
      <c r="A1025" s="2459" t="s">
        <v>1669</v>
      </c>
      <c r="B1025" s="2459" t="s">
        <v>1646</v>
      </c>
      <c r="C1025" s="2459" t="s">
        <v>1670</v>
      </c>
      <c r="D1025" s="2460" t="s">
        <v>1671</v>
      </c>
      <c r="E1025" s="2461" t="s">
        <v>213</v>
      </c>
      <c r="F1025" s="2461" t="s">
        <v>1512</v>
      </c>
      <c r="G1025" s="2461" t="s">
        <v>1418</v>
      </c>
      <c r="H1025" s="2461" t="s">
        <v>1452</v>
      </c>
      <c r="I1025" s="2462">
        <v>1.3586100179343702E-3</v>
      </c>
      <c r="J1025" s="2462">
        <v>5.9294559781625082</v>
      </c>
    </row>
    <row r="1026" spans="1:10" outlineLevel="2">
      <c r="A1026" s="2459" t="s">
        <v>1669</v>
      </c>
      <c r="B1026" s="2459" t="s">
        <v>1646</v>
      </c>
      <c r="C1026" s="2459" t="s">
        <v>1670</v>
      </c>
      <c r="D1026" s="2460" t="s">
        <v>1671</v>
      </c>
      <c r="E1026" s="2461" t="s">
        <v>213</v>
      </c>
      <c r="F1026" s="2461" t="s">
        <v>1513</v>
      </c>
      <c r="G1026" s="2461" t="s">
        <v>1418</v>
      </c>
      <c r="H1026" s="2461" t="s">
        <v>1452</v>
      </c>
      <c r="I1026" s="2462">
        <v>5.067916208156475E-5</v>
      </c>
      <c r="J1026" s="2462">
        <v>4.7564505258489723E-2</v>
      </c>
    </row>
    <row r="1027" spans="1:10" outlineLevel="2">
      <c r="A1027" s="2459" t="s">
        <v>1669</v>
      </c>
      <c r="B1027" s="2459" t="s">
        <v>1646</v>
      </c>
      <c r="C1027" s="2459" t="s">
        <v>1670</v>
      </c>
      <c r="D1027" s="2460" t="s">
        <v>1671</v>
      </c>
      <c r="E1027" s="2461" t="s">
        <v>213</v>
      </c>
      <c r="F1027" s="2461" t="s">
        <v>1514</v>
      </c>
      <c r="G1027" s="2461" t="s">
        <v>1418</v>
      </c>
      <c r="H1027" s="2461" t="s">
        <v>1452</v>
      </c>
      <c r="I1027" s="2462">
        <v>4.5458401688135332E-3</v>
      </c>
      <c r="J1027" s="2462">
        <v>4.2579627486983664</v>
      </c>
    </row>
    <row r="1028" spans="1:10" outlineLevel="2">
      <c r="A1028" s="2459" t="s">
        <v>1669</v>
      </c>
      <c r="B1028" s="2459" t="s">
        <v>1646</v>
      </c>
      <c r="C1028" s="2459" t="s">
        <v>1670</v>
      </c>
      <c r="D1028" s="2460" t="s">
        <v>1671</v>
      </c>
      <c r="E1028" s="2461" t="s">
        <v>213</v>
      </c>
      <c r="F1028" s="2461" t="s">
        <v>1515</v>
      </c>
      <c r="G1028" s="2461" t="s">
        <v>1418</v>
      </c>
      <c r="H1028" s="2461" t="s">
        <v>1452</v>
      </c>
      <c r="I1028" s="2462">
        <v>8.7344745097902015E-4</v>
      </c>
      <c r="J1028" s="2462">
        <v>1.2597846714803631</v>
      </c>
    </row>
    <row r="1029" spans="1:10" outlineLevel="2">
      <c r="A1029" s="2459" t="s">
        <v>1669</v>
      </c>
      <c r="B1029" s="2459" t="s">
        <v>1646</v>
      </c>
      <c r="C1029" s="2459" t="s">
        <v>1670</v>
      </c>
      <c r="D1029" s="2460" t="s">
        <v>1671</v>
      </c>
      <c r="E1029" s="2461" t="s">
        <v>213</v>
      </c>
      <c r="F1029" s="2461" t="s">
        <v>1516</v>
      </c>
      <c r="G1029" s="2461" t="s">
        <v>1418</v>
      </c>
      <c r="H1029" s="2461" t="s">
        <v>1452</v>
      </c>
      <c r="I1029" s="2462">
        <v>1.2483270348007804E-2</v>
      </c>
      <c r="J1029" s="2462">
        <v>13.958346674989603</v>
      </c>
    </row>
    <row r="1030" spans="1:10" outlineLevel="2">
      <c r="A1030" s="2459" t="s">
        <v>1669</v>
      </c>
      <c r="B1030" s="2459" t="s">
        <v>1646</v>
      </c>
      <c r="C1030" s="2459" t="s">
        <v>1670</v>
      </c>
      <c r="D1030" s="2460" t="s">
        <v>1671</v>
      </c>
      <c r="E1030" s="2461" t="s">
        <v>213</v>
      </c>
      <c r="F1030" s="2461" t="s">
        <v>1517</v>
      </c>
      <c r="G1030" s="2461" t="s">
        <v>1418</v>
      </c>
      <c r="H1030" s="2461" t="s">
        <v>1452</v>
      </c>
      <c r="I1030" s="2462">
        <v>6.3914743212280842E-2</v>
      </c>
      <c r="J1030" s="2462">
        <v>31.29317002097325</v>
      </c>
    </row>
    <row r="1031" spans="1:10" outlineLevel="2">
      <c r="A1031" s="2459" t="s">
        <v>1669</v>
      </c>
      <c r="B1031" s="2459" t="s">
        <v>1646</v>
      </c>
      <c r="C1031" s="2459" t="s">
        <v>1670</v>
      </c>
      <c r="D1031" s="2460" t="s">
        <v>1671</v>
      </c>
      <c r="E1031" s="2461" t="s">
        <v>213</v>
      </c>
      <c r="F1031" s="2461" t="s">
        <v>1518</v>
      </c>
      <c r="G1031" s="2461" t="s">
        <v>1418</v>
      </c>
      <c r="H1031" s="2461" t="s">
        <v>1452</v>
      </c>
      <c r="I1031" s="2462">
        <v>7.199211979099303E-3</v>
      </c>
      <c r="J1031" s="2462">
        <v>6.7433046388839459</v>
      </c>
    </row>
    <row r="1032" spans="1:10" outlineLevel="2">
      <c r="A1032" s="2459" t="s">
        <v>1669</v>
      </c>
      <c r="B1032" s="2459" t="s">
        <v>1646</v>
      </c>
      <c r="C1032" s="2459" t="s">
        <v>1670</v>
      </c>
      <c r="D1032" s="2460" t="s">
        <v>1671</v>
      </c>
      <c r="E1032" s="2461" t="s">
        <v>213</v>
      </c>
      <c r="F1032" s="2461" t="s">
        <v>1519</v>
      </c>
      <c r="G1032" s="2461" t="s">
        <v>1418</v>
      </c>
      <c r="H1032" s="2461" t="s">
        <v>1452</v>
      </c>
      <c r="I1032" s="2462">
        <v>9.4508712238456673E-3</v>
      </c>
      <c r="J1032" s="2462">
        <v>9.6229370203399949</v>
      </c>
    </row>
    <row r="1033" spans="1:10" outlineLevel="2">
      <c r="A1033" s="2459" t="s">
        <v>1669</v>
      </c>
      <c r="B1033" s="2459" t="s">
        <v>1646</v>
      </c>
      <c r="C1033" s="2459" t="s">
        <v>1670</v>
      </c>
      <c r="D1033" s="2460" t="s">
        <v>1671</v>
      </c>
      <c r="E1033" s="2461" t="s">
        <v>213</v>
      </c>
      <c r="F1033" s="2461" t="s">
        <v>1520</v>
      </c>
      <c r="G1033" s="2461" t="s">
        <v>1418</v>
      </c>
      <c r="H1033" s="2461" t="s">
        <v>1452</v>
      </c>
      <c r="I1033" s="2462">
        <v>1.1320304341381668E-3</v>
      </c>
      <c r="J1033" s="2462">
        <v>10.284092190197097</v>
      </c>
    </row>
    <row r="1034" spans="1:10" outlineLevel="2">
      <c r="A1034" s="2459" t="s">
        <v>1669</v>
      </c>
      <c r="B1034" s="2459" t="s">
        <v>1646</v>
      </c>
      <c r="C1034" s="2459" t="s">
        <v>1670</v>
      </c>
      <c r="D1034" s="2460" t="s">
        <v>1671</v>
      </c>
      <c r="E1034" s="2461" t="s">
        <v>213</v>
      </c>
      <c r="F1034" s="2461" t="s">
        <v>1521</v>
      </c>
      <c r="G1034" s="2461" t="s">
        <v>1421</v>
      </c>
      <c r="H1034" s="2461" t="s">
        <v>1454</v>
      </c>
      <c r="I1034" s="2462">
        <v>0.16840603089036427</v>
      </c>
      <c r="J1034" s="2462">
        <v>233.85989098366122</v>
      </c>
    </row>
    <row r="1035" spans="1:10" outlineLevel="2">
      <c r="A1035" s="2459" t="s">
        <v>1669</v>
      </c>
      <c r="B1035" s="2459" t="s">
        <v>1646</v>
      </c>
      <c r="C1035" s="2459" t="s">
        <v>1670</v>
      </c>
      <c r="D1035" s="2460" t="s">
        <v>1671</v>
      </c>
      <c r="E1035" s="2461" t="s">
        <v>213</v>
      </c>
      <c r="F1035" s="2461" t="s">
        <v>1522</v>
      </c>
      <c r="G1035" s="2461" t="s">
        <v>1421</v>
      </c>
      <c r="H1035" s="2461" t="s">
        <v>1454</v>
      </c>
      <c r="I1035" s="2462">
        <v>3.9556952856890912E-2</v>
      </c>
      <c r="J1035" s="2462">
        <v>58.509630554540983</v>
      </c>
    </row>
    <row r="1036" spans="1:10" outlineLevel="2">
      <c r="A1036" s="2459" t="s">
        <v>1669</v>
      </c>
      <c r="B1036" s="2459" t="s">
        <v>1646</v>
      </c>
      <c r="C1036" s="2459" t="s">
        <v>1670</v>
      </c>
      <c r="D1036" s="2460" t="s">
        <v>1671</v>
      </c>
      <c r="E1036" s="2461" t="s">
        <v>213</v>
      </c>
      <c r="F1036" s="2461" t="s">
        <v>1523</v>
      </c>
      <c r="G1036" s="2461" t="s">
        <v>1421</v>
      </c>
      <c r="H1036" s="2461" t="s">
        <v>1454</v>
      </c>
      <c r="I1036" s="2462">
        <v>1.8248428389271442E-2</v>
      </c>
      <c r="J1036" s="2462">
        <v>30.937982203686474</v>
      </c>
    </row>
    <row r="1037" spans="1:10" outlineLevel="2">
      <c r="A1037" s="2459" t="s">
        <v>1669</v>
      </c>
      <c r="B1037" s="2459" t="s">
        <v>1646</v>
      </c>
      <c r="C1037" s="2459" t="s">
        <v>1670</v>
      </c>
      <c r="D1037" s="2460" t="s">
        <v>1671</v>
      </c>
      <c r="E1037" s="2461" t="s">
        <v>213</v>
      </c>
      <c r="F1037" s="2461" t="s">
        <v>1524</v>
      </c>
      <c r="G1037" s="2461" t="s">
        <v>1421</v>
      </c>
      <c r="H1037" s="2461" t="s">
        <v>1454</v>
      </c>
      <c r="I1037" s="2462">
        <v>4.204829589423259E-2</v>
      </c>
      <c r="J1037" s="2462">
        <v>66.508297455684641</v>
      </c>
    </row>
    <row r="1038" spans="1:10" outlineLevel="2">
      <c r="A1038" s="2459" t="s">
        <v>1669</v>
      </c>
      <c r="B1038" s="2459" t="s">
        <v>1646</v>
      </c>
      <c r="C1038" s="2459" t="s">
        <v>1670</v>
      </c>
      <c r="D1038" s="2460" t="s">
        <v>1671</v>
      </c>
      <c r="E1038" s="2461" t="s">
        <v>213</v>
      </c>
      <c r="F1038" s="2461" t="s">
        <v>1525</v>
      </c>
      <c r="G1038" s="2461" t="s">
        <v>1421</v>
      </c>
      <c r="H1038" s="2461" t="s">
        <v>1454</v>
      </c>
      <c r="I1038" s="2462">
        <v>7.4073619502873653E-2</v>
      </c>
      <c r="J1038" s="2462">
        <v>105.08129654916397</v>
      </c>
    </row>
    <row r="1039" spans="1:10" outlineLevel="2">
      <c r="A1039" s="2459" t="s">
        <v>1669</v>
      </c>
      <c r="B1039" s="2459" t="s">
        <v>1646</v>
      </c>
      <c r="C1039" s="2459" t="s">
        <v>1670</v>
      </c>
      <c r="D1039" s="2460" t="s">
        <v>1671</v>
      </c>
      <c r="E1039" s="2461" t="s">
        <v>213</v>
      </c>
      <c r="F1039" s="2461" t="s">
        <v>1526</v>
      </c>
      <c r="G1039" s="2461" t="s">
        <v>1421</v>
      </c>
      <c r="H1039" s="2461" t="s">
        <v>1454</v>
      </c>
      <c r="I1039" s="2462">
        <v>3.4316369004911609E-3</v>
      </c>
      <c r="J1039" s="2462">
        <v>4.930241985878391</v>
      </c>
    </row>
    <row r="1040" spans="1:10" outlineLevel="2">
      <c r="A1040" s="2459" t="s">
        <v>1669</v>
      </c>
      <c r="B1040" s="2459" t="s">
        <v>1646</v>
      </c>
      <c r="C1040" s="2459" t="s">
        <v>1670</v>
      </c>
      <c r="D1040" s="2460" t="s">
        <v>1671</v>
      </c>
      <c r="E1040" s="2461" t="s">
        <v>213</v>
      </c>
      <c r="F1040" s="2461" t="s">
        <v>1527</v>
      </c>
      <c r="G1040" s="2461" t="s">
        <v>1459</v>
      </c>
      <c r="H1040" s="2461" t="s">
        <v>1460</v>
      </c>
      <c r="I1040" s="2462">
        <v>9.7454921288489902E-3</v>
      </c>
      <c r="J1040" s="2462">
        <v>10.186705712882885</v>
      </c>
    </row>
    <row r="1041" spans="1:10" outlineLevel="2">
      <c r="A1041" s="2459" t="s">
        <v>1669</v>
      </c>
      <c r="B1041" s="2459" t="s">
        <v>1646</v>
      </c>
      <c r="C1041" s="2459" t="s">
        <v>1670</v>
      </c>
      <c r="D1041" s="2460" t="s">
        <v>1671</v>
      </c>
      <c r="E1041" s="2461" t="s">
        <v>213</v>
      </c>
      <c r="F1041" s="2461" t="s">
        <v>1528</v>
      </c>
      <c r="G1041" s="2461" t="s">
        <v>1459</v>
      </c>
      <c r="H1041" s="2461" t="s">
        <v>1460</v>
      </c>
      <c r="I1041" s="2462">
        <v>8.4828895442024723E-5</v>
      </c>
      <c r="J1041" s="2462">
        <v>0.10856634343670141</v>
      </c>
    </row>
    <row r="1042" spans="1:10" outlineLevel="2">
      <c r="A1042" s="2459" t="s">
        <v>1669</v>
      </c>
      <c r="B1042" s="2459" t="s">
        <v>1646</v>
      </c>
      <c r="C1042" s="2459" t="s">
        <v>1670</v>
      </c>
      <c r="D1042" s="2460" t="s">
        <v>1671</v>
      </c>
      <c r="E1042" s="2461" t="s">
        <v>213</v>
      </c>
      <c r="F1042" s="2461" t="s">
        <v>1529</v>
      </c>
      <c r="G1042" s="2461" t="s">
        <v>1530</v>
      </c>
      <c r="H1042" s="2461" t="s">
        <v>1531</v>
      </c>
      <c r="I1042" s="2462">
        <v>0.82518708656231643</v>
      </c>
      <c r="J1042" s="2462">
        <v>702.08464274990558</v>
      </c>
    </row>
    <row r="1043" spans="1:10" outlineLevel="2">
      <c r="A1043" s="2459" t="s">
        <v>1669</v>
      </c>
      <c r="B1043" s="2459" t="s">
        <v>1646</v>
      </c>
      <c r="C1043" s="2459" t="s">
        <v>1670</v>
      </c>
      <c r="D1043" s="2460" t="s">
        <v>1671</v>
      </c>
      <c r="E1043" s="2461" t="s">
        <v>213</v>
      </c>
      <c r="F1043" s="2461" t="s">
        <v>1532</v>
      </c>
      <c r="G1043" s="2461" t="s">
        <v>1530</v>
      </c>
      <c r="H1043" s="2461" t="s">
        <v>1531</v>
      </c>
      <c r="I1043" s="2462">
        <v>0.34733173163472181</v>
      </c>
      <c r="J1043" s="2462">
        <v>296.3122055726908</v>
      </c>
    </row>
    <row r="1044" spans="1:10" outlineLevel="2">
      <c r="A1044" s="2459" t="s">
        <v>1669</v>
      </c>
      <c r="B1044" s="2459" t="s">
        <v>1646</v>
      </c>
      <c r="C1044" s="2459" t="s">
        <v>1670</v>
      </c>
      <c r="D1044" s="2460" t="s">
        <v>1671</v>
      </c>
      <c r="E1044" s="2461" t="s">
        <v>213</v>
      </c>
      <c r="F1044" s="2461" t="s">
        <v>1533</v>
      </c>
      <c r="G1044" s="2461" t="s">
        <v>1534</v>
      </c>
      <c r="H1044" s="2461" t="s">
        <v>1531</v>
      </c>
      <c r="I1044" s="2462">
        <v>0.13015493456602967</v>
      </c>
      <c r="J1044" s="2462">
        <v>218.88047281890945</v>
      </c>
    </row>
    <row r="1045" spans="1:10" outlineLevel="2">
      <c r="A1045" s="2459" t="s">
        <v>1669</v>
      </c>
      <c r="B1045" s="2459" t="s">
        <v>1646</v>
      </c>
      <c r="C1045" s="2459" t="s">
        <v>1670</v>
      </c>
      <c r="D1045" s="2460" t="s">
        <v>1671</v>
      </c>
      <c r="E1045" s="2461" t="s">
        <v>1538</v>
      </c>
      <c r="F1045" s="2461" t="s">
        <v>1539</v>
      </c>
      <c r="G1045" s="2461" t="s">
        <v>1426</v>
      </c>
      <c r="H1045" s="2461" t="s">
        <v>1540</v>
      </c>
      <c r="I1045" s="2462">
        <v>3.8453088531034021E-3</v>
      </c>
      <c r="J1045" s="2462">
        <v>7.3639532715053093</v>
      </c>
    </row>
    <row r="1046" spans="1:10" outlineLevel="2">
      <c r="A1046" s="2459" t="s">
        <v>1669</v>
      </c>
      <c r="B1046" s="2459" t="s">
        <v>1646</v>
      </c>
      <c r="C1046" s="2459" t="s">
        <v>1670</v>
      </c>
      <c r="D1046" s="2460" t="s">
        <v>1671</v>
      </c>
      <c r="E1046" s="2461" t="s">
        <v>1538</v>
      </c>
      <c r="F1046" s="2461" t="s">
        <v>1541</v>
      </c>
      <c r="G1046" s="2461" t="s">
        <v>1409</v>
      </c>
      <c r="H1046" s="2461" t="s">
        <v>1540</v>
      </c>
      <c r="I1046" s="2462">
        <v>4.5656813702964971E-5</v>
      </c>
      <c r="J1046" s="2462">
        <v>0.21253230323545641</v>
      </c>
    </row>
    <row r="1047" spans="1:10" outlineLevel="2">
      <c r="A1047" s="2459" t="s">
        <v>1669</v>
      </c>
      <c r="B1047" s="2459" t="s">
        <v>1646</v>
      </c>
      <c r="C1047" s="2459" t="s">
        <v>1670</v>
      </c>
      <c r="D1047" s="2460" t="s">
        <v>1671</v>
      </c>
      <c r="E1047" s="2461" t="s">
        <v>1538</v>
      </c>
      <c r="F1047" s="2461" t="s">
        <v>1542</v>
      </c>
      <c r="G1047" s="2461" t="s">
        <v>1409</v>
      </c>
      <c r="H1047" s="2461" t="s">
        <v>1540</v>
      </c>
      <c r="I1047" s="2462">
        <v>2.4487214962415646E-5</v>
      </c>
      <c r="J1047" s="2462">
        <v>0.35542851472270259</v>
      </c>
    </row>
    <row r="1048" spans="1:10" outlineLevel="2">
      <c r="A1048" s="2459" t="s">
        <v>1669</v>
      </c>
      <c r="B1048" s="2459" t="s">
        <v>1646</v>
      </c>
      <c r="C1048" s="2459" t="s">
        <v>1670</v>
      </c>
      <c r="D1048" s="2460" t="s">
        <v>1671</v>
      </c>
      <c r="E1048" s="2461" t="s">
        <v>1538</v>
      </c>
      <c r="F1048" s="2461" t="s">
        <v>1543</v>
      </c>
      <c r="G1048" s="2461" t="s">
        <v>1409</v>
      </c>
      <c r="H1048" s="2461" t="s">
        <v>1540</v>
      </c>
      <c r="I1048" s="2462">
        <v>3.6306128283204149E-5</v>
      </c>
      <c r="J1048" s="2462">
        <v>6.2768348121245182E-2</v>
      </c>
    </row>
    <row r="1049" spans="1:10" outlineLevel="2">
      <c r="A1049" s="2459" t="s">
        <v>1669</v>
      </c>
      <c r="B1049" s="2459" t="s">
        <v>1646</v>
      </c>
      <c r="C1049" s="2459" t="s">
        <v>1670</v>
      </c>
      <c r="D1049" s="2460" t="s">
        <v>1671</v>
      </c>
      <c r="E1049" s="2461" t="s">
        <v>1538</v>
      </c>
      <c r="F1049" s="2461" t="s">
        <v>1544</v>
      </c>
      <c r="G1049" s="2461" t="s">
        <v>1409</v>
      </c>
      <c r="H1049" s="2461" t="s">
        <v>1540</v>
      </c>
      <c r="I1049" s="2462">
        <v>6.6468919583084594E-6</v>
      </c>
      <c r="J1049" s="2462">
        <v>3.6389669513477461E-2</v>
      </c>
    </row>
    <row r="1050" spans="1:10" outlineLevel="2">
      <c r="A1050" s="2459" t="s">
        <v>1669</v>
      </c>
      <c r="B1050" s="2459" t="s">
        <v>1646</v>
      </c>
      <c r="C1050" s="2459" t="s">
        <v>1670</v>
      </c>
      <c r="D1050" s="2460" t="s">
        <v>1671</v>
      </c>
      <c r="E1050" s="2461" t="s">
        <v>1538</v>
      </c>
      <c r="F1050" s="2461" t="s">
        <v>1545</v>
      </c>
      <c r="G1050" s="2461" t="s">
        <v>1409</v>
      </c>
      <c r="H1050" s="2461" t="s">
        <v>1540</v>
      </c>
      <c r="I1050" s="2462">
        <v>1.4711875052758716E-4</v>
      </c>
      <c r="J1050" s="2462">
        <v>0.65728045339089369</v>
      </c>
    </row>
    <row r="1051" spans="1:10" outlineLevel="2">
      <c r="A1051" s="2459" t="s">
        <v>1669</v>
      </c>
      <c r="B1051" s="2459" t="s">
        <v>1646</v>
      </c>
      <c r="C1051" s="2459" t="s">
        <v>1670</v>
      </c>
      <c r="D1051" s="2460" t="s">
        <v>1671</v>
      </c>
      <c r="E1051" s="2461" t="s">
        <v>1538</v>
      </c>
      <c r="F1051" s="2461" t="s">
        <v>1546</v>
      </c>
      <c r="G1051" s="2461" t="s">
        <v>1409</v>
      </c>
      <c r="H1051" s="2461" t="s">
        <v>1540</v>
      </c>
      <c r="I1051" s="2462">
        <v>2.8141184452560209E-4</v>
      </c>
      <c r="J1051" s="2462">
        <v>0.33013793374158201</v>
      </c>
    </row>
    <row r="1052" spans="1:10" outlineLevel="2">
      <c r="A1052" s="2459" t="s">
        <v>1669</v>
      </c>
      <c r="B1052" s="2459" t="s">
        <v>1646</v>
      </c>
      <c r="C1052" s="2459" t="s">
        <v>1670</v>
      </c>
      <c r="D1052" s="2460" t="s">
        <v>1671</v>
      </c>
      <c r="E1052" s="2461" t="s">
        <v>1538</v>
      </c>
      <c r="F1052" s="2461" t="s">
        <v>1547</v>
      </c>
      <c r="G1052" s="2461" t="s">
        <v>1409</v>
      </c>
      <c r="H1052" s="2461" t="s">
        <v>1540</v>
      </c>
      <c r="I1052" s="2462">
        <v>3.0565016036651549E-5</v>
      </c>
      <c r="J1052" s="2462">
        <v>0.60810542205785301</v>
      </c>
    </row>
    <row r="1053" spans="1:10" outlineLevel="2">
      <c r="A1053" s="2459" t="s">
        <v>1669</v>
      </c>
      <c r="B1053" s="2459" t="s">
        <v>1646</v>
      </c>
      <c r="C1053" s="2459" t="s">
        <v>1670</v>
      </c>
      <c r="D1053" s="2460" t="s">
        <v>1671</v>
      </c>
      <c r="E1053" s="2461" t="s">
        <v>1538</v>
      </c>
      <c r="F1053" s="2461" t="s">
        <v>1548</v>
      </c>
      <c r="G1053" s="2461" t="s">
        <v>1409</v>
      </c>
      <c r="H1053" s="2461" t="s">
        <v>1540</v>
      </c>
      <c r="I1053" s="2462">
        <v>1.4186008248358699E-4</v>
      </c>
      <c r="J1053" s="2462">
        <v>0.24778305748228993</v>
      </c>
    </row>
    <row r="1054" spans="1:10" outlineLevel="2">
      <c r="A1054" s="2459" t="s">
        <v>1669</v>
      </c>
      <c r="B1054" s="2459" t="s">
        <v>1646</v>
      </c>
      <c r="C1054" s="2459" t="s">
        <v>1670</v>
      </c>
      <c r="D1054" s="2460" t="s">
        <v>1671</v>
      </c>
      <c r="E1054" s="2461" t="s">
        <v>1538</v>
      </c>
      <c r="F1054" s="2461" t="s">
        <v>1549</v>
      </c>
      <c r="G1054" s="2461" t="s">
        <v>1409</v>
      </c>
      <c r="H1054" s="2461" t="s">
        <v>1540</v>
      </c>
      <c r="I1054" s="2462">
        <v>2.1206449454603028E-5</v>
      </c>
      <c r="J1054" s="2462">
        <v>4.0611657825220651E-2</v>
      </c>
    </row>
    <row r="1055" spans="1:10" outlineLevel="2">
      <c r="A1055" s="2459" t="s">
        <v>1669</v>
      </c>
      <c r="B1055" s="2459" t="s">
        <v>1646</v>
      </c>
      <c r="C1055" s="2459" t="s">
        <v>1670</v>
      </c>
      <c r="D1055" s="2460" t="s">
        <v>1671</v>
      </c>
      <c r="E1055" s="2461" t="s">
        <v>1538</v>
      </c>
      <c r="F1055" s="2461" t="s">
        <v>1550</v>
      </c>
      <c r="G1055" s="2461" t="s">
        <v>1409</v>
      </c>
      <c r="H1055" s="2461" t="s">
        <v>1540</v>
      </c>
      <c r="I1055" s="2462">
        <v>1.1622217387352547E-4</v>
      </c>
      <c r="J1055" s="2462">
        <v>0.42229047503094808</v>
      </c>
    </row>
    <row r="1056" spans="1:10" outlineLevel="2">
      <c r="A1056" s="2459" t="s">
        <v>1669</v>
      </c>
      <c r="B1056" s="2459" t="s">
        <v>1646</v>
      </c>
      <c r="C1056" s="2459" t="s">
        <v>1670</v>
      </c>
      <c r="D1056" s="2460" t="s">
        <v>1671</v>
      </c>
      <c r="E1056" s="2461" t="s">
        <v>1538</v>
      </c>
      <c r="F1056" s="2461" t="s">
        <v>1551</v>
      </c>
      <c r="G1056" s="2461" t="s">
        <v>1409</v>
      </c>
      <c r="H1056" s="2461" t="s">
        <v>1540</v>
      </c>
      <c r="I1056" s="2462">
        <v>9.5748127559473393E-5</v>
      </c>
      <c r="J1056" s="2462">
        <v>1.0197387952323533</v>
      </c>
    </row>
    <row r="1057" spans="1:10" outlineLevel="2">
      <c r="A1057" s="2459" t="s">
        <v>1669</v>
      </c>
      <c r="B1057" s="2459" t="s">
        <v>1646</v>
      </c>
      <c r="C1057" s="2459" t="s">
        <v>1670</v>
      </c>
      <c r="D1057" s="2460" t="s">
        <v>1671</v>
      </c>
      <c r="E1057" s="2461" t="s">
        <v>1538</v>
      </c>
      <c r="F1057" s="2461" t="s">
        <v>1552</v>
      </c>
      <c r="G1057" s="2461" t="s">
        <v>1409</v>
      </c>
      <c r="H1057" s="2461" t="s">
        <v>1540</v>
      </c>
      <c r="I1057" s="2462">
        <v>6.7372723853393315E-6</v>
      </c>
      <c r="J1057" s="2462">
        <v>0.10728985416513566</v>
      </c>
    </row>
    <row r="1058" spans="1:10" outlineLevel="2">
      <c r="A1058" s="2459" t="s">
        <v>1669</v>
      </c>
      <c r="B1058" s="2459" t="s">
        <v>1646</v>
      </c>
      <c r="C1058" s="2459" t="s">
        <v>1670</v>
      </c>
      <c r="D1058" s="2460" t="s">
        <v>1671</v>
      </c>
      <c r="E1058" s="2461" t="s">
        <v>1538</v>
      </c>
      <c r="F1058" s="2461" t="s">
        <v>1553</v>
      </c>
      <c r="G1058" s="2461" t="s">
        <v>1409</v>
      </c>
      <c r="H1058" s="2461" t="s">
        <v>1540</v>
      </c>
      <c r="I1058" s="2462">
        <v>4.9963403019574542E-4</v>
      </c>
      <c r="J1058" s="2462">
        <v>0.9185290283866373</v>
      </c>
    </row>
    <row r="1059" spans="1:10" outlineLevel="2">
      <c r="A1059" s="2459" t="s">
        <v>1669</v>
      </c>
      <c r="B1059" s="2459" t="s">
        <v>1646</v>
      </c>
      <c r="C1059" s="2459" t="s">
        <v>1670</v>
      </c>
      <c r="D1059" s="2460" t="s">
        <v>1671</v>
      </c>
      <c r="E1059" s="2461" t="s">
        <v>1538</v>
      </c>
      <c r="F1059" s="2461" t="s">
        <v>1554</v>
      </c>
      <c r="G1059" s="2461" t="s">
        <v>1409</v>
      </c>
      <c r="H1059" s="2461" t="s">
        <v>1540</v>
      </c>
      <c r="I1059" s="2462">
        <v>2.7849541764817464E-4</v>
      </c>
      <c r="J1059" s="2462">
        <v>0.38548108493657329</v>
      </c>
    </row>
    <row r="1060" spans="1:10" outlineLevel="2">
      <c r="A1060" s="2459" t="s">
        <v>1669</v>
      </c>
      <c r="B1060" s="2459" t="s">
        <v>1646</v>
      </c>
      <c r="C1060" s="2459" t="s">
        <v>1670</v>
      </c>
      <c r="D1060" s="2460" t="s">
        <v>1671</v>
      </c>
      <c r="E1060" s="2461" t="s">
        <v>1538</v>
      </c>
      <c r="F1060" s="2461" t="s">
        <v>1555</v>
      </c>
      <c r="G1060" s="2461" t="s">
        <v>1412</v>
      </c>
      <c r="H1060" s="2461" t="s">
        <v>1540</v>
      </c>
      <c r="I1060" s="2462">
        <v>6.2139938751026719E-3</v>
      </c>
      <c r="J1060" s="2462">
        <v>19.129096584122532</v>
      </c>
    </row>
    <row r="1061" spans="1:10" outlineLevel="2">
      <c r="A1061" s="2459" t="s">
        <v>1669</v>
      </c>
      <c r="B1061" s="2459" t="s">
        <v>1646</v>
      </c>
      <c r="C1061" s="2459" t="s">
        <v>1670</v>
      </c>
      <c r="D1061" s="2460" t="s">
        <v>1671</v>
      </c>
      <c r="E1061" s="2461" t="s">
        <v>1538</v>
      </c>
      <c r="F1061" s="2461" t="s">
        <v>1556</v>
      </c>
      <c r="G1061" s="2461" t="s">
        <v>1412</v>
      </c>
      <c r="H1061" s="2461" t="s">
        <v>1540</v>
      </c>
      <c r="I1061" s="2462">
        <v>0.12353834563848566</v>
      </c>
      <c r="J1061" s="2462">
        <v>1740.0004707273974</v>
      </c>
    </row>
    <row r="1062" spans="1:10" outlineLevel="2">
      <c r="A1062" s="2459" t="s">
        <v>1669</v>
      </c>
      <c r="B1062" s="2459" t="s">
        <v>1646</v>
      </c>
      <c r="C1062" s="2459" t="s">
        <v>1670</v>
      </c>
      <c r="D1062" s="2460" t="s">
        <v>1671</v>
      </c>
      <c r="E1062" s="2461" t="s">
        <v>1538</v>
      </c>
      <c r="F1062" s="2461" t="s">
        <v>1557</v>
      </c>
      <c r="G1062" s="2461" t="s">
        <v>1412</v>
      </c>
      <c r="H1062" s="2461" t="s">
        <v>1540</v>
      </c>
      <c r="I1062" s="2462">
        <v>7.3548579668799847E-4</v>
      </c>
      <c r="J1062" s="2462">
        <v>12.962332443950574</v>
      </c>
    </row>
    <row r="1063" spans="1:10" outlineLevel="2">
      <c r="A1063" s="2459" t="s">
        <v>1669</v>
      </c>
      <c r="B1063" s="2459" t="s">
        <v>1646</v>
      </c>
      <c r="C1063" s="2459" t="s">
        <v>1670</v>
      </c>
      <c r="D1063" s="2460" t="s">
        <v>1671</v>
      </c>
      <c r="E1063" s="2461" t="s">
        <v>1538</v>
      </c>
      <c r="F1063" s="2461" t="s">
        <v>1558</v>
      </c>
      <c r="G1063" s="2461" t="s">
        <v>1412</v>
      </c>
      <c r="H1063" s="2461" t="s">
        <v>1540</v>
      </c>
      <c r="I1063" s="2462">
        <v>2.460347536836834E-4</v>
      </c>
      <c r="J1063" s="2462">
        <v>4.0887817248554441</v>
      </c>
    </row>
    <row r="1064" spans="1:10" outlineLevel="2">
      <c r="A1064" s="2459" t="s">
        <v>1669</v>
      </c>
      <c r="B1064" s="2459" t="s">
        <v>1646</v>
      </c>
      <c r="C1064" s="2459" t="s">
        <v>1670</v>
      </c>
      <c r="D1064" s="2460" t="s">
        <v>1671</v>
      </c>
      <c r="E1064" s="2461" t="s">
        <v>1538</v>
      </c>
      <c r="F1064" s="2461" t="s">
        <v>1559</v>
      </c>
      <c r="G1064" s="2461" t="s">
        <v>1412</v>
      </c>
      <c r="H1064" s="2461" t="s">
        <v>1540</v>
      </c>
      <c r="I1064" s="2462">
        <v>2.627036531523384E-4</v>
      </c>
      <c r="J1064" s="2462">
        <v>1.009807035913167</v>
      </c>
    </row>
    <row r="1065" spans="1:10" outlineLevel="2">
      <c r="A1065" s="2459" t="s">
        <v>1669</v>
      </c>
      <c r="B1065" s="2459" t="s">
        <v>1646</v>
      </c>
      <c r="C1065" s="2459" t="s">
        <v>1670</v>
      </c>
      <c r="D1065" s="2460" t="s">
        <v>1671</v>
      </c>
      <c r="E1065" s="2461" t="s">
        <v>1538</v>
      </c>
      <c r="F1065" s="2461" t="s">
        <v>1560</v>
      </c>
      <c r="G1065" s="2461" t="s">
        <v>1412</v>
      </c>
      <c r="H1065" s="2461" t="s">
        <v>1540</v>
      </c>
      <c r="I1065" s="2462">
        <v>3.6873719176314275E-4</v>
      </c>
      <c r="J1065" s="2462">
        <v>8.0307648528013793</v>
      </c>
    </row>
    <row r="1066" spans="1:10" outlineLevel="2">
      <c r="A1066" s="2459" t="s">
        <v>1669</v>
      </c>
      <c r="B1066" s="2459" t="s">
        <v>1646</v>
      </c>
      <c r="C1066" s="2459" t="s">
        <v>1670</v>
      </c>
      <c r="D1066" s="2460" t="s">
        <v>1671</v>
      </c>
      <c r="E1066" s="2461" t="s">
        <v>1538</v>
      </c>
      <c r="F1066" s="2461" t="s">
        <v>1561</v>
      </c>
      <c r="G1066" s="2461" t="s">
        <v>1439</v>
      </c>
      <c r="H1066" s="2461" t="s">
        <v>1540</v>
      </c>
      <c r="I1066" s="2462">
        <v>5.7178567413264316E-4</v>
      </c>
      <c r="J1066" s="2462">
        <v>8.6650103579645368</v>
      </c>
    </row>
    <row r="1067" spans="1:10" outlineLevel="2">
      <c r="A1067" s="2459" t="s">
        <v>1669</v>
      </c>
      <c r="B1067" s="2459" t="s">
        <v>1646</v>
      </c>
      <c r="C1067" s="2459" t="s">
        <v>1670</v>
      </c>
      <c r="D1067" s="2460" t="s">
        <v>1671</v>
      </c>
      <c r="E1067" s="2461" t="s">
        <v>1538</v>
      </c>
      <c r="F1067" s="2461" t="s">
        <v>1562</v>
      </c>
      <c r="G1067" s="2461" t="s">
        <v>1418</v>
      </c>
      <c r="H1067" s="2461" t="s">
        <v>1540</v>
      </c>
      <c r="I1067" s="2462">
        <v>4.8244318994652674E-5</v>
      </c>
      <c r="J1067" s="2462">
        <v>6.0791802773974182E-2</v>
      </c>
    </row>
    <row r="1068" spans="1:10" outlineLevel="2">
      <c r="A1068" s="2459" t="s">
        <v>1669</v>
      </c>
      <c r="B1068" s="2459" t="s">
        <v>1646</v>
      </c>
      <c r="C1068" s="2459" t="s">
        <v>1670</v>
      </c>
      <c r="D1068" s="2460" t="s">
        <v>1671</v>
      </c>
      <c r="E1068" s="2461" t="s">
        <v>1538</v>
      </c>
      <c r="F1068" s="2461" t="s">
        <v>1563</v>
      </c>
      <c r="G1068" s="2461" t="s">
        <v>1418</v>
      </c>
      <c r="H1068" s="2461" t="s">
        <v>1540</v>
      </c>
      <c r="I1068" s="2462">
        <v>6.9901585230415029E-6</v>
      </c>
      <c r="J1068" s="2462">
        <v>0.11840533656487238</v>
      </c>
    </row>
    <row r="1069" spans="1:10" outlineLevel="2">
      <c r="A1069" s="2459" t="s">
        <v>1669</v>
      </c>
      <c r="B1069" s="2459" t="s">
        <v>1646</v>
      </c>
      <c r="C1069" s="2459" t="s">
        <v>1670</v>
      </c>
      <c r="D1069" s="2460" t="s">
        <v>1671</v>
      </c>
      <c r="E1069" s="2461" t="s">
        <v>1538</v>
      </c>
      <c r="F1069" s="2461" t="s">
        <v>1564</v>
      </c>
      <c r="G1069" s="2461" t="s">
        <v>1421</v>
      </c>
      <c r="H1069" s="2461" t="s">
        <v>1540</v>
      </c>
      <c r="I1069" s="2462">
        <v>9.1532004378511184E-3</v>
      </c>
      <c r="J1069" s="2462">
        <v>22.47406034975803</v>
      </c>
    </row>
    <row r="1070" spans="1:10" outlineLevel="2">
      <c r="A1070" s="2459" t="s">
        <v>1669</v>
      </c>
      <c r="B1070" s="2459" t="s">
        <v>1646</v>
      </c>
      <c r="C1070" s="2459" t="s">
        <v>1670</v>
      </c>
      <c r="D1070" s="2460" t="s">
        <v>1671</v>
      </c>
      <c r="E1070" s="2461" t="s">
        <v>1538</v>
      </c>
      <c r="F1070" s="2461" t="s">
        <v>1565</v>
      </c>
      <c r="G1070" s="2461" t="s">
        <v>1421</v>
      </c>
      <c r="H1070" s="2461" t="s">
        <v>1540</v>
      </c>
      <c r="I1070" s="2462">
        <v>1.0770233488410455E-3</v>
      </c>
      <c r="J1070" s="2462">
        <v>4.9192901663015647</v>
      </c>
    </row>
    <row r="1071" spans="1:10" outlineLevel="2">
      <c r="A1071" s="2459" t="s">
        <v>1669</v>
      </c>
      <c r="B1071" s="2459" t="s">
        <v>1646</v>
      </c>
      <c r="C1071" s="2459" t="s">
        <v>1670</v>
      </c>
      <c r="D1071" s="2460" t="s">
        <v>1671</v>
      </c>
      <c r="E1071" s="2461" t="s">
        <v>1538</v>
      </c>
      <c r="F1071" s="2461" t="s">
        <v>1566</v>
      </c>
      <c r="G1071" s="2461" t="s">
        <v>1421</v>
      </c>
      <c r="H1071" s="2461" t="s">
        <v>1540</v>
      </c>
      <c r="I1071" s="2462">
        <v>5.6156941036479655E-4</v>
      </c>
      <c r="J1071" s="2462">
        <v>5.7441266669452249</v>
      </c>
    </row>
    <row r="1072" spans="1:10" outlineLevel="2">
      <c r="A1072" s="2459" t="s">
        <v>1669</v>
      </c>
      <c r="B1072" s="2459" t="s">
        <v>1646</v>
      </c>
      <c r="C1072" s="2459" t="s">
        <v>1670</v>
      </c>
      <c r="D1072" s="2460" t="s">
        <v>1671</v>
      </c>
      <c r="E1072" s="2461" t="s">
        <v>1538</v>
      </c>
      <c r="F1072" s="2461" t="s">
        <v>1567</v>
      </c>
      <c r="G1072" s="2461" t="s">
        <v>1421</v>
      </c>
      <c r="H1072" s="2461" t="s">
        <v>1540</v>
      </c>
      <c r="I1072" s="2462">
        <v>9.2967485743689971E-4</v>
      </c>
      <c r="J1072" s="2462">
        <v>7.1391124571663944</v>
      </c>
    </row>
    <row r="1073" spans="1:10" outlineLevel="2">
      <c r="A1073" s="2459" t="s">
        <v>1669</v>
      </c>
      <c r="B1073" s="2459" t="s">
        <v>1646</v>
      </c>
      <c r="C1073" s="2459" t="s">
        <v>1670</v>
      </c>
      <c r="D1073" s="2460" t="s">
        <v>1671</v>
      </c>
      <c r="E1073" s="2461" t="s">
        <v>1538</v>
      </c>
      <c r="F1073" s="2461" t="s">
        <v>1568</v>
      </c>
      <c r="G1073" s="2461" t="s">
        <v>1421</v>
      </c>
      <c r="H1073" s="2461" t="s">
        <v>1540</v>
      </c>
      <c r="I1073" s="2462">
        <v>3.2181759521180421E-5</v>
      </c>
      <c r="J1073" s="2462">
        <v>9.7095820424722978E-2</v>
      </c>
    </row>
    <row r="1074" spans="1:10" outlineLevel="2">
      <c r="A1074" s="2459" t="s">
        <v>1669</v>
      </c>
      <c r="B1074" s="2459" t="s">
        <v>1646</v>
      </c>
      <c r="C1074" s="2459" t="s">
        <v>1670</v>
      </c>
      <c r="D1074" s="2460" t="s">
        <v>1671</v>
      </c>
      <c r="E1074" s="2461" t="s">
        <v>1538</v>
      </c>
      <c r="F1074" s="2461" t="s">
        <v>1569</v>
      </c>
      <c r="G1074" s="2461" t="s">
        <v>1421</v>
      </c>
      <c r="H1074" s="2461" t="s">
        <v>1540</v>
      </c>
      <c r="I1074" s="2462">
        <v>7.6286277615495909E-6</v>
      </c>
      <c r="J1074" s="2462">
        <v>8.8154638690187526E-2</v>
      </c>
    </row>
    <row r="1075" spans="1:10" outlineLevel="2">
      <c r="A1075" s="2459" t="s">
        <v>1669</v>
      </c>
      <c r="B1075" s="2459" t="s">
        <v>1646</v>
      </c>
      <c r="C1075" s="2459" t="s">
        <v>1670</v>
      </c>
      <c r="D1075" s="2460" t="s">
        <v>1671</v>
      </c>
      <c r="E1075" s="2461" t="s">
        <v>1400</v>
      </c>
      <c r="F1075" s="2461" t="s">
        <v>1571</v>
      </c>
      <c r="G1075" s="2461" t="s">
        <v>215</v>
      </c>
      <c r="H1075" s="2461" t="s">
        <v>1531</v>
      </c>
      <c r="I1075" s="2462">
        <v>4.6211123752033165E-3</v>
      </c>
      <c r="J1075" s="2462">
        <v>166.31743905821773</v>
      </c>
    </row>
    <row r="1076" spans="1:10" outlineLevel="2">
      <c r="A1076" s="2459" t="s">
        <v>1669</v>
      </c>
      <c r="B1076" s="2459" t="s">
        <v>1646</v>
      </c>
      <c r="C1076" s="2459" t="s">
        <v>1670</v>
      </c>
      <c r="D1076" s="2460" t="s">
        <v>1671</v>
      </c>
      <c r="E1076" s="2461" t="s">
        <v>1400</v>
      </c>
      <c r="F1076" s="2461" t="s">
        <v>1572</v>
      </c>
      <c r="G1076" s="2461" t="s">
        <v>215</v>
      </c>
      <c r="H1076" s="2461" t="s">
        <v>1531</v>
      </c>
      <c r="I1076" s="2462">
        <v>7.323574006301094E-5</v>
      </c>
      <c r="J1076" s="2462">
        <v>1.3892405874892275</v>
      </c>
    </row>
    <row r="1077" spans="1:10" outlineLevel="2">
      <c r="A1077" s="2459" t="s">
        <v>1669</v>
      </c>
      <c r="B1077" s="2459" t="s">
        <v>1646</v>
      </c>
      <c r="C1077" s="2459" t="s">
        <v>1670</v>
      </c>
      <c r="D1077" s="2460" t="s">
        <v>1671</v>
      </c>
      <c r="E1077" s="2461" t="s">
        <v>1573</v>
      </c>
      <c r="F1077" s="2461" t="s">
        <v>1574</v>
      </c>
      <c r="G1077" s="2461" t="s">
        <v>1426</v>
      </c>
      <c r="H1077" s="2461" t="s">
        <v>1427</v>
      </c>
      <c r="I1077" s="2462">
        <v>4.6617266909343121E-3</v>
      </c>
      <c r="J1077" s="2462">
        <v>115.24447296446012</v>
      </c>
    </row>
    <row r="1078" spans="1:10" outlineLevel="2">
      <c r="A1078" s="2459" t="s">
        <v>1669</v>
      </c>
      <c r="B1078" s="2459" t="s">
        <v>1646</v>
      </c>
      <c r="C1078" s="2459" t="s">
        <v>1670</v>
      </c>
      <c r="D1078" s="2460" t="s">
        <v>1671</v>
      </c>
      <c r="E1078" s="2461" t="s">
        <v>1573</v>
      </c>
      <c r="F1078" s="2461" t="s">
        <v>1575</v>
      </c>
      <c r="G1078" s="2461" t="s">
        <v>1409</v>
      </c>
      <c r="H1078" s="2461" t="s">
        <v>1070</v>
      </c>
      <c r="I1078" s="2462">
        <v>4.3584633183231227E-4</v>
      </c>
      <c r="J1078" s="2462">
        <v>25.418745923807389</v>
      </c>
    </row>
    <row r="1079" spans="1:10" outlineLevel="2">
      <c r="A1079" s="2459" t="s">
        <v>1669</v>
      </c>
      <c r="B1079" s="2459" t="s">
        <v>1646</v>
      </c>
      <c r="C1079" s="2459" t="s">
        <v>1670</v>
      </c>
      <c r="D1079" s="2460" t="s">
        <v>1671</v>
      </c>
      <c r="E1079" s="2461" t="s">
        <v>1573</v>
      </c>
      <c r="F1079" s="2461" t="s">
        <v>1576</v>
      </c>
      <c r="G1079" s="2461" t="s">
        <v>1409</v>
      </c>
      <c r="H1079" s="2461" t="s">
        <v>1070</v>
      </c>
      <c r="I1079" s="2462">
        <v>3.7475369446954571E-6</v>
      </c>
      <c r="J1079" s="2462">
        <v>4.1393880663538739E-2</v>
      </c>
    </row>
    <row r="1080" spans="1:10" outlineLevel="2">
      <c r="A1080" s="2459" t="s">
        <v>1669</v>
      </c>
      <c r="B1080" s="2459" t="s">
        <v>1646</v>
      </c>
      <c r="C1080" s="2459" t="s">
        <v>1670</v>
      </c>
      <c r="D1080" s="2460" t="s">
        <v>1671</v>
      </c>
      <c r="E1080" s="2461" t="s">
        <v>1573</v>
      </c>
      <c r="F1080" s="2461" t="s">
        <v>1577</v>
      </c>
      <c r="G1080" s="2461" t="s">
        <v>1409</v>
      </c>
      <c r="H1080" s="2461" t="s">
        <v>1070</v>
      </c>
      <c r="I1080" s="2462">
        <v>5.4348914610395668E-5</v>
      </c>
      <c r="J1080" s="2462">
        <v>0.68187018879961947</v>
      </c>
    </row>
    <row r="1081" spans="1:10" outlineLevel="2">
      <c r="A1081" s="2459" t="s">
        <v>1669</v>
      </c>
      <c r="B1081" s="2459" t="s">
        <v>1646</v>
      </c>
      <c r="C1081" s="2459" t="s">
        <v>1670</v>
      </c>
      <c r="D1081" s="2460" t="s">
        <v>1671</v>
      </c>
      <c r="E1081" s="2461" t="s">
        <v>1573</v>
      </c>
      <c r="F1081" s="2461" t="s">
        <v>1578</v>
      </c>
      <c r="G1081" s="2461" t="s">
        <v>1409</v>
      </c>
      <c r="H1081" s="2461" t="s">
        <v>1070</v>
      </c>
      <c r="I1081" s="2462">
        <v>1.2411138327965273E-3</v>
      </c>
      <c r="J1081" s="2462">
        <v>63.626962327270491</v>
      </c>
    </row>
    <row r="1082" spans="1:10" outlineLevel="2">
      <c r="A1082" s="2459" t="s">
        <v>1669</v>
      </c>
      <c r="B1082" s="2459" t="s">
        <v>1646</v>
      </c>
      <c r="C1082" s="2459" t="s">
        <v>1670</v>
      </c>
      <c r="D1082" s="2460" t="s">
        <v>1671</v>
      </c>
      <c r="E1082" s="2461" t="s">
        <v>1573</v>
      </c>
      <c r="F1082" s="2461" t="s">
        <v>1579</v>
      </c>
      <c r="G1082" s="2461" t="s">
        <v>1409</v>
      </c>
      <c r="H1082" s="2461" t="s">
        <v>1070</v>
      </c>
      <c r="I1082" s="2462">
        <v>9.4216327670036345E-4</v>
      </c>
      <c r="J1082" s="2462">
        <v>69.230450330718924</v>
      </c>
    </row>
    <row r="1083" spans="1:10" outlineLevel="2">
      <c r="A1083" s="2459" t="s">
        <v>1669</v>
      </c>
      <c r="B1083" s="2459" t="s">
        <v>1646</v>
      </c>
      <c r="C1083" s="2459" t="s">
        <v>1670</v>
      </c>
      <c r="D1083" s="2460" t="s">
        <v>1671</v>
      </c>
      <c r="E1083" s="2461" t="s">
        <v>1573</v>
      </c>
      <c r="F1083" s="2461" t="s">
        <v>1580</v>
      </c>
      <c r="G1083" s="2461" t="s">
        <v>1409</v>
      </c>
      <c r="H1083" s="2461" t="s">
        <v>1070</v>
      </c>
      <c r="I1083" s="2462">
        <v>1.0644475263577777E-4</v>
      </c>
      <c r="J1083" s="2462">
        <v>3.8227756779002724</v>
      </c>
    </row>
    <row r="1084" spans="1:10" outlineLevel="2">
      <c r="A1084" s="2459" t="s">
        <v>1669</v>
      </c>
      <c r="B1084" s="2459" t="s">
        <v>1646</v>
      </c>
      <c r="C1084" s="2459" t="s">
        <v>1670</v>
      </c>
      <c r="D1084" s="2460" t="s">
        <v>1671</v>
      </c>
      <c r="E1084" s="2461" t="s">
        <v>1573</v>
      </c>
      <c r="F1084" s="2461" t="s">
        <v>1581</v>
      </c>
      <c r="G1084" s="2461" t="s">
        <v>1409</v>
      </c>
      <c r="H1084" s="2461" t="s">
        <v>1070</v>
      </c>
      <c r="I1084" s="2462">
        <v>5.6616997760041663E-5</v>
      </c>
      <c r="J1084" s="2462">
        <v>2.6031453209191642</v>
      </c>
    </row>
    <row r="1085" spans="1:10" outlineLevel="2">
      <c r="A1085" s="2459" t="s">
        <v>1669</v>
      </c>
      <c r="B1085" s="2459" t="s">
        <v>1646</v>
      </c>
      <c r="C1085" s="2459" t="s">
        <v>1670</v>
      </c>
      <c r="D1085" s="2460" t="s">
        <v>1671</v>
      </c>
      <c r="E1085" s="2461" t="s">
        <v>1573</v>
      </c>
      <c r="F1085" s="2461" t="s">
        <v>1582</v>
      </c>
      <c r="G1085" s="2461" t="s">
        <v>1409</v>
      </c>
      <c r="H1085" s="2461" t="s">
        <v>1070</v>
      </c>
      <c r="I1085" s="2462">
        <v>3.0091718065377291E-4</v>
      </c>
      <c r="J1085" s="2462">
        <v>7.1484889934714451</v>
      </c>
    </row>
    <row r="1086" spans="1:10" outlineLevel="2">
      <c r="A1086" s="2459" t="s">
        <v>1669</v>
      </c>
      <c r="B1086" s="2459" t="s">
        <v>1646</v>
      </c>
      <c r="C1086" s="2459" t="s">
        <v>1670</v>
      </c>
      <c r="D1086" s="2460" t="s">
        <v>1671</v>
      </c>
      <c r="E1086" s="2461" t="s">
        <v>1573</v>
      </c>
      <c r="F1086" s="2461" t="s">
        <v>1583</v>
      </c>
      <c r="G1086" s="2461" t="s">
        <v>1409</v>
      </c>
      <c r="H1086" s="2461" t="s">
        <v>1070</v>
      </c>
      <c r="I1086" s="2462">
        <v>8.6264342483615179E-4</v>
      </c>
      <c r="J1086" s="2462">
        <v>30.590275043827123</v>
      </c>
    </row>
    <row r="1087" spans="1:10" outlineLevel="2">
      <c r="A1087" s="2459" t="s">
        <v>1669</v>
      </c>
      <c r="B1087" s="2459" t="s">
        <v>1646</v>
      </c>
      <c r="C1087" s="2459" t="s">
        <v>1670</v>
      </c>
      <c r="D1087" s="2460" t="s">
        <v>1671</v>
      </c>
      <c r="E1087" s="2461" t="s">
        <v>1573</v>
      </c>
      <c r="F1087" s="2461" t="s">
        <v>1584</v>
      </c>
      <c r="G1087" s="2461" t="s">
        <v>1409</v>
      </c>
      <c r="H1087" s="2461" t="s">
        <v>1070</v>
      </c>
      <c r="I1087" s="2462">
        <v>6.0986059953990204E-4</v>
      </c>
      <c r="J1087" s="2462">
        <v>33.58622452202173</v>
      </c>
    </row>
    <row r="1088" spans="1:10" outlineLevel="2">
      <c r="A1088" s="2459" t="s">
        <v>1669</v>
      </c>
      <c r="B1088" s="2459" t="s">
        <v>1646</v>
      </c>
      <c r="C1088" s="2459" t="s">
        <v>1670</v>
      </c>
      <c r="D1088" s="2460" t="s">
        <v>1671</v>
      </c>
      <c r="E1088" s="2461" t="s">
        <v>1573</v>
      </c>
      <c r="F1088" s="2461" t="s">
        <v>1585</v>
      </c>
      <c r="G1088" s="2461" t="s">
        <v>1409</v>
      </c>
      <c r="H1088" s="2461" t="s">
        <v>1070</v>
      </c>
      <c r="I1088" s="2462">
        <v>3.3435387290836373E-3</v>
      </c>
      <c r="J1088" s="2462">
        <v>257.89104222320259</v>
      </c>
    </row>
    <row r="1089" spans="1:10" outlineLevel="2">
      <c r="A1089" s="2459" t="s">
        <v>1669</v>
      </c>
      <c r="B1089" s="2459" t="s">
        <v>1646</v>
      </c>
      <c r="C1089" s="2459" t="s">
        <v>1670</v>
      </c>
      <c r="D1089" s="2460" t="s">
        <v>1671</v>
      </c>
      <c r="E1089" s="2461" t="s">
        <v>1573</v>
      </c>
      <c r="F1089" s="2461" t="s">
        <v>1586</v>
      </c>
      <c r="G1089" s="2461" t="s">
        <v>1409</v>
      </c>
      <c r="H1089" s="2461" t="s">
        <v>1070</v>
      </c>
      <c r="I1089" s="2462">
        <v>7.0718349353772429E-5</v>
      </c>
      <c r="J1089" s="2462">
        <v>2.1443946297975245</v>
      </c>
    </row>
    <row r="1090" spans="1:10" outlineLevel="2">
      <c r="A1090" s="2459" t="s">
        <v>1669</v>
      </c>
      <c r="B1090" s="2459" t="s">
        <v>1646</v>
      </c>
      <c r="C1090" s="2459" t="s">
        <v>1670</v>
      </c>
      <c r="D1090" s="2460" t="s">
        <v>1671</v>
      </c>
      <c r="E1090" s="2461" t="s">
        <v>1573</v>
      </c>
      <c r="F1090" s="2461" t="s">
        <v>1587</v>
      </c>
      <c r="G1090" s="2461" t="s">
        <v>1409</v>
      </c>
      <c r="H1090" s="2461" t="s">
        <v>1070</v>
      </c>
      <c r="I1090" s="2462">
        <v>2.7849667782706678E-5</v>
      </c>
      <c r="J1090" s="2462">
        <v>1.3130173357470676</v>
      </c>
    </row>
    <row r="1091" spans="1:10" outlineLevel="2">
      <c r="A1091" s="2459" t="s">
        <v>1669</v>
      </c>
      <c r="B1091" s="2459" t="s">
        <v>1646</v>
      </c>
      <c r="C1091" s="2459" t="s">
        <v>1670</v>
      </c>
      <c r="D1091" s="2460" t="s">
        <v>1671</v>
      </c>
      <c r="E1091" s="2461" t="s">
        <v>1573</v>
      </c>
      <c r="F1091" s="2461" t="s">
        <v>1588</v>
      </c>
      <c r="G1091" s="2461" t="s">
        <v>1409</v>
      </c>
      <c r="H1091" s="2461" t="s">
        <v>1070</v>
      </c>
      <c r="I1091" s="2462">
        <v>9.8662621623268193E-4</v>
      </c>
      <c r="J1091" s="2462">
        <v>58.947276052861085</v>
      </c>
    </row>
    <row r="1092" spans="1:10" outlineLevel="2">
      <c r="A1092" s="2459" t="s">
        <v>1669</v>
      </c>
      <c r="B1092" s="2459" t="s">
        <v>1646</v>
      </c>
      <c r="C1092" s="2459" t="s">
        <v>1670</v>
      </c>
      <c r="D1092" s="2460" t="s">
        <v>1671</v>
      </c>
      <c r="E1092" s="2461" t="s">
        <v>1573</v>
      </c>
      <c r="F1092" s="2461" t="s">
        <v>1589</v>
      </c>
      <c r="G1092" s="2461" t="s">
        <v>1409</v>
      </c>
      <c r="H1092" s="2461" t="s">
        <v>1070</v>
      </c>
      <c r="I1092" s="2462">
        <v>8.4821665420412821E-4</v>
      </c>
      <c r="J1092" s="2462">
        <v>64.16487155526022</v>
      </c>
    </row>
    <row r="1093" spans="1:10" outlineLevel="2">
      <c r="A1093" s="2459" t="s">
        <v>1669</v>
      </c>
      <c r="B1093" s="2459" t="s">
        <v>1646</v>
      </c>
      <c r="C1093" s="2459" t="s">
        <v>1670</v>
      </c>
      <c r="D1093" s="2460" t="s">
        <v>1671</v>
      </c>
      <c r="E1093" s="2461" t="s">
        <v>1573</v>
      </c>
      <c r="F1093" s="2461" t="s">
        <v>1590</v>
      </c>
      <c r="G1093" s="2461" t="s">
        <v>1409</v>
      </c>
      <c r="H1093" s="2461" t="s">
        <v>1070</v>
      </c>
      <c r="I1093" s="2462">
        <v>3.0969185131895873E-3</v>
      </c>
      <c r="J1093" s="2462">
        <v>220.71805882546252</v>
      </c>
    </row>
    <row r="1094" spans="1:10" outlineLevel="2">
      <c r="A1094" s="2459" t="s">
        <v>1669</v>
      </c>
      <c r="B1094" s="2459" t="s">
        <v>1646</v>
      </c>
      <c r="C1094" s="2459" t="s">
        <v>1670</v>
      </c>
      <c r="D1094" s="2460" t="s">
        <v>1671</v>
      </c>
      <c r="E1094" s="2461" t="s">
        <v>1573</v>
      </c>
      <c r="F1094" s="2461" t="s">
        <v>1591</v>
      </c>
      <c r="G1094" s="2461" t="s">
        <v>1409</v>
      </c>
      <c r="H1094" s="2461" t="s">
        <v>1070</v>
      </c>
      <c r="I1094" s="2462">
        <v>2.1317670773151302E-4</v>
      </c>
      <c r="J1094" s="2462">
        <v>10.378551648943558</v>
      </c>
    </row>
    <row r="1095" spans="1:10" outlineLevel="2">
      <c r="A1095" s="2459" t="s">
        <v>1669</v>
      </c>
      <c r="B1095" s="2459" t="s">
        <v>1646</v>
      </c>
      <c r="C1095" s="2459" t="s">
        <v>1670</v>
      </c>
      <c r="D1095" s="2460" t="s">
        <v>1671</v>
      </c>
      <c r="E1095" s="2461" t="s">
        <v>1573</v>
      </c>
      <c r="F1095" s="2461" t="s">
        <v>1592</v>
      </c>
      <c r="G1095" s="2461" t="s">
        <v>1409</v>
      </c>
      <c r="H1095" s="2461" t="s">
        <v>1070</v>
      </c>
      <c r="I1095" s="2462">
        <v>1.7925427854152004E-3</v>
      </c>
      <c r="J1095" s="2462">
        <v>82.555782261599234</v>
      </c>
    </row>
    <row r="1096" spans="1:10" outlineLevel="2">
      <c r="A1096" s="2459" t="s">
        <v>1669</v>
      </c>
      <c r="B1096" s="2459" t="s">
        <v>1646</v>
      </c>
      <c r="C1096" s="2459" t="s">
        <v>1670</v>
      </c>
      <c r="D1096" s="2460" t="s">
        <v>1671</v>
      </c>
      <c r="E1096" s="2461" t="s">
        <v>1573</v>
      </c>
      <c r="F1096" s="2461" t="s">
        <v>1593</v>
      </c>
      <c r="G1096" s="2461" t="s">
        <v>1409</v>
      </c>
      <c r="H1096" s="2461" t="s">
        <v>1070</v>
      </c>
      <c r="I1096" s="2462">
        <v>4.379731629975187E-3</v>
      </c>
      <c r="J1096" s="2462">
        <v>280.67390117599643</v>
      </c>
    </row>
    <row r="1097" spans="1:10" outlineLevel="2">
      <c r="A1097" s="2459" t="s">
        <v>1669</v>
      </c>
      <c r="B1097" s="2459" t="s">
        <v>1646</v>
      </c>
      <c r="C1097" s="2459" t="s">
        <v>1670</v>
      </c>
      <c r="D1097" s="2460" t="s">
        <v>1671</v>
      </c>
      <c r="E1097" s="2461" t="s">
        <v>1573</v>
      </c>
      <c r="F1097" s="2461" t="s">
        <v>1594</v>
      </c>
      <c r="G1097" s="2461" t="s">
        <v>1409</v>
      </c>
      <c r="H1097" s="2461" t="s">
        <v>1070</v>
      </c>
      <c r="I1097" s="2462">
        <v>9.5926877077652708E-3</v>
      </c>
      <c r="J1097" s="2462">
        <v>188.29381793683586</v>
      </c>
    </row>
    <row r="1098" spans="1:10" outlineLevel="2">
      <c r="A1098" s="2459" t="s">
        <v>1669</v>
      </c>
      <c r="B1098" s="2459" t="s">
        <v>1646</v>
      </c>
      <c r="C1098" s="2459" t="s">
        <v>1670</v>
      </c>
      <c r="D1098" s="2460" t="s">
        <v>1671</v>
      </c>
      <c r="E1098" s="2461" t="s">
        <v>1573</v>
      </c>
      <c r="F1098" s="2461" t="s">
        <v>1595</v>
      </c>
      <c r="G1098" s="2461" t="s">
        <v>1409</v>
      </c>
      <c r="H1098" s="2461" t="s">
        <v>1070</v>
      </c>
      <c r="I1098" s="2462">
        <v>3.5270037449468892E-3</v>
      </c>
      <c r="J1098" s="2462">
        <v>256.75726763499131</v>
      </c>
    </row>
    <row r="1099" spans="1:10" outlineLevel="2">
      <c r="A1099" s="2459" t="s">
        <v>1669</v>
      </c>
      <c r="B1099" s="2459" t="s">
        <v>1646</v>
      </c>
      <c r="C1099" s="2459" t="s">
        <v>1670</v>
      </c>
      <c r="D1099" s="2460" t="s">
        <v>1671</v>
      </c>
      <c r="E1099" s="2461" t="s">
        <v>1573</v>
      </c>
      <c r="F1099" s="2461" t="s">
        <v>1596</v>
      </c>
      <c r="G1099" s="2461" t="s">
        <v>1409</v>
      </c>
      <c r="H1099" s="2461" t="s">
        <v>1070</v>
      </c>
      <c r="I1099" s="2462">
        <v>6.4219873747985842E-3</v>
      </c>
      <c r="J1099" s="2462">
        <v>147.80101746035913</v>
      </c>
    </row>
    <row r="1100" spans="1:10" outlineLevel="2">
      <c r="A1100" s="2459" t="s">
        <v>1669</v>
      </c>
      <c r="B1100" s="2459" t="s">
        <v>1646</v>
      </c>
      <c r="C1100" s="2459" t="s">
        <v>1670</v>
      </c>
      <c r="D1100" s="2460" t="s">
        <v>1671</v>
      </c>
      <c r="E1100" s="2461" t="s">
        <v>1573</v>
      </c>
      <c r="F1100" s="2461" t="s">
        <v>1597</v>
      </c>
      <c r="G1100" s="2461" t="s">
        <v>1409</v>
      </c>
      <c r="H1100" s="2461" t="s">
        <v>1070</v>
      </c>
      <c r="I1100" s="2462">
        <v>3.7698324460311343E-4</v>
      </c>
      <c r="J1100" s="2462">
        <v>27.550368776444451</v>
      </c>
    </row>
    <row r="1101" spans="1:10" outlineLevel="2">
      <c r="A1101" s="2459" t="s">
        <v>1669</v>
      </c>
      <c r="B1101" s="2459" t="s">
        <v>1646</v>
      </c>
      <c r="C1101" s="2459" t="s">
        <v>1670</v>
      </c>
      <c r="D1101" s="2460" t="s">
        <v>1671</v>
      </c>
      <c r="E1101" s="2461" t="s">
        <v>1573</v>
      </c>
      <c r="F1101" s="2461" t="s">
        <v>1598</v>
      </c>
      <c r="G1101" s="2461" t="s">
        <v>1409</v>
      </c>
      <c r="H1101" s="2461" t="s">
        <v>1070</v>
      </c>
      <c r="I1101" s="2462">
        <v>1.9580192257628812E-5</v>
      </c>
      <c r="J1101" s="2462">
        <v>0.45200024187403515</v>
      </c>
    </row>
    <row r="1102" spans="1:10" outlineLevel="2">
      <c r="A1102" s="2459" t="s">
        <v>1669</v>
      </c>
      <c r="B1102" s="2459" t="s">
        <v>1646</v>
      </c>
      <c r="C1102" s="2459" t="s">
        <v>1670</v>
      </c>
      <c r="D1102" s="2460" t="s">
        <v>1671</v>
      </c>
      <c r="E1102" s="2461" t="s">
        <v>1573</v>
      </c>
      <c r="F1102" s="2461" t="s">
        <v>1599</v>
      </c>
      <c r="G1102" s="2461" t="s">
        <v>1409</v>
      </c>
      <c r="H1102" s="2461" t="s">
        <v>1070</v>
      </c>
      <c r="I1102" s="2462">
        <v>5.3455717662520628E-4</v>
      </c>
      <c r="J1102" s="2462">
        <v>28.73773942780819</v>
      </c>
    </row>
    <row r="1103" spans="1:10" outlineLevel="2">
      <c r="A1103" s="2459" t="s">
        <v>1669</v>
      </c>
      <c r="B1103" s="2459" t="s">
        <v>1646</v>
      </c>
      <c r="C1103" s="2459" t="s">
        <v>1670</v>
      </c>
      <c r="D1103" s="2460" t="s">
        <v>1671</v>
      </c>
      <c r="E1103" s="2461" t="s">
        <v>1573</v>
      </c>
      <c r="F1103" s="2461" t="s">
        <v>1600</v>
      </c>
      <c r="G1103" s="2461" t="s">
        <v>1412</v>
      </c>
      <c r="H1103" s="2461" t="s">
        <v>1116</v>
      </c>
      <c r="I1103" s="2462">
        <v>1.2929225753383876E-3</v>
      </c>
      <c r="J1103" s="2462">
        <v>31.279230567928522</v>
      </c>
    </row>
    <row r="1104" spans="1:10" outlineLevel="2">
      <c r="A1104" s="2459" t="s">
        <v>1669</v>
      </c>
      <c r="B1104" s="2459" t="s">
        <v>1646</v>
      </c>
      <c r="C1104" s="2459" t="s">
        <v>1670</v>
      </c>
      <c r="D1104" s="2460" t="s">
        <v>1671</v>
      </c>
      <c r="E1104" s="2461" t="s">
        <v>1573</v>
      </c>
      <c r="F1104" s="2461" t="s">
        <v>1601</v>
      </c>
      <c r="G1104" s="2461" t="s">
        <v>1412</v>
      </c>
      <c r="H1104" s="2461" t="s">
        <v>1116</v>
      </c>
      <c r="I1104" s="2462">
        <v>6.434396356762997E-3</v>
      </c>
      <c r="J1104" s="2462">
        <v>453.78655783557201</v>
      </c>
    </row>
    <row r="1105" spans="1:10" outlineLevel="2">
      <c r="A1105" s="2459" t="s">
        <v>1669</v>
      </c>
      <c r="B1105" s="2459" t="s">
        <v>1646</v>
      </c>
      <c r="C1105" s="2459" t="s">
        <v>1670</v>
      </c>
      <c r="D1105" s="2460" t="s">
        <v>1671</v>
      </c>
      <c r="E1105" s="2461" t="s">
        <v>1573</v>
      </c>
      <c r="F1105" s="2461" t="s">
        <v>1602</v>
      </c>
      <c r="G1105" s="2461" t="s">
        <v>1412</v>
      </c>
      <c r="H1105" s="2461" t="s">
        <v>1116</v>
      </c>
      <c r="I1105" s="2462">
        <v>3.7798701152815862E-3</v>
      </c>
      <c r="J1105" s="2462">
        <v>198.20462499235512</v>
      </c>
    </row>
    <row r="1106" spans="1:10" outlineLevel="2">
      <c r="A1106" s="2459" t="s">
        <v>1669</v>
      </c>
      <c r="B1106" s="2459" t="s">
        <v>1646</v>
      </c>
      <c r="C1106" s="2459" t="s">
        <v>1670</v>
      </c>
      <c r="D1106" s="2460" t="s">
        <v>1671</v>
      </c>
      <c r="E1106" s="2461" t="s">
        <v>1573</v>
      </c>
      <c r="F1106" s="2461" t="s">
        <v>1603</v>
      </c>
      <c r="G1106" s="2461" t="s">
        <v>1412</v>
      </c>
      <c r="H1106" s="2461" t="s">
        <v>1116</v>
      </c>
      <c r="I1106" s="2462">
        <v>4.4741419624841619E-3</v>
      </c>
      <c r="J1106" s="2462">
        <v>200.98722845589791</v>
      </c>
    </row>
    <row r="1107" spans="1:10" outlineLevel="2">
      <c r="A1107" s="2459" t="s">
        <v>1669</v>
      </c>
      <c r="B1107" s="2459" t="s">
        <v>1646</v>
      </c>
      <c r="C1107" s="2459" t="s">
        <v>1670</v>
      </c>
      <c r="D1107" s="2460" t="s">
        <v>1671</v>
      </c>
      <c r="E1107" s="2461" t="s">
        <v>1573</v>
      </c>
      <c r="F1107" s="2461" t="s">
        <v>1604</v>
      </c>
      <c r="G1107" s="2461" t="s">
        <v>1412</v>
      </c>
      <c r="H1107" s="2461" t="s">
        <v>1116</v>
      </c>
      <c r="I1107" s="2462">
        <v>2.8337177199029686E-4</v>
      </c>
      <c r="J1107" s="2462">
        <v>7.751307752776083</v>
      </c>
    </row>
    <row r="1108" spans="1:10" outlineLevel="2">
      <c r="A1108" s="2459" t="s">
        <v>1669</v>
      </c>
      <c r="B1108" s="2459" t="s">
        <v>1646</v>
      </c>
      <c r="C1108" s="2459" t="s">
        <v>1670</v>
      </c>
      <c r="D1108" s="2460" t="s">
        <v>1671</v>
      </c>
      <c r="E1108" s="2461" t="s">
        <v>1573</v>
      </c>
      <c r="F1108" s="2461" t="s">
        <v>1605</v>
      </c>
      <c r="G1108" s="2461" t="s">
        <v>1412</v>
      </c>
      <c r="H1108" s="2461" t="s">
        <v>1116</v>
      </c>
      <c r="I1108" s="2462">
        <v>1.6256578395910652E-2</v>
      </c>
      <c r="J1108" s="2462">
        <v>534.29500149677438</v>
      </c>
    </row>
    <row r="1109" spans="1:10" outlineLevel="2">
      <c r="A1109" s="2459" t="s">
        <v>1669</v>
      </c>
      <c r="B1109" s="2459" t="s">
        <v>1646</v>
      </c>
      <c r="C1109" s="2459" t="s">
        <v>1670</v>
      </c>
      <c r="D1109" s="2460" t="s">
        <v>1671</v>
      </c>
      <c r="E1109" s="2461" t="s">
        <v>1573</v>
      </c>
      <c r="F1109" s="2461" t="s">
        <v>1606</v>
      </c>
      <c r="G1109" s="2461" t="s">
        <v>1412</v>
      </c>
      <c r="H1109" s="2461" t="s">
        <v>1116</v>
      </c>
      <c r="I1109" s="2462">
        <v>3.528008147741585E-3</v>
      </c>
      <c r="J1109" s="2462">
        <v>286.00533013930192</v>
      </c>
    </row>
    <row r="1110" spans="1:10" outlineLevel="2">
      <c r="A1110" s="2459" t="s">
        <v>1669</v>
      </c>
      <c r="B1110" s="2459" t="s">
        <v>1646</v>
      </c>
      <c r="C1110" s="2459" t="s">
        <v>1670</v>
      </c>
      <c r="D1110" s="2460" t="s">
        <v>1671</v>
      </c>
      <c r="E1110" s="2461" t="s">
        <v>1573</v>
      </c>
      <c r="F1110" s="2461" t="s">
        <v>1607</v>
      </c>
      <c r="G1110" s="2461" t="s">
        <v>1439</v>
      </c>
      <c r="H1110" s="2461" t="s">
        <v>1440</v>
      </c>
      <c r="I1110" s="2462">
        <v>4.0592303439815251E-7</v>
      </c>
      <c r="J1110" s="2462">
        <v>1.0174006265373363E-2</v>
      </c>
    </row>
    <row r="1111" spans="1:10" outlineLevel="2">
      <c r="A1111" s="2459" t="s">
        <v>1669</v>
      </c>
      <c r="B1111" s="2459" t="s">
        <v>1646</v>
      </c>
      <c r="C1111" s="2459" t="s">
        <v>1670</v>
      </c>
      <c r="D1111" s="2460" t="s">
        <v>1671</v>
      </c>
      <c r="E1111" s="2461" t="s">
        <v>1573</v>
      </c>
      <c r="F1111" s="2461" t="s">
        <v>1609</v>
      </c>
      <c r="G1111" s="2461" t="s">
        <v>1439</v>
      </c>
      <c r="H1111" s="2461" t="s">
        <v>1440</v>
      </c>
      <c r="I1111" s="2462">
        <v>3.2102999792306174E-3</v>
      </c>
      <c r="J1111" s="2462">
        <v>71.317271707695241</v>
      </c>
    </row>
    <row r="1112" spans="1:10" outlineLevel="2">
      <c r="A1112" s="2459" t="s">
        <v>1669</v>
      </c>
      <c r="B1112" s="2459" t="s">
        <v>1646</v>
      </c>
      <c r="C1112" s="2459" t="s">
        <v>1670</v>
      </c>
      <c r="D1112" s="2460" t="s">
        <v>1671</v>
      </c>
      <c r="E1112" s="2461" t="s">
        <v>1573</v>
      </c>
      <c r="F1112" s="2461" t="s">
        <v>1610</v>
      </c>
      <c r="G1112" s="2461" t="s">
        <v>1439</v>
      </c>
      <c r="H1112" s="2461" t="s">
        <v>1440</v>
      </c>
      <c r="I1112" s="2462">
        <v>8.442517219722208E-4</v>
      </c>
      <c r="J1112" s="2462">
        <v>14.722157605831267</v>
      </c>
    </row>
    <row r="1113" spans="1:10" outlineLevel="2">
      <c r="A1113" s="2459" t="s">
        <v>1669</v>
      </c>
      <c r="B1113" s="2459" t="s">
        <v>1646</v>
      </c>
      <c r="C1113" s="2459" t="s">
        <v>1670</v>
      </c>
      <c r="D1113" s="2460" t="s">
        <v>1671</v>
      </c>
      <c r="E1113" s="2461" t="s">
        <v>1573</v>
      </c>
      <c r="F1113" s="2461" t="s">
        <v>1611</v>
      </c>
      <c r="G1113" s="2461" t="s">
        <v>1439</v>
      </c>
      <c r="H1113" s="2461" t="s">
        <v>1440</v>
      </c>
      <c r="I1113" s="2462">
        <v>1.99548091011598E-3</v>
      </c>
      <c r="J1113" s="2462">
        <v>97.219664335232949</v>
      </c>
    </row>
    <row r="1114" spans="1:10" outlineLevel="2">
      <c r="A1114" s="2459" t="s">
        <v>1669</v>
      </c>
      <c r="B1114" s="2459" t="s">
        <v>1646</v>
      </c>
      <c r="C1114" s="2459" t="s">
        <v>1670</v>
      </c>
      <c r="D1114" s="2460" t="s">
        <v>1671</v>
      </c>
      <c r="E1114" s="2461" t="s">
        <v>1573</v>
      </c>
      <c r="F1114" s="2461" t="s">
        <v>1612</v>
      </c>
      <c r="G1114" s="2461" t="s">
        <v>1439</v>
      </c>
      <c r="H1114" s="2461" t="s">
        <v>1440</v>
      </c>
      <c r="I1114" s="2462">
        <v>3.4221646005989188E-4</v>
      </c>
      <c r="J1114" s="2462">
        <v>11.45492475138262</v>
      </c>
    </row>
    <row r="1115" spans="1:10" outlineLevel="2">
      <c r="A1115" s="2459" t="s">
        <v>1669</v>
      </c>
      <c r="B1115" s="2459" t="s">
        <v>1646</v>
      </c>
      <c r="C1115" s="2459" t="s">
        <v>1670</v>
      </c>
      <c r="D1115" s="2460" t="s">
        <v>1671</v>
      </c>
      <c r="E1115" s="2461" t="s">
        <v>1573</v>
      </c>
      <c r="F1115" s="2461" t="s">
        <v>1613</v>
      </c>
      <c r="G1115" s="2461" t="s">
        <v>1439</v>
      </c>
      <c r="H1115" s="2461" t="s">
        <v>1440</v>
      </c>
      <c r="I1115" s="2462">
        <v>9.6213685489953312E-6</v>
      </c>
      <c r="J1115" s="2462">
        <v>0.29086567882922831</v>
      </c>
    </row>
    <row r="1116" spans="1:10" outlineLevel="2">
      <c r="A1116" s="2459" t="s">
        <v>1669</v>
      </c>
      <c r="B1116" s="2459" t="s">
        <v>1646</v>
      </c>
      <c r="C1116" s="2459" t="s">
        <v>1670</v>
      </c>
      <c r="D1116" s="2460" t="s">
        <v>1671</v>
      </c>
      <c r="E1116" s="2461" t="s">
        <v>1573</v>
      </c>
      <c r="F1116" s="2461" t="s">
        <v>1614</v>
      </c>
      <c r="G1116" s="2461" t="s">
        <v>1418</v>
      </c>
      <c r="H1116" s="2461" t="s">
        <v>1452</v>
      </c>
      <c r="I1116" s="2462">
        <v>1.3881030956992716E-5</v>
      </c>
      <c r="J1116" s="2462">
        <v>0.11864679304873313</v>
      </c>
    </row>
    <row r="1117" spans="1:10" outlineLevel="2">
      <c r="A1117" s="2459" t="s">
        <v>1669</v>
      </c>
      <c r="B1117" s="2459" t="s">
        <v>1646</v>
      </c>
      <c r="C1117" s="2459" t="s">
        <v>1670</v>
      </c>
      <c r="D1117" s="2460" t="s">
        <v>1671</v>
      </c>
      <c r="E1117" s="2461" t="s">
        <v>1573</v>
      </c>
      <c r="F1117" s="2461" t="s">
        <v>1615</v>
      </c>
      <c r="G1117" s="2461" t="s">
        <v>1418</v>
      </c>
      <c r="H1117" s="2461" t="s">
        <v>1452</v>
      </c>
      <c r="I1117" s="2462">
        <v>8.3966717794745363E-2</v>
      </c>
      <c r="J1117" s="2462">
        <v>4926.4730178377968</v>
      </c>
    </row>
    <row r="1118" spans="1:10" outlineLevel="2">
      <c r="A1118" s="2459" t="s">
        <v>1669</v>
      </c>
      <c r="B1118" s="2459" t="s">
        <v>1646</v>
      </c>
      <c r="C1118" s="2459" t="s">
        <v>1670</v>
      </c>
      <c r="D1118" s="2460" t="s">
        <v>1671</v>
      </c>
      <c r="E1118" s="2461" t="s">
        <v>1573</v>
      </c>
      <c r="F1118" s="2461" t="s">
        <v>1616</v>
      </c>
      <c r="G1118" s="2461" t="s">
        <v>1418</v>
      </c>
      <c r="H1118" s="2461" t="s">
        <v>1452</v>
      </c>
      <c r="I1118" s="2462">
        <v>4.0076473913244022E-3</v>
      </c>
      <c r="J1118" s="2462">
        <v>441.70039576566614</v>
      </c>
    </row>
    <row r="1119" spans="1:10" outlineLevel="2">
      <c r="A1119" s="2459" t="s">
        <v>1669</v>
      </c>
      <c r="B1119" s="2459" t="s">
        <v>1646</v>
      </c>
      <c r="C1119" s="2459" t="s">
        <v>1670</v>
      </c>
      <c r="D1119" s="2460" t="s">
        <v>1671</v>
      </c>
      <c r="E1119" s="2461" t="s">
        <v>1573</v>
      </c>
      <c r="F1119" s="2461" t="s">
        <v>1617</v>
      </c>
      <c r="G1119" s="2461" t="s">
        <v>1418</v>
      </c>
      <c r="H1119" s="2461" t="s">
        <v>1452</v>
      </c>
      <c r="I1119" s="2462">
        <v>3.183303220093594E-5</v>
      </c>
      <c r="J1119" s="2462">
        <v>2.4448422725120107</v>
      </c>
    </row>
    <row r="1120" spans="1:10" outlineLevel="2">
      <c r="A1120" s="2459" t="s">
        <v>1669</v>
      </c>
      <c r="B1120" s="2459" t="s">
        <v>1646</v>
      </c>
      <c r="C1120" s="2459" t="s">
        <v>1670</v>
      </c>
      <c r="D1120" s="2460" t="s">
        <v>1671</v>
      </c>
      <c r="E1120" s="2461" t="s">
        <v>1573</v>
      </c>
      <c r="F1120" s="2461" t="s">
        <v>1618</v>
      </c>
      <c r="G1120" s="2461" t="s">
        <v>1418</v>
      </c>
      <c r="H1120" s="2461" t="s">
        <v>1452</v>
      </c>
      <c r="I1120" s="2462">
        <v>6.2053925901533828E-6</v>
      </c>
      <c r="J1120" s="2462">
        <v>0.51358675319453373</v>
      </c>
    </row>
    <row r="1121" spans="1:10" outlineLevel="2">
      <c r="A1121" s="2459" t="s">
        <v>1669</v>
      </c>
      <c r="B1121" s="2459" t="s">
        <v>1646</v>
      </c>
      <c r="C1121" s="2459" t="s">
        <v>1670</v>
      </c>
      <c r="D1121" s="2460" t="s">
        <v>1671</v>
      </c>
      <c r="E1121" s="2461" t="s">
        <v>1573</v>
      </c>
      <c r="F1121" s="2461" t="s">
        <v>1619</v>
      </c>
      <c r="G1121" s="2461" t="s">
        <v>1418</v>
      </c>
      <c r="H1121" s="2461" t="s">
        <v>1452</v>
      </c>
      <c r="I1121" s="2462">
        <v>4.0738350968457947E-4</v>
      </c>
      <c r="J1121" s="2462">
        <v>37.458115148522928</v>
      </c>
    </row>
    <row r="1122" spans="1:10" outlineLevel="2">
      <c r="A1122" s="2459" t="s">
        <v>1669</v>
      </c>
      <c r="B1122" s="2459" t="s">
        <v>1646</v>
      </c>
      <c r="C1122" s="2459" t="s">
        <v>1670</v>
      </c>
      <c r="D1122" s="2460" t="s">
        <v>1671</v>
      </c>
      <c r="E1122" s="2461" t="s">
        <v>1573</v>
      </c>
      <c r="F1122" s="2461" t="s">
        <v>1620</v>
      </c>
      <c r="G1122" s="2461" t="s">
        <v>1418</v>
      </c>
      <c r="H1122" s="2461" t="s">
        <v>1452</v>
      </c>
      <c r="I1122" s="2462">
        <v>8.6131279937990419E-7</v>
      </c>
      <c r="J1122" s="2462">
        <v>0.10363508278689418</v>
      </c>
    </row>
    <row r="1123" spans="1:10" outlineLevel="2">
      <c r="A1123" s="2459" t="s">
        <v>1669</v>
      </c>
      <c r="B1123" s="2459" t="s">
        <v>1646</v>
      </c>
      <c r="C1123" s="2459" t="s">
        <v>1670</v>
      </c>
      <c r="D1123" s="2460" t="s">
        <v>1671</v>
      </c>
      <c r="E1123" s="2461" t="s">
        <v>1573</v>
      </c>
      <c r="F1123" s="2461" t="s">
        <v>1621</v>
      </c>
      <c r="G1123" s="2461" t="s">
        <v>1418</v>
      </c>
      <c r="H1123" s="2461" t="s">
        <v>1452</v>
      </c>
      <c r="I1123" s="2462">
        <v>3.666706568989276E-4</v>
      </c>
      <c r="J1123" s="2462">
        <v>34.634982137090581</v>
      </c>
    </row>
    <row r="1124" spans="1:10" outlineLevel="2">
      <c r="A1124" s="2459" t="s">
        <v>1669</v>
      </c>
      <c r="B1124" s="2459" t="s">
        <v>1646</v>
      </c>
      <c r="C1124" s="2459" t="s">
        <v>1670</v>
      </c>
      <c r="D1124" s="2460" t="s">
        <v>1671</v>
      </c>
      <c r="E1124" s="2461" t="s">
        <v>1573</v>
      </c>
      <c r="F1124" s="2461" t="s">
        <v>1622</v>
      </c>
      <c r="G1124" s="2461" t="s">
        <v>1418</v>
      </c>
      <c r="H1124" s="2461" t="s">
        <v>1452</v>
      </c>
      <c r="I1124" s="2462">
        <v>1.0841269863019747E-3</v>
      </c>
      <c r="J1124" s="2462">
        <v>96.383445470553582</v>
      </c>
    </row>
    <row r="1125" spans="1:10" outlineLevel="2">
      <c r="A1125" s="2459" t="s">
        <v>1669</v>
      </c>
      <c r="B1125" s="2459" t="s">
        <v>1646</v>
      </c>
      <c r="C1125" s="2459" t="s">
        <v>1670</v>
      </c>
      <c r="D1125" s="2460" t="s">
        <v>1671</v>
      </c>
      <c r="E1125" s="2461" t="s">
        <v>1573</v>
      </c>
      <c r="F1125" s="2461" t="s">
        <v>1623</v>
      </c>
      <c r="G1125" s="2461" t="s">
        <v>1418</v>
      </c>
      <c r="H1125" s="2461" t="s">
        <v>1452</v>
      </c>
      <c r="I1125" s="2462">
        <v>1.6442067021162634E-3</v>
      </c>
      <c r="J1125" s="2462">
        <v>71.070418391639734</v>
      </c>
    </row>
    <row r="1126" spans="1:10" outlineLevel="2">
      <c r="A1126" s="2459" t="s">
        <v>1669</v>
      </c>
      <c r="B1126" s="2459" t="s">
        <v>1646</v>
      </c>
      <c r="C1126" s="2459" t="s">
        <v>1670</v>
      </c>
      <c r="D1126" s="2460" t="s">
        <v>1671</v>
      </c>
      <c r="E1126" s="2461" t="s">
        <v>1573</v>
      </c>
      <c r="F1126" s="2461" t="s">
        <v>1624</v>
      </c>
      <c r="G1126" s="2461" t="s">
        <v>1421</v>
      </c>
      <c r="H1126" s="2461" t="s">
        <v>1454</v>
      </c>
      <c r="I1126" s="2462">
        <v>4.6735665225370411E-3</v>
      </c>
      <c r="J1126" s="2462">
        <v>170.89813759177216</v>
      </c>
    </row>
    <row r="1127" spans="1:10" outlineLevel="2">
      <c r="A1127" s="2459" t="s">
        <v>1669</v>
      </c>
      <c r="B1127" s="2459" t="s">
        <v>1646</v>
      </c>
      <c r="C1127" s="2459" t="s">
        <v>1670</v>
      </c>
      <c r="D1127" s="2460" t="s">
        <v>1671</v>
      </c>
      <c r="E1127" s="2461" t="s">
        <v>1573</v>
      </c>
      <c r="F1127" s="2461" t="s">
        <v>1625</v>
      </c>
      <c r="G1127" s="2461" t="s">
        <v>1421</v>
      </c>
      <c r="H1127" s="2461" t="s">
        <v>1454</v>
      </c>
      <c r="I1127" s="2462">
        <v>1.1021704749279316E-3</v>
      </c>
      <c r="J1127" s="2462">
        <v>40.335079130894826</v>
      </c>
    </row>
    <row r="1128" spans="1:10" outlineLevel="2">
      <c r="A1128" s="2459" t="s">
        <v>1669</v>
      </c>
      <c r="B1128" s="2459" t="s">
        <v>1646</v>
      </c>
      <c r="C1128" s="2459" t="s">
        <v>1670</v>
      </c>
      <c r="D1128" s="2460" t="s">
        <v>1671</v>
      </c>
      <c r="E1128" s="2461" t="s">
        <v>1573</v>
      </c>
      <c r="F1128" s="2461" t="s">
        <v>1626</v>
      </c>
      <c r="G1128" s="2461" t="s">
        <v>1421</v>
      </c>
      <c r="H1128" s="2461" t="s">
        <v>1454</v>
      </c>
      <c r="I1128" s="2462">
        <v>3.0933294060441104E-3</v>
      </c>
      <c r="J1128" s="2462">
        <v>111.9047545747664</v>
      </c>
    </row>
    <row r="1129" spans="1:10" outlineLevel="2">
      <c r="A1129" s="2459" t="s">
        <v>1669</v>
      </c>
      <c r="B1129" s="2459" t="s">
        <v>1646</v>
      </c>
      <c r="C1129" s="2459" t="s">
        <v>1670</v>
      </c>
      <c r="D1129" s="2460" t="s">
        <v>1671</v>
      </c>
      <c r="E1129" s="2461" t="s">
        <v>1573</v>
      </c>
      <c r="F1129" s="2461" t="s">
        <v>1627</v>
      </c>
      <c r="G1129" s="2461" t="s">
        <v>1421</v>
      </c>
      <c r="H1129" s="2461" t="s">
        <v>1454</v>
      </c>
      <c r="I1129" s="2462">
        <v>2.6120591040639999E-3</v>
      </c>
      <c r="J1129" s="2462">
        <v>56.817457829285473</v>
      </c>
    </row>
    <row r="1130" spans="1:10" outlineLevel="2">
      <c r="A1130" s="2459" t="s">
        <v>1669</v>
      </c>
      <c r="B1130" s="2459" t="s">
        <v>1646</v>
      </c>
      <c r="C1130" s="2459" t="s">
        <v>1670</v>
      </c>
      <c r="D1130" s="2460" t="s">
        <v>1671</v>
      </c>
      <c r="E1130" s="2461" t="s">
        <v>1573</v>
      </c>
      <c r="F1130" s="2461" t="s">
        <v>1628</v>
      </c>
      <c r="G1130" s="2461" t="s">
        <v>1421</v>
      </c>
      <c r="H1130" s="2461" t="s">
        <v>1454</v>
      </c>
      <c r="I1130" s="2462">
        <v>1.2993527940618102E-4</v>
      </c>
      <c r="J1130" s="2462">
        <v>5.4644144526139007</v>
      </c>
    </row>
    <row r="1131" spans="1:10" outlineLevel="2">
      <c r="A1131" s="2459" t="s">
        <v>1669</v>
      </c>
      <c r="B1131" s="2459" t="s">
        <v>1646</v>
      </c>
      <c r="C1131" s="2459" t="s">
        <v>1670</v>
      </c>
      <c r="D1131" s="2460" t="s">
        <v>1671</v>
      </c>
      <c r="E1131" s="2461" t="s">
        <v>1573</v>
      </c>
      <c r="F1131" s="2461" t="s">
        <v>1629</v>
      </c>
      <c r="G1131" s="2461" t="s">
        <v>1421</v>
      </c>
      <c r="H1131" s="2461" t="s">
        <v>1454</v>
      </c>
      <c r="I1131" s="2462">
        <v>1.5032028706012628E-4</v>
      </c>
      <c r="J1131" s="2462">
        <v>4.836444484017127</v>
      </c>
    </row>
    <row r="1132" spans="1:10" outlineLevel="2">
      <c r="A1132" s="2459" t="s">
        <v>1669</v>
      </c>
      <c r="B1132" s="2459" t="s">
        <v>1646</v>
      </c>
      <c r="C1132" s="2459" t="s">
        <v>1670</v>
      </c>
      <c r="D1132" s="2460" t="s">
        <v>1671</v>
      </c>
      <c r="E1132" s="2461" t="s">
        <v>1573</v>
      </c>
      <c r="F1132" s="2461" t="s">
        <v>1630</v>
      </c>
      <c r="G1132" s="2461" t="s">
        <v>1459</v>
      </c>
      <c r="H1132" s="2461" t="s">
        <v>1460</v>
      </c>
      <c r="I1132" s="2462">
        <v>3.549050855103271E-3</v>
      </c>
      <c r="J1132" s="2462">
        <v>232.59736816066734</v>
      </c>
    </row>
    <row r="1133" spans="1:10" outlineLevel="2">
      <c r="A1133" s="2459" t="s">
        <v>1669</v>
      </c>
      <c r="B1133" s="2459" t="s">
        <v>1647</v>
      </c>
      <c r="C1133" s="2459" t="s">
        <v>1672</v>
      </c>
      <c r="D1133" s="2460" t="s">
        <v>1671</v>
      </c>
      <c r="E1133" s="2461" t="s">
        <v>1407</v>
      </c>
      <c r="F1133" s="2461" t="s">
        <v>1408</v>
      </c>
      <c r="G1133" s="2461" t="s">
        <v>1409</v>
      </c>
      <c r="H1133" s="2461" t="s">
        <v>1410</v>
      </c>
      <c r="I1133" s="2462">
        <v>7.1892737779610571E-3</v>
      </c>
      <c r="J1133" s="2462">
        <v>0.10575588799415162</v>
      </c>
    </row>
    <row r="1134" spans="1:10" outlineLevel="2">
      <c r="A1134" s="2459" t="s">
        <v>1669</v>
      </c>
      <c r="B1134" s="2459" t="s">
        <v>1647</v>
      </c>
      <c r="C1134" s="2459" t="s">
        <v>1672</v>
      </c>
      <c r="D1134" s="2460" t="s">
        <v>1671</v>
      </c>
      <c r="E1134" s="2461" t="s">
        <v>1407</v>
      </c>
      <c r="F1134" s="2461" t="s">
        <v>1411</v>
      </c>
      <c r="G1134" s="2461" t="s">
        <v>1412</v>
      </c>
      <c r="H1134" s="2461" t="s">
        <v>1410</v>
      </c>
      <c r="I1134" s="2462">
        <v>1.5458902327502673</v>
      </c>
      <c r="J1134" s="2462">
        <v>251.04325744455423</v>
      </c>
    </row>
    <row r="1135" spans="1:10" outlineLevel="2">
      <c r="A1135" s="2459" t="s">
        <v>1669</v>
      </c>
      <c r="B1135" s="2459" t="s">
        <v>1647</v>
      </c>
      <c r="C1135" s="2459" t="s">
        <v>1672</v>
      </c>
      <c r="D1135" s="2460" t="s">
        <v>1671</v>
      </c>
      <c r="E1135" s="2461" t="s">
        <v>1407</v>
      </c>
      <c r="F1135" s="2461" t="s">
        <v>1413</v>
      </c>
      <c r="G1135" s="2461" t="s">
        <v>1412</v>
      </c>
      <c r="H1135" s="2461" t="s">
        <v>1410</v>
      </c>
      <c r="I1135" s="2462">
        <v>1.2554159881057361E-3</v>
      </c>
      <c r="J1135" s="2462">
        <v>0.21267811113253277</v>
      </c>
    </row>
    <row r="1136" spans="1:10" outlineLevel="2">
      <c r="A1136" s="2459" t="s">
        <v>1669</v>
      </c>
      <c r="B1136" s="2459" t="s">
        <v>1647</v>
      </c>
      <c r="C1136" s="2459" t="s">
        <v>1672</v>
      </c>
      <c r="D1136" s="2460" t="s">
        <v>1671</v>
      </c>
      <c r="E1136" s="2461" t="s">
        <v>1407</v>
      </c>
      <c r="F1136" s="2461" t="s">
        <v>1414</v>
      </c>
      <c r="G1136" s="2461" t="s">
        <v>1412</v>
      </c>
      <c r="H1136" s="2461" t="s">
        <v>1410</v>
      </c>
      <c r="I1136" s="2462">
        <v>6.3087969856777881E-4</v>
      </c>
      <c r="J1136" s="2462">
        <v>0.11589514687046366</v>
      </c>
    </row>
    <row r="1137" spans="1:10" outlineLevel="2">
      <c r="A1137" s="2459" t="s">
        <v>1669</v>
      </c>
      <c r="B1137" s="2459" t="s">
        <v>1647</v>
      </c>
      <c r="C1137" s="2459" t="s">
        <v>1672</v>
      </c>
      <c r="D1137" s="2460" t="s">
        <v>1671</v>
      </c>
      <c r="E1137" s="2461" t="s">
        <v>1407</v>
      </c>
      <c r="F1137" s="2461" t="s">
        <v>1415</v>
      </c>
      <c r="G1137" s="2461" t="s">
        <v>1412</v>
      </c>
      <c r="H1137" s="2461" t="s">
        <v>1410</v>
      </c>
      <c r="I1137" s="2462">
        <v>6.7464312421050112E-3</v>
      </c>
      <c r="J1137" s="2462">
        <v>1.0746462484891015</v>
      </c>
    </row>
    <row r="1138" spans="1:10" outlineLevel="2">
      <c r="A1138" s="2459" t="s">
        <v>1669</v>
      </c>
      <c r="B1138" s="2459" t="s">
        <v>1647</v>
      </c>
      <c r="C1138" s="2459" t="s">
        <v>1672</v>
      </c>
      <c r="D1138" s="2460" t="s">
        <v>1671</v>
      </c>
      <c r="E1138" s="2461" t="s">
        <v>1407</v>
      </c>
      <c r="F1138" s="2461" t="s">
        <v>1416</v>
      </c>
      <c r="G1138" s="2461" t="s">
        <v>1412</v>
      </c>
      <c r="H1138" s="2461" t="s">
        <v>1410</v>
      </c>
      <c r="I1138" s="2462">
        <v>5.7745922418837425E-3</v>
      </c>
      <c r="J1138" s="2462">
        <v>1.4205011075542591</v>
      </c>
    </row>
    <row r="1139" spans="1:10" outlineLevel="2">
      <c r="A1139" s="2459" t="s">
        <v>1669</v>
      </c>
      <c r="B1139" s="2459" t="s">
        <v>1647</v>
      </c>
      <c r="C1139" s="2459" t="s">
        <v>1672</v>
      </c>
      <c r="D1139" s="2460" t="s">
        <v>1671</v>
      </c>
      <c r="E1139" s="2461" t="s">
        <v>1407</v>
      </c>
      <c r="F1139" s="2461" t="s">
        <v>1417</v>
      </c>
      <c r="G1139" s="2461" t="s">
        <v>1418</v>
      </c>
      <c r="H1139" s="2461" t="s">
        <v>1410</v>
      </c>
      <c r="I1139" s="2462">
        <v>9.4396840368393149E-3</v>
      </c>
      <c r="J1139" s="2462">
        <v>0.12538644796068876</v>
      </c>
    </row>
    <row r="1140" spans="1:10" outlineLevel="2">
      <c r="A1140" s="2459" t="s">
        <v>1669</v>
      </c>
      <c r="B1140" s="2459" t="s">
        <v>1647</v>
      </c>
      <c r="C1140" s="2459" t="s">
        <v>1672</v>
      </c>
      <c r="D1140" s="2460" t="s">
        <v>1671</v>
      </c>
      <c r="E1140" s="2461" t="s">
        <v>1407</v>
      </c>
      <c r="F1140" s="2461" t="s">
        <v>1419</v>
      </c>
      <c r="G1140" s="2461" t="s">
        <v>1418</v>
      </c>
      <c r="H1140" s="2461" t="s">
        <v>1410</v>
      </c>
      <c r="I1140" s="2462">
        <v>7.0069270799854422E-2</v>
      </c>
      <c r="J1140" s="2462">
        <v>13.6081267444739</v>
      </c>
    </row>
    <row r="1141" spans="1:10" outlineLevel="2">
      <c r="A1141" s="2459" t="s">
        <v>1669</v>
      </c>
      <c r="B1141" s="2459" t="s">
        <v>1647</v>
      </c>
      <c r="C1141" s="2459" t="s">
        <v>1672</v>
      </c>
      <c r="D1141" s="2460" t="s">
        <v>1671</v>
      </c>
      <c r="E1141" s="2461" t="s">
        <v>1407</v>
      </c>
      <c r="F1141" s="2461" t="s">
        <v>1420</v>
      </c>
      <c r="G1141" s="2461" t="s">
        <v>1421</v>
      </c>
      <c r="H1141" s="2461" t="s">
        <v>1410</v>
      </c>
      <c r="I1141" s="2462">
        <v>1.6630776324913243</v>
      </c>
      <c r="J1141" s="2462">
        <v>43.161279919728031</v>
      </c>
    </row>
    <row r="1142" spans="1:10" outlineLevel="2">
      <c r="A1142" s="2459" t="s">
        <v>1669</v>
      </c>
      <c r="B1142" s="2459" t="s">
        <v>1647</v>
      </c>
      <c r="C1142" s="2459" t="s">
        <v>1672</v>
      </c>
      <c r="D1142" s="2460" t="s">
        <v>1671</v>
      </c>
      <c r="E1142" s="2461" t="s">
        <v>1407</v>
      </c>
      <c r="F1142" s="2461" t="s">
        <v>1422</v>
      </c>
      <c r="G1142" s="2461" t="s">
        <v>1421</v>
      </c>
      <c r="H1142" s="2461" t="s">
        <v>1410</v>
      </c>
      <c r="I1142" s="2462">
        <v>5.0291221839798381E-2</v>
      </c>
      <c r="J1142" s="2462">
        <v>2.0605932353502108</v>
      </c>
    </row>
    <row r="1143" spans="1:10" outlineLevel="2">
      <c r="A1143" s="2459" t="s">
        <v>1669</v>
      </c>
      <c r="B1143" s="2459" t="s">
        <v>1647</v>
      </c>
      <c r="C1143" s="2459" t="s">
        <v>1672</v>
      </c>
      <c r="D1143" s="2460" t="s">
        <v>1671</v>
      </c>
      <c r="E1143" s="2461" t="s">
        <v>1407</v>
      </c>
      <c r="F1143" s="2461" t="s">
        <v>1423</v>
      </c>
      <c r="G1143" s="2461" t="s">
        <v>1421</v>
      </c>
      <c r="H1143" s="2461" t="s">
        <v>1410</v>
      </c>
      <c r="I1143" s="2462">
        <v>2.6140146609416652E-2</v>
      </c>
      <c r="J1143" s="2462">
        <v>3.0123540225706229</v>
      </c>
    </row>
    <row r="1144" spans="1:10" outlineLevel="2">
      <c r="A1144" s="2459" t="s">
        <v>1669</v>
      </c>
      <c r="B1144" s="2459" t="s">
        <v>1647</v>
      </c>
      <c r="C1144" s="2459" t="s">
        <v>1672</v>
      </c>
      <c r="D1144" s="2460" t="s">
        <v>1671</v>
      </c>
      <c r="E1144" s="2461" t="s">
        <v>1407</v>
      </c>
      <c r="F1144" s="2461" t="s">
        <v>1424</v>
      </c>
      <c r="G1144" s="2461" t="s">
        <v>1421</v>
      </c>
      <c r="H1144" s="2461" t="s">
        <v>1410</v>
      </c>
      <c r="I1144" s="2462">
        <v>0.51118374911763442</v>
      </c>
      <c r="J1144" s="2462">
        <v>106.973205324468</v>
      </c>
    </row>
    <row r="1145" spans="1:10" outlineLevel="2">
      <c r="A1145" s="2459" t="s">
        <v>1669</v>
      </c>
      <c r="B1145" s="2459" t="s">
        <v>1647</v>
      </c>
      <c r="C1145" s="2459" t="s">
        <v>1672</v>
      </c>
      <c r="D1145" s="2460" t="s">
        <v>1671</v>
      </c>
      <c r="E1145" s="2461" t="s">
        <v>1407</v>
      </c>
      <c r="F1145" s="2461" t="s">
        <v>1641</v>
      </c>
      <c r="G1145" s="2461" t="s">
        <v>1412</v>
      </c>
      <c r="H1145" s="2461" t="s">
        <v>1410</v>
      </c>
      <c r="I1145" s="2462">
        <v>3.2298052061064723E-2</v>
      </c>
      <c r="J1145" s="2462">
        <v>7.3396805580313718</v>
      </c>
    </row>
    <row r="1146" spans="1:10" outlineLevel="2">
      <c r="A1146" s="2459" t="s">
        <v>1669</v>
      </c>
      <c r="B1146" s="2459" t="s">
        <v>1647</v>
      </c>
      <c r="C1146" s="2459" t="s">
        <v>1672</v>
      </c>
      <c r="D1146" s="2460" t="s">
        <v>1671</v>
      </c>
      <c r="E1146" s="2461" t="s">
        <v>213</v>
      </c>
      <c r="F1146" s="2461" t="s">
        <v>1425</v>
      </c>
      <c r="G1146" s="2461" t="s">
        <v>1426</v>
      </c>
      <c r="H1146" s="2461" t="s">
        <v>1427</v>
      </c>
      <c r="I1146" s="2462">
        <v>0.62709222247279706</v>
      </c>
      <c r="J1146" s="2462">
        <v>180.183873799563</v>
      </c>
    </row>
    <row r="1147" spans="1:10" outlineLevel="2">
      <c r="A1147" s="2459" t="s">
        <v>1669</v>
      </c>
      <c r="B1147" s="2459" t="s">
        <v>1647</v>
      </c>
      <c r="C1147" s="2459" t="s">
        <v>1672</v>
      </c>
      <c r="D1147" s="2460" t="s">
        <v>1671</v>
      </c>
      <c r="E1147" s="2461" t="s">
        <v>213</v>
      </c>
      <c r="F1147" s="2461" t="s">
        <v>1428</v>
      </c>
      <c r="G1147" s="2461" t="s">
        <v>1426</v>
      </c>
      <c r="H1147" s="2461" t="s">
        <v>1427</v>
      </c>
      <c r="I1147" s="2462">
        <v>0.19155200138827844</v>
      </c>
      <c r="J1147" s="2462">
        <v>77.381798849913579</v>
      </c>
    </row>
    <row r="1148" spans="1:10" outlineLevel="2">
      <c r="A1148" s="2459" t="s">
        <v>1669</v>
      </c>
      <c r="B1148" s="2459" t="s">
        <v>1647</v>
      </c>
      <c r="C1148" s="2459" t="s">
        <v>1672</v>
      </c>
      <c r="D1148" s="2460" t="s">
        <v>1671</v>
      </c>
      <c r="E1148" s="2461" t="s">
        <v>213</v>
      </c>
      <c r="F1148" s="2461" t="s">
        <v>1429</v>
      </c>
      <c r="G1148" s="2461" t="s">
        <v>1426</v>
      </c>
      <c r="H1148" s="2461" t="s">
        <v>1427</v>
      </c>
      <c r="I1148" s="2462">
        <v>8.7185679491838933E-2</v>
      </c>
      <c r="J1148" s="2462">
        <v>112.12724707176623</v>
      </c>
    </row>
    <row r="1149" spans="1:10" outlineLevel="2">
      <c r="A1149" s="2459" t="s">
        <v>1669</v>
      </c>
      <c r="B1149" s="2459" t="s">
        <v>1647</v>
      </c>
      <c r="C1149" s="2459" t="s">
        <v>1672</v>
      </c>
      <c r="D1149" s="2460" t="s">
        <v>1671</v>
      </c>
      <c r="E1149" s="2461" t="s">
        <v>213</v>
      </c>
      <c r="F1149" s="2461" t="s">
        <v>1430</v>
      </c>
      <c r="G1149" s="2461" t="s">
        <v>1409</v>
      </c>
      <c r="H1149" s="2461" t="s">
        <v>1070</v>
      </c>
      <c r="I1149" s="2462">
        <v>2.2222445658920627E-2</v>
      </c>
      <c r="J1149" s="2462">
        <v>13.788577628814565</v>
      </c>
    </row>
    <row r="1150" spans="1:10" outlineLevel="2">
      <c r="A1150" s="2459" t="s">
        <v>1669</v>
      </c>
      <c r="B1150" s="2459" t="s">
        <v>1647</v>
      </c>
      <c r="C1150" s="2459" t="s">
        <v>1672</v>
      </c>
      <c r="D1150" s="2460" t="s">
        <v>1671</v>
      </c>
      <c r="E1150" s="2461" t="s">
        <v>213</v>
      </c>
      <c r="F1150" s="2461" t="s">
        <v>1431</v>
      </c>
      <c r="G1150" s="2461" t="s">
        <v>1409</v>
      </c>
      <c r="H1150" s="2461" t="s">
        <v>1070</v>
      </c>
      <c r="I1150" s="2462">
        <v>1.8442266206627762E-3</v>
      </c>
      <c r="J1150" s="2462">
        <v>0.89317094948267695</v>
      </c>
    </row>
    <row r="1151" spans="1:10" outlineLevel="2">
      <c r="A1151" s="2459" t="s">
        <v>1669</v>
      </c>
      <c r="B1151" s="2459" t="s">
        <v>1647</v>
      </c>
      <c r="C1151" s="2459" t="s">
        <v>1672</v>
      </c>
      <c r="D1151" s="2460" t="s">
        <v>1671</v>
      </c>
      <c r="E1151" s="2461" t="s">
        <v>213</v>
      </c>
      <c r="F1151" s="2461" t="s">
        <v>1432</v>
      </c>
      <c r="G1151" s="2461" t="s">
        <v>1409</v>
      </c>
      <c r="H1151" s="2461" t="s">
        <v>1070</v>
      </c>
      <c r="I1151" s="2462">
        <v>2.2349620641850046E-3</v>
      </c>
      <c r="J1151" s="2462">
        <v>1.0675931955705165</v>
      </c>
    </row>
    <row r="1152" spans="1:10" outlineLevel="2">
      <c r="A1152" s="2459" t="s">
        <v>1669</v>
      </c>
      <c r="B1152" s="2459" t="s">
        <v>1647</v>
      </c>
      <c r="C1152" s="2459" t="s">
        <v>1672</v>
      </c>
      <c r="D1152" s="2460" t="s">
        <v>1671</v>
      </c>
      <c r="E1152" s="2461" t="s">
        <v>213</v>
      </c>
      <c r="F1152" s="2461" t="s">
        <v>1433</v>
      </c>
      <c r="G1152" s="2461" t="s">
        <v>1409</v>
      </c>
      <c r="H1152" s="2461" t="s">
        <v>1070</v>
      </c>
      <c r="I1152" s="2462">
        <v>1.6528518929275867E-5</v>
      </c>
      <c r="J1152" s="2462">
        <v>7.3972727552922895E-3</v>
      </c>
    </row>
    <row r="1153" spans="1:10" outlineLevel="2">
      <c r="A1153" s="2459" t="s">
        <v>1669</v>
      </c>
      <c r="B1153" s="2459" t="s">
        <v>1647</v>
      </c>
      <c r="C1153" s="2459" t="s">
        <v>1672</v>
      </c>
      <c r="D1153" s="2460" t="s">
        <v>1671</v>
      </c>
      <c r="E1153" s="2461" t="s">
        <v>213</v>
      </c>
      <c r="F1153" s="2461" t="s">
        <v>1434</v>
      </c>
      <c r="G1153" s="2461" t="s">
        <v>1409</v>
      </c>
      <c r="H1153" s="2461" t="s">
        <v>1070</v>
      </c>
      <c r="I1153" s="2462">
        <v>6.3709368426463353E-2</v>
      </c>
      <c r="J1153" s="2462">
        <v>35.574314277497365</v>
      </c>
    </row>
    <row r="1154" spans="1:10" outlineLevel="2">
      <c r="A1154" s="2459" t="s">
        <v>1669</v>
      </c>
      <c r="B1154" s="2459" t="s">
        <v>1647</v>
      </c>
      <c r="C1154" s="2459" t="s">
        <v>1672</v>
      </c>
      <c r="D1154" s="2460" t="s">
        <v>1671</v>
      </c>
      <c r="E1154" s="2461" t="s">
        <v>213</v>
      </c>
      <c r="F1154" s="2461" t="s">
        <v>1435</v>
      </c>
      <c r="G1154" s="2461" t="s">
        <v>1409</v>
      </c>
      <c r="H1154" s="2461" t="s">
        <v>1070</v>
      </c>
      <c r="I1154" s="2462">
        <v>4.6582217491437851E-4</v>
      </c>
      <c r="J1154" s="2462">
        <v>0.20847716364410904</v>
      </c>
    </row>
    <row r="1155" spans="1:10" outlineLevel="2">
      <c r="A1155" s="2459" t="s">
        <v>1669</v>
      </c>
      <c r="B1155" s="2459" t="s">
        <v>1647</v>
      </c>
      <c r="C1155" s="2459" t="s">
        <v>1672</v>
      </c>
      <c r="D1155" s="2460" t="s">
        <v>1671</v>
      </c>
      <c r="E1155" s="2461" t="s">
        <v>213</v>
      </c>
      <c r="F1155" s="2461" t="s">
        <v>1436</v>
      </c>
      <c r="G1155" s="2461" t="s">
        <v>1412</v>
      </c>
      <c r="H1155" s="2461" t="s">
        <v>1116</v>
      </c>
      <c r="I1155" s="2462">
        <v>1.5310502373871101E-3</v>
      </c>
      <c r="J1155" s="2462">
        <v>0.68521502387582645</v>
      </c>
    </row>
    <row r="1156" spans="1:10" outlineLevel="2">
      <c r="A1156" s="2459" t="s">
        <v>1669</v>
      </c>
      <c r="B1156" s="2459" t="s">
        <v>1647</v>
      </c>
      <c r="C1156" s="2459" t="s">
        <v>1672</v>
      </c>
      <c r="D1156" s="2460" t="s">
        <v>1671</v>
      </c>
      <c r="E1156" s="2461" t="s">
        <v>213</v>
      </c>
      <c r="F1156" s="2461" t="s">
        <v>1437</v>
      </c>
      <c r="G1156" s="2461" t="s">
        <v>1412</v>
      </c>
      <c r="H1156" s="2461" t="s">
        <v>1116</v>
      </c>
      <c r="I1156" s="2462">
        <v>1.1715818598351932E-4</v>
      </c>
      <c r="J1156" s="2462">
        <v>5.2433723536621561E-2</v>
      </c>
    </row>
    <row r="1157" spans="1:10" outlineLevel="2">
      <c r="A1157" s="2459" t="s">
        <v>1669</v>
      </c>
      <c r="B1157" s="2459" t="s">
        <v>1647</v>
      </c>
      <c r="C1157" s="2459" t="s">
        <v>1672</v>
      </c>
      <c r="D1157" s="2460" t="s">
        <v>1671</v>
      </c>
      <c r="E1157" s="2461" t="s">
        <v>213</v>
      </c>
      <c r="F1157" s="2461" t="s">
        <v>1438</v>
      </c>
      <c r="G1157" s="2461" t="s">
        <v>1439</v>
      </c>
      <c r="H1157" s="2461" t="s">
        <v>1440</v>
      </c>
      <c r="I1157" s="2462">
        <v>9.0209417420708399E-3</v>
      </c>
      <c r="J1157" s="2462">
        <v>4.9404655489587626</v>
      </c>
    </row>
    <row r="1158" spans="1:10" outlineLevel="2">
      <c r="A1158" s="2459" t="s">
        <v>1669</v>
      </c>
      <c r="B1158" s="2459" t="s">
        <v>1647</v>
      </c>
      <c r="C1158" s="2459" t="s">
        <v>1672</v>
      </c>
      <c r="D1158" s="2460" t="s">
        <v>1671</v>
      </c>
      <c r="E1158" s="2461" t="s">
        <v>213</v>
      </c>
      <c r="F1158" s="2461" t="s">
        <v>1441</v>
      </c>
      <c r="G1158" s="2461" t="s">
        <v>1439</v>
      </c>
      <c r="H1158" s="2461" t="s">
        <v>1440</v>
      </c>
      <c r="I1158" s="2462">
        <v>0.11596933196877086</v>
      </c>
      <c r="J1158" s="2462">
        <v>62.327150505426978</v>
      </c>
    </row>
    <row r="1159" spans="1:10" outlineLevel="2">
      <c r="A1159" s="2459" t="s">
        <v>1669</v>
      </c>
      <c r="B1159" s="2459" t="s">
        <v>1647</v>
      </c>
      <c r="C1159" s="2459" t="s">
        <v>1672</v>
      </c>
      <c r="D1159" s="2460" t="s">
        <v>1671</v>
      </c>
      <c r="E1159" s="2461" t="s">
        <v>213</v>
      </c>
      <c r="F1159" s="2461" t="s">
        <v>1442</v>
      </c>
      <c r="G1159" s="2461" t="s">
        <v>1439</v>
      </c>
      <c r="H1159" s="2461" t="s">
        <v>1440</v>
      </c>
      <c r="I1159" s="2462">
        <v>0.12696540416709265</v>
      </c>
      <c r="J1159" s="2462">
        <v>65.964532634616347</v>
      </c>
    </row>
    <row r="1160" spans="1:10" outlineLevel="2">
      <c r="A1160" s="2459" t="s">
        <v>1669</v>
      </c>
      <c r="B1160" s="2459" t="s">
        <v>1647</v>
      </c>
      <c r="C1160" s="2459" t="s">
        <v>1672</v>
      </c>
      <c r="D1160" s="2460" t="s">
        <v>1671</v>
      </c>
      <c r="E1160" s="2461" t="s">
        <v>213</v>
      </c>
      <c r="F1160" s="2461" t="s">
        <v>1443</v>
      </c>
      <c r="G1160" s="2461" t="s">
        <v>1439</v>
      </c>
      <c r="H1160" s="2461" t="s">
        <v>1440</v>
      </c>
      <c r="I1160" s="2462">
        <v>1.0965573301828953</v>
      </c>
      <c r="J1160" s="2462">
        <v>600.25874238564893</v>
      </c>
    </row>
    <row r="1161" spans="1:10" outlineLevel="2">
      <c r="A1161" s="2459" t="s">
        <v>1669</v>
      </c>
      <c r="B1161" s="2459" t="s">
        <v>1647</v>
      </c>
      <c r="C1161" s="2459" t="s">
        <v>1672</v>
      </c>
      <c r="D1161" s="2460" t="s">
        <v>1671</v>
      </c>
      <c r="E1161" s="2461" t="s">
        <v>213</v>
      </c>
      <c r="F1161" s="2461" t="s">
        <v>1444</v>
      </c>
      <c r="G1161" s="2461" t="s">
        <v>1439</v>
      </c>
      <c r="H1161" s="2461" t="s">
        <v>1440</v>
      </c>
      <c r="I1161" s="2462">
        <v>0.15596989572086586</v>
      </c>
      <c r="J1161" s="2462">
        <v>91.610433840380608</v>
      </c>
    </row>
    <row r="1162" spans="1:10" outlineLevel="2">
      <c r="A1162" s="2459" t="s">
        <v>1669</v>
      </c>
      <c r="B1162" s="2459" t="s">
        <v>1647</v>
      </c>
      <c r="C1162" s="2459" t="s">
        <v>1672</v>
      </c>
      <c r="D1162" s="2460" t="s">
        <v>1671</v>
      </c>
      <c r="E1162" s="2461" t="s">
        <v>213</v>
      </c>
      <c r="F1162" s="2461" t="s">
        <v>1445</v>
      </c>
      <c r="G1162" s="2461" t="s">
        <v>1439</v>
      </c>
      <c r="H1162" s="2461" t="s">
        <v>1440</v>
      </c>
      <c r="I1162" s="2462">
        <v>1.0376005716851819</v>
      </c>
      <c r="J1162" s="2462">
        <v>524.54564967405395</v>
      </c>
    </row>
    <row r="1163" spans="1:10" outlineLevel="2">
      <c r="A1163" s="2459" t="s">
        <v>1669</v>
      </c>
      <c r="B1163" s="2459" t="s">
        <v>1647</v>
      </c>
      <c r="C1163" s="2459" t="s">
        <v>1672</v>
      </c>
      <c r="D1163" s="2460" t="s">
        <v>1671</v>
      </c>
      <c r="E1163" s="2461" t="s">
        <v>213</v>
      </c>
      <c r="F1163" s="2461" t="s">
        <v>1446</v>
      </c>
      <c r="G1163" s="2461" t="s">
        <v>1439</v>
      </c>
      <c r="H1163" s="2461" t="s">
        <v>1440</v>
      </c>
      <c r="I1163" s="2462">
        <v>0.10993472591283203</v>
      </c>
      <c r="J1163" s="2462">
        <v>58.96027866975124</v>
      </c>
    </row>
    <row r="1164" spans="1:10" outlineLevel="2">
      <c r="A1164" s="2459" t="s">
        <v>1669</v>
      </c>
      <c r="B1164" s="2459" t="s">
        <v>1647</v>
      </c>
      <c r="C1164" s="2459" t="s">
        <v>1672</v>
      </c>
      <c r="D1164" s="2460" t="s">
        <v>1671</v>
      </c>
      <c r="E1164" s="2461" t="s">
        <v>213</v>
      </c>
      <c r="F1164" s="2461" t="s">
        <v>1447</v>
      </c>
      <c r="G1164" s="2461" t="s">
        <v>1439</v>
      </c>
      <c r="H1164" s="2461" t="s">
        <v>1440</v>
      </c>
      <c r="I1164" s="2462">
        <v>0.91577936608157628</v>
      </c>
      <c r="J1164" s="2462">
        <v>489.80012059047658</v>
      </c>
    </row>
    <row r="1165" spans="1:10" outlineLevel="2">
      <c r="A1165" s="2459" t="s">
        <v>1669</v>
      </c>
      <c r="B1165" s="2459" t="s">
        <v>1647</v>
      </c>
      <c r="C1165" s="2459" t="s">
        <v>1672</v>
      </c>
      <c r="D1165" s="2460" t="s">
        <v>1671</v>
      </c>
      <c r="E1165" s="2461" t="s">
        <v>213</v>
      </c>
      <c r="F1165" s="2461" t="s">
        <v>1448</v>
      </c>
      <c r="G1165" s="2461" t="s">
        <v>1439</v>
      </c>
      <c r="H1165" s="2461" t="s">
        <v>1440</v>
      </c>
      <c r="I1165" s="2462">
        <v>0.19924521037714396</v>
      </c>
      <c r="J1165" s="2462">
        <v>29.17211416208858</v>
      </c>
    </row>
    <row r="1166" spans="1:10" outlineLevel="2">
      <c r="A1166" s="2459" t="s">
        <v>1669</v>
      </c>
      <c r="B1166" s="2459" t="s">
        <v>1647</v>
      </c>
      <c r="C1166" s="2459" t="s">
        <v>1672</v>
      </c>
      <c r="D1166" s="2460" t="s">
        <v>1671</v>
      </c>
      <c r="E1166" s="2461" t="s">
        <v>213</v>
      </c>
      <c r="F1166" s="2461" t="s">
        <v>1449</v>
      </c>
      <c r="G1166" s="2461" t="s">
        <v>1439</v>
      </c>
      <c r="H1166" s="2461" t="s">
        <v>1440</v>
      </c>
      <c r="I1166" s="2462">
        <v>1.2181017245084531</v>
      </c>
      <c r="J1166" s="2462">
        <v>178.341092514282</v>
      </c>
    </row>
    <row r="1167" spans="1:10" outlineLevel="2">
      <c r="A1167" s="2459" t="s">
        <v>1669</v>
      </c>
      <c r="B1167" s="2459" t="s">
        <v>1647</v>
      </c>
      <c r="C1167" s="2459" t="s">
        <v>1672</v>
      </c>
      <c r="D1167" s="2460" t="s">
        <v>1671</v>
      </c>
      <c r="E1167" s="2461" t="s">
        <v>213</v>
      </c>
      <c r="F1167" s="2461" t="s">
        <v>1450</v>
      </c>
      <c r="G1167" s="2461" t="s">
        <v>1439</v>
      </c>
      <c r="H1167" s="2461" t="s">
        <v>1440</v>
      </c>
      <c r="I1167" s="2462">
        <v>5.237900146499503E-4</v>
      </c>
      <c r="J1167" s="2462">
        <v>0.26136114785293074</v>
      </c>
    </row>
    <row r="1168" spans="1:10" outlineLevel="2">
      <c r="A1168" s="2459" t="s">
        <v>1669</v>
      </c>
      <c r="B1168" s="2459" t="s">
        <v>1647</v>
      </c>
      <c r="C1168" s="2459" t="s">
        <v>1672</v>
      </c>
      <c r="D1168" s="2460" t="s">
        <v>1671</v>
      </c>
      <c r="E1168" s="2461" t="s">
        <v>213</v>
      </c>
      <c r="F1168" s="2461" t="s">
        <v>1451</v>
      </c>
      <c r="G1168" s="2461" t="s">
        <v>1418</v>
      </c>
      <c r="H1168" s="2461" t="s">
        <v>1452</v>
      </c>
      <c r="I1168" s="2462">
        <v>1.1722824879322824E-3</v>
      </c>
      <c r="J1168" s="2462">
        <v>0.71289153210327227</v>
      </c>
    </row>
    <row r="1169" spans="1:10" outlineLevel="2">
      <c r="A1169" s="2459" t="s">
        <v>1669</v>
      </c>
      <c r="B1169" s="2459" t="s">
        <v>1647</v>
      </c>
      <c r="C1169" s="2459" t="s">
        <v>1672</v>
      </c>
      <c r="D1169" s="2460" t="s">
        <v>1671</v>
      </c>
      <c r="E1169" s="2461" t="s">
        <v>213</v>
      </c>
      <c r="F1169" s="2461" t="s">
        <v>1453</v>
      </c>
      <c r="G1169" s="2461" t="s">
        <v>1421</v>
      </c>
      <c r="H1169" s="2461" t="s">
        <v>1454</v>
      </c>
      <c r="I1169" s="2462">
        <v>1.4656274200764392E-2</v>
      </c>
      <c r="J1169" s="2462">
        <v>7.2564622246753849</v>
      </c>
    </row>
    <row r="1170" spans="1:10" outlineLevel="2">
      <c r="A1170" s="2459" t="s">
        <v>1669</v>
      </c>
      <c r="B1170" s="2459" t="s">
        <v>1647</v>
      </c>
      <c r="C1170" s="2459" t="s">
        <v>1672</v>
      </c>
      <c r="D1170" s="2460" t="s">
        <v>1671</v>
      </c>
      <c r="E1170" s="2461" t="s">
        <v>213</v>
      </c>
      <c r="F1170" s="2461" t="s">
        <v>1455</v>
      </c>
      <c r="G1170" s="2461" t="s">
        <v>1421</v>
      </c>
      <c r="H1170" s="2461" t="s">
        <v>1454</v>
      </c>
      <c r="I1170" s="2462">
        <v>9.3530445398326098E-2</v>
      </c>
      <c r="J1170" s="2462">
        <v>48.408751540177647</v>
      </c>
    </row>
    <row r="1171" spans="1:10" outlineLevel="2">
      <c r="A1171" s="2459" t="s">
        <v>1669</v>
      </c>
      <c r="B1171" s="2459" t="s">
        <v>1647</v>
      </c>
      <c r="C1171" s="2459" t="s">
        <v>1672</v>
      </c>
      <c r="D1171" s="2460" t="s">
        <v>1671</v>
      </c>
      <c r="E1171" s="2461" t="s">
        <v>213</v>
      </c>
      <c r="F1171" s="2461" t="s">
        <v>1456</v>
      </c>
      <c r="G1171" s="2461" t="s">
        <v>1421</v>
      </c>
      <c r="H1171" s="2461" t="s">
        <v>1454</v>
      </c>
      <c r="I1171" s="2462">
        <v>3.7514887533267353E-5</v>
      </c>
      <c r="J1171" s="2462">
        <v>1.6789652025868147E-2</v>
      </c>
    </row>
    <row r="1172" spans="1:10" outlineLevel="2">
      <c r="A1172" s="2459" t="s">
        <v>1669</v>
      </c>
      <c r="B1172" s="2459" t="s">
        <v>1647</v>
      </c>
      <c r="C1172" s="2459" t="s">
        <v>1672</v>
      </c>
      <c r="D1172" s="2460" t="s">
        <v>1671</v>
      </c>
      <c r="E1172" s="2461" t="s">
        <v>213</v>
      </c>
      <c r="F1172" s="2461" t="s">
        <v>1457</v>
      </c>
      <c r="G1172" s="2461" t="s">
        <v>1421</v>
      </c>
      <c r="H1172" s="2461" t="s">
        <v>1454</v>
      </c>
      <c r="I1172" s="2462">
        <v>6.5437876952945833E-4</v>
      </c>
      <c r="J1172" s="2462">
        <v>0.29286478148218448</v>
      </c>
    </row>
    <row r="1173" spans="1:10" outlineLevel="2">
      <c r="A1173" s="2459" t="s">
        <v>1669</v>
      </c>
      <c r="B1173" s="2459" t="s">
        <v>1647</v>
      </c>
      <c r="C1173" s="2459" t="s">
        <v>1672</v>
      </c>
      <c r="D1173" s="2460" t="s">
        <v>1671</v>
      </c>
      <c r="E1173" s="2461" t="s">
        <v>213</v>
      </c>
      <c r="F1173" s="2461" t="s">
        <v>1458</v>
      </c>
      <c r="G1173" s="2461" t="s">
        <v>1459</v>
      </c>
      <c r="H1173" s="2461" t="s">
        <v>1460</v>
      </c>
      <c r="I1173" s="2462">
        <v>6.8312703004349039E-3</v>
      </c>
      <c r="J1173" s="2462">
        <v>3.9438818718660555</v>
      </c>
    </row>
    <row r="1174" spans="1:10" outlineLevel="2">
      <c r="A1174" s="2459" t="s">
        <v>1669</v>
      </c>
      <c r="B1174" s="2459" t="s">
        <v>1647</v>
      </c>
      <c r="C1174" s="2459" t="s">
        <v>1672</v>
      </c>
      <c r="D1174" s="2460" t="s">
        <v>1671</v>
      </c>
      <c r="E1174" s="2461" t="s">
        <v>213</v>
      </c>
      <c r="F1174" s="2461" t="s">
        <v>1461</v>
      </c>
      <c r="G1174" s="2461" t="s">
        <v>1426</v>
      </c>
      <c r="H1174" s="2461" t="s">
        <v>1427</v>
      </c>
      <c r="I1174" s="2462">
        <v>0.11901909785006681</v>
      </c>
      <c r="J1174" s="2462">
        <v>84.034096854422884</v>
      </c>
    </row>
    <row r="1175" spans="1:10" outlineLevel="2">
      <c r="A1175" s="2459" t="s">
        <v>1669</v>
      </c>
      <c r="B1175" s="2459" t="s">
        <v>1647</v>
      </c>
      <c r="C1175" s="2459" t="s">
        <v>1672</v>
      </c>
      <c r="D1175" s="2460" t="s">
        <v>1671</v>
      </c>
      <c r="E1175" s="2461" t="s">
        <v>213</v>
      </c>
      <c r="F1175" s="2461" t="s">
        <v>1462</v>
      </c>
      <c r="G1175" s="2461" t="s">
        <v>1426</v>
      </c>
      <c r="H1175" s="2461" t="s">
        <v>1427</v>
      </c>
      <c r="I1175" s="2462">
        <v>0.87704532032905336</v>
      </c>
      <c r="J1175" s="2462">
        <v>798.8940866960279</v>
      </c>
    </row>
    <row r="1176" spans="1:10" outlineLevel="2">
      <c r="A1176" s="2459" t="s">
        <v>1669</v>
      </c>
      <c r="B1176" s="2459" t="s">
        <v>1647</v>
      </c>
      <c r="C1176" s="2459" t="s">
        <v>1672</v>
      </c>
      <c r="D1176" s="2460" t="s">
        <v>1671</v>
      </c>
      <c r="E1176" s="2461" t="s">
        <v>213</v>
      </c>
      <c r="F1176" s="2461" t="s">
        <v>1463</v>
      </c>
      <c r="G1176" s="2461" t="s">
        <v>1426</v>
      </c>
      <c r="H1176" s="2461" t="s">
        <v>1427</v>
      </c>
      <c r="I1176" s="2462">
        <v>0.48057823645898345</v>
      </c>
      <c r="J1176" s="2462">
        <v>637.64921600996877</v>
      </c>
    </row>
    <row r="1177" spans="1:10" outlineLevel="2">
      <c r="A1177" s="2459" t="s">
        <v>1669</v>
      </c>
      <c r="B1177" s="2459" t="s">
        <v>1647</v>
      </c>
      <c r="C1177" s="2459" t="s">
        <v>1672</v>
      </c>
      <c r="D1177" s="2460" t="s">
        <v>1671</v>
      </c>
      <c r="E1177" s="2461" t="s">
        <v>213</v>
      </c>
      <c r="F1177" s="2461" t="s">
        <v>1464</v>
      </c>
      <c r="G1177" s="2461" t="s">
        <v>1426</v>
      </c>
      <c r="H1177" s="2461" t="s">
        <v>1427</v>
      </c>
      <c r="I1177" s="2462">
        <v>0.11783767142957073</v>
      </c>
      <c r="J1177" s="2462">
        <v>107.15204737313535</v>
      </c>
    </row>
    <row r="1178" spans="1:10" outlineLevel="2">
      <c r="A1178" s="2459" t="s">
        <v>1669</v>
      </c>
      <c r="B1178" s="2459" t="s">
        <v>1647</v>
      </c>
      <c r="C1178" s="2459" t="s">
        <v>1672</v>
      </c>
      <c r="D1178" s="2460" t="s">
        <v>1671</v>
      </c>
      <c r="E1178" s="2461" t="s">
        <v>213</v>
      </c>
      <c r="F1178" s="2461" t="s">
        <v>1465</v>
      </c>
      <c r="G1178" s="2461" t="s">
        <v>1409</v>
      </c>
      <c r="H1178" s="2461" t="s">
        <v>1070</v>
      </c>
      <c r="I1178" s="2462">
        <v>7.5191536588303035E-3</v>
      </c>
      <c r="J1178" s="2462">
        <v>12.222949255327453</v>
      </c>
    </row>
    <row r="1179" spans="1:10" outlineLevel="2">
      <c r="A1179" s="2459" t="s">
        <v>1669</v>
      </c>
      <c r="B1179" s="2459" t="s">
        <v>1647</v>
      </c>
      <c r="C1179" s="2459" t="s">
        <v>1672</v>
      </c>
      <c r="D1179" s="2460" t="s">
        <v>1671</v>
      </c>
      <c r="E1179" s="2461" t="s">
        <v>213</v>
      </c>
      <c r="F1179" s="2461" t="s">
        <v>1466</v>
      </c>
      <c r="G1179" s="2461" t="s">
        <v>1409</v>
      </c>
      <c r="H1179" s="2461" t="s">
        <v>1070</v>
      </c>
      <c r="I1179" s="2462">
        <v>6.0086553207802518E-5</v>
      </c>
      <c r="J1179" s="2462">
        <v>9.1233665442809461E-2</v>
      </c>
    </row>
    <row r="1180" spans="1:10" outlineLevel="2">
      <c r="A1180" s="2459" t="s">
        <v>1669</v>
      </c>
      <c r="B1180" s="2459" t="s">
        <v>1647</v>
      </c>
      <c r="C1180" s="2459" t="s">
        <v>1672</v>
      </c>
      <c r="D1180" s="2460" t="s">
        <v>1671</v>
      </c>
      <c r="E1180" s="2461" t="s">
        <v>213</v>
      </c>
      <c r="F1180" s="2461" t="s">
        <v>1467</v>
      </c>
      <c r="G1180" s="2461" t="s">
        <v>1409</v>
      </c>
      <c r="H1180" s="2461" t="s">
        <v>1070</v>
      </c>
      <c r="I1180" s="2462">
        <v>1.6246474755100763E-2</v>
      </c>
      <c r="J1180" s="2462">
        <v>22.962289744908773</v>
      </c>
    </row>
    <row r="1181" spans="1:10" outlineLevel="2">
      <c r="A1181" s="2459" t="s">
        <v>1669</v>
      </c>
      <c r="B1181" s="2459" t="s">
        <v>1647</v>
      </c>
      <c r="C1181" s="2459" t="s">
        <v>1672</v>
      </c>
      <c r="D1181" s="2460" t="s">
        <v>1671</v>
      </c>
      <c r="E1181" s="2461" t="s">
        <v>213</v>
      </c>
      <c r="F1181" s="2461" t="s">
        <v>1468</v>
      </c>
      <c r="G1181" s="2461" t="s">
        <v>1409</v>
      </c>
      <c r="H1181" s="2461" t="s">
        <v>1070</v>
      </c>
      <c r="I1181" s="2462">
        <v>1.3257649778568126E-2</v>
      </c>
      <c r="J1181" s="2462">
        <v>21.618614797663788</v>
      </c>
    </row>
    <row r="1182" spans="1:10" outlineLevel="2">
      <c r="A1182" s="2459" t="s">
        <v>1669</v>
      </c>
      <c r="B1182" s="2459" t="s">
        <v>1647</v>
      </c>
      <c r="C1182" s="2459" t="s">
        <v>1672</v>
      </c>
      <c r="D1182" s="2460" t="s">
        <v>1671</v>
      </c>
      <c r="E1182" s="2461" t="s">
        <v>213</v>
      </c>
      <c r="F1182" s="2461" t="s">
        <v>1469</v>
      </c>
      <c r="G1182" s="2461" t="s">
        <v>1409</v>
      </c>
      <c r="H1182" s="2461" t="s">
        <v>1070</v>
      </c>
      <c r="I1182" s="2462">
        <v>2.9648233951937861E-2</v>
      </c>
      <c r="J1182" s="2462">
        <v>43.144100901897822</v>
      </c>
    </row>
    <row r="1183" spans="1:10" outlineLevel="2">
      <c r="A1183" s="2459" t="s">
        <v>1669</v>
      </c>
      <c r="B1183" s="2459" t="s">
        <v>1647</v>
      </c>
      <c r="C1183" s="2459" t="s">
        <v>1672</v>
      </c>
      <c r="D1183" s="2460" t="s">
        <v>1671</v>
      </c>
      <c r="E1183" s="2461" t="s">
        <v>213</v>
      </c>
      <c r="F1183" s="2461" t="s">
        <v>1470</v>
      </c>
      <c r="G1183" s="2461" t="s">
        <v>1409</v>
      </c>
      <c r="H1183" s="2461" t="s">
        <v>1070</v>
      </c>
      <c r="I1183" s="2462">
        <v>1.2862176382566447E-2</v>
      </c>
      <c r="J1183" s="2462">
        <v>18.166858227440532</v>
      </c>
    </row>
    <row r="1184" spans="1:10" outlineLevel="2">
      <c r="A1184" s="2459" t="s">
        <v>1669</v>
      </c>
      <c r="B1184" s="2459" t="s">
        <v>1647</v>
      </c>
      <c r="C1184" s="2459" t="s">
        <v>1672</v>
      </c>
      <c r="D1184" s="2460" t="s">
        <v>1671</v>
      </c>
      <c r="E1184" s="2461" t="s">
        <v>213</v>
      </c>
      <c r="F1184" s="2461" t="s">
        <v>1471</v>
      </c>
      <c r="G1184" s="2461" t="s">
        <v>1409</v>
      </c>
      <c r="H1184" s="2461" t="s">
        <v>1070</v>
      </c>
      <c r="I1184" s="2462">
        <v>7.0049770424545602E-4</v>
      </c>
      <c r="J1184" s="2462">
        <v>0.94682334318577455</v>
      </c>
    </row>
    <row r="1185" spans="1:10" outlineLevel="2">
      <c r="A1185" s="2459" t="s">
        <v>1669</v>
      </c>
      <c r="B1185" s="2459" t="s">
        <v>1647</v>
      </c>
      <c r="C1185" s="2459" t="s">
        <v>1672</v>
      </c>
      <c r="D1185" s="2460" t="s">
        <v>1671</v>
      </c>
      <c r="E1185" s="2461" t="s">
        <v>213</v>
      </c>
      <c r="F1185" s="2461" t="s">
        <v>1472</v>
      </c>
      <c r="G1185" s="2461" t="s">
        <v>1409</v>
      </c>
      <c r="H1185" s="2461" t="s">
        <v>1070</v>
      </c>
      <c r="I1185" s="2462">
        <v>2.4376250337620194E-2</v>
      </c>
      <c r="J1185" s="2462">
        <v>38.017667656242594</v>
      </c>
    </row>
    <row r="1186" spans="1:10" outlineLevel="2">
      <c r="A1186" s="2459" t="s">
        <v>1669</v>
      </c>
      <c r="B1186" s="2459" t="s">
        <v>1647</v>
      </c>
      <c r="C1186" s="2459" t="s">
        <v>1672</v>
      </c>
      <c r="D1186" s="2460" t="s">
        <v>1671</v>
      </c>
      <c r="E1186" s="2461" t="s">
        <v>213</v>
      </c>
      <c r="F1186" s="2461" t="s">
        <v>1473</v>
      </c>
      <c r="G1186" s="2461" t="s">
        <v>1409</v>
      </c>
      <c r="H1186" s="2461" t="s">
        <v>1070</v>
      </c>
      <c r="I1186" s="2462">
        <v>1.1616812758787677E-2</v>
      </c>
      <c r="J1186" s="2462">
        <v>14.10006625894259</v>
      </c>
    </row>
    <row r="1187" spans="1:10" outlineLevel="2">
      <c r="A1187" s="2459" t="s">
        <v>1669</v>
      </c>
      <c r="B1187" s="2459" t="s">
        <v>1647</v>
      </c>
      <c r="C1187" s="2459" t="s">
        <v>1672</v>
      </c>
      <c r="D1187" s="2460" t="s">
        <v>1671</v>
      </c>
      <c r="E1187" s="2461" t="s">
        <v>213</v>
      </c>
      <c r="F1187" s="2461" t="s">
        <v>1474</v>
      </c>
      <c r="G1187" s="2461" t="s">
        <v>1409</v>
      </c>
      <c r="H1187" s="2461" t="s">
        <v>1070</v>
      </c>
      <c r="I1187" s="2462">
        <v>5.4917225119603799E-2</v>
      </c>
      <c r="J1187" s="2462">
        <v>79.220506531121359</v>
      </c>
    </row>
    <row r="1188" spans="1:10" outlineLevel="2">
      <c r="A1188" s="2459" t="s">
        <v>1669</v>
      </c>
      <c r="B1188" s="2459" t="s">
        <v>1647</v>
      </c>
      <c r="C1188" s="2459" t="s">
        <v>1672</v>
      </c>
      <c r="D1188" s="2460" t="s">
        <v>1671</v>
      </c>
      <c r="E1188" s="2461" t="s">
        <v>213</v>
      </c>
      <c r="F1188" s="2461" t="s">
        <v>1475</v>
      </c>
      <c r="G1188" s="2461" t="s">
        <v>1409</v>
      </c>
      <c r="H1188" s="2461" t="s">
        <v>1070</v>
      </c>
      <c r="I1188" s="2462">
        <v>2.7838453494875015E-2</v>
      </c>
      <c r="J1188" s="2462">
        <v>38.043870567330906</v>
      </c>
    </row>
    <row r="1189" spans="1:10" outlineLevel="2">
      <c r="A1189" s="2459" t="s">
        <v>1669</v>
      </c>
      <c r="B1189" s="2459" t="s">
        <v>1647</v>
      </c>
      <c r="C1189" s="2459" t="s">
        <v>1672</v>
      </c>
      <c r="D1189" s="2460" t="s">
        <v>1671</v>
      </c>
      <c r="E1189" s="2461" t="s">
        <v>213</v>
      </c>
      <c r="F1189" s="2461" t="s">
        <v>1476</v>
      </c>
      <c r="G1189" s="2461" t="s">
        <v>1409</v>
      </c>
      <c r="H1189" s="2461" t="s">
        <v>1070</v>
      </c>
      <c r="I1189" s="2462">
        <v>2.199385104797928E-3</v>
      </c>
      <c r="J1189" s="2462">
        <v>3.0643838458880119</v>
      </c>
    </row>
    <row r="1190" spans="1:10" outlineLevel="2">
      <c r="A1190" s="2459" t="s">
        <v>1669</v>
      </c>
      <c r="B1190" s="2459" t="s">
        <v>1647</v>
      </c>
      <c r="C1190" s="2459" t="s">
        <v>1672</v>
      </c>
      <c r="D1190" s="2460" t="s">
        <v>1671</v>
      </c>
      <c r="E1190" s="2461" t="s">
        <v>213</v>
      </c>
      <c r="F1190" s="2461" t="s">
        <v>1477</v>
      </c>
      <c r="G1190" s="2461" t="s">
        <v>1409</v>
      </c>
      <c r="H1190" s="2461" t="s">
        <v>1070</v>
      </c>
      <c r="I1190" s="2462">
        <v>3.6131268490356317E-3</v>
      </c>
      <c r="J1190" s="2462">
        <v>5.1458682292490749</v>
      </c>
    </row>
    <row r="1191" spans="1:10" outlineLevel="2">
      <c r="A1191" s="2459" t="s">
        <v>1669</v>
      </c>
      <c r="B1191" s="2459" t="s">
        <v>1647</v>
      </c>
      <c r="C1191" s="2459" t="s">
        <v>1672</v>
      </c>
      <c r="D1191" s="2460" t="s">
        <v>1671</v>
      </c>
      <c r="E1191" s="2461" t="s">
        <v>213</v>
      </c>
      <c r="F1191" s="2461" t="s">
        <v>1478</v>
      </c>
      <c r="G1191" s="2461" t="s">
        <v>1409</v>
      </c>
      <c r="H1191" s="2461" t="s">
        <v>1070</v>
      </c>
      <c r="I1191" s="2462">
        <v>1.5811483604226382E-3</v>
      </c>
      <c r="J1191" s="2462">
        <v>4.5982548458557497</v>
      </c>
    </row>
    <row r="1192" spans="1:10" outlineLevel="2">
      <c r="A1192" s="2459" t="s">
        <v>1669</v>
      </c>
      <c r="B1192" s="2459" t="s">
        <v>1647</v>
      </c>
      <c r="C1192" s="2459" t="s">
        <v>1672</v>
      </c>
      <c r="D1192" s="2460" t="s">
        <v>1671</v>
      </c>
      <c r="E1192" s="2461" t="s">
        <v>213</v>
      </c>
      <c r="F1192" s="2461" t="s">
        <v>1479</v>
      </c>
      <c r="G1192" s="2461" t="s">
        <v>1409</v>
      </c>
      <c r="H1192" s="2461" t="s">
        <v>1070</v>
      </c>
      <c r="I1192" s="2462">
        <v>1.2730187419729361E-3</v>
      </c>
      <c r="J1192" s="2462">
        <v>10.906266464677913</v>
      </c>
    </row>
    <row r="1193" spans="1:10" outlineLevel="2">
      <c r="A1193" s="2459" t="s">
        <v>1669</v>
      </c>
      <c r="B1193" s="2459" t="s">
        <v>1647</v>
      </c>
      <c r="C1193" s="2459" t="s">
        <v>1672</v>
      </c>
      <c r="D1193" s="2460" t="s">
        <v>1671</v>
      </c>
      <c r="E1193" s="2461" t="s">
        <v>213</v>
      </c>
      <c r="F1193" s="2461" t="s">
        <v>1480</v>
      </c>
      <c r="G1193" s="2461" t="s">
        <v>1409</v>
      </c>
      <c r="H1193" s="2461" t="s">
        <v>1070</v>
      </c>
      <c r="I1193" s="2462">
        <v>1.7326593252255863E-2</v>
      </c>
      <c r="J1193" s="2462">
        <v>26.005203831085932</v>
      </c>
    </row>
    <row r="1194" spans="1:10" outlineLevel="2">
      <c r="A1194" s="2459" t="s">
        <v>1669</v>
      </c>
      <c r="B1194" s="2459" t="s">
        <v>1647</v>
      </c>
      <c r="C1194" s="2459" t="s">
        <v>1672</v>
      </c>
      <c r="D1194" s="2460" t="s">
        <v>1671</v>
      </c>
      <c r="E1194" s="2461" t="s">
        <v>213</v>
      </c>
      <c r="F1194" s="2461" t="s">
        <v>1481</v>
      </c>
      <c r="G1194" s="2461" t="s">
        <v>1409</v>
      </c>
      <c r="H1194" s="2461" t="s">
        <v>1070</v>
      </c>
      <c r="I1194" s="2462">
        <v>1.2364538233106313E-2</v>
      </c>
      <c r="J1194" s="2462">
        <v>18.124594251729906</v>
      </c>
    </row>
    <row r="1195" spans="1:10" outlineLevel="2">
      <c r="A1195" s="2459" t="s">
        <v>1669</v>
      </c>
      <c r="B1195" s="2459" t="s">
        <v>1647</v>
      </c>
      <c r="C1195" s="2459" t="s">
        <v>1672</v>
      </c>
      <c r="D1195" s="2460" t="s">
        <v>1671</v>
      </c>
      <c r="E1195" s="2461" t="s">
        <v>213</v>
      </c>
      <c r="F1195" s="2461" t="s">
        <v>1482</v>
      </c>
      <c r="G1195" s="2461" t="s">
        <v>1409</v>
      </c>
      <c r="H1195" s="2461" t="s">
        <v>1070</v>
      </c>
      <c r="I1195" s="2462">
        <v>4.8582255011738271E-3</v>
      </c>
      <c r="J1195" s="2462">
        <v>5.9387825587166274</v>
      </c>
    </row>
    <row r="1196" spans="1:10" outlineLevel="2">
      <c r="A1196" s="2459" t="s">
        <v>1669</v>
      </c>
      <c r="B1196" s="2459" t="s">
        <v>1647</v>
      </c>
      <c r="C1196" s="2459" t="s">
        <v>1672</v>
      </c>
      <c r="D1196" s="2460" t="s">
        <v>1671</v>
      </c>
      <c r="E1196" s="2461" t="s">
        <v>213</v>
      </c>
      <c r="F1196" s="2461" t="s">
        <v>1483</v>
      </c>
      <c r="G1196" s="2461" t="s">
        <v>1409</v>
      </c>
      <c r="H1196" s="2461" t="s">
        <v>1070</v>
      </c>
      <c r="I1196" s="2462">
        <v>4.0405112014180837E-3</v>
      </c>
      <c r="J1196" s="2462">
        <v>4.3394815346680451</v>
      </c>
    </row>
    <row r="1197" spans="1:10" outlineLevel="2">
      <c r="A1197" s="2459" t="s">
        <v>1669</v>
      </c>
      <c r="B1197" s="2459" t="s">
        <v>1647</v>
      </c>
      <c r="C1197" s="2459" t="s">
        <v>1672</v>
      </c>
      <c r="D1197" s="2460" t="s">
        <v>1671</v>
      </c>
      <c r="E1197" s="2461" t="s">
        <v>213</v>
      </c>
      <c r="F1197" s="2461" t="s">
        <v>1484</v>
      </c>
      <c r="G1197" s="2461" t="s">
        <v>1412</v>
      </c>
      <c r="H1197" s="2461" t="s">
        <v>1116</v>
      </c>
      <c r="I1197" s="2462">
        <v>3.8015188216821705E-2</v>
      </c>
      <c r="J1197" s="2462">
        <v>75.952666875907013</v>
      </c>
    </row>
    <row r="1198" spans="1:10" outlineLevel="2">
      <c r="A1198" s="2459" t="s">
        <v>1669</v>
      </c>
      <c r="B1198" s="2459" t="s">
        <v>1647</v>
      </c>
      <c r="C1198" s="2459" t="s">
        <v>1672</v>
      </c>
      <c r="D1198" s="2460" t="s">
        <v>1671</v>
      </c>
      <c r="E1198" s="2461" t="s">
        <v>213</v>
      </c>
      <c r="F1198" s="2461" t="s">
        <v>1485</v>
      </c>
      <c r="G1198" s="2461" t="s">
        <v>1412</v>
      </c>
      <c r="H1198" s="2461" t="s">
        <v>1116</v>
      </c>
      <c r="I1198" s="2462">
        <v>2.7320480032588766E-2</v>
      </c>
      <c r="J1198" s="2462">
        <v>287.44290743663186</v>
      </c>
    </row>
    <row r="1199" spans="1:10" outlineLevel="2">
      <c r="A1199" s="2459" t="s">
        <v>1669</v>
      </c>
      <c r="B1199" s="2459" t="s">
        <v>1647</v>
      </c>
      <c r="C1199" s="2459" t="s">
        <v>1672</v>
      </c>
      <c r="D1199" s="2460" t="s">
        <v>1671</v>
      </c>
      <c r="E1199" s="2461" t="s">
        <v>213</v>
      </c>
      <c r="F1199" s="2461" t="s">
        <v>1486</v>
      </c>
      <c r="G1199" s="2461" t="s">
        <v>1412</v>
      </c>
      <c r="H1199" s="2461" t="s">
        <v>1116</v>
      </c>
      <c r="I1199" s="2462">
        <v>2.2674164066607605E-2</v>
      </c>
      <c r="J1199" s="2462">
        <v>61.766283815239106</v>
      </c>
    </row>
    <row r="1200" spans="1:10" outlineLevel="2">
      <c r="A1200" s="2459" t="s">
        <v>1669</v>
      </c>
      <c r="B1200" s="2459" t="s">
        <v>1647</v>
      </c>
      <c r="C1200" s="2459" t="s">
        <v>1672</v>
      </c>
      <c r="D1200" s="2460" t="s">
        <v>1671</v>
      </c>
      <c r="E1200" s="2461" t="s">
        <v>213</v>
      </c>
      <c r="F1200" s="2461" t="s">
        <v>1487</v>
      </c>
      <c r="G1200" s="2461" t="s">
        <v>1412</v>
      </c>
      <c r="H1200" s="2461" t="s">
        <v>1116</v>
      </c>
      <c r="I1200" s="2462">
        <v>8.7218637779831465E-2</v>
      </c>
      <c r="J1200" s="2462">
        <v>116.01408024066738</v>
      </c>
    </row>
    <row r="1201" spans="1:10" outlineLevel="2">
      <c r="A1201" s="2459" t="s">
        <v>1669</v>
      </c>
      <c r="B1201" s="2459" t="s">
        <v>1647</v>
      </c>
      <c r="C1201" s="2459" t="s">
        <v>1672</v>
      </c>
      <c r="D1201" s="2460" t="s">
        <v>1671</v>
      </c>
      <c r="E1201" s="2461" t="s">
        <v>213</v>
      </c>
      <c r="F1201" s="2461" t="s">
        <v>1488</v>
      </c>
      <c r="G1201" s="2461" t="s">
        <v>1412</v>
      </c>
      <c r="H1201" s="2461" t="s">
        <v>1116</v>
      </c>
      <c r="I1201" s="2462">
        <v>2.4598630015294663E-3</v>
      </c>
      <c r="J1201" s="2462">
        <v>5.323221450667118</v>
      </c>
    </row>
    <row r="1202" spans="1:10" outlineLevel="2">
      <c r="A1202" s="2459" t="s">
        <v>1669</v>
      </c>
      <c r="B1202" s="2459" t="s">
        <v>1647</v>
      </c>
      <c r="C1202" s="2459" t="s">
        <v>1672</v>
      </c>
      <c r="D1202" s="2460" t="s">
        <v>1671</v>
      </c>
      <c r="E1202" s="2461" t="s">
        <v>213</v>
      </c>
      <c r="F1202" s="2461" t="s">
        <v>1489</v>
      </c>
      <c r="G1202" s="2461" t="s">
        <v>1412</v>
      </c>
      <c r="H1202" s="2461" t="s">
        <v>1116</v>
      </c>
      <c r="I1202" s="2462">
        <v>3.5299279372718894E-3</v>
      </c>
      <c r="J1202" s="2462">
        <v>5.2217128914603874</v>
      </c>
    </row>
    <row r="1203" spans="1:10" outlineLevel="2">
      <c r="A1203" s="2459" t="s">
        <v>1669</v>
      </c>
      <c r="B1203" s="2459" t="s">
        <v>1647</v>
      </c>
      <c r="C1203" s="2459" t="s">
        <v>1672</v>
      </c>
      <c r="D1203" s="2460" t="s">
        <v>1671</v>
      </c>
      <c r="E1203" s="2461" t="s">
        <v>213</v>
      </c>
      <c r="F1203" s="2461" t="s">
        <v>1490</v>
      </c>
      <c r="G1203" s="2461" t="s">
        <v>1412</v>
      </c>
      <c r="H1203" s="2461" t="s">
        <v>1116</v>
      </c>
      <c r="I1203" s="2462">
        <v>1.7914969923385404E-3</v>
      </c>
      <c r="J1203" s="2462">
        <v>25.385668245023108</v>
      </c>
    </row>
    <row r="1204" spans="1:10" outlineLevel="2">
      <c r="A1204" s="2459" t="s">
        <v>1669</v>
      </c>
      <c r="B1204" s="2459" t="s">
        <v>1647</v>
      </c>
      <c r="C1204" s="2459" t="s">
        <v>1672</v>
      </c>
      <c r="D1204" s="2460" t="s">
        <v>1671</v>
      </c>
      <c r="E1204" s="2461" t="s">
        <v>213</v>
      </c>
      <c r="F1204" s="2461" t="s">
        <v>1491</v>
      </c>
      <c r="G1204" s="2461" t="s">
        <v>1439</v>
      </c>
      <c r="H1204" s="2461" t="s">
        <v>1440</v>
      </c>
      <c r="I1204" s="2462">
        <v>0.78123248858742023</v>
      </c>
      <c r="J1204" s="2462">
        <v>833.32660391268621</v>
      </c>
    </row>
    <row r="1205" spans="1:10" outlineLevel="2">
      <c r="A1205" s="2459" t="s">
        <v>1669</v>
      </c>
      <c r="B1205" s="2459" t="s">
        <v>1647</v>
      </c>
      <c r="C1205" s="2459" t="s">
        <v>1672</v>
      </c>
      <c r="D1205" s="2460" t="s">
        <v>1671</v>
      </c>
      <c r="E1205" s="2461" t="s">
        <v>213</v>
      </c>
      <c r="F1205" s="2461" t="s">
        <v>1492</v>
      </c>
      <c r="G1205" s="2461" t="s">
        <v>1439</v>
      </c>
      <c r="H1205" s="2461" t="s">
        <v>1440</v>
      </c>
      <c r="I1205" s="2462">
        <v>1.1330571735524992</v>
      </c>
      <c r="J1205" s="2462">
        <v>1533.3023453586834</v>
      </c>
    </row>
    <row r="1206" spans="1:10" outlineLevel="2">
      <c r="A1206" s="2459" t="s">
        <v>1669</v>
      </c>
      <c r="B1206" s="2459" t="s">
        <v>1647</v>
      </c>
      <c r="C1206" s="2459" t="s">
        <v>1672</v>
      </c>
      <c r="D1206" s="2460" t="s">
        <v>1671</v>
      </c>
      <c r="E1206" s="2461" t="s">
        <v>213</v>
      </c>
      <c r="F1206" s="2461" t="s">
        <v>1493</v>
      </c>
      <c r="G1206" s="2461" t="s">
        <v>1439</v>
      </c>
      <c r="H1206" s="2461" t="s">
        <v>1440</v>
      </c>
      <c r="I1206" s="2462">
        <v>6.7252142306202189E-2</v>
      </c>
      <c r="J1206" s="2462">
        <v>71.709208109094234</v>
      </c>
    </row>
    <row r="1207" spans="1:10" outlineLevel="2">
      <c r="A1207" s="2459" t="s">
        <v>1669</v>
      </c>
      <c r="B1207" s="2459" t="s">
        <v>1647</v>
      </c>
      <c r="C1207" s="2459" t="s">
        <v>1672</v>
      </c>
      <c r="D1207" s="2460" t="s">
        <v>1671</v>
      </c>
      <c r="E1207" s="2461" t="s">
        <v>213</v>
      </c>
      <c r="F1207" s="2461" t="s">
        <v>1494</v>
      </c>
      <c r="G1207" s="2461" t="s">
        <v>1439</v>
      </c>
      <c r="H1207" s="2461" t="s">
        <v>1440</v>
      </c>
      <c r="I1207" s="2462">
        <v>0.72206512671631051</v>
      </c>
      <c r="J1207" s="2462">
        <v>909.49955447538775</v>
      </c>
    </row>
    <row r="1208" spans="1:10" outlineLevel="2">
      <c r="A1208" s="2459" t="s">
        <v>1669</v>
      </c>
      <c r="B1208" s="2459" t="s">
        <v>1647</v>
      </c>
      <c r="C1208" s="2459" t="s">
        <v>1672</v>
      </c>
      <c r="D1208" s="2460" t="s">
        <v>1671</v>
      </c>
      <c r="E1208" s="2461" t="s">
        <v>213</v>
      </c>
      <c r="F1208" s="2461" t="s">
        <v>1495</v>
      </c>
      <c r="G1208" s="2461" t="s">
        <v>1439</v>
      </c>
      <c r="H1208" s="2461" t="s">
        <v>1440</v>
      </c>
      <c r="I1208" s="2462">
        <v>3.6636012409071686E-3</v>
      </c>
      <c r="J1208" s="2462">
        <v>4.6322289269277617</v>
      </c>
    </row>
    <row r="1209" spans="1:10" outlineLevel="2">
      <c r="A1209" s="2459" t="s">
        <v>1669</v>
      </c>
      <c r="B1209" s="2459" t="s">
        <v>1647</v>
      </c>
      <c r="C1209" s="2459" t="s">
        <v>1672</v>
      </c>
      <c r="D1209" s="2460" t="s">
        <v>1671</v>
      </c>
      <c r="E1209" s="2461" t="s">
        <v>213</v>
      </c>
      <c r="F1209" s="2461" t="s">
        <v>1496</v>
      </c>
      <c r="G1209" s="2461" t="s">
        <v>1439</v>
      </c>
      <c r="H1209" s="2461" t="s">
        <v>1440</v>
      </c>
      <c r="I1209" s="2462">
        <v>2.5155339469197756E-2</v>
      </c>
      <c r="J1209" s="2462">
        <v>35.515129523501962</v>
      </c>
    </row>
    <row r="1210" spans="1:10" outlineLevel="2">
      <c r="A1210" s="2459" t="s">
        <v>1669</v>
      </c>
      <c r="B1210" s="2459" t="s">
        <v>1647</v>
      </c>
      <c r="C1210" s="2459" t="s">
        <v>1672</v>
      </c>
      <c r="D1210" s="2460" t="s">
        <v>1671</v>
      </c>
      <c r="E1210" s="2461" t="s">
        <v>213</v>
      </c>
      <c r="F1210" s="2461" t="s">
        <v>1497</v>
      </c>
      <c r="G1210" s="2461" t="s">
        <v>1439</v>
      </c>
      <c r="H1210" s="2461" t="s">
        <v>1440</v>
      </c>
      <c r="I1210" s="2462">
        <v>6.9774353048686613E-3</v>
      </c>
      <c r="J1210" s="2462">
        <v>8.8372475379550384</v>
      </c>
    </row>
    <row r="1211" spans="1:10" outlineLevel="2">
      <c r="A1211" s="2459" t="s">
        <v>1669</v>
      </c>
      <c r="B1211" s="2459" t="s">
        <v>1647</v>
      </c>
      <c r="C1211" s="2459" t="s">
        <v>1672</v>
      </c>
      <c r="D1211" s="2460" t="s">
        <v>1671</v>
      </c>
      <c r="E1211" s="2461" t="s">
        <v>213</v>
      </c>
      <c r="F1211" s="2461" t="s">
        <v>1498</v>
      </c>
      <c r="G1211" s="2461" t="s">
        <v>1439</v>
      </c>
      <c r="H1211" s="2461" t="s">
        <v>1440</v>
      </c>
      <c r="I1211" s="2462">
        <v>0.85968627472858161</v>
      </c>
      <c r="J1211" s="2462">
        <v>1457.3499883112574</v>
      </c>
    </row>
    <row r="1212" spans="1:10" outlineLevel="2">
      <c r="A1212" s="2459" t="s">
        <v>1669</v>
      </c>
      <c r="B1212" s="2459" t="s">
        <v>1647</v>
      </c>
      <c r="C1212" s="2459" t="s">
        <v>1672</v>
      </c>
      <c r="D1212" s="2460" t="s">
        <v>1671</v>
      </c>
      <c r="E1212" s="2461" t="s">
        <v>213</v>
      </c>
      <c r="F1212" s="2461" t="s">
        <v>1499</v>
      </c>
      <c r="G1212" s="2461" t="s">
        <v>1439</v>
      </c>
      <c r="H1212" s="2461" t="s">
        <v>1440</v>
      </c>
      <c r="I1212" s="2462">
        <v>0.17813990914679759</v>
      </c>
      <c r="J1212" s="2462">
        <v>94.311663770285534</v>
      </c>
    </row>
    <row r="1213" spans="1:10" outlineLevel="2">
      <c r="A1213" s="2459" t="s">
        <v>1669</v>
      </c>
      <c r="B1213" s="2459" t="s">
        <v>1647</v>
      </c>
      <c r="C1213" s="2459" t="s">
        <v>1672</v>
      </c>
      <c r="D1213" s="2460" t="s">
        <v>1671</v>
      </c>
      <c r="E1213" s="2461" t="s">
        <v>213</v>
      </c>
      <c r="F1213" s="2461" t="s">
        <v>1500</v>
      </c>
      <c r="G1213" s="2461" t="s">
        <v>1439</v>
      </c>
      <c r="H1213" s="2461" t="s">
        <v>1440</v>
      </c>
      <c r="I1213" s="2462">
        <v>1.0891579791555259</v>
      </c>
      <c r="J1213" s="2462">
        <v>576.55922286194561</v>
      </c>
    </row>
    <row r="1214" spans="1:10" outlineLevel="2">
      <c r="A1214" s="2459" t="s">
        <v>1669</v>
      </c>
      <c r="B1214" s="2459" t="s">
        <v>1647</v>
      </c>
      <c r="C1214" s="2459" t="s">
        <v>1672</v>
      </c>
      <c r="D1214" s="2460" t="s">
        <v>1671</v>
      </c>
      <c r="E1214" s="2461" t="s">
        <v>213</v>
      </c>
      <c r="F1214" s="2461" t="s">
        <v>1501</v>
      </c>
      <c r="G1214" s="2461" t="s">
        <v>1439</v>
      </c>
      <c r="H1214" s="2461" t="s">
        <v>1440</v>
      </c>
      <c r="I1214" s="2462">
        <v>0.11640453258766723</v>
      </c>
      <c r="J1214" s="2462">
        <v>169.25124308516229</v>
      </c>
    </row>
    <row r="1215" spans="1:10" outlineLevel="2">
      <c r="A1215" s="2459" t="s">
        <v>1669</v>
      </c>
      <c r="B1215" s="2459" t="s">
        <v>1647</v>
      </c>
      <c r="C1215" s="2459" t="s">
        <v>1672</v>
      </c>
      <c r="D1215" s="2460" t="s">
        <v>1671</v>
      </c>
      <c r="E1215" s="2461" t="s">
        <v>213</v>
      </c>
      <c r="F1215" s="2461" t="s">
        <v>1502</v>
      </c>
      <c r="G1215" s="2461" t="s">
        <v>1439</v>
      </c>
      <c r="H1215" s="2461" t="s">
        <v>1440</v>
      </c>
      <c r="I1215" s="2462">
        <v>0.12939544615112686</v>
      </c>
      <c r="J1215" s="2462">
        <v>194.80547724506471</v>
      </c>
    </row>
    <row r="1216" spans="1:10" outlineLevel="2">
      <c r="A1216" s="2459" t="s">
        <v>1669</v>
      </c>
      <c r="B1216" s="2459" t="s">
        <v>1647</v>
      </c>
      <c r="C1216" s="2459" t="s">
        <v>1672</v>
      </c>
      <c r="D1216" s="2460" t="s">
        <v>1671</v>
      </c>
      <c r="E1216" s="2461" t="s">
        <v>213</v>
      </c>
      <c r="F1216" s="2461" t="s">
        <v>1503</v>
      </c>
      <c r="G1216" s="2461" t="s">
        <v>1439</v>
      </c>
      <c r="H1216" s="2461" t="s">
        <v>1440</v>
      </c>
      <c r="I1216" s="2462">
        <v>0.17071597381572259</v>
      </c>
      <c r="J1216" s="2462">
        <v>220.5005975383489</v>
      </c>
    </row>
    <row r="1217" spans="1:10" outlineLevel="2">
      <c r="A1217" s="2459" t="s">
        <v>1669</v>
      </c>
      <c r="B1217" s="2459" t="s">
        <v>1647</v>
      </c>
      <c r="C1217" s="2459" t="s">
        <v>1672</v>
      </c>
      <c r="D1217" s="2460" t="s">
        <v>1671</v>
      </c>
      <c r="E1217" s="2461" t="s">
        <v>213</v>
      </c>
      <c r="F1217" s="2461" t="s">
        <v>1504</v>
      </c>
      <c r="G1217" s="2461" t="s">
        <v>1439</v>
      </c>
      <c r="H1217" s="2461" t="s">
        <v>1440</v>
      </c>
      <c r="I1217" s="2462">
        <v>8.7110869897539606E-2</v>
      </c>
      <c r="J1217" s="2462">
        <v>104.69237762804661</v>
      </c>
    </row>
    <row r="1218" spans="1:10" outlineLevel="2">
      <c r="A1218" s="2459" t="s">
        <v>1669</v>
      </c>
      <c r="B1218" s="2459" t="s">
        <v>1647</v>
      </c>
      <c r="C1218" s="2459" t="s">
        <v>1672</v>
      </c>
      <c r="D1218" s="2460" t="s">
        <v>1671</v>
      </c>
      <c r="E1218" s="2461" t="s">
        <v>213</v>
      </c>
      <c r="F1218" s="2461" t="s">
        <v>1505</v>
      </c>
      <c r="G1218" s="2461" t="s">
        <v>1439</v>
      </c>
      <c r="H1218" s="2461" t="s">
        <v>1440</v>
      </c>
      <c r="I1218" s="2462">
        <v>1.5567638140414499</v>
      </c>
      <c r="J1218" s="2462">
        <v>2268.6757892373944</v>
      </c>
    </row>
    <row r="1219" spans="1:10" outlineLevel="2">
      <c r="A1219" s="2459" t="s">
        <v>1669</v>
      </c>
      <c r="B1219" s="2459" t="s">
        <v>1647</v>
      </c>
      <c r="C1219" s="2459" t="s">
        <v>1672</v>
      </c>
      <c r="D1219" s="2460" t="s">
        <v>1671</v>
      </c>
      <c r="E1219" s="2461" t="s">
        <v>213</v>
      </c>
      <c r="F1219" s="2461" t="s">
        <v>1506</v>
      </c>
      <c r="G1219" s="2461" t="s">
        <v>1439</v>
      </c>
      <c r="H1219" s="2461" t="s">
        <v>1440</v>
      </c>
      <c r="I1219" s="2462">
        <v>1.7580930731886595</v>
      </c>
      <c r="J1219" s="2462">
        <v>2647.4146086275155</v>
      </c>
    </row>
    <row r="1220" spans="1:10" outlineLevel="2">
      <c r="A1220" s="2459" t="s">
        <v>1669</v>
      </c>
      <c r="B1220" s="2459" t="s">
        <v>1647</v>
      </c>
      <c r="C1220" s="2459" t="s">
        <v>1672</v>
      </c>
      <c r="D1220" s="2460" t="s">
        <v>1671</v>
      </c>
      <c r="E1220" s="2461" t="s">
        <v>213</v>
      </c>
      <c r="F1220" s="2461" t="s">
        <v>1507</v>
      </c>
      <c r="G1220" s="2461" t="s">
        <v>1439</v>
      </c>
      <c r="H1220" s="2461" t="s">
        <v>1440</v>
      </c>
      <c r="I1220" s="2462">
        <v>0.19672620290997719</v>
      </c>
      <c r="J1220" s="2462">
        <v>442.04902030143614</v>
      </c>
    </row>
    <row r="1221" spans="1:10" outlineLevel="2">
      <c r="A1221" s="2459" t="s">
        <v>1669</v>
      </c>
      <c r="B1221" s="2459" t="s">
        <v>1647</v>
      </c>
      <c r="C1221" s="2459" t="s">
        <v>1672</v>
      </c>
      <c r="D1221" s="2460" t="s">
        <v>1671</v>
      </c>
      <c r="E1221" s="2461" t="s">
        <v>213</v>
      </c>
      <c r="F1221" s="2461" t="s">
        <v>1508</v>
      </c>
      <c r="G1221" s="2461" t="s">
        <v>1439</v>
      </c>
      <c r="H1221" s="2461" t="s">
        <v>1440</v>
      </c>
      <c r="I1221" s="2462">
        <v>5.4150124717350829</v>
      </c>
      <c r="J1221" s="2462">
        <v>8546.0229308195958</v>
      </c>
    </row>
    <row r="1222" spans="1:10" outlineLevel="2">
      <c r="A1222" s="2459" t="s">
        <v>1669</v>
      </c>
      <c r="B1222" s="2459" t="s">
        <v>1647</v>
      </c>
      <c r="C1222" s="2459" t="s">
        <v>1672</v>
      </c>
      <c r="D1222" s="2460" t="s">
        <v>1671</v>
      </c>
      <c r="E1222" s="2461" t="s">
        <v>213</v>
      </c>
      <c r="F1222" s="2461" t="s">
        <v>1509</v>
      </c>
      <c r="G1222" s="2461" t="s">
        <v>1439</v>
      </c>
      <c r="H1222" s="2461" t="s">
        <v>1440</v>
      </c>
      <c r="I1222" s="2462">
        <v>7.0872745622614933E-2</v>
      </c>
      <c r="J1222" s="2462">
        <v>80.643314899529599</v>
      </c>
    </row>
    <row r="1223" spans="1:10" outlineLevel="2">
      <c r="A1223" s="2459" t="s">
        <v>1669</v>
      </c>
      <c r="B1223" s="2459" t="s">
        <v>1647</v>
      </c>
      <c r="C1223" s="2459" t="s">
        <v>1672</v>
      </c>
      <c r="D1223" s="2460" t="s">
        <v>1671</v>
      </c>
      <c r="E1223" s="2461" t="s">
        <v>213</v>
      </c>
      <c r="F1223" s="2461" t="s">
        <v>1510</v>
      </c>
      <c r="G1223" s="2461" t="s">
        <v>1439</v>
      </c>
      <c r="H1223" s="2461" t="s">
        <v>1440</v>
      </c>
      <c r="I1223" s="2462">
        <v>0.22723603883535784</v>
      </c>
      <c r="J1223" s="2462">
        <v>262.60505847004436</v>
      </c>
    </row>
    <row r="1224" spans="1:10" outlineLevel="2">
      <c r="A1224" s="2459" t="s">
        <v>1669</v>
      </c>
      <c r="B1224" s="2459" t="s">
        <v>1647</v>
      </c>
      <c r="C1224" s="2459" t="s">
        <v>1672</v>
      </c>
      <c r="D1224" s="2460" t="s">
        <v>1671</v>
      </c>
      <c r="E1224" s="2461" t="s">
        <v>213</v>
      </c>
      <c r="F1224" s="2461" t="s">
        <v>1511</v>
      </c>
      <c r="G1224" s="2461" t="s">
        <v>1418</v>
      </c>
      <c r="H1224" s="2461" t="s">
        <v>1452</v>
      </c>
      <c r="I1224" s="2462">
        <v>1.1791231203141003E-3</v>
      </c>
      <c r="J1224" s="2462">
        <v>1.7341660386246764</v>
      </c>
    </row>
    <row r="1225" spans="1:10" outlineLevel="2">
      <c r="A1225" s="2459" t="s">
        <v>1669</v>
      </c>
      <c r="B1225" s="2459" t="s">
        <v>1647</v>
      </c>
      <c r="C1225" s="2459" t="s">
        <v>1672</v>
      </c>
      <c r="D1225" s="2460" t="s">
        <v>1671</v>
      </c>
      <c r="E1225" s="2461" t="s">
        <v>213</v>
      </c>
      <c r="F1225" s="2461" t="s">
        <v>1512</v>
      </c>
      <c r="G1225" s="2461" t="s">
        <v>1418</v>
      </c>
      <c r="H1225" s="2461" t="s">
        <v>1452</v>
      </c>
      <c r="I1225" s="2462">
        <v>1.5429166475971179E-3</v>
      </c>
      <c r="J1225" s="2462">
        <v>6.7106015566547521</v>
      </c>
    </row>
    <row r="1226" spans="1:10" outlineLevel="2">
      <c r="A1226" s="2459" t="s">
        <v>1669</v>
      </c>
      <c r="B1226" s="2459" t="s">
        <v>1647</v>
      </c>
      <c r="C1226" s="2459" t="s">
        <v>1672</v>
      </c>
      <c r="D1226" s="2460" t="s">
        <v>1671</v>
      </c>
      <c r="E1226" s="2461" t="s">
        <v>213</v>
      </c>
      <c r="F1226" s="2461" t="s">
        <v>1513</v>
      </c>
      <c r="G1226" s="2461" t="s">
        <v>1418</v>
      </c>
      <c r="H1226" s="2461" t="s">
        <v>1452</v>
      </c>
      <c r="I1226" s="2462">
        <v>5.7503980285974019E-5</v>
      </c>
      <c r="J1226" s="2462">
        <v>5.3830650855215129E-2</v>
      </c>
    </row>
    <row r="1227" spans="1:10" outlineLevel="2">
      <c r="A1227" s="2459" t="s">
        <v>1669</v>
      </c>
      <c r="B1227" s="2459" t="s">
        <v>1647</v>
      </c>
      <c r="C1227" s="2459" t="s">
        <v>1672</v>
      </c>
      <c r="D1227" s="2460" t="s">
        <v>1671</v>
      </c>
      <c r="E1227" s="2461" t="s">
        <v>213</v>
      </c>
      <c r="F1227" s="2461" t="s">
        <v>1514</v>
      </c>
      <c r="G1227" s="2461" t="s">
        <v>1418</v>
      </c>
      <c r="H1227" s="2461" t="s">
        <v>1452</v>
      </c>
      <c r="I1227" s="2462">
        <v>5.1580136985197554E-3</v>
      </c>
      <c r="J1227" s="2462">
        <v>4.8189049617517687</v>
      </c>
    </row>
    <row r="1228" spans="1:10" outlineLevel="2">
      <c r="A1228" s="2459" t="s">
        <v>1669</v>
      </c>
      <c r="B1228" s="2459" t="s">
        <v>1647</v>
      </c>
      <c r="C1228" s="2459" t="s">
        <v>1672</v>
      </c>
      <c r="D1228" s="2460" t="s">
        <v>1671</v>
      </c>
      <c r="E1228" s="2461" t="s">
        <v>213</v>
      </c>
      <c r="F1228" s="2461" t="s">
        <v>1515</v>
      </c>
      <c r="G1228" s="2461" t="s">
        <v>1418</v>
      </c>
      <c r="H1228" s="2461" t="s">
        <v>1452</v>
      </c>
      <c r="I1228" s="2462">
        <v>9.9204225361383767E-4</v>
      </c>
      <c r="J1228" s="2462">
        <v>1.4257481312519398</v>
      </c>
    </row>
    <row r="1229" spans="1:10" outlineLevel="2">
      <c r="A1229" s="2459" t="s">
        <v>1669</v>
      </c>
      <c r="B1229" s="2459" t="s">
        <v>1647</v>
      </c>
      <c r="C1229" s="2459" t="s">
        <v>1672</v>
      </c>
      <c r="D1229" s="2460" t="s">
        <v>1671</v>
      </c>
      <c r="E1229" s="2461" t="s">
        <v>213</v>
      </c>
      <c r="F1229" s="2461" t="s">
        <v>1516</v>
      </c>
      <c r="G1229" s="2461" t="s">
        <v>1418</v>
      </c>
      <c r="H1229" s="2461" t="s">
        <v>1452</v>
      </c>
      <c r="I1229" s="2462">
        <v>1.4172698753011246E-2</v>
      </c>
      <c r="J1229" s="2462">
        <v>15.797210524544276</v>
      </c>
    </row>
    <row r="1230" spans="1:10" outlineLevel="2">
      <c r="A1230" s="2459" t="s">
        <v>1669</v>
      </c>
      <c r="B1230" s="2459" t="s">
        <v>1647</v>
      </c>
      <c r="C1230" s="2459" t="s">
        <v>1672</v>
      </c>
      <c r="D1230" s="2460" t="s">
        <v>1671</v>
      </c>
      <c r="E1230" s="2461" t="s">
        <v>213</v>
      </c>
      <c r="F1230" s="2461" t="s">
        <v>1517</v>
      </c>
      <c r="G1230" s="2461" t="s">
        <v>1418</v>
      </c>
      <c r="H1230" s="2461" t="s">
        <v>1452</v>
      </c>
      <c r="I1230" s="2462">
        <v>7.2539331428310344E-2</v>
      </c>
      <c r="J1230" s="2462">
        <v>35.415722461082694</v>
      </c>
    </row>
    <row r="1231" spans="1:10" outlineLevel="2">
      <c r="A1231" s="2459" t="s">
        <v>1669</v>
      </c>
      <c r="B1231" s="2459" t="s">
        <v>1647</v>
      </c>
      <c r="C1231" s="2459" t="s">
        <v>1672</v>
      </c>
      <c r="D1231" s="2460" t="s">
        <v>1671</v>
      </c>
      <c r="E1231" s="2461" t="s">
        <v>213</v>
      </c>
      <c r="F1231" s="2461" t="s">
        <v>1518</v>
      </c>
      <c r="G1231" s="2461" t="s">
        <v>1418</v>
      </c>
      <c r="H1231" s="2461" t="s">
        <v>1452</v>
      </c>
      <c r="I1231" s="2462">
        <v>8.1687078594720706E-3</v>
      </c>
      <c r="J1231" s="2462">
        <v>7.6316624031982832</v>
      </c>
    </row>
    <row r="1232" spans="1:10" outlineLevel="2">
      <c r="A1232" s="2459" t="s">
        <v>1669</v>
      </c>
      <c r="B1232" s="2459" t="s">
        <v>1647</v>
      </c>
      <c r="C1232" s="2459" t="s">
        <v>1672</v>
      </c>
      <c r="D1232" s="2460" t="s">
        <v>1671</v>
      </c>
      <c r="E1232" s="2461" t="s">
        <v>213</v>
      </c>
      <c r="F1232" s="2461" t="s">
        <v>1519</v>
      </c>
      <c r="G1232" s="2461" t="s">
        <v>1418</v>
      </c>
      <c r="H1232" s="2461" t="s">
        <v>1452</v>
      </c>
      <c r="I1232" s="2462">
        <v>1.0725504842487415E-2</v>
      </c>
      <c r="J1232" s="2462">
        <v>10.890659404050057</v>
      </c>
    </row>
    <row r="1233" spans="1:10" outlineLevel="2">
      <c r="A1233" s="2459" t="s">
        <v>1669</v>
      </c>
      <c r="B1233" s="2459" t="s">
        <v>1647</v>
      </c>
      <c r="C1233" s="2459" t="s">
        <v>1672</v>
      </c>
      <c r="D1233" s="2460" t="s">
        <v>1671</v>
      </c>
      <c r="E1233" s="2461" t="s">
        <v>213</v>
      </c>
      <c r="F1233" s="2461" t="s">
        <v>1520</v>
      </c>
      <c r="G1233" s="2461" t="s">
        <v>1418</v>
      </c>
      <c r="H1233" s="2461" t="s">
        <v>1452</v>
      </c>
      <c r="I1233" s="2462">
        <v>1.2857350742016818E-3</v>
      </c>
      <c r="J1233" s="2462">
        <v>11.638912792865021</v>
      </c>
    </row>
    <row r="1234" spans="1:10" outlineLevel="2">
      <c r="A1234" s="2459" t="s">
        <v>1669</v>
      </c>
      <c r="B1234" s="2459" t="s">
        <v>1647</v>
      </c>
      <c r="C1234" s="2459" t="s">
        <v>1672</v>
      </c>
      <c r="D1234" s="2460" t="s">
        <v>1671</v>
      </c>
      <c r="E1234" s="2461" t="s">
        <v>213</v>
      </c>
      <c r="F1234" s="2461" t="s">
        <v>1521</v>
      </c>
      <c r="G1234" s="2461" t="s">
        <v>1421</v>
      </c>
      <c r="H1234" s="2461" t="s">
        <v>1454</v>
      </c>
      <c r="I1234" s="2462">
        <v>1.0811104484687528</v>
      </c>
      <c r="J1234" s="2462">
        <v>1493.1052376458497</v>
      </c>
    </row>
    <row r="1235" spans="1:10" outlineLevel="2">
      <c r="A1235" s="2459" t="s">
        <v>1669</v>
      </c>
      <c r="B1235" s="2459" t="s">
        <v>1647</v>
      </c>
      <c r="C1235" s="2459" t="s">
        <v>1672</v>
      </c>
      <c r="D1235" s="2460" t="s">
        <v>1671</v>
      </c>
      <c r="E1235" s="2461" t="s">
        <v>213</v>
      </c>
      <c r="F1235" s="2461" t="s">
        <v>1522</v>
      </c>
      <c r="G1235" s="2461" t="s">
        <v>1421</v>
      </c>
      <c r="H1235" s="2461" t="s">
        <v>1454</v>
      </c>
      <c r="I1235" s="2462">
        <v>0.25392712166655246</v>
      </c>
      <c r="J1235" s="2462">
        <v>373.5615180598374</v>
      </c>
    </row>
    <row r="1236" spans="1:10" outlineLevel="2">
      <c r="A1236" s="2459" t="s">
        <v>1669</v>
      </c>
      <c r="B1236" s="2459" t="s">
        <v>1647</v>
      </c>
      <c r="C1236" s="2459" t="s">
        <v>1672</v>
      </c>
      <c r="D1236" s="2460" t="s">
        <v>1671</v>
      </c>
      <c r="E1236" s="2461" t="s">
        <v>213</v>
      </c>
      <c r="F1236" s="2461" t="s">
        <v>1523</v>
      </c>
      <c r="G1236" s="2461" t="s">
        <v>1421</v>
      </c>
      <c r="H1236" s="2461" t="s">
        <v>1454</v>
      </c>
      <c r="I1236" s="2462">
        <v>0.11714383254016475</v>
      </c>
      <c r="J1236" s="2462">
        <v>197.52706602732704</v>
      </c>
    </row>
    <row r="1237" spans="1:10" outlineLevel="2">
      <c r="A1237" s="2459" t="s">
        <v>1669</v>
      </c>
      <c r="B1237" s="2459" t="s">
        <v>1647</v>
      </c>
      <c r="C1237" s="2459" t="s">
        <v>1672</v>
      </c>
      <c r="D1237" s="2460" t="s">
        <v>1671</v>
      </c>
      <c r="E1237" s="2461" t="s">
        <v>213</v>
      </c>
      <c r="F1237" s="2461" t="s">
        <v>1524</v>
      </c>
      <c r="G1237" s="2461" t="s">
        <v>1421</v>
      </c>
      <c r="H1237" s="2461" t="s">
        <v>1454</v>
      </c>
      <c r="I1237" s="2462">
        <v>0.26992888199420195</v>
      </c>
      <c r="J1237" s="2462">
        <v>424.62966529427268</v>
      </c>
    </row>
    <row r="1238" spans="1:10" outlineLevel="2">
      <c r="A1238" s="2459" t="s">
        <v>1669</v>
      </c>
      <c r="B1238" s="2459" t="s">
        <v>1647</v>
      </c>
      <c r="C1238" s="2459" t="s">
        <v>1672</v>
      </c>
      <c r="D1238" s="2460" t="s">
        <v>1671</v>
      </c>
      <c r="E1238" s="2461" t="s">
        <v>213</v>
      </c>
      <c r="F1238" s="2461" t="s">
        <v>1525</v>
      </c>
      <c r="G1238" s="2461" t="s">
        <v>1421</v>
      </c>
      <c r="H1238" s="2461" t="s">
        <v>1454</v>
      </c>
      <c r="I1238" s="2462">
        <v>0.47552738857313365</v>
      </c>
      <c r="J1238" s="2462">
        <v>670.90389063810721</v>
      </c>
    </row>
    <row r="1239" spans="1:10" outlineLevel="2">
      <c r="A1239" s="2459" t="s">
        <v>1669</v>
      </c>
      <c r="B1239" s="2459" t="s">
        <v>1647</v>
      </c>
      <c r="C1239" s="2459" t="s">
        <v>1672</v>
      </c>
      <c r="D1239" s="2460" t="s">
        <v>1671</v>
      </c>
      <c r="E1239" s="2461" t="s">
        <v>213</v>
      </c>
      <c r="F1239" s="2461" t="s">
        <v>1526</v>
      </c>
      <c r="G1239" s="2461" t="s">
        <v>1421</v>
      </c>
      <c r="H1239" s="2461" t="s">
        <v>1454</v>
      </c>
      <c r="I1239" s="2462">
        <v>2.2029900456035235E-2</v>
      </c>
      <c r="J1239" s="2462">
        <v>31.477707579104038</v>
      </c>
    </row>
    <row r="1240" spans="1:10" outlineLevel="2">
      <c r="A1240" s="2459" t="s">
        <v>1669</v>
      </c>
      <c r="B1240" s="2459" t="s">
        <v>1647</v>
      </c>
      <c r="C1240" s="2459" t="s">
        <v>1672</v>
      </c>
      <c r="D1240" s="2460" t="s">
        <v>1671</v>
      </c>
      <c r="E1240" s="2461" t="s">
        <v>213</v>
      </c>
      <c r="F1240" s="2461" t="s">
        <v>1527</v>
      </c>
      <c r="G1240" s="2461" t="s">
        <v>1459</v>
      </c>
      <c r="H1240" s="2461" t="s">
        <v>1460</v>
      </c>
      <c r="I1240" s="2462">
        <v>9.1421425694313656E-3</v>
      </c>
      <c r="J1240" s="2462">
        <v>9.5041461648467482</v>
      </c>
    </row>
    <row r="1241" spans="1:10" outlineLevel="2">
      <c r="A1241" s="2459" t="s">
        <v>1669</v>
      </c>
      <c r="B1241" s="2459" t="s">
        <v>1647</v>
      </c>
      <c r="C1241" s="2459" t="s">
        <v>1672</v>
      </c>
      <c r="D1241" s="2460" t="s">
        <v>1671</v>
      </c>
      <c r="E1241" s="2461" t="s">
        <v>213</v>
      </c>
      <c r="F1241" s="2461" t="s">
        <v>1528</v>
      </c>
      <c r="G1241" s="2461" t="s">
        <v>1459</v>
      </c>
      <c r="H1241" s="2461" t="s">
        <v>1460</v>
      </c>
      <c r="I1241" s="2462">
        <v>7.9579414560375399E-5</v>
      </c>
      <c r="J1241" s="2462">
        <v>0.10129187041297197</v>
      </c>
    </row>
    <row r="1242" spans="1:10" outlineLevel="2">
      <c r="A1242" s="2459" t="s">
        <v>1669</v>
      </c>
      <c r="B1242" s="2459" t="s">
        <v>1647</v>
      </c>
      <c r="C1242" s="2459" t="s">
        <v>1672</v>
      </c>
      <c r="D1242" s="2460" t="s">
        <v>1671</v>
      </c>
      <c r="E1242" s="2461" t="s">
        <v>213</v>
      </c>
      <c r="F1242" s="2461" t="s">
        <v>1642</v>
      </c>
      <c r="G1242" s="2461" t="s">
        <v>1412</v>
      </c>
      <c r="H1242" s="2461" t="s">
        <v>1116</v>
      </c>
      <c r="I1242" s="2462">
        <v>8.7841433700833142E-3</v>
      </c>
      <c r="J1242" s="2462">
        <v>10.818214320540028</v>
      </c>
    </row>
    <row r="1243" spans="1:10" outlineLevel="2">
      <c r="A1243" s="2459" t="s">
        <v>1669</v>
      </c>
      <c r="B1243" s="2459" t="s">
        <v>1647</v>
      </c>
      <c r="C1243" s="2459" t="s">
        <v>1672</v>
      </c>
      <c r="D1243" s="2460" t="s">
        <v>1671</v>
      </c>
      <c r="E1243" s="2461" t="s">
        <v>213</v>
      </c>
      <c r="F1243" s="2461" t="s">
        <v>1529</v>
      </c>
      <c r="G1243" s="2461" t="s">
        <v>1530</v>
      </c>
      <c r="H1243" s="2461" t="s">
        <v>1531</v>
      </c>
      <c r="I1243" s="2462">
        <v>0.44009985611898345</v>
      </c>
      <c r="J1243" s="2462">
        <v>374.44510690140936</v>
      </c>
    </row>
    <row r="1244" spans="1:10" outlineLevel="2">
      <c r="A1244" s="2459" t="s">
        <v>1669</v>
      </c>
      <c r="B1244" s="2459" t="s">
        <v>1647</v>
      </c>
      <c r="C1244" s="2459" t="s">
        <v>1672</v>
      </c>
      <c r="D1244" s="2460" t="s">
        <v>1671</v>
      </c>
      <c r="E1244" s="2461" t="s">
        <v>213</v>
      </c>
      <c r="F1244" s="2461" t="s">
        <v>1532</v>
      </c>
      <c r="G1244" s="2461" t="s">
        <v>1530</v>
      </c>
      <c r="H1244" s="2461" t="s">
        <v>1531</v>
      </c>
      <c r="I1244" s="2462">
        <v>0.18524358169908289</v>
      </c>
      <c r="J1244" s="2462">
        <v>158.03322151214266</v>
      </c>
    </row>
    <row r="1245" spans="1:10" outlineLevel="2">
      <c r="A1245" s="2459" t="s">
        <v>1669</v>
      </c>
      <c r="B1245" s="2459" t="s">
        <v>1647</v>
      </c>
      <c r="C1245" s="2459" t="s">
        <v>1672</v>
      </c>
      <c r="D1245" s="2460" t="s">
        <v>1671</v>
      </c>
      <c r="E1245" s="2461" t="s">
        <v>213</v>
      </c>
      <c r="F1245" s="2461" t="s">
        <v>1533</v>
      </c>
      <c r="G1245" s="2461" t="s">
        <v>1534</v>
      </c>
      <c r="H1245" s="2461" t="s">
        <v>1531</v>
      </c>
      <c r="I1245" s="2462">
        <v>6.9537751709334295E-2</v>
      </c>
      <c r="J1245" s="2462">
        <v>116.73625210941731</v>
      </c>
    </row>
    <row r="1246" spans="1:10" outlineLevel="2">
      <c r="A1246" s="2459" t="s">
        <v>1669</v>
      </c>
      <c r="B1246" s="2459" t="s">
        <v>1647</v>
      </c>
      <c r="C1246" s="2459" t="s">
        <v>1672</v>
      </c>
      <c r="D1246" s="2460" t="s">
        <v>1671</v>
      </c>
      <c r="E1246" s="2461" t="s">
        <v>213</v>
      </c>
      <c r="F1246" s="2461" t="s">
        <v>1535</v>
      </c>
      <c r="G1246" s="2461" t="s">
        <v>1536</v>
      </c>
      <c r="H1246" s="2461" t="s">
        <v>1537</v>
      </c>
      <c r="I1246" s="2462">
        <v>2.7866267605437399E-3</v>
      </c>
      <c r="J1246" s="2462">
        <v>4.1378681208929446</v>
      </c>
    </row>
    <row r="1247" spans="1:10" outlineLevel="2">
      <c r="A1247" s="2459" t="s">
        <v>1669</v>
      </c>
      <c r="B1247" s="2459" t="s">
        <v>1647</v>
      </c>
      <c r="C1247" s="2459" t="s">
        <v>1672</v>
      </c>
      <c r="D1247" s="2460" t="s">
        <v>1671</v>
      </c>
      <c r="E1247" s="2461" t="s">
        <v>1538</v>
      </c>
      <c r="F1247" s="2461" t="s">
        <v>1539</v>
      </c>
      <c r="G1247" s="2461" t="s">
        <v>1426</v>
      </c>
      <c r="H1247" s="2461" t="s">
        <v>1540</v>
      </c>
      <c r="I1247" s="2462">
        <v>3.8453088531034021E-3</v>
      </c>
      <c r="J1247" s="2462">
        <v>7.3639532715053102</v>
      </c>
    </row>
    <row r="1248" spans="1:10" outlineLevel="2">
      <c r="A1248" s="2459" t="s">
        <v>1669</v>
      </c>
      <c r="B1248" s="2459" t="s">
        <v>1647</v>
      </c>
      <c r="C1248" s="2459" t="s">
        <v>1672</v>
      </c>
      <c r="D1248" s="2460" t="s">
        <v>1671</v>
      </c>
      <c r="E1248" s="2461" t="s">
        <v>1538</v>
      </c>
      <c r="F1248" s="2461" t="s">
        <v>1541</v>
      </c>
      <c r="G1248" s="2461" t="s">
        <v>1409</v>
      </c>
      <c r="H1248" s="2461" t="s">
        <v>1540</v>
      </c>
      <c r="I1248" s="2462">
        <v>3.8510077516725171E-4</v>
      </c>
      <c r="J1248" s="2462">
        <v>1.7926425715449386</v>
      </c>
    </row>
    <row r="1249" spans="1:10" outlineLevel="2">
      <c r="A1249" s="2459" t="s">
        <v>1669</v>
      </c>
      <c r="B1249" s="2459" t="s">
        <v>1647</v>
      </c>
      <c r="C1249" s="2459" t="s">
        <v>1672</v>
      </c>
      <c r="D1249" s="2460" t="s">
        <v>1671</v>
      </c>
      <c r="E1249" s="2461" t="s">
        <v>1538</v>
      </c>
      <c r="F1249" s="2461" t="s">
        <v>1542</v>
      </c>
      <c r="G1249" s="2461" t="s">
        <v>1409</v>
      </c>
      <c r="H1249" s="2461" t="s">
        <v>1540</v>
      </c>
      <c r="I1249" s="2462">
        <v>2.0654192855421518E-4</v>
      </c>
      <c r="J1249" s="2462">
        <v>2.9979271024416003</v>
      </c>
    </row>
    <row r="1250" spans="1:10" outlineLevel="2">
      <c r="A1250" s="2459" t="s">
        <v>1669</v>
      </c>
      <c r="B1250" s="2459" t="s">
        <v>1647</v>
      </c>
      <c r="C1250" s="2459" t="s">
        <v>1672</v>
      </c>
      <c r="D1250" s="2460" t="s">
        <v>1671</v>
      </c>
      <c r="E1250" s="2461" t="s">
        <v>1538</v>
      </c>
      <c r="F1250" s="2461" t="s">
        <v>1543</v>
      </c>
      <c r="G1250" s="2461" t="s">
        <v>1409</v>
      </c>
      <c r="H1250" s="2461" t="s">
        <v>1540</v>
      </c>
      <c r="I1250" s="2462">
        <v>3.0623067602507332E-4</v>
      </c>
      <c r="J1250" s="2462">
        <v>0.52943121239817492</v>
      </c>
    </row>
    <row r="1251" spans="1:10" outlineLevel="2">
      <c r="A1251" s="2459" t="s">
        <v>1669</v>
      </c>
      <c r="B1251" s="2459" t="s">
        <v>1647</v>
      </c>
      <c r="C1251" s="2459" t="s">
        <v>1672</v>
      </c>
      <c r="D1251" s="2460" t="s">
        <v>1671</v>
      </c>
      <c r="E1251" s="2461" t="s">
        <v>1538</v>
      </c>
      <c r="F1251" s="2461" t="s">
        <v>1544</v>
      </c>
      <c r="G1251" s="2461" t="s">
        <v>1409</v>
      </c>
      <c r="H1251" s="2461" t="s">
        <v>1540</v>
      </c>
      <c r="I1251" s="2462">
        <v>5.6064433160363573E-5</v>
      </c>
      <c r="J1251" s="2462">
        <v>0.30693532704900678</v>
      </c>
    </row>
    <row r="1252" spans="1:10" outlineLevel="2">
      <c r="A1252" s="2459" t="s">
        <v>1669</v>
      </c>
      <c r="B1252" s="2459" t="s">
        <v>1647</v>
      </c>
      <c r="C1252" s="2459" t="s">
        <v>1672</v>
      </c>
      <c r="D1252" s="2460" t="s">
        <v>1671</v>
      </c>
      <c r="E1252" s="2461" t="s">
        <v>1538</v>
      </c>
      <c r="F1252" s="2461" t="s">
        <v>1545</v>
      </c>
      <c r="G1252" s="2461" t="s">
        <v>1409</v>
      </c>
      <c r="H1252" s="2461" t="s">
        <v>1540</v>
      </c>
      <c r="I1252" s="2462">
        <v>1.2409003944726874E-3</v>
      </c>
      <c r="J1252" s="2462">
        <v>5.5439523804759334</v>
      </c>
    </row>
    <row r="1253" spans="1:10" outlineLevel="2">
      <c r="A1253" s="2459" t="s">
        <v>1669</v>
      </c>
      <c r="B1253" s="2459" t="s">
        <v>1647</v>
      </c>
      <c r="C1253" s="2459" t="s">
        <v>1672</v>
      </c>
      <c r="D1253" s="2460" t="s">
        <v>1671</v>
      </c>
      <c r="E1253" s="2461" t="s">
        <v>1538</v>
      </c>
      <c r="F1253" s="2461" t="s">
        <v>1546</v>
      </c>
      <c r="G1253" s="2461" t="s">
        <v>1409</v>
      </c>
      <c r="H1253" s="2461" t="s">
        <v>1540</v>
      </c>
      <c r="I1253" s="2462">
        <v>2.3736199861500743E-3</v>
      </c>
      <c r="J1253" s="2462">
        <v>2.7846098534064705</v>
      </c>
    </row>
    <row r="1254" spans="1:10" outlineLevel="2">
      <c r="A1254" s="2459" t="s">
        <v>1669</v>
      </c>
      <c r="B1254" s="2459" t="s">
        <v>1647</v>
      </c>
      <c r="C1254" s="2459" t="s">
        <v>1672</v>
      </c>
      <c r="D1254" s="2460" t="s">
        <v>1671</v>
      </c>
      <c r="E1254" s="2461" t="s">
        <v>1538</v>
      </c>
      <c r="F1254" s="2461" t="s">
        <v>1547</v>
      </c>
      <c r="G1254" s="2461" t="s">
        <v>1409</v>
      </c>
      <c r="H1254" s="2461" t="s">
        <v>1540</v>
      </c>
      <c r="I1254" s="2462">
        <v>2.5780634116938589E-4</v>
      </c>
      <c r="J1254" s="2462">
        <v>5.1291773421604914</v>
      </c>
    </row>
    <row r="1255" spans="1:10" outlineLevel="2">
      <c r="A1255" s="2459" t="s">
        <v>1669</v>
      </c>
      <c r="B1255" s="2459" t="s">
        <v>1647</v>
      </c>
      <c r="C1255" s="2459" t="s">
        <v>1672</v>
      </c>
      <c r="D1255" s="2460" t="s">
        <v>1671</v>
      </c>
      <c r="E1255" s="2461" t="s">
        <v>1538</v>
      </c>
      <c r="F1255" s="2461" t="s">
        <v>1548</v>
      </c>
      <c r="G1255" s="2461" t="s">
        <v>1409</v>
      </c>
      <c r="H1255" s="2461" t="s">
        <v>1540</v>
      </c>
      <c r="I1255" s="2462">
        <v>1.1965448348835552E-3</v>
      </c>
      <c r="J1255" s="2462">
        <v>2.089972167418678</v>
      </c>
    </row>
    <row r="1256" spans="1:10" outlineLevel="2">
      <c r="A1256" s="2459" t="s">
        <v>1669</v>
      </c>
      <c r="B1256" s="2459" t="s">
        <v>1647</v>
      </c>
      <c r="C1256" s="2459" t="s">
        <v>1672</v>
      </c>
      <c r="D1256" s="2460" t="s">
        <v>1671</v>
      </c>
      <c r="E1256" s="2461" t="s">
        <v>1538</v>
      </c>
      <c r="F1256" s="2461" t="s">
        <v>1549</v>
      </c>
      <c r="G1256" s="2461" t="s">
        <v>1409</v>
      </c>
      <c r="H1256" s="2461" t="s">
        <v>1540</v>
      </c>
      <c r="I1256" s="2462">
        <v>1.7886970755557485E-4</v>
      </c>
      <c r="J1256" s="2462">
        <v>0.34254636543643185</v>
      </c>
    </row>
    <row r="1257" spans="1:10" outlineLevel="2">
      <c r="A1257" s="2459" t="s">
        <v>1669</v>
      </c>
      <c r="B1257" s="2459" t="s">
        <v>1647</v>
      </c>
      <c r="C1257" s="2459" t="s">
        <v>1672</v>
      </c>
      <c r="D1257" s="2460" t="s">
        <v>1671</v>
      </c>
      <c r="E1257" s="2461" t="s">
        <v>1538</v>
      </c>
      <c r="F1257" s="2461" t="s">
        <v>1550</v>
      </c>
      <c r="G1257" s="2461" t="s">
        <v>1409</v>
      </c>
      <c r="H1257" s="2461" t="s">
        <v>1540</v>
      </c>
      <c r="I1257" s="2462">
        <v>9.8029713796147014E-4</v>
      </c>
      <c r="J1257" s="2462">
        <v>3.5618856298874819</v>
      </c>
    </row>
    <row r="1258" spans="1:10" outlineLevel="2">
      <c r="A1258" s="2459" t="s">
        <v>1669</v>
      </c>
      <c r="B1258" s="2459" t="s">
        <v>1647</v>
      </c>
      <c r="C1258" s="2459" t="s">
        <v>1672</v>
      </c>
      <c r="D1258" s="2460" t="s">
        <v>1671</v>
      </c>
      <c r="E1258" s="2461" t="s">
        <v>1538</v>
      </c>
      <c r="F1258" s="2461" t="s">
        <v>1551</v>
      </c>
      <c r="G1258" s="2461" t="s">
        <v>1409</v>
      </c>
      <c r="H1258" s="2461" t="s">
        <v>1540</v>
      </c>
      <c r="I1258" s="2462">
        <v>8.0760550645779181E-4</v>
      </c>
      <c r="J1258" s="2462">
        <v>8.6011739069188557</v>
      </c>
    </row>
    <row r="1259" spans="1:10" outlineLevel="2">
      <c r="A1259" s="2459" t="s">
        <v>1669</v>
      </c>
      <c r="B1259" s="2459" t="s">
        <v>1647</v>
      </c>
      <c r="C1259" s="2459" t="s">
        <v>1672</v>
      </c>
      <c r="D1259" s="2460" t="s">
        <v>1671</v>
      </c>
      <c r="E1259" s="2461" t="s">
        <v>1538</v>
      </c>
      <c r="F1259" s="2461" t="s">
        <v>1552</v>
      </c>
      <c r="G1259" s="2461" t="s">
        <v>1409</v>
      </c>
      <c r="H1259" s="2461" t="s">
        <v>1540</v>
      </c>
      <c r="I1259" s="2462">
        <v>5.6826769898610685E-5</v>
      </c>
      <c r="J1259" s="2462">
        <v>0.90495590132368886</v>
      </c>
    </row>
    <row r="1260" spans="1:10" outlineLevel="2">
      <c r="A1260" s="2459" t="s">
        <v>1669</v>
      </c>
      <c r="B1260" s="2459" t="s">
        <v>1647</v>
      </c>
      <c r="C1260" s="2459" t="s">
        <v>1672</v>
      </c>
      <c r="D1260" s="2460" t="s">
        <v>1671</v>
      </c>
      <c r="E1260" s="2461" t="s">
        <v>1538</v>
      </c>
      <c r="F1260" s="2461" t="s">
        <v>1553</v>
      </c>
      <c r="G1260" s="2461" t="s">
        <v>1409</v>
      </c>
      <c r="H1260" s="2461" t="s">
        <v>1540</v>
      </c>
      <c r="I1260" s="2462">
        <v>4.2142551171159707E-3</v>
      </c>
      <c r="J1260" s="2462">
        <v>7.7475033976863417</v>
      </c>
    </row>
    <row r="1261" spans="1:10" outlineLevel="2">
      <c r="A1261" s="2459" t="s">
        <v>1669</v>
      </c>
      <c r="B1261" s="2459" t="s">
        <v>1647</v>
      </c>
      <c r="C1261" s="2459" t="s">
        <v>1672</v>
      </c>
      <c r="D1261" s="2460" t="s">
        <v>1671</v>
      </c>
      <c r="E1261" s="2461" t="s">
        <v>1538</v>
      </c>
      <c r="F1261" s="2461" t="s">
        <v>1554</v>
      </c>
      <c r="G1261" s="2461" t="s">
        <v>1409</v>
      </c>
      <c r="H1261" s="2461" t="s">
        <v>1540</v>
      </c>
      <c r="I1261" s="2462">
        <v>2.3490218544576407E-3</v>
      </c>
      <c r="J1261" s="2462">
        <v>3.2514110047711426</v>
      </c>
    </row>
    <row r="1262" spans="1:10" outlineLevel="2">
      <c r="A1262" s="2459" t="s">
        <v>1669</v>
      </c>
      <c r="B1262" s="2459" t="s">
        <v>1647</v>
      </c>
      <c r="C1262" s="2459" t="s">
        <v>1672</v>
      </c>
      <c r="D1262" s="2460" t="s">
        <v>1671</v>
      </c>
      <c r="E1262" s="2461" t="s">
        <v>1538</v>
      </c>
      <c r="F1262" s="2461" t="s">
        <v>1555</v>
      </c>
      <c r="G1262" s="2461" t="s">
        <v>1412</v>
      </c>
      <c r="H1262" s="2461" t="s">
        <v>1540</v>
      </c>
      <c r="I1262" s="2462">
        <v>1.3358200994249976E-2</v>
      </c>
      <c r="J1262" s="2462">
        <v>41.121743084861869</v>
      </c>
    </row>
    <row r="1263" spans="1:10" outlineLevel="2">
      <c r="A1263" s="2459" t="s">
        <v>1669</v>
      </c>
      <c r="B1263" s="2459" t="s">
        <v>1647</v>
      </c>
      <c r="C1263" s="2459" t="s">
        <v>1672</v>
      </c>
      <c r="D1263" s="2460" t="s">
        <v>1671</v>
      </c>
      <c r="E1263" s="2461" t="s">
        <v>1538</v>
      </c>
      <c r="F1263" s="2461" t="s">
        <v>1556</v>
      </c>
      <c r="G1263" s="2461" t="s">
        <v>1412</v>
      </c>
      <c r="H1263" s="2461" t="s">
        <v>1540</v>
      </c>
      <c r="I1263" s="2462">
        <v>0.26556995266872707</v>
      </c>
      <c r="J1263" s="2462">
        <v>3740.4740354105966</v>
      </c>
    </row>
    <row r="1264" spans="1:10" outlineLevel="2">
      <c r="A1264" s="2459" t="s">
        <v>1669</v>
      </c>
      <c r="B1264" s="2459" t="s">
        <v>1647</v>
      </c>
      <c r="C1264" s="2459" t="s">
        <v>1672</v>
      </c>
      <c r="D1264" s="2460" t="s">
        <v>1671</v>
      </c>
      <c r="E1264" s="2461" t="s">
        <v>1538</v>
      </c>
      <c r="F1264" s="2461" t="s">
        <v>1557</v>
      </c>
      <c r="G1264" s="2461" t="s">
        <v>1412</v>
      </c>
      <c r="H1264" s="2461" t="s">
        <v>1540</v>
      </c>
      <c r="I1264" s="2462">
        <v>1.581071792734259E-3</v>
      </c>
      <c r="J1264" s="2462">
        <v>27.865086485800585</v>
      </c>
    </row>
    <row r="1265" spans="1:10" outlineLevel="2">
      <c r="A1265" s="2459" t="s">
        <v>1669</v>
      </c>
      <c r="B1265" s="2459" t="s">
        <v>1647</v>
      </c>
      <c r="C1265" s="2459" t="s">
        <v>1672</v>
      </c>
      <c r="D1265" s="2460" t="s">
        <v>1671</v>
      </c>
      <c r="E1265" s="2461" t="s">
        <v>1538</v>
      </c>
      <c r="F1265" s="2461" t="s">
        <v>1558</v>
      </c>
      <c r="G1265" s="2461" t="s">
        <v>1412</v>
      </c>
      <c r="H1265" s="2461" t="s">
        <v>1540</v>
      </c>
      <c r="I1265" s="2462">
        <v>5.2889983987139551E-4</v>
      </c>
      <c r="J1265" s="2462">
        <v>8.7896438566049913</v>
      </c>
    </row>
    <row r="1266" spans="1:10" outlineLevel="2">
      <c r="A1266" s="2459" t="s">
        <v>1669</v>
      </c>
      <c r="B1266" s="2459" t="s">
        <v>1647</v>
      </c>
      <c r="C1266" s="2459" t="s">
        <v>1672</v>
      </c>
      <c r="D1266" s="2460" t="s">
        <v>1671</v>
      </c>
      <c r="E1266" s="2461" t="s">
        <v>1538</v>
      </c>
      <c r="F1266" s="2461" t="s">
        <v>1559</v>
      </c>
      <c r="G1266" s="2461" t="s">
        <v>1412</v>
      </c>
      <c r="H1266" s="2461" t="s">
        <v>1540</v>
      </c>
      <c r="I1266" s="2462">
        <v>5.6473365544321521E-4</v>
      </c>
      <c r="J1266" s="2462">
        <v>2.1707785332728053</v>
      </c>
    </row>
    <row r="1267" spans="1:10" outlineLevel="2">
      <c r="A1267" s="2459" t="s">
        <v>1669</v>
      </c>
      <c r="B1267" s="2459" t="s">
        <v>1647</v>
      </c>
      <c r="C1267" s="2459" t="s">
        <v>1672</v>
      </c>
      <c r="D1267" s="2460" t="s">
        <v>1671</v>
      </c>
      <c r="E1267" s="2461" t="s">
        <v>1538</v>
      </c>
      <c r="F1267" s="2461" t="s">
        <v>1560</v>
      </c>
      <c r="G1267" s="2461" t="s">
        <v>1412</v>
      </c>
      <c r="H1267" s="2461" t="s">
        <v>1540</v>
      </c>
      <c r="I1267" s="2462">
        <v>7.9267324058345412E-4</v>
      </c>
      <c r="J1267" s="2462">
        <v>17.263714772180069</v>
      </c>
    </row>
    <row r="1268" spans="1:10" outlineLevel="2">
      <c r="A1268" s="2459" t="s">
        <v>1669</v>
      </c>
      <c r="B1268" s="2459" t="s">
        <v>1647</v>
      </c>
      <c r="C1268" s="2459" t="s">
        <v>1672</v>
      </c>
      <c r="D1268" s="2460" t="s">
        <v>1671</v>
      </c>
      <c r="E1268" s="2461" t="s">
        <v>1538</v>
      </c>
      <c r="F1268" s="2461" t="s">
        <v>1561</v>
      </c>
      <c r="G1268" s="2461" t="s">
        <v>1439</v>
      </c>
      <c r="H1268" s="2461" t="s">
        <v>1540</v>
      </c>
      <c r="I1268" s="2462">
        <v>9.6144696972703721E-3</v>
      </c>
      <c r="J1268" s="2462">
        <v>145.70054988872059</v>
      </c>
    </row>
    <row r="1269" spans="1:10" outlineLevel="2">
      <c r="A1269" s="2459" t="s">
        <v>1669</v>
      </c>
      <c r="B1269" s="2459" t="s">
        <v>1647</v>
      </c>
      <c r="C1269" s="2459" t="s">
        <v>1672</v>
      </c>
      <c r="D1269" s="2460" t="s">
        <v>1671</v>
      </c>
      <c r="E1269" s="2461" t="s">
        <v>1538</v>
      </c>
      <c r="F1269" s="2461" t="s">
        <v>1562</v>
      </c>
      <c r="G1269" s="2461" t="s">
        <v>1418</v>
      </c>
      <c r="H1269" s="2461" t="s">
        <v>1540</v>
      </c>
      <c r="I1269" s="2462">
        <v>5.4600001157872693E-5</v>
      </c>
      <c r="J1269" s="2462">
        <v>6.8800495380307483E-2</v>
      </c>
    </row>
    <row r="1270" spans="1:10" outlineLevel="2">
      <c r="A1270" s="2459" t="s">
        <v>1669</v>
      </c>
      <c r="B1270" s="2459" t="s">
        <v>1647</v>
      </c>
      <c r="C1270" s="2459" t="s">
        <v>1672</v>
      </c>
      <c r="D1270" s="2460" t="s">
        <v>1671</v>
      </c>
      <c r="E1270" s="2461" t="s">
        <v>1538</v>
      </c>
      <c r="F1270" s="2461" t="s">
        <v>1563</v>
      </c>
      <c r="G1270" s="2461" t="s">
        <v>1418</v>
      </c>
      <c r="H1270" s="2461" t="s">
        <v>1540</v>
      </c>
      <c r="I1270" s="2462">
        <v>7.9110385099122689E-6</v>
      </c>
      <c r="J1270" s="2462">
        <v>0.13400399784050532</v>
      </c>
    </row>
    <row r="1271" spans="1:10" outlineLevel="2">
      <c r="A1271" s="2459" t="s">
        <v>1669</v>
      </c>
      <c r="B1271" s="2459" t="s">
        <v>1647</v>
      </c>
      <c r="C1271" s="2459" t="s">
        <v>1672</v>
      </c>
      <c r="D1271" s="2460" t="s">
        <v>1671</v>
      </c>
      <c r="E1271" s="2461" t="s">
        <v>1538</v>
      </c>
      <c r="F1271" s="2461" t="s">
        <v>1564</v>
      </c>
      <c r="G1271" s="2461" t="s">
        <v>1421</v>
      </c>
      <c r="H1271" s="2461" t="s">
        <v>1540</v>
      </c>
      <c r="I1271" s="2462">
        <v>5.8439665814645256E-2</v>
      </c>
      <c r="J1271" s="2462">
        <v>143.48822071206737</v>
      </c>
    </row>
    <row r="1272" spans="1:10" outlineLevel="2">
      <c r="A1272" s="2459" t="s">
        <v>1669</v>
      </c>
      <c r="B1272" s="2459" t="s">
        <v>1647</v>
      </c>
      <c r="C1272" s="2459" t="s">
        <v>1672</v>
      </c>
      <c r="D1272" s="2460" t="s">
        <v>1671</v>
      </c>
      <c r="E1272" s="2461" t="s">
        <v>1538</v>
      </c>
      <c r="F1272" s="2461" t="s">
        <v>1565</v>
      </c>
      <c r="G1272" s="2461" t="s">
        <v>1421</v>
      </c>
      <c r="H1272" s="2461" t="s">
        <v>1540</v>
      </c>
      <c r="I1272" s="2462">
        <v>6.8763812415623465E-3</v>
      </c>
      <c r="J1272" s="2462">
        <v>31.407767385392447</v>
      </c>
    </row>
    <row r="1273" spans="1:10" outlineLevel="2">
      <c r="A1273" s="2459" t="s">
        <v>1669</v>
      </c>
      <c r="B1273" s="2459" t="s">
        <v>1647</v>
      </c>
      <c r="C1273" s="2459" t="s">
        <v>1672</v>
      </c>
      <c r="D1273" s="2460" t="s">
        <v>1671</v>
      </c>
      <c r="E1273" s="2461" t="s">
        <v>1538</v>
      </c>
      <c r="F1273" s="2461" t="s">
        <v>1566</v>
      </c>
      <c r="G1273" s="2461" t="s">
        <v>1421</v>
      </c>
      <c r="H1273" s="2461" t="s">
        <v>1540</v>
      </c>
      <c r="I1273" s="2462">
        <v>3.5854053231138398E-3</v>
      </c>
      <c r="J1273" s="2462">
        <v>36.674025956670498</v>
      </c>
    </row>
    <row r="1274" spans="1:10" outlineLevel="2">
      <c r="A1274" s="2459" t="s">
        <v>1669</v>
      </c>
      <c r="B1274" s="2459" t="s">
        <v>1647</v>
      </c>
      <c r="C1274" s="2459" t="s">
        <v>1672</v>
      </c>
      <c r="D1274" s="2460" t="s">
        <v>1671</v>
      </c>
      <c r="E1274" s="2461" t="s">
        <v>1538</v>
      </c>
      <c r="F1274" s="2461" t="s">
        <v>1567</v>
      </c>
      <c r="G1274" s="2461" t="s">
        <v>1421</v>
      </c>
      <c r="H1274" s="2461" t="s">
        <v>1540</v>
      </c>
      <c r="I1274" s="2462">
        <v>5.9356163996356695E-3</v>
      </c>
      <c r="J1274" s="2462">
        <v>45.580463066032294</v>
      </c>
    </row>
    <row r="1275" spans="1:10" outlineLevel="2">
      <c r="A1275" s="2459" t="s">
        <v>1669</v>
      </c>
      <c r="B1275" s="2459" t="s">
        <v>1647</v>
      </c>
      <c r="C1275" s="2459" t="s">
        <v>1672</v>
      </c>
      <c r="D1275" s="2460" t="s">
        <v>1671</v>
      </c>
      <c r="E1275" s="2461" t="s">
        <v>1538</v>
      </c>
      <c r="F1275" s="2461" t="s">
        <v>1568</v>
      </c>
      <c r="G1275" s="2461" t="s">
        <v>1421</v>
      </c>
      <c r="H1275" s="2461" t="s">
        <v>1540</v>
      </c>
      <c r="I1275" s="2462">
        <v>2.0546822730255036E-4</v>
      </c>
      <c r="J1275" s="2462">
        <v>0.6199195739330573</v>
      </c>
    </row>
    <row r="1276" spans="1:10" outlineLevel="2">
      <c r="A1276" s="2459" t="s">
        <v>1669</v>
      </c>
      <c r="B1276" s="2459" t="s">
        <v>1647</v>
      </c>
      <c r="C1276" s="2459" t="s">
        <v>1672</v>
      </c>
      <c r="D1276" s="2460" t="s">
        <v>1671</v>
      </c>
      <c r="E1276" s="2461" t="s">
        <v>1538</v>
      </c>
      <c r="F1276" s="2461" t="s">
        <v>1569</v>
      </c>
      <c r="G1276" s="2461" t="s">
        <v>1421</v>
      </c>
      <c r="H1276" s="2461" t="s">
        <v>1540</v>
      </c>
      <c r="I1276" s="2462">
        <v>4.870583112198823E-5</v>
      </c>
      <c r="J1276" s="2462">
        <v>0.56283329755094802</v>
      </c>
    </row>
    <row r="1277" spans="1:10" outlineLevel="2">
      <c r="A1277" s="2459" t="s">
        <v>1669</v>
      </c>
      <c r="B1277" s="2459" t="s">
        <v>1647</v>
      </c>
      <c r="C1277" s="2459" t="s">
        <v>1672</v>
      </c>
      <c r="D1277" s="2460" t="s">
        <v>1671</v>
      </c>
      <c r="E1277" s="2461" t="s">
        <v>1538</v>
      </c>
      <c r="F1277" s="2461" t="s">
        <v>1570</v>
      </c>
      <c r="G1277" s="2461" t="s">
        <v>899</v>
      </c>
      <c r="H1277" s="2461" t="s">
        <v>1540</v>
      </c>
      <c r="I1277" s="2462">
        <v>2.9073459288083152E-5</v>
      </c>
      <c r="J1277" s="2462">
        <v>0.12560726654820123</v>
      </c>
    </row>
    <row r="1278" spans="1:10" outlineLevel="2">
      <c r="A1278" s="2459" t="s">
        <v>1669</v>
      </c>
      <c r="B1278" s="2459" t="s">
        <v>1647</v>
      </c>
      <c r="C1278" s="2459" t="s">
        <v>1672</v>
      </c>
      <c r="D1278" s="2460" t="s">
        <v>1671</v>
      </c>
      <c r="E1278" s="2461" t="s">
        <v>1400</v>
      </c>
      <c r="F1278" s="2461" t="s">
        <v>1571</v>
      </c>
      <c r="G1278" s="2461" t="s">
        <v>215</v>
      </c>
      <c r="H1278" s="2461" t="s">
        <v>1531</v>
      </c>
      <c r="I1278" s="2462">
        <v>2.4645937337572275E-3</v>
      </c>
      <c r="J1278" s="2462">
        <v>88.702632511882086</v>
      </c>
    </row>
    <row r="1279" spans="1:10" outlineLevel="2">
      <c r="A1279" s="2459" t="s">
        <v>1669</v>
      </c>
      <c r="B1279" s="2459" t="s">
        <v>1647</v>
      </c>
      <c r="C1279" s="2459" t="s">
        <v>1672</v>
      </c>
      <c r="D1279" s="2460" t="s">
        <v>1671</v>
      </c>
      <c r="E1279" s="2461" t="s">
        <v>1400</v>
      </c>
      <c r="F1279" s="2461" t="s">
        <v>1572</v>
      </c>
      <c r="G1279" s="2461" t="s">
        <v>215</v>
      </c>
      <c r="H1279" s="2461" t="s">
        <v>1531</v>
      </c>
      <c r="I1279" s="2462">
        <v>3.9059068807094916E-5</v>
      </c>
      <c r="J1279" s="2462">
        <v>0.74092837501985997</v>
      </c>
    </row>
    <row r="1280" spans="1:10" outlineLevel="2">
      <c r="A1280" s="2459" t="s">
        <v>1669</v>
      </c>
      <c r="B1280" s="2459" t="s">
        <v>1647</v>
      </c>
      <c r="C1280" s="2459" t="s">
        <v>1672</v>
      </c>
      <c r="D1280" s="2460" t="s">
        <v>1671</v>
      </c>
      <c r="E1280" s="2461" t="s">
        <v>1573</v>
      </c>
      <c r="F1280" s="2461" t="s">
        <v>1574</v>
      </c>
      <c r="G1280" s="2461" t="s">
        <v>1426</v>
      </c>
      <c r="H1280" s="2461" t="s">
        <v>1427</v>
      </c>
      <c r="I1280" s="2462">
        <v>4.661726690934313E-3</v>
      </c>
      <c r="J1280" s="2462">
        <v>115.24447296446016</v>
      </c>
    </row>
    <row r="1281" spans="1:10" outlineLevel="2">
      <c r="A1281" s="2459" t="s">
        <v>1669</v>
      </c>
      <c r="B1281" s="2459" t="s">
        <v>1647</v>
      </c>
      <c r="C1281" s="2459" t="s">
        <v>1672</v>
      </c>
      <c r="D1281" s="2460" t="s">
        <v>1671</v>
      </c>
      <c r="E1281" s="2461" t="s">
        <v>1573</v>
      </c>
      <c r="F1281" s="2461" t="s">
        <v>1575</v>
      </c>
      <c r="G1281" s="2461" t="s">
        <v>1409</v>
      </c>
      <c r="H1281" s="2461" t="s">
        <v>1070</v>
      </c>
      <c r="I1281" s="2462">
        <v>3.6762260876871088E-3</v>
      </c>
      <c r="J1281" s="2462">
        <v>214.39904636007168</v>
      </c>
    </row>
    <row r="1282" spans="1:10" outlineLevel="2">
      <c r="A1282" s="2459" t="s">
        <v>1669</v>
      </c>
      <c r="B1282" s="2459" t="s">
        <v>1647</v>
      </c>
      <c r="C1282" s="2459" t="s">
        <v>1672</v>
      </c>
      <c r="D1282" s="2460" t="s">
        <v>1671</v>
      </c>
      <c r="E1282" s="2461" t="s">
        <v>1573</v>
      </c>
      <c r="F1282" s="2461" t="s">
        <v>1576</v>
      </c>
      <c r="G1282" s="2461" t="s">
        <v>1409</v>
      </c>
      <c r="H1282" s="2461" t="s">
        <v>1070</v>
      </c>
      <c r="I1282" s="2462">
        <v>3.16092787076361E-5</v>
      </c>
      <c r="J1282" s="2462">
        <v>0.3491442912859668</v>
      </c>
    </row>
    <row r="1283" spans="1:10" outlineLevel="2">
      <c r="A1283" s="2459" t="s">
        <v>1669</v>
      </c>
      <c r="B1283" s="2459" t="s">
        <v>1647</v>
      </c>
      <c r="C1283" s="2459" t="s">
        <v>1672</v>
      </c>
      <c r="D1283" s="2460" t="s">
        <v>1671</v>
      </c>
      <c r="E1283" s="2461" t="s">
        <v>1573</v>
      </c>
      <c r="F1283" s="2461" t="s">
        <v>1577</v>
      </c>
      <c r="G1283" s="2461" t="s">
        <v>1409</v>
      </c>
      <c r="H1283" s="2461" t="s">
        <v>1070</v>
      </c>
      <c r="I1283" s="2462">
        <v>4.5841592822465718E-4</v>
      </c>
      <c r="J1283" s="2462">
        <v>5.7513583653780245</v>
      </c>
    </row>
    <row r="1284" spans="1:10" outlineLevel="2">
      <c r="A1284" s="2459" t="s">
        <v>1669</v>
      </c>
      <c r="B1284" s="2459" t="s">
        <v>1647</v>
      </c>
      <c r="C1284" s="2459" t="s">
        <v>1672</v>
      </c>
      <c r="D1284" s="2460" t="s">
        <v>1671</v>
      </c>
      <c r="E1284" s="2461" t="s">
        <v>1573</v>
      </c>
      <c r="F1284" s="2461" t="s">
        <v>1578</v>
      </c>
      <c r="G1284" s="2461" t="s">
        <v>1409</v>
      </c>
      <c r="H1284" s="2461" t="s">
        <v>1070</v>
      </c>
      <c r="I1284" s="2462">
        <v>1.0468403952710521E-2</v>
      </c>
      <c r="J1284" s="2462">
        <v>536.67330560972562</v>
      </c>
    </row>
    <row r="1285" spans="1:10" outlineLevel="2">
      <c r="A1285" s="2459" t="s">
        <v>1669</v>
      </c>
      <c r="B1285" s="2459" t="s">
        <v>1647</v>
      </c>
      <c r="C1285" s="2459" t="s">
        <v>1672</v>
      </c>
      <c r="D1285" s="2460" t="s">
        <v>1671</v>
      </c>
      <c r="E1285" s="2461" t="s">
        <v>1573</v>
      </c>
      <c r="F1285" s="2461" t="s">
        <v>1579</v>
      </c>
      <c r="G1285" s="2461" t="s">
        <v>1409</v>
      </c>
      <c r="H1285" s="2461" t="s">
        <v>1070</v>
      </c>
      <c r="I1285" s="2462">
        <v>7.9468471498957936E-3</v>
      </c>
      <c r="J1285" s="2462">
        <v>583.93691370386489</v>
      </c>
    </row>
    <row r="1286" spans="1:10" outlineLevel="2">
      <c r="A1286" s="2459" t="s">
        <v>1669</v>
      </c>
      <c r="B1286" s="2459" t="s">
        <v>1647</v>
      </c>
      <c r="C1286" s="2459" t="s">
        <v>1672</v>
      </c>
      <c r="D1286" s="2460" t="s">
        <v>1671</v>
      </c>
      <c r="E1286" s="2461" t="s">
        <v>1573</v>
      </c>
      <c r="F1286" s="2461" t="s">
        <v>1580</v>
      </c>
      <c r="G1286" s="2461" t="s">
        <v>1409</v>
      </c>
      <c r="H1286" s="2461" t="s">
        <v>1070</v>
      </c>
      <c r="I1286" s="2462">
        <v>8.9782773528443948E-4</v>
      </c>
      <c r="J1286" s="2462">
        <v>32.2439016191856</v>
      </c>
    </row>
    <row r="1287" spans="1:10" outlineLevel="2">
      <c r="A1287" s="2459" t="s">
        <v>1669</v>
      </c>
      <c r="B1287" s="2459" t="s">
        <v>1647</v>
      </c>
      <c r="C1287" s="2459" t="s">
        <v>1672</v>
      </c>
      <c r="D1287" s="2460" t="s">
        <v>1671</v>
      </c>
      <c r="E1287" s="2461" t="s">
        <v>1573</v>
      </c>
      <c r="F1287" s="2461" t="s">
        <v>1581</v>
      </c>
      <c r="G1287" s="2461" t="s">
        <v>1409</v>
      </c>
      <c r="H1287" s="2461" t="s">
        <v>1070</v>
      </c>
      <c r="I1287" s="2462">
        <v>4.7754655075839367E-4</v>
      </c>
      <c r="J1287" s="2462">
        <v>21.956709183802261</v>
      </c>
    </row>
    <row r="1288" spans="1:10" outlineLevel="2">
      <c r="A1288" s="2459" t="s">
        <v>1669</v>
      </c>
      <c r="B1288" s="2459" t="s">
        <v>1647</v>
      </c>
      <c r="C1288" s="2459" t="s">
        <v>1672</v>
      </c>
      <c r="D1288" s="2460" t="s">
        <v>1671</v>
      </c>
      <c r="E1288" s="2461" t="s">
        <v>1573</v>
      </c>
      <c r="F1288" s="2461" t="s">
        <v>1582</v>
      </c>
      <c r="G1288" s="2461" t="s">
        <v>1409</v>
      </c>
      <c r="H1288" s="2461" t="s">
        <v>1070</v>
      </c>
      <c r="I1288" s="2462">
        <v>2.5381417285872438E-3</v>
      </c>
      <c r="J1288" s="2462">
        <v>60.295243055112181</v>
      </c>
    </row>
    <row r="1289" spans="1:10" outlineLevel="2">
      <c r="A1289" s="2459" t="s">
        <v>1669</v>
      </c>
      <c r="B1289" s="2459" t="s">
        <v>1647</v>
      </c>
      <c r="C1289" s="2459" t="s">
        <v>1672</v>
      </c>
      <c r="D1289" s="2460" t="s">
        <v>1671</v>
      </c>
      <c r="E1289" s="2461" t="s">
        <v>1573</v>
      </c>
      <c r="F1289" s="2461" t="s">
        <v>1583</v>
      </c>
      <c r="G1289" s="2461" t="s">
        <v>1409</v>
      </c>
      <c r="H1289" s="2461" t="s">
        <v>1070</v>
      </c>
      <c r="I1289" s="2462">
        <v>7.2761240052586782E-3</v>
      </c>
      <c r="J1289" s="2462">
        <v>258.01932751449453</v>
      </c>
    </row>
    <row r="1290" spans="1:10" outlineLevel="2">
      <c r="A1290" s="2459" t="s">
        <v>1669</v>
      </c>
      <c r="B1290" s="2459" t="s">
        <v>1647</v>
      </c>
      <c r="C1290" s="2459" t="s">
        <v>1672</v>
      </c>
      <c r="D1290" s="2460" t="s">
        <v>1671</v>
      </c>
      <c r="E1290" s="2461" t="s">
        <v>1573</v>
      </c>
      <c r="F1290" s="2461" t="s">
        <v>1584</v>
      </c>
      <c r="G1290" s="2461" t="s">
        <v>1409</v>
      </c>
      <c r="H1290" s="2461" t="s">
        <v>1070</v>
      </c>
      <c r="I1290" s="2462">
        <v>5.1439812277251605E-3</v>
      </c>
      <c r="J1290" s="2462">
        <v>283.28919078351362</v>
      </c>
    </row>
    <row r="1291" spans="1:10" outlineLevel="2">
      <c r="A1291" s="2459" t="s">
        <v>1669</v>
      </c>
      <c r="B1291" s="2459" t="s">
        <v>1647</v>
      </c>
      <c r="C1291" s="2459" t="s">
        <v>1672</v>
      </c>
      <c r="D1291" s="2460" t="s">
        <v>1671</v>
      </c>
      <c r="E1291" s="2461" t="s">
        <v>1573</v>
      </c>
      <c r="F1291" s="2461" t="s">
        <v>1585</v>
      </c>
      <c r="G1291" s="2461" t="s">
        <v>1409</v>
      </c>
      <c r="H1291" s="2461" t="s">
        <v>1070</v>
      </c>
      <c r="I1291" s="2462">
        <v>2.820168836244509E-2</v>
      </c>
      <c r="J1291" s="2462">
        <v>2175.2294531926582</v>
      </c>
    </row>
    <row r="1292" spans="1:10" outlineLevel="2">
      <c r="A1292" s="2459" t="s">
        <v>1669</v>
      </c>
      <c r="B1292" s="2459" t="s">
        <v>1647</v>
      </c>
      <c r="C1292" s="2459" t="s">
        <v>1672</v>
      </c>
      <c r="D1292" s="2460" t="s">
        <v>1671</v>
      </c>
      <c r="E1292" s="2461" t="s">
        <v>1573</v>
      </c>
      <c r="F1292" s="2461" t="s">
        <v>1586</v>
      </c>
      <c r="G1292" s="2461" t="s">
        <v>1409</v>
      </c>
      <c r="H1292" s="2461" t="s">
        <v>1070</v>
      </c>
      <c r="I1292" s="2462">
        <v>5.9648700509820195E-4</v>
      </c>
      <c r="J1292" s="2462">
        <v>18.087290706031865</v>
      </c>
    </row>
    <row r="1293" spans="1:10" outlineLevel="2">
      <c r="A1293" s="2459" t="s">
        <v>1669</v>
      </c>
      <c r="B1293" s="2459" t="s">
        <v>1647</v>
      </c>
      <c r="C1293" s="2459" t="s">
        <v>1672</v>
      </c>
      <c r="D1293" s="2460" t="s">
        <v>1671</v>
      </c>
      <c r="E1293" s="2461" t="s">
        <v>1573</v>
      </c>
      <c r="F1293" s="2461" t="s">
        <v>1587</v>
      </c>
      <c r="G1293" s="2461" t="s">
        <v>1409</v>
      </c>
      <c r="H1293" s="2461" t="s">
        <v>1070</v>
      </c>
      <c r="I1293" s="2462">
        <v>2.3490309623162272E-4</v>
      </c>
      <c r="J1293" s="2462">
        <v>11.074886160903652</v>
      </c>
    </row>
    <row r="1294" spans="1:10" outlineLevel="2">
      <c r="A1294" s="2459" t="s">
        <v>1669</v>
      </c>
      <c r="B1294" s="2459" t="s">
        <v>1647</v>
      </c>
      <c r="C1294" s="2459" t="s">
        <v>1672</v>
      </c>
      <c r="D1294" s="2460" t="s">
        <v>1671</v>
      </c>
      <c r="E1294" s="2461" t="s">
        <v>1573</v>
      </c>
      <c r="F1294" s="2461" t="s">
        <v>1588</v>
      </c>
      <c r="G1294" s="2461" t="s">
        <v>1409</v>
      </c>
      <c r="H1294" s="2461" t="s">
        <v>1070</v>
      </c>
      <c r="I1294" s="2462">
        <v>8.3218802197555369E-3</v>
      </c>
      <c r="J1294" s="2462">
        <v>497.20156250398065</v>
      </c>
    </row>
    <row r="1295" spans="1:10" outlineLevel="2">
      <c r="A1295" s="2459" t="s">
        <v>1669</v>
      </c>
      <c r="B1295" s="2459" t="s">
        <v>1647</v>
      </c>
      <c r="C1295" s="2459" t="s">
        <v>1672</v>
      </c>
      <c r="D1295" s="2460" t="s">
        <v>1671</v>
      </c>
      <c r="E1295" s="2461" t="s">
        <v>1573</v>
      </c>
      <c r="F1295" s="2461" t="s">
        <v>1589</v>
      </c>
      <c r="G1295" s="2461" t="s">
        <v>1409</v>
      </c>
      <c r="H1295" s="2461" t="s">
        <v>1070</v>
      </c>
      <c r="I1295" s="2462">
        <v>7.1544370336350249E-3</v>
      </c>
      <c r="J1295" s="2462">
        <v>541.2103603752073</v>
      </c>
    </row>
    <row r="1296" spans="1:10" outlineLevel="2">
      <c r="A1296" s="2459" t="s">
        <v>1669</v>
      </c>
      <c r="B1296" s="2459" t="s">
        <v>1647</v>
      </c>
      <c r="C1296" s="2459" t="s">
        <v>1672</v>
      </c>
      <c r="D1296" s="2460" t="s">
        <v>1671</v>
      </c>
      <c r="E1296" s="2461" t="s">
        <v>1573</v>
      </c>
      <c r="F1296" s="2461" t="s">
        <v>1590</v>
      </c>
      <c r="G1296" s="2461" t="s">
        <v>1409</v>
      </c>
      <c r="H1296" s="2461" t="s">
        <v>1070</v>
      </c>
      <c r="I1296" s="2462">
        <v>2.6121531005091958E-2</v>
      </c>
      <c r="J1296" s="2462">
        <v>1861.6870935377076</v>
      </c>
    </row>
    <row r="1297" spans="1:10" outlineLevel="2">
      <c r="A1297" s="2459" t="s">
        <v>1669</v>
      </c>
      <c r="B1297" s="2459" t="s">
        <v>1647</v>
      </c>
      <c r="C1297" s="2459" t="s">
        <v>1672</v>
      </c>
      <c r="D1297" s="2460" t="s">
        <v>1671</v>
      </c>
      <c r="E1297" s="2461" t="s">
        <v>1573</v>
      </c>
      <c r="F1297" s="2461" t="s">
        <v>1591</v>
      </c>
      <c r="G1297" s="2461" t="s">
        <v>1409</v>
      </c>
      <c r="H1297" s="2461" t="s">
        <v>1070</v>
      </c>
      <c r="I1297" s="2462">
        <v>1.7980783372064711E-3</v>
      </c>
      <c r="J1297" s="2462">
        <v>87.539791118173966</v>
      </c>
    </row>
    <row r="1298" spans="1:10" outlineLevel="2">
      <c r="A1298" s="2459" t="s">
        <v>1669</v>
      </c>
      <c r="B1298" s="2459" t="s">
        <v>1647</v>
      </c>
      <c r="C1298" s="2459" t="s">
        <v>1672</v>
      </c>
      <c r="D1298" s="2460" t="s">
        <v>1671</v>
      </c>
      <c r="E1298" s="2461" t="s">
        <v>1573</v>
      </c>
      <c r="F1298" s="2461" t="s">
        <v>1592</v>
      </c>
      <c r="G1298" s="2461" t="s">
        <v>1409</v>
      </c>
      <c r="H1298" s="2461" t="s">
        <v>1070</v>
      </c>
      <c r="I1298" s="2462">
        <v>1.5119531701847691E-2</v>
      </c>
      <c r="J1298" s="2462">
        <v>696.33184950157977</v>
      </c>
    </row>
    <row r="1299" spans="1:10" outlineLevel="2">
      <c r="A1299" s="2459" t="s">
        <v>1669</v>
      </c>
      <c r="B1299" s="2459" t="s">
        <v>1647</v>
      </c>
      <c r="C1299" s="2459" t="s">
        <v>1672</v>
      </c>
      <c r="D1299" s="2460" t="s">
        <v>1671</v>
      </c>
      <c r="E1299" s="2461" t="s">
        <v>1573</v>
      </c>
      <c r="F1299" s="2461" t="s">
        <v>1593</v>
      </c>
      <c r="G1299" s="2461" t="s">
        <v>1409</v>
      </c>
      <c r="H1299" s="2461" t="s">
        <v>1070</v>
      </c>
      <c r="I1299" s="2462">
        <v>3.6941648249231872E-2</v>
      </c>
      <c r="J1299" s="2462">
        <v>2367.3954199645095</v>
      </c>
    </row>
    <row r="1300" spans="1:10" outlineLevel="2">
      <c r="A1300" s="2459" t="s">
        <v>1669</v>
      </c>
      <c r="B1300" s="2459" t="s">
        <v>1647</v>
      </c>
      <c r="C1300" s="2459" t="s">
        <v>1672</v>
      </c>
      <c r="D1300" s="2460" t="s">
        <v>1671</v>
      </c>
      <c r="E1300" s="2461" t="s">
        <v>1573</v>
      </c>
      <c r="F1300" s="2461" t="s">
        <v>1594</v>
      </c>
      <c r="G1300" s="2461" t="s">
        <v>1409</v>
      </c>
      <c r="H1300" s="2461" t="s">
        <v>1070</v>
      </c>
      <c r="I1300" s="2462">
        <v>8.0911293586015648E-2</v>
      </c>
      <c r="J1300" s="2462">
        <v>1588.1987881651796</v>
      </c>
    </row>
    <row r="1301" spans="1:10" outlineLevel="2">
      <c r="A1301" s="2459" t="s">
        <v>1669</v>
      </c>
      <c r="B1301" s="2459" t="s">
        <v>1647</v>
      </c>
      <c r="C1301" s="2459" t="s">
        <v>1672</v>
      </c>
      <c r="D1301" s="2460" t="s">
        <v>1671</v>
      </c>
      <c r="E1301" s="2461" t="s">
        <v>1573</v>
      </c>
      <c r="F1301" s="2461" t="s">
        <v>1595</v>
      </c>
      <c r="G1301" s="2461" t="s">
        <v>1409</v>
      </c>
      <c r="H1301" s="2461" t="s">
        <v>1070</v>
      </c>
      <c r="I1301" s="2462">
        <v>2.9749159963360732E-2</v>
      </c>
      <c r="J1301" s="2462">
        <v>2165.6660821172422</v>
      </c>
    </row>
    <row r="1302" spans="1:10" outlineLevel="2">
      <c r="A1302" s="2459" t="s">
        <v>1669</v>
      </c>
      <c r="B1302" s="2459" t="s">
        <v>1647</v>
      </c>
      <c r="C1302" s="2459" t="s">
        <v>1672</v>
      </c>
      <c r="D1302" s="2460" t="s">
        <v>1671</v>
      </c>
      <c r="E1302" s="2461" t="s">
        <v>1573</v>
      </c>
      <c r="F1302" s="2461" t="s">
        <v>1596</v>
      </c>
      <c r="G1302" s="2461" t="s">
        <v>1409</v>
      </c>
      <c r="H1302" s="2461" t="s">
        <v>1070</v>
      </c>
      <c r="I1302" s="2462">
        <v>5.4167448239561711E-2</v>
      </c>
      <c r="J1302" s="2462">
        <v>1246.6549131499405</v>
      </c>
    </row>
    <row r="1303" spans="1:10" outlineLevel="2">
      <c r="A1303" s="2459" t="s">
        <v>1669</v>
      </c>
      <c r="B1303" s="2459" t="s">
        <v>1647</v>
      </c>
      <c r="C1303" s="2459" t="s">
        <v>1672</v>
      </c>
      <c r="D1303" s="2460" t="s">
        <v>1671</v>
      </c>
      <c r="E1303" s="2461" t="s">
        <v>1573</v>
      </c>
      <c r="F1303" s="2461" t="s">
        <v>1597</v>
      </c>
      <c r="G1303" s="2461" t="s">
        <v>1409</v>
      </c>
      <c r="H1303" s="2461" t="s">
        <v>1070</v>
      </c>
      <c r="I1303" s="2462">
        <v>3.1797342215158556E-3</v>
      </c>
      <c r="J1303" s="2462">
        <v>232.37864848128439</v>
      </c>
    </row>
    <row r="1304" spans="1:10" outlineLevel="2">
      <c r="A1304" s="2459" t="s">
        <v>1669</v>
      </c>
      <c r="B1304" s="2459" t="s">
        <v>1647</v>
      </c>
      <c r="C1304" s="2459" t="s">
        <v>1672</v>
      </c>
      <c r="D1304" s="2460" t="s">
        <v>1671</v>
      </c>
      <c r="E1304" s="2461" t="s">
        <v>1573</v>
      </c>
      <c r="F1304" s="2461" t="s">
        <v>1598</v>
      </c>
      <c r="G1304" s="2461" t="s">
        <v>1409</v>
      </c>
      <c r="H1304" s="2461" t="s">
        <v>1070</v>
      </c>
      <c r="I1304" s="2462">
        <v>1.6515274761992412E-4</v>
      </c>
      <c r="J1304" s="2462">
        <v>3.8124791325995178</v>
      </c>
    </row>
    <row r="1305" spans="1:10" outlineLevel="2">
      <c r="A1305" s="2459" t="s">
        <v>1669</v>
      </c>
      <c r="B1305" s="2459" t="s">
        <v>1647</v>
      </c>
      <c r="C1305" s="2459" t="s">
        <v>1672</v>
      </c>
      <c r="D1305" s="2460" t="s">
        <v>1671</v>
      </c>
      <c r="E1305" s="2461" t="s">
        <v>1573</v>
      </c>
      <c r="F1305" s="2461" t="s">
        <v>1599</v>
      </c>
      <c r="G1305" s="2461" t="s">
        <v>1409</v>
      </c>
      <c r="H1305" s="2461" t="s">
        <v>1070</v>
      </c>
      <c r="I1305" s="2462">
        <v>4.508821260366648E-3</v>
      </c>
      <c r="J1305" s="2462">
        <v>242.39374258462772</v>
      </c>
    </row>
    <row r="1306" spans="1:10" outlineLevel="2">
      <c r="A1306" s="2459" t="s">
        <v>1669</v>
      </c>
      <c r="B1306" s="2459" t="s">
        <v>1647</v>
      </c>
      <c r="C1306" s="2459" t="s">
        <v>1672</v>
      </c>
      <c r="D1306" s="2460" t="s">
        <v>1671</v>
      </c>
      <c r="E1306" s="2461" t="s">
        <v>1573</v>
      </c>
      <c r="F1306" s="2461" t="s">
        <v>1600</v>
      </c>
      <c r="G1306" s="2461" t="s">
        <v>1412</v>
      </c>
      <c r="H1306" s="2461" t="s">
        <v>1116</v>
      </c>
      <c r="I1306" s="2462">
        <v>2.779390865765825E-3</v>
      </c>
      <c r="J1306" s="2462">
        <v>67.240868163322546</v>
      </c>
    </row>
    <row r="1307" spans="1:10" outlineLevel="2">
      <c r="A1307" s="2459" t="s">
        <v>1669</v>
      </c>
      <c r="B1307" s="2459" t="s">
        <v>1647</v>
      </c>
      <c r="C1307" s="2459" t="s">
        <v>1672</v>
      </c>
      <c r="D1307" s="2460" t="s">
        <v>1671</v>
      </c>
      <c r="E1307" s="2461" t="s">
        <v>1573</v>
      </c>
      <c r="F1307" s="2461" t="s">
        <v>1601</v>
      </c>
      <c r="G1307" s="2461" t="s">
        <v>1412</v>
      </c>
      <c r="H1307" s="2461" t="s">
        <v>1116</v>
      </c>
      <c r="I1307" s="2462">
        <v>1.3832009129137669E-2</v>
      </c>
      <c r="J1307" s="2462">
        <v>975.50349568041622</v>
      </c>
    </row>
    <row r="1308" spans="1:10" outlineLevel="2">
      <c r="A1308" s="2459" t="s">
        <v>1669</v>
      </c>
      <c r="B1308" s="2459" t="s">
        <v>1647</v>
      </c>
      <c r="C1308" s="2459" t="s">
        <v>1672</v>
      </c>
      <c r="D1308" s="2460" t="s">
        <v>1671</v>
      </c>
      <c r="E1308" s="2461" t="s">
        <v>1573</v>
      </c>
      <c r="F1308" s="2461" t="s">
        <v>1602</v>
      </c>
      <c r="G1308" s="2461" t="s">
        <v>1412</v>
      </c>
      <c r="H1308" s="2461" t="s">
        <v>1116</v>
      </c>
      <c r="I1308" s="2462">
        <v>8.1255751542656327E-3</v>
      </c>
      <c r="J1308" s="2462">
        <v>426.07984920035193</v>
      </c>
    </row>
    <row r="1309" spans="1:10" outlineLevel="2">
      <c r="A1309" s="2459" t="s">
        <v>1669</v>
      </c>
      <c r="B1309" s="2459" t="s">
        <v>1647</v>
      </c>
      <c r="C1309" s="2459" t="s">
        <v>1672</v>
      </c>
      <c r="D1309" s="2460" t="s">
        <v>1671</v>
      </c>
      <c r="E1309" s="2461" t="s">
        <v>1573</v>
      </c>
      <c r="F1309" s="2461" t="s">
        <v>1603</v>
      </c>
      <c r="G1309" s="2461" t="s">
        <v>1412</v>
      </c>
      <c r="H1309" s="2461" t="s">
        <v>1116</v>
      </c>
      <c r="I1309" s="2462">
        <v>9.6180494663867348E-3</v>
      </c>
      <c r="J1309" s="2462">
        <v>432.06163613786532</v>
      </c>
    </row>
    <row r="1310" spans="1:10" outlineLevel="2">
      <c r="A1310" s="2459" t="s">
        <v>1669</v>
      </c>
      <c r="B1310" s="2459" t="s">
        <v>1647</v>
      </c>
      <c r="C1310" s="2459" t="s">
        <v>1672</v>
      </c>
      <c r="D1310" s="2460" t="s">
        <v>1671</v>
      </c>
      <c r="E1310" s="2461" t="s">
        <v>1573</v>
      </c>
      <c r="F1310" s="2461" t="s">
        <v>1604</v>
      </c>
      <c r="G1310" s="2461" t="s">
        <v>1412</v>
      </c>
      <c r="H1310" s="2461" t="s">
        <v>1116</v>
      </c>
      <c r="I1310" s="2462">
        <v>6.0916359291890952E-4</v>
      </c>
      <c r="J1310" s="2462">
        <v>16.66296200958136</v>
      </c>
    </row>
    <row r="1311" spans="1:10" outlineLevel="2">
      <c r="A1311" s="2459" t="s">
        <v>1669</v>
      </c>
      <c r="B1311" s="2459" t="s">
        <v>1647</v>
      </c>
      <c r="C1311" s="2459" t="s">
        <v>1672</v>
      </c>
      <c r="D1311" s="2460" t="s">
        <v>1671</v>
      </c>
      <c r="E1311" s="2461" t="s">
        <v>1573</v>
      </c>
      <c r="F1311" s="2461" t="s">
        <v>1605</v>
      </c>
      <c r="G1311" s="2461" t="s">
        <v>1412</v>
      </c>
      <c r="H1311" s="2461" t="s">
        <v>1116</v>
      </c>
      <c r="I1311" s="2462">
        <v>8.5347707011204213E-2</v>
      </c>
      <c r="J1311" s="2462">
        <v>2805.0702693701</v>
      </c>
    </row>
    <row r="1312" spans="1:10" outlineLevel="2">
      <c r="A1312" s="2459" t="s">
        <v>1669</v>
      </c>
      <c r="B1312" s="2459" t="s">
        <v>1647</v>
      </c>
      <c r="C1312" s="2459" t="s">
        <v>1672</v>
      </c>
      <c r="D1312" s="2460" t="s">
        <v>1671</v>
      </c>
      <c r="E1312" s="2461" t="s">
        <v>1573</v>
      </c>
      <c r="F1312" s="2461" t="s">
        <v>1606</v>
      </c>
      <c r="G1312" s="2461" t="s">
        <v>1412</v>
      </c>
      <c r="H1312" s="2461" t="s">
        <v>1116</v>
      </c>
      <c r="I1312" s="2462">
        <v>7.5841491150194394E-3</v>
      </c>
      <c r="J1312" s="2462">
        <v>614.82480945084421</v>
      </c>
    </row>
    <row r="1313" spans="1:10" outlineLevel="2">
      <c r="A1313" s="2459" t="s">
        <v>1669</v>
      </c>
      <c r="B1313" s="2459" t="s">
        <v>1647</v>
      </c>
      <c r="C1313" s="2459" t="s">
        <v>1672</v>
      </c>
      <c r="D1313" s="2460" t="s">
        <v>1671</v>
      </c>
      <c r="E1313" s="2461" t="s">
        <v>1573</v>
      </c>
      <c r="F1313" s="2461" t="s">
        <v>1607</v>
      </c>
      <c r="G1313" s="2461" t="s">
        <v>1439</v>
      </c>
      <c r="H1313" s="2461" t="s">
        <v>1440</v>
      </c>
      <c r="I1313" s="2462">
        <v>6.825521197300672E-6</v>
      </c>
      <c r="J1313" s="2462">
        <v>0.17107403796937204</v>
      </c>
    </row>
    <row r="1314" spans="1:10" outlineLevel="2">
      <c r="A1314" s="2459" t="s">
        <v>1669</v>
      </c>
      <c r="B1314" s="2459" t="s">
        <v>1647</v>
      </c>
      <c r="C1314" s="2459" t="s">
        <v>1672</v>
      </c>
      <c r="D1314" s="2460" t="s">
        <v>1671</v>
      </c>
      <c r="E1314" s="2461" t="s">
        <v>1573</v>
      </c>
      <c r="F1314" s="2461" t="s">
        <v>1608</v>
      </c>
      <c r="G1314" s="2461" t="s">
        <v>1439</v>
      </c>
      <c r="H1314" s="2461" t="s">
        <v>1440</v>
      </c>
      <c r="I1314" s="2462">
        <v>8.0220131625063755E-4</v>
      </c>
      <c r="J1314" s="2462">
        <v>44.93603125839293</v>
      </c>
    </row>
    <row r="1315" spans="1:10" outlineLevel="2">
      <c r="A1315" s="2459" t="s">
        <v>1669</v>
      </c>
      <c r="B1315" s="2459" t="s">
        <v>1647</v>
      </c>
      <c r="C1315" s="2459" t="s">
        <v>1672</v>
      </c>
      <c r="D1315" s="2460" t="s">
        <v>1671</v>
      </c>
      <c r="E1315" s="2461" t="s">
        <v>1573</v>
      </c>
      <c r="F1315" s="2461" t="s">
        <v>1609</v>
      </c>
      <c r="G1315" s="2461" t="s">
        <v>1439</v>
      </c>
      <c r="H1315" s="2461" t="s">
        <v>1440</v>
      </c>
      <c r="I1315" s="2462">
        <v>5.3980603394962592E-2</v>
      </c>
      <c r="J1315" s="2462">
        <v>1199.1869156648065</v>
      </c>
    </row>
    <row r="1316" spans="1:10" outlineLevel="2">
      <c r="A1316" s="2459" t="s">
        <v>1669</v>
      </c>
      <c r="B1316" s="2459" t="s">
        <v>1647</v>
      </c>
      <c r="C1316" s="2459" t="s">
        <v>1672</v>
      </c>
      <c r="D1316" s="2460" t="s">
        <v>1671</v>
      </c>
      <c r="E1316" s="2461" t="s">
        <v>1573</v>
      </c>
      <c r="F1316" s="2461" t="s">
        <v>1610</v>
      </c>
      <c r="G1316" s="2461" t="s">
        <v>1439</v>
      </c>
      <c r="H1316" s="2461" t="s">
        <v>1440</v>
      </c>
      <c r="I1316" s="2462">
        <v>1.4195941801056268E-2</v>
      </c>
      <c r="J1316" s="2462">
        <v>247.55038604706354</v>
      </c>
    </row>
    <row r="1317" spans="1:10" outlineLevel="2">
      <c r="A1317" s="2459" t="s">
        <v>1669</v>
      </c>
      <c r="B1317" s="2459" t="s">
        <v>1647</v>
      </c>
      <c r="C1317" s="2459" t="s">
        <v>1672</v>
      </c>
      <c r="D1317" s="2460" t="s">
        <v>1671</v>
      </c>
      <c r="E1317" s="2461" t="s">
        <v>1573</v>
      </c>
      <c r="F1317" s="2461" t="s">
        <v>1611</v>
      </c>
      <c r="G1317" s="2461" t="s">
        <v>1439</v>
      </c>
      <c r="H1317" s="2461" t="s">
        <v>1440</v>
      </c>
      <c r="I1317" s="2462">
        <v>3.3553637523933574E-2</v>
      </c>
      <c r="J1317" s="2462">
        <v>1634.7305866213792</v>
      </c>
    </row>
    <row r="1318" spans="1:10" outlineLevel="2">
      <c r="A1318" s="2459" t="s">
        <v>1669</v>
      </c>
      <c r="B1318" s="2459" t="s">
        <v>1647</v>
      </c>
      <c r="C1318" s="2459" t="s">
        <v>1672</v>
      </c>
      <c r="D1318" s="2460" t="s">
        <v>1671</v>
      </c>
      <c r="E1318" s="2461" t="s">
        <v>1573</v>
      </c>
      <c r="F1318" s="2461" t="s">
        <v>1612</v>
      </c>
      <c r="G1318" s="2461" t="s">
        <v>1439</v>
      </c>
      <c r="H1318" s="2461" t="s">
        <v>1440</v>
      </c>
      <c r="I1318" s="2462">
        <v>5.7543055275702925E-3</v>
      </c>
      <c r="J1318" s="2462">
        <v>192.61244914456356</v>
      </c>
    </row>
    <row r="1319" spans="1:10" outlineLevel="2">
      <c r="A1319" s="2459" t="s">
        <v>1669</v>
      </c>
      <c r="B1319" s="2459" t="s">
        <v>1647</v>
      </c>
      <c r="C1319" s="2459" t="s">
        <v>1672</v>
      </c>
      <c r="D1319" s="2460" t="s">
        <v>1671</v>
      </c>
      <c r="E1319" s="2461" t="s">
        <v>1573</v>
      </c>
      <c r="F1319" s="2461" t="s">
        <v>1613</v>
      </c>
      <c r="G1319" s="2461" t="s">
        <v>1439</v>
      </c>
      <c r="H1319" s="2461" t="s">
        <v>1440</v>
      </c>
      <c r="I1319" s="2462">
        <v>1.6178150012730689E-4</v>
      </c>
      <c r="J1319" s="2462">
        <v>4.8908526558044407</v>
      </c>
    </row>
    <row r="1320" spans="1:10" outlineLevel="2">
      <c r="A1320" s="2459" t="s">
        <v>1669</v>
      </c>
      <c r="B1320" s="2459" t="s">
        <v>1647</v>
      </c>
      <c r="C1320" s="2459" t="s">
        <v>1672</v>
      </c>
      <c r="D1320" s="2460" t="s">
        <v>1671</v>
      </c>
      <c r="E1320" s="2461" t="s">
        <v>1573</v>
      </c>
      <c r="F1320" s="2461" t="s">
        <v>1614</v>
      </c>
      <c r="G1320" s="2461" t="s">
        <v>1418</v>
      </c>
      <c r="H1320" s="2461" t="s">
        <v>1452</v>
      </c>
      <c r="I1320" s="2462">
        <v>1.570971137030212E-5</v>
      </c>
      <c r="J1320" s="2462">
        <v>0.13427724100079494</v>
      </c>
    </row>
    <row r="1321" spans="1:10" outlineLevel="2">
      <c r="A1321" s="2459" t="s">
        <v>1669</v>
      </c>
      <c r="B1321" s="2459" t="s">
        <v>1647</v>
      </c>
      <c r="C1321" s="2459" t="s">
        <v>1672</v>
      </c>
      <c r="D1321" s="2460" t="s">
        <v>1671</v>
      </c>
      <c r="E1321" s="2461" t="s">
        <v>1573</v>
      </c>
      <c r="F1321" s="2461" t="s">
        <v>1615</v>
      </c>
      <c r="G1321" s="2461" t="s">
        <v>1418</v>
      </c>
      <c r="H1321" s="2461" t="s">
        <v>1452</v>
      </c>
      <c r="I1321" s="2462">
        <v>9.5028447567125696E-2</v>
      </c>
      <c r="J1321" s="2462">
        <v>5575.4838637761022</v>
      </c>
    </row>
    <row r="1322" spans="1:10" outlineLevel="2">
      <c r="A1322" s="2459" t="s">
        <v>1669</v>
      </c>
      <c r="B1322" s="2459" t="s">
        <v>1647</v>
      </c>
      <c r="C1322" s="2459" t="s">
        <v>1672</v>
      </c>
      <c r="D1322" s="2460" t="s">
        <v>1671</v>
      </c>
      <c r="E1322" s="2461" t="s">
        <v>1573</v>
      </c>
      <c r="F1322" s="2461" t="s">
        <v>1616</v>
      </c>
      <c r="G1322" s="2461" t="s">
        <v>1418</v>
      </c>
      <c r="H1322" s="2461" t="s">
        <v>1452</v>
      </c>
      <c r="I1322" s="2462">
        <v>4.5356130915033136E-3</v>
      </c>
      <c r="J1322" s="2462">
        <v>499.88972030524445</v>
      </c>
    </row>
    <row r="1323" spans="1:10" outlineLevel="2">
      <c r="A1323" s="2459" t="s">
        <v>1669</v>
      </c>
      <c r="B1323" s="2459" t="s">
        <v>1647</v>
      </c>
      <c r="C1323" s="2459" t="s">
        <v>1672</v>
      </c>
      <c r="D1323" s="2460" t="s">
        <v>1671</v>
      </c>
      <c r="E1323" s="2461" t="s">
        <v>1573</v>
      </c>
      <c r="F1323" s="2461" t="s">
        <v>1617</v>
      </c>
      <c r="G1323" s="2461" t="s">
        <v>1418</v>
      </c>
      <c r="H1323" s="2461" t="s">
        <v>1452</v>
      </c>
      <c r="I1323" s="2462">
        <v>3.6026700486908337E-5</v>
      </c>
      <c r="J1323" s="2462">
        <v>2.7669246292760277</v>
      </c>
    </row>
    <row r="1324" spans="1:10" outlineLevel="2">
      <c r="A1324" s="2459" t="s">
        <v>1669</v>
      </c>
      <c r="B1324" s="2459" t="s">
        <v>1647</v>
      </c>
      <c r="C1324" s="2459" t="s">
        <v>1672</v>
      </c>
      <c r="D1324" s="2460" t="s">
        <v>1671</v>
      </c>
      <c r="E1324" s="2461" t="s">
        <v>1573</v>
      </c>
      <c r="F1324" s="2461" t="s">
        <v>1618</v>
      </c>
      <c r="G1324" s="2461" t="s">
        <v>1418</v>
      </c>
      <c r="H1324" s="2461" t="s">
        <v>1452</v>
      </c>
      <c r="I1324" s="2462">
        <v>7.0228899219099348E-6</v>
      </c>
      <c r="J1324" s="2462">
        <v>0.58124642150298023</v>
      </c>
    </row>
    <row r="1325" spans="1:10" outlineLevel="2">
      <c r="A1325" s="2459" t="s">
        <v>1669</v>
      </c>
      <c r="B1325" s="2459" t="s">
        <v>1647</v>
      </c>
      <c r="C1325" s="2459" t="s">
        <v>1672</v>
      </c>
      <c r="D1325" s="2460" t="s">
        <v>1671</v>
      </c>
      <c r="E1325" s="2461" t="s">
        <v>1573</v>
      </c>
      <c r="F1325" s="2461" t="s">
        <v>1619</v>
      </c>
      <c r="G1325" s="2461" t="s">
        <v>1418</v>
      </c>
      <c r="H1325" s="2461" t="s">
        <v>1452</v>
      </c>
      <c r="I1325" s="2462">
        <v>4.6105192918292047E-4</v>
      </c>
      <c r="J1325" s="2462">
        <v>42.392831473098695</v>
      </c>
    </row>
    <row r="1326" spans="1:10" outlineLevel="2">
      <c r="A1326" s="2459" t="s">
        <v>1669</v>
      </c>
      <c r="B1326" s="2459" t="s">
        <v>1647</v>
      </c>
      <c r="C1326" s="2459" t="s">
        <v>1672</v>
      </c>
      <c r="D1326" s="2460" t="s">
        <v>1671</v>
      </c>
      <c r="E1326" s="2461" t="s">
        <v>1573</v>
      </c>
      <c r="F1326" s="2461" t="s">
        <v>1620</v>
      </c>
      <c r="G1326" s="2461" t="s">
        <v>1418</v>
      </c>
      <c r="H1326" s="2461" t="s">
        <v>1452</v>
      </c>
      <c r="I1326" s="2462">
        <v>9.747816740684557E-7</v>
      </c>
      <c r="J1326" s="2462">
        <v>0.11728789419969946</v>
      </c>
    </row>
    <row r="1327" spans="1:10" outlineLevel="2">
      <c r="A1327" s="2459" t="s">
        <v>1669</v>
      </c>
      <c r="B1327" s="2459" t="s">
        <v>1647</v>
      </c>
      <c r="C1327" s="2459" t="s">
        <v>1672</v>
      </c>
      <c r="D1327" s="2460" t="s">
        <v>1671</v>
      </c>
      <c r="E1327" s="2461" t="s">
        <v>1573</v>
      </c>
      <c r="F1327" s="2461" t="s">
        <v>1621</v>
      </c>
      <c r="G1327" s="2461" t="s">
        <v>1418</v>
      </c>
      <c r="H1327" s="2461" t="s">
        <v>1452</v>
      </c>
      <c r="I1327" s="2462">
        <v>4.149757457633205E-4</v>
      </c>
      <c r="J1327" s="2462">
        <v>39.197777030983559</v>
      </c>
    </row>
    <row r="1328" spans="1:10" outlineLevel="2">
      <c r="A1328" s="2459" t="s">
        <v>1669</v>
      </c>
      <c r="B1328" s="2459" t="s">
        <v>1647</v>
      </c>
      <c r="C1328" s="2459" t="s">
        <v>1672</v>
      </c>
      <c r="D1328" s="2460" t="s">
        <v>1671</v>
      </c>
      <c r="E1328" s="2461" t="s">
        <v>1573</v>
      </c>
      <c r="F1328" s="2461" t="s">
        <v>1622</v>
      </c>
      <c r="G1328" s="2461" t="s">
        <v>1418</v>
      </c>
      <c r="H1328" s="2461" t="s">
        <v>1452</v>
      </c>
      <c r="I1328" s="2462">
        <v>1.226949194881899E-3</v>
      </c>
      <c r="J1328" s="2462">
        <v>109.08096325326115</v>
      </c>
    </row>
    <row r="1329" spans="1:10" outlineLevel="2">
      <c r="A1329" s="2459" t="s">
        <v>1669</v>
      </c>
      <c r="B1329" s="2459" t="s">
        <v>1647</v>
      </c>
      <c r="C1329" s="2459" t="s">
        <v>1672</v>
      </c>
      <c r="D1329" s="2460" t="s">
        <v>1671</v>
      </c>
      <c r="E1329" s="2461" t="s">
        <v>1573</v>
      </c>
      <c r="F1329" s="2461" t="s">
        <v>1623</v>
      </c>
      <c r="G1329" s="2461" t="s">
        <v>1418</v>
      </c>
      <c r="H1329" s="2461" t="s">
        <v>1452</v>
      </c>
      <c r="I1329" s="2462">
        <v>1.8608135360299069E-3</v>
      </c>
      <c r="J1329" s="2462">
        <v>80.433197541438787</v>
      </c>
    </row>
    <row r="1330" spans="1:10" outlineLevel="2">
      <c r="A1330" s="2459" t="s">
        <v>1669</v>
      </c>
      <c r="B1330" s="2459" t="s">
        <v>1647</v>
      </c>
      <c r="C1330" s="2459" t="s">
        <v>1672</v>
      </c>
      <c r="D1330" s="2460" t="s">
        <v>1671</v>
      </c>
      <c r="E1330" s="2461" t="s">
        <v>1573</v>
      </c>
      <c r="F1330" s="2461" t="s">
        <v>1624</v>
      </c>
      <c r="G1330" s="2461" t="s">
        <v>1421</v>
      </c>
      <c r="H1330" s="2461" t="s">
        <v>1454</v>
      </c>
      <c r="I1330" s="2462">
        <v>2.9838921394648468E-2</v>
      </c>
      <c r="J1330" s="2462">
        <v>1091.1188980705629</v>
      </c>
    </row>
    <row r="1331" spans="1:10" outlineLevel="2">
      <c r="A1331" s="2459" t="s">
        <v>1669</v>
      </c>
      <c r="B1331" s="2459" t="s">
        <v>1647</v>
      </c>
      <c r="C1331" s="2459" t="s">
        <v>1672</v>
      </c>
      <c r="D1331" s="2460" t="s">
        <v>1671</v>
      </c>
      <c r="E1331" s="2461" t="s">
        <v>1573</v>
      </c>
      <c r="F1331" s="2461" t="s">
        <v>1625</v>
      </c>
      <c r="G1331" s="2461" t="s">
        <v>1421</v>
      </c>
      <c r="H1331" s="2461" t="s">
        <v>1454</v>
      </c>
      <c r="I1331" s="2462">
        <v>7.0369336527220079E-3</v>
      </c>
      <c r="J1331" s="2462">
        <v>257.52397554889336</v>
      </c>
    </row>
    <row r="1332" spans="1:10" outlineLevel="2">
      <c r="A1332" s="2459" t="s">
        <v>1669</v>
      </c>
      <c r="B1332" s="2459" t="s">
        <v>1647</v>
      </c>
      <c r="C1332" s="2459" t="s">
        <v>1672</v>
      </c>
      <c r="D1332" s="2460" t="s">
        <v>1671</v>
      </c>
      <c r="E1332" s="2461" t="s">
        <v>1573</v>
      </c>
      <c r="F1332" s="2461" t="s">
        <v>1626</v>
      </c>
      <c r="G1332" s="2461" t="s">
        <v>1421</v>
      </c>
      <c r="H1332" s="2461" t="s">
        <v>1454</v>
      </c>
      <c r="I1332" s="2462">
        <v>1.9749712222611283E-2</v>
      </c>
      <c r="J1332" s="2462">
        <v>714.46878810028431</v>
      </c>
    </row>
    <row r="1333" spans="1:10" outlineLevel="2">
      <c r="A1333" s="2459" t="s">
        <v>1669</v>
      </c>
      <c r="B1333" s="2459" t="s">
        <v>1647</v>
      </c>
      <c r="C1333" s="2459" t="s">
        <v>1672</v>
      </c>
      <c r="D1333" s="2460" t="s">
        <v>1671</v>
      </c>
      <c r="E1333" s="2461" t="s">
        <v>1573</v>
      </c>
      <c r="F1333" s="2461" t="s">
        <v>1627</v>
      </c>
      <c r="G1333" s="2461" t="s">
        <v>1421</v>
      </c>
      <c r="H1333" s="2461" t="s">
        <v>1454</v>
      </c>
      <c r="I1333" s="2462">
        <v>1.667699214375663E-2</v>
      </c>
      <c r="J1333" s="2462">
        <v>362.75765516330006</v>
      </c>
    </row>
    <row r="1334" spans="1:10" outlineLevel="2">
      <c r="A1334" s="2459" t="s">
        <v>1669</v>
      </c>
      <c r="B1334" s="2459" t="s">
        <v>1647</v>
      </c>
      <c r="C1334" s="2459" t="s">
        <v>1672</v>
      </c>
      <c r="D1334" s="2460" t="s">
        <v>1671</v>
      </c>
      <c r="E1334" s="2461" t="s">
        <v>1573</v>
      </c>
      <c r="F1334" s="2461" t="s">
        <v>1628</v>
      </c>
      <c r="G1334" s="2461" t="s">
        <v>1421</v>
      </c>
      <c r="H1334" s="2461" t="s">
        <v>1454</v>
      </c>
      <c r="I1334" s="2462">
        <v>8.2958666974180845E-4</v>
      </c>
      <c r="J1334" s="2462">
        <v>34.888188796412564</v>
      </c>
    </row>
    <row r="1335" spans="1:10" outlineLevel="2">
      <c r="A1335" s="2459" t="s">
        <v>1669</v>
      </c>
      <c r="B1335" s="2459" t="s">
        <v>1647</v>
      </c>
      <c r="C1335" s="2459" t="s">
        <v>1672</v>
      </c>
      <c r="D1335" s="2460" t="s">
        <v>1671</v>
      </c>
      <c r="E1335" s="2461" t="s">
        <v>1573</v>
      </c>
      <c r="F1335" s="2461" t="s">
        <v>1629</v>
      </c>
      <c r="G1335" s="2461" t="s">
        <v>1421</v>
      </c>
      <c r="H1335" s="2461" t="s">
        <v>1454</v>
      </c>
      <c r="I1335" s="2462">
        <v>9.5973705637539047E-4</v>
      </c>
      <c r="J1335" s="2462">
        <v>30.878844162027871</v>
      </c>
    </row>
    <row r="1336" spans="1:10" outlineLevel="2">
      <c r="A1336" s="2459" t="s">
        <v>1669</v>
      </c>
      <c r="B1336" s="2459" t="s">
        <v>1647</v>
      </c>
      <c r="C1336" s="2459" t="s">
        <v>1672</v>
      </c>
      <c r="D1336" s="2460" t="s">
        <v>1671</v>
      </c>
      <c r="E1336" s="2461" t="s">
        <v>1573</v>
      </c>
      <c r="F1336" s="2461" t="s">
        <v>1630</v>
      </c>
      <c r="G1336" s="2461" t="s">
        <v>1459</v>
      </c>
      <c r="H1336" s="2461" t="s">
        <v>1460</v>
      </c>
      <c r="I1336" s="2462">
        <v>3.3112506861356426E-3</v>
      </c>
      <c r="J1336" s="2462">
        <v>217.01217711995091</v>
      </c>
    </row>
    <row r="1337" spans="1:10" outlineLevel="2">
      <c r="A1337" s="2459" t="s">
        <v>1669</v>
      </c>
      <c r="B1337" s="2459" t="s">
        <v>1647</v>
      </c>
      <c r="C1337" s="2459" t="s">
        <v>1672</v>
      </c>
      <c r="D1337" s="2460" t="s">
        <v>1671</v>
      </c>
      <c r="E1337" s="2461" t="s">
        <v>1573</v>
      </c>
      <c r="F1337" s="2461" t="s">
        <v>1643</v>
      </c>
      <c r="G1337" s="2461" t="s">
        <v>1412</v>
      </c>
      <c r="H1337" s="2461" t="s">
        <v>1116</v>
      </c>
      <c r="I1337" s="2462">
        <v>4.6144460379188229E-3</v>
      </c>
      <c r="J1337" s="2462">
        <v>146.58617839097403</v>
      </c>
    </row>
    <row r="1338" spans="1:10" outlineLevel="2">
      <c r="A1338" s="2459" t="s">
        <v>1669</v>
      </c>
      <c r="B1338" s="2459" t="s">
        <v>1647</v>
      </c>
      <c r="C1338" s="2459" t="s">
        <v>1672</v>
      </c>
      <c r="D1338" s="2460" t="s">
        <v>1671</v>
      </c>
      <c r="E1338" s="2461" t="s">
        <v>1573</v>
      </c>
      <c r="F1338" s="2461" t="s">
        <v>1633</v>
      </c>
      <c r="G1338" s="2461" t="s">
        <v>215</v>
      </c>
      <c r="H1338" s="2461" t="s">
        <v>1537</v>
      </c>
      <c r="I1338" s="2462">
        <v>3.1403652944752762E-3</v>
      </c>
      <c r="J1338" s="2462">
        <v>70.011832179030563</v>
      </c>
    </row>
    <row r="1339" spans="1:10" outlineLevel="2">
      <c r="A1339" s="2459" t="s">
        <v>1669</v>
      </c>
      <c r="B1339" s="2459" t="s">
        <v>1647</v>
      </c>
      <c r="C1339" s="2459" t="s">
        <v>1672</v>
      </c>
      <c r="D1339" s="2460" t="s">
        <v>1676</v>
      </c>
      <c r="E1339" s="2461" t="s">
        <v>213</v>
      </c>
      <c r="F1339" s="2461" t="s">
        <v>1635</v>
      </c>
      <c r="G1339" s="2461" t="s">
        <v>1636</v>
      </c>
      <c r="H1339" s="2461" t="s">
        <v>1637</v>
      </c>
      <c r="I1339" s="2462">
        <v>2.891133213670941E-5</v>
      </c>
      <c r="J1339" s="2462">
        <v>9.7410315082969143E-2</v>
      </c>
    </row>
    <row r="1340" spans="1:10" outlineLevel="2">
      <c r="A1340" s="2459" t="s">
        <v>1669</v>
      </c>
      <c r="B1340" s="2459" t="s">
        <v>1647</v>
      </c>
      <c r="C1340" s="2459" t="s">
        <v>1672</v>
      </c>
      <c r="D1340" s="2460" t="s">
        <v>1676</v>
      </c>
      <c r="E1340" s="2461" t="s">
        <v>1538</v>
      </c>
      <c r="F1340" s="2461" t="s">
        <v>1638</v>
      </c>
      <c r="G1340" s="2461" t="s">
        <v>1636</v>
      </c>
      <c r="H1340" s="2461" t="s">
        <v>1540</v>
      </c>
      <c r="I1340" s="2462">
        <v>3.2428561624973806E-6</v>
      </c>
      <c r="J1340" s="2462">
        <v>5.4351641350626929E-2</v>
      </c>
    </row>
    <row r="1341" spans="1:10" outlineLevel="2">
      <c r="A1341" s="2459" t="s">
        <v>1669</v>
      </c>
      <c r="B1341" s="2459" t="s">
        <v>1647</v>
      </c>
      <c r="C1341" s="2459" t="s">
        <v>1672</v>
      </c>
      <c r="D1341" s="2460" t="s">
        <v>1676</v>
      </c>
      <c r="E1341" s="2461" t="s">
        <v>1573</v>
      </c>
      <c r="F1341" s="2461" t="s">
        <v>1639</v>
      </c>
      <c r="G1341" s="2461" t="s">
        <v>1636</v>
      </c>
      <c r="H1341" s="2461" t="s">
        <v>1637</v>
      </c>
      <c r="I1341" s="2462">
        <v>5.6450125163002626E-5</v>
      </c>
      <c r="J1341" s="2462">
        <v>3.0063053399324926</v>
      </c>
    </row>
    <row r="1342" spans="1:10" outlineLevel="2">
      <c r="A1342" s="2459" t="s">
        <v>1669</v>
      </c>
      <c r="B1342" s="2459" t="s">
        <v>1648</v>
      </c>
      <c r="C1342" s="2459" t="s">
        <v>1674</v>
      </c>
      <c r="D1342" s="2460" t="s">
        <v>1671</v>
      </c>
      <c r="E1342" s="2461" t="s">
        <v>1407</v>
      </c>
      <c r="F1342" s="2461" t="s">
        <v>1408</v>
      </c>
      <c r="G1342" s="2461" t="s">
        <v>1409</v>
      </c>
      <c r="H1342" s="2461" t="s">
        <v>1410</v>
      </c>
      <c r="I1342" s="2462">
        <v>6.3110815942999179E-3</v>
      </c>
      <c r="J1342" s="2462">
        <v>9.2837470833165792E-2</v>
      </c>
    </row>
    <row r="1343" spans="1:10" outlineLevel="2">
      <c r="A1343" s="2459" t="s">
        <v>1669</v>
      </c>
      <c r="B1343" s="2459" t="s">
        <v>1648</v>
      </c>
      <c r="C1343" s="2459" t="s">
        <v>1674</v>
      </c>
      <c r="D1343" s="2460" t="s">
        <v>1671</v>
      </c>
      <c r="E1343" s="2461" t="s">
        <v>1407</v>
      </c>
      <c r="F1343" s="2461" t="s">
        <v>1411</v>
      </c>
      <c r="G1343" s="2461" t="s">
        <v>1412</v>
      </c>
      <c r="H1343" s="2461" t="s">
        <v>1410</v>
      </c>
      <c r="I1343" s="2462">
        <v>1.4099108966607132</v>
      </c>
      <c r="J1343" s="2462">
        <v>228.96111578364787</v>
      </c>
    </row>
    <row r="1344" spans="1:10" outlineLevel="2">
      <c r="A1344" s="2459" t="s">
        <v>1669</v>
      </c>
      <c r="B1344" s="2459" t="s">
        <v>1648</v>
      </c>
      <c r="C1344" s="2459" t="s">
        <v>1674</v>
      </c>
      <c r="D1344" s="2460" t="s">
        <v>1671</v>
      </c>
      <c r="E1344" s="2461" t="s">
        <v>1407</v>
      </c>
      <c r="F1344" s="2461" t="s">
        <v>1413</v>
      </c>
      <c r="G1344" s="2461" t="s">
        <v>1412</v>
      </c>
      <c r="H1344" s="2461" t="s">
        <v>1410</v>
      </c>
      <c r="I1344" s="2462">
        <v>1.1449867754853621E-3</v>
      </c>
      <c r="J1344" s="2462">
        <v>0.19397059763499114</v>
      </c>
    </row>
    <row r="1345" spans="1:10" outlineLevel="2">
      <c r="A1345" s="2459" t="s">
        <v>1669</v>
      </c>
      <c r="B1345" s="2459" t="s">
        <v>1648</v>
      </c>
      <c r="C1345" s="2459" t="s">
        <v>1674</v>
      </c>
      <c r="D1345" s="2460" t="s">
        <v>1671</v>
      </c>
      <c r="E1345" s="2461" t="s">
        <v>1407</v>
      </c>
      <c r="F1345" s="2461" t="s">
        <v>1414</v>
      </c>
      <c r="G1345" s="2461" t="s">
        <v>1412</v>
      </c>
      <c r="H1345" s="2461" t="s">
        <v>1410</v>
      </c>
      <c r="I1345" s="2462">
        <v>5.7538622419556012E-4</v>
      </c>
      <c r="J1345" s="2462">
        <v>0.10570080007940474</v>
      </c>
    </row>
    <row r="1346" spans="1:10" outlineLevel="2">
      <c r="A1346" s="2459" t="s">
        <v>1669</v>
      </c>
      <c r="B1346" s="2459" t="s">
        <v>1648</v>
      </c>
      <c r="C1346" s="2459" t="s">
        <v>1674</v>
      </c>
      <c r="D1346" s="2460" t="s">
        <v>1671</v>
      </c>
      <c r="E1346" s="2461" t="s">
        <v>1407</v>
      </c>
      <c r="F1346" s="2461" t="s">
        <v>1415</v>
      </c>
      <c r="G1346" s="2461" t="s">
        <v>1412</v>
      </c>
      <c r="H1346" s="2461" t="s">
        <v>1410</v>
      </c>
      <c r="I1346" s="2462">
        <v>3.8264913208729229E-3</v>
      </c>
      <c r="J1346" s="2462">
        <v>0.60952561679724959</v>
      </c>
    </row>
    <row r="1347" spans="1:10" outlineLevel="2">
      <c r="A1347" s="2459" t="s">
        <v>1669</v>
      </c>
      <c r="B1347" s="2459" t="s">
        <v>1648</v>
      </c>
      <c r="C1347" s="2459" t="s">
        <v>1674</v>
      </c>
      <c r="D1347" s="2460" t="s">
        <v>1671</v>
      </c>
      <c r="E1347" s="2461" t="s">
        <v>1407</v>
      </c>
      <c r="F1347" s="2461" t="s">
        <v>1416</v>
      </c>
      <c r="G1347" s="2461" t="s">
        <v>1412</v>
      </c>
      <c r="H1347" s="2461" t="s">
        <v>1410</v>
      </c>
      <c r="I1347" s="2462">
        <v>5.2666502530934588E-3</v>
      </c>
      <c r="J1347" s="2462">
        <v>1.2955510195679167</v>
      </c>
    </row>
    <row r="1348" spans="1:10" outlineLevel="2">
      <c r="A1348" s="2459" t="s">
        <v>1669</v>
      </c>
      <c r="B1348" s="2459" t="s">
        <v>1648</v>
      </c>
      <c r="C1348" s="2459" t="s">
        <v>1674</v>
      </c>
      <c r="D1348" s="2460" t="s">
        <v>1671</v>
      </c>
      <c r="E1348" s="2461" t="s">
        <v>1407</v>
      </c>
      <c r="F1348" s="2461" t="s">
        <v>1417</v>
      </c>
      <c r="G1348" s="2461" t="s">
        <v>1418</v>
      </c>
      <c r="H1348" s="2461" t="s">
        <v>1410</v>
      </c>
      <c r="I1348" s="2462">
        <v>4.5902472297263824E-3</v>
      </c>
      <c r="J1348" s="2462">
        <v>6.0971847031999996E-2</v>
      </c>
    </row>
    <row r="1349" spans="1:10" outlineLevel="2">
      <c r="A1349" s="2459" t="s">
        <v>1669</v>
      </c>
      <c r="B1349" s="2459" t="s">
        <v>1648</v>
      </c>
      <c r="C1349" s="2459" t="s">
        <v>1674</v>
      </c>
      <c r="D1349" s="2460" t="s">
        <v>1671</v>
      </c>
      <c r="E1349" s="2461" t="s">
        <v>1407</v>
      </c>
      <c r="F1349" s="2461" t="s">
        <v>1419</v>
      </c>
      <c r="G1349" s="2461" t="s">
        <v>1418</v>
      </c>
      <c r="H1349" s="2461" t="s">
        <v>1410</v>
      </c>
      <c r="I1349" s="2462">
        <v>3.40726621961501E-2</v>
      </c>
      <c r="J1349" s="2462">
        <v>6.6172405865359121</v>
      </c>
    </row>
    <row r="1350" spans="1:10" outlineLevel="2">
      <c r="A1350" s="2459" t="s">
        <v>1669</v>
      </c>
      <c r="B1350" s="2459" t="s">
        <v>1648</v>
      </c>
      <c r="C1350" s="2459" t="s">
        <v>1674</v>
      </c>
      <c r="D1350" s="2460" t="s">
        <v>1671</v>
      </c>
      <c r="E1350" s="2461" t="s">
        <v>1407</v>
      </c>
      <c r="F1350" s="2461" t="s">
        <v>1420</v>
      </c>
      <c r="G1350" s="2461" t="s">
        <v>1421</v>
      </c>
      <c r="H1350" s="2461" t="s">
        <v>1410</v>
      </c>
      <c r="I1350" s="2462">
        <v>0.64118649675567874</v>
      </c>
      <c r="J1350" s="2462">
        <v>16.640495550633037</v>
      </c>
    </row>
    <row r="1351" spans="1:10" outlineLevel="2">
      <c r="A1351" s="2459" t="s">
        <v>1669</v>
      </c>
      <c r="B1351" s="2459" t="s">
        <v>1648</v>
      </c>
      <c r="C1351" s="2459" t="s">
        <v>1674</v>
      </c>
      <c r="D1351" s="2460" t="s">
        <v>1671</v>
      </c>
      <c r="E1351" s="2461" t="s">
        <v>1407</v>
      </c>
      <c r="F1351" s="2461" t="s">
        <v>1422</v>
      </c>
      <c r="G1351" s="2461" t="s">
        <v>1421</v>
      </c>
      <c r="H1351" s="2461" t="s">
        <v>1410</v>
      </c>
      <c r="I1351" s="2462">
        <v>1.9389383324282385E-2</v>
      </c>
      <c r="J1351" s="2462">
        <v>0.79444558419726785</v>
      </c>
    </row>
    <row r="1352" spans="1:10" outlineLevel="2">
      <c r="A1352" s="2459" t="s">
        <v>1669</v>
      </c>
      <c r="B1352" s="2459" t="s">
        <v>1648</v>
      </c>
      <c r="C1352" s="2459" t="s">
        <v>1674</v>
      </c>
      <c r="D1352" s="2460" t="s">
        <v>1671</v>
      </c>
      <c r="E1352" s="2461" t="s">
        <v>1407</v>
      </c>
      <c r="F1352" s="2461" t="s">
        <v>1423</v>
      </c>
      <c r="G1352" s="2461" t="s">
        <v>1421</v>
      </c>
      <c r="H1352" s="2461" t="s">
        <v>1410</v>
      </c>
      <c r="I1352" s="2462">
        <v>1.007813089102955E-2</v>
      </c>
      <c r="J1352" s="2462">
        <v>1.1613890333457884</v>
      </c>
    </row>
    <row r="1353" spans="1:10" outlineLevel="2">
      <c r="A1353" s="2459" t="s">
        <v>1669</v>
      </c>
      <c r="B1353" s="2459" t="s">
        <v>1648</v>
      </c>
      <c r="C1353" s="2459" t="s">
        <v>1674</v>
      </c>
      <c r="D1353" s="2460" t="s">
        <v>1671</v>
      </c>
      <c r="E1353" s="2461" t="s">
        <v>1407</v>
      </c>
      <c r="F1353" s="2461" t="s">
        <v>1424</v>
      </c>
      <c r="G1353" s="2461" t="s">
        <v>1421</v>
      </c>
      <c r="H1353" s="2461" t="s">
        <v>1410</v>
      </c>
      <c r="I1353" s="2462">
        <v>0.19708295215064792</v>
      </c>
      <c r="J1353" s="2462">
        <v>41.242704398013018</v>
      </c>
    </row>
    <row r="1354" spans="1:10" outlineLevel="2">
      <c r="A1354" s="2459" t="s">
        <v>1669</v>
      </c>
      <c r="B1354" s="2459" t="s">
        <v>1648</v>
      </c>
      <c r="C1354" s="2459" t="s">
        <v>1674</v>
      </c>
      <c r="D1354" s="2460" t="s">
        <v>1671</v>
      </c>
      <c r="E1354" s="2461" t="s">
        <v>213</v>
      </c>
      <c r="F1354" s="2461" t="s">
        <v>1425</v>
      </c>
      <c r="G1354" s="2461" t="s">
        <v>1426</v>
      </c>
      <c r="H1354" s="2461" t="s">
        <v>1427</v>
      </c>
      <c r="I1354" s="2462">
        <v>1.672246631398026</v>
      </c>
      <c r="J1354" s="2462">
        <v>480.49033906833733</v>
      </c>
    </row>
    <row r="1355" spans="1:10" outlineLevel="2">
      <c r="A1355" s="2459" t="s">
        <v>1669</v>
      </c>
      <c r="B1355" s="2459" t="s">
        <v>1648</v>
      </c>
      <c r="C1355" s="2459" t="s">
        <v>1674</v>
      </c>
      <c r="D1355" s="2460" t="s">
        <v>1671</v>
      </c>
      <c r="E1355" s="2461" t="s">
        <v>213</v>
      </c>
      <c r="F1355" s="2461" t="s">
        <v>1428</v>
      </c>
      <c r="G1355" s="2461" t="s">
        <v>1426</v>
      </c>
      <c r="H1355" s="2461" t="s">
        <v>1427</v>
      </c>
      <c r="I1355" s="2462">
        <v>0.51080532387162092</v>
      </c>
      <c r="J1355" s="2462">
        <v>206.35143150482168</v>
      </c>
    </row>
    <row r="1356" spans="1:10" outlineLevel="2">
      <c r="A1356" s="2459" t="s">
        <v>1669</v>
      </c>
      <c r="B1356" s="2459" t="s">
        <v>1648</v>
      </c>
      <c r="C1356" s="2459" t="s">
        <v>1674</v>
      </c>
      <c r="D1356" s="2460" t="s">
        <v>1671</v>
      </c>
      <c r="E1356" s="2461" t="s">
        <v>213</v>
      </c>
      <c r="F1356" s="2461" t="s">
        <v>1429</v>
      </c>
      <c r="G1356" s="2461" t="s">
        <v>1426</v>
      </c>
      <c r="H1356" s="2461" t="s">
        <v>1427</v>
      </c>
      <c r="I1356" s="2462">
        <v>0.23249504352602207</v>
      </c>
      <c r="J1356" s="2462">
        <v>299.00607566701569</v>
      </c>
    </row>
    <row r="1357" spans="1:10" outlineLevel="2">
      <c r="A1357" s="2459" t="s">
        <v>1669</v>
      </c>
      <c r="B1357" s="2459" t="s">
        <v>1648</v>
      </c>
      <c r="C1357" s="2459" t="s">
        <v>1674</v>
      </c>
      <c r="D1357" s="2460" t="s">
        <v>1671</v>
      </c>
      <c r="E1357" s="2461" t="s">
        <v>213</v>
      </c>
      <c r="F1357" s="2461" t="s">
        <v>1430</v>
      </c>
      <c r="G1357" s="2461" t="s">
        <v>1409</v>
      </c>
      <c r="H1357" s="2461" t="s">
        <v>1070</v>
      </c>
      <c r="I1357" s="2462">
        <v>1.9507890058932477E-2</v>
      </c>
      <c r="J1357" s="2462">
        <v>12.104263236267796</v>
      </c>
    </row>
    <row r="1358" spans="1:10" outlineLevel="2">
      <c r="A1358" s="2459" t="s">
        <v>1669</v>
      </c>
      <c r="B1358" s="2459" t="s">
        <v>1648</v>
      </c>
      <c r="C1358" s="2459" t="s">
        <v>1674</v>
      </c>
      <c r="D1358" s="2460" t="s">
        <v>1671</v>
      </c>
      <c r="E1358" s="2461" t="s">
        <v>213</v>
      </c>
      <c r="F1358" s="2461" t="s">
        <v>1431</v>
      </c>
      <c r="G1358" s="2461" t="s">
        <v>1409</v>
      </c>
      <c r="H1358" s="2461" t="s">
        <v>1070</v>
      </c>
      <c r="I1358" s="2462">
        <v>1.6189480928781416E-3</v>
      </c>
      <c r="J1358" s="2462">
        <v>0.78406724736445266</v>
      </c>
    </row>
    <row r="1359" spans="1:10" outlineLevel="2">
      <c r="A1359" s="2459" t="s">
        <v>1669</v>
      </c>
      <c r="B1359" s="2459" t="s">
        <v>1648</v>
      </c>
      <c r="C1359" s="2459" t="s">
        <v>1674</v>
      </c>
      <c r="D1359" s="2460" t="s">
        <v>1671</v>
      </c>
      <c r="E1359" s="2461" t="s">
        <v>213</v>
      </c>
      <c r="F1359" s="2461" t="s">
        <v>1432</v>
      </c>
      <c r="G1359" s="2461" t="s">
        <v>1409</v>
      </c>
      <c r="H1359" s="2461" t="s">
        <v>1070</v>
      </c>
      <c r="I1359" s="2462">
        <v>1.9619551043117212E-3</v>
      </c>
      <c r="J1359" s="2462">
        <v>0.93718311504299134</v>
      </c>
    </row>
    <row r="1360" spans="1:10" outlineLevel="2">
      <c r="A1360" s="2459" t="s">
        <v>1669</v>
      </c>
      <c r="B1360" s="2459" t="s">
        <v>1648</v>
      </c>
      <c r="C1360" s="2459" t="s">
        <v>1674</v>
      </c>
      <c r="D1360" s="2460" t="s">
        <v>1671</v>
      </c>
      <c r="E1360" s="2461" t="s">
        <v>213</v>
      </c>
      <c r="F1360" s="2461" t="s">
        <v>1433</v>
      </c>
      <c r="G1360" s="2461" t="s">
        <v>1409</v>
      </c>
      <c r="H1360" s="2461" t="s">
        <v>1070</v>
      </c>
      <c r="I1360" s="2462">
        <v>1.4509495347534346E-5</v>
      </c>
      <c r="J1360" s="2462">
        <v>6.4936757293139963E-3</v>
      </c>
    </row>
    <row r="1361" spans="1:10" outlineLevel="2">
      <c r="A1361" s="2459" t="s">
        <v>1669</v>
      </c>
      <c r="B1361" s="2459" t="s">
        <v>1648</v>
      </c>
      <c r="C1361" s="2459" t="s">
        <v>1674</v>
      </c>
      <c r="D1361" s="2460" t="s">
        <v>1671</v>
      </c>
      <c r="E1361" s="2461" t="s">
        <v>213</v>
      </c>
      <c r="F1361" s="2461" t="s">
        <v>1434</v>
      </c>
      <c r="G1361" s="2461" t="s">
        <v>1409</v>
      </c>
      <c r="H1361" s="2461" t="s">
        <v>1070</v>
      </c>
      <c r="I1361" s="2462">
        <v>5.59271002099406E-2</v>
      </c>
      <c r="J1361" s="2462">
        <v>31.228780333450185</v>
      </c>
    </row>
    <row r="1362" spans="1:10" outlineLevel="2">
      <c r="A1362" s="2459" t="s">
        <v>1669</v>
      </c>
      <c r="B1362" s="2459" t="s">
        <v>1648</v>
      </c>
      <c r="C1362" s="2459" t="s">
        <v>1674</v>
      </c>
      <c r="D1362" s="2460" t="s">
        <v>1671</v>
      </c>
      <c r="E1362" s="2461" t="s">
        <v>213</v>
      </c>
      <c r="F1362" s="2461" t="s">
        <v>1435</v>
      </c>
      <c r="G1362" s="2461" t="s">
        <v>1409</v>
      </c>
      <c r="H1362" s="2461" t="s">
        <v>1070</v>
      </c>
      <c r="I1362" s="2462">
        <v>4.0892034970079741E-4</v>
      </c>
      <c r="J1362" s="2462">
        <v>0.18301094461937506</v>
      </c>
    </row>
    <row r="1363" spans="1:10" outlineLevel="2">
      <c r="A1363" s="2459" t="s">
        <v>1669</v>
      </c>
      <c r="B1363" s="2459" t="s">
        <v>1648</v>
      </c>
      <c r="C1363" s="2459" t="s">
        <v>1674</v>
      </c>
      <c r="D1363" s="2460" t="s">
        <v>1671</v>
      </c>
      <c r="E1363" s="2461" t="s">
        <v>213</v>
      </c>
      <c r="F1363" s="2461" t="s">
        <v>1436</v>
      </c>
      <c r="G1363" s="2461" t="s">
        <v>1412</v>
      </c>
      <c r="H1363" s="2461" t="s">
        <v>1116</v>
      </c>
      <c r="I1363" s="2462">
        <v>1.3963752909477753E-3</v>
      </c>
      <c r="J1363" s="2462">
        <v>0.62494340640491519</v>
      </c>
    </row>
    <row r="1364" spans="1:10" outlineLevel="2">
      <c r="A1364" s="2459" t="s">
        <v>1669</v>
      </c>
      <c r="B1364" s="2459" t="s">
        <v>1648</v>
      </c>
      <c r="C1364" s="2459" t="s">
        <v>1674</v>
      </c>
      <c r="D1364" s="2460" t="s">
        <v>1671</v>
      </c>
      <c r="E1364" s="2461" t="s">
        <v>213</v>
      </c>
      <c r="F1364" s="2461" t="s">
        <v>1437</v>
      </c>
      <c r="G1364" s="2461" t="s">
        <v>1412</v>
      </c>
      <c r="H1364" s="2461" t="s">
        <v>1116</v>
      </c>
      <c r="I1364" s="2462">
        <v>1.068526166577805E-4</v>
      </c>
      <c r="J1364" s="2462">
        <v>4.7821478427666188E-2</v>
      </c>
    </row>
    <row r="1365" spans="1:10" outlineLevel="2">
      <c r="A1365" s="2459" t="s">
        <v>1669</v>
      </c>
      <c r="B1365" s="2459" t="s">
        <v>1648</v>
      </c>
      <c r="C1365" s="2459" t="s">
        <v>1674</v>
      </c>
      <c r="D1365" s="2460" t="s">
        <v>1671</v>
      </c>
      <c r="E1365" s="2461" t="s">
        <v>213</v>
      </c>
      <c r="F1365" s="2461" t="s">
        <v>1438</v>
      </c>
      <c r="G1365" s="2461" t="s">
        <v>1439</v>
      </c>
      <c r="H1365" s="2461" t="s">
        <v>1440</v>
      </c>
      <c r="I1365" s="2462">
        <v>5.723752963274451E-3</v>
      </c>
      <c r="J1365" s="2462">
        <v>3.1347063994054816</v>
      </c>
    </row>
    <row r="1366" spans="1:10" outlineLevel="2">
      <c r="A1366" s="2459" t="s">
        <v>1669</v>
      </c>
      <c r="B1366" s="2459" t="s">
        <v>1648</v>
      </c>
      <c r="C1366" s="2459" t="s">
        <v>1674</v>
      </c>
      <c r="D1366" s="2460" t="s">
        <v>1671</v>
      </c>
      <c r="E1366" s="2461" t="s">
        <v>213</v>
      </c>
      <c r="F1366" s="2461" t="s">
        <v>1441</v>
      </c>
      <c r="G1366" s="2461" t="s">
        <v>1439</v>
      </c>
      <c r="H1366" s="2461" t="s">
        <v>1440</v>
      </c>
      <c r="I1366" s="2462">
        <v>1.5070896671101338E-2</v>
      </c>
      <c r="J1366" s="2462">
        <v>8.099783837767454</v>
      </c>
    </row>
    <row r="1367" spans="1:10" outlineLevel="2">
      <c r="A1367" s="2459" t="s">
        <v>1669</v>
      </c>
      <c r="B1367" s="2459" t="s">
        <v>1648</v>
      </c>
      <c r="C1367" s="2459" t="s">
        <v>1674</v>
      </c>
      <c r="D1367" s="2460" t="s">
        <v>1671</v>
      </c>
      <c r="E1367" s="2461" t="s">
        <v>213</v>
      </c>
      <c r="F1367" s="2461" t="s">
        <v>1442</v>
      </c>
      <c r="G1367" s="2461" t="s">
        <v>1439</v>
      </c>
      <c r="H1367" s="2461" t="s">
        <v>1440</v>
      </c>
      <c r="I1367" s="2462">
        <v>8.0559060955922995E-2</v>
      </c>
      <c r="J1367" s="2462">
        <v>41.854212884458185</v>
      </c>
    </row>
    <row r="1368" spans="1:10" outlineLevel="2">
      <c r="A1368" s="2459" t="s">
        <v>1669</v>
      </c>
      <c r="B1368" s="2459" t="s">
        <v>1648</v>
      </c>
      <c r="C1368" s="2459" t="s">
        <v>1674</v>
      </c>
      <c r="D1368" s="2460" t="s">
        <v>1671</v>
      </c>
      <c r="E1368" s="2461" t="s">
        <v>213</v>
      </c>
      <c r="F1368" s="2461" t="s">
        <v>1443</v>
      </c>
      <c r="G1368" s="2461" t="s">
        <v>1439</v>
      </c>
      <c r="H1368" s="2461" t="s">
        <v>1440</v>
      </c>
      <c r="I1368" s="2462">
        <v>0.14250402151331681</v>
      </c>
      <c r="J1368" s="2462">
        <v>78.007246057696833</v>
      </c>
    </row>
    <row r="1369" spans="1:10" outlineLevel="2">
      <c r="A1369" s="2459" t="s">
        <v>1669</v>
      </c>
      <c r="B1369" s="2459" t="s">
        <v>1648</v>
      </c>
      <c r="C1369" s="2459" t="s">
        <v>1674</v>
      </c>
      <c r="D1369" s="2460" t="s">
        <v>1671</v>
      </c>
      <c r="E1369" s="2461" t="s">
        <v>213</v>
      </c>
      <c r="F1369" s="2461" t="s">
        <v>1444</v>
      </c>
      <c r="G1369" s="2461" t="s">
        <v>1439</v>
      </c>
      <c r="H1369" s="2461" t="s">
        <v>1440</v>
      </c>
      <c r="I1369" s="2462">
        <v>9.8962290568196817E-2</v>
      </c>
      <c r="J1369" s="2462">
        <v>58.126453260207469</v>
      </c>
    </row>
    <row r="1370" spans="1:10" outlineLevel="2">
      <c r="A1370" s="2459" t="s">
        <v>1669</v>
      </c>
      <c r="B1370" s="2459" t="s">
        <v>1648</v>
      </c>
      <c r="C1370" s="2459" t="s">
        <v>1674</v>
      </c>
      <c r="D1370" s="2460" t="s">
        <v>1671</v>
      </c>
      <c r="E1370" s="2461" t="s">
        <v>213</v>
      </c>
      <c r="F1370" s="2461" t="s">
        <v>1445</v>
      </c>
      <c r="G1370" s="2461" t="s">
        <v>1439</v>
      </c>
      <c r="H1370" s="2461" t="s">
        <v>1440</v>
      </c>
      <c r="I1370" s="2462">
        <v>0.13484236265633825</v>
      </c>
      <c r="J1370" s="2462">
        <v>68.167797779868792</v>
      </c>
    </row>
    <row r="1371" spans="1:10" outlineLevel="2">
      <c r="A1371" s="2459" t="s">
        <v>1669</v>
      </c>
      <c r="B1371" s="2459" t="s">
        <v>1648</v>
      </c>
      <c r="C1371" s="2459" t="s">
        <v>1674</v>
      </c>
      <c r="D1371" s="2460" t="s">
        <v>1671</v>
      </c>
      <c r="E1371" s="2461" t="s">
        <v>213</v>
      </c>
      <c r="F1371" s="2461" t="s">
        <v>1446</v>
      </c>
      <c r="G1371" s="2461" t="s">
        <v>1439</v>
      </c>
      <c r="H1371" s="2461" t="s">
        <v>1440</v>
      </c>
      <c r="I1371" s="2462">
        <v>6.97531379123391E-2</v>
      </c>
      <c r="J1371" s="2462">
        <v>37.410045671317334</v>
      </c>
    </row>
    <row r="1372" spans="1:10" outlineLevel="2">
      <c r="A1372" s="2459" t="s">
        <v>1669</v>
      </c>
      <c r="B1372" s="2459" t="s">
        <v>1648</v>
      </c>
      <c r="C1372" s="2459" t="s">
        <v>1674</v>
      </c>
      <c r="D1372" s="2460" t="s">
        <v>1671</v>
      </c>
      <c r="E1372" s="2461" t="s">
        <v>213</v>
      </c>
      <c r="F1372" s="2461" t="s">
        <v>1447</v>
      </c>
      <c r="G1372" s="2461" t="s">
        <v>1439</v>
      </c>
      <c r="H1372" s="2461" t="s">
        <v>1440</v>
      </c>
      <c r="I1372" s="2462">
        <v>0.11901092628927198</v>
      </c>
      <c r="J1372" s="2462">
        <v>63.652451643928224</v>
      </c>
    </row>
    <row r="1373" spans="1:10" outlineLevel="2">
      <c r="A1373" s="2459" t="s">
        <v>1669</v>
      </c>
      <c r="B1373" s="2459" t="s">
        <v>1648</v>
      </c>
      <c r="C1373" s="2459" t="s">
        <v>1674</v>
      </c>
      <c r="D1373" s="2460" t="s">
        <v>1671</v>
      </c>
      <c r="E1373" s="2461" t="s">
        <v>213</v>
      </c>
      <c r="F1373" s="2461" t="s">
        <v>1448</v>
      </c>
      <c r="G1373" s="2461" t="s">
        <v>1439</v>
      </c>
      <c r="H1373" s="2461" t="s">
        <v>1440</v>
      </c>
      <c r="I1373" s="2462">
        <v>0.12642026633006387</v>
      </c>
      <c r="J1373" s="2462">
        <v>18.509589108674579</v>
      </c>
    </row>
    <row r="1374" spans="1:10" outlineLevel="2">
      <c r="A1374" s="2459" t="s">
        <v>1669</v>
      </c>
      <c r="B1374" s="2459" t="s">
        <v>1648</v>
      </c>
      <c r="C1374" s="2459" t="s">
        <v>1674</v>
      </c>
      <c r="D1374" s="2460" t="s">
        <v>1671</v>
      </c>
      <c r="E1374" s="2461" t="s">
        <v>213</v>
      </c>
      <c r="F1374" s="2461" t="s">
        <v>1449</v>
      </c>
      <c r="G1374" s="2461" t="s">
        <v>1439</v>
      </c>
      <c r="H1374" s="2461" t="s">
        <v>1440</v>
      </c>
      <c r="I1374" s="2462">
        <v>0.15829954416453243</v>
      </c>
      <c r="J1374" s="2462">
        <v>23.176485758610792</v>
      </c>
    </row>
    <row r="1375" spans="1:10" outlineLevel="2">
      <c r="A1375" s="2459" t="s">
        <v>1669</v>
      </c>
      <c r="B1375" s="2459" t="s">
        <v>1648</v>
      </c>
      <c r="C1375" s="2459" t="s">
        <v>1674</v>
      </c>
      <c r="D1375" s="2460" t="s">
        <v>1671</v>
      </c>
      <c r="E1375" s="2461" t="s">
        <v>213</v>
      </c>
      <c r="F1375" s="2461" t="s">
        <v>1450</v>
      </c>
      <c r="G1375" s="2461" t="s">
        <v>1439</v>
      </c>
      <c r="H1375" s="2461" t="s">
        <v>1440</v>
      </c>
      <c r="I1375" s="2462">
        <v>6.8069640378090983E-5</v>
      </c>
      <c r="J1375" s="2462">
        <v>3.3965426105229485E-2</v>
      </c>
    </row>
    <row r="1376" spans="1:10" outlineLevel="2">
      <c r="A1376" s="2459" t="s">
        <v>1669</v>
      </c>
      <c r="B1376" s="2459" t="s">
        <v>1648</v>
      </c>
      <c r="C1376" s="2459" t="s">
        <v>1674</v>
      </c>
      <c r="D1376" s="2460" t="s">
        <v>1671</v>
      </c>
      <c r="E1376" s="2461" t="s">
        <v>213</v>
      </c>
      <c r="F1376" s="2461" t="s">
        <v>1451</v>
      </c>
      <c r="G1376" s="2461" t="s">
        <v>1418</v>
      </c>
      <c r="H1376" s="2461" t="s">
        <v>1452</v>
      </c>
      <c r="I1376" s="2462">
        <v>5.7004733280775495E-4</v>
      </c>
      <c r="J1376" s="2462">
        <v>0.34665858864813148</v>
      </c>
    </row>
    <row r="1377" spans="1:10" outlineLevel="2">
      <c r="A1377" s="2459" t="s">
        <v>1669</v>
      </c>
      <c r="B1377" s="2459" t="s">
        <v>1648</v>
      </c>
      <c r="C1377" s="2459" t="s">
        <v>1674</v>
      </c>
      <c r="D1377" s="2460" t="s">
        <v>1671</v>
      </c>
      <c r="E1377" s="2461" t="s">
        <v>213</v>
      </c>
      <c r="F1377" s="2461" t="s">
        <v>1453</v>
      </c>
      <c r="G1377" s="2461" t="s">
        <v>1421</v>
      </c>
      <c r="H1377" s="2461" t="s">
        <v>1454</v>
      </c>
      <c r="I1377" s="2462">
        <v>5.6506139863546695E-3</v>
      </c>
      <c r="J1377" s="2462">
        <v>2.7976730057600085</v>
      </c>
    </row>
    <row r="1378" spans="1:10" outlineLevel="2">
      <c r="A1378" s="2459" t="s">
        <v>1669</v>
      </c>
      <c r="B1378" s="2459" t="s">
        <v>1648</v>
      </c>
      <c r="C1378" s="2459" t="s">
        <v>1674</v>
      </c>
      <c r="D1378" s="2460" t="s">
        <v>1671</v>
      </c>
      <c r="E1378" s="2461" t="s">
        <v>213</v>
      </c>
      <c r="F1378" s="2461" t="s">
        <v>1455</v>
      </c>
      <c r="G1378" s="2461" t="s">
        <v>1421</v>
      </c>
      <c r="H1378" s="2461" t="s">
        <v>1454</v>
      </c>
      <c r="I1378" s="2462">
        <v>3.6059912237842197E-2</v>
      </c>
      <c r="J1378" s="2462">
        <v>18.663598617834204</v>
      </c>
    </row>
    <row r="1379" spans="1:10" outlineLevel="2">
      <c r="A1379" s="2459" t="s">
        <v>1669</v>
      </c>
      <c r="B1379" s="2459" t="s">
        <v>1648</v>
      </c>
      <c r="C1379" s="2459" t="s">
        <v>1674</v>
      </c>
      <c r="D1379" s="2460" t="s">
        <v>1671</v>
      </c>
      <c r="E1379" s="2461" t="s">
        <v>213</v>
      </c>
      <c r="F1379" s="2461" t="s">
        <v>1456</v>
      </c>
      <c r="G1379" s="2461" t="s">
        <v>1421</v>
      </c>
      <c r="H1379" s="2461" t="s">
        <v>1454</v>
      </c>
      <c r="I1379" s="2462">
        <v>1.4463594210747889E-5</v>
      </c>
      <c r="J1379" s="2462">
        <v>6.4731234452945147E-3</v>
      </c>
    </row>
    <row r="1380" spans="1:10" outlineLevel="2">
      <c r="A1380" s="2459" t="s">
        <v>1669</v>
      </c>
      <c r="B1380" s="2459" t="s">
        <v>1648</v>
      </c>
      <c r="C1380" s="2459" t="s">
        <v>1674</v>
      </c>
      <c r="D1380" s="2460" t="s">
        <v>1671</v>
      </c>
      <c r="E1380" s="2461" t="s">
        <v>213</v>
      </c>
      <c r="F1380" s="2461" t="s">
        <v>1457</v>
      </c>
      <c r="G1380" s="2461" t="s">
        <v>1421</v>
      </c>
      <c r="H1380" s="2461" t="s">
        <v>1454</v>
      </c>
      <c r="I1380" s="2462">
        <v>2.5229045133807934E-4</v>
      </c>
      <c r="J1380" s="2462">
        <v>0.11291162690784788</v>
      </c>
    </row>
    <row r="1381" spans="1:10" outlineLevel="2">
      <c r="A1381" s="2459" t="s">
        <v>1669</v>
      </c>
      <c r="B1381" s="2459" t="s">
        <v>1648</v>
      </c>
      <c r="C1381" s="2459" t="s">
        <v>1674</v>
      </c>
      <c r="D1381" s="2460" t="s">
        <v>1671</v>
      </c>
      <c r="E1381" s="2461" t="s">
        <v>213</v>
      </c>
      <c r="F1381" s="2461" t="s">
        <v>1458</v>
      </c>
      <c r="G1381" s="2461" t="s">
        <v>1459</v>
      </c>
      <c r="H1381" s="2461" t="s">
        <v>1460</v>
      </c>
      <c r="I1381" s="2462">
        <v>6.942149173662219E-4</v>
      </c>
      <c r="J1381" s="2462">
        <v>0.40079010211338512</v>
      </c>
    </row>
    <row r="1382" spans="1:10" outlineLevel="2">
      <c r="A1382" s="2459" t="s">
        <v>1669</v>
      </c>
      <c r="B1382" s="2459" t="s">
        <v>1648</v>
      </c>
      <c r="C1382" s="2459" t="s">
        <v>1674</v>
      </c>
      <c r="D1382" s="2460" t="s">
        <v>1671</v>
      </c>
      <c r="E1382" s="2461" t="s">
        <v>213</v>
      </c>
      <c r="F1382" s="2461" t="s">
        <v>1461</v>
      </c>
      <c r="G1382" s="2461" t="s">
        <v>1426</v>
      </c>
      <c r="H1382" s="2461" t="s">
        <v>1427</v>
      </c>
      <c r="I1382" s="2462">
        <v>0.31710896842308584</v>
      </c>
      <c r="J1382" s="2462">
        <v>224.09096055866746</v>
      </c>
    </row>
    <row r="1383" spans="1:10" outlineLevel="2">
      <c r="A1383" s="2459" t="s">
        <v>1669</v>
      </c>
      <c r="B1383" s="2459" t="s">
        <v>1648</v>
      </c>
      <c r="C1383" s="2459" t="s">
        <v>1674</v>
      </c>
      <c r="D1383" s="2460" t="s">
        <v>1671</v>
      </c>
      <c r="E1383" s="2461" t="s">
        <v>213</v>
      </c>
      <c r="F1383" s="2461" t="s">
        <v>1462</v>
      </c>
      <c r="G1383" s="2461" t="s">
        <v>1426</v>
      </c>
      <c r="H1383" s="2461" t="s">
        <v>1427</v>
      </c>
      <c r="I1383" s="2462">
        <v>2.3367762214585386</v>
      </c>
      <c r="J1383" s="2462">
        <v>2130.3840552816077</v>
      </c>
    </row>
    <row r="1384" spans="1:10" outlineLevel="2">
      <c r="A1384" s="2459" t="s">
        <v>1669</v>
      </c>
      <c r="B1384" s="2459" t="s">
        <v>1648</v>
      </c>
      <c r="C1384" s="2459" t="s">
        <v>1674</v>
      </c>
      <c r="D1384" s="2460" t="s">
        <v>1671</v>
      </c>
      <c r="E1384" s="2461" t="s">
        <v>213</v>
      </c>
      <c r="F1384" s="2461" t="s">
        <v>1463</v>
      </c>
      <c r="G1384" s="2461" t="s">
        <v>1426</v>
      </c>
      <c r="H1384" s="2461" t="s">
        <v>1427</v>
      </c>
      <c r="I1384" s="2462">
        <v>0.27437400150531188</v>
      </c>
      <c r="J1384" s="2462">
        <v>364.3709013056897</v>
      </c>
    </row>
    <row r="1385" spans="1:10" outlineLevel="2">
      <c r="A1385" s="2459" t="s">
        <v>1669</v>
      </c>
      <c r="B1385" s="2459" t="s">
        <v>1648</v>
      </c>
      <c r="C1385" s="2459" t="s">
        <v>1674</v>
      </c>
      <c r="D1385" s="2460" t="s">
        <v>1671</v>
      </c>
      <c r="E1385" s="2461" t="s">
        <v>213</v>
      </c>
      <c r="F1385" s="2461" t="s">
        <v>1464</v>
      </c>
      <c r="G1385" s="2461" t="s">
        <v>1426</v>
      </c>
      <c r="H1385" s="2461" t="s">
        <v>1427</v>
      </c>
      <c r="I1385" s="2462">
        <v>0.31397909755584147</v>
      </c>
      <c r="J1385" s="2462">
        <v>285.73873242536877</v>
      </c>
    </row>
    <row r="1386" spans="1:10" outlineLevel="2">
      <c r="A1386" s="2459" t="s">
        <v>1669</v>
      </c>
      <c r="B1386" s="2459" t="s">
        <v>1648</v>
      </c>
      <c r="C1386" s="2459" t="s">
        <v>1674</v>
      </c>
      <c r="D1386" s="2460" t="s">
        <v>1671</v>
      </c>
      <c r="E1386" s="2461" t="s">
        <v>213</v>
      </c>
      <c r="F1386" s="2461" t="s">
        <v>1465</v>
      </c>
      <c r="G1386" s="2461" t="s">
        <v>1409</v>
      </c>
      <c r="H1386" s="2461" t="s">
        <v>1070</v>
      </c>
      <c r="I1386" s="2462">
        <v>6.5924563097345722E-3</v>
      </c>
      <c r="J1386" s="2462">
        <v>10.729877999686991</v>
      </c>
    </row>
    <row r="1387" spans="1:10" outlineLevel="2">
      <c r="A1387" s="2459" t="s">
        <v>1669</v>
      </c>
      <c r="B1387" s="2459" t="s">
        <v>1648</v>
      </c>
      <c r="C1387" s="2459" t="s">
        <v>1674</v>
      </c>
      <c r="D1387" s="2460" t="s">
        <v>1671</v>
      </c>
      <c r="E1387" s="2461" t="s">
        <v>213</v>
      </c>
      <c r="F1387" s="2461" t="s">
        <v>1466</v>
      </c>
      <c r="G1387" s="2461" t="s">
        <v>1409</v>
      </c>
      <c r="H1387" s="2461" t="s">
        <v>1070</v>
      </c>
      <c r="I1387" s="2462">
        <v>5.268020163647701E-5</v>
      </c>
      <c r="J1387" s="2462">
        <v>8.0089181250976763E-2</v>
      </c>
    </row>
    <row r="1388" spans="1:10" outlineLevel="2">
      <c r="A1388" s="2459" t="s">
        <v>1669</v>
      </c>
      <c r="B1388" s="2459" t="s">
        <v>1648</v>
      </c>
      <c r="C1388" s="2459" t="s">
        <v>1674</v>
      </c>
      <c r="D1388" s="2460" t="s">
        <v>1671</v>
      </c>
      <c r="E1388" s="2461" t="s">
        <v>213</v>
      </c>
      <c r="F1388" s="2461" t="s">
        <v>1467</v>
      </c>
      <c r="G1388" s="2461" t="s">
        <v>1409</v>
      </c>
      <c r="H1388" s="2461" t="s">
        <v>1070</v>
      </c>
      <c r="I1388" s="2462">
        <v>1.4243908239348919E-2</v>
      </c>
      <c r="J1388" s="2462">
        <v>20.157378867071841</v>
      </c>
    </row>
    <row r="1389" spans="1:10" outlineLevel="2">
      <c r="A1389" s="2459" t="s">
        <v>1669</v>
      </c>
      <c r="B1389" s="2459" t="s">
        <v>1648</v>
      </c>
      <c r="C1389" s="2459" t="s">
        <v>1674</v>
      </c>
      <c r="D1389" s="2460" t="s">
        <v>1671</v>
      </c>
      <c r="E1389" s="2461" t="s">
        <v>213</v>
      </c>
      <c r="F1389" s="2461" t="s">
        <v>1468</v>
      </c>
      <c r="G1389" s="2461" t="s">
        <v>1409</v>
      </c>
      <c r="H1389" s="2461" t="s">
        <v>1070</v>
      </c>
      <c r="I1389" s="2462">
        <v>1.1623505475275667E-2</v>
      </c>
      <c r="J1389" s="2462">
        <v>18.977832585137435</v>
      </c>
    </row>
    <row r="1390" spans="1:10" outlineLevel="2">
      <c r="A1390" s="2459" t="s">
        <v>1669</v>
      </c>
      <c r="B1390" s="2459" t="s">
        <v>1648</v>
      </c>
      <c r="C1390" s="2459" t="s">
        <v>1674</v>
      </c>
      <c r="D1390" s="2460" t="s">
        <v>1671</v>
      </c>
      <c r="E1390" s="2461" t="s">
        <v>213</v>
      </c>
      <c r="F1390" s="2461" t="s">
        <v>1469</v>
      </c>
      <c r="G1390" s="2461" t="s">
        <v>1409</v>
      </c>
      <c r="H1390" s="2461" t="s">
        <v>1070</v>
      </c>
      <c r="I1390" s="2462">
        <v>2.5993874158038548E-2</v>
      </c>
      <c r="J1390" s="2462">
        <v>37.87391362020854</v>
      </c>
    </row>
    <row r="1391" spans="1:10" outlineLevel="2">
      <c r="A1391" s="2459" t="s">
        <v>1669</v>
      </c>
      <c r="B1391" s="2459" t="s">
        <v>1648</v>
      </c>
      <c r="C1391" s="2459" t="s">
        <v>1674</v>
      </c>
      <c r="D1391" s="2460" t="s">
        <v>1671</v>
      </c>
      <c r="E1391" s="2461" t="s">
        <v>213</v>
      </c>
      <c r="F1391" s="2461" t="s">
        <v>1470</v>
      </c>
      <c r="G1391" s="2461" t="s">
        <v>1409</v>
      </c>
      <c r="H1391" s="2461" t="s">
        <v>1070</v>
      </c>
      <c r="I1391" s="2462">
        <v>1.1276782585904629E-2</v>
      </c>
      <c r="J1391" s="2462">
        <v>15.947720490746976</v>
      </c>
    </row>
    <row r="1392" spans="1:10" outlineLevel="2">
      <c r="A1392" s="2459" t="s">
        <v>1669</v>
      </c>
      <c r="B1392" s="2459" t="s">
        <v>1648</v>
      </c>
      <c r="C1392" s="2459" t="s">
        <v>1674</v>
      </c>
      <c r="D1392" s="2460" t="s">
        <v>1671</v>
      </c>
      <c r="E1392" s="2461" t="s">
        <v>213</v>
      </c>
      <c r="F1392" s="2461" t="s">
        <v>1471</v>
      </c>
      <c r="G1392" s="2461" t="s">
        <v>1409</v>
      </c>
      <c r="H1392" s="2461" t="s">
        <v>1070</v>
      </c>
      <c r="I1392" s="2462">
        <v>6.1415342102278758E-4</v>
      </c>
      <c r="J1392" s="2462">
        <v>0.83116593653038773</v>
      </c>
    </row>
    <row r="1393" spans="1:10" outlineLevel="2">
      <c r="A1393" s="2459" t="s">
        <v>1669</v>
      </c>
      <c r="B1393" s="2459" t="s">
        <v>1648</v>
      </c>
      <c r="C1393" s="2459" t="s">
        <v>1674</v>
      </c>
      <c r="D1393" s="2460" t="s">
        <v>1671</v>
      </c>
      <c r="E1393" s="2461" t="s">
        <v>213</v>
      </c>
      <c r="F1393" s="2461" t="s">
        <v>1472</v>
      </c>
      <c r="G1393" s="2461" t="s">
        <v>1409</v>
      </c>
      <c r="H1393" s="2461" t="s">
        <v>1070</v>
      </c>
      <c r="I1393" s="2462">
        <v>2.1371998643790618E-2</v>
      </c>
      <c r="J1393" s="2462">
        <v>33.373681146982101</v>
      </c>
    </row>
    <row r="1394" spans="1:10" outlineLevel="2">
      <c r="A1394" s="2459" t="s">
        <v>1669</v>
      </c>
      <c r="B1394" s="2459" t="s">
        <v>1648</v>
      </c>
      <c r="C1394" s="2459" t="s">
        <v>1674</v>
      </c>
      <c r="D1394" s="2460" t="s">
        <v>1671</v>
      </c>
      <c r="E1394" s="2461" t="s">
        <v>213</v>
      </c>
      <c r="F1394" s="2461" t="s">
        <v>1473</v>
      </c>
      <c r="G1394" s="2461" t="s">
        <v>1409</v>
      </c>
      <c r="H1394" s="2461" t="s">
        <v>1070</v>
      </c>
      <c r="I1394" s="2462">
        <v>1.0186078610260947E-2</v>
      </c>
      <c r="J1394" s="2462">
        <v>12.377699001057135</v>
      </c>
    </row>
    <row r="1395" spans="1:10" outlineLevel="2">
      <c r="A1395" s="2459" t="s">
        <v>1669</v>
      </c>
      <c r="B1395" s="2459" t="s">
        <v>1648</v>
      </c>
      <c r="C1395" s="2459" t="s">
        <v>1674</v>
      </c>
      <c r="D1395" s="2460" t="s">
        <v>1671</v>
      </c>
      <c r="E1395" s="2461" t="s">
        <v>213</v>
      </c>
      <c r="F1395" s="2461" t="s">
        <v>1474</v>
      </c>
      <c r="G1395" s="2461" t="s">
        <v>1409</v>
      </c>
      <c r="H1395" s="2461" t="s">
        <v>1070</v>
      </c>
      <c r="I1395" s="2462">
        <v>4.8148024413101273E-2</v>
      </c>
      <c r="J1395" s="2462">
        <v>69.54343444707041</v>
      </c>
    </row>
    <row r="1396" spans="1:10" outlineLevel="2">
      <c r="A1396" s="2459" t="s">
        <v>1669</v>
      </c>
      <c r="B1396" s="2459" t="s">
        <v>1648</v>
      </c>
      <c r="C1396" s="2459" t="s">
        <v>1674</v>
      </c>
      <c r="D1396" s="2460" t="s">
        <v>1671</v>
      </c>
      <c r="E1396" s="2461" t="s">
        <v>213</v>
      </c>
      <c r="F1396" s="2461" t="s">
        <v>1475</v>
      </c>
      <c r="G1396" s="2461" t="s">
        <v>1409</v>
      </c>
      <c r="H1396" s="2461" t="s">
        <v>1070</v>
      </c>
      <c r="I1396" s="2462">
        <v>2.4407141057538075E-2</v>
      </c>
      <c r="J1396" s="2462">
        <v>33.396683098985676</v>
      </c>
    </row>
    <row r="1397" spans="1:10" outlineLevel="2">
      <c r="A1397" s="2459" t="s">
        <v>1669</v>
      </c>
      <c r="B1397" s="2459" t="s">
        <v>1648</v>
      </c>
      <c r="C1397" s="2459" t="s">
        <v>1674</v>
      </c>
      <c r="D1397" s="2460" t="s">
        <v>1671</v>
      </c>
      <c r="E1397" s="2461" t="s">
        <v>213</v>
      </c>
      <c r="F1397" s="2461" t="s">
        <v>1476</v>
      </c>
      <c r="G1397" s="2461" t="s">
        <v>1409</v>
      </c>
      <c r="H1397" s="2461" t="s">
        <v>1070</v>
      </c>
      <c r="I1397" s="2462">
        <v>1.9287937157438006E-3</v>
      </c>
      <c r="J1397" s="2462">
        <v>2.6900598827614388</v>
      </c>
    </row>
    <row r="1398" spans="1:10" outlineLevel="2">
      <c r="A1398" s="2459" t="s">
        <v>1669</v>
      </c>
      <c r="B1398" s="2459" t="s">
        <v>1648</v>
      </c>
      <c r="C1398" s="2459" t="s">
        <v>1674</v>
      </c>
      <c r="D1398" s="2460" t="s">
        <v>1671</v>
      </c>
      <c r="E1398" s="2461" t="s">
        <v>213</v>
      </c>
      <c r="F1398" s="2461" t="s">
        <v>1477</v>
      </c>
      <c r="G1398" s="2461" t="s">
        <v>1409</v>
      </c>
      <c r="H1398" s="2461" t="s">
        <v>1070</v>
      </c>
      <c r="I1398" s="2462">
        <v>3.1678408458052517E-3</v>
      </c>
      <c r="J1398" s="2462">
        <v>4.5172848023061567</v>
      </c>
    </row>
    <row r="1399" spans="1:10" outlineLevel="2">
      <c r="A1399" s="2459" t="s">
        <v>1669</v>
      </c>
      <c r="B1399" s="2459" t="s">
        <v>1648</v>
      </c>
      <c r="C1399" s="2459" t="s">
        <v>1674</v>
      </c>
      <c r="D1399" s="2460" t="s">
        <v>1671</v>
      </c>
      <c r="E1399" s="2461" t="s">
        <v>213</v>
      </c>
      <c r="F1399" s="2461" t="s">
        <v>1478</v>
      </c>
      <c r="G1399" s="2461" t="s">
        <v>1409</v>
      </c>
      <c r="H1399" s="2461" t="s">
        <v>1070</v>
      </c>
      <c r="I1399" s="2462">
        <v>1.3865916487939447E-3</v>
      </c>
      <c r="J1399" s="2462">
        <v>4.0365631538320494</v>
      </c>
    </row>
    <row r="1400" spans="1:10" outlineLevel="2">
      <c r="A1400" s="2459" t="s">
        <v>1669</v>
      </c>
      <c r="B1400" s="2459" t="s">
        <v>1648</v>
      </c>
      <c r="C1400" s="2459" t="s">
        <v>1674</v>
      </c>
      <c r="D1400" s="2460" t="s">
        <v>1671</v>
      </c>
      <c r="E1400" s="2461" t="s">
        <v>213</v>
      </c>
      <c r="F1400" s="2461" t="s">
        <v>1479</v>
      </c>
      <c r="G1400" s="2461" t="s">
        <v>1409</v>
      </c>
      <c r="H1400" s="2461" t="s">
        <v>1070</v>
      </c>
      <c r="I1400" s="2462">
        <v>1.1162212070494068E-3</v>
      </c>
      <c r="J1400" s="2462">
        <v>9.5740307428687412</v>
      </c>
    </row>
    <row r="1401" spans="1:10" outlineLevel="2">
      <c r="A1401" s="2459" t="s">
        <v>1669</v>
      </c>
      <c r="B1401" s="2459" t="s">
        <v>1648</v>
      </c>
      <c r="C1401" s="2459" t="s">
        <v>1674</v>
      </c>
      <c r="D1401" s="2460" t="s">
        <v>1671</v>
      </c>
      <c r="E1401" s="2461" t="s">
        <v>213</v>
      </c>
      <c r="F1401" s="2461" t="s">
        <v>1480</v>
      </c>
      <c r="G1401" s="2461" t="s">
        <v>1409</v>
      </c>
      <c r="H1401" s="2461" t="s">
        <v>1070</v>
      </c>
      <c r="I1401" s="2462">
        <v>1.5190891030421698E-2</v>
      </c>
      <c r="J1401" s="2462">
        <v>22.828589231465923</v>
      </c>
    </row>
    <row r="1402" spans="1:10" outlineLevel="2">
      <c r="A1402" s="2459" t="s">
        <v>1669</v>
      </c>
      <c r="B1402" s="2459" t="s">
        <v>1648</v>
      </c>
      <c r="C1402" s="2459" t="s">
        <v>1674</v>
      </c>
      <c r="D1402" s="2460" t="s">
        <v>1671</v>
      </c>
      <c r="E1402" s="2461" t="s">
        <v>213</v>
      </c>
      <c r="F1402" s="2461" t="s">
        <v>1481</v>
      </c>
      <c r="G1402" s="2461" t="s">
        <v>1409</v>
      </c>
      <c r="H1402" s="2461" t="s">
        <v>1070</v>
      </c>
      <c r="I1402" s="2462">
        <v>1.0842313308873692E-2</v>
      </c>
      <c r="J1402" s="2462">
        <v>15.910616453359292</v>
      </c>
    </row>
    <row r="1403" spans="1:10" outlineLevel="2">
      <c r="A1403" s="2459" t="s">
        <v>1669</v>
      </c>
      <c r="B1403" s="2459" t="s">
        <v>1648</v>
      </c>
      <c r="C1403" s="2459" t="s">
        <v>1674</v>
      </c>
      <c r="D1403" s="2460" t="s">
        <v>1671</v>
      </c>
      <c r="E1403" s="2461" t="s">
        <v>213</v>
      </c>
      <c r="F1403" s="2461" t="s">
        <v>1482</v>
      </c>
      <c r="G1403" s="2461" t="s">
        <v>1409</v>
      </c>
      <c r="H1403" s="2461" t="s">
        <v>1070</v>
      </c>
      <c r="I1403" s="2462">
        <v>4.2595259464065583E-3</v>
      </c>
      <c r="J1403" s="2462">
        <v>5.2133424587466095</v>
      </c>
    </row>
    <row r="1404" spans="1:10" outlineLevel="2">
      <c r="A1404" s="2459" t="s">
        <v>1669</v>
      </c>
      <c r="B1404" s="2459" t="s">
        <v>1648</v>
      </c>
      <c r="C1404" s="2459" t="s">
        <v>1674</v>
      </c>
      <c r="D1404" s="2460" t="s">
        <v>1671</v>
      </c>
      <c r="E1404" s="2461" t="s">
        <v>213</v>
      </c>
      <c r="F1404" s="2461" t="s">
        <v>1483</v>
      </c>
      <c r="G1404" s="2461" t="s">
        <v>1409</v>
      </c>
      <c r="H1404" s="2461" t="s">
        <v>1070</v>
      </c>
      <c r="I1404" s="2462">
        <v>3.5435959380392423E-3</v>
      </c>
      <c r="J1404" s="2462">
        <v>3.8094007163394457</v>
      </c>
    </row>
    <row r="1405" spans="1:10" outlineLevel="2">
      <c r="A1405" s="2459" t="s">
        <v>1669</v>
      </c>
      <c r="B1405" s="2459" t="s">
        <v>1648</v>
      </c>
      <c r="C1405" s="2459" t="s">
        <v>1674</v>
      </c>
      <c r="D1405" s="2460" t="s">
        <v>1671</v>
      </c>
      <c r="E1405" s="2461" t="s">
        <v>213</v>
      </c>
      <c r="F1405" s="2461" t="s">
        <v>1484</v>
      </c>
      <c r="G1405" s="2461" t="s">
        <v>1412</v>
      </c>
      <c r="H1405" s="2461" t="s">
        <v>1116</v>
      </c>
      <c r="I1405" s="2462">
        <v>3.4629720940720997E-2</v>
      </c>
      <c r="J1405" s="2462">
        <v>69.271757915091356</v>
      </c>
    </row>
    <row r="1406" spans="1:10" outlineLevel="2">
      <c r="A1406" s="2459" t="s">
        <v>1669</v>
      </c>
      <c r="B1406" s="2459" t="s">
        <v>1648</v>
      </c>
      <c r="C1406" s="2459" t="s">
        <v>1674</v>
      </c>
      <c r="D1406" s="2460" t="s">
        <v>1671</v>
      </c>
      <c r="E1406" s="2461" t="s">
        <v>213</v>
      </c>
      <c r="F1406" s="2461" t="s">
        <v>1485</v>
      </c>
      <c r="G1406" s="2461" t="s">
        <v>1412</v>
      </c>
      <c r="H1406" s="2461" t="s">
        <v>1116</v>
      </c>
      <c r="I1406" s="2462">
        <v>2.4884773351828992E-2</v>
      </c>
      <c r="J1406" s="2462">
        <v>262.15891935986946</v>
      </c>
    </row>
    <row r="1407" spans="1:10" outlineLevel="2">
      <c r="A1407" s="2459" t="s">
        <v>1669</v>
      </c>
      <c r="B1407" s="2459" t="s">
        <v>1648</v>
      </c>
      <c r="C1407" s="2459" t="s">
        <v>1674</v>
      </c>
      <c r="D1407" s="2460" t="s">
        <v>1671</v>
      </c>
      <c r="E1407" s="2461" t="s">
        <v>213</v>
      </c>
      <c r="F1407" s="2461" t="s">
        <v>1486</v>
      </c>
      <c r="G1407" s="2461" t="s">
        <v>1412</v>
      </c>
      <c r="H1407" s="2461" t="s">
        <v>1116</v>
      </c>
      <c r="I1407" s="2462">
        <v>2.0651248261339895E-2</v>
      </c>
      <c r="J1407" s="2462">
        <v>56.333223912550991</v>
      </c>
    </row>
    <row r="1408" spans="1:10" outlineLevel="2">
      <c r="A1408" s="2459" t="s">
        <v>1669</v>
      </c>
      <c r="B1408" s="2459" t="s">
        <v>1648</v>
      </c>
      <c r="C1408" s="2459" t="s">
        <v>1674</v>
      </c>
      <c r="D1408" s="2460" t="s">
        <v>1671</v>
      </c>
      <c r="E1408" s="2461" t="s">
        <v>213</v>
      </c>
      <c r="F1408" s="2461" t="s">
        <v>1487</v>
      </c>
      <c r="G1408" s="2461" t="s">
        <v>1412</v>
      </c>
      <c r="H1408" s="2461" t="s">
        <v>1116</v>
      </c>
      <c r="I1408" s="2462">
        <v>7.9437032379930675E-2</v>
      </c>
      <c r="J1408" s="2462">
        <v>105.80928725050082</v>
      </c>
    </row>
    <row r="1409" spans="1:10" outlineLevel="2">
      <c r="A1409" s="2459" t="s">
        <v>1669</v>
      </c>
      <c r="B1409" s="2459" t="s">
        <v>1648</v>
      </c>
      <c r="C1409" s="2459" t="s">
        <v>1674</v>
      </c>
      <c r="D1409" s="2460" t="s">
        <v>1671</v>
      </c>
      <c r="E1409" s="2461" t="s">
        <v>213</v>
      </c>
      <c r="F1409" s="2461" t="s">
        <v>1488</v>
      </c>
      <c r="G1409" s="2461" t="s">
        <v>1412</v>
      </c>
      <c r="H1409" s="2461" t="s">
        <v>1116</v>
      </c>
      <c r="I1409" s="2462">
        <v>2.2406555743135995E-3</v>
      </c>
      <c r="J1409" s="2462">
        <v>4.8549822487601988</v>
      </c>
    </row>
    <row r="1410" spans="1:10" outlineLevel="2">
      <c r="A1410" s="2459" t="s">
        <v>1669</v>
      </c>
      <c r="B1410" s="2459" t="s">
        <v>1648</v>
      </c>
      <c r="C1410" s="2459" t="s">
        <v>1674</v>
      </c>
      <c r="D1410" s="2460" t="s">
        <v>1671</v>
      </c>
      <c r="E1410" s="2461" t="s">
        <v>213</v>
      </c>
      <c r="F1410" s="2461" t="s">
        <v>1489</v>
      </c>
      <c r="G1410" s="2461" t="s">
        <v>1412</v>
      </c>
      <c r="H1410" s="2461" t="s">
        <v>1116</v>
      </c>
      <c r="I1410" s="2462">
        <v>1.9993674837284416E-3</v>
      </c>
      <c r="J1410" s="2462">
        <v>2.9616861056685782</v>
      </c>
    </row>
    <row r="1411" spans="1:10" outlineLevel="2">
      <c r="A1411" s="2459" t="s">
        <v>1669</v>
      </c>
      <c r="B1411" s="2459" t="s">
        <v>1648</v>
      </c>
      <c r="C1411" s="2459" t="s">
        <v>1674</v>
      </c>
      <c r="D1411" s="2460" t="s">
        <v>1671</v>
      </c>
      <c r="E1411" s="2461" t="s">
        <v>213</v>
      </c>
      <c r="F1411" s="2461" t="s">
        <v>1490</v>
      </c>
      <c r="G1411" s="2461" t="s">
        <v>1412</v>
      </c>
      <c r="H1411" s="2461" t="s">
        <v>1116</v>
      </c>
      <c r="I1411" s="2462">
        <v>1.6316592633791409E-3</v>
      </c>
      <c r="J1411" s="2462">
        <v>23.152702280958412</v>
      </c>
    </row>
    <row r="1412" spans="1:10" outlineLevel="2">
      <c r="A1412" s="2459" t="s">
        <v>1669</v>
      </c>
      <c r="B1412" s="2459" t="s">
        <v>1648</v>
      </c>
      <c r="C1412" s="2459" t="s">
        <v>1674</v>
      </c>
      <c r="D1412" s="2460" t="s">
        <v>1671</v>
      </c>
      <c r="E1412" s="2461" t="s">
        <v>213</v>
      </c>
      <c r="F1412" s="2461" t="s">
        <v>1491</v>
      </c>
      <c r="G1412" s="2461" t="s">
        <v>1439</v>
      </c>
      <c r="H1412" s="2461" t="s">
        <v>1440</v>
      </c>
      <c r="I1412" s="2462">
        <v>0.49523500475217785</v>
      </c>
      <c r="J1412" s="2462">
        <v>528.7424834099935</v>
      </c>
    </row>
    <row r="1413" spans="1:10" outlineLevel="2">
      <c r="A1413" s="2459" t="s">
        <v>1669</v>
      </c>
      <c r="B1413" s="2459" t="s">
        <v>1648</v>
      </c>
      <c r="C1413" s="2459" t="s">
        <v>1674</v>
      </c>
      <c r="D1413" s="2460" t="s">
        <v>1671</v>
      </c>
      <c r="E1413" s="2461" t="s">
        <v>213</v>
      </c>
      <c r="F1413" s="2461" t="s">
        <v>1492</v>
      </c>
      <c r="G1413" s="2461" t="s">
        <v>1439</v>
      </c>
      <c r="H1413" s="2461" t="s">
        <v>1440</v>
      </c>
      <c r="I1413" s="2462">
        <v>0.14711271440790183</v>
      </c>
      <c r="J1413" s="2462">
        <v>199.26198243566347</v>
      </c>
    </row>
    <row r="1414" spans="1:10" outlineLevel="2">
      <c r="A1414" s="2459" t="s">
        <v>1669</v>
      </c>
      <c r="B1414" s="2459" t="s">
        <v>1648</v>
      </c>
      <c r="C1414" s="2459" t="s">
        <v>1674</v>
      </c>
      <c r="D1414" s="2460" t="s">
        <v>1671</v>
      </c>
      <c r="E1414" s="2461" t="s">
        <v>213</v>
      </c>
      <c r="F1414" s="2461" t="s">
        <v>1493</v>
      </c>
      <c r="G1414" s="2461" t="s">
        <v>1439</v>
      </c>
      <c r="H1414" s="2461" t="s">
        <v>1440</v>
      </c>
      <c r="I1414" s="2462">
        <v>4.2632148404671069E-2</v>
      </c>
      <c r="J1414" s="2462">
        <v>45.4991990536044</v>
      </c>
    </row>
    <row r="1415" spans="1:10" outlineLevel="2">
      <c r="A1415" s="2459" t="s">
        <v>1669</v>
      </c>
      <c r="B1415" s="2459" t="s">
        <v>1648</v>
      </c>
      <c r="C1415" s="2459" t="s">
        <v>1674</v>
      </c>
      <c r="D1415" s="2460" t="s">
        <v>1671</v>
      </c>
      <c r="E1415" s="2461" t="s">
        <v>213</v>
      </c>
      <c r="F1415" s="2461" t="s">
        <v>1494</v>
      </c>
      <c r="G1415" s="2461" t="s">
        <v>1439</v>
      </c>
      <c r="H1415" s="2461" t="s">
        <v>1440</v>
      </c>
      <c r="I1415" s="2462">
        <v>9.3750735671405655E-2</v>
      </c>
      <c r="J1415" s="2462">
        <v>118.19484074176515</v>
      </c>
    </row>
    <row r="1416" spans="1:10" outlineLevel="2">
      <c r="A1416" s="2459" t="s">
        <v>1669</v>
      </c>
      <c r="B1416" s="2459" t="s">
        <v>1648</v>
      </c>
      <c r="C1416" s="2459" t="s">
        <v>1674</v>
      </c>
      <c r="D1416" s="2460" t="s">
        <v>1671</v>
      </c>
      <c r="E1416" s="2461" t="s">
        <v>213</v>
      </c>
      <c r="F1416" s="2461" t="s">
        <v>1495</v>
      </c>
      <c r="G1416" s="2461" t="s">
        <v>1439</v>
      </c>
      <c r="H1416" s="2461" t="s">
        <v>1440</v>
      </c>
      <c r="I1416" s="2462">
        <v>2.3224121203362369E-3</v>
      </c>
      <c r="J1416" s="2462">
        <v>2.9391315554369877</v>
      </c>
    </row>
    <row r="1417" spans="1:10" outlineLevel="2">
      <c r="A1417" s="2459" t="s">
        <v>1669</v>
      </c>
      <c r="B1417" s="2459" t="s">
        <v>1648</v>
      </c>
      <c r="C1417" s="2459" t="s">
        <v>1674</v>
      </c>
      <c r="D1417" s="2460" t="s">
        <v>1671</v>
      </c>
      <c r="E1417" s="2461" t="s">
        <v>213</v>
      </c>
      <c r="F1417" s="2461" t="s">
        <v>1496</v>
      </c>
      <c r="G1417" s="2461" t="s">
        <v>1439</v>
      </c>
      <c r="H1417" s="2461" t="s">
        <v>1440</v>
      </c>
      <c r="I1417" s="2462">
        <v>3.2660928780830962E-3</v>
      </c>
      <c r="J1417" s="2462">
        <v>4.6154042171912151</v>
      </c>
    </row>
    <row r="1418" spans="1:10" outlineLevel="2">
      <c r="A1418" s="2459" t="s">
        <v>1669</v>
      </c>
      <c r="B1418" s="2459" t="s">
        <v>1648</v>
      </c>
      <c r="C1418" s="2459" t="s">
        <v>1674</v>
      </c>
      <c r="D1418" s="2460" t="s">
        <v>1671</v>
      </c>
      <c r="E1418" s="2461" t="s">
        <v>213</v>
      </c>
      <c r="F1418" s="2461" t="s">
        <v>1497</v>
      </c>
      <c r="G1418" s="2461" t="s">
        <v>1439</v>
      </c>
      <c r="H1418" s="2461" t="s">
        <v>1440</v>
      </c>
      <c r="I1418" s="2462">
        <v>4.4231008060892016E-3</v>
      </c>
      <c r="J1418" s="2462">
        <v>5.6071991130755263</v>
      </c>
    </row>
    <row r="1419" spans="1:10" outlineLevel="2">
      <c r="A1419" s="2459" t="s">
        <v>1669</v>
      </c>
      <c r="B1419" s="2459" t="s">
        <v>1648</v>
      </c>
      <c r="C1419" s="2459" t="s">
        <v>1674</v>
      </c>
      <c r="D1419" s="2460" t="s">
        <v>1671</v>
      </c>
      <c r="E1419" s="2461" t="s">
        <v>213</v>
      </c>
      <c r="F1419" s="2461" t="s">
        <v>1498</v>
      </c>
      <c r="G1419" s="2461" t="s">
        <v>1439</v>
      </c>
      <c r="H1419" s="2461" t="s">
        <v>1440</v>
      </c>
      <c r="I1419" s="2462">
        <v>0.11161997800232058</v>
      </c>
      <c r="J1419" s="2462">
        <v>189.39127750389153</v>
      </c>
    </row>
    <row r="1420" spans="1:10" outlineLevel="2">
      <c r="A1420" s="2459" t="s">
        <v>1669</v>
      </c>
      <c r="B1420" s="2459" t="s">
        <v>1648</v>
      </c>
      <c r="C1420" s="2459" t="s">
        <v>1674</v>
      </c>
      <c r="D1420" s="2460" t="s">
        <v>1671</v>
      </c>
      <c r="E1420" s="2461" t="s">
        <v>213</v>
      </c>
      <c r="F1420" s="2461" t="s">
        <v>1499</v>
      </c>
      <c r="G1420" s="2461" t="s">
        <v>1439</v>
      </c>
      <c r="H1420" s="2461" t="s">
        <v>1440</v>
      </c>
      <c r="I1420" s="2462">
        <v>0.11280632286409824</v>
      </c>
      <c r="J1420" s="2462">
        <v>59.840366537819058</v>
      </c>
    </row>
    <row r="1421" spans="1:10" outlineLevel="2">
      <c r="A1421" s="2459" t="s">
        <v>1669</v>
      </c>
      <c r="B1421" s="2459" t="s">
        <v>1648</v>
      </c>
      <c r="C1421" s="2459" t="s">
        <v>1674</v>
      </c>
      <c r="D1421" s="2460" t="s">
        <v>1671</v>
      </c>
      <c r="E1421" s="2461" t="s">
        <v>213</v>
      </c>
      <c r="F1421" s="2461" t="s">
        <v>1500</v>
      </c>
      <c r="G1421" s="2461" t="s">
        <v>1439</v>
      </c>
      <c r="H1421" s="2461" t="s">
        <v>1440</v>
      </c>
      <c r="I1421" s="2462">
        <v>0.14126346468672663</v>
      </c>
      <c r="J1421" s="2462">
        <v>74.927299663457916</v>
      </c>
    </row>
    <row r="1422" spans="1:10" outlineLevel="2">
      <c r="A1422" s="2459" t="s">
        <v>1669</v>
      </c>
      <c r="B1422" s="2459" t="s">
        <v>1648</v>
      </c>
      <c r="C1422" s="2459" t="s">
        <v>1674</v>
      </c>
      <c r="D1422" s="2460" t="s">
        <v>1671</v>
      </c>
      <c r="E1422" s="2461" t="s">
        <v>213</v>
      </c>
      <c r="F1422" s="2461" t="s">
        <v>1501</v>
      </c>
      <c r="G1422" s="2461" t="s">
        <v>1439</v>
      </c>
      <c r="H1422" s="2461" t="s">
        <v>1440</v>
      </c>
      <c r="I1422" s="2462">
        <v>7.3790585584410429E-2</v>
      </c>
      <c r="J1422" s="2462">
        <v>107.38922979719214</v>
      </c>
    </row>
    <row r="1423" spans="1:10" outlineLevel="2">
      <c r="A1423" s="2459" t="s">
        <v>1669</v>
      </c>
      <c r="B1423" s="2459" t="s">
        <v>1648</v>
      </c>
      <c r="C1423" s="2459" t="s">
        <v>1674</v>
      </c>
      <c r="D1423" s="2460" t="s">
        <v>1671</v>
      </c>
      <c r="E1423" s="2461" t="s">
        <v>213</v>
      </c>
      <c r="F1423" s="2461" t="s">
        <v>1502</v>
      </c>
      <c r="G1423" s="2461" t="s">
        <v>1439</v>
      </c>
      <c r="H1423" s="2461" t="s">
        <v>1440</v>
      </c>
      <c r="I1423" s="2462">
        <v>1.6800308796290117E-2</v>
      </c>
      <c r="J1423" s="2462">
        <v>25.316124453870451</v>
      </c>
    </row>
    <row r="1424" spans="1:10" outlineLevel="2">
      <c r="A1424" s="2459" t="s">
        <v>1669</v>
      </c>
      <c r="B1424" s="2459" t="s">
        <v>1648</v>
      </c>
      <c r="C1424" s="2459" t="s">
        <v>1674</v>
      </c>
      <c r="D1424" s="2460" t="s">
        <v>1671</v>
      </c>
      <c r="E1424" s="2461" t="s">
        <v>213</v>
      </c>
      <c r="F1424" s="2461" t="s">
        <v>1503</v>
      </c>
      <c r="G1424" s="2461" t="s">
        <v>1439</v>
      </c>
      <c r="H1424" s="2461" t="s">
        <v>1440</v>
      </c>
      <c r="I1424" s="2462">
        <v>2.2165297976042275E-2</v>
      </c>
      <c r="J1424" s="2462">
        <v>28.655364800038505</v>
      </c>
    </row>
    <row r="1425" spans="1:10" outlineLevel="2">
      <c r="A1425" s="2459" t="s">
        <v>1669</v>
      </c>
      <c r="B1425" s="2459" t="s">
        <v>1648</v>
      </c>
      <c r="C1425" s="2459" t="s">
        <v>1674</v>
      </c>
      <c r="D1425" s="2460" t="s">
        <v>1671</v>
      </c>
      <c r="E1425" s="2461" t="s">
        <v>213</v>
      </c>
      <c r="F1425" s="2461" t="s">
        <v>1504</v>
      </c>
      <c r="G1425" s="2461" t="s">
        <v>1439</v>
      </c>
      <c r="H1425" s="2461" t="s">
        <v>1440</v>
      </c>
      <c r="I1425" s="2462">
        <v>1.1310207429138323E-2</v>
      </c>
      <c r="J1425" s="2462">
        <v>13.605396483360343</v>
      </c>
    </row>
    <row r="1426" spans="1:10" outlineLevel="2">
      <c r="A1426" s="2459" t="s">
        <v>1669</v>
      </c>
      <c r="B1426" s="2459" t="s">
        <v>1648</v>
      </c>
      <c r="C1426" s="2459" t="s">
        <v>1674</v>
      </c>
      <c r="D1426" s="2460" t="s">
        <v>1671</v>
      </c>
      <c r="E1426" s="2461" t="s">
        <v>213</v>
      </c>
      <c r="F1426" s="2461" t="s">
        <v>1505</v>
      </c>
      <c r="G1426" s="2461" t="s">
        <v>1439</v>
      </c>
      <c r="H1426" s="2461" t="s">
        <v>1440</v>
      </c>
      <c r="I1426" s="2462">
        <v>0.98685604944783722</v>
      </c>
      <c r="J1426" s="2462">
        <v>1439.4655031573468</v>
      </c>
    </row>
    <row r="1427" spans="1:10" outlineLevel="2">
      <c r="A1427" s="2459" t="s">
        <v>1669</v>
      </c>
      <c r="B1427" s="2459" t="s">
        <v>1648</v>
      </c>
      <c r="C1427" s="2459" t="s">
        <v>1674</v>
      </c>
      <c r="D1427" s="2460" t="s">
        <v>1671</v>
      </c>
      <c r="E1427" s="2461" t="s">
        <v>213</v>
      </c>
      <c r="F1427" s="2461" t="s">
        <v>1506</v>
      </c>
      <c r="G1427" s="2461" t="s">
        <v>1439</v>
      </c>
      <c r="H1427" s="2461" t="s">
        <v>1440</v>
      </c>
      <c r="I1427" s="2462">
        <v>0.22826551227639499</v>
      </c>
      <c r="J1427" s="2462">
        <v>344.04723881511484</v>
      </c>
    </row>
    <row r="1428" spans="1:10" outlineLevel="2">
      <c r="A1428" s="2459" t="s">
        <v>1669</v>
      </c>
      <c r="B1428" s="2459" t="s">
        <v>1648</v>
      </c>
      <c r="C1428" s="2459" t="s">
        <v>1674</v>
      </c>
      <c r="D1428" s="2460" t="s">
        <v>1671</v>
      </c>
      <c r="E1428" s="2461" t="s">
        <v>213</v>
      </c>
      <c r="F1428" s="2461" t="s">
        <v>1507</v>
      </c>
      <c r="G1428" s="2461" t="s">
        <v>1439</v>
      </c>
      <c r="H1428" s="2461" t="s">
        <v>1440</v>
      </c>
      <c r="I1428" s="2462">
        <v>2.5542403868252701E-2</v>
      </c>
      <c r="J1428" s="2462">
        <v>57.446895402396073</v>
      </c>
    </row>
    <row r="1429" spans="1:10" outlineLevel="2">
      <c r="A1429" s="2459" t="s">
        <v>1669</v>
      </c>
      <c r="B1429" s="2459" t="s">
        <v>1648</v>
      </c>
      <c r="C1429" s="2459" t="s">
        <v>1674</v>
      </c>
      <c r="D1429" s="2460" t="s">
        <v>1671</v>
      </c>
      <c r="E1429" s="2461" t="s">
        <v>213</v>
      </c>
      <c r="F1429" s="2461" t="s">
        <v>1508</v>
      </c>
      <c r="G1429" s="2461" t="s">
        <v>1439</v>
      </c>
      <c r="H1429" s="2461" t="s">
        <v>1440</v>
      </c>
      <c r="I1429" s="2462">
        <v>0.70306874540856934</v>
      </c>
      <c r="J1429" s="2462">
        <v>1110.6065742785026</v>
      </c>
    </row>
    <row r="1430" spans="1:10" outlineLevel="2">
      <c r="A1430" s="2459" t="s">
        <v>1669</v>
      </c>
      <c r="B1430" s="2459" t="s">
        <v>1648</v>
      </c>
      <c r="C1430" s="2459" t="s">
        <v>1674</v>
      </c>
      <c r="D1430" s="2460" t="s">
        <v>1671</v>
      </c>
      <c r="E1430" s="2461" t="s">
        <v>213</v>
      </c>
      <c r="F1430" s="2461" t="s">
        <v>1509</v>
      </c>
      <c r="G1430" s="2461" t="s">
        <v>1439</v>
      </c>
      <c r="H1430" s="2461" t="s">
        <v>1440</v>
      </c>
      <c r="I1430" s="2462">
        <v>4.4927320507213597E-2</v>
      </c>
      <c r="J1430" s="2462">
        <v>51.167854345117981</v>
      </c>
    </row>
    <row r="1431" spans="1:10" outlineLevel="2">
      <c r="A1431" s="2459" t="s">
        <v>1669</v>
      </c>
      <c r="B1431" s="2459" t="s">
        <v>1648</v>
      </c>
      <c r="C1431" s="2459" t="s">
        <v>1674</v>
      </c>
      <c r="D1431" s="2460" t="s">
        <v>1671</v>
      </c>
      <c r="E1431" s="2461" t="s">
        <v>213</v>
      </c>
      <c r="F1431" s="2461" t="s">
        <v>1510</v>
      </c>
      <c r="G1431" s="2461" t="s">
        <v>1439</v>
      </c>
      <c r="H1431" s="2461" t="s">
        <v>1440</v>
      </c>
      <c r="I1431" s="2462">
        <v>2.950366807338644E-2</v>
      </c>
      <c r="J1431" s="2462">
        <v>34.127089971253675</v>
      </c>
    </row>
    <row r="1432" spans="1:10" outlineLevel="2">
      <c r="A1432" s="2459" t="s">
        <v>1669</v>
      </c>
      <c r="B1432" s="2459" t="s">
        <v>1648</v>
      </c>
      <c r="C1432" s="2459" t="s">
        <v>1674</v>
      </c>
      <c r="D1432" s="2460" t="s">
        <v>1671</v>
      </c>
      <c r="E1432" s="2461" t="s">
        <v>213</v>
      </c>
      <c r="F1432" s="2461" t="s">
        <v>1511</v>
      </c>
      <c r="G1432" s="2461" t="s">
        <v>1418</v>
      </c>
      <c r="H1432" s="2461" t="s">
        <v>1452</v>
      </c>
      <c r="I1432" s="2462">
        <v>5.7284861229447254E-4</v>
      </c>
      <c r="J1432" s="2462">
        <v>0.84327498378599186</v>
      </c>
    </row>
    <row r="1433" spans="1:10" outlineLevel="2">
      <c r="A1433" s="2459" t="s">
        <v>1669</v>
      </c>
      <c r="B1433" s="2459" t="s">
        <v>1648</v>
      </c>
      <c r="C1433" s="2459" t="s">
        <v>1674</v>
      </c>
      <c r="D1433" s="2460" t="s">
        <v>1671</v>
      </c>
      <c r="E1433" s="2461" t="s">
        <v>213</v>
      </c>
      <c r="F1433" s="2461" t="s">
        <v>1512</v>
      </c>
      <c r="G1433" s="2461" t="s">
        <v>1418</v>
      </c>
      <c r="H1433" s="2461" t="s">
        <v>1452</v>
      </c>
      <c r="I1433" s="2462">
        <v>7.4960916233779917E-4</v>
      </c>
      <c r="J1433" s="2462">
        <v>3.2631707345425993</v>
      </c>
    </row>
    <row r="1434" spans="1:10" outlineLevel="2">
      <c r="A1434" s="2459" t="s">
        <v>1669</v>
      </c>
      <c r="B1434" s="2459" t="s">
        <v>1648</v>
      </c>
      <c r="C1434" s="2459" t="s">
        <v>1674</v>
      </c>
      <c r="D1434" s="2460" t="s">
        <v>1671</v>
      </c>
      <c r="E1434" s="2461" t="s">
        <v>213</v>
      </c>
      <c r="F1434" s="2461" t="s">
        <v>1513</v>
      </c>
      <c r="G1434" s="2461" t="s">
        <v>1418</v>
      </c>
      <c r="H1434" s="2461" t="s">
        <v>1452</v>
      </c>
      <c r="I1434" s="2462">
        <v>2.7943948449003332E-5</v>
      </c>
      <c r="J1434" s="2462">
        <v>2.617628740063857E-2</v>
      </c>
    </row>
    <row r="1435" spans="1:10" outlineLevel="2">
      <c r="A1435" s="2459" t="s">
        <v>1669</v>
      </c>
      <c r="B1435" s="2459" t="s">
        <v>1648</v>
      </c>
      <c r="C1435" s="2459" t="s">
        <v>1674</v>
      </c>
      <c r="D1435" s="2460" t="s">
        <v>1671</v>
      </c>
      <c r="E1435" s="2461" t="s">
        <v>213</v>
      </c>
      <c r="F1435" s="2461" t="s">
        <v>1514</v>
      </c>
      <c r="G1435" s="2461" t="s">
        <v>1418</v>
      </c>
      <c r="H1435" s="2461" t="s">
        <v>1452</v>
      </c>
      <c r="I1435" s="2462">
        <v>2.5065271547498576E-3</v>
      </c>
      <c r="J1435" s="2462">
        <v>2.3432941784044101</v>
      </c>
    </row>
    <row r="1436" spans="1:10" outlineLevel="2">
      <c r="A1436" s="2459" t="s">
        <v>1669</v>
      </c>
      <c r="B1436" s="2459" t="s">
        <v>1648</v>
      </c>
      <c r="C1436" s="2459" t="s">
        <v>1674</v>
      </c>
      <c r="D1436" s="2460" t="s">
        <v>1671</v>
      </c>
      <c r="E1436" s="2461" t="s">
        <v>213</v>
      </c>
      <c r="F1436" s="2461" t="s">
        <v>1515</v>
      </c>
      <c r="G1436" s="2461" t="s">
        <v>1418</v>
      </c>
      <c r="H1436" s="2461" t="s">
        <v>1452</v>
      </c>
      <c r="I1436" s="2462">
        <v>4.8195979799187414E-4</v>
      </c>
      <c r="J1436" s="2462">
        <v>0.69330012069696612</v>
      </c>
    </row>
    <row r="1437" spans="1:10" outlineLevel="2">
      <c r="A1437" s="2459" t="s">
        <v>1669</v>
      </c>
      <c r="B1437" s="2459" t="s">
        <v>1648</v>
      </c>
      <c r="C1437" s="2459" t="s">
        <v>1674</v>
      </c>
      <c r="D1437" s="2460" t="s">
        <v>1671</v>
      </c>
      <c r="E1437" s="2461" t="s">
        <v>213</v>
      </c>
      <c r="F1437" s="2461" t="s">
        <v>1516</v>
      </c>
      <c r="G1437" s="2461" t="s">
        <v>1418</v>
      </c>
      <c r="H1437" s="2461" t="s">
        <v>1452</v>
      </c>
      <c r="I1437" s="2462">
        <v>6.8861533034521825E-3</v>
      </c>
      <c r="J1437" s="2462">
        <v>7.6817274982318251</v>
      </c>
    </row>
    <row r="1438" spans="1:10" outlineLevel="2">
      <c r="A1438" s="2459" t="s">
        <v>1669</v>
      </c>
      <c r="B1438" s="2459" t="s">
        <v>1648</v>
      </c>
      <c r="C1438" s="2459" t="s">
        <v>1674</v>
      </c>
      <c r="D1438" s="2460" t="s">
        <v>1671</v>
      </c>
      <c r="E1438" s="2461" t="s">
        <v>213</v>
      </c>
      <c r="F1438" s="2461" t="s">
        <v>1517</v>
      </c>
      <c r="G1438" s="2461" t="s">
        <v>1418</v>
      </c>
      <c r="H1438" s="2461" t="s">
        <v>1452</v>
      </c>
      <c r="I1438" s="2462">
        <v>3.5248177463390866E-2</v>
      </c>
      <c r="J1438" s="2462">
        <v>17.221644318220385</v>
      </c>
    </row>
    <row r="1439" spans="1:10" outlineLevel="2">
      <c r="A1439" s="2459" t="s">
        <v>1669</v>
      </c>
      <c r="B1439" s="2459" t="s">
        <v>1648</v>
      </c>
      <c r="C1439" s="2459" t="s">
        <v>1674</v>
      </c>
      <c r="D1439" s="2460" t="s">
        <v>1671</v>
      </c>
      <c r="E1439" s="2461" t="s">
        <v>213</v>
      </c>
      <c r="F1439" s="2461" t="s">
        <v>1518</v>
      </c>
      <c r="G1439" s="2461" t="s">
        <v>1418</v>
      </c>
      <c r="H1439" s="2461" t="s">
        <v>1452</v>
      </c>
      <c r="I1439" s="2462">
        <v>3.9695679881361608E-3</v>
      </c>
      <c r="J1439" s="2462">
        <v>3.7110577582122555</v>
      </c>
    </row>
    <row r="1440" spans="1:10" outlineLevel="2">
      <c r="A1440" s="2459" t="s">
        <v>1669</v>
      </c>
      <c r="B1440" s="2459" t="s">
        <v>1648</v>
      </c>
      <c r="C1440" s="2459" t="s">
        <v>1674</v>
      </c>
      <c r="D1440" s="2460" t="s">
        <v>1671</v>
      </c>
      <c r="E1440" s="2461" t="s">
        <v>213</v>
      </c>
      <c r="F1440" s="2461" t="s">
        <v>1519</v>
      </c>
      <c r="G1440" s="2461" t="s">
        <v>1418</v>
      </c>
      <c r="H1440" s="2461" t="s">
        <v>1452</v>
      </c>
      <c r="I1440" s="2462">
        <v>5.2117993331372396E-3</v>
      </c>
      <c r="J1440" s="2462">
        <v>5.2958134666642085</v>
      </c>
    </row>
    <row r="1441" spans="1:10" outlineLevel="2">
      <c r="A1441" s="2459" t="s">
        <v>1669</v>
      </c>
      <c r="B1441" s="2459" t="s">
        <v>1648</v>
      </c>
      <c r="C1441" s="2459" t="s">
        <v>1674</v>
      </c>
      <c r="D1441" s="2460" t="s">
        <v>1671</v>
      </c>
      <c r="E1441" s="2461" t="s">
        <v>213</v>
      </c>
      <c r="F1441" s="2461" t="s">
        <v>1520</v>
      </c>
      <c r="G1441" s="2461" t="s">
        <v>1418</v>
      </c>
      <c r="H1441" s="2461" t="s">
        <v>1452</v>
      </c>
      <c r="I1441" s="2462">
        <v>6.2464341605745642E-4</v>
      </c>
      <c r="J1441" s="2462">
        <v>5.6596685348435187</v>
      </c>
    </row>
    <row r="1442" spans="1:10" outlineLevel="2">
      <c r="A1442" s="2459" t="s">
        <v>1669</v>
      </c>
      <c r="B1442" s="2459" t="s">
        <v>1648</v>
      </c>
      <c r="C1442" s="2459" t="s">
        <v>1674</v>
      </c>
      <c r="D1442" s="2460" t="s">
        <v>1671</v>
      </c>
      <c r="E1442" s="2461" t="s">
        <v>213</v>
      </c>
      <c r="F1442" s="2461" t="s">
        <v>1521</v>
      </c>
      <c r="G1442" s="2461" t="s">
        <v>1421</v>
      </c>
      <c r="H1442" s="2461" t="s">
        <v>1454</v>
      </c>
      <c r="I1442" s="2462">
        <v>0.41623846046249297</v>
      </c>
      <c r="J1442" s="2462">
        <v>575.65523286126904</v>
      </c>
    </row>
    <row r="1443" spans="1:10" outlineLevel="2">
      <c r="A1443" s="2459" t="s">
        <v>1669</v>
      </c>
      <c r="B1443" s="2459" t="s">
        <v>1648</v>
      </c>
      <c r="C1443" s="2459" t="s">
        <v>1674</v>
      </c>
      <c r="D1443" s="2460" t="s">
        <v>1671</v>
      </c>
      <c r="E1443" s="2461" t="s">
        <v>213</v>
      </c>
      <c r="F1443" s="2461" t="s">
        <v>1522</v>
      </c>
      <c r="G1443" s="2461" t="s">
        <v>1421</v>
      </c>
      <c r="H1443" s="2461" t="s">
        <v>1454</v>
      </c>
      <c r="I1443" s="2462">
        <v>9.7766003473312407E-2</v>
      </c>
      <c r="J1443" s="2462">
        <v>144.0237362445796</v>
      </c>
    </row>
    <row r="1444" spans="1:10" outlineLevel="2">
      <c r="A1444" s="2459" t="s">
        <v>1669</v>
      </c>
      <c r="B1444" s="2459" t="s">
        <v>1648</v>
      </c>
      <c r="C1444" s="2459" t="s">
        <v>1674</v>
      </c>
      <c r="D1444" s="2460" t="s">
        <v>1671</v>
      </c>
      <c r="E1444" s="2461" t="s">
        <v>213</v>
      </c>
      <c r="F1444" s="2461" t="s">
        <v>1523</v>
      </c>
      <c r="G1444" s="2461" t="s">
        <v>1421</v>
      </c>
      <c r="H1444" s="2461" t="s">
        <v>1454</v>
      </c>
      <c r="I1444" s="2462">
        <v>4.5102059785808508E-2</v>
      </c>
      <c r="J1444" s="2462">
        <v>76.155035640635191</v>
      </c>
    </row>
    <row r="1445" spans="1:10" outlineLevel="2">
      <c r="A1445" s="2459" t="s">
        <v>1669</v>
      </c>
      <c r="B1445" s="2459" t="s">
        <v>1648</v>
      </c>
      <c r="C1445" s="2459" t="s">
        <v>1674</v>
      </c>
      <c r="D1445" s="2460" t="s">
        <v>1671</v>
      </c>
      <c r="E1445" s="2461" t="s">
        <v>213</v>
      </c>
      <c r="F1445" s="2461" t="s">
        <v>1524</v>
      </c>
      <c r="G1445" s="2461" t="s">
        <v>1421</v>
      </c>
      <c r="H1445" s="2461" t="s">
        <v>1454</v>
      </c>
      <c r="I1445" s="2462">
        <v>0.10392602271714718</v>
      </c>
      <c r="J1445" s="2462">
        <v>163.7126492169082</v>
      </c>
    </row>
    <row r="1446" spans="1:10" outlineLevel="2">
      <c r="A1446" s="2459" t="s">
        <v>1669</v>
      </c>
      <c r="B1446" s="2459" t="s">
        <v>1648</v>
      </c>
      <c r="C1446" s="2459" t="s">
        <v>1674</v>
      </c>
      <c r="D1446" s="2460" t="s">
        <v>1671</v>
      </c>
      <c r="E1446" s="2461" t="s">
        <v>213</v>
      </c>
      <c r="F1446" s="2461" t="s">
        <v>1525</v>
      </c>
      <c r="G1446" s="2461" t="s">
        <v>1421</v>
      </c>
      <c r="H1446" s="2461" t="s">
        <v>1454</v>
      </c>
      <c r="I1446" s="2462">
        <v>0.18308289681182868</v>
      </c>
      <c r="J1446" s="2462">
        <v>258.66172059848941</v>
      </c>
    </row>
    <row r="1447" spans="1:10" outlineLevel="2">
      <c r="A1447" s="2459" t="s">
        <v>1669</v>
      </c>
      <c r="B1447" s="2459" t="s">
        <v>1648</v>
      </c>
      <c r="C1447" s="2459" t="s">
        <v>1674</v>
      </c>
      <c r="D1447" s="2460" t="s">
        <v>1671</v>
      </c>
      <c r="E1447" s="2461" t="s">
        <v>213</v>
      </c>
      <c r="F1447" s="2461" t="s">
        <v>1526</v>
      </c>
      <c r="G1447" s="2461" t="s">
        <v>1421</v>
      </c>
      <c r="H1447" s="2461" t="s">
        <v>1454</v>
      </c>
      <c r="I1447" s="2462">
        <v>8.481741873855005E-3</v>
      </c>
      <c r="J1447" s="2462">
        <v>12.135980178615018</v>
      </c>
    </row>
    <row r="1448" spans="1:10" outlineLevel="2">
      <c r="A1448" s="2459" t="s">
        <v>1669</v>
      </c>
      <c r="B1448" s="2459" t="s">
        <v>1648</v>
      </c>
      <c r="C1448" s="2459" t="s">
        <v>1674</v>
      </c>
      <c r="D1448" s="2460" t="s">
        <v>1671</v>
      </c>
      <c r="E1448" s="2461" t="s">
        <v>213</v>
      </c>
      <c r="F1448" s="2461" t="s">
        <v>1527</v>
      </c>
      <c r="G1448" s="2461" t="s">
        <v>1459</v>
      </c>
      <c r="H1448" s="2461" t="s">
        <v>1460</v>
      </c>
      <c r="I1448" s="2462">
        <v>9.2777878958998094E-4</v>
      </c>
      <c r="J1448" s="2462">
        <v>0.96584184347003432</v>
      </c>
    </row>
    <row r="1449" spans="1:10" outlineLevel="2">
      <c r="A1449" s="2459" t="s">
        <v>1669</v>
      </c>
      <c r="B1449" s="2459" t="s">
        <v>1648</v>
      </c>
      <c r="C1449" s="2459" t="s">
        <v>1674</v>
      </c>
      <c r="D1449" s="2460" t="s">
        <v>1671</v>
      </c>
      <c r="E1449" s="2461" t="s">
        <v>213</v>
      </c>
      <c r="F1449" s="2461" t="s">
        <v>1528</v>
      </c>
      <c r="G1449" s="2461" t="s">
        <v>1459</v>
      </c>
      <c r="H1449" s="2461" t="s">
        <v>1460</v>
      </c>
      <c r="I1449" s="2462">
        <v>8.0759557794537387E-6</v>
      </c>
      <c r="J1449" s="2462">
        <v>1.0293604896147052E-2</v>
      </c>
    </row>
    <row r="1450" spans="1:10" outlineLevel="2">
      <c r="A1450" s="2459" t="s">
        <v>1669</v>
      </c>
      <c r="B1450" s="2459" t="s">
        <v>1648</v>
      </c>
      <c r="C1450" s="2459" t="s">
        <v>1674</v>
      </c>
      <c r="D1450" s="2460" t="s">
        <v>1671</v>
      </c>
      <c r="E1450" s="2461" t="s">
        <v>213</v>
      </c>
      <c r="F1450" s="2461" t="s">
        <v>1529</v>
      </c>
      <c r="G1450" s="2461" t="s">
        <v>1530</v>
      </c>
      <c r="H1450" s="2461" t="s">
        <v>1531</v>
      </c>
      <c r="I1450" s="2462">
        <v>5.2811975509894911</v>
      </c>
      <c r="J1450" s="2462">
        <v>4493.3410843087131</v>
      </c>
    </row>
    <row r="1451" spans="1:10" outlineLevel="2">
      <c r="A1451" s="2459" t="s">
        <v>1669</v>
      </c>
      <c r="B1451" s="2459" t="s">
        <v>1648</v>
      </c>
      <c r="C1451" s="2459" t="s">
        <v>1674</v>
      </c>
      <c r="D1451" s="2460" t="s">
        <v>1671</v>
      </c>
      <c r="E1451" s="2461" t="s">
        <v>213</v>
      </c>
      <c r="F1451" s="2461" t="s">
        <v>1532</v>
      </c>
      <c r="G1451" s="2461" t="s">
        <v>1530</v>
      </c>
      <c r="H1451" s="2461" t="s">
        <v>1531</v>
      </c>
      <c r="I1451" s="2462">
        <v>2.2229229564322619</v>
      </c>
      <c r="J1451" s="2462">
        <v>1896.3983045864682</v>
      </c>
    </row>
    <row r="1452" spans="1:10" outlineLevel="2">
      <c r="A1452" s="2459" t="s">
        <v>1669</v>
      </c>
      <c r="B1452" s="2459" t="s">
        <v>1648</v>
      </c>
      <c r="C1452" s="2459" t="s">
        <v>1674</v>
      </c>
      <c r="D1452" s="2460" t="s">
        <v>1671</v>
      </c>
      <c r="E1452" s="2461" t="s">
        <v>213</v>
      </c>
      <c r="F1452" s="2461" t="s">
        <v>1533</v>
      </c>
      <c r="G1452" s="2461" t="s">
        <v>1534</v>
      </c>
      <c r="H1452" s="2461" t="s">
        <v>1531</v>
      </c>
      <c r="I1452" s="2462">
        <v>1.5118717534597086</v>
      </c>
      <c r="J1452" s="2462">
        <v>2539.0135905022726</v>
      </c>
    </row>
    <row r="1453" spans="1:10" outlineLevel="2">
      <c r="A1453" s="2459" t="s">
        <v>1669</v>
      </c>
      <c r="B1453" s="2459" t="s">
        <v>1648</v>
      </c>
      <c r="C1453" s="2459" t="s">
        <v>1674</v>
      </c>
      <c r="D1453" s="2460" t="s">
        <v>1671</v>
      </c>
      <c r="E1453" s="2461" t="s">
        <v>213</v>
      </c>
      <c r="F1453" s="2461" t="s">
        <v>1535</v>
      </c>
      <c r="G1453" s="2461" t="s">
        <v>1536</v>
      </c>
      <c r="H1453" s="2461" t="s">
        <v>1537</v>
      </c>
      <c r="I1453" s="2462">
        <v>5.0385349462563171E-3</v>
      </c>
      <c r="J1453" s="2462">
        <v>7.4920403277891703</v>
      </c>
    </row>
    <row r="1454" spans="1:10" outlineLevel="2">
      <c r="A1454" s="2459" t="s">
        <v>1669</v>
      </c>
      <c r="B1454" s="2459" t="s">
        <v>1648</v>
      </c>
      <c r="C1454" s="2459" t="s">
        <v>1674</v>
      </c>
      <c r="D1454" s="2460" t="s">
        <v>1671</v>
      </c>
      <c r="E1454" s="2461" t="s">
        <v>1538</v>
      </c>
      <c r="F1454" s="2461" t="s">
        <v>1539</v>
      </c>
      <c r="G1454" s="2461" t="s">
        <v>1426</v>
      </c>
      <c r="H1454" s="2461" t="s">
        <v>1540</v>
      </c>
      <c r="I1454" s="2462">
        <v>1.0254156072803264E-2</v>
      </c>
      <c r="J1454" s="2462">
        <v>19.637208779279998</v>
      </c>
    </row>
    <row r="1455" spans="1:10" outlineLevel="2">
      <c r="A1455" s="2459" t="s">
        <v>1669</v>
      </c>
      <c r="B1455" s="2459" t="s">
        <v>1648</v>
      </c>
      <c r="C1455" s="2459" t="s">
        <v>1674</v>
      </c>
      <c r="D1455" s="2460" t="s">
        <v>1671</v>
      </c>
      <c r="E1455" s="2461" t="s">
        <v>1538</v>
      </c>
      <c r="F1455" s="2461" t="s">
        <v>1541</v>
      </c>
      <c r="G1455" s="2461" t="s">
        <v>1409</v>
      </c>
      <c r="H1455" s="2461" t="s">
        <v>1540</v>
      </c>
      <c r="I1455" s="2462">
        <v>3.3805950779537512E-4</v>
      </c>
      <c r="J1455" s="2462">
        <v>1.5736655040871494</v>
      </c>
    </row>
    <row r="1456" spans="1:10" outlineLevel="2">
      <c r="A1456" s="2459" t="s">
        <v>1669</v>
      </c>
      <c r="B1456" s="2459" t="s">
        <v>1648</v>
      </c>
      <c r="C1456" s="2459" t="s">
        <v>1674</v>
      </c>
      <c r="D1456" s="2460" t="s">
        <v>1671</v>
      </c>
      <c r="E1456" s="2461" t="s">
        <v>1538</v>
      </c>
      <c r="F1456" s="2461" t="s">
        <v>1542</v>
      </c>
      <c r="G1456" s="2461" t="s">
        <v>1409</v>
      </c>
      <c r="H1456" s="2461" t="s">
        <v>1540</v>
      </c>
      <c r="I1456" s="2462">
        <v>1.8131212108818794E-4</v>
      </c>
      <c r="J1456" s="2462">
        <v>2.6317208145832689</v>
      </c>
    </row>
    <row r="1457" spans="1:10" outlineLevel="2">
      <c r="A1457" s="2459" t="s">
        <v>1669</v>
      </c>
      <c r="B1457" s="2459" t="s">
        <v>1648</v>
      </c>
      <c r="C1457" s="2459" t="s">
        <v>1674</v>
      </c>
      <c r="D1457" s="2460" t="s">
        <v>1671</v>
      </c>
      <c r="E1457" s="2461" t="s">
        <v>1538</v>
      </c>
      <c r="F1457" s="2461" t="s">
        <v>1543</v>
      </c>
      <c r="G1457" s="2461" t="s">
        <v>1409</v>
      </c>
      <c r="H1457" s="2461" t="s">
        <v>1540</v>
      </c>
      <c r="I1457" s="2462">
        <v>2.6882358521273527E-4</v>
      </c>
      <c r="J1457" s="2462">
        <v>0.46475949664301025</v>
      </c>
    </row>
    <row r="1458" spans="1:10" outlineLevel="2">
      <c r="A1458" s="2459" t="s">
        <v>1669</v>
      </c>
      <c r="B1458" s="2459" t="s">
        <v>1648</v>
      </c>
      <c r="C1458" s="2459" t="s">
        <v>1674</v>
      </c>
      <c r="D1458" s="2460" t="s">
        <v>1671</v>
      </c>
      <c r="E1458" s="2461" t="s">
        <v>1538</v>
      </c>
      <c r="F1458" s="2461" t="s">
        <v>1544</v>
      </c>
      <c r="G1458" s="2461" t="s">
        <v>1409</v>
      </c>
      <c r="H1458" s="2461" t="s">
        <v>1540</v>
      </c>
      <c r="I1458" s="2462">
        <v>4.9215986187030824E-5</v>
      </c>
      <c r="J1458" s="2462">
        <v>0.26944224662116478</v>
      </c>
    </row>
    <row r="1459" spans="1:10" outlineLevel="2">
      <c r="A1459" s="2459" t="s">
        <v>1669</v>
      </c>
      <c r="B1459" s="2459" t="s">
        <v>1648</v>
      </c>
      <c r="C1459" s="2459" t="s">
        <v>1674</v>
      </c>
      <c r="D1459" s="2460" t="s">
        <v>1671</v>
      </c>
      <c r="E1459" s="2461" t="s">
        <v>1538</v>
      </c>
      <c r="F1459" s="2461" t="s">
        <v>1545</v>
      </c>
      <c r="G1459" s="2461" t="s">
        <v>1409</v>
      </c>
      <c r="H1459" s="2461" t="s">
        <v>1540</v>
      </c>
      <c r="I1459" s="2462">
        <v>1.0893202654652945E-3</v>
      </c>
      <c r="J1459" s="2462">
        <v>4.8667411257153779</v>
      </c>
    </row>
    <row r="1460" spans="1:10" outlineLevel="2">
      <c r="A1460" s="2459" t="s">
        <v>1669</v>
      </c>
      <c r="B1460" s="2459" t="s">
        <v>1648</v>
      </c>
      <c r="C1460" s="2459" t="s">
        <v>1674</v>
      </c>
      <c r="D1460" s="2460" t="s">
        <v>1671</v>
      </c>
      <c r="E1460" s="2461" t="s">
        <v>1538</v>
      </c>
      <c r="F1460" s="2461" t="s">
        <v>1546</v>
      </c>
      <c r="G1460" s="2461" t="s">
        <v>1409</v>
      </c>
      <c r="H1460" s="2461" t="s">
        <v>1540</v>
      </c>
      <c r="I1460" s="2462">
        <v>2.0836745897311556E-3</v>
      </c>
      <c r="J1460" s="2462">
        <v>2.4444604557468468</v>
      </c>
    </row>
    <row r="1461" spans="1:10" outlineLevel="2">
      <c r="A1461" s="2459" t="s">
        <v>1669</v>
      </c>
      <c r="B1461" s="2459" t="s">
        <v>1648</v>
      </c>
      <c r="C1461" s="2459" t="s">
        <v>1674</v>
      </c>
      <c r="D1461" s="2460" t="s">
        <v>1671</v>
      </c>
      <c r="E1461" s="2461" t="s">
        <v>1538</v>
      </c>
      <c r="F1461" s="2461" t="s">
        <v>1547</v>
      </c>
      <c r="G1461" s="2461" t="s">
        <v>1409</v>
      </c>
      <c r="H1461" s="2461" t="s">
        <v>1540</v>
      </c>
      <c r="I1461" s="2462">
        <v>2.2631444561069564E-4</v>
      </c>
      <c r="J1461" s="2462">
        <v>4.5026305007982383</v>
      </c>
    </row>
    <row r="1462" spans="1:10" outlineLevel="2">
      <c r="A1462" s="2459" t="s">
        <v>1669</v>
      </c>
      <c r="B1462" s="2459" t="s">
        <v>1648</v>
      </c>
      <c r="C1462" s="2459" t="s">
        <v>1674</v>
      </c>
      <c r="D1462" s="2460" t="s">
        <v>1671</v>
      </c>
      <c r="E1462" s="2461" t="s">
        <v>1538</v>
      </c>
      <c r="F1462" s="2461" t="s">
        <v>1548</v>
      </c>
      <c r="G1462" s="2461" t="s">
        <v>1409</v>
      </c>
      <c r="H1462" s="2461" t="s">
        <v>1540</v>
      </c>
      <c r="I1462" s="2462">
        <v>1.0503830328694524E-3</v>
      </c>
      <c r="J1462" s="2462">
        <v>1.834675396231904</v>
      </c>
    </row>
    <row r="1463" spans="1:10" outlineLevel="2">
      <c r="A1463" s="2459" t="s">
        <v>1669</v>
      </c>
      <c r="B1463" s="2459" t="s">
        <v>1648</v>
      </c>
      <c r="C1463" s="2459" t="s">
        <v>1674</v>
      </c>
      <c r="D1463" s="2460" t="s">
        <v>1671</v>
      </c>
      <c r="E1463" s="2461" t="s">
        <v>1538</v>
      </c>
      <c r="F1463" s="2461" t="s">
        <v>1549</v>
      </c>
      <c r="G1463" s="2461" t="s">
        <v>1409</v>
      </c>
      <c r="H1463" s="2461" t="s">
        <v>1540</v>
      </c>
      <c r="I1463" s="2462">
        <v>1.5702019965453548E-4</v>
      </c>
      <c r="J1463" s="2462">
        <v>0.3007033634780048</v>
      </c>
    </row>
    <row r="1464" spans="1:10" outlineLevel="2">
      <c r="A1464" s="2459" t="s">
        <v>1669</v>
      </c>
      <c r="B1464" s="2459" t="s">
        <v>1648</v>
      </c>
      <c r="C1464" s="2459" t="s">
        <v>1674</v>
      </c>
      <c r="D1464" s="2460" t="s">
        <v>1671</v>
      </c>
      <c r="E1464" s="2461" t="s">
        <v>1538</v>
      </c>
      <c r="F1464" s="2461" t="s">
        <v>1550</v>
      </c>
      <c r="G1464" s="2461" t="s">
        <v>1409</v>
      </c>
      <c r="H1464" s="2461" t="s">
        <v>1540</v>
      </c>
      <c r="I1464" s="2462">
        <v>8.6055057660107143E-4</v>
      </c>
      <c r="J1464" s="2462">
        <v>3.1267899831484347</v>
      </c>
    </row>
    <row r="1465" spans="1:10" outlineLevel="2">
      <c r="A1465" s="2459" t="s">
        <v>1669</v>
      </c>
      <c r="B1465" s="2459" t="s">
        <v>1648</v>
      </c>
      <c r="C1465" s="2459" t="s">
        <v>1674</v>
      </c>
      <c r="D1465" s="2460" t="s">
        <v>1671</v>
      </c>
      <c r="E1465" s="2461" t="s">
        <v>1538</v>
      </c>
      <c r="F1465" s="2461" t="s">
        <v>1551</v>
      </c>
      <c r="G1465" s="2461" t="s">
        <v>1409</v>
      </c>
      <c r="H1465" s="2461" t="s">
        <v>1540</v>
      </c>
      <c r="I1465" s="2462">
        <v>7.0895372852548789E-4</v>
      </c>
      <c r="J1465" s="2462">
        <v>7.550513144676418</v>
      </c>
    </row>
    <row r="1466" spans="1:10" outlineLevel="2">
      <c r="A1466" s="2459" t="s">
        <v>1669</v>
      </c>
      <c r="B1466" s="2459" t="s">
        <v>1648</v>
      </c>
      <c r="C1466" s="2459" t="s">
        <v>1674</v>
      </c>
      <c r="D1466" s="2460" t="s">
        <v>1671</v>
      </c>
      <c r="E1466" s="2461" t="s">
        <v>1538</v>
      </c>
      <c r="F1466" s="2461" t="s">
        <v>1552</v>
      </c>
      <c r="G1466" s="2461" t="s">
        <v>1409</v>
      </c>
      <c r="H1466" s="2461" t="s">
        <v>1540</v>
      </c>
      <c r="I1466" s="2462">
        <v>4.988519129276902E-5</v>
      </c>
      <c r="J1466" s="2462">
        <v>0.79441267667349424</v>
      </c>
    </row>
    <row r="1467" spans="1:10" outlineLevel="2">
      <c r="A1467" s="2459" t="s">
        <v>1669</v>
      </c>
      <c r="B1467" s="2459" t="s">
        <v>1648</v>
      </c>
      <c r="C1467" s="2459" t="s">
        <v>1674</v>
      </c>
      <c r="D1467" s="2460" t="s">
        <v>1671</v>
      </c>
      <c r="E1467" s="2461" t="s">
        <v>1538</v>
      </c>
      <c r="F1467" s="2461" t="s">
        <v>1553</v>
      </c>
      <c r="G1467" s="2461" t="s">
        <v>1409</v>
      </c>
      <c r="H1467" s="2461" t="s">
        <v>1540</v>
      </c>
      <c r="I1467" s="2462">
        <v>3.6994703561851021E-3</v>
      </c>
      <c r="J1467" s="2462">
        <v>6.8011194823326395</v>
      </c>
    </row>
    <row r="1468" spans="1:10" outlineLevel="2">
      <c r="A1468" s="2459" t="s">
        <v>1669</v>
      </c>
      <c r="B1468" s="2459" t="s">
        <v>1648</v>
      </c>
      <c r="C1468" s="2459" t="s">
        <v>1674</v>
      </c>
      <c r="D1468" s="2460" t="s">
        <v>1671</v>
      </c>
      <c r="E1468" s="2461" t="s">
        <v>1538</v>
      </c>
      <c r="F1468" s="2461" t="s">
        <v>1554</v>
      </c>
      <c r="G1468" s="2461" t="s">
        <v>1409</v>
      </c>
      <c r="H1468" s="2461" t="s">
        <v>1540</v>
      </c>
      <c r="I1468" s="2462">
        <v>2.0620804635374081E-3</v>
      </c>
      <c r="J1468" s="2462">
        <v>2.8542413830730493</v>
      </c>
    </row>
    <row r="1469" spans="1:10" outlineLevel="2">
      <c r="A1469" s="2459" t="s">
        <v>1669</v>
      </c>
      <c r="B1469" s="2459" t="s">
        <v>1648</v>
      </c>
      <c r="C1469" s="2459" t="s">
        <v>1674</v>
      </c>
      <c r="D1469" s="2460" t="s">
        <v>1671</v>
      </c>
      <c r="E1469" s="2461" t="s">
        <v>1538</v>
      </c>
      <c r="F1469" s="2461" t="s">
        <v>1555</v>
      </c>
      <c r="G1469" s="2461" t="s">
        <v>1412</v>
      </c>
      <c r="H1469" s="2461" t="s">
        <v>1540</v>
      </c>
      <c r="I1469" s="2462">
        <v>1.218319031980869E-2</v>
      </c>
      <c r="J1469" s="2462">
        <v>37.504615224111312</v>
      </c>
    </row>
    <row r="1470" spans="1:10" outlineLevel="2">
      <c r="A1470" s="2459" t="s">
        <v>1669</v>
      </c>
      <c r="B1470" s="2459" t="s">
        <v>1648</v>
      </c>
      <c r="C1470" s="2459" t="s">
        <v>1674</v>
      </c>
      <c r="D1470" s="2460" t="s">
        <v>1671</v>
      </c>
      <c r="E1470" s="2461" t="s">
        <v>1538</v>
      </c>
      <c r="F1470" s="2461" t="s">
        <v>1556</v>
      </c>
      <c r="G1470" s="2461" t="s">
        <v>1412</v>
      </c>
      <c r="H1470" s="2461" t="s">
        <v>1540</v>
      </c>
      <c r="I1470" s="2462">
        <v>0.24221005740093907</v>
      </c>
      <c r="J1470" s="2462">
        <v>3411.4549710738306</v>
      </c>
    </row>
    <row r="1471" spans="1:10" outlineLevel="2">
      <c r="A1471" s="2459" t="s">
        <v>1669</v>
      </c>
      <c r="B1471" s="2459" t="s">
        <v>1648</v>
      </c>
      <c r="C1471" s="2459" t="s">
        <v>1674</v>
      </c>
      <c r="D1471" s="2460" t="s">
        <v>1671</v>
      </c>
      <c r="E1471" s="2461" t="s">
        <v>1538</v>
      </c>
      <c r="F1471" s="2461" t="s">
        <v>1557</v>
      </c>
      <c r="G1471" s="2461" t="s">
        <v>1412</v>
      </c>
      <c r="H1471" s="2461" t="s">
        <v>1540</v>
      </c>
      <c r="I1471" s="2462">
        <v>1.4419976512665611E-3</v>
      </c>
      <c r="J1471" s="2462">
        <v>25.414023805226343</v>
      </c>
    </row>
    <row r="1472" spans="1:10" outlineLevel="2">
      <c r="A1472" s="2459" t="s">
        <v>1669</v>
      </c>
      <c r="B1472" s="2459" t="s">
        <v>1648</v>
      </c>
      <c r="C1472" s="2459" t="s">
        <v>1674</v>
      </c>
      <c r="D1472" s="2460" t="s">
        <v>1671</v>
      </c>
      <c r="E1472" s="2461" t="s">
        <v>1538</v>
      </c>
      <c r="F1472" s="2461" t="s">
        <v>1558</v>
      </c>
      <c r="G1472" s="2461" t="s">
        <v>1412</v>
      </c>
      <c r="H1472" s="2461" t="s">
        <v>1540</v>
      </c>
      <c r="I1472" s="2462">
        <v>4.8237691133898948E-4</v>
      </c>
      <c r="J1472" s="2462">
        <v>8.0164906487292775</v>
      </c>
    </row>
    <row r="1473" spans="1:10" outlineLevel="2">
      <c r="A1473" s="2459" t="s">
        <v>1669</v>
      </c>
      <c r="B1473" s="2459" t="s">
        <v>1648</v>
      </c>
      <c r="C1473" s="2459" t="s">
        <v>1674</v>
      </c>
      <c r="D1473" s="2460" t="s">
        <v>1671</v>
      </c>
      <c r="E1473" s="2461" t="s">
        <v>1538</v>
      </c>
      <c r="F1473" s="2461" t="s">
        <v>1559</v>
      </c>
      <c r="G1473" s="2461" t="s">
        <v>1412</v>
      </c>
      <c r="H1473" s="2461" t="s">
        <v>1540</v>
      </c>
      <c r="I1473" s="2462">
        <v>5.1505883857892384E-4</v>
      </c>
      <c r="J1473" s="2462">
        <v>1.9798339277045873</v>
      </c>
    </row>
    <row r="1474" spans="1:10" outlineLevel="2">
      <c r="A1474" s="2459" t="s">
        <v>1669</v>
      </c>
      <c r="B1474" s="2459" t="s">
        <v>1648</v>
      </c>
      <c r="C1474" s="2459" t="s">
        <v>1674</v>
      </c>
      <c r="D1474" s="2460" t="s">
        <v>1671</v>
      </c>
      <c r="E1474" s="2461" t="s">
        <v>1538</v>
      </c>
      <c r="F1474" s="2461" t="s">
        <v>1560</v>
      </c>
      <c r="G1474" s="2461" t="s">
        <v>1412</v>
      </c>
      <c r="H1474" s="2461" t="s">
        <v>1540</v>
      </c>
      <c r="I1474" s="2462">
        <v>7.2294856461213401E-4</v>
      </c>
      <c r="J1474" s="2462">
        <v>15.745167082173159</v>
      </c>
    </row>
    <row r="1475" spans="1:10" outlineLevel="2">
      <c r="A1475" s="2459" t="s">
        <v>1669</v>
      </c>
      <c r="B1475" s="2459" t="s">
        <v>1648</v>
      </c>
      <c r="C1475" s="2459" t="s">
        <v>1674</v>
      </c>
      <c r="D1475" s="2460" t="s">
        <v>1671</v>
      </c>
      <c r="E1475" s="2461" t="s">
        <v>1538</v>
      </c>
      <c r="F1475" s="2461" t="s">
        <v>1561</v>
      </c>
      <c r="G1475" s="2461" t="s">
        <v>1439</v>
      </c>
      <c r="H1475" s="2461" t="s">
        <v>1540</v>
      </c>
      <c r="I1475" s="2462">
        <v>1.2494576206858738E-3</v>
      </c>
      <c r="J1475" s="2462">
        <v>18.934650847636789</v>
      </c>
    </row>
    <row r="1476" spans="1:10" outlineLevel="2">
      <c r="A1476" s="2459" t="s">
        <v>1669</v>
      </c>
      <c r="B1476" s="2459" t="s">
        <v>1648</v>
      </c>
      <c r="C1476" s="2459" t="s">
        <v>1674</v>
      </c>
      <c r="D1476" s="2460" t="s">
        <v>1671</v>
      </c>
      <c r="E1476" s="2461" t="s">
        <v>1538</v>
      </c>
      <c r="F1476" s="2461" t="s">
        <v>1562</v>
      </c>
      <c r="G1476" s="2461" t="s">
        <v>1418</v>
      </c>
      <c r="H1476" s="2461" t="s">
        <v>1540</v>
      </c>
      <c r="I1476" s="2462">
        <v>2.6550410620239747E-5</v>
      </c>
      <c r="J1476" s="2462">
        <v>3.3455696186443701E-2</v>
      </c>
    </row>
    <row r="1477" spans="1:10" outlineLevel="2">
      <c r="A1477" s="2459" t="s">
        <v>1669</v>
      </c>
      <c r="B1477" s="2459" t="s">
        <v>1648</v>
      </c>
      <c r="C1477" s="2459" t="s">
        <v>1674</v>
      </c>
      <c r="D1477" s="2460" t="s">
        <v>1671</v>
      </c>
      <c r="E1477" s="2461" t="s">
        <v>1538</v>
      </c>
      <c r="F1477" s="2461" t="s">
        <v>1563</v>
      </c>
      <c r="G1477" s="2461" t="s">
        <v>1418</v>
      </c>
      <c r="H1477" s="2461" t="s">
        <v>1540</v>
      </c>
      <c r="I1477" s="2462">
        <v>3.846908989315584E-6</v>
      </c>
      <c r="J1477" s="2462">
        <v>6.5162302722337431E-2</v>
      </c>
    </row>
    <row r="1478" spans="1:10" outlineLevel="2">
      <c r="A1478" s="2459" t="s">
        <v>1669</v>
      </c>
      <c r="B1478" s="2459" t="s">
        <v>1648</v>
      </c>
      <c r="C1478" s="2459" t="s">
        <v>1674</v>
      </c>
      <c r="D1478" s="2460" t="s">
        <v>1671</v>
      </c>
      <c r="E1478" s="2461" t="s">
        <v>1538</v>
      </c>
      <c r="F1478" s="2461" t="s">
        <v>1564</v>
      </c>
      <c r="G1478" s="2461" t="s">
        <v>1421</v>
      </c>
      <c r="H1478" s="2461" t="s">
        <v>1540</v>
      </c>
      <c r="I1478" s="2462">
        <v>2.2530956714115091E-2</v>
      </c>
      <c r="J1478" s="2462">
        <v>55.320761246798277</v>
      </c>
    </row>
    <row r="1479" spans="1:10" outlineLevel="2">
      <c r="A1479" s="2459" t="s">
        <v>1669</v>
      </c>
      <c r="B1479" s="2459" t="s">
        <v>1648</v>
      </c>
      <c r="C1479" s="2459" t="s">
        <v>1674</v>
      </c>
      <c r="D1479" s="2460" t="s">
        <v>1671</v>
      </c>
      <c r="E1479" s="2461" t="s">
        <v>1538</v>
      </c>
      <c r="F1479" s="2461" t="s">
        <v>1565</v>
      </c>
      <c r="G1479" s="2461" t="s">
        <v>1421</v>
      </c>
      <c r="H1479" s="2461" t="s">
        <v>1540</v>
      </c>
      <c r="I1479" s="2462">
        <v>2.6511346819102681E-3</v>
      </c>
      <c r="J1479" s="2462">
        <v>12.10902034447647</v>
      </c>
    </row>
    <row r="1480" spans="1:10" outlineLevel="2">
      <c r="A1480" s="2459" t="s">
        <v>1669</v>
      </c>
      <c r="B1480" s="2459" t="s">
        <v>1648</v>
      </c>
      <c r="C1480" s="2459" t="s">
        <v>1674</v>
      </c>
      <c r="D1480" s="2460" t="s">
        <v>1671</v>
      </c>
      <c r="E1480" s="2461" t="s">
        <v>1538</v>
      </c>
      <c r="F1480" s="2461" t="s">
        <v>1566</v>
      </c>
      <c r="G1480" s="2461" t="s">
        <v>1421</v>
      </c>
      <c r="H1480" s="2461" t="s">
        <v>1540</v>
      </c>
      <c r="I1480" s="2462">
        <v>1.3823248440430734E-3</v>
      </c>
      <c r="J1480" s="2462">
        <v>14.139380779801927</v>
      </c>
    </row>
    <row r="1481" spans="1:10" outlineLevel="2">
      <c r="A1481" s="2459" t="s">
        <v>1669</v>
      </c>
      <c r="B1481" s="2459" t="s">
        <v>1648</v>
      </c>
      <c r="C1481" s="2459" t="s">
        <v>1674</v>
      </c>
      <c r="D1481" s="2460" t="s">
        <v>1671</v>
      </c>
      <c r="E1481" s="2461" t="s">
        <v>1538</v>
      </c>
      <c r="F1481" s="2461" t="s">
        <v>1567</v>
      </c>
      <c r="G1481" s="2461" t="s">
        <v>1421</v>
      </c>
      <c r="H1481" s="2461" t="s">
        <v>1540</v>
      </c>
      <c r="I1481" s="2462">
        <v>2.2884301436405553E-3</v>
      </c>
      <c r="J1481" s="2462">
        <v>17.573191354445814</v>
      </c>
    </row>
    <row r="1482" spans="1:10" outlineLevel="2">
      <c r="A1482" s="2459" t="s">
        <v>1669</v>
      </c>
      <c r="B1482" s="2459" t="s">
        <v>1648</v>
      </c>
      <c r="C1482" s="2459" t="s">
        <v>1674</v>
      </c>
      <c r="D1482" s="2460" t="s">
        <v>1671</v>
      </c>
      <c r="E1482" s="2461" t="s">
        <v>1538</v>
      </c>
      <c r="F1482" s="2461" t="s">
        <v>1568</v>
      </c>
      <c r="G1482" s="2461" t="s">
        <v>1421</v>
      </c>
      <c r="H1482" s="2461" t="s">
        <v>1540</v>
      </c>
      <c r="I1482" s="2462">
        <v>7.9216628840978579E-5</v>
      </c>
      <c r="J1482" s="2462">
        <v>0.2390051047577966</v>
      </c>
    </row>
    <row r="1483" spans="1:10" outlineLevel="2">
      <c r="A1483" s="2459" t="s">
        <v>1669</v>
      </c>
      <c r="B1483" s="2459" t="s">
        <v>1648</v>
      </c>
      <c r="C1483" s="2459" t="s">
        <v>1674</v>
      </c>
      <c r="D1483" s="2460" t="s">
        <v>1671</v>
      </c>
      <c r="E1483" s="2461" t="s">
        <v>1538</v>
      </c>
      <c r="F1483" s="2461" t="s">
        <v>1569</v>
      </c>
      <c r="G1483" s="2461" t="s">
        <v>1421</v>
      </c>
      <c r="H1483" s="2461" t="s">
        <v>1540</v>
      </c>
      <c r="I1483" s="2462">
        <v>1.877815102216576E-5</v>
      </c>
      <c r="J1483" s="2462">
        <v>0.2169959950090817</v>
      </c>
    </row>
    <row r="1484" spans="1:10" outlineLevel="2">
      <c r="A1484" s="2459" t="s">
        <v>1669</v>
      </c>
      <c r="B1484" s="2459" t="s">
        <v>1648</v>
      </c>
      <c r="C1484" s="2459" t="s">
        <v>1674</v>
      </c>
      <c r="D1484" s="2460" t="s">
        <v>1671</v>
      </c>
      <c r="E1484" s="2461" t="s">
        <v>1538</v>
      </c>
      <c r="F1484" s="2461" t="s">
        <v>1570</v>
      </c>
      <c r="G1484" s="2461" t="s">
        <v>899</v>
      </c>
      <c r="H1484" s="2461" t="s">
        <v>1540</v>
      </c>
      <c r="I1484" s="2462">
        <v>5.2640498584299529E-5</v>
      </c>
      <c r="J1484" s="2462">
        <v>0.22742506460735726</v>
      </c>
    </row>
    <row r="1485" spans="1:10" outlineLevel="2">
      <c r="A1485" s="2459" t="s">
        <v>1669</v>
      </c>
      <c r="B1485" s="2459" t="s">
        <v>1648</v>
      </c>
      <c r="C1485" s="2459" t="s">
        <v>1674</v>
      </c>
      <c r="D1485" s="2460" t="s">
        <v>1671</v>
      </c>
      <c r="E1485" s="2461" t="s">
        <v>1400</v>
      </c>
      <c r="F1485" s="2461" t="s">
        <v>1571</v>
      </c>
      <c r="G1485" s="2461" t="s">
        <v>215</v>
      </c>
      <c r="H1485" s="2461" t="s">
        <v>1531</v>
      </c>
      <c r="I1485" s="2462">
        <v>5.3604898725413082E-2</v>
      </c>
      <c r="J1485" s="2462">
        <v>1929.2821925877913</v>
      </c>
    </row>
    <row r="1486" spans="1:10" outlineLevel="2">
      <c r="A1486" s="2459" t="s">
        <v>1669</v>
      </c>
      <c r="B1486" s="2459" t="s">
        <v>1648</v>
      </c>
      <c r="C1486" s="2459" t="s">
        <v>1674</v>
      </c>
      <c r="D1486" s="2460" t="s">
        <v>1671</v>
      </c>
      <c r="E1486" s="2461" t="s">
        <v>1400</v>
      </c>
      <c r="F1486" s="2461" t="s">
        <v>1572</v>
      </c>
      <c r="G1486" s="2461" t="s">
        <v>215</v>
      </c>
      <c r="H1486" s="2461" t="s">
        <v>1531</v>
      </c>
      <c r="I1486" s="2462">
        <v>4.6870885191729509E-4</v>
      </c>
      <c r="J1486" s="2462">
        <v>8.89113987834134</v>
      </c>
    </row>
    <row r="1487" spans="1:10" outlineLevel="2">
      <c r="A1487" s="2459" t="s">
        <v>1669</v>
      </c>
      <c r="B1487" s="2459" t="s">
        <v>1648</v>
      </c>
      <c r="C1487" s="2459" t="s">
        <v>1674</v>
      </c>
      <c r="D1487" s="2460" t="s">
        <v>1671</v>
      </c>
      <c r="E1487" s="2461" t="s">
        <v>1573</v>
      </c>
      <c r="F1487" s="2461" t="s">
        <v>1574</v>
      </c>
      <c r="G1487" s="2461" t="s">
        <v>1426</v>
      </c>
      <c r="H1487" s="2461" t="s">
        <v>1427</v>
      </c>
      <c r="I1487" s="2462">
        <v>1.2431270024559564E-2</v>
      </c>
      <c r="J1487" s="2462">
        <v>307.31859532851621</v>
      </c>
    </row>
    <row r="1488" spans="1:10" outlineLevel="2">
      <c r="A1488" s="2459" t="s">
        <v>1669</v>
      </c>
      <c r="B1488" s="2459" t="s">
        <v>1648</v>
      </c>
      <c r="C1488" s="2459" t="s">
        <v>1674</v>
      </c>
      <c r="D1488" s="2460" t="s">
        <v>1671</v>
      </c>
      <c r="E1488" s="2461" t="s">
        <v>1573</v>
      </c>
      <c r="F1488" s="2461" t="s">
        <v>1575</v>
      </c>
      <c r="G1488" s="2461" t="s">
        <v>1409</v>
      </c>
      <c r="H1488" s="2461" t="s">
        <v>1070</v>
      </c>
      <c r="I1488" s="2462">
        <v>3.227162686454163E-3</v>
      </c>
      <c r="J1488" s="2462">
        <v>188.20954096842135</v>
      </c>
    </row>
    <row r="1489" spans="1:10" outlineLevel="2">
      <c r="A1489" s="2459" t="s">
        <v>1669</v>
      </c>
      <c r="B1489" s="2459" t="s">
        <v>1648</v>
      </c>
      <c r="C1489" s="2459" t="s">
        <v>1674</v>
      </c>
      <c r="D1489" s="2460" t="s">
        <v>1671</v>
      </c>
      <c r="E1489" s="2461" t="s">
        <v>1573</v>
      </c>
      <c r="F1489" s="2461" t="s">
        <v>1576</v>
      </c>
      <c r="G1489" s="2461" t="s">
        <v>1409</v>
      </c>
      <c r="H1489" s="2461" t="s">
        <v>1070</v>
      </c>
      <c r="I1489" s="2462">
        <v>2.7748113164371516E-5</v>
      </c>
      <c r="J1489" s="2462">
        <v>0.30649518788487884</v>
      </c>
    </row>
    <row r="1490" spans="1:10" outlineLevel="2">
      <c r="A1490" s="2459" t="s">
        <v>1669</v>
      </c>
      <c r="B1490" s="2459" t="s">
        <v>1648</v>
      </c>
      <c r="C1490" s="2459" t="s">
        <v>1674</v>
      </c>
      <c r="D1490" s="2460" t="s">
        <v>1671</v>
      </c>
      <c r="E1490" s="2461" t="s">
        <v>1573</v>
      </c>
      <c r="F1490" s="2461" t="s">
        <v>1577</v>
      </c>
      <c r="G1490" s="2461" t="s">
        <v>1409</v>
      </c>
      <c r="H1490" s="2461" t="s">
        <v>1070</v>
      </c>
      <c r="I1490" s="2462">
        <v>4.0241888110053035E-4</v>
      </c>
      <c r="J1490" s="2462">
        <v>5.0488116231782643</v>
      </c>
    </row>
    <row r="1491" spans="1:10" outlineLevel="2">
      <c r="A1491" s="2459" t="s">
        <v>1669</v>
      </c>
      <c r="B1491" s="2459" t="s">
        <v>1648</v>
      </c>
      <c r="C1491" s="2459" t="s">
        <v>1674</v>
      </c>
      <c r="D1491" s="2460" t="s">
        <v>1671</v>
      </c>
      <c r="E1491" s="2461" t="s">
        <v>1573</v>
      </c>
      <c r="F1491" s="2461" t="s">
        <v>1578</v>
      </c>
      <c r="G1491" s="2461" t="s">
        <v>1409</v>
      </c>
      <c r="H1491" s="2461" t="s">
        <v>1070</v>
      </c>
      <c r="I1491" s="2462">
        <v>9.189653870803411E-3</v>
      </c>
      <c r="J1491" s="2462">
        <v>471.11688314599809</v>
      </c>
    </row>
    <row r="1492" spans="1:10" outlineLevel="2">
      <c r="A1492" s="2459" t="s">
        <v>1669</v>
      </c>
      <c r="B1492" s="2459" t="s">
        <v>1648</v>
      </c>
      <c r="C1492" s="2459" t="s">
        <v>1674</v>
      </c>
      <c r="D1492" s="2460" t="s">
        <v>1671</v>
      </c>
      <c r="E1492" s="2461" t="s">
        <v>1573</v>
      </c>
      <c r="F1492" s="2461" t="s">
        <v>1579</v>
      </c>
      <c r="G1492" s="2461" t="s">
        <v>1409</v>
      </c>
      <c r="H1492" s="2461" t="s">
        <v>1070</v>
      </c>
      <c r="I1492" s="2462">
        <v>6.9761148867499567E-3</v>
      </c>
      <c r="J1492" s="2462">
        <v>512.6071327333309</v>
      </c>
    </row>
    <row r="1493" spans="1:10" outlineLevel="2">
      <c r="A1493" s="2459" t="s">
        <v>1669</v>
      </c>
      <c r="B1493" s="2459" t="s">
        <v>1648</v>
      </c>
      <c r="C1493" s="2459" t="s">
        <v>1674</v>
      </c>
      <c r="D1493" s="2460" t="s">
        <v>1671</v>
      </c>
      <c r="E1493" s="2461" t="s">
        <v>1573</v>
      </c>
      <c r="F1493" s="2461" t="s">
        <v>1580</v>
      </c>
      <c r="G1493" s="2461" t="s">
        <v>1409</v>
      </c>
      <c r="H1493" s="2461" t="s">
        <v>1070</v>
      </c>
      <c r="I1493" s="2462">
        <v>7.8815545587217943E-4</v>
      </c>
      <c r="J1493" s="2462">
        <v>28.305207205907049</v>
      </c>
    </row>
    <row r="1494" spans="1:10" outlineLevel="2">
      <c r="A1494" s="2459" t="s">
        <v>1669</v>
      </c>
      <c r="B1494" s="2459" t="s">
        <v>1648</v>
      </c>
      <c r="C1494" s="2459" t="s">
        <v>1674</v>
      </c>
      <c r="D1494" s="2460" t="s">
        <v>1671</v>
      </c>
      <c r="E1494" s="2461" t="s">
        <v>1573</v>
      </c>
      <c r="F1494" s="2461" t="s">
        <v>1581</v>
      </c>
      <c r="G1494" s="2461" t="s">
        <v>1409</v>
      </c>
      <c r="H1494" s="2461" t="s">
        <v>1070</v>
      </c>
      <c r="I1494" s="2462">
        <v>4.1921266411715409E-4</v>
      </c>
      <c r="J1494" s="2462">
        <v>19.274626518211083</v>
      </c>
    </row>
    <row r="1495" spans="1:10" outlineLevel="2">
      <c r="A1495" s="2459" t="s">
        <v>1669</v>
      </c>
      <c r="B1495" s="2459" t="s">
        <v>1648</v>
      </c>
      <c r="C1495" s="2459" t="s">
        <v>1674</v>
      </c>
      <c r="D1495" s="2460" t="s">
        <v>1671</v>
      </c>
      <c r="E1495" s="2461" t="s">
        <v>1573</v>
      </c>
      <c r="F1495" s="2461" t="s">
        <v>1582</v>
      </c>
      <c r="G1495" s="2461" t="s">
        <v>1409</v>
      </c>
      <c r="H1495" s="2461" t="s">
        <v>1070</v>
      </c>
      <c r="I1495" s="2462">
        <v>2.228098689478434E-3</v>
      </c>
      <c r="J1495" s="2462">
        <v>52.929991440086745</v>
      </c>
    </row>
    <row r="1496" spans="1:10" outlineLevel="2">
      <c r="A1496" s="2459" t="s">
        <v>1669</v>
      </c>
      <c r="B1496" s="2459" t="s">
        <v>1648</v>
      </c>
      <c r="C1496" s="2459" t="s">
        <v>1674</v>
      </c>
      <c r="D1496" s="2460" t="s">
        <v>1671</v>
      </c>
      <c r="E1496" s="2461" t="s">
        <v>1573</v>
      </c>
      <c r="F1496" s="2461" t="s">
        <v>1583</v>
      </c>
      <c r="G1496" s="2461" t="s">
        <v>1409</v>
      </c>
      <c r="H1496" s="2461" t="s">
        <v>1070</v>
      </c>
      <c r="I1496" s="2462">
        <v>6.38732221005185E-3</v>
      </c>
      <c r="J1496" s="2462">
        <v>226.50139394907049</v>
      </c>
    </row>
    <row r="1497" spans="1:10" outlineLevel="2">
      <c r="A1497" s="2459" t="s">
        <v>1669</v>
      </c>
      <c r="B1497" s="2459" t="s">
        <v>1648</v>
      </c>
      <c r="C1497" s="2459" t="s">
        <v>1674</v>
      </c>
      <c r="D1497" s="2460" t="s">
        <v>1671</v>
      </c>
      <c r="E1497" s="2461" t="s">
        <v>1573</v>
      </c>
      <c r="F1497" s="2461" t="s">
        <v>1584</v>
      </c>
      <c r="G1497" s="2461" t="s">
        <v>1409</v>
      </c>
      <c r="H1497" s="2461" t="s">
        <v>1070</v>
      </c>
      <c r="I1497" s="2462">
        <v>4.5156275903057014E-3</v>
      </c>
      <c r="J1497" s="2462">
        <v>248.6844861340719</v>
      </c>
    </row>
    <row r="1498" spans="1:10" outlineLevel="2">
      <c r="A1498" s="2459" t="s">
        <v>1669</v>
      </c>
      <c r="B1498" s="2459" t="s">
        <v>1648</v>
      </c>
      <c r="C1498" s="2459" t="s">
        <v>1674</v>
      </c>
      <c r="D1498" s="2460" t="s">
        <v>1671</v>
      </c>
      <c r="E1498" s="2461" t="s">
        <v>1573</v>
      </c>
      <c r="F1498" s="2461" t="s">
        <v>1585</v>
      </c>
      <c r="G1498" s="2461" t="s">
        <v>1409</v>
      </c>
      <c r="H1498" s="2461" t="s">
        <v>1070</v>
      </c>
      <c r="I1498" s="2462">
        <v>2.4756761844668913E-2</v>
      </c>
      <c r="J1498" s="2462">
        <v>1909.5180519941841</v>
      </c>
    </row>
    <row r="1499" spans="1:10" outlineLevel="2">
      <c r="A1499" s="2459" t="s">
        <v>1669</v>
      </c>
      <c r="B1499" s="2459" t="s">
        <v>1648</v>
      </c>
      <c r="C1499" s="2459" t="s">
        <v>1674</v>
      </c>
      <c r="D1499" s="2460" t="s">
        <v>1671</v>
      </c>
      <c r="E1499" s="2461" t="s">
        <v>1573</v>
      </c>
      <c r="F1499" s="2461" t="s">
        <v>1586</v>
      </c>
      <c r="G1499" s="2461" t="s">
        <v>1409</v>
      </c>
      <c r="H1499" s="2461" t="s">
        <v>1070</v>
      </c>
      <c r="I1499" s="2462">
        <v>5.2362413551979036E-4</v>
      </c>
      <c r="J1499" s="2462">
        <v>15.877868006328489</v>
      </c>
    </row>
    <row r="1500" spans="1:10" outlineLevel="2">
      <c r="A1500" s="2459" t="s">
        <v>1669</v>
      </c>
      <c r="B1500" s="2459" t="s">
        <v>1648</v>
      </c>
      <c r="C1500" s="2459" t="s">
        <v>1674</v>
      </c>
      <c r="D1500" s="2460" t="s">
        <v>1671</v>
      </c>
      <c r="E1500" s="2461" t="s">
        <v>1573</v>
      </c>
      <c r="F1500" s="2461" t="s">
        <v>1587</v>
      </c>
      <c r="G1500" s="2461" t="s">
        <v>1409</v>
      </c>
      <c r="H1500" s="2461" t="s">
        <v>1070</v>
      </c>
      <c r="I1500" s="2462">
        <v>2.0620892451520722E-4</v>
      </c>
      <c r="J1500" s="2462">
        <v>9.7220534186466843</v>
      </c>
    </row>
    <row r="1501" spans="1:10" outlineLevel="2">
      <c r="A1501" s="2459" t="s">
        <v>1669</v>
      </c>
      <c r="B1501" s="2459" t="s">
        <v>1648</v>
      </c>
      <c r="C1501" s="2459" t="s">
        <v>1674</v>
      </c>
      <c r="D1501" s="2460" t="s">
        <v>1671</v>
      </c>
      <c r="E1501" s="2461" t="s">
        <v>1573</v>
      </c>
      <c r="F1501" s="2461" t="s">
        <v>1588</v>
      </c>
      <c r="G1501" s="2461" t="s">
        <v>1409</v>
      </c>
      <c r="H1501" s="2461" t="s">
        <v>1070</v>
      </c>
      <c r="I1501" s="2462">
        <v>7.305336747335146E-3</v>
      </c>
      <c r="J1501" s="2462">
        <v>436.46679981058764</v>
      </c>
    </row>
    <row r="1502" spans="1:10" outlineLevel="2">
      <c r="A1502" s="2459" t="s">
        <v>1669</v>
      </c>
      <c r="B1502" s="2459" t="s">
        <v>1648</v>
      </c>
      <c r="C1502" s="2459" t="s">
        <v>1674</v>
      </c>
      <c r="D1502" s="2460" t="s">
        <v>1671</v>
      </c>
      <c r="E1502" s="2461" t="s">
        <v>1573</v>
      </c>
      <c r="F1502" s="2461" t="s">
        <v>1589</v>
      </c>
      <c r="G1502" s="2461" t="s">
        <v>1409</v>
      </c>
      <c r="H1502" s="2461" t="s">
        <v>1070</v>
      </c>
      <c r="I1502" s="2462">
        <v>6.2805004484901205E-3</v>
      </c>
      <c r="J1502" s="2462">
        <v>475.09979025466583</v>
      </c>
    </row>
    <row r="1503" spans="1:10" outlineLevel="2">
      <c r="A1503" s="2459" t="s">
        <v>1669</v>
      </c>
      <c r="B1503" s="2459" t="s">
        <v>1648</v>
      </c>
      <c r="C1503" s="2459" t="s">
        <v>1674</v>
      </c>
      <c r="D1503" s="2460" t="s">
        <v>1671</v>
      </c>
      <c r="E1503" s="2461" t="s">
        <v>1573</v>
      </c>
      <c r="F1503" s="2461" t="s">
        <v>1590</v>
      </c>
      <c r="G1503" s="2461" t="s">
        <v>1409</v>
      </c>
      <c r="H1503" s="2461" t="s">
        <v>1070</v>
      </c>
      <c r="I1503" s="2462">
        <v>2.2930696394632737E-2</v>
      </c>
      <c r="J1503" s="2462">
        <v>1634.2758919751664</v>
      </c>
    </row>
    <row r="1504" spans="1:10" outlineLevel="2">
      <c r="A1504" s="2459" t="s">
        <v>1669</v>
      </c>
      <c r="B1504" s="2459" t="s">
        <v>1648</v>
      </c>
      <c r="C1504" s="2459" t="s">
        <v>1674</v>
      </c>
      <c r="D1504" s="2460" t="s">
        <v>1671</v>
      </c>
      <c r="E1504" s="2461" t="s">
        <v>1573</v>
      </c>
      <c r="F1504" s="2461" t="s">
        <v>1591</v>
      </c>
      <c r="G1504" s="2461" t="s">
        <v>1409</v>
      </c>
      <c r="H1504" s="2461" t="s">
        <v>1070</v>
      </c>
      <c r="I1504" s="2462">
        <v>1.5784370957828392E-3</v>
      </c>
      <c r="J1504" s="2462">
        <v>76.846524631677767</v>
      </c>
    </row>
    <row r="1505" spans="1:10" outlineLevel="2">
      <c r="A1505" s="2459" t="s">
        <v>1669</v>
      </c>
      <c r="B1505" s="2459" t="s">
        <v>1648</v>
      </c>
      <c r="C1505" s="2459" t="s">
        <v>1674</v>
      </c>
      <c r="D1505" s="2460" t="s">
        <v>1671</v>
      </c>
      <c r="E1505" s="2461" t="s">
        <v>1573</v>
      </c>
      <c r="F1505" s="2461" t="s">
        <v>1592</v>
      </c>
      <c r="G1505" s="2461" t="s">
        <v>1409</v>
      </c>
      <c r="H1505" s="2461" t="s">
        <v>1070</v>
      </c>
      <c r="I1505" s="2462">
        <v>1.3272630807672235E-2</v>
      </c>
      <c r="J1505" s="2462">
        <v>611.27275666843138</v>
      </c>
    </row>
    <row r="1506" spans="1:10" outlineLevel="2">
      <c r="A1506" s="2459" t="s">
        <v>1669</v>
      </c>
      <c r="B1506" s="2459" t="s">
        <v>1648</v>
      </c>
      <c r="C1506" s="2459" t="s">
        <v>1674</v>
      </c>
      <c r="D1506" s="2460" t="s">
        <v>1671</v>
      </c>
      <c r="E1506" s="2461" t="s">
        <v>1573</v>
      </c>
      <c r="F1506" s="2461" t="s">
        <v>1593</v>
      </c>
      <c r="G1506" s="2461" t="s">
        <v>1409</v>
      </c>
      <c r="H1506" s="2461" t="s">
        <v>1070</v>
      </c>
      <c r="I1506" s="2462">
        <v>3.2429106686691626E-2</v>
      </c>
      <c r="J1506" s="2462">
        <v>2078.210635264033</v>
      </c>
    </row>
    <row r="1507" spans="1:10" outlineLevel="2">
      <c r="A1507" s="2459" t="s">
        <v>1669</v>
      </c>
      <c r="B1507" s="2459" t="s">
        <v>1648</v>
      </c>
      <c r="C1507" s="2459" t="s">
        <v>1674</v>
      </c>
      <c r="D1507" s="2460" t="s">
        <v>1671</v>
      </c>
      <c r="E1507" s="2461" t="s">
        <v>1573</v>
      </c>
      <c r="F1507" s="2461" t="s">
        <v>1594</v>
      </c>
      <c r="G1507" s="2461" t="s">
        <v>1409</v>
      </c>
      <c r="H1507" s="2461" t="s">
        <v>1070</v>
      </c>
      <c r="I1507" s="2462">
        <v>7.1027731089973345E-2</v>
      </c>
      <c r="J1507" s="2462">
        <v>1394.1953521912467</v>
      </c>
    </row>
    <row r="1508" spans="1:10" outlineLevel="2">
      <c r="A1508" s="2459" t="s">
        <v>1669</v>
      </c>
      <c r="B1508" s="2459" t="s">
        <v>1648</v>
      </c>
      <c r="C1508" s="2459" t="s">
        <v>1674</v>
      </c>
      <c r="D1508" s="2460" t="s">
        <v>1671</v>
      </c>
      <c r="E1508" s="2461" t="s">
        <v>1573</v>
      </c>
      <c r="F1508" s="2461" t="s">
        <v>1595</v>
      </c>
      <c r="G1508" s="2461" t="s">
        <v>1409</v>
      </c>
      <c r="H1508" s="2461" t="s">
        <v>1070</v>
      </c>
      <c r="I1508" s="2462">
        <v>2.6115206799672292E-2</v>
      </c>
      <c r="J1508" s="2462">
        <v>1901.1232165290544</v>
      </c>
    </row>
    <row r="1509" spans="1:10" outlineLevel="2">
      <c r="A1509" s="2459" t="s">
        <v>1669</v>
      </c>
      <c r="B1509" s="2459" t="s">
        <v>1648</v>
      </c>
      <c r="C1509" s="2459" t="s">
        <v>1674</v>
      </c>
      <c r="D1509" s="2460" t="s">
        <v>1671</v>
      </c>
      <c r="E1509" s="2461" t="s">
        <v>1573</v>
      </c>
      <c r="F1509" s="2461" t="s">
        <v>1596</v>
      </c>
      <c r="G1509" s="2461" t="s">
        <v>1409</v>
      </c>
      <c r="H1509" s="2461" t="s">
        <v>1070</v>
      </c>
      <c r="I1509" s="2462">
        <v>4.7550709626430508E-2</v>
      </c>
      <c r="J1509" s="2462">
        <v>1094.3720128488653</v>
      </c>
    </row>
    <row r="1510" spans="1:10" outlineLevel="2">
      <c r="A1510" s="2459" t="s">
        <v>1669</v>
      </c>
      <c r="B1510" s="2459" t="s">
        <v>1648</v>
      </c>
      <c r="C1510" s="2459" t="s">
        <v>1674</v>
      </c>
      <c r="D1510" s="2460" t="s">
        <v>1671</v>
      </c>
      <c r="E1510" s="2461" t="s">
        <v>1573</v>
      </c>
      <c r="F1510" s="2461" t="s">
        <v>1597</v>
      </c>
      <c r="G1510" s="2461" t="s">
        <v>1409</v>
      </c>
      <c r="H1510" s="2461" t="s">
        <v>1070</v>
      </c>
      <c r="I1510" s="2462">
        <v>2.7913192721115863E-3</v>
      </c>
      <c r="J1510" s="2462">
        <v>203.9928715563683</v>
      </c>
    </row>
    <row r="1511" spans="1:10" outlineLevel="2">
      <c r="A1511" s="2459" t="s">
        <v>1669</v>
      </c>
      <c r="B1511" s="2459" t="s">
        <v>1648</v>
      </c>
      <c r="C1511" s="2459" t="s">
        <v>1674</v>
      </c>
      <c r="D1511" s="2460" t="s">
        <v>1671</v>
      </c>
      <c r="E1511" s="2461" t="s">
        <v>1573</v>
      </c>
      <c r="F1511" s="2461" t="s">
        <v>1598</v>
      </c>
      <c r="G1511" s="2461" t="s">
        <v>1409</v>
      </c>
      <c r="H1511" s="2461" t="s">
        <v>1070</v>
      </c>
      <c r="I1511" s="2462">
        <v>1.4497875934604056E-4</v>
      </c>
      <c r="J1511" s="2462">
        <v>3.3467726742193982</v>
      </c>
    </row>
    <row r="1512" spans="1:10" outlineLevel="2">
      <c r="A1512" s="2459" t="s">
        <v>1669</v>
      </c>
      <c r="B1512" s="2459" t="s">
        <v>1648</v>
      </c>
      <c r="C1512" s="2459" t="s">
        <v>1674</v>
      </c>
      <c r="D1512" s="2460" t="s">
        <v>1671</v>
      </c>
      <c r="E1512" s="2461" t="s">
        <v>1573</v>
      </c>
      <c r="F1512" s="2461" t="s">
        <v>1599</v>
      </c>
      <c r="G1512" s="2461" t="s">
        <v>1409</v>
      </c>
      <c r="H1512" s="2461" t="s">
        <v>1070</v>
      </c>
      <c r="I1512" s="2462">
        <v>3.9580547689599867E-3</v>
      </c>
      <c r="J1512" s="2462">
        <v>212.7845815997957</v>
      </c>
    </row>
    <row r="1513" spans="1:10" outlineLevel="2">
      <c r="A1513" s="2459" t="s">
        <v>1669</v>
      </c>
      <c r="B1513" s="2459" t="s">
        <v>1648</v>
      </c>
      <c r="C1513" s="2459" t="s">
        <v>1674</v>
      </c>
      <c r="D1513" s="2460" t="s">
        <v>1671</v>
      </c>
      <c r="E1513" s="2461" t="s">
        <v>1573</v>
      </c>
      <c r="F1513" s="2461" t="s">
        <v>1600</v>
      </c>
      <c r="G1513" s="2461" t="s">
        <v>1412</v>
      </c>
      <c r="H1513" s="2461" t="s">
        <v>1116</v>
      </c>
      <c r="I1513" s="2462">
        <v>2.5349109774407204E-3</v>
      </c>
      <c r="J1513" s="2462">
        <v>61.326249451967222</v>
      </c>
    </row>
    <row r="1514" spans="1:10" outlineLevel="2">
      <c r="A1514" s="2459" t="s">
        <v>1669</v>
      </c>
      <c r="B1514" s="2459" t="s">
        <v>1648</v>
      </c>
      <c r="C1514" s="2459" t="s">
        <v>1674</v>
      </c>
      <c r="D1514" s="2460" t="s">
        <v>1671</v>
      </c>
      <c r="E1514" s="2461" t="s">
        <v>1573</v>
      </c>
      <c r="F1514" s="2461" t="s">
        <v>1601</v>
      </c>
      <c r="G1514" s="2461" t="s">
        <v>1412</v>
      </c>
      <c r="H1514" s="2461" t="s">
        <v>1116</v>
      </c>
      <c r="I1514" s="2462">
        <v>1.2615320376268451E-2</v>
      </c>
      <c r="J1514" s="2462">
        <v>889.69663786000513</v>
      </c>
    </row>
    <row r="1515" spans="1:10" outlineLevel="2">
      <c r="A1515" s="2459" t="s">
        <v>1669</v>
      </c>
      <c r="B1515" s="2459" t="s">
        <v>1648</v>
      </c>
      <c r="C1515" s="2459" t="s">
        <v>1674</v>
      </c>
      <c r="D1515" s="2460" t="s">
        <v>1671</v>
      </c>
      <c r="E1515" s="2461" t="s">
        <v>1573</v>
      </c>
      <c r="F1515" s="2461" t="s">
        <v>1602</v>
      </c>
      <c r="G1515" s="2461" t="s">
        <v>1412</v>
      </c>
      <c r="H1515" s="2461" t="s">
        <v>1116</v>
      </c>
      <c r="I1515" s="2462">
        <v>7.4108339587893764E-3</v>
      </c>
      <c r="J1515" s="2462">
        <v>388.60122662974646</v>
      </c>
    </row>
    <row r="1516" spans="1:10" outlineLevel="2">
      <c r="A1516" s="2459" t="s">
        <v>1669</v>
      </c>
      <c r="B1516" s="2459" t="s">
        <v>1648</v>
      </c>
      <c r="C1516" s="2459" t="s">
        <v>1674</v>
      </c>
      <c r="D1516" s="2460" t="s">
        <v>1671</v>
      </c>
      <c r="E1516" s="2461" t="s">
        <v>1573</v>
      </c>
      <c r="F1516" s="2461" t="s">
        <v>1603</v>
      </c>
      <c r="G1516" s="2461" t="s">
        <v>1412</v>
      </c>
      <c r="H1516" s="2461" t="s">
        <v>1116</v>
      </c>
      <c r="I1516" s="2462">
        <v>8.7720292765046219E-3</v>
      </c>
      <c r="J1516" s="2462">
        <v>394.05678411495109</v>
      </c>
    </row>
    <row r="1517" spans="1:10" outlineLevel="2">
      <c r="A1517" s="2459" t="s">
        <v>1669</v>
      </c>
      <c r="B1517" s="2459" t="s">
        <v>1648</v>
      </c>
      <c r="C1517" s="2459" t="s">
        <v>1674</v>
      </c>
      <c r="D1517" s="2460" t="s">
        <v>1671</v>
      </c>
      <c r="E1517" s="2461" t="s">
        <v>1573</v>
      </c>
      <c r="F1517" s="2461" t="s">
        <v>1604</v>
      </c>
      <c r="G1517" s="2461" t="s">
        <v>1412</v>
      </c>
      <c r="H1517" s="2461" t="s">
        <v>1116</v>
      </c>
      <c r="I1517" s="2462">
        <v>5.5558038224015312E-4</v>
      </c>
      <c r="J1517" s="2462">
        <v>15.197259972798399</v>
      </c>
    </row>
    <row r="1518" spans="1:10" outlineLevel="2">
      <c r="A1518" s="2459" t="s">
        <v>1669</v>
      </c>
      <c r="B1518" s="2459" t="s">
        <v>1648</v>
      </c>
      <c r="C1518" s="2459" t="s">
        <v>1674</v>
      </c>
      <c r="D1518" s="2460" t="s">
        <v>1671</v>
      </c>
      <c r="E1518" s="2461" t="s">
        <v>1573</v>
      </c>
      <c r="F1518" s="2461" t="s">
        <v>1605</v>
      </c>
      <c r="G1518" s="2461" t="s">
        <v>1412</v>
      </c>
      <c r="H1518" s="2461" t="s">
        <v>1116</v>
      </c>
      <c r="I1518" s="2462">
        <v>4.8408134830354652E-2</v>
      </c>
      <c r="J1518" s="2462">
        <v>1591.0006668233298</v>
      </c>
    </row>
    <row r="1519" spans="1:10" outlineLevel="2">
      <c r="A1519" s="2459" t="s">
        <v>1669</v>
      </c>
      <c r="B1519" s="2459" t="s">
        <v>1648</v>
      </c>
      <c r="C1519" s="2459" t="s">
        <v>1674</v>
      </c>
      <c r="D1519" s="2460" t="s">
        <v>1671</v>
      </c>
      <c r="E1519" s="2461" t="s">
        <v>1573</v>
      </c>
      <c r="F1519" s="2461" t="s">
        <v>1606</v>
      </c>
      <c r="G1519" s="2461" t="s">
        <v>1412</v>
      </c>
      <c r="H1519" s="2461" t="s">
        <v>1116</v>
      </c>
      <c r="I1519" s="2462">
        <v>6.917032339338978E-3</v>
      </c>
      <c r="J1519" s="2462">
        <v>560.74370595589289</v>
      </c>
    </row>
    <row r="1520" spans="1:10" outlineLevel="2">
      <c r="A1520" s="2459" t="s">
        <v>1669</v>
      </c>
      <c r="B1520" s="2459" t="s">
        <v>1648</v>
      </c>
      <c r="C1520" s="2459" t="s">
        <v>1674</v>
      </c>
      <c r="D1520" s="2460" t="s">
        <v>1671</v>
      </c>
      <c r="E1520" s="2461" t="s">
        <v>1573</v>
      </c>
      <c r="F1520" s="2461" t="s">
        <v>1607</v>
      </c>
      <c r="G1520" s="2461" t="s">
        <v>1439</v>
      </c>
      <c r="H1520" s="2461" t="s">
        <v>1440</v>
      </c>
      <c r="I1520" s="2462">
        <v>8.8701685932348283E-7</v>
      </c>
      <c r="J1520" s="2462">
        <v>2.2232087422150087E-2</v>
      </c>
    </row>
    <row r="1521" spans="1:10" outlineLevel="2">
      <c r="A1521" s="2459" t="s">
        <v>1669</v>
      </c>
      <c r="B1521" s="2459" t="s">
        <v>1648</v>
      </c>
      <c r="C1521" s="2459" t="s">
        <v>1674</v>
      </c>
      <c r="D1521" s="2460" t="s">
        <v>1671</v>
      </c>
      <c r="E1521" s="2461" t="s">
        <v>1573</v>
      </c>
      <c r="F1521" s="2461" t="s">
        <v>1608</v>
      </c>
      <c r="G1521" s="2461" t="s">
        <v>1439</v>
      </c>
      <c r="H1521" s="2461" t="s">
        <v>1440</v>
      </c>
      <c r="I1521" s="2462">
        <v>1.0425084699377431E-4</v>
      </c>
      <c r="J1521" s="2462">
        <v>5.8397056578446636</v>
      </c>
    </row>
    <row r="1522" spans="1:10" outlineLevel="2">
      <c r="A1522" s="2459" t="s">
        <v>1669</v>
      </c>
      <c r="B1522" s="2459" t="s">
        <v>1648</v>
      </c>
      <c r="C1522" s="2459" t="s">
        <v>1674</v>
      </c>
      <c r="D1522" s="2460" t="s">
        <v>1671</v>
      </c>
      <c r="E1522" s="2461" t="s">
        <v>1573</v>
      </c>
      <c r="F1522" s="2461" t="s">
        <v>1609</v>
      </c>
      <c r="G1522" s="2461" t="s">
        <v>1439</v>
      </c>
      <c r="H1522" s="2461" t="s">
        <v>1440</v>
      </c>
      <c r="I1522" s="2462">
        <v>7.0151010611420161E-3</v>
      </c>
      <c r="J1522" s="2462">
        <v>155.84147073194188</v>
      </c>
    </row>
    <row r="1523" spans="1:10" outlineLevel="2">
      <c r="A1523" s="2459" t="s">
        <v>1669</v>
      </c>
      <c r="B1523" s="2459" t="s">
        <v>1648</v>
      </c>
      <c r="C1523" s="2459" t="s">
        <v>1674</v>
      </c>
      <c r="D1523" s="2460" t="s">
        <v>1671</v>
      </c>
      <c r="E1523" s="2461" t="s">
        <v>1573</v>
      </c>
      <c r="F1523" s="2461" t="s">
        <v>1610</v>
      </c>
      <c r="G1523" s="2461" t="s">
        <v>1439</v>
      </c>
      <c r="H1523" s="2461" t="s">
        <v>1440</v>
      </c>
      <c r="I1523" s="2462">
        <v>1.8448466193494552E-3</v>
      </c>
      <c r="J1523" s="2462">
        <v>32.170639640771512</v>
      </c>
    </row>
    <row r="1524" spans="1:10" outlineLevel="2">
      <c r="A1524" s="2459" t="s">
        <v>1669</v>
      </c>
      <c r="B1524" s="2459" t="s">
        <v>1648</v>
      </c>
      <c r="C1524" s="2459" t="s">
        <v>1674</v>
      </c>
      <c r="D1524" s="2460" t="s">
        <v>1671</v>
      </c>
      <c r="E1524" s="2461" t="s">
        <v>1573</v>
      </c>
      <c r="F1524" s="2461" t="s">
        <v>1611</v>
      </c>
      <c r="G1524" s="2461" t="s">
        <v>1439</v>
      </c>
      <c r="H1524" s="2461" t="s">
        <v>1440</v>
      </c>
      <c r="I1524" s="2462">
        <v>4.3604948208493897E-3</v>
      </c>
      <c r="J1524" s="2462">
        <v>212.44300253361197</v>
      </c>
    </row>
    <row r="1525" spans="1:10" outlineLevel="2">
      <c r="A1525" s="2459" t="s">
        <v>1669</v>
      </c>
      <c r="B1525" s="2459" t="s">
        <v>1648</v>
      </c>
      <c r="C1525" s="2459" t="s">
        <v>1674</v>
      </c>
      <c r="D1525" s="2460" t="s">
        <v>1671</v>
      </c>
      <c r="E1525" s="2461" t="s">
        <v>1573</v>
      </c>
      <c r="F1525" s="2461" t="s">
        <v>1612</v>
      </c>
      <c r="G1525" s="2461" t="s">
        <v>1439</v>
      </c>
      <c r="H1525" s="2461" t="s">
        <v>1440</v>
      </c>
      <c r="I1525" s="2462">
        <v>7.4780636654874237E-4</v>
      </c>
      <c r="J1525" s="2462">
        <v>25.031132113902057</v>
      </c>
    </row>
    <row r="1526" spans="1:10" outlineLevel="2">
      <c r="A1526" s="2459" t="s">
        <v>1669</v>
      </c>
      <c r="B1526" s="2459" t="s">
        <v>1648</v>
      </c>
      <c r="C1526" s="2459" t="s">
        <v>1674</v>
      </c>
      <c r="D1526" s="2460" t="s">
        <v>1671</v>
      </c>
      <c r="E1526" s="2461" t="s">
        <v>1573</v>
      </c>
      <c r="F1526" s="2461" t="s">
        <v>1613</v>
      </c>
      <c r="G1526" s="2461" t="s">
        <v>1439</v>
      </c>
      <c r="H1526" s="2461" t="s">
        <v>1440</v>
      </c>
      <c r="I1526" s="2462">
        <v>2.1024472200092305E-5</v>
      </c>
      <c r="J1526" s="2462">
        <v>0.63559540496550593</v>
      </c>
    </row>
    <row r="1527" spans="1:10" outlineLevel="2">
      <c r="A1527" s="2459" t="s">
        <v>1669</v>
      </c>
      <c r="B1527" s="2459" t="s">
        <v>1648</v>
      </c>
      <c r="C1527" s="2459" t="s">
        <v>1674</v>
      </c>
      <c r="D1527" s="2460" t="s">
        <v>1671</v>
      </c>
      <c r="E1527" s="2461" t="s">
        <v>1573</v>
      </c>
      <c r="F1527" s="2461" t="s">
        <v>1614</v>
      </c>
      <c r="G1527" s="2461" t="s">
        <v>1418</v>
      </c>
      <c r="H1527" s="2461" t="s">
        <v>1452</v>
      </c>
      <c r="I1527" s="2462">
        <v>7.6391791606210474E-6</v>
      </c>
      <c r="J1527" s="2462">
        <v>6.529515892931205E-2</v>
      </c>
    </row>
    <row r="1528" spans="1:10" outlineLevel="2">
      <c r="A1528" s="2459" t="s">
        <v>1669</v>
      </c>
      <c r="B1528" s="2459" t="s">
        <v>1648</v>
      </c>
      <c r="C1528" s="2459" t="s">
        <v>1674</v>
      </c>
      <c r="D1528" s="2460" t="s">
        <v>1671</v>
      </c>
      <c r="E1528" s="2461" t="s">
        <v>1573</v>
      </c>
      <c r="F1528" s="2461" t="s">
        <v>1615</v>
      </c>
      <c r="G1528" s="2461" t="s">
        <v>1418</v>
      </c>
      <c r="H1528" s="2461" t="s">
        <v>1452</v>
      </c>
      <c r="I1528" s="2462">
        <v>4.6209607039716986E-2</v>
      </c>
      <c r="J1528" s="2462">
        <v>2711.197214513737</v>
      </c>
    </row>
    <row r="1529" spans="1:10" outlineLevel="2">
      <c r="A1529" s="2459" t="s">
        <v>1669</v>
      </c>
      <c r="B1529" s="2459" t="s">
        <v>1648</v>
      </c>
      <c r="C1529" s="2459" t="s">
        <v>1674</v>
      </c>
      <c r="D1529" s="2460" t="s">
        <v>1671</v>
      </c>
      <c r="E1529" s="2461" t="s">
        <v>1573</v>
      </c>
      <c r="F1529" s="2461" t="s">
        <v>1616</v>
      </c>
      <c r="G1529" s="2461" t="s">
        <v>1418</v>
      </c>
      <c r="H1529" s="2461" t="s">
        <v>1452</v>
      </c>
      <c r="I1529" s="2462">
        <v>2.2055376770951942E-3</v>
      </c>
      <c r="J1529" s="2462">
        <v>243.08192948022221</v>
      </c>
    </row>
    <row r="1530" spans="1:10" outlineLevel="2">
      <c r="A1530" s="2459" t="s">
        <v>1669</v>
      </c>
      <c r="B1530" s="2459" t="s">
        <v>1648</v>
      </c>
      <c r="C1530" s="2459" t="s">
        <v>1674</v>
      </c>
      <c r="D1530" s="2460" t="s">
        <v>1671</v>
      </c>
      <c r="E1530" s="2461" t="s">
        <v>1573</v>
      </c>
      <c r="F1530" s="2461" t="s">
        <v>1617</v>
      </c>
      <c r="G1530" s="2461" t="s">
        <v>1418</v>
      </c>
      <c r="H1530" s="2461" t="s">
        <v>1452</v>
      </c>
      <c r="I1530" s="2462">
        <v>1.7518746797858603E-5</v>
      </c>
      <c r="J1530" s="2462">
        <v>1.3454758951950723</v>
      </c>
    </row>
    <row r="1531" spans="1:10" outlineLevel="2">
      <c r="A1531" s="2459" t="s">
        <v>1669</v>
      </c>
      <c r="B1531" s="2459" t="s">
        <v>1648</v>
      </c>
      <c r="C1531" s="2459" t="s">
        <v>1674</v>
      </c>
      <c r="D1531" s="2460" t="s">
        <v>1671</v>
      </c>
      <c r="E1531" s="2461" t="s">
        <v>1573</v>
      </c>
      <c r="F1531" s="2461" t="s">
        <v>1618</v>
      </c>
      <c r="G1531" s="2461" t="s">
        <v>1418</v>
      </c>
      <c r="H1531" s="2461" t="s">
        <v>1452</v>
      </c>
      <c r="I1531" s="2462">
        <v>3.4150287094649781E-6</v>
      </c>
      <c r="J1531" s="2462">
        <v>0.28264335321210993</v>
      </c>
    </row>
    <row r="1532" spans="1:10" outlineLevel="2">
      <c r="A1532" s="2459" t="s">
        <v>1669</v>
      </c>
      <c r="B1532" s="2459" t="s">
        <v>1648</v>
      </c>
      <c r="C1532" s="2459" t="s">
        <v>1674</v>
      </c>
      <c r="D1532" s="2460" t="s">
        <v>1671</v>
      </c>
      <c r="E1532" s="2461" t="s">
        <v>1573</v>
      </c>
      <c r="F1532" s="2461" t="s">
        <v>1619</v>
      </c>
      <c r="G1532" s="2461" t="s">
        <v>1418</v>
      </c>
      <c r="H1532" s="2461" t="s">
        <v>1452</v>
      </c>
      <c r="I1532" s="2462">
        <v>2.2419621543946989E-4</v>
      </c>
      <c r="J1532" s="2462">
        <v>20.614407420116834</v>
      </c>
    </row>
    <row r="1533" spans="1:10" outlineLevel="2">
      <c r="A1533" s="2459" t="s">
        <v>1669</v>
      </c>
      <c r="B1533" s="2459" t="s">
        <v>1648</v>
      </c>
      <c r="C1533" s="2459" t="s">
        <v>1674</v>
      </c>
      <c r="D1533" s="2460" t="s">
        <v>1671</v>
      </c>
      <c r="E1533" s="2461" t="s">
        <v>1573</v>
      </c>
      <c r="F1533" s="2461" t="s">
        <v>1620</v>
      </c>
      <c r="G1533" s="2461" t="s">
        <v>1418</v>
      </c>
      <c r="H1533" s="2461" t="s">
        <v>1452</v>
      </c>
      <c r="I1533" s="2462">
        <v>4.7400829617758306E-7</v>
      </c>
      <c r="J1533" s="2462">
        <v>5.7033722117536795E-2</v>
      </c>
    </row>
    <row r="1534" spans="1:10" outlineLevel="2">
      <c r="A1534" s="2459" t="s">
        <v>1669</v>
      </c>
      <c r="B1534" s="2459" t="s">
        <v>1648</v>
      </c>
      <c r="C1534" s="2459" t="s">
        <v>1674</v>
      </c>
      <c r="D1534" s="2460" t="s">
        <v>1671</v>
      </c>
      <c r="E1534" s="2461" t="s">
        <v>1573</v>
      </c>
      <c r="F1534" s="2461" t="s">
        <v>1621</v>
      </c>
      <c r="G1534" s="2461" t="s">
        <v>1418</v>
      </c>
      <c r="H1534" s="2461" t="s">
        <v>1452</v>
      </c>
      <c r="I1534" s="2462">
        <v>2.0179068824774678E-4</v>
      </c>
      <c r="J1534" s="2462">
        <v>19.060748323646507</v>
      </c>
    </row>
    <row r="1535" spans="1:10" outlineLevel="2">
      <c r="A1535" s="2459" t="s">
        <v>1669</v>
      </c>
      <c r="B1535" s="2459" t="s">
        <v>1648</v>
      </c>
      <c r="C1535" s="2459" t="s">
        <v>1674</v>
      </c>
      <c r="D1535" s="2460" t="s">
        <v>1671</v>
      </c>
      <c r="E1535" s="2461" t="s">
        <v>1573</v>
      </c>
      <c r="F1535" s="2461" t="s">
        <v>1622</v>
      </c>
      <c r="G1535" s="2461" t="s">
        <v>1418</v>
      </c>
      <c r="H1535" s="2461" t="s">
        <v>1452</v>
      </c>
      <c r="I1535" s="2462">
        <v>5.9663002825283726E-4</v>
      </c>
      <c r="J1535" s="2462">
        <v>53.042924514072268</v>
      </c>
    </row>
    <row r="1536" spans="1:10" outlineLevel="2">
      <c r="A1536" s="2459" t="s">
        <v>1669</v>
      </c>
      <c r="B1536" s="2459" t="s">
        <v>1648</v>
      </c>
      <c r="C1536" s="2459" t="s">
        <v>1674</v>
      </c>
      <c r="D1536" s="2460" t="s">
        <v>1671</v>
      </c>
      <c r="E1536" s="2461" t="s">
        <v>1573</v>
      </c>
      <c r="F1536" s="2461" t="s">
        <v>1623</v>
      </c>
      <c r="G1536" s="2461" t="s">
        <v>1418</v>
      </c>
      <c r="H1536" s="2461" t="s">
        <v>1452</v>
      </c>
      <c r="I1536" s="2462">
        <v>9.0486006488249603E-4</v>
      </c>
      <c r="J1536" s="2462">
        <v>39.112346475392279</v>
      </c>
    </row>
    <row r="1537" spans="1:10" outlineLevel="2">
      <c r="A1537" s="2459" t="s">
        <v>1669</v>
      </c>
      <c r="B1537" s="2459" t="s">
        <v>1648</v>
      </c>
      <c r="C1537" s="2459" t="s">
        <v>1674</v>
      </c>
      <c r="D1537" s="2460" t="s">
        <v>1671</v>
      </c>
      <c r="E1537" s="2461" t="s">
        <v>1573</v>
      </c>
      <c r="F1537" s="2461" t="s">
        <v>1624</v>
      </c>
      <c r="G1537" s="2461" t="s">
        <v>1421</v>
      </c>
      <c r="H1537" s="2461" t="s">
        <v>1454</v>
      </c>
      <c r="I1537" s="2462">
        <v>1.1504162431970295E-2</v>
      </c>
      <c r="J1537" s="2462">
        <v>420.67233952835801</v>
      </c>
    </row>
    <row r="1538" spans="1:10" outlineLevel="2">
      <c r="A1538" s="2459" t="s">
        <v>1669</v>
      </c>
      <c r="B1538" s="2459" t="s">
        <v>1648</v>
      </c>
      <c r="C1538" s="2459" t="s">
        <v>1674</v>
      </c>
      <c r="D1538" s="2460" t="s">
        <v>1671</v>
      </c>
      <c r="E1538" s="2461" t="s">
        <v>1573</v>
      </c>
      <c r="F1538" s="2461" t="s">
        <v>1625</v>
      </c>
      <c r="G1538" s="2461" t="s">
        <v>1421</v>
      </c>
      <c r="H1538" s="2461" t="s">
        <v>1454</v>
      </c>
      <c r="I1538" s="2462">
        <v>2.7130350247033456E-3</v>
      </c>
      <c r="J1538" s="2462">
        <v>99.286349052856679</v>
      </c>
    </row>
    <row r="1539" spans="1:10" outlineLevel="2">
      <c r="A1539" s="2459" t="s">
        <v>1669</v>
      </c>
      <c r="B1539" s="2459" t="s">
        <v>1648</v>
      </c>
      <c r="C1539" s="2459" t="s">
        <v>1674</v>
      </c>
      <c r="D1539" s="2460" t="s">
        <v>1671</v>
      </c>
      <c r="E1539" s="2461" t="s">
        <v>1573</v>
      </c>
      <c r="F1539" s="2461" t="s">
        <v>1626</v>
      </c>
      <c r="G1539" s="2461" t="s">
        <v>1421</v>
      </c>
      <c r="H1539" s="2461" t="s">
        <v>1454</v>
      </c>
      <c r="I1539" s="2462">
        <v>7.6143491698292751E-3</v>
      </c>
      <c r="J1539" s="2462">
        <v>275.45781832774071</v>
      </c>
    </row>
    <row r="1540" spans="1:10" outlineLevel="2">
      <c r="A1540" s="2459" t="s">
        <v>1669</v>
      </c>
      <c r="B1540" s="2459" t="s">
        <v>1648</v>
      </c>
      <c r="C1540" s="2459" t="s">
        <v>1674</v>
      </c>
      <c r="D1540" s="2460" t="s">
        <v>1671</v>
      </c>
      <c r="E1540" s="2461" t="s">
        <v>1573</v>
      </c>
      <c r="F1540" s="2461" t="s">
        <v>1627</v>
      </c>
      <c r="G1540" s="2461" t="s">
        <v>1421</v>
      </c>
      <c r="H1540" s="2461" t="s">
        <v>1454</v>
      </c>
      <c r="I1540" s="2462">
        <v>6.4296834147167742E-3</v>
      </c>
      <c r="J1540" s="2462">
        <v>139.85836612676025</v>
      </c>
    </row>
    <row r="1541" spans="1:10" outlineLevel="2">
      <c r="A1541" s="2459" t="s">
        <v>1669</v>
      </c>
      <c r="B1541" s="2459" t="s">
        <v>1648</v>
      </c>
      <c r="C1541" s="2459" t="s">
        <v>1674</v>
      </c>
      <c r="D1541" s="2460" t="s">
        <v>1671</v>
      </c>
      <c r="E1541" s="2461" t="s">
        <v>1573</v>
      </c>
      <c r="F1541" s="2461" t="s">
        <v>1628</v>
      </c>
      <c r="G1541" s="2461" t="s">
        <v>1421</v>
      </c>
      <c r="H1541" s="2461" t="s">
        <v>1454</v>
      </c>
      <c r="I1541" s="2462">
        <v>3.198406445953864E-4</v>
      </c>
      <c r="J1541" s="2462">
        <v>13.450866053709989</v>
      </c>
    </row>
    <row r="1542" spans="1:10" outlineLevel="2">
      <c r="A1542" s="2459" t="s">
        <v>1669</v>
      </c>
      <c r="B1542" s="2459" t="s">
        <v>1648</v>
      </c>
      <c r="C1542" s="2459" t="s">
        <v>1674</v>
      </c>
      <c r="D1542" s="2460" t="s">
        <v>1671</v>
      </c>
      <c r="E1542" s="2461" t="s">
        <v>1573</v>
      </c>
      <c r="F1542" s="2461" t="s">
        <v>1629</v>
      </c>
      <c r="G1542" s="2461" t="s">
        <v>1421</v>
      </c>
      <c r="H1542" s="2461" t="s">
        <v>1454</v>
      </c>
      <c r="I1542" s="2462">
        <v>3.7001924317701463E-4</v>
      </c>
      <c r="J1542" s="2462">
        <v>11.905096005969122</v>
      </c>
    </row>
    <row r="1543" spans="1:10" outlineLevel="2">
      <c r="A1543" s="2459" t="s">
        <v>1669</v>
      </c>
      <c r="B1543" s="2459" t="s">
        <v>1648</v>
      </c>
      <c r="C1543" s="2459" t="s">
        <v>1674</v>
      </c>
      <c r="D1543" s="2460" t="s">
        <v>1671</v>
      </c>
      <c r="E1543" s="2461" t="s">
        <v>1573</v>
      </c>
      <c r="F1543" s="2461" t="s">
        <v>1630</v>
      </c>
      <c r="G1543" s="2461" t="s">
        <v>1459</v>
      </c>
      <c r="H1543" s="2461" t="s">
        <v>1460</v>
      </c>
      <c r="I1543" s="2462">
        <v>3.3649973342528565E-4</v>
      </c>
      <c r="J1543" s="2462">
        <v>22.053473219166673</v>
      </c>
    </row>
    <row r="1544" spans="1:10" outlineLevel="2">
      <c r="A1544" s="2459" t="s">
        <v>1669</v>
      </c>
      <c r="B1544" s="2459" t="s">
        <v>1648</v>
      </c>
      <c r="C1544" s="2459" t="s">
        <v>1674</v>
      </c>
      <c r="D1544" s="2460" t="s">
        <v>1671</v>
      </c>
      <c r="E1544" s="2461" t="s">
        <v>1573</v>
      </c>
      <c r="F1544" s="2461" t="s">
        <v>1633</v>
      </c>
      <c r="G1544" s="2461" t="s">
        <v>215</v>
      </c>
      <c r="H1544" s="2461" t="s">
        <v>1537</v>
      </c>
      <c r="I1544" s="2462">
        <v>5.6859590235268445E-3</v>
      </c>
      <c r="J1544" s="2462">
        <v>126.76375489341527</v>
      </c>
    </row>
    <row r="1545" spans="1:10" outlineLevel="2">
      <c r="A1545" s="2459" t="s">
        <v>1669</v>
      </c>
      <c r="B1545" s="2459" t="s">
        <v>1649</v>
      </c>
      <c r="C1545" s="2459" t="s">
        <v>1673</v>
      </c>
      <c r="D1545" s="2460" t="s">
        <v>1671</v>
      </c>
      <c r="E1545" s="2461" t="s">
        <v>1407</v>
      </c>
      <c r="F1545" s="2461" t="s">
        <v>1408</v>
      </c>
      <c r="G1545" s="2461" t="s">
        <v>1409</v>
      </c>
      <c r="H1545" s="2461" t="s">
        <v>1410</v>
      </c>
      <c r="I1545" s="2462">
        <v>1.0481215667067894E-2</v>
      </c>
      <c r="J1545" s="2462">
        <v>0.15418112711059223</v>
      </c>
    </row>
    <row r="1546" spans="1:10" outlineLevel="2">
      <c r="A1546" s="2459" t="s">
        <v>1669</v>
      </c>
      <c r="B1546" s="2459" t="s">
        <v>1649</v>
      </c>
      <c r="C1546" s="2459" t="s">
        <v>1673</v>
      </c>
      <c r="D1546" s="2460" t="s">
        <v>1671</v>
      </c>
      <c r="E1546" s="2461" t="s">
        <v>1407</v>
      </c>
      <c r="F1546" s="2461" t="s">
        <v>1411</v>
      </c>
      <c r="G1546" s="2461" t="s">
        <v>1412</v>
      </c>
      <c r="H1546" s="2461" t="s">
        <v>1410</v>
      </c>
      <c r="I1546" s="2462">
        <v>0.49009107015074549</v>
      </c>
      <c r="J1546" s="2462">
        <v>79.58786224704393</v>
      </c>
    </row>
    <row r="1547" spans="1:10" outlineLevel="2">
      <c r="A1547" s="2459" t="s">
        <v>1669</v>
      </c>
      <c r="B1547" s="2459" t="s">
        <v>1649</v>
      </c>
      <c r="C1547" s="2459" t="s">
        <v>1673</v>
      </c>
      <c r="D1547" s="2460" t="s">
        <v>1671</v>
      </c>
      <c r="E1547" s="2461" t="s">
        <v>1407</v>
      </c>
      <c r="F1547" s="2461" t="s">
        <v>1413</v>
      </c>
      <c r="G1547" s="2461" t="s">
        <v>1412</v>
      </c>
      <c r="H1547" s="2461" t="s">
        <v>1410</v>
      </c>
      <c r="I1547" s="2462">
        <v>3.9800258112913565E-4</v>
      </c>
      <c r="J1547" s="2462">
        <v>6.7425022800743348E-2</v>
      </c>
    </row>
    <row r="1548" spans="1:10" outlineLevel="2">
      <c r="A1548" s="2459" t="s">
        <v>1669</v>
      </c>
      <c r="B1548" s="2459" t="s">
        <v>1649</v>
      </c>
      <c r="C1548" s="2459" t="s">
        <v>1673</v>
      </c>
      <c r="D1548" s="2460" t="s">
        <v>1671</v>
      </c>
      <c r="E1548" s="2461" t="s">
        <v>1407</v>
      </c>
      <c r="F1548" s="2461" t="s">
        <v>1414</v>
      </c>
      <c r="G1548" s="2461" t="s">
        <v>1412</v>
      </c>
      <c r="H1548" s="2461" t="s">
        <v>1410</v>
      </c>
      <c r="I1548" s="2462">
        <v>2.0000682279787551E-4</v>
      </c>
      <c r="J1548" s="2462">
        <v>3.6742031787692794E-2</v>
      </c>
    </row>
    <row r="1549" spans="1:10" outlineLevel="2">
      <c r="A1549" s="2459" t="s">
        <v>1669</v>
      </c>
      <c r="B1549" s="2459" t="s">
        <v>1649</v>
      </c>
      <c r="C1549" s="2459" t="s">
        <v>1673</v>
      </c>
      <c r="D1549" s="2460" t="s">
        <v>1671</v>
      </c>
      <c r="E1549" s="2461" t="s">
        <v>1407</v>
      </c>
      <c r="F1549" s="2461" t="s">
        <v>1415</v>
      </c>
      <c r="G1549" s="2461" t="s">
        <v>1412</v>
      </c>
      <c r="H1549" s="2461" t="s">
        <v>1410</v>
      </c>
      <c r="I1549" s="2462">
        <v>5.429183531407698E-3</v>
      </c>
      <c r="J1549" s="2462">
        <v>0.8648202892547916</v>
      </c>
    </row>
    <row r="1550" spans="1:10" outlineLevel="2">
      <c r="A1550" s="2459" t="s">
        <v>1669</v>
      </c>
      <c r="B1550" s="2459" t="s">
        <v>1649</v>
      </c>
      <c r="C1550" s="2459" t="s">
        <v>1673</v>
      </c>
      <c r="D1550" s="2460" t="s">
        <v>1671</v>
      </c>
      <c r="E1550" s="2461" t="s">
        <v>1407</v>
      </c>
      <c r="F1550" s="2461" t="s">
        <v>1416</v>
      </c>
      <c r="G1550" s="2461" t="s">
        <v>1412</v>
      </c>
      <c r="H1550" s="2461" t="s">
        <v>1410</v>
      </c>
      <c r="I1550" s="2462">
        <v>1.8307102810830741E-3</v>
      </c>
      <c r="J1550" s="2462">
        <v>0.4503392019737113</v>
      </c>
    </row>
    <row r="1551" spans="1:10" outlineLevel="2">
      <c r="A1551" s="2459" t="s">
        <v>1669</v>
      </c>
      <c r="B1551" s="2459" t="s">
        <v>1649</v>
      </c>
      <c r="C1551" s="2459" t="s">
        <v>1673</v>
      </c>
      <c r="D1551" s="2460" t="s">
        <v>1671</v>
      </c>
      <c r="E1551" s="2461" t="s">
        <v>1407</v>
      </c>
      <c r="F1551" s="2461" t="s">
        <v>1417</v>
      </c>
      <c r="G1551" s="2461" t="s">
        <v>1418</v>
      </c>
      <c r="H1551" s="2461" t="s">
        <v>1410</v>
      </c>
      <c r="I1551" s="2462">
        <v>2.1577227704869949E-3</v>
      </c>
      <c r="J1551" s="2462">
        <v>2.8660842620431472E-2</v>
      </c>
    </row>
    <row r="1552" spans="1:10" outlineLevel="2">
      <c r="A1552" s="2459" t="s">
        <v>1669</v>
      </c>
      <c r="B1552" s="2459" t="s">
        <v>1649</v>
      </c>
      <c r="C1552" s="2459" t="s">
        <v>1673</v>
      </c>
      <c r="D1552" s="2460" t="s">
        <v>1671</v>
      </c>
      <c r="E1552" s="2461" t="s">
        <v>1407</v>
      </c>
      <c r="F1552" s="2461" t="s">
        <v>1419</v>
      </c>
      <c r="G1552" s="2461" t="s">
        <v>1418</v>
      </c>
      <c r="H1552" s="2461" t="s">
        <v>1410</v>
      </c>
      <c r="I1552" s="2462">
        <v>1.6016433478850851E-2</v>
      </c>
      <c r="J1552" s="2462">
        <v>3.1105456122483797</v>
      </c>
    </row>
    <row r="1553" spans="1:10" outlineLevel="2">
      <c r="A1553" s="2459" t="s">
        <v>1669</v>
      </c>
      <c r="B1553" s="2459" t="s">
        <v>1649</v>
      </c>
      <c r="C1553" s="2459" t="s">
        <v>1673</v>
      </c>
      <c r="D1553" s="2460" t="s">
        <v>1671</v>
      </c>
      <c r="E1553" s="2461" t="s">
        <v>1407</v>
      </c>
      <c r="F1553" s="2461" t="s">
        <v>1420</v>
      </c>
      <c r="G1553" s="2461" t="s">
        <v>1421</v>
      </c>
      <c r="H1553" s="2461" t="s">
        <v>1410</v>
      </c>
      <c r="I1553" s="2462">
        <v>0.76140881876107547</v>
      </c>
      <c r="J1553" s="2462">
        <v>19.760588440884778</v>
      </c>
    </row>
    <row r="1554" spans="1:10" outlineLevel="2">
      <c r="A1554" s="2459" t="s">
        <v>1669</v>
      </c>
      <c r="B1554" s="2459" t="s">
        <v>1649</v>
      </c>
      <c r="C1554" s="2459" t="s">
        <v>1673</v>
      </c>
      <c r="D1554" s="2460" t="s">
        <v>1671</v>
      </c>
      <c r="E1554" s="2461" t="s">
        <v>1407</v>
      </c>
      <c r="F1554" s="2461" t="s">
        <v>1422</v>
      </c>
      <c r="G1554" s="2461" t="s">
        <v>1421</v>
      </c>
      <c r="H1554" s="2461" t="s">
        <v>1410</v>
      </c>
      <c r="I1554" s="2462">
        <v>2.302489864626376E-2</v>
      </c>
      <c r="J1554" s="2462">
        <v>0.94340406478293748</v>
      </c>
    </row>
    <row r="1555" spans="1:10" outlineLevel="2">
      <c r="A1555" s="2459" t="s">
        <v>1669</v>
      </c>
      <c r="B1555" s="2459" t="s">
        <v>1649</v>
      </c>
      <c r="C1555" s="2459" t="s">
        <v>1673</v>
      </c>
      <c r="D1555" s="2460" t="s">
        <v>1671</v>
      </c>
      <c r="E1555" s="2461" t="s">
        <v>1407</v>
      </c>
      <c r="F1555" s="2461" t="s">
        <v>1423</v>
      </c>
      <c r="G1555" s="2461" t="s">
        <v>1421</v>
      </c>
      <c r="H1555" s="2461" t="s">
        <v>1410</v>
      </c>
      <c r="I1555" s="2462">
        <v>1.196777878045167E-2</v>
      </c>
      <c r="J1555" s="2462">
        <v>1.3791497539998874</v>
      </c>
    </row>
    <row r="1556" spans="1:10" outlineLevel="2">
      <c r="A1556" s="2459" t="s">
        <v>1669</v>
      </c>
      <c r="B1556" s="2459" t="s">
        <v>1649</v>
      </c>
      <c r="C1556" s="2459" t="s">
        <v>1673</v>
      </c>
      <c r="D1556" s="2460" t="s">
        <v>1671</v>
      </c>
      <c r="E1556" s="2461" t="s">
        <v>1407</v>
      </c>
      <c r="F1556" s="2461" t="s">
        <v>1424</v>
      </c>
      <c r="G1556" s="2461" t="s">
        <v>1421</v>
      </c>
      <c r="H1556" s="2461" t="s">
        <v>1410</v>
      </c>
      <c r="I1556" s="2462">
        <v>0.23403643618011361</v>
      </c>
      <c r="J1556" s="2462">
        <v>48.975695291623445</v>
      </c>
    </row>
    <row r="1557" spans="1:10" outlineLevel="2">
      <c r="A1557" s="2459" t="s">
        <v>1669</v>
      </c>
      <c r="B1557" s="2459" t="s">
        <v>1649</v>
      </c>
      <c r="C1557" s="2459" t="s">
        <v>1673</v>
      </c>
      <c r="D1557" s="2460" t="s">
        <v>1671</v>
      </c>
      <c r="E1557" s="2461" t="s">
        <v>213</v>
      </c>
      <c r="F1557" s="2461" t="s">
        <v>1425</v>
      </c>
      <c r="G1557" s="2461" t="s">
        <v>1426</v>
      </c>
      <c r="H1557" s="2461" t="s">
        <v>1427</v>
      </c>
      <c r="I1557" s="2462">
        <v>0.62709222247279695</v>
      </c>
      <c r="J1557" s="2462">
        <v>180.18387379956295</v>
      </c>
    </row>
    <row r="1558" spans="1:10" outlineLevel="2">
      <c r="A1558" s="2459" t="s">
        <v>1669</v>
      </c>
      <c r="B1558" s="2459" t="s">
        <v>1649</v>
      </c>
      <c r="C1558" s="2459" t="s">
        <v>1673</v>
      </c>
      <c r="D1558" s="2460" t="s">
        <v>1671</v>
      </c>
      <c r="E1558" s="2461" t="s">
        <v>213</v>
      </c>
      <c r="F1558" s="2461" t="s">
        <v>1428</v>
      </c>
      <c r="G1558" s="2461" t="s">
        <v>1426</v>
      </c>
      <c r="H1558" s="2461" t="s">
        <v>1427</v>
      </c>
      <c r="I1558" s="2462">
        <v>0.19155200138827844</v>
      </c>
      <c r="J1558" s="2462">
        <v>77.381798849913608</v>
      </c>
    </row>
    <row r="1559" spans="1:10" outlineLevel="2">
      <c r="A1559" s="2459" t="s">
        <v>1669</v>
      </c>
      <c r="B1559" s="2459" t="s">
        <v>1649</v>
      </c>
      <c r="C1559" s="2459" t="s">
        <v>1673</v>
      </c>
      <c r="D1559" s="2460" t="s">
        <v>1671</v>
      </c>
      <c r="E1559" s="2461" t="s">
        <v>213</v>
      </c>
      <c r="F1559" s="2461" t="s">
        <v>1429</v>
      </c>
      <c r="G1559" s="2461" t="s">
        <v>1426</v>
      </c>
      <c r="H1559" s="2461" t="s">
        <v>1427</v>
      </c>
      <c r="I1559" s="2462">
        <v>8.718567949183896E-2</v>
      </c>
      <c r="J1559" s="2462">
        <v>112.12724707176625</v>
      </c>
    </row>
    <row r="1560" spans="1:10" outlineLevel="2">
      <c r="A1560" s="2459" t="s">
        <v>1669</v>
      </c>
      <c r="B1560" s="2459" t="s">
        <v>1649</v>
      </c>
      <c r="C1560" s="2459" t="s">
        <v>1673</v>
      </c>
      <c r="D1560" s="2460" t="s">
        <v>1671</v>
      </c>
      <c r="E1560" s="2461" t="s">
        <v>213</v>
      </c>
      <c r="F1560" s="2461" t="s">
        <v>1430</v>
      </c>
      <c r="G1560" s="2461" t="s">
        <v>1409</v>
      </c>
      <c r="H1560" s="2461" t="s">
        <v>1070</v>
      </c>
      <c r="I1560" s="2462">
        <v>3.239801742610645E-2</v>
      </c>
      <c r="J1560" s="2462">
        <v>20.102314593991647</v>
      </c>
    </row>
    <row r="1561" spans="1:10" outlineLevel="2">
      <c r="A1561" s="2459" t="s">
        <v>1669</v>
      </c>
      <c r="B1561" s="2459" t="s">
        <v>1649</v>
      </c>
      <c r="C1561" s="2459" t="s">
        <v>1673</v>
      </c>
      <c r="D1561" s="2460" t="s">
        <v>1671</v>
      </c>
      <c r="E1561" s="2461" t="s">
        <v>213</v>
      </c>
      <c r="F1561" s="2461" t="s">
        <v>1431</v>
      </c>
      <c r="G1561" s="2461" t="s">
        <v>1409</v>
      </c>
      <c r="H1561" s="2461" t="s">
        <v>1070</v>
      </c>
      <c r="I1561" s="2462">
        <v>2.6886921297038929E-3</v>
      </c>
      <c r="J1561" s="2462">
        <v>1.3021506794599942</v>
      </c>
    </row>
    <row r="1562" spans="1:10" outlineLevel="2">
      <c r="A1562" s="2459" t="s">
        <v>1669</v>
      </c>
      <c r="B1562" s="2459" t="s">
        <v>1649</v>
      </c>
      <c r="C1562" s="2459" t="s">
        <v>1673</v>
      </c>
      <c r="D1562" s="2460" t="s">
        <v>1671</v>
      </c>
      <c r="E1562" s="2461" t="s">
        <v>213</v>
      </c>
      <c r="F1562" s="2461" t="s">
        <v>1432</v>
      </c>
      <c r="G1562" s="2461" t="s">
        <v>1409</v>
      </c>
      <c r="H1562" s="2461" t="s">
        <v>1070</v>
      </c>
      <c r="I1562" s="2462">
        <v>3.2583423163973098E-3</v>
      </c>
      <c r="J1562" s="2462">
        <v>1.5564393873566134</v>
      </c>
    </row>
    <row r="1563" spans="1:10" outlineLevel="2">
      <c r="A1563" s="2459" t="s">
        <v>1669</v>
      </c>
      <c r="B1563" s="2459" t="s">
        <v>1649</v>
      </c>
      <c r="C1563" s="2459" t="s">
        <v>1673</v>
      </c>
      <c r="D1563" s="2460" t="s">
        <v>1671</v>
      </c>
      <c r="E1563" s="2461" t="s">
        <v>213</v>
      </c>
      <c r="F1563" s="2461" t="s">
        <v>1433</v>
      </c>
      <c r="G1563" s="2461" t="s">
        <v>1409</v>
      </c>
      <c r="H1563" s="2461" t="s">
        <v>1070</v>
      </c>
      <c r="I1563" s="2462">
        <v>2.40968426457507E-5</v>
      </c>
      <c r="J1563" s="2462">
        <v>1.078445038711667E-2</v>
      </c>
    </row>
    <row r="1564" spans="1:10" outlineLevel="2">
      <c r="A1564" s="2459" t="s">
        <v>1669</v>
      </c>
      <c r="B1564" s="2459" t="s">
        <v>1649</v>
      </c>
      <c r="C1564" s="2459" t="s">
        <v>1673</v>
      </c>
      <c r="D1564" s="2460" t="s">
        <v>1671</v>
      </c>
      <c r="E1564" s="2461" t="s">
        <v>213</v>
      </c>
      <c r="F1564" s="2461" t="s">
        <v>1434</v>
      </c>
      <c r="G1564" s="2461" t="s">
        <v>1409</v>
      </c>
      <c r="H1564" s="2461" t="s">
        <v>1070</v>
      </c>
      <c r="I1564" s="2462">
        <v>9.2881612137210634E-2</v>
      </c>
      <c r="J1564" s="2462">
        <v>51.863580332886038</v>
      </c>
    </row>
    <row r="1565" spans="1:10" outlineLevel="2">
      <c r="A1565" s="2459" t="s">
        <v>1669</v>
      </c>
      <c r="B1565" s="2459" t="s">
        <v>1649</v>
      </c>
      <c r="C1565" s="2459" t="s">
        <v>1673</v>
      </c>
      <c r="D1565" s="2460" t="s">
        <v>1671</v>
      </c>
      <c r="E1565" s="2461" t="s">
        <v>213</v>
      </c>
      <c r="F1565" s="2461" t="s">
        <v>1435</v>
      </c>
      <c r="G1565" s="2461" t="s">
        <v>1409</v>
      </c>
      <c r="H1565" s="2461" t="s">
        <v>1070</v>
      </c>
      <c r="I1565" s="2462">
        <v>6.7912134635756533E-4</v>
      </c>
      <c r="J1565" s="2462">
        <v>0.30393788680962458</v>
      </c>
    </row>
    <row r="1566" spans="1:10" outlineLevel="2">
      <c r="A1566" s="2459" t="s">
        <v>1669</v>
      </c>
      <c r="B1566" s="2459" t="s">
        <v>1649</v>
      </c>
      <c r="C1566" s="2459" t="s">
        <v>1673</v>
      </c>
      <c r="D1566" s="2460" t="s">
        <v>1671</v>
      </c>
      <c r="E1566" s="2461" t="s">
        <v>213</v>
      </c>
      <c r="F1566" s="2461" t="s">
        <v>1436</v>
      </c>
      <c r="G1566" s="2461" t="s">
        <v>1412</v>
      </c>
      <c r="H1566" s="2461" t="s">
        <v>1116</v>
      </c>
      <c r="I1566" s="2462">
        <v>4.8538662660672617E-4</v>
      </c>
      <c r="J1566" s="2462">
        <v>0.21723278284634817</v>
      </c>
    </row>
    <row r="1567" spans="1:10" outlineLevel="2">
      <c r="A1567" s="2459" t="s">
        <v>1669</v>
      </c>
      <c r="B1567" s="2459" t="s">
        <v>1649</v>
      </c>
      <c r="C1567" s="2459" t="s">
        <v>1673</v>
      </c>
      <c r="D1567" s="2460" t="s">
        <v>1671</v>
      </c>
      <c r="E1567" s="2461" t="s">
        <v>213</v>
      </c>
      <c r="F1567" s="2461" t="s">
        <v>1437</v>
      </c>
      <c r="G1567" s="2461" t="s">
        <v>1412</v>
      </c>
      <c r="H1567" s="2461" t="s">
        <v>1116</v>
      </c>
      <c r="I1567" s="2462">
        <v>3.7142394953212304E-5</v>
      </c>
      <c r="J1567" s="2462">
        <v>1.6622954613845255E-2</v>
      </c>
    </row>
    <row r="1568" spans="1:10" outlineLevel="2">
      <c r="A1568" s="2459" t="s">
        <v>1669</v>
      </c>
      <c r="B1568" s="2459" t="s">
        <v>1649</v>
      </c>
      <c r="C1568" s="2459" t="s">
        <v>1673</v>
      </c>
      <c r="D1568" s="2460" t="s">
        <v>1671</v>
      </c>
      <c r="E1568" s="2461" t="s">
        <v>213</v>
      </c>
      <c r="F1568" s="2461" t="s">
        <v>1438</v>
      </c>
      <c r="G1568" s="2461" t="s">
        <v>1439</v>
      </c>
      <c r="H1568" s="2461" t="s">
        <v>1440</v>
      </c>
      <c r="I1568" s="2462">
        <v>7.3959934097273172E-3</v>
      </c>
      <c r="J1568" s="2462">
        <v>4.0505344705971833</v>
      </c>
    </row>
    <row r="1569" spans="1:10" outlineLevel="2">
      <c r="A1569" s="2459" t="s">
        <v>1669</v>
      </c>
      <c r="B1569" s="2459" t="s">
        <v>1649</v>
      </c>
      <c r="C1569" s="2459" t="s">
        <v>1673</v>
      </c>
      <c r="D1569" s="2460" t="s">
        <v>1671</v>
      </c>
      <c r="E1569" s="2461" t="s">
        <v>213</v>
      </c>
      <c r="F1569" s="2461" t="s">
        <v>1441</v>
      </c>
      <c r="G1569" s="2461" t="s">
        <v>1439</v>
      </c>
      <c r="H1569" s="2461" t="s">
        <v>1440</v>
      </c>
      <c r="I1569" s="2462">
        <v>3.1674438455895501E-2</v>
      </c>
      <c r="J1569" s="2462">
        <v>17.023274590821245</v>
      </c>
    </row>
    <row r="1570" spans="1:10" outlineLevel="2">
      <c r="A1570" s="2459" t="s">
        <v>1669</v>
      </c>
      <c r="B1570" s="2459" t="s">
        <v>1649</v>
      </c>
      <c r="C1570" s="2459" t="s">
        <v>1673</v>
      </c>
      <c r="D1570" s="2460" t="s">
        <v>1671</v>
      </c>
      <c r="E1570" s="2461" t="s">
        <v>213</v>
      </c>
      <c r="F1570" s="2461" t="s">
        <v>1442</v>
      </c>
      <c r="G1570" s="2461" t="s">
        <v>1439</v>
      </c>
      <c r="H1570" s="2461" t="s">
        <v>1440</v>
      </c>
      <c r="I1570" s="2462">
        <v>0.10409500871882832</v>
      </c>
      <c r="J1570" s="2462">
        <v>54.082260704216992</v>
      </c>
    </row>
    <row r="1571" spans="1:10" outlineLevel="2">
      <c r="A1571" s="2459" t="s">
        <v>1669</v>
      </c>
      <c r="B1571" s="2459" t="s">
        <v>1649</v>
      </c>
      <c r="C1571" s="2459" t="s">
        <v>1673</v>
      </c>
      <c r="D1571" s="2460" t="s">
        <v>1671</v>
      </c>
      <c r="E1571" s="2461" t="s">
        <v>213</v>
      </c>
      <c r="F1571" s="2461" t="s">
        <v>1443</v>
      </c>
      <c r="G1571" s="2461" t="s">
        <v>1439</v>
      </c>
      <c r="H1571" s="2461" t="s">
        <v>1440</v>
      </c>
      <c r="I1571" s="2462">
        <v>0.29949968478191802</v>
      </c>
      <c r="J1571" s="2462">
        <v>163.94726807387212</v>
      </c>
    </row>
    <row r="1572" spans="1:10" outlineLevel="2">
      <c r="A1572" s="2459" t="s">
        <v>1669</v>
      </c>
      <c r="B1572" s="2459" t="s">
        <v>1649</v>
      </c>
      <c r="C1572" s="2459" t="s">
        <v>1673</v>
      </c>
      <c r="D1572" s="2460" t="s">
        <v>1671</v>
      </c>
      <c r="E1572" s="2461" t="s">
        <v>213</v>
      </c>
      <c r="F1572" s="2461" t="s">
        <v>1444</v>
      </c>
      <c r="G1572" s="2461" t="s">
        <v>1439</v>
      </c>
      <c r="H1572" s="2461" t="s">
        <v>1440</v>
      </c>
      <c r="I1572" s="2462">
        <v>0.12787482902545058</v>
      </c>
      <c r="J1572" s="2462">
        <v>75.108547618482802</v>
      </c>
    </row>
    <row r="1573" spans="1:10" outlineLevel="2">
      <c r="A1573" s="2459" t="s">
        <v>1669</v>
      </c>
      <c r="B1573" s="2459" t="s">
        <v>1649</v>
      </c>
      <c r="C1573" s="2459" t="s">
        <v>1673</v>
      </c>
      <c r="D1573" s="2460" t="s">
        <v>1671</v>
      </c>
      <c r="E1573" s="2461" t="s">
        <v>213</v>
      </c>
      <c r="F1573" s="2461" t="s">
        <v>1445</v>
      </c>
      <c r="G1573" s="2461" t="s">
        <v>1439</v>
      </c>
      <c r="H1573" s="2461" t="s">
        <v>1440</v>
      </c>
      <c r="I1573" s="2462">
        <v>0.28339736799345749</v>
      </c>
      <c r="J1573" s="2462">
        <v>143.26806980888398</v>
      </c>
    </row>
    <row r="1574" spans="1:10" outlineLevel="2">
      <c r="A1574" s="2459" t="s">
        <v>1669</v>
      </c>
      <c r="B1574" s="2459" t="s">
        <v>1649</v>
      </c>
      <c r="C1574" s="2459" t="s">
        <v>1673</v>
      </c>
      <c r="D1574" s="2460" t="s">
        <v>1671</v>
      </c>
      <c r="E1574" s="2461" t="s">
        <v>213</v>
      </c>
      <c r="F1574" s="2461" t="s">
        <v>1446</v>
      </c>
      <c r="G1574" s="2461" t="s">
        <v>1439</v>
      </c>
      <c r="H1574" s="2461" t="s">
        <v>1440</v>
      </c>
      <c r="I1574" s="2462">
        <v>9.0132052084686595E-2</v>
      </c>
      <c r="J1574" s="2462">
        <v>48.339684496248211</v>
      </c>
    </row>
    <row r="1575" spans="1:10" outlineLevel="2">
      <c r="A1575" s="2459" t="s">
        <v>1669</v>
      </c>
      <c r="B1575" s="2459" t="s">
        <v>1649</v>
      </c>
      <c r="C1575" s="2459" t="s">
        <v>1673</v>
      </c>
      <c r="D1575" s="2460" t="s">
        <v>1671</v>
      </c>
      <c r="E1575" s="2461" t="s">
        <v>213</v>
      </c>
      <c r="F1575" s="2461" t="s">
        <v>1447</v>
      </c>
      <c r="G1575" s="2461" t="s">
        <v>1439</v>
      </c>
      <c r="H1575" s="2461" t="s">
        <v>1440</v>
      </c>
      <c r="I1575" s="2462">
        <v>0.25012463574617988</v>
      </c>
      <c r="J1575" s="2462">
        <v>133.77800434566211</v>
      </c>
    </row>
    <row r="1576" spans="1:10" outlineLevel="2">
      <c r="A1576" s="2459" t="s">
        <v>1669</v>
      </c>
      <c r="B1576" s="2459" t="s">
        <v>1649</v>
      </c>
      <c r="C1576" s="2459" t="s">
        <v>1673</v>
      </c>
      <c r="D1576" s="2460" t="s">
        <v>1671</v>
      </c>
      <c r="E1576" s="2461" t="s">
        <v>213</v>
      </c>
      <c r="F1576" s="2461" t="s">
        <v>1448</v>
      </c>
      <c r="G1576" s="2461" t="s">
        <v>1439</v>
      </c>
      <c r="H1576" s="2461" t="s">
        <v>1440</v>
      </c>
      <c r="I1576" s="2462">
        <v>0.16335492804769289</v>
      </c>
      <c r="J1576" s="2462">
        <v>23.917305683570167</v>
      </c>
    </row>
    <row r="1577" spans="1:10" outlineLevel="2">
      <c r="A1577" s="2459" t="s">
        <v>1669</v>
      </c>
      <c r="B1577" s="2459" t="s">
        <v>1649</v>
      </c>
      <c r="C1577" s="2459" t="s">
        <v>1673</v>
      </c>
      <c r="D1577" s="2460" t="s">
        <v>1671</v>
      </c>
      <c r="E1577" s="2461" t="s">
        <v>213</v>
      </c>
      <c r="F1577" s="2461" t="s">
        <v>1449</v>
      </c>
      <c r="G1577" s="2461" t="s">
        <v>1439</v>
      </c>
      <c r="H1577" s="2461" t="s">
        <v>1440</v>
      </c>
      <c r="I1577" s="2462">
        <v>0.33269748912915115</v>
      </c>
      <c r="J1577" s="2462">
        <v>48.70991927941806</v>
      </c>
    </row>
    <row r="1578" spans="1:10" outlineLevel="2">
      <c r="A1578" s="2459" t="s">
        <v>1669</v>
      </c>
      <c r="B1578" s="2459" t="s">
        <v>1649</v>
      </c>
      <c r="C1578" s="2459" t="s">
        <v>1673</v>
      </c>
      <c r="D1578" s="2460" t="s">
        <v>1671</v>
      </c>
      <c r="E1578" s="2461" t="s">
        <v>213</v>
      </c>
      <c r="F1578" s="2461" t="s">
        <v>1450</v>
      </c>
      <c r="G1578" s="2461" t="s">
        <v>1439</v>
      </c>
      <c r="H1578" s="2461" t="s">
        <v>1440</v>
      </c>
      <c r="I1578" s="2462">
        <v>1.4306160555737027E-4</v>
      </c>
      <c r="J1578" s="2462">
        <v>7.1384985607610182E-2</v>
      </c>
    </row>
    <row r="1579" spans="1:10" outlineLevel="2">
      <c r="A1579" s="2459" t="s">
        <v>1669</v>
      </c>
      <c r="B1579" s="2459" t="s">
        <v>1649</v>
      </c>
      <c r="C1579" s="2459" t="s">
        <v>1673</v>
      </c>
      <c r="D1579" s="2460" t="s">
        <v>1671</v>
      </c>
      <c r="E1579" s="2461" t="s">
        <v>213</v>
      </c>
      <c r="F1579" s="2461" t="s">
        <v>1451</v>
      </c>
      <c r="G1579" s="2461" t="s">
        <v>1418</v>
      </c>
      <c r="H1579" s="2461" t="s">
        <v>1452</v>
      </c>
      <c r="I1579" s="2462">
        <v>2.6796038250692395E-4</v>
      </c>
      <c r="J1579" s="2462">
        <v>0.16295278086125739</v>
      </c>
    </row>
    <row r="1580" spans="1:10" outlineLevel="2">
      <c r="A1580" s="2459" t="s">
        <v>1669</v>
      </c>
      <c r="B1580" s="2459" t="s">
        <v>1649</v>
      </c>
      <c r="C1580" s="2459" t="s">
        <v>1673</v>
      </c>
      <c r="D1580" s="2460" t="s">
        <v>1671</v>
      </c>
      <c r="E1580" s="2461" t="s">
        <v>213</v>
      </c>
      <c r="F1580" s="2461" t="s">
        <v>1453</v>
      </c>
      <c r="G1580" s="2461" t="s">
        <v>1421</v>
      </c>
      <c r="H1580" s="2461" t="s">
        <v>1454</v>
      </c>
      <c r="I1580" s="2462">
        <v>6.7100990087669097E-3</v>
      </c>
      <c r="J1580" s="2462">
        <v>3.3222352465732863</v>
      </c>
    </row>
    <row r="1581" spans="1:10" outlineLevel="2">
      <c r="A1581" s="2459" t="s">
        <v>1669</v>
      </c>
      <c r="B1581" s="2459" t="s">
        <v>1649</v>
      </c>
      <c r="C1581" s="2459" t="s">
        <v>1673</v>
      </c>
      <c r="D1581" s="2460" t="s">
        <v>1671</v>
      </c>
      <c r="E1581" s="2461" t="s">
        <v>213</v>
      </c>
      <c r="F1581" s="2461" t="s">
        <v>1455</v>
      </c>
      <c r="G1581" s="2461" t="s">
        <v>1421</v>
      </c>
      <c r="H1581" s="2461" t="s">
        <v>1454</v>
      </c>
      <c r="I1581" s="2462">
        <v>4.2821129910911471E-2</v>
      </c>
      <c r="J1581" s="2462">
        <v>22.163053921155441</v>
      </c>
    </row>
    <row r="1582" spans="1:10" outlineLevel="2">
      <c r="A1582" s="2459" t="s">
        <v>1669</v>
      </c>
      <c r="B1582" s="2459" t="s">
        <v>1649</v>
      </c>
      <c r="C1582" s="2459" t="s">
        <v>1673</v>
      </c>
      <c r="D1582" s="2460" t="s">
        <v>1671</v>
      </c>
      <c r="E1582" s="2461" t="s">
        <v>213</v>
      </c>
      <c r="F1582" s="2461" t="s">
        <v>1456</v>
      </c>
      <c r="G1582" s="2461" t="s">
        <v>1421</v>
      </c>
      <c r="H1582" s="2461" t="s">
        <v>1454</v>
      </c>
      <c r="I1582" s="2462">
        <v>1.7175515223873077E-5</v>
      </c>
      <c r="J1582" s="2462">
        <v>7.6868354199952299E-3</v>
      </c>
    </row>
    <row r="1583" spans="1:10" outlineLevel="2">
      <c r="A1583" s="2459" t="s">
        <v>1669</v>
      </c>
      <c r="B1583" s="2459" t="s">
        <v>1649</v>
      </c>
      <c r="C1583" s="2459" t="s">
        <v>1673</v>
      </c>
      <c r="D1583" s="2460" t="s">
        <v>1671</v>
      </c>
      <c r="E1583" s="2461" t="s">
        <v>213</v>
      </c>
      <c r="F1583" s="2461" t="s">
        <v>1457</v>
      </c>
      <c r="G1583" s="2461" t="s">
        <v>1421</v>
      </c>
      <c r="H1583" s="2461" t="s">
        <v>1454</v>
      </c>
      <c r="I1583" s="2462">
        <v>2.9959498923203069E-4</v>
      </c>
      <c r="J1583" s="2462">
        <v>0.13408274074502741</v>
      </c>
    </row>
    <row r="1584" spans="1:10" outlineLevel="2">
      <c r="A1584" s="2459" t="s">
        <v>1669</v>
      </c>
      <c r="B1584" s="2459" t="s">
        <v>1649</v>
      </c>
      <c r="C1584" s="2459" t="s">
        <v>1673</v>
      </c>
      <c r="D1584" s="2460" t="s">
        <v>1671</v>
      </c>
      <c r="E1584" s="2461" t="s">
        <v>213</v>
      </c>
      <c r="F1584" s="2461" t="s">
        <v>1458</v>
      </c>
      <c r="G1584" s="2461" t="s">
        <v>1459</v>
      </c>
      <c r="H1584" s="2461" t="s">
        <v>1460</v>
      </c>
      <c r="I1584" s="2462">
        <v>2.7320240580946221E-2</v>
      </c>
      <c r="J1584" s="2462">
        <v>15.772750511573383</v>
      </c>
    </row>
    <row r="1585" spans="1:10" outlineLevel="2">
      <c r="A1585" s="2459" t="s">
        <v>1669</v>
      </c>
      <c r="B1585" s="2459" t="s">
        <v>1649</v>
      </c>
      <c r="C1585" s="2459" t="s">
        <v>1673</v>
      </c>
      <c r="D1585" s="2460" t="s">
        <v>1671</v>
      </c>
      <c r="E1585" s="2461" t="s">
        <v>213</v>
      </c>
      <c r="F1585" s="2461" t="s">
        <v>1461</v>
      </c>
      <c r="G1585" s="2461" t="s">
        <v>1426</v>
      </c>
      <c r="H1585" s="2461" t="s">
        <v>1427</v>
      </c>
      <c r="I1585" s="2462">
        <v>0.11862184664288902</v>
      </c>
      <c r="J1585" s="2462">
        <v>84.034096854422884</v>
      </c>
    </row>
    <row r="1586" spans="1:10" outlineLevel="2">
      <c r="A1586" s="2459" t="s">
        <v>1669</v>
      </c>
      <c r="B1586" s="2459" t="s">
        <v>1649</v>
      </c>
      <c r="C1586" s="2459" t="s">
        <v>1673</v>
      </c>
      <c r="D1586" s="2460" t="s">
        <v>1671</v>
      </c>
      <c r="E1586" s="2461" t="s">
        <v>213</v>
      </c>
      <c r="F1586" s="2461" t="s">
        <v>1462</v>
      </c>
      <c r="G1586" s="2461" t="s">
        <v>1426</v>
      </c>
      <c r="H1586" s="2461" t="s">
        <v>1427</v>
      </c>
      <c r="I1586" s="2462">
        <v>0.87414473952234784</v>
      </c>
      <c r="J1586" s="2462">
        <v>798.8940866960279</v>
      </c>
    </row>
    <row r="1587" spans="1:10" outlineLevel="2">
      <c r="A1587" s="2459" t="s">
        <v>1669</v>
      </c>
      <c r="B1587" s="2459" t="s">
        <v>1649</v>
      </c>
      <c r="C1587" s="2459" t="s">
        <v>1673</v>
      </c>
      <c r="D1587" s="2460" t="s">
        <v>1671</v>
      </c>
      <c r="E1587" s="2461" t="s">
        <v>213</v>
      </c>
      <c r="F1587" s="2461" t="s">
        <v>1463</v>
      </c>
      <c r="G1587" s="2461" t="s">
        <v>1426</v>
      </c>
      <c r="H1587" s="2461" t="s">
        <v>1427</v>
      </c>
      <c r="I1587" s="2462">
        <v>0.20526319413574293</v>
      </c>
      <c r="J1587" s="2462">
        <v>273.27807088923885</v>
      </c>
    </row>
    <row r="1588" spans="1:10" outlineLevel="2">
      <c r="A1588" s="2459" t="s">
        <v>1669</v>
      </c>
      <c r="B1588" s="2459" t="s">
        <v>1649</v>
      </c>
      <c r="C1588" s="2459" t="s">
        <v>1673</v>
      </c>
      <c r="D1588" s="2460" t="s">
        <v>1671</v>
      </c>
      <c r="E1588" s="2461" t="s">
        <v>213</v>
      </c>
      <c r="F1588" s="2461" t="s">
        <v>1464</v>
      </c>
      <c r="G1588" s="2461" t="s">
        <v>1426</v>
      </c>
      <c r="H1588" s="2461" t="s">
        <v>1427</v>
      </c>
      <c r="I1588" s="2462">
        <v>0.11747019134205901</v>
      </c>
      <c r="J1588" s="2462">
        <v>107.15204737313533</v>
      </c>
    </row>
    <row r="1589" spans="1:10" outlineLevel="2">
      <c r="A1589" s="2459" t="s">
        <v>1669</v>
      </c>
      <c r="B1589" s="2459" t="s">
        <v>1649</v>
      </c>
      <c r="C1589" s="2459" t="s">
        <v>1673</v>
      </c>
      <c r="D1589" s="2460" t="s">
        <v>1671</v>
      </c>
      <c r="E1589" s="2461" t="s">
        <v>213</v>
      </c>
      <c r="F1589" s="2461" t="s">
        <v>1465</v>
      </c>
      <c r="G1589" s="2461" t="s">
        <v>1409</v>
      </c>
      <c r="H1589" s="2461" t="s">
        <v>1070</v>
      </c>
      <c r="I1589" s="2462">
        <v>1.0911507112806126E-2</v>
      </c>
      <c r="J1589" s="2462">
        <v>17.819793257615149</v>
      </c>
    </row>
    <row r="1590" spans="1:10" outlineLevel="2">
      <c r="A1590" s="2459" t="s">
        <v>1669</v>
      </c>
      <c r="B1590" s="2459" t="s">
        <v>1649</v>
      </c>
      <c r="C1590" s="2459" t="s">
        <v>1673</v>
      </c>
      <c r="D1590" s="2460" t="s">
        <v>1671</v>
      </c>
      <c r="E1590" s="2461" t="s">
        <v>213</v>
      </c>
      <c r="F1590" s="2461" t="s">
        <v>1466</v>
      </c>
      <c r="G1590" s="2461" t="s">
        <v>1409</v>
      </c>
      <c r="H1590" s="2461" t="s">
        <v>1070</v>
      </c>
      <c r="I1590" s="2462">
        <v>8.7189151854369175E-5</v>
      </c>
      <c r="J1590" s="2462">
        <v>0.13300922072370167</v>
      </c>
    </row>
    <row r="1591" spans="1:10" outlineLevel="2">
      <c r="A1591" s="2459" t="s">
        <v>1669</v>
      </c>
      <c r="B1591" s="2459" t="s">
        <v>1649</v>
      </c>
      <c r="C1591" s="2459" t="s">
        <v>1673</v>
      </c>
      <c r="D1591" s="2460" t="s">
        <v>1671</v>
      </c>
      <c r="E1591" s="2461" t="s">
        <v>213</v>
      </c>
      <c r="F1591" s="2461" t="s">
        <v>1467</v>
      </c>
      <c r="G1591" s="2461" t="s">
        <v>1409</v>
      </c>
      <c r="H1591" s="2461" t="s">
        <v>1070</v>
      </c>
      <c r="I1591" s="2462">
        <v>2.3574604452539467E-2</v>
      </c>
      <c r="J1591" s="2462">
        <v>33.47663690059666</v>
      </c>
    </row>
    <row r="1592" spans="1:10" outlineLevel="2">
      <c r="A1592" s="2459" t="s">
        <v>1669</v>
      </c>
      <c r="B1592" s="2459" t="s">
        <v>1649</v>
      </c>
      <c r="C1592" s="2459" t="s">
        <v>1673</v>
      </c>
      <c r="D1592" s="2460" t="s">
        <v>1671</v>
      </c>
      <c r="E1592" s="2461" t="s">
        <v>213</v>
      </c>
      <c r="F1592" s="2461" t="s">
        <v>1468</v>
      </c>
      <c r="G1592" s="2461" t="s">
        <v>1409</v>
      </c>
      <c r="H1592" s="2461" t="s">
        <v>1070</v>
      </c>
      <c r="I1592" s="2462">
        <v>1.9237730422207885E-2</v>
      </c>
      <c r="J1592" s="2462">
        <v>31.517696889082355</v>
      </c>
    </row>
    <row r="1593" spans="1:10" outlineLevel="2">
      <c r="A1593" s="2459" t="s">
        <v>1669</v>
      </c>
      <c r="B1593" s="2459" t="s">
        <v>1649</v>
      </c>
      <c r="C1593" s="2459" t="s">
        <v>1673</v>
      </c>
      <c r="D1593" s="2460" t="s">
        <v>1671</v>
      </c>
      <c r="E1593" s="2461" t="s">
        <v>213</v>
      </c>
      <c r="F1593" s="2461" t="s">
        <v>1469</v>
      </c>
      <c r="G1593" s="2461" t="s">
        <v>1409</v>
      </c>
      <c r="H1593" s="2461" t="s">
        <v>1070</v>
      </c>
      <c r="I1593" s="2462">
        <v>4.3022163663829702E-2</v>
      </c>
      <c r="J1593" s="2462">
        <v>62.89962384147595</v>
      </c>
    </row>
    <row r="1594" spans="1:10" outlineLevel="2">
      <c r="A1594" s="2459" t="s">
        <v>1669</v>
      </c>
      <c r="B1594" s="2459" t="s">
        <v>1649</v>
      </c>
      <c r="C1594" s="2459" t="s">
        <v>1673</v>
      </c>
      <c r="D1594" s="2460" t="s">
        <v>1671</v>
      </c>
      <c r="E1594" s="2461" t="s">
        <v>213</v>
      </c>
      <c r="F1594" s="2461" t="s">
        <v>1470</v>
      </c>
      <c r="G1594" s="2461" t="s">
        <v>1409</v>
      </c>
      <c r="H1594" s="2461" t="s">
        <v>1070</v>
      </c>
      <c r="I1594" s="2462">
        <v>1.8663886993107694E-2</v>
      </c>
      <c r="J1594" s="2462">
        <v>26.485386295943908</v>
      </c>
    </row>
    <row r="1595" spans="1:10" outlineLevel="2">
      <c r="A1595" s="2459" t="s">
        <v>1669</v>
      </c>
      <c r="B1595" s="2459" t="s">
        <v>1649</v>
      </c>
      <c r="C1595" s="2459" t="s">
        <v>1673</v>
      </c>
      <c r="D1595" s="2460" t="s">
        <v>1671</v>
      </c>
      <c r="E1595" s="2461" t="s">
        <v>213</v>
      </c>
      <c r="F1595" s="2461" t="s">
        <v>1471</v>
      </c>
      <c r="G1595" s="2461" t="s">
        <v>1409</v>
      </c>
      <c r="H1595" s="2461" t="s">
        <v>1070</v>
      </c>
      <c r="I1595" s="2462">
        <v>1.0164641560677099E-3</v>
      </c>
      <c r="J1595" s="2462">
        <v>1.3803701644623672</v>
      </c>
    </row>
    <row r="1596" spans="1:10" outlineLevel="2">
      <c r="A1596" s="2459" t="s">
        <v>1669</v>
      </c>
      <c r="B1596" s="2459" t="s">
        <v>1649</v>
      </c>
      <c r="C1596" s="2459" t="s">
        <v>1673</v>
      </c>
      <c r="D1596" s="2460" t="s">
        <v>1671</v>
      </c>
      <c r="E1596" s="2461" t="s">
        <v>213</v>
      </c>
      <c r="F1596" s="2461" t="s">
        <v>1472</v>
      </c>
      <c r="G1596" s="2461" t="s">
        <v>1409</v>
      </c>
      <c r="H1596" s="2461" t="s">
        <v>1070</v>
      </c>
      <c r="I1596" s="2462">
        <v>3.537387513874015E-2</v>
      </c>
      <c r="J1596" s="2462">
        <v>55.425810947174845</v>
      </c>
    </row>
    <row r="1597" spans="1:10" outlineLevel="2">
      <c r="A1597" s="2459" t="s">
        <v>1669</v>
      </c>
      <c r="B1597" s="2459" t="s">
        <v>1649</v>
      </c>
      <c r="C1597" s="2459" t="s">
        <v>1673</v>
      </c>
      <c r="D1597" s="2460" t="s">
        <v>1671</v>
      </c>
      <c r="E1597" s="2461" t="s">
        <v>213</v>
      </c>
      <c r="F1597" s="2461" t="s">
        <v>1473</v>
      </c>
      <c r="G1597" s="2461" t="s">
        <v>1409</v>
      </c>
      <c r="H1597" s="2461" t="s">
        <v>1070</v>
      </c>
      <c r="I1597" s="2462">
        <v>1.6863911278874825E-2</v>
      </c>
      <c r="J1597" s="2462">
        <v>20.556433275083375</v>
      </c>
    </row>
    <row r="1598" spans="1:10" outlineLevel="2">
      <c r="A1598" s="2459" t="s">
        <v>1669</v>
      </c>
      <c r="B1598" s="2459" t="s">
        <v>1649</v>
      </c>
      <c r="C1598" s="2459" t="s">
        <v>1673</v>
      </c>
      <c r="D1598" s="2460" t="s">
        <v>1671</v>
      </c>
      <c r="E1598" s="2461" t="s">
        <v>213</v>
      </c>
      <c r="F1598" s="2461" t="s">
        <v>1474</v>
      </c>
      <c r="G1598" s="2461" t="s">
        <v>1409</v>
      </c>
      <c r="H1598" s="2461" t="s">
        <v>1070</v>
      </c>
      <c r="I1598" s="2462">
        <v>7.9688148932936631E-2</v>
      </c>
      <c r="J1598" s="2462">
        <v>115.49528864268622</v>
      </c>
    </row>
    <row r="1599" spans="1:10" outlineLevel="2">
      <c r="A1599" s="2459" t="s">
        <v>1669</v>
      </c>
      <c r="B1599" s="2459" t="s">
        <v>1649</v>
      </c>
      <c r="C1599" s="2459" t="s">
        <v>1673</v>
      </c>
      <c r="D1599" s="2460" t="s">
        <v>1671</v>
      </c>
      <c r="E1599" s="2461" t="s">
        <v>213</v>
      </c>
      <c r="F1599" s="2461" t="s">
        <v>1475</v>
      </c>
      <c r="G1599" s="2461" t="s">
        <v>1409</v>
      </c>
      <c r="H1599" s="2461" t="s">
        <v>1070</v>
      </c>
      <c r="I1599" s="2462">
        <v>4.0395880924269101E-2</v>
      </c>
      <c r="J1599" s="2462">
        <v>55.464002072486792</v>
      </c>
    </row>
    <row r="1600" spans="1:10" outlineLevel="2">
      <c r="A1600" s="2459" t="s">
        <v>1669</v>
      </c>
      <c r="B1600" s="2459" t="s">
        <v>1649</v>
      </c>
      <c r="C1600" s="2459" t="s">
        <v>1673</v>
      </c>
      <c r="D1600" s="2460" t="s">
        <v>1671</v>
      </c>
      <c r="E1600" s="2461" t="s">
        <v>213</v>
      </c>
      <c r="F1600" s="2461" t="s">
        <v>1476</v>
      </c>
      <c r="G1600" s="2461" t="s">
        <v>1409</v>
      </c>
      <c r="H1600" s="2461" t="s">
        <v>1070</v>
      </c>
      <c r="I1600" s="2462">
        <v>3.1945752418565368E-3</v>
      </c>
      <c r="J1600" s="2462">
        <v>4.4675538612630579</v>
      </c>
    </row>
    <row r="1601" spans="1:10" outlineLevel="2">
      <c r="A1601" s="2459" t="s">
        <v>1669</v>
      </c>
      <c r="B1601" s="2459" t="s">
        <v>1649</v>
      </c>
      <c r="C1601" s="2459" t="s">
        <v>1673</v>
      </c>
      <c r="D1601" s="2460" t="s">
        <v>1671</v>
      </c>
      <c r="E1601" s="2461" t="s">
        <v>213</v>
      </c>
      <c r="F1601" s="2461" t="s">
        <v>1477</v>
      </c>
      <c r="G1601" s="2461" t="s">
        <v>1409</v>
      </c>
      <c r="H1601" s="2461" t="s">
        <v>1070</v>
      </c>
      <c r="I1601" s="2462">
        <v>5.2433144835113514E-3</v>
      </c>
      <c r="J1601" s="2462">
        <v>7.5021405625999744</v>
      </c>
    </row>
    <row r="1602" spans="1:10" outlineLevel="2">
      <c r="A1602" s="2459" t="s">
        <v>1669</v>
      </c>
      <c r="B1602" s="2459" t="s">
        <v>1649</v>
      </c>
      <c r="C1602" s="2459" t="s">
        <v>1673</v>
      </c>
      <c r="D1602" s="2460" t="s">
        <v>1671</v>
      </c>
      <c r="E1602" s="2461" t="s">
        <v>213</v>
      </c>
      <c r="F1602" s="2461" t="s">
        <v>1478</v>
      </c>
      <c r="G1602" s="2461" t="s">
        <v>1409</v>
      </c>
      <c r="H1602" s="2461" t="s">
        <v>1070</v>
      </c>
      <c r="I1602" s="2462">
        <v>2.2964256496199511E-3</v>
      </c>
      <c r="J1602" s="2462">
        <v>6.7037779778009368</v>
      </c>
    </row>
    <row r="1603" spans="1:10" outlineLevel="2">
      <c r="A1603" s="2459" t="s">
        <v>1669</v>
      </c>
      <c r="B1603" s="2459" t="s">
        <v>1649</v>
      </c>
      <c r="C1603" s="2459" t="s">
        <v>1673</v>
      </c>
      <c r="D1603" s="2460" t="s">
        <v>1671</v>
      </c>
      <c r="E1603" s="2461" t="s">
        <v>213</v>
      </c>
      <c r="F1603" s="2461" t="s">
        <v>1479</v>
      </c>
      <c r="G1603" s="2461" t="s">
        <v>1409</v>
      </c>
      <c r="H1603" s="2461" t="s">
        <v>1070</v>
      </c>
      <c r="I1603" s="2462">
        <v>1.8479472016531492E-3</v>
      </c>
      <c r="J1603" s="2462">
        <v>15.900200800654053</v>
      </c>
    </row>
    <row r="1604" spans="1:10" outlineLevel="2">
      <c r="A1604" s="2459" t="s">
        <v>1669</v>
      </c>
      <c r="B1604" s="2459" t="s">
        <v>1649</v>
      </c>
      <c r="C1604" s="2459" t="s">
        <v>1673</v>
      </c>
      <c r="D1604" s="2460" t="s">
        <v>1671</v>
      </c>
      <c r="E1604" s="2461" t="s">
        <v>213</v>
      </c>
      <c r="F1604" s="2461" t="s">
        <v>1480</v>
      </c>
      <c r="G1604" s="2461" t="s">
        <v>1409</v>
      </c>
      <c r="H1604" s="2461" t="s">
        <v>1070</v>
      </c>
      <c r="I1604" s="2462">
        <v>2.5141923632388954E-2</v>
      </c>
      <c r="J1604" s="2462">
        <v>37.912885766268595</v>
      </c>
    </row>
    <row r="1605" spans="1:10" outlineLevel="2">
      <c r="A1605" s="2459" t="s">
        <v>1669</v>
      </c>
      <c r="B1605" s="2459" t="s">
        <v>1649</v>
      </c>
      <c r="C1605" s="2459" t="s">
        <v>1673</v>
      </c>
      <c r="D1605" s="2460" t="s">
        <v>1671</v>
      </c>
      <c r="E1605" s="2461" t="s">
        <v>213</v>
      </c>
      <c r="F1605" s="2461" t="s">
        <v>1481</v>
      </c>
      <c r="G1605" s="2461" t="s">
        <v>1409</v>
      </c>
      <c r="H1605" s="2461" t="s">
        <v>1070</v>
      </c>
      <c r="I1605" s="2462">
        <v>1.7953087353552874E-2</v>
      </c>
      <c r="J1605" s="2462">
        <v>26.423773543518152</v>
      </c>
    </row>
    <row r="1606" spans="1:10" outlineLevel="2">
      <c r="A1606" s="2459" t="s">
        <v>1669</v>
      </c>
      <c r="B1606" s="2459" t="s">
        <v>1649</v>
      </c>
      <c r="C1606" s="2459" t="s">
        <v>1673</v>
      </c>
      <c r="D1606" s="2460" t="s">
        <v>1671</v>
      </c>
      <c r="E1606" s="2461" t="s">
        <v>213</v>
      </c>
      <c r="F1606" s="2461" t="s">
        <v>1482</v>
      </c>
      <c r="G1606" s="2461" t="s">
        <v>1409</v>
      </c>
      <c r="H1606" s="2461" t="s">
        <v>1070</v>
      </c>
      <c r="I1606" s="2462">
        <v>7.0503953967290065E-3</v>
      </c>
      <c r="J1606" s="2462">
        <v>8.6581287189351368</v>
      </c>
    </row>
    <row r="1607" spans="1:10" outlineLevel="2">
      <c r="A1607" s="2459" t="s">
        <v>1669</v>
      </c>
      <c r="B1607" s="2459" t="s">
        <v>1649</v>
      </c>
      <c r="C1607" s="2459" t="s">
        <v>1673</v>
      </c>
      <c r="D1607" s="2460" t="s">
        <v>1671</v>
      </c>
      <c r="E1607" s="2461" t="s">
        <v>213</v>
      </c>
      <c r="F1607" s="2461" t="s">
        <v>1483</v>
      </c>
      <c r="G1607" s="2461" t="s">
        <v>1409</v>
      </c>
      <c r="H1607" s="2461" t="s">
        <v>1070</v>
      </c>
      <c r="I1607" s="2462">
        <v>5.8699654982630424E-3</v>
      </c>
      <c r="J1607" s="2462">
        <v>6.3265134837769272</v>
      </c>
    </row>
    <row r="1608" spans="1:10" outlineLevel="2">
      <c r="A1608" s="2459" t="s">
        <v>1669</v>
      </c>
      <c r="B1608" s="2459" t="s">
        <v>1649</v>
      </c>
      <c r="C1608" s="2459" t="s">
        <v>1673</v>
      </c>
      <c r="D1608" s="2460" t="s">
        <v>1671</v>
      </c>
      <c r="E1608" s="2461" t="s">
        <v>213</v>
      </c>
      <c r="F1608" s="2461" t="s">
        <v>1484</v>
      </c>
      <c r="G1608" s="2461" t="s">
        <v>1412</v>
      </c>
      <c r="H1608" s="2461" t="s">
        <v>1116</v>
      </c>
      <c r="I1608" s="2462">
        <v>1.1997791091633644E-2</v>
      </c>
      <c r="J1608" s="2462">
        <v>24.079156571706687</v>
      </c>
    </row>
    <row r="1609" spans="1:10" outlineLevel="2">
      <c r="A1609" s="2459" t="s">
        <v>1669</v>
      </c>
      <c r="B1609" s="2459" t="s">
        <v>1649</v>
      </c>
      <c r="C1609" s="2459" t="s">
        <v>1673</v>
      </c>
      <c r="D1609" s="2460" t="s">
        <v>1671</v>
      </c>
      <c r="E1609" s="2461" t="s">
        <v>213</v>
      </c>
      <c r="F1609" s="2461" t="s">
        <v>1485</v>
      </c>
      <c r="G1609" s="2461" t="s">
        <v>1412</v>
      </c>
      <c r="H1609" s="2461" t="s">
        <v>1116</v>
      </c>
      <c r="I1609" s="2462">
        <v>8.6190283667428504E-3</v>
      </c>
      <c r="J1609" s="2462">
        <v>91.127617591631619</v>
      </c>
    </row>
    <row r="1610" spans="1:10" outlineLevel="2">
      <c r="A1610" s="2459" t="s">
        <v>1669</v>
      </c>
      <c r="B1610" s="2459" t="s">
        <v>1649</v>
      </c>
      <c r="C1610" s="2459" t="s">
        <v>1673</v>
      </c>
      <c r="D1610" s="2460" t="s">
        <v>1671</v>
      </c>
      <c r="E1610" s="2461" t="s">
        <v>213</v>
      </c>
      <c r="F1610" s="2461" t="s">
        <v>1486</v>
      </c>
      <c r="G1610" s="2461" t="s">
        <v>1412</v>
      </c>
      <c r="H1610" s="2461" t="s">
        <v>1116</v>
      </c>
      <c r="I1610" s="2462">
        <v>7.1513392115662667E-3</v>
      </c>
      <c r="J1610" s="2462">
        <v>19.581674651433751</v>
      </c>
    </row>
    <row r="1611" spans="1:10" outlineLevel="2">
      <c r="A1611" s="2459" t="s">
        <v>1669</v>
      </c>
      <c r="B1611" s="2459" t="s">
        <v>1649</v>
      </c>
      <c r="C1611" s="2459" t="s">
        <v>1673</v>
      </c>
      <c r="D1611" s="2460" t="s">
        <v>1671</v>
      </c>
      <c r="E1611" s="2461" t="s">
        <v>213</v>
      </c>
      <c r="F1611" s="2461" t="s">
        <v>1487</v>
      </c>
      <c r="G1611" s="2461" t="s">
        <v>1412</v>
      </c>
      <c r="H1611" s="2461" t="s">
        <v>1116</v>
      </c>
      <c r="I1611" s="2462">
        <v>2.7508025457396772E-2</v>
      </c>
      <c r="J1611" s="2462">
        <v>36.779774373164408</v>
      </c>
    </row>
    <row r="1612" spans="1:10" outlineLevel="2">
      <c r="A1612" s="2459" t="s">
        <v>1669</v>
      </c>
      <c r="B1612" s="2459" t="s">
        <v>1649</v>
      </c>
      <c r="C1612" s="2459" t="s">
        <v>1673</v>
      </c>
      <c r="D1612" s="2460" t="s">
        <v>1671</v>
      </c>
      <c r="E1612" s="2461" t="s">
        <v>213</v>
      </c>
      <c r="F1612" s="2461" t="s">
        <v>1488</v>
      </c>
      <c r="G1612" s="2461" t="s">
        <v>1412</v>
      </c>
      <c r="H1612" s="2461" t="s">
        <v>1116</v>
      </c>
      <c r="I1612" s="2462">
        <v>7.7616001566358894E-4</v>
      </c>
      <c r="J1612" s="2462">
        <v>1.6876124282806328</v>
      </c>
    </row>
    <row r="1613" spans="1:10" outlineLevel="2">
      <c r="A1613" s="2459" t="s">
        <v>1669</v>
      </c>
      <c r="B1613" s="2459" t="s">
        <v>1649</v>
      </c>
      <c r="C1613" s="2459" t="s">
        <v>1673</v>
      </c>
      <c r="D1613" s="2460" t="s">
        <v>1671</v>
      </c>
      <c r="E1613" s="2461" t="s">
        <v>213</v>
      </c>
      <c r="F1613" s="2461" t="s">
        <v>1489</v>
      </c>
      <c r="G1613" s="2461" t="s">
        <v>1412</v>
      </c>
      <c r="H1613" s="2461" t="s">
        <v>1116</v>
      </c>
      <c r="I1613" s="2462">
        <v>2.8260322329879072E-3</v>
      </c>
      <c r="J1613" s="2462">
        <v>4.2021659661383328</v>
      </c>
    </row>
    <row r="1614" spans="1:10" outlineLevel="2">
      <c r="A1614" s="2459" t="s">
        <v>1669</v>
      </c>
      <c r="B1614" s="2459" t="s">
        <v>1649</v>
      </c>
      <c r="C1614" s="2459" t="s">
        <v>1673</v>
      </c>
      <c r="D1614" s="2460" t="s">
        <v>1671</v>
      </c>
      <c r="E1614" s="2461" t="s">
        <v>213</v>
      </c>
      <c r="F1614" s="2461" t="s">
        <v>1490</v>
      </c>
      <c r="G1614" s="2461" t="s">
        <v>1412</v>
      </c>
      <c r="H1614" s="2461" t="s">
        <v>1116</v>
      </c>
      <c r="I1614" s="2462">
        <v>5.6502221817119193E-4</v>
      </c>
      <c r="J1614" s="2462">
        <v>8.0479780160789058</v>
      </c>
    </row>
    <row r="1615" spans="1:10" outlineLevel="2">
      <c r="A1615" s="2459" t="s">
        <v>1669</v>
      </c>
      <c r="B1615" s="2459" t="s">
        <v>1649</v>
      </c>
      <c r="C1615" s="2459" t="s">
        <v>1673</v>
      </c>
      <c r="D1615" s="2460" t="s">
        <v>1671</v>
      </c>
      <c r="E1615" s="2461" t="s">
        <v>213</v>
      </c>
      <c r="F1615" s="2461" t="s">
        <v>1491</v>
      </c>
      <c r="G1615" s="2461" t="s">
        <v>1439</v>
      </c>
      <c r="H1615" s="2461" t="s">
        <v>1440</v>
      </c>
      <c r="I1615" s="2462">
        <v>0.63834101628780604</v>
      </c>
      <c r="J1615" s="2462">
        <v>683.21858889292582</v>
      </c>
    </row>
    <row r="1616" spans="1:10" outlineLevel="2">
      <c r="A1616" s="2459" t="s">
        <v>1669</v>
      </c>
      <c r="B1616" s="2459" t="s">
        <v>1649</v>
      </c>
      <c r="C1616" s="2459" t="s">
        <v>1673</v>
      </c>
      <c r="D1616" s="2460" t="s">
        <v>1671</v>
      </c>
      <c r="E1616" s="2461" t="s">
        <v>213</v>
      </c>
      <c r="F1616" s="2461" t="s">
        <v>1492</v>
      </c>
      <c r="G1616" s="2461" t="s">
        <v>1439</v>
      </c>
      <c r="H1616" s="2461" t="s">
        <v>1440</v>
      </c>
      <c r="I1616" s="2462">
        <v>0.3084224956125064</v>
      </c>
      <c r="J1616" s="2462">
        <v>418.78756309788378</v>
      </c>
    </row>
    <row r="1617" spans="1:10" outlineLevel="2">
      <c r="A1617" s="2459" t="s">
        <v>1669</v>
      </c>
      <c r="B1617" s="2459" t="s">
        <v>1649</v>
      </c>
      <c r="C1617" s="2459" t="s">
        <v>1673</v>
      </c>
      <c r="D1617" s="2460" t="s">
        <v>1671</v>
      </c>
      <c r="E1617" s="2461" t="s">
        <v>213</v>
      </c>
      <c r="F1617" s="2461" t="s">
        <v>1493</v>
      </c>
      <c r="G1617" s="2461" t="s">
        <v>1439</v>
      </c>
      <c r="H1617" s="2461" t="s">
        <v>1440</v>
      </c>
      <c r="I1617" s="2462">
        <v>5.4951383687029398E-2</v>
      </c>
      <c r="J1617" s="2462">
        <v>58.792121911780896</v>
      </c>
    </row>
    <row r="1618" spans="1:10" outlineLevel="2">
      <c r="A1618" s="2459" t="s">
        <v>1669</v>
      </c>
      <c r="B1618" s="2459" t="s">
        <v>1649</v>
      </c>
      <c r="C1618" s="2459" t="s">
        <v>1673</v>
      </c>
      <c r="D1618" s="2460" t="s">
        <v>1671</v>
      </c>
      <c r="E1618" s="2461" t="s">
        <v>213</v>
      </c>
      <c r="F1618" s="2461" t="s">
        <v>1494</v>
      </c>
      <c r="G1618" s="2461" t="s">
        <v>1439</v>
      </c>
      <c r="H1618" s="2461" t="s">
        <v>1440</v>
      </c>
      <c r="I1618" s="2462">
        <v>0.19654876678356445</v>
      </c>
      <c r="J1618" s="2462">
        <v>248.40958132147713</v>
      </c>
    </row>
    <row r="1619" spans="1:10" outlineLevel="2">
      <c r="A1619" s="2459" t="s">
        <v>1669</v>
      </c>
      <c r="B1619" s="2459" t="s">
        <v>1649</v>
      </c>
      <c r="C1619" s="2459" t="s">
        <v>1673</v>
      </c>
      <c r="D1619" s="2460" t="s">
        <v>1671</v>
      </c>
      <c r="E1619" s="2461" t="s">
        <v>213</v>
      </c>
      <c r="F1619" s="2461" t="s">
        <v>1495</v>
      </c>
      <c r="G1619" s="2461" t="s">
        <v>1439</v>
      </c>
      <c r="H1619" s="2461" t="s">
        <v>1440</v>
      </c>
      <c r="I1619" s="2462">
        <v>2.9935095940248841E-3</v>
      </c>
      <c r="J1619" s="2462">
        <v>3.7978199797852277</v>
      </c>
    </row>
    <row r="1620" spans="1:10" outlineLevel="2">
      <c r="A1620" s="2459" t="s">
        <v>1669</v>
      </c>
      <c r="B1620" s="2459" t="s">
        <v>1649</v>
      </c>
      <c r="C1620" s="2459" t="s">
        <v>1673</v>
      </c>
      <c r="D1620" s="2460" t="s">
        <v>1671</v>
      </c>
      <c r="E1620" s="2461" t="s">
        <v>213</v>
      </c>
      <c r="F1620" s="2461" t="s">
        <v>1496</v>
      </c>
      <c r="G1620" s="2461" t="s">
        <v>1439</v>
      </c>
      <c r="H1620" s="2461" t="s">
        <v>1440</v>
      </c>
      <c r="I1620" s="2462">
        <v>6.847374158282498E-3</v>
      </c>
      <c r="J1620" s="2462">
        <v>9.7001702021552187</v>
      </c>
    </row>
    <row r="1621" spans="1:10" outlineLevel="2">
      <c r="A1621" s="2459" t="s">
        <v>1669</v>
      </c>
      <c r="B1621" s="2459" t="s">
        <v>1649</v>
      </c>
      <c r="C1621" s="2459" t="s">
        <v>1673</v>
      </c>
      <c r="D1621" s="2460" t="s">
        <v>1671</v>
      </c>
      <c r="E1621" s="2461" t="s">
        <v>213</v>
      </c>
      <c r="F1621" s="2461" t="s">
        <v>1497</v>
      </c>
      <c r="G1621" s="2461" t="s">
        <v>1439</v>
      </c>
      <c r="H1621" s="2461" t="s">
        <v>1440</v>
      </c>
      <c r="I1621" s="2462">
        <v>5.7012254994705898E-3</v>
      </c>
      <c r="J1621" s="2462">
        <v>7.2453842799232122</v>
      </c>
    </row>
    <row r="1622" spans="1:10" outlineLevel="2">
      <c r="A1622" s="2459" t="s">
        <v>1669</v>
      </c>
      <c r="B1622" s="2459" t="s">
        <v>1649</v>
      </c>
      <c r="C1622" s="2459" t="s">
        <v>1673</v>
      </c>
      <c r="D1622" s="2460" t="s">
        <v>1671</v>
      </c>
      <c r="E1622" s="2461" t="s">
        <v>213</v>
      </c>
      <c r="F1622" s="2461" t="s">
        <v>1498</v>
      </c>
      <c r="G1622" s="2461" t="s">
        <v>1439</v>
      </c>
      <c r="H1622" s="2461" t="s">
        <v>1440</v>
      </c>
      <c r="I1622" s="2462">
        <v>0.23401721676149612</v>
      </c>
      <c r="J1622" s="2462">
        <v>398.04255035690267</v>
      </c>
    </row>
    <row r="1623" spans="1:10" outlineLevel="2">
      <c r="A1623" s="2459" t="s">
        <v>1669</v>
      </c>
      <c r="B1623" s="2459" t="s">
        <v>1649</v>
      </c>
      <c r="C1623" s="2459" t="s">
        <v>1673</v>
      </c>
      <c r="D1623" s="2460" t="s">
        <v>1671</v>
      </c>
      <c r="E1623" s="2461" t="s">
        <v>213</v>
      </c>
      <c r="F1623" s="2461" t="s">
        <v>1499</v>
      </c>
      <c r="G1623" s="2461" t="s">
        <v>1439</v>
      </c>
      <c r="H1623" s="2461" t="s">
        <v>1440</v>
      </c>
      <c r="I1623" s="2462">
        <v>0.14486339000511697</v>
      </c>
      <c r="J1623" s="2462">
        <v>77.323224737217771</v>
      </c>
    </row>
    <row r="1624" spans="1:10" outlineLevel="2">
      <c r="A1624" s="2459" t="s">
        <v>1669</v>
      </c>
      <c r="B1624" s="2459" t="s">
        <v>1649</v>
      </c>
      <c r="C1624" s="2459" t="s">
        <v>1673</v>
      </c>
      <c r="D1624" s="2460" t="s">
        <v>1671</v>
      </c>
      <c r="E1624" s="2461" t="s">
        <v>213</v>
      </c>
      <c r="F1624" s="2461" t="s">
        <v>1500</v>
      </c>
      <c r="G1624" s="2461" t="s">
        <v>1439</v>
      </c>
      <c r="H1624" s="2461" t="s">
        <v>1440</v>
      </c>
      <c r="I1624" s="2462">
        <v>0.29505950874529452</v>
      </c>
      <c r="J1624" s="2462">
        <v>157.4743145518172</v>
      </c>
    </row>
    <row r="1625" spans="1:10" outlineLevel="2">
      <c r="A1625" s="2459" t="s">
        <v>1669</v>
      </c>
      <c r="B1625" s="2459" t="s">
        <v>1649</v>
      </c>
      <c r="C1625" s="2459" t="s">
        <v>1673</v>
      </c>
      <c r="D1625" s="2460" t="s">
        <v>1671</v>
      </c>
      <c r="E1625" s="2461" t="s">
        <v>213</v>
      </c>
      <c r="F1625" s="2461" t="s">
        <v>1501</v>
      </c>
      <c r="G1625" s="2461" t="s">
        <v>1439</v>
      </c>
      <c r="H1625" s="2461" t="s">
        <v>1440</v>
      </c>
      <c r="I1625" s="2462">
        <v>9.5113579547812244E-2</v>
      </c>
      <c r="J1625" s="2462">
        <v>138.76383429083387</v>
      </c>
    </row>
    <row r="1626" spans="1:10" outlineLevel="2">
      <c r="A1626" s="2459" t="s">
        <v>1669</v>
      </c>
      <c r="B1626" s="2459" t="s">
        <v>1649</v>
      </c>
      <c r="C1626" s="2459" t="s">
        <v>1673</v>
      </c>
      <c r="D1626" s="2460" t="s">
        <v>1671</v>
      </c>
      <c r="E1626" s="2461" t="s">
        <v>213</v>
      </c>
      <c r="F1626" s="2461" t="s">
        <v>1502</v>
      </c>
      <c r="G1626" s="2461" t="s">
        <v>1439</v>
      </c>
      <c r="H1626" s="2461" t="s">
        <v>1440</v>
      </c>
      <c r="I1626" s="2462">
        <v>3.5221915090667757E-2</v>
      </c>
      <c r="J1626" s="2462">
        <v>53.206791801730859</v>
      </c>
    </row>
    <row r="1627" spans="1:10" outlineLevel="2">
      <c r="A1627" s="2459" t="s">
        <v>1669</v>
      </c>
      <c r="B1627" s="2459" t="s">
        <v>1649</v>
      </c>
      <c r="C1627" s="2459" t="s">
        <v>1673</v>
      </c>
      <c r="D1627" s="2460" t="s">
        <v>1671</v>
      </c>
      <c r="E1627" s="2461" t="s">
        <v>213</v>
      </c>
      <c r="F1627" s="2461" t="s">
        <v>1503</v>
      </c>
      <c r="G1627" s="2461" t="s">
        <v>1439</v>
      </c>
      <c r="H1627" s="2461" t="s">
        <v>1440</v>
      </c>
      <c r="I1627" s="2462">
        <v>4.6469924911565021E-2</v>
      </c>
      <c r="J1627" s="2462">
        <v>60.224840760655361</v>
      </c>
    </row>
    <row r="1628" spans="1:10" outlineLevel="2">
      <c r="A1628" s="2459" t="s">
        <v>1669</v>
      </c>
      <c r="B1628" s="2459" t="s">
        <v>1649</v>
      </c>
      <c r="C1628" s="2459" t="s">
        <v>1673</v>
      </c>
      <c r="D1628" s="2460" t="s">
        <v>1671</v>
      </c>
      <c r="E1628" s="2461" t="s">
        <v>213</v>
      </c>
      <c r="F1628" s="2461" t="s">
        <v>1504</v>
      </c>
      <c r="G1628" s="2461" t="s">
        <v>1439</v>
      </c>
      <c r="H1628" s="2461" t="s">
        <v>1440</v>
      </c>
      <c r="I1628" s="2462">
        <v>2.3711890404002459E-2</v>
      </c>
      <c r="J1628" s="2462">
        <v>28.594390118012811</v>
      </c>
    </row>
    <row r="1629" spans="1:10" outlineLevel="2">
      <c r="A1629" s="2459" t="s">
        <v>1669</v>
      </c>
      <c r="B1629" s="2459" t="s">
        <v>1649</v>
      </c>
      <c r="C1629" s="2459" t="s">
        <v>1673</v>
      </c>
      <c r="D1629" s="2460" t="s">
        <v>1671</v>
      </c>
      <c r="E1629" s="2461" t="s">
        <v>213</v>
      </c>
      <c r="F1629" s="2461" t="s">
        <v>1505</v>
      </c>
      <c r="G1629" s="2461" t="s">
        <v>1439</v>
      </c>
      <c r="H1629" s="2461" t="s">
        <v>1440</v>
      </c>
      <c r="I1629" s="2462">
        <v>1.2720234347415</v>
      </c>
      <c r="J1629" s="2462">
        <v>1860.0164182473675</v>
      </c>
    </row>
    <row r="1630" spans="1:10" outlineLevel="2">
      <c r="A1630" s="2459" t="s">
        <v>1669</v>
      </c>
      <c r="B1630" s="2459" t="s">
        <v>1649</v>
      </c>
      <c r="C1630" s="2459" t="s">
        <v>1673</v>
      </c>
      <c r="D1630" s="2460" t="s">
        <v>1671</v>
      </c>
      <c r="E1630" s="2461" t="s">
        <v>213</v>
      </c>
      <c r="F1630" s="2461" t="s">
        <v>1506</v>
      </c>
      <c r="G1630" s="2461" t="s">
        <v>1439</v>
      </c>
      <c r="H1630" s="2461" t="s">
        <v>1440</v>
      </c>
      <c r="I1630" s="2462">
        <v>0.47855934049587673</v>
      </c>
      <c r="J1630" s="2462">
        <v>723.08239849763777</v>
      </c>
    </row>
    <row r="1631" spans="1:10" outlineLevel="2">
      <c r="A1631" s="2459" t="s">
        <v>1669</v>
      </c>
      <c r="B1631" s="2459" t="s">
        <v>1649</v>
      </c>
      <c r="C1631" s="2459" t="s">
        <v>1673</v>
      </c>
      <c r="D1631" s="2460" t="s">
        <v>1671</v>
      </c>
      <c r="E1631" s="2461" t="s">
        <v>213</v>
      </c>
      <c r="F1631" s="2461" t="s">
        <v>1507</v>
      </c>
      <c r="G1631" s="2461" t="s">
        <v>1439</v>
      </c>
      <c r="H1631" s="2461" t="s">
        <v>1440</v>
      </c>
      <c r="I1631" s="2462">
        <v>5.3550137118988025E-2</v>
      </c>
      <c r="J1631" s="2462">
        <v>120.7358419574943</v>
      </c>
    </row>
    <row r="1632" spans="1:10" outlineLevel="2">
      <c r="A1632" s="2459" t="s">
        <v>1669</v>
      </c>
      <c r="B1632" s="2459" t="s">
        <v>1649</v>
      </c>
      <c r="C1632" s="2459" t="s">
        <v>1673</v>
      </c>
      <c r="D1632" s="2460" t="s">
        <v>1671</v>
      </c>
      <c r="E1632" s="2461" t="s">
        <v>213</v>
      </c>
      <c r="F1632" s="2461" t="s">
        <v>1508</v>
      </c>
      <c r="G1632" s="2461" t="s">
        <v>1439</v>
      </c>
      <c r="H1632" s="2461" t="s">
        <v>1440</v>
      </c>
      <c r="I1632" s="2462">
        <v>1.4739863353355092</v>
      </c>
      <c r="J1632" s="2462">
        <v>2334.1561080782212</v>
      </c>
    </row>
    <row r="1633" spans="1:10" outlineLevel="2">
      <c r="A1633" s="2459" t="s">
        <v>1669</v>
      </c>
      <c r="B1633" s="2459" t="s">
        <v>1649</v>
      </c>
      <c r="C1633" s="2459" t="s">
        <v>1673</v>
      </c>
      <c r="D1633" s="2460" t="s">
        <v>1671</v>
      </c>
      <c r="E1633" s="2461" t="s">
        <v>213</v>
      </c>
      <c r="F1633" s="2461" t="s">
        <v>1509</v>
      </c>
      <c r="G1633" s="2461" t="s">
        <v>1439</v>
      </c>
      <c r="H1633" s="2461" t="s">
        <v>1440</v>
      </c>
      <c r="I1633" s="2462">
        <v>5.7909849328199994E-2</v>
      </c>
      <c r="J1633" s="2462">
        <v>66.116932089385969</v>
      </c>
    </row>
    <row r="1634" spans="1:10" outlineLevel="2">
      <c r="A1634" s="2459" t="s">
        <v>1669</v>
      </c>
      <c r="B1634" s="2459" t="s">
        <v>1649</v>
      </c>
      <c r="C1634" s="2459" t="s">
        <v>1673</v>
      </c>
      <c r="D1634" s="2460" t="s">
        <v>1671</v>
      </c>
      <c r="E1634" s="2461" t="s">
        <v>213</v>
      </c>
      <c r="F1634" s="2461" t="s">
        <v>1510</v>
      </c>
      <c r="G1634" s="2461" t="s">
        <v>1439</v>
      </c>
      <c r="H1634" s="2461" t="s">
        <v>1440</v>
      </c>
      <c r="I1634" s="2462">
        <v>6.1854728333932692E-2</v>
      </c>
      <c r="J1634" s="2462">
        <v>71.724729688511559</v>
      </c>
    </row>
    <row r="1635" spans="1:10" outlineLevel="2">
      <c r="A1635" s="2459" t="s">
        <v>1669</v>
      </c>
      <c r="B1635" s="2459" t="s">
        <v>1649</v>
      </c>
      <c r="C1635" s="2459" t="s">
        <v>1673</v>
      </c>
      <c r="D1635" s="2460" t="s">
        <v>1671</v>
      </c>
      <c r="E1635" s="2461" t="s">
        <v>213</v>
      </c>
      <c r="F1635" s="2461" t="s">
        <v>1511</v>
      </c>
      <c r="G1635" s="2461" t="s">
        <v>1418</v>
      </c>
      <c r="H1635" s="2461" t="s">
        <v>1452</v>
      </c>
      <c r="I1635" s="2462">
        <v>2.6861218993785429E-4</v>
      </c>
      <c r="J1635" s="2462">
        <v>0.39639568041433365</v>
      </c>
    </row>
    <row r="1636" spans="1:10" outlineLevel="2">
      <c r="A1636" s="2459" t="s">
        <v>1669</v>
      </c>
      <c r="B1636" s="2459" t="s">
        <v>1649</v>
      </c>
      <c r="C1636" s="2459" t="s">
        <v>1673</v>
      </c>
      <c r="D1636" s="2460" t="s">
        <v>1671</v>
      </c>
      <c r="E1636" s="2461" t="s">
        <v>213</v>
      </c>
      <c r="F1636" s="2461" t="s">
        <v>1512</v>
      </c>
      <c r="G1636" s="2461" t="s">
        <v>1418</v>
      </c>
      <c r="H1636" s="2461" t="s">
        <v>1452</v>
      </c>
      <c r="I1636" s="2462">
        <v>3.515217334903083E-4</v>
      </c>
      <c r="J1636" s="2462">
        <v>1.5339086752805373</v>
      </c>
    </row>
    <row r="1637" spans="1:10" outlineLevel="2">
      <c r="A1637" s="2459" t="s">
        <v>1669</v>
      </c>
      <c r="B1637" s="2459" t="s">
        <v>1649</v>
      </c>
      <c r="C1637" s="2459" t="s">
        <v>1673</v>
      </c>
      <c r="D1637" s="2460" t="s">
        <v>1671</v>
      </c>
      <c r="E1637" s="2461" t="s">
        <v>213</v>
      </c>
      <c r="F1637" s="2461" t="s">
        <v>1513</v>
      </c>
      <c r="G1637" s="2461" t="s">
        <v>1418</v>
      </c>
      <c r="H1637" s="2461" t="s">
        <v>1452</v>
      </c>
      <c r="I1637" s="2462">
        <v>1.3111988778506211E-5</v>
      </c>
      <c r="J1637" s="2462">
        <v>1.2304611460215557E-2</v>
      </c>
    </row>
    <row r="1638" spans="1:10" outlineLevel="2">
      <c r="A1638" s="2459" t="s">
        <v>1669</v>
      </c>
      <c r="B1638" s="2459" t="s">
        <v>1649</v>
      </c>
      <c r="C1638" s="2459" t="s">
        <v>1673</v>
      </c>
      <c r="D1638" s="2460" t="s">
        <v>1671</v>
      </c>
      <c r="E1638" s="2461" t="s">
        <v>213</v>
      </c>
      <c r="F1638" s="2461" t="s">
        <v>1514</v>
      </c>
      <c r="G1638" s="2461" t="s">
        <v>1418</v>
      </c>
      <c r="H1638" s="2461" t="s">
        <v>1452</v>
      </c>
      <c r="I1638" s="2462">
        <v>1.176124403860872E-3</v>
      </c>
      <c r="J1638" s="2462">
        <v>1.1015054939340501</v>
      </c>
    </row>
    <row r="1639" spans="1:10" outlineLevel="2">
      <c r="A1639" s="2459" t="s">
        <v>1669</v>
      </c>
      <c r="B1639" s="2459" t="s">
        <v>1649</v>
      </c>
      <c r="C1639" s="2459" t="s">
        <v>1673</v>
      </c>
      <c r="D1639" s="2460" t="s">
        <v>1671</v>
      </c>
      <c r="E1639" s="2461" t="s">
        <v>213</v>
      </c>
      <c r="F1639" s="2461" t="s">
        <v>1515</v>
      </c>
      <c r="G1639" s="2461" t="s">
        <v>1418</v>
      </c>
      <c r="H1639" s="2461" t="s">
        <v>1452</v>
      </c>
      <c r="I1639" s="2462">
        <v>2.2599376614032657E-4</v>
      </c>
      <c r="J1639" s="2462">
        <v>0.32589741984694981</v>
      </c>
    </row>
    <row r="1640" spans="1:10" outlineLevel="2">
      <c r="A1640" s="2459" t="s">
        <v>1669</v>
      </c>
      <c r="B1640" s="2459" t="s">
        <v>1649</v>
      </c>
      <c r="C1640" s="2459" t="s">
        <v>1673</v>
      </c>
      <c r="D1640" s="2460" t="s">
        <v>1671</v>
      </c>
      <c r="E1640" s="2461" t="s">
        <v>213</v>
      </c>
      <c r="F1640" s="2461" t="s">
        <v>1516</v>
      </c>
      <c r="G1640" s="2461" t="s">
        <v>1418</v>
      </c>
      <c r="H1640" s="2461" t="s">
        <v>1452</v>
      </c>
      <c r="I1640" s="2462">
        <v>3.2298311324912153E-3</v>
      </c>
      <c r="J1640" s="2462">
        <v>3.6109263640395994</v>
      </c>
    </row>
    <row r="1641" spans="1:10" outlineLevel="2">
      <c r="A1641" s="2459" t="s">
        <v>1669</v>
      </c>
      <c r="B1641" s="2459" t="s">
        <v>1649</v>
      </c>
      <c r="C1641" s="2459" t="s">
        <v>1673</v>
      </c>
      <c r="D1641" s="2460" t="s">
        <v>1671</v>
      </c>
      <c r="E1641" s="2461" t="s">
        <v>213</v>
      </c>
      <c r="F1641" s="2461" t="s">
        <v>1517</v>
      </c>
      <c r="G1641" s="2461" t="s">
        <v>1418</v>
      </c>
      <c r="H1641" s="2461" t="s">
        <v>1452</v>
      </c>
      <c r="I1641" s="2462">
        <v>1.6536563135202468E-2</v>
      </c>
      <c r="J1641" s="2462">
        <v>8.0953256424846352</v>
      </c>
    </row>
    <row r="1642" spans="1:10" outlineLevel="2">
      <c r="A1642" s="2459" t="s">
        <v>1669</v>
      </c>
      <c r="B1642" s="2459" t="s">
        <v>1649</v>
      </c>
      <c r="C1642" s="2459" t="s">
        <v>1673</v>
      </c>
      <c r="D1642" s="2460" t="s">
        <v>1671</v>
      </c>
      <c r="E1642" s="2461" t="s">
        <v>213</v>
      </c>
      <c r="F1642" s="2461" t="s">
        <v>1518</v>
      </c>
      <c r="G1642" s="2461" t="s">
        <v>1418</v>
      </c>
      <c r="H1642" s="2461" t="s">
        <v>1452</v>
      </c>
      <c r="I1642" s="2462">
        <v>1.8626194974969382E-3</v>
      </c>
      <c r="J1642" s="2462">
        <v>1.7444457776925044</v>
      </c>
    </row>
    <row r="1643" spans="1:10" outlineLevel="2">
      <c r="A1643" s="2459" t="s">
        <v>1669</v>
      </c>
      <c r="B1643" s="2459" t="s">
        <v>1649</v>
      </c>
      <c r="C1643" s="2459" t="s">
        <v>1673</v>
      </c>
      <c r="D1643" s="2460" t="s">
        <v>1671</v>
      </c>
      <c r="E1643" s="2461" t="s">
        <v>213</v>
      </c>
      <c r="F1643" s="2461" t="s">
        <v>1519</v>
      </c>
      <c r="G1643" s="2461" t="s">
        <v>1418</v>
      </c>
      <c r="H1643" s="2461" t="s">
        <v>1452</v>
      </c>
      <c r="I1643" s="2462">
        <v>2.4452011949857989E-3</v>
      </c>
      <c r="J1643" s="2462">
        <v>2.489387054195662</v>
      </c>
    </row>
    <row r="1644" spans="1:10" outlineLevel="2">
      <c r="A1644" s="2459" t="s">
        <v>1669</v>
      </c>
      <c r="B1644" s="2459" t="s">
        <v>1649</v>
      </c>
      <c r="C1644" s="2459" t="s">
        <v>1673</v>
      </c>
      <c r="D1644" s="2460" t="s">
        <v>1671</v>
      </c>
      <c r="E1644" s="2461" t="s">
        <v>213</v>
      </c>
      <c r="F1644" s="2461" t="s">
        <v>1520</v>
      </c>
      <c r="G1644" s="2461" t="s">
        <v>1418</v>
      </c>
      <c r="H1644" s="2461" t="s">
        <v>1452</v>
      </c>
      <c r="I1644" s="2462">
        <v>2.9289890904477613E-4</v>
      </c>
      <c r="J1644" s="2462">
        <v>2.6604231579362727</v>
      </c>
    </row>
    <row r="1645" spans="1:10" outlineLevel="2">
      <c r="A1645" s="2459" t="s">
        <v>1669</v>
      </c>
      <c r="B1645" s="2459" t="s">
        <v>1649</v>
      </c>
      <c r="C1645" s="2459" t="s">
        <v>1673</v>
      </c>
      <c r="D1645" s="2460" t="s">
        <v>1671</v>
      </c>
      <c r="E1645" s="2461" t="s">
        <v>213</v>
      </c>
      <c r="F1645" s="2461" t="s">
        <v>1521</v>
      </c>
      <c r="G1645" s="2461" t="s">
        <v>1421</v>
      </c>
      <c r="H1645" s="2461" t="s">
        <v>1454</v>
      </c>
      <c r="I1645" s="2462">
        <v>0.49240985781585461</v>
      </c>
      <c r="J1645" s="2462">
        <v>683.59044182762034</v>
      </c>
    </row>
    <row r="1646" spans="1:10" outlineLevel="2">
      <c r="A1646" s="2459" t="s">
        <v>1669</v>
      </c>
      <c r="B1646" s="2459" t="s">
        <v>1649</v>
      </c>
      <c r="C1646" s="2459" t="s">
        <v>1673</v>
      </c>
      <c r="D1646" s="2460" t="s">
        <v>1671</v>
      </c>
      <c r="E1646" s="2461" t="s">
        <v>213</v>
      </c>
      <c r="F1646" s="2461" t="s">
        <v>1522</v>
      </c>
      <c r="G1646" s="2461" t="s">
        <v>1421</v>
      </c>
      <c r="H1646" s="2461" t="s">
        <v>1454</v>
      </c>
      <c r="I1646" s="2462">
        <v>0.11566196806015755</v>
      </c>
      <c r="J1646" s="2462">
        <v>171.02820871150345</v>
      </c>
    </row>
    <row r="1647" spans="1:10" outlineLevel="2">
      <c r="A1647" s="2459" t="s">
        <v>1669</v>
      </c>
      <c r="B1647" s="2459" t="s">
        <v>1649</v>
      </c>
      <c r="C1647" s="2459" t="s">
        <v>1673</v>
      </c>
      <c r="D1647" s="2460" t="s">
        <v>1671</v>
      </c>
      <c r="E1647" s="2461" t="s">
        <v>213</v>
      </c>
      <c r="F1647" s="2461" t="s">
        <v>1523</v>
      </c>
      <c r="G1647" s="2461" t="s">
        <v>1421</v>
      </c>
      <c r="H1647" s="2461" t="s">
        <v>1454</v>
      </c>
      <c r="I1647" s="2462">
        <v>5.335725268252807E-2</v>
      </c>
      <c r="J1647" s="2462">
        <v>90.434069246880199</v>
      </c>
    </row>
    <row r="1648" spans="1:10" outlineLevel="2">
      <c r="A1648" s="2459" t="s">
        <v>1669</v>
      </c>
      <c r="B1648" s="2459" t="s">
        <v>1649</v>
      </c>
      <c r="C1648" s="2459" t="s">
        <v>1673</v>
      </c>
      <c r="D1648" s="2460" t="s">
        <v>1671</v>
      </c>
      <c r="E1648" s="2461" t="s">
        <v>213</v>
      </c>
      <c r="F1648" s="2461" t="s">
        <v>1524</v>
      </c>
      <c r="G1648" s="2461" t="s">
        <v>1421</v>
      </c>
      <c r="H1648" s="2461" t="s">
        <v>1454</v>
      </c>
      <c r="I1648" s="2462">
        <v>0.12294670255657773</v>
      </c>
      <c r="J1648" s="2462">
        <v>194.40875939508405</v>
      </c>
    </row>
    <row r="1649" spans="1:10" outlineLevel="2">
      <c r="A1649" s="2459" t="s">
        <v>1669</v>
      </c>
      <c r="B1649" s="2459" t="s">
        <v>1649</v>
      </c>
      <c r="C1649" s="2459" t="s">
        <v>1673</v>
      </c>
      <c r="D1649" s="2460" t="s">
        <v>1671</v>
      </c>
      <c r="E1649" s="2461" t="s">
        <v>213</v>
      </c>
      <c r="F1649" s="2461" t="s">
        <v>1525</v>
      </c>
      <c r="G1649" s="2461" t="s">
        <v>1421</v>
      </c>
      <c r="H1649" s="2461" t="s">
        <v>1454</v>
      </c>
      <c r="I1649" s="2462">
        <v>0.21658707231254218</v>
      </c>
      <c r="J1649" s="2462">
        <v>307.16070765834638</v>
      </c>
    </row>
    <row r="1650" spans="1:10" outlineLevel="2">
      <c r="A1650" s="2459" t="s">
        <v>1669</v>
      </c>
      <c r="B1650" s="2459" t="s">
        <v>1649</v>
      </c>
      <c r="C1650" s="2459" t="s">
        <v>1673</v>
      </c>
      <c r="D1650" s="2460" t="s">
        <v>1671</v>
      </c>
      <c r="E1650" s="2461" t="s">
        <v>213</v>
      </c>
      <c r="F1650" s="2461" t="s">
        <v>1526</v>
      </c>
      <c r="G1650" s="2461" t="s">
        <v>1421</v>
      </c>
      <c r="H1650" s="2461" t="s">
        <v>1454</v>
      </c>
      <c r="I1650" s="2462">
        <v>1.0033909317341817E-2</v>
      </c>
      <c r="J1650" s="2462">
        <v>14.411479652098139</v>
      </c>
    </row>
    <row r="1651" spans="1:10" outlineLevel="2">
      <c r="A1651" s="2459" t="s">
        <v>1669</v>
      </c>
      <c r="B1651" s="2459" t="s">
        <v>1649</v>
      </c>
      <c r="C1651" s="2459" t="s">
        <v>1673</v>
      </c>
      <c r="D1651" s="2460" t="s">
        <v>1671</v>
      </c>
      <c r="E1651" s="2461" t="s">
        <v>213</v>
      </c>
      <c r="F1651" s="2461" t="s">
        <v>1527</v>
      </c>
      <c r="G1651" s="2461" t="s">
        <v>1459</v>
      </c>
      <c r="H1651" s="2461" t="s">
        <v>1460</v>
      </c>
      <c r="I1651" s="2462">
        <v>3.6374294312727977E-2</v>
      </c>
      <c r="J1651" s="2462">
        <v>38.009881102132134</v>
      </c>
    </row>
    <row r="1652" spans="1:10" outlineLevel="2">
      <c r="A1652" s="2459" t="s">
        <v>1669</v>
      </c>
      <c r="B1652" s="2459" t="s">
        <v>1649</v>
      </c>
      <c r="C1652" s="2459" t="s">
        <v>1673</v>
      </c>
      <c r="D1652" s="2460" t="s">
        <v>1671</v>
      </c>
      <c r="E1652" s="2461" t="s">
        <v>213</v>
      </c>
      <c r="F1652" s="2461" t="s">
        <v>1528</v>
      </c>
      <c r="G1652" s="2461" t="s">
        <v>1459</v>
      </c>
      <c r="H1652" s="2461" t="s">
        <v>1460</v>
      </c>
      <c r="I1652" s="2462">
        <v>3.1661763682654451E-4</v>
      </c>
      <c r="J1652" s="2462">
        <v>0.40509578934836454</v>
      </c>
    </row>
    <row r="1653" spans="1:10" outlineLevel="2">
      <c r="A1653" s="2459" t="s">
        <v>1669</v>
      </c>
      <c r="B1653" s="2459" t="s">
        <v>1649</v>
      </c>
      <c r="C1653" s="2459" t="s">
        <v>1673</v>
      </c>
      <c r="D1653" s="2460" t="s">
        <v>1671</v>
      </c>
      <c r="E1653" s="2461" t="s">
        <v>213</v>
      </c>
      <c r="F1653" s="2461" t="s">
        <v>1529</v>
      </c>
      <c r="G1653" s="2461" t="s">
        <v>1530</v>
      </c>
      <c r="H1653" s="2461" t="s">
        <v>1531</v>
      </c>
      <c r="I1653" s="2462">
        <v>5.50124687896946</v>
      </c>
      <c r="J1653" s="2462">
        <v>4680.5640486653219</v>
      </c>
    </row>
    <row r="1654" spans="1:10" outlineLevel="2">
      <c r="A1654" s="2459" t="s">
        <v>1669</v>
      </c>
      <c r="B1654" s="2459" t="s">
        <v>1649</v>
      </c>
      <c r="C1654" s="2459" t="s">
        <v>1673</v>
      </c>
      <c r="D1654" s="2460" t="s">
        <v>1671</v>
      </c>
      <c r="E1654" s="2461" t="s">
        <v>213</v>
      </c>
      <c r="F1654" s="2461" t="s">
        <v>1532</v>
      </c>
      <c r="G1654" s="2461" t="s">
        <v>1530</v>
      </c>
      <c r="H1654" s="2461" t="s">
        <v>1531</v>
      </c>
      <c r="I1654" s="2462">
        <v>2.3155448092596997</v>
      </c>
      <c r="J1654" s="2462">
        <v>1975.4151428267835</v>
      </c>
    </row>
    <row r="1655" spans="1:10" outlineLevel="2">
      <c r="A1655" s="2459" t="s">
        <v>1669</v>
      </c>
      <c r="B1655" s="2459" t="s">
        <v>1649</v>
      </c>
      <c r="C1655" s="2459" t="s">
        <v>1673</v>
      </c>
      <c r="D1655" s="2460" t="s">
        <v>1671</v>
      </c>
      <c r="E1655" s="2461" t="s">
        <v>213</v>
      </c>
      <c r="F1655" s="2461" t="s">
        <v>1533</v>
      </c>
      <c r="G1655" s="2461" t="s">
        <v>1534</v>
      </c>
      <c r="H1655" s="2461" t="s">
        <v>1531</v>
      </c>
      <c r="I1655" s="2462">
        <v>2.5946563758971721</v>
      </c>
      <c r="J1655" s="2462">
        <v>4363.0176235775962</v>
      </c>
    </row>
    <row r="1656" spans="1:10" outlineLevel="2">
      <c r="A1656" s="2459" t="s">
        <v>1669</v>
      </c>
      <c r="B1656" s="2459" t="s">
        <v>1649</v>
      </c>
      <c r="C1656" s="2459" t="s">
        <v>1673</v>
      </c>
      <c r="D1656" s="2460" t="s">
        <v>1671</v>
      </c>
      <c r="E1656" s="2461" t="s">
        <v>213</v>
      </c>
      <c r="F1656" s="2461" t="s">
        <v>1535</v>
      </c>
      <c r="G1656" s="2461" t="s">
        <v>1536</v>
      </c>
      <c r="H1656" s="2461" t="s">
        <v>1537</v>
      </c>
      <c r="I1656" s="2462">
        <v>1.147244466240718E-4</v>
      </c>
      <c r="J1656" s="2462">
        <v>0.17123655948076563</v>
      </c>
    </row>
    <row r="1657" spans="1:10" outlineLevel="2">
      <c r="A1657" s="2459" t="s">
        <v>1669</v>
      </c>
      <c r="B1657" s="2459" t="s">
        <v>1649</v>
      </c>
      <c r="C1657" s="2459" t="s">
        <v>1673</v>
      </c>
      <c r="D1657" s="2460" t="s">
        <v>1671</v>
      </c>
      <c r="E1657" s="2461" t="s">
        <v>1538</v>
      </c>
      <c r="F1657" s="2461" t="s">
        <v>1539</v>
      </c>
      <c r="G1657" s="2461" t="s">
        <v>1426</v>
      </c>
      <c r="H1657" s="2461" t="s">
        <v>1540</v>
      </c>
      <c r="I1657" s="2462">
        <v>3.8453088531034026E-3</v>
      </c>
      <c r="J1657" s="2462">
        <v>7.3639532715053111</v>
      </c>
    </row>
    <row r="1658" spans="1:10" outlineLevel="2">
      <c r="A1658" s="2459" t="s">
        <v>1669</v>
      </c>
      <c r="B1658" s="2459" t="s">
        <v>1649</v>
      </c>
      <c r="C1658" s="2459" t="s">
        <v>1673</v>
      </c>
      <c r="D1658" s="2460" t="s">
        <v>1671</v>
      </c>
      <c r="E1658" s="2461" t="s">
        <v>1538</v>
      </c>
      <c r="F1658" s="2461" t="s">
        <v>1541</v>
      </c>
      <c r="G1658" s="2461" t="s">
        <v>1409</v>
      </c>
      <c r="H1658" s="2461" t="s">
        <v>1540</v>
      </c>
      <c r="I1658" s="2462">
        <v>5.6143695841458935E-4</v>
      </c>
      <c r="J1658" s="2462">
        <v>2.6134863321239914</v>
      </c>
    </row>
    <row r="1659" spans="1:10" outlineLevel="2">
      <c r="A1659" s="2459" t="s">
        <v>1669</v>
      </c>
      <c r="B1659" s="2459" t="s">
        <v>1649</v>
      </c>
      <c r="C1659" s="2459" t="s">
        <v>1673</v>
      </c>
      <c r="D1659" s="2460" t="s">
        <v>1671</v>
      </c>
      <c r="E1659" s="2461" t="s">
        <v>1538</v>
      </c>
      <c r="F1659" s="2461" t="s">
        <v>1542</v>
      </c>
      <c r="G1659" s="2461" t="s">
        <v>1409</v>
      </c>
      <c r="H1659" s="2461" t="s">
        <v>1540</v>
      </c>
      <c r="I1659" s="2462">
        <v>3.0111665440067057E-4</v>
      </c>
      <c r="J1659" s="2462">
        <v>4.3706667861417126</v>
      </c>
    </row>
    <row r="1660" spans="1:10" outlineLevel="2">
      <c r="A1660" s="2459" t="s">
        <v>1669</v>
      </c>
      <c r="B1660" s="2459" t="s">
        <v>1649</v>
      </c>
      <c r="C1660" s="2459" t="s">
        <v>1673</v>
      </c>
      <c r="D1660" s="2460" t="s">
        <v>1671</v>
      </c>
      <c r="E1660" s="2461" t="s">
        <v>1538</v>
      </c>
      <c r="F1660" s="2461" t="s">
        <v>1543</v>
      </c>
      <c r="G1660" s="2461" t="s">
        <v>1409</v>
      </c>
      <c r="H1660" s="2461" t="s">
        <v>1540</v>
      </c>
      <c r="I1660" s="2462">
        <v>4.4645240291436476E-4</v>
      </c>
      <c r="J1660" s="2462">
        <v>0.77185557462948429</v>
      </c>
    </row>
    <row r="1661" spans="1:10" outlineLevel="2">
      <c r="A1661" s="2459" t="s">
        <v>1669</v>
      </c>
      <c r="B1661" s="2459" t="s">
        <v>1649</v>
      </c>
      <c r="C1661" s="2459" t="s">
        <v>1673</v>
      </c>
      <c r="D1661" s="2460" t="s">
        <v>1671</v>
      </c>
      <c r="E1661" s="2461" t="s">
        <v>1538</v>
      </c>
      <c r="F1661" s="2461" t="s">
        <v>1544</v>
      </c>
      <c r="G1661" s="2461" t="s">
        <v>1409</v>
      </c>
      <c r="H1661" s="2461" t="s">
        <v>1540</v>
      </c>
      <c r="I1661" s="2462">
        <v>8.1736126838632809E-5</v>
      </c>
      <c r="J1661" s="2462">
        <v>0.44747989011300393</v>
      </c>
    </row>
    <row r="1662" spans="1:10" outlineLevel="2">
      <c r="A1662" s="2459" t="s">
        <v>1669</v>
      </c>
      <c r="B1662" s="2459" t="s">
        <v>1649</v>
      </c>
      <c r="C1662" s="2459" t="s">
        <v>1673</v>
      </c>
      <c r="D1662" s="2460" t="s">
        <v>1671</v>
      </c>
      <c r="E1662" s="2461" t="s">
        <v>1538</v>
      </c>
      <c r="F1662" s="2461" t="s">
        <v>1545</v>
      </c>
      <c r="G1662" s="2461" t="s">
        <v>1409</v>
      </c>
      <c r="H1662" s="2461" t="s">
        <v>1540</v>
      </c>
      <c r="I1662" s="2462">
        <v>1.8091040913046142E-3</v>
      </c>
      <c r="J1662" s="2462">
        <v>8.0825052709505965</v>
      </c>
    </row>
    <row r="1663" spans="1:10" outlineLevel="2">
      <c r="A1663" s="2459" t="s">
        <v>1669</v>
      </c>
      <c r="B1663" s="2459" t="s">
        <v>1649</v>
      </c>
      <c r="C1663" s="2459" t="s">
        <v>1673</v>
      </c>
      <c r="D1663" s="2460" t="s">
        <v>1671</v>
      </c>
      <c r="E1663" s="2461" t="s">
        <v>1538</v>
      </c>
      <c r="F1663" s="2461" t="s">
        <v>1546</v>
      </c>
      <c r="G1663" s="2461" t="s">
        <v>1409</v>
      </c>
      <c r="H1663" s="2461" t="s">
        <v>1540</v>
      </c>
      <c r="I1663" s="2462">
        <v>3.4604914613040193E-3</v>
      </c>
      <c r="J1663" s="2462">
        <v>4.0596706758872889</v>
      </c>
    </row>
    <row r="1664" spans="1:10" outlineLevel="2">
      <c r="A1664" s="2459" t="s">
        <v>1669</v>
      </c>
      <c r="B1664" s="2459" t="s">
        <v>1649</v>
      </c>
      <c r="C1664" s="2459" t="s">
        <v>1673</v>
      </c>
      <c r="D1664" s="2460" t="s">
        <v>1671</v>
      </c>
      <c r="E1664" s="2461" t="s">
        <v>1538</v>
      </c>
      <c r="F1664" s="2461" t="s">
        <v>1547</v>
      </c>
      <c r="G1664" s="2461" t="s">
        <v>1409</v>
      </c>
      <c r="H1664" s="2461" t="s">
        <v>1540</v>
      </c>
      <c r="I1664" s="2462">
        <v>3.7585486534214322E-4</v>
      </c>
      <c r="J1664" s="2462">
        <v>7.4778069515617061</v>
      </c>
    </row>
    <row r="1665" spans="1:10" outlineLevel="2">
      <c r="A1665" s="2459" t="s">
        <v>1669</v>
      </c>
      <c r="B1665" s="2459" t="s">
        <v>1649</v>
      </c>
      <c r="C1665" s="2459" t="s">
        <v>1673</v>
      </c>
      <c r="D1665" s="2460" t="s">
        <v>1671</v>
      </c>
      <c r="E1665" s="2461" t="s">
        <v>1538</v>
      </c>
      <c r="F1665" s="2461" t="s">
        <v>1548</v>
      </c>
      <c r="G1665" s="2461" t="s">
        <v>1409</v>
      </c>
      <c r="H1665" s="2461" t="s">
        <v>1540</v>
      </c>
      <c r="I1665" s="2462">
        <v>1.7444384759290334E-3</v>
      </c>
      <c r="J1665" s="2462">
        <v>3.0469618571003689</v>
      </c>
    </row>
    <row r="1666" spans="1:10" outlineLevel="2">
      <c r="A1666" s="2459" t="s">
        <v>1669</v>
      </c>
      <c r="B1666" s="2459" t="s">
        <v>1649</v>
      </c>
      <c r="C1666" s="2459" t="s">
        <v>1673</v>
      </c>
      <c r="D1666" s="2460" t="s">
        <v>1671</v>
      </c>
      <c r="E1666" s="2461" t="s">
        <v>1538</v>
      </c>
      <c r="F1666" s="2461" t="s">
        <v>1549</v>
      </c>
      <c r="G1666" s="2461" t="s">
        <v>1409</v>
      </c>
      <c r="H1666" s="2461" t="s">
        <v>1540</v>
      </c>
      <c r="I1666" s="2462">
        <v>2.6077343878501148E-4</v>
      </c>
      <c r="J1666" s="2462">
        <v>0.49939708957558515</v>
      </c>
    </row>
    <row r="1667" spans="1:10" outlineLevel="2">
      <c r="A1667" s="2459" t="s">
        <v>1669</v>
      </c>
      <c r="B1667" s="2459" t="s">
        <v>1649</v>
      </c>
      <c r="C1667" s="2459" t="s">
        <v>1673</v>
      </c>
      <c r="D1667" s="2460" t="s">
        <v>1671</v>
      </c>
      <c r="E1667" s="2461" t="s">
        <v>1538</v>
      </c>
      <c r="F1667" s="2461" t="s">
        <v>1550</v>
      </c>
      <c r="G1667" s="2461" t="s">
        <v>1409</v>
      </c>
      <c r="H1667" s="2461" t="s">
        <v>1540</v>
      </c>
      <c r="I1667" s="2462">
        <v>1.4291711101378311E-3</v>
      </c>
      <c r="J1667" s="2462">
        <v>5.1928600425237024</v>
      </c>
    </row>
    <row r="1668" spans="1:10" outlineLevel="2">
      <c r="A1668" s="2459" t="s">
        <v>1669</v>
      </c>
      <c r="B1668" s="2459" t="s">
        <v>1649</v>
      </c>
      <c r="C1668" s="2459" t="s">
        <v>1673</v>
      </c>
      <c r="D1668" s="2460" t="s">
        <v>1671</v>
      </c>
      <c r="E1668" s="2461" t="s">
        <v>1538</v>
      </c>
      <c r="F1668" s="2461" t="s">
        <v>1551</v>
      </c>
      <c r="G1668" s="2461" t="s">
        <v>1409</v>
      </c>
      <c r="H1668" s="2461" t="s">
        <v>1540</v>
      </c>
      <c r="I1668" s="2462">
        <v>1.1774043005685921E-3</v>
      </c>
      <c r="J1668" s="2462">
        <v>12.539617768431107</v>
      </c>
    </row>
    <row r="1669" spans="1:10" outlineLevel="2">
      <c r="A1669" s="2459" t="s">
        <v>1669</v>
      </c>
      <c r="B1669" s="2459" t="s">
        <v>1649</v>
      </c>
      <c r="C1669" s="2459" t="s">
        <v>1673</v>
      </c>
      <c r="D1669" s="2460" t="s">
        <v>1671</v>
      </c>
      <c r="E1669" s="2461" t="s">
        <v>1538</v>
      </c>
      <c r="F1669" s="2461" t="s">
        <v>1552</v>
      </c>
      <c r="G1669" s="2461" t="s">
        <v>1409</v>
      </c>
      <c r="H1669" s="2461" t="s">
        <v>1540</v>
      </c>
      <c r="I1669" s="2462">
        <v>8.2847489387778418E-5</v>
      </c>
      <c r="J1669" s="2462">
        <v>1.3193315813653459</v>
      </c>
    </row>
    <row r="1670" spans="1:10" outlineLevel="2">
      <c r="A1670" s="2459" t="s">
        <v>1669</v>
      </c>
      <c r="B1670" s="2459" t="s">
        <v>1649</v>
      </c>
      <c r="C1670" s="2459" t="s">
        <v>1673</v>
      </c>
      <c r="D1670" s="2460" t="s">
        <v>1671</v>
      </c>
      <c r="E1670" s="2461" t="s">
        <v>1538</v>
      </c>
      <c r="F1670" s="2461" t="s">
        <v>1553</v>
      </c>
      <c r="G1670" s="2461" t="s">
        <v>1409</v>
      </c>
      <c r="H1670" s="2461" t="s">
        <v>1540</v>
      </c>
      <c r="I1670" s="2462">
        <v>6.1439454011401762E-3</v>
      </c>
      <c r="J1670" s="2462">
        <v>11.295052947422464</v>
      </c>
    </row>
    <row r="1671" spans="1:10" outlineLevel="2">
      <c r="A1671" s="2459" t="s">
        <v>1669</v>
      </c>
      <c r="B1671" s="2459" t="s">
        <v>1649</v>
      </c>
      <c r="C1671" s="2459" t="s">
        <v>1673</v>
      </c>
      <c r="D1671" s="2460" t="s">
        <v>1671</v>
      </c>
      <c r="E1671" s="2461" t="s">
        <v>1538</v>
      </c>
      <c r="F1671" s="2461" t="s">
        <v>1554</v>
      </c>
      <c r="G1671" s="2461" t="s">
        <v>1409</v>
      </c>
      <c r="H1671" s="2461" t="s">
        <v>1540</v>
      </c>
      <c r="I1671" s="2462">
        <v>3.4246281638191777E-3</v>
      </c>
      <c r="J1671" s="2462">
        <v>4.7402194481966422</v>
      </c>
    </row>
    <row r="1672" spans="1:10" outlineLevel="2">
      <c r="A1672" s="2459" t="s">
        <v>1669</v>
      </c>
      <c r="B1672" s="2459" t="s">
        <v>1649</v>
      </c>
      <c r="C1672" s="2459" t="s">
        <v>1673</v>
      </c>
      <c r="D1672" s="2460" t="s">
        <v>1671</v>
      </c>
      <c r="E1672" s="2461" t="s">
        <v>1538</v>
      </c>
      <c r="F1672" s="2461" t="s">
        <v>1555</v>
      </c>
      <c r="G1672" s="2461" t="s">
        <v>1412</v>
      </c>
      <c r="H1672" s="2461" t="s">
        <v>1540</v>
      </c>
      <c r="I1672" s="2462">
        <v>4.2349305760430852E-3</v>
      </c>
      <c r="J1672" s="2462">
        <v>13.036765183150951</v>
      </c>
    </row>
    <row r="1673" spans="1:10" outlineLevel="2">
      <c r="A1673" s="2459" t="s">
        <v>1669</v>
      </c>
      <c r="B1673" s="2459" t="s">
        <v>1649</v>
      </c>
      <c r="C1673" s="2459" t="s">
        <v>1673</v>
      </c>
      <c r="D1673" s="2460" t="s">
        <v>1671</v>
      </c>
      <c r="E1673" s="2461" t="s">
        <v>1538</v>
      </c>
      <c r="F1673" s="2461" t="s">
        <v>1556</v>
      </c>
      <c r="G1673" s="2461" t="s">
        <v>1412</v>
      </c>
      <c r="H1673" s="2461" t="s">
        <v>1540</v>
      </c>
      <c r="I1673" s="2462">
        <v>8.4193242192742254E-2</v>
      </c>
      <c r="J1673" s="2462">
        <v>1185.8365079356627</v>
      </c>
    </row>
    <row r="1674" spans="1:10" outlineLevel="2">
      <c r="A1674" s="2459" t="s">
        <v>1669</v>
      </c>
      <c r="B1674" s="2459" t="s">
        <v>1649</v>
      </c>
      <c r="C1674" s="2459" t="s">
        <v>1673</v>
      </c>
      <c r="D1674" s="2460" t="s">
        <v>1671</v>
      </c>
      <c r="E1674" s="2461" t="s">
        <v>1538</v>
      </c>
      <c r="F1674" s="2461" t="s">
        <v>1557</v>
      </c>
      <c r="G1674" s="2461" t="s">
        <v>1412</v>
      </c>
      <c r="H1674" s="2461" t="s">
        <v>1540</v>
      </c>
      <c r="I1674" s="2462">
        <v>5.0124484234517015E-4</v>
      </c>
      <c r="J1674" s="2462">
        <v>8.8340243942588934</v>
      </c>
    </row>
    <row r="1675" spans="1:10" outlineLevel="2">
      <c r="A1675" s="2459" t="s">
        <v>1669</v>
      </c>
      <c r="B1675" s="2459" t="s">
        <v>1649</v>
      </c>
      <c r="C1675" s="2459" t="s">
        <v>1673</v>
      </c>
      <c r="D1675" s="2460" t="s">
        <v>1671</v>
      </c>
      <c r="E1675" s="2461" t="s">
        <v>1538</v>
      </c>
      <c r="F1675" s="2461" t="s">
        <v>1558</v>
      </c>
      <c r="G1675" s="2461" t="s">
        <v>1412</v>
      </c>
      <c r="H1675" s="2461" t="s">
        <v>1540</v>
      </c>
      <c r="I1675" s="2462">
        <v>1.6767632377920276E-4</v>
      </c>
      <c r="J1675" s="2462">
        <v>2.7865668434686808</v>
      </c>
    </row>
    <row r="1676" spans="1:10" outlineLevel="2">
      <c r="A1676" s="2459" t="s">
        <v>1669</v>
      </c>
      <c r="B1676" s="2459" t="s">
        <v>1649</v>
      </c>
      <c r="C1676" s="2459" t="s">
        <v>1673</v>
      </c>
      <c r="D1676" s="2460" t="s">
        <v>1671</v>
      </c>
      <c r="E1676" s="2461" t="s">
        <v>1538</v>
      </c>
      <c r="F1676" s="2461" t="s">
        <v>1559</v>
      </c>
      <c r="G1676" s="2461" t="s">
        <v>1412</v>
      </c>
      <c r="H1676" s="2461" t="s">
        <v>1540</v>
      </c>
      <c r="I1676" s="2462">
        <v>1.79036553054221E-4</v>
      </c>
      <c r="J1676" s="2462">
        <v>0.68819875697577915</v>
      </c>
    </row>
    <row r="1677" spans="1:10" outlineLevel="2">
      <c r="A1677" s="2459" t="s">
        <v>1669</v>
      </c>
      <c r="B1677" s="2459" t="s">
        <v>1649</v>
      </c>
      <c r="C1677" s="2459" t="s">
        <v>1673</v>
      </c>
      <c r="D1677" s="2460" t="s">
        <v>1671</v>
      </c>
      <c r="E1677" s="2461" t="s">
        <v>1538</v>
      </c>
      <c r="F1677" s="2461" t="s">
        <v>1560</v>
      </c>
      <c r="G1677" s="2461" t="s">
        <v>1412</v>
      </c>
      <c r="H1677" s="2461" t="s">
        <v>1540</v>
      </c>
      <c r="I1677" s="2462">
        <v>2.5130002984372822E-4</v>
      </c>
      <c r="J1677" s="2462">
        <v>5.4730881530130144</v>
      </c>
    </row>
    <row r="1678" spans="1:10" outlineLevel="2">
      <c r="A1678" s="2459" t="s">
        <v>1669</v>
      </c>
      <c r="B1678" s="2459" t="s">
        <v>1649</v>
      </c>
      <c r="C1678" s="2459" t="s">
        <v>1673</v>
      </c>
      <c r="D1678" s="2460" t="s">
        <v>1671</v>
      </c>
      <c r="E1678" s="2461" t="s">
        <v>1538</v>
      </c>
      <c r="F1678" s="2461" t="s">
        <v>1561</v>
      </c>
      <c r="G1678" s="2461" t="s">
        <v>1439</v>
      </c>
      <c r="H1678" s="2461" t="s">
        <v>1540</v>
      </c>
      <c r="I1678" s="2462">
        <v>2.6259780893491073E-3</v>
      </c>
      <c r="J1678" s="2462">
        <v>39.794849222222552</v>
      </c>
    </row>
    <row r="1679" spans="1:10" outlineLevel="2">
      <c r="A1679" s="2459" t="s">
        <v>1669</v>
      </c>
      <c r="B1679" s="2459" t="s">
        <v>1649</v>
      </c>
      <c r="C1679" s="2459" t="s">
        <v>1673</v>
      </c>
      <c r="D1679" s="2460" t="s">
        <v>1671</v>
      </c>
      <c r="E1679" s="2461" t="s">
        <v>1538</v>
      </c>
      <c r="F1679" s="2461" t="s">
        <v>1562</v>
      </c>
      <c r="G1679" s="2461" t="s">
        <v>1418</v>
      </c>
      <c r="H1679" s="2461" t="s">
        <v>1540</v>
      </c>
      <c r="I1679" s="2462">
        <v>1.2480467254041986E-5</v>
      </c>
      <c r="J1679" s="2462">
        <v>1.5726417838511621E-2</v>
      </c>
    </row>
    <row r="1680" spans="1:10" outlineLevel="2">
      <c r="A1680" s="2459" t="s">
        <v>1669</v>
      </c>
      <c r="B1680" s="2459" t="s">
        <v>1649</v>
      </c>
      <c r="C1680" s="2459" t="s">
        <v>1673</v>
      </c>
      <c r="D1680" s="2460" t="s">
        <v>1671</v>
      </c>
      <c r="E1680" s="2461" t="s">
        <v>1538</v>
      </c>
      <c r="F1680" s="2461" t="s">
        <v>1563</v>
      </c>
      <c r="G1680" s="2461" t="s">
        <v>1418</v>
      </c>
      <c r="H1680" s="2461" t="s">
        <v>1540</v>
      </c>
      <c r="I1680" s="2462">
        <v>1.808304880697405E-6</v>
      </c>
      <c r="J1680" s="2462">
        <v>3.063063767889055E-2</v>
      </c>
    </row>
    <row r="1681" spans="1:10" outlineLevel="2">
      <c r="A1681" s="2459" t="s">
        <v>1669</v>
      </c>
      <c r="B1681" s="2459" t="s">
        <v>1649</v>
      </c>
      <c r="C1681" s="2459" t="s">
        <v>1673</v>
      </c>
      <c r="D1681" s="2460" t="s">
        <v>1671</v>
      </c>
      <c r="E1681" s="2461" t="s">
        <v>1538</v>
      </c>
      <c r="F1681" s="2461" t="s">
        <v>1564</v>
      </c>
      <c r="G1681" s="2461" t="s">
        <v>1421</v>
      </c>
      <c r="H1681" s="2461" t="s">
        <v>1540</v>
      </c>
      <c r="I1681" s="2462">
        <v>2.6755509821783995E-2</v>
      </c>
      <c r="J1681" s="2462">
        <v>65.693406295268318</v>
      </c>
    </row>
    <row r="1682" spans="1:10" outlineLevel="2">
      <c r="A1682" s="2459" t="s">
        <v>1669</v>
      </c>
      <c r="B1682" s="2459" t="s">
        <v>1649</v>
      </c>
      <c r="C1682" s="2459" t="s">
        <v>1673</v>
      </c>
      <c r="D1682" s="2460" t="s">
        <v>1671</v>
      </c>
      <c r="E1682" s="2461" t="s">
        <v>1538</v>
      </c>
      <c r="F1682" s="2461" t="s">
        <v>1565</v>
      </c>
      <c r="G1682" s="2461" t="s">
        <v>1421</v>
      </c>
      <c r="H1682" s="2461" t="s">
        <v>1540</v>
      </c>
      <c r="I1682" s="2462">
        <v>3.1482217902007209E-3</v>
      </c>
      <c r="J1682" s="2462">
        <v>14.37946314145719</v>
      </c>
    </row>
    <row r="1683" spans="1:10" outlineLevel="2">
      <c r="A1683" s="2459" t="s">
        <v>1669</v>
      </c>
      <c r="B1683" s="2459" t="s">
        <v>1649</v>
      </c>
      <c r="C1683" s="2459" t="s">
        <v>1673</v>
      </c>
      <c r="D1683" s="2460" t="s">
        <v>1671</v>
      </c>
      <c r="E1683" s="2461" t="s">
        <v>1538</v>
      </c>
      <c r="F1683" s="2461" t="s">
        <v>1566</v>
      </c>
      <c r="G1683" s="2461" t="s">
        <v>1421</v>
      </c>
      <c r="H1683" s="2461" t="s">
        <v>1540</v>
      </c>
      <c r="I1683" s="2462">
        <v>1.6415109911413731E-3</v>
      </c>
      <c r="J1683" s="2462">
        <v>16.790522517310379</v>
      </c>
    </row>
    <row r="1684" spans="1:10" outlineLevel="2">
      <c r="A1684" s="2459" t="s">
        <v>1669</v>
      </c>
      <c r="B1684" s="2459" t="s">
        <v>1649</v>
      </c>
      <c r="C1684" s="2459" t="s">
        <v>1673</v>
      </c>
      <c r="D1684" s="2460" t="s">
        <v>1671</v>
      </c>
      <c r="E1684" s="2461" t="s">
        <v>1538</v>
      </c>
      <c r="F1684" s="2461" t="s">
        <v>1567</v>
      </c>
      <c r="G1684" s="2461" t="s">
        <v>1421</v>
      </c>
      <c r="H1684" s="2461" t="s">
        <v>1540</v>
      </c>
      <c r="I1684" s="2462">
        <v>2.7175115617738476E-3</v>
      </c>
      <c r="J1684" s="2462">
        <v>20.868163409757869</v>
      </c>
    </row>
    <row r="1685" spans="1:10" outlineLevel="2">
      <c r="A1685" s="2459" t="s">
        <v>1669</v>
      </c>
      <c r="B1685" s="2459" t="s">
        <v>1649</v>
      </c>
      <c r="C1685" s="2459" t="s">
        <v>1673</v>
      </c>
      <c r="D1685" s="2460" t="s">
        <v>1671</v>
      </c>
      <c r="E1685" s="2461" t="s">
        <v>1538</v>
      </c>
      <c r="F1685" s="2461" t="s">
        <v>1568</v>
      </c>
      <c r="G1685" s="2461" t="s">
        <v>1421</v>
      </c>
      <c r="H1685" s="2461" t="s">
        <v>1540</v>
      </c>
      <c r="I1685" s="2462">
        <v>9.4069776647604081E-5</v>
      </c>
      <c r="J1685" s="2462">
        <v>0.2838185788648393</v>
      </c>
    </row>
    <row r="1686" spans="1:10" outlineLevel="2">
      <c r="A1686" s="2459" t="s">
        <v>1669</v>
      </c>
      <c r="B1686" s="2459" t="s">
        <v>1649</v>
      </c>
      <c r="C1686" s="2459" t="s">
        <v>1673</v>
      </c>
      <c r="D1686" s="2460" t="s">
        <v>1671</v>
      </c>
      <c r="E1686" s="2461" t="s">
        <v>1538</v>
      </c>
      <c r="F1686" s="2461" t="s">
        <v>1569</v>
      </c>
      <c r="G1686" s="2461" t="s">
        <v>1421</v>
      </c>
      <c r="H1686" s="2461" t="s">
        <v>1540</v>
      </c>
      <c r="I1686" s="2462">
        <v>2.2299064358032722E-5</v>
      </c>
      <c r="J1686" s="2462">
        <v>0.25768270669857452</v>
      </c>
    </row>
    <row r="1687" spans="1:10" outlineLevel="2">
      <c r="A1687" s="2459" t="s">
        <v>1669</v>
      </c>
      <c r="B1687" s="2459" t="s">
        <v>1649</v>
      </c>
      <c r="C1687" s="2459" t="s">
        <v>1673</v>
      </c>
      <c r="D1687" s="2460" t="s">
        <v>1671</v>
      </c>
      <c r="E1687" s="2461" t="s">
        <v>1538</v>
      </c>
      <c r="F1687" s="2461" t="s">
        <v>1570</v>
      </c>
      <c r="G1687" s="2461" t="s">
        <v>899</v>
      </c>
      <c r="H1687" s="2461" t="s">
        <v>1540</v>
      </c>
      <c r="I1687" s="2462">
        <v>1.203141077876464E-6</v>
      </c>
      <c r="J1687" s="2462">
        <v>5.1979808114788889E-3</v>
      </c>
    </row>
    <row r="1688" spans="1:10" outlineLevel="2">
      <c r="A1688" s="2459" t="s">
        <v>1669</v>
      </c>
      <c r="B1688" s="2459" t="s">
        <v>1649</v>
      </c>
      <c r="C1688" s="2459" t="s">
        <v>1673</v>
      </c>
      <c r="D1688" s="2460" t="s">
        <v>1671</v>
      </c>
      <c r="E1688" s="2461" t="s">
        <v>1400</v>
      </c>
      <c r="F1688" s="2461" t="s">
        <v>1571</v>
      </c>
      <c r="G1688" s="2461" t="s">
        <v>215</v>
      </c>
      <c r="H1688" s="2461" t="s">
        <v>1531</v>
      </c>
      <c r="I1688" s="2462">
        <v>9.2114179667585269E-2</v>
      </c>
      <c r="J1688" s="2462">
        <v>3315.2610834160082</v>
      </c>
    </row>
    <row r="1689" spans="1:10" outlineLevel="2">
      <c r="A1689" s="2459" t="s">
        <v>1669</v>
      </c>
      <c r="B1689" s="2459" t="s">
        <v>1649</v>
      </c>
      <c r="C1689" s="2459" t="s">
        <v>1673</v>
      </c>
      <c r="D1689" s="2460" t="s">
        <v>1671</v>
      </c>
      <c r="E1689" s="2461" t="s">
        <v>1400</v>
      </c>
      <c r="F1689" s="2461" t="s">
        <v>1572</v>
      </c>
      <c r="G1689" s="2461" t="s">
        <v>215</v>
      </c>
      <c r="H1689" s="2461" t="s">
        <v>1531</v>
      </c>
      <c r="I1689" s="2462">
        <v>4.8823825997822536E-4</v>
      </c>
      <c r="J1689" s="2462">
        <v>9.2616057489496253</v>
      </c>
    </row>
    <row r="1690" spans="1:10" outlineLevel="2">
      <c r="A1690" s="2459" t="s">
        <v>1669</v>
      </c>
      <c r="B1690" s="2459" t="s">
        <v>1649</v>
      </c>
      <c r="C1690" s="2459" t="s">
        <v>1673</v>
      </c>
      <c r="D1690" s="2460" t="s">
        <v>1671</v>
      </c>
      <c r="E1690" s="2461" t="s">
        <v>1573</v>
      </c>
      <c r="F1690" s="2461" t="s">
        <v>1574</v>
      </c>
      <c r="G1690" s="2461" t="s">
        <v>1426</v>
      </c>
      <c r="H1690" s="2461" t="s">
        <v>1427</v>
      </c>
      <c r="I1690" s="2462">
        <v>4.661726690934313E-3</v>
      </c>
      <c r="J1690" s="2462">
        <v>115.24447296446014</v>
      </c>
    </row>
    <row r="1691" spans="1:10" outlineLevel="2">
      <c r="A1691" s="2459" t="s">
        <v>1669</v>
      </c>
      <c r="B1691" s="2459" t="s">
        <v>1649</v>
      </c>
      <c r="C1691" s="2459" t="s">
        <v>1673</v>
      </c>
      <c r="D1691" s="2460" t="s">
        <v>1671</v>
      </c>
      <c r="E1691" s="2461" t="s">
        <v>1573</v>
      </c>
      <c r="F1691" s="2461" t="s">
        <v>1575</v>
      </c>
      <c r="G1691" s="2461" t="s">
        <v>1409</v>
      </c>
      <c r="H1691" s="2461" t="s">
        <v>1070</v>
      </c>
      <c r="I1691" s="2462">
        <v>5.3595547519357705E-3</v>
      </c>
      <c r="J1691" s="2462">
        <v>312.57158944249329</v>
      </c>
    </row>
    <row r="1692" spans="1:10" outlineLevel="2">
      <c r="A1692" s="2459" t="s">
        <v>1669</v>
      </c>
      <c r="B1692" s="2459" t="s">
        <v>1649</v>
      </c>
      <c r="C1692" s="2459" t="s">
        <v>1673</v>
      </c>
      <c r="D1692" s="2460" t="s">
        <v>1671</v>
      </c>
      <c r="E1692" s="2461" t="s">
        <v>1573</v>
      </c>
      <c r="F1692" s="2461" t="s">
        <v>1576</v>
      </c>
      <c r="G1692" s="2461" t="s">
        <v>1409</v>
      </c>
      <c r="H1692" s="2461" t="s">
        <v>1070</v>
      </c>
      <c r="I1692" s="2462">
        <v>4.6083059479103845E-5</v>
      </c>
      <c r="J1692" s="2462">
        <v>0.50901618354692935</v>
      </c>
    </row>
    <row r="1693" spans="1:10" outlineLevel="2">
      <c r="A1693" s="2459" t="s">
        <v>1669</v>
      </c>
      <c r="B1693" s="2459" t="s">
        <v>1649</v>
      </c>
      <c r="C1693" s="2459" t="s">
        <v>1673</v>
      </c>
      <c r="D1693" s="2460" t="s">
        <v>1671</v>
      </c>
      <c r="E1693" s="2461" t="s">
        <v>1573</v>
      </c>
      <c r="F1693" s="2461" t="s">
        <v>1577</v>
      </c>
      <c r="G1693" s="2461" t="s">
        <v>1409</v>
      </c>
      <c r="H1693" s="2461" t="s">
        <v>1070</v>
      </c>
      <c r="I1693" s="2462">
        <v>6.6832277330110615E-4</v>
      </c>
      <c r="J1693" s="2462">
        <v>8.3848837238744363</v>
      </c>
    </row>
    <row r="1694" spans="1:10" outlineLevel="2">
      <c r="A1694" s="2459" t="s">
        <v>1669</v>
      </c>
      <c r="B1694" s="2459" t="s">
        <v>1649</v>
      </c>
      <c r="C1694" s="2459" t="s">
        <v>1673</v>
      </c>
      <c r="D1694" s="2460" t="s">
        <v>1671</v>
      </c>
      <c r="E1694" s="2461" t="s">
        <v>1573</v>
      </c>
      <c r="F1694" s="2461" t="s">
        <v>1578</v>
      </c>
      <c r="G1694" s="2461" t="s">
        <v>1409</v>
      </c>
      <c r="H1694" s="2461" t="s">
        <v>1070</v>
      </c>
      <c r="I1694" s="2462">
        <v>1.5261846024929472E-2</v>
      </c>
      <c r="J1694" s="2462">
        <v>782.41391843372014</v>
      </c>
    </row>
    <row r="1695" spans="1:10" outlineLevel="2">
      <c r="A1695" s="2459" t="s">
        <v>1669</v>
      </c>
      <c r="B1695" s="2459" t="s">
        <v>1649</v>
      </c>
      <c r="C1695" s="2459" t="s">
        <v>1673</v>
      </c>
      <c r="D1695" s="2460" t="s">
        <v>1671</v>
      </c>
      <c r="E1695" s="2461" t="s">
        <v>1573</v>
      </c>
      <c r="F1695" s="2461" t="s">
        <v>1579</v>
      </c>
      <c r="G1695" s="2461" t="s">
        <v>1409</v>
      </c>
      <c r="H1695" s="2461" t="s">
        <v>1070</v>
      </c>
      <c r="I1695" s="2462">
        <v>1.1585678492965329E-2</v>
      </c>
      <c r="J1695" s="2462">
        <v>851.31929757781711</v>
      </c>
    </row>
    <row r="1696" spans="1:10" outlineLevel="2">
      <c r="A1696" s="2459" t="s">
        <v>1669</v>
      </c>
      <c r="B1696" s="2459" t="s">
        <v>1649</v>
      </c>
      <c r="C1696" s="2459" t="s">
        <v>1673</v>
      </c>
      <c r="D1696" s="2460" t="s">
        <v>1671</v>
      </c>
      <c r="E1696" s="2461" t="s">
        <v>1573</v>
      </c>
      <c r="F1696" s="2461" t="s">
        <v>1580</v>
      </c>
      <c r="G1696" s="2461" t="s">
        <v>1409</v>
      </c>
      <c r="H1696" s="2461" t="s">
        <v>1070</v>
      </c>
      <c r="I1696" s="2462">
        <v>1.3089398256453983E-3</v>
      </c>
      <c r="J1696" s="2462">
        <v>47.008263226921308</v>
      </c>
    </row>
    <row r="1697" spans="1:10" outlineLevel="2">
      <c r="A1697" s="2459" t="s">
        <v>1669</v>
      </c>
      <c r="B1697" s="2459" t="s">
        <v>1649</v>
      </c>
      <c r="C1697" s="2459" t="s">
        <v>1673</v>
      </c>
      <c r="D1697" s="2460" t="s">
        <v>1671</v>
      </c>
      <c r="E1697" s="2461" t="s">
        <v>1573</v>
      </c>
      <c r="F1697" s="2461" t="s">
        <v>1581</v>
      </c>
      <c r="G1697" s="2461" t="s">
        <v>1409</v>
      </c>
      <c r="H1697" s="2461" t="s">
        <v>1070</v>
      </c>
      <c r="I1697" s="2462">
        <v>6.9621319996016843E-4</v>
      </c>
      <c r="J1697" s="2462">
        <v>32.010598767450325</v>
      </c>
    </row>
    <row r="1698" spans="1:10" outlineLevel="2">
      <c r="A1698" s="2459" t="s">
        <v>1669</v>
      </c>
      <c r="B1698" s="2459" t="s">
        <v>1649</v>
      </c>
      <c r="C1698" s="2459" t="s">
        <v>1673</v>
      </c>
      <c r="D1698" s="2460" t="s">
        <v>1671</v>
      </c>
      <c r="E1698" s="2461" t="s">
        <v>1573</v>
      </c>
      <c r="F1698" s="2461" t="s">
        <v>1582</v>
      </c>
      <c r="G1698" s="2461" t="s">
        <v>1409</v>
      </c>
      <c r="H1698" s="2461" t="s">
        <v>1070</v>
      </c>
      <c r="I1698" s="2462">
        <v>3.7003466417940148E-3</v>
      </c>
      <c r="J1698" s="2462">
        <v>87.904195146857631</v>
      </c>
    </row>
    <row r="1699" spans="1:10" outlineLevel="2">
      <c r="A1699" s="2459" t="s">
        <v>1669</v>
      </c>
      <c r="B1699" s="2459" t="s">
        <v>1649</v>
      </c>
      <c r="C1699" s="2459" t="s">
        <v>1673</v>
      </c>
      <c r="D1699" s="2460" t="s">
        <v>1671</v>
      </c>
      <c r="E1699" s="2461" t="s">
        <v>1573</v>
      </c>
      <c r="F1699" s="2461" t="s">
        <v>1583</v>
      </c>
      <c r="G1699" s="2461" t="s">
        <v>1409</v>
      </c>
      <c r="H1699" s="2461" t="s">
        <v>1070</v>
      </c>
      <c r="I1699" s="2462">
        <v>1.0607831832997584E-2</v>
      </c>
      <c r="J1699" s="2462">
        <v>376.16534642165499</v>
      </c>
    </row>
    <row r="1700" spans="1:10" outlineLevel="2">
      <c r="A1700" s="2459" t="s">
        <v>1669</v>
      </c>
      <c r="B1700" s="2459" t="s">
        <v>1649</v>
      </c>
      <c r="C1700" s="2459" t="s">
        <v>1673</v>
      </c>
      <c r="D1700" s="2460" t="s">
        <v>1671</v>
      </c>
      <c r="E1700" s="2461" t="s">
        <v>1573</v>
      </c>
      <c r="F1700" s="2461" t="s">
        <v>1584</v>
      </c>
      <c r="G1700" s="2461" t="s">
        <v>1409</v>
      </c>
      <c r="H1700" s="2461" t="s">
        <v>1070</v>
      </c>
      <c r="I1700" s="2462">
        <v>7.4993909885453392E-3</v>
      </c>
      <c r="J1700" s="2462">
        <v>413.00621056380322</v>
      </c>
    </row>
    <row r="1701" spans="1:10" outlineLevel="2">
      <c r="A1701" s="2459" t="s">
        <v>1669</v>
      </c>
      <c r="B1701" s="2459" t="s">
        <v>1649</v>
      </c>
      <c r="C1701" s="2459" t="s">
        <v>1673</v>
      </c>
      <c r="D1701" s="2460" t="s">
        <v>1671</v>
      </c>
      <c r="E1701" s="2461" t="s">
        <v>1573</v>
      </c>
      <c r="F1701" s="2461" t="s">
        <v>1585</v>
      </c>
      <c r="G1701" s="2461" t="s">
        <v>1409</v>
      </c>
      <c r="H1701" s="2461" t="s">
        <v>1070</v>
      </c>
      <c r="I1701" s="2462">
        <v>4.1115131761025513E-2</v>
      </c>
      <c r="J1701" s="2462">
        <v>3171.2584453558352</v>
      </c>
    </row>
    <row r="1702" spans="1:10" outlineLevel="2">
      <c r="A1702" s="2459" t="s">
        <v>1669</v>
      </c>
      <c r="B1702" s="2459" t="s">
        <v>1649</v>
      </c>
      <c r="C1702" s="2459" t="s">
        <v>1673</v>
      </c>
      <c r="D1702" s="2460" t="s">
        <v>1671</v>
      </c>
      <c r="E1702" s="2461" t="s">
        <v>1573</v>
      </c>
      <c r="F1702" s="2461" t="s">
        <v>1586</v>
      </c>
      <c r="G1702" s="2461" t="s">
        <v>1409</v>
      </c>
      <c r="H1702" s="2461" t="s">
        <v>1070</v>
      </c>
      <c r="I1702" s="2462">
        <v>8.6961609369949307E-4</v>
      </c>
      <c r="J1702" s="2462">
        <v>26.369389231706528</v>
      </c>
    </row>
    <row r="1703" spans="1:10" outlineLevel="2">
      <c r="A1703" s="2459" t="s">
        <v>1669</v>
      </c>
      <c r="B1703" s="2459" t="s">
        <v>1649</v>
      </c>
      <c r="C1703" s="2459" t="s">
        <v>1673</v>
      </c>
      <c r="D1703" s="2460" t="s">
        <v>1671</v>
      </c>
      <c r="E1703" s="2461" t="s">
        <v>1573</v>
      </c>
      <c r="F1703" s="2461" t="s">
        <v>1587</v>
      </c>
      <c r="G1703" s="2461" t="s">
        <v>1409</v>
      </c>
      <c r="H1703" s="2461" t="s">
        <v>1070</v>
      </c>
      <c r="I1703" s="2462">
        <v>3.4246428029913612E-4</v>
      </c>
      <c r="J1703" s="2462">
        <v>16.146034023384914</v>
      </c>
    </row>
    <row r="1704" spans="1:10" outlineLevel="2">
      <c r="A1704" s="2459" t="s">
        <v>1669</v>
      </c>
      <c r="B1704" s="2459" t="s">
        <v>1649</v>
      </c>
      <c r="C1704" s="2459" t="s">
        <v>1673</v>
      </c>
      <c r="D1704" s="2460" t="s">
        <v>1671</v>
      </c>
      <c r="E1704" s="2461" t="s">
        <v>1573</v>
      </c>
      <c r="F1704" s="2461" t="s">
        <v>1588</v>
      </c>
      <c r="G1704" s="2461" t="s">
        <v>1409</v>
      </c>
      <c r="H1704" s="2461" t="s">
        <v>1070</v>
      </c>
      <c r="I1704" s="2462">
        <v>1.2132436153162882E-2</v>
      </c>
      <c r="J1704" s="2462">
        <v>724.86822198327684</v>
      </c>
    </row>
    <row r="1705" spans="1:10" outlineLevel="2">
      <c r="A1705" s="2459" t="s">
        <v>1669</v>
      </c>
      <c r="B1705" s="2459" t="s">
        <v>1649</v>
      </c>
      <c r="C1705" s="2459" t="s">
        <v>1673</v>
      </c>
      <c r="D1705" s="2460" t="s">
        <v>1671</v>
      </c>
      <c r="E1705" s="2461" t="s">
        <v>1573</v>
      </c>
      <c r="F1705" s="2461" t="s">
        <v>1589</v>
      </c>
      <c r="G1705" s="2461" t="s">
        <v>1409</v>
      </c>
      <c r="H1705" s="2461" t="s">
        <v>1070</v>
      </c>
      <c r="I1705" s="2462">
        <v>1.0430428299213888E-2</v>
      </c>
      <c r="J1705" s="2462">
        <v>789.02852165441413</v>
      </c>
    </row>
    <row r="1706" spans="1:10" outlineLevel="2">
      <c r="A1706" s="2459" t="s">
        <v>1669</v>
      </c>
      <c r="B1706" s="2459" t="s">
        <v>1649</v>
      </c>
      <c r="C1706" s="2459" t="s">
        <v>1673</v>
      </c>
      <c r="D1706" s="2460" t="s">
        <v>1671</v>
      </c>
      <c r="E1706" s="2461" t="s">
        <v>1573</v>
      </c>
      <c r="F1706" s="2461" t="s">
        <v>1590</v>
      </c>
      <c r="G1706" s="2461" t="s">
        <v>1409</v>
      </c>
      <c r="H1706" s="2461" t="s">
        <v>1070</v>
      </c>
      <c r="I1706" s="2462">
        <v>3.8082478054875718E-2</v>
      </c>
      <c r="J1706" s="2462">
        <v>2714.1464108897176</v>
      </c>
    </row>
    <row r="1707" spans="1:10" outlineLevel="2">
      <c r="A1707" s="2459" t="s">
        <v>1669</v>
      </c>
      <c r="B1707" s="2459" t="s">
        <v>1649</v>
      </c>
      <c r="C1707" s="2459" t="s">
        <v>1673</v>
      </c>
      <c r="D1707" s="2460" t="s">
        <v>1671</v>
      </c>
      <c r="E1707" s="2461" t="s">
        <v>1573</v>
      </c>
      <c r="F1707" s="2461" t="s">
        <v>1591</v>
      </c>
      <c r="G1707" s="2461" t="s">
        <v>1409</v>
      </c>
      <c r="H1707" s="2461" t="s">
        <v>1070</v>
      </c>
      <c r="I1707" s="2462">
        <v>2.6214113601484589E-3</v>
      </c>
      <c r="J1707" s="2462">
        <v>127.62395533912022</v>
      </c>
    </row>
    <row r="1708" spans="1:10" outlineLevel="2">
      <c r="A1708" s="2459" t="s">
        <v>1669</v>
      </c>
      <c r="B1708" s="2459" t="s">
        <v>1649</v>
      </c>
      <c r="C1708" s="2459" t="s">
        <v>1673</v>
      </c>
      <c r="D1708" s="2460" t="s">
        <v>1671</v>
      </c>
      <c r="E1708" s="2461" t="s">
        <v>1573</v>
      </c>
      <c r="F1708" s="2461" t="s">
        <v>1592</v>
      </c>
      <c r="G1708" s="2461" t="s">
        <v>1409</v>
      </c>
      <c r="H1708" s="2461" t="s">
        <v>1070</v>
      </c>
      <c r="I1708" s="2462">
        <v>2.2042708306169289E-2</v>
      </c>
      <c r="J1708" s="2462">
        <v>1015.179613429357</v>
      </c>
    </row>
    <row r="1709" spans="1:10" outlineLevel="2">
      <c r="A1709" s="2459" t="s">
        <v>1669</v>
      </c>
      <c r="B1709" s="2459" t="s">
        <v>1649</v>
      </c>
      <c r="C1709" s="2459" t="s">
        <v>1673</v>
      </c>
      <c r="D1709" s="2460" t="s">
        <v>1671</v>
      </c>
      <c r="E1709" s="2461" t="s">
        <v>1573</v>
      </c>
      <c r="F1709" s="2461" t="s">
        <v>1593</v>
      </c>
      <c r="G1709" s="2461" t="s">
        <v>1409</v>
      </c>
      <c r="H1709" s="2461" t="s">
        <v>1070</v>
      </c>
      <c r="I1709" s="2462">
        <v>5.3857078693577948E-2</v>
      </c>
      <c r="J1709" s="2462">
        <v>3451.4165371624499</v>
      </c>
    </row>
    <row r="1710" spans="1:10" outlineLevel="2">
      <c r="A1710" s="2459" t="s">
        <v>1669</v>
      </c>
      <c r="B1710" s="2459" t="s">
        <v>1649</v>
      </c>
      <c r="C1710" s="2459" t="s">
        <v>1673</v>
      </c>
      <c r="D1710" s="2460" t="s">
        <v>1671</v>
      </c>
      <c r="E1710" s="2461" t="s">
        <v>1573</v>
      </c>
      <c r="F1710" s="2461" t="s">
        <v>1594</v>
      </c>
      <c r="G1710" s="2461" t="s">
        <v>1409</v>
      </c>
      <c r="H1710" s="2461" t="s">
        <v>1070</v>
      </c>
      <c r="I1710" s="2462">
        <v>0.11796027460914782</v>
      </c>
      <c r="J1710" s="2462">
        <v>2315.4289260291775</v>
      </c>
    </row>
    <row r="1711" spans="1:10" outlineLevel="2">
      <c r="A1711" s="2459" t="s">
        <v>1669</v>
      </c>
      <c r="B1711" s="2459" t="s">
        <v>1649</v>
      </c>
      <c r="C1711" s="2459" t="s">
        <v>1673</v>
      </c>
      <c r="D1711" s="2460" t="s">
        <v>1671</v>
      </c>
      <c r="E1711" s="2461" t="s">
        <v>1573</v>
      </c>
      <c r="F1711" s="2461" t="s">
        <v>1595</v>
      </c>
      <c r="G1711" s="2461" t="s">
        <v>1409</v>
      </c>
      <c r="H1711" s="2461" t="s">
        <v>1070</v>
      </c>
      <c r="I1711" s="2462">
        <v>4.3371188892069548E-2</v>
      </c>
      <c r="J1711" s="2462">
        <v>3157.3164265834157</v>
      </c>
    </row>
    <row r="1712" spans="1:10" outlineLevel="2">
      <c r="A1712" s="2459" t="s">
        <v>1669</v>
      </c>
      <c r="B1712" s="2459" t="s">
        <v>1649</v>
      </c>
      <c r="C1712" s="2459" t="s">
        <v>1673</v>
      </c>
      <c r="D1712" s="2460" t="s">
        <v>1671</v>
      </c>
      <c r="E1712" s="2461" t="s">
        <v>1573</v>
      </c>
      <c r="F1712" s="2461" t="s">
        <v>1596</v>
      </c>
      <c r="G1712" s="2461" t="s">
        <v>1409</v>
      </c>
      <c r="H1712" s="2461" t="s">
        <v>1070</v>
      </c>
      <c r="I1712" s="2462">
        <v>7.8970509885878767E-2</v>
      </c>
      <c r="J1712" s="2462">
        <v>1817.4933208798077</v>
      </c>
    </row>
    <row r="1713" spans="1:10" outlineLevel="2">
      <c r="A1713" s="2459" t="s">
        <v>1669</v>
      </c>
      <c r="B1713" s="2459" t="s">
        <v>1649</v>
      </c>
      <c r="C1713" s="2459" t="s">
        <v>1673</v>
      </c>
      <c r="D1713" s="2460" t="s">
        <v>1671</v>
      </c>
      <c r="E1713" s="2461" t="s">
        <v>1573</v>
      </c>
      <c r="F1713" s="2461" t="s">
        <v>1597</v>
      </c>
      <c r="G1713" s="2461" t="s">
        <v>1409</v>
      </c>
      <c r="H1713" s="2461" t="s">
        <v>1070</v>
      </c>
      <c r="I1713" s="2462">
        <v>4.6357211713857994E-3</v>
      </c>
      <c r="J1713" s="2462">
        <v>338.78393887089157</v>
      </c>
    </row>
    <row r="1714" spans="1:10" outlineLevel="2">
      <c r="A1714" s="2459" t="s">
        <v>1669</v>
      </c>
      <c r="B1714" s="2459" t="s">
        <v>1649</v>
      </c>
      <c r="C1714" s="2459" t="s">
        <v>1673</v>
      </c>
      <c r="D1714" s="2460" t="s">
        <v>1671</v>
      </c>
      <c r="E1714" s="2461" t="s">
        <v>1573</v>
      </c>
      <c r="F1714" s="2461" t="s">
        <v>1598</v>
      </c>
      <c r="G1714" s="2461" t="s">
        <v>1409</v>
      </c>
      <c r="H1714" s="2461" t="s">
        <v>1070</v>
      </c>
      <c r="I1714" s="2462">
        <v>2.4077554750840456E-4</v>
      </c>
      <c r="J1714" s="2462">
        <v>5.5581984533133841</v>
      </c>
    </row>
    <row r="1715" spans="1:10" outlineLevel="2">
      <c r="A1715" s="2459" t="s">
        <v>1669</v>
      </c>
      <c r="B1715" s="2459" t="s">
        <v>1649</v>
      </c>
      <c r="C1715" s="2459" t="s">
        <v>1673</v>
      </c>
      <c r="D1715" s="2460" t="s">
        <v>1671</v>
      </c>
      <c r="E1715" s="2461" t="s">
        <v>1573</v>
      </c>
      <c r="F1715" s="2461" t="s">
        <v>1599</v>
      </c>
      <c r="G1715" s="2461" t="s">
        <v>1409</v>
      </c>
      <c r="H1715" s="2461" t="s">
        <v>1070</v>
      </c>
      <c r="I1715" s="2462">
        <v>6.573393371139661E-3</v>
      </c>
      <c r="J1715" s="2462">
        <v>353.38489459532974</v>
      </c>
    </row>
    <row r="1716" spans="1:10" outlineLevel="2">
      <c r="A1716" s="2459" t="s">
        <v>1669</v>
      </c>
      <c r="B1716" s="2459" t="s">
        <v>1649</v>
      </c>
      <c r="C1716" s="2459" t="s">
        <v>1673</v>
      </c>
      <c r="D1716" s="2460" t="s">
        <v>1671</v>
      </c>
      <c r="E1716" s="2461" t="s">
        <v>1573</v>
      </c>
      <c r="F1716" s="2461" t="s">
        <v>1600</v>
      </c>
      <c r="G1716" s="2461" t="s">
        <v>1412</v>
      </c>
      <c r="H1716" s="2461" t="s">
        <v>1116</v>
      </c>
      <c r="I1716" s="2462">
        <v>8.811462310228408E-4</v>
      </c>
      <c r="J1716" s="2462">
        <v>21.317270254997677</v>
      </c>
    </row>
    <row r="1717" spans="1:10" outlineLevel="2">
      <c r="A1717" s="2459" t="s">
        <v>1669</v>
      </c>
      <c r="B1717" s="2459" t="s">
        <v>1649</v>
      </c>
      <c r="C1717" s="2459" t="s">
        <v>1673</v>
      </c>
      <c r="D1717" s="2460" t="s">
        <v>1671</v>
      </c>
      <c r="E1717" s="2461" t="s">
        <v>1573</v>
      </c>
      <c r="F1717" s="2461" t="s">
        <v>1601</v>
      </c>
      <c r="G1717" s="2461" t="s">
        <v>1412</v>
      </c>
      <c r="H1717" s="2461" t="s">
        <v>1116</v>
      </c>
      <c r="I1717" s="2462">
        <v>4.3851416282350156E-3</v>
      </c>
      <c r="J1717" s="2462">
        <v>309.26236607289309</v>
      </c>
    </row>
    <row r="1718" spans="1:10" outlineLevel="2">
      <c r="A1718" s="2459" t="s">
        <v>1669</v>
      </c>
      <c r="B1718" s="2459" t="s">
        <v>1649</v>
      </c>
      <c r="C1718" s="2459" t="s">
        <v>1673</v>
      </c>
      <c r="D1718" s="2460" t="s">
        <v>1671</v>
      </c>
      <c r="E1718" s="2461" t="s">
        <v>1573</v>
      </c>
      <c r="F1718" s="2461" t="s">
        <v>1602</v>
      </c>
      <c r="G1718" s="2461" t="s">
        <v>1412</v>
      </c>
      <c r="H1718" s="2461" t="s">
        <v>1116</v>
      </c>
      <c r="I1718" s="2462">
        <v>2.5760378416616672E-3</v>
      </c>
      <c r="J1718" s="2462">
        <v>135.07944139172835</v>
      </c>
    </row>
    <row r="1719" spans="1:10" outlineLevel="2">
      <c r="A1719" s="2459" t="s">
        <v>1669</v>
      </c>
      <c r="B1719" s="2459" t="s">
        <v>1649</v>
      </c>
      <c r="C1719" s="2459" t="s">
        <v>1673</v>
      </c>
      <c r="D1719" s="2460" t="s">
        <v>1671</v>
      </c>
      <c r="E1719" s="2461" t="s">
        <v>1573</v>
      </c>
      <c r="F1719" s="2461" t="s">
        <v>1603</v>
      </c>
      <c r="G1719" s="2461" t="s">
        <v>1412</v>
      </c>
      <c r="H1719" s="2461" t="s">
        <v>1116</v>
      </c>
      <c r="I1719" s="2462">
        <v>3.0491955176436317E-3</v>
      </c>
      <c r="J1719" s="2462">
        <v>136.97585918534062</v>
      </c>
    </row>
    <row r="1720" spans="1:10" outlineLevel="2">
      <c r="A1720" s="2459" t="s">
        <v>1669</v>
      </c>
      <c r="B1720" s="2459" t="s">
        <v>1649</v>
      </c>
      <c r="C1720" s="2459" t="s">
        <v>1673</v>
      </c>
      <c r="D1720" s="2460" t="s">
        <v>1671</v>
      </c>
      <c r="E1720" s="2461" t="s">
        <v>1573</v>
      </c>
      <c r="F1720" s="2461" t="s">
        <v>1604</v>
      </c>
      <c r="G1720" s="2461" t="s">
        <v>1412</v>
      </c>
      <c r="H1720" s="2461" t="s">
        <v>1116</v>
      </c>
      <c r="I1720" s="2462">
        <v>1.9312214872307091E-4</v>
      </c>
      <c r="J1720" s="2462">
        <v>5.2826334516525257</v>
      </c>
    </row>
    <row r="1721" spans="1:10" outlineLevel="2">
      <c r="A1721" s="2459" t="s">
        <v>1669</v>
      </c>
      <c r="B1721" s="2459" t="s">
        <v>1649</v>
      </c>
      <c r="C1721" s="2459" t="s">
        <v>1673</v>
      </c>
      <c r="D1721" s="2460" t="s">
        <v>1671</v>
      </c>
      <c r="E1721" s="2461" t="s">
        <v>1573</v>
      </c>
      <c r="F1721" s="2461" t="s">
        <v>1605</v>
      </c>
      <c r="G1721" s="2461" t="s">
        <v>1412</v>
      </c>
      <c r="H1721" s="2461" t="s">
        <v>1116</v>
      </c>
      <c r="I1721" s="2462">
        <v>6.8683410876056505E-2</v>
      </c>
      <c r="J1721" s="2462">
        <v>2257.3771283600295</v>
      </c>
    </row>
    <row r="1722" spans="1:10" outlineLevel="2">
      <c r="A1722" s="2459" t="s">
        <v>1669</v>
      </c>
      <c r="B1722" s="2459" t="s">
        <v>1649</v>
      </c>
      <c r="C1722" s="2459" t="s">
        <v>1673</v>
      </c>
      <c r="D1722" s="2460" t="s">
        <v>1671</v>
      </c>
      <c r="E1722" s="2461" t="s">
        <v>1573</v>
      </c>
      <c r="F1722" s="2461" t="s">
        <v>1606</v>
      </c>
      <c r="G1722" s="2461" t="s">
        <v>1412</v>
      </c>
      <c r="H1722" s="2461" t="s">
        <v>1116</v>
      </c>
      <c r="I1722" s="2462">
        <v>2.4043908439668827E-3</v>
      </c>
      <c r="J1722" s="2462">
        <v>194.91697263373797</v>
      </c>
    </row>
    <row r="1723" spans="1:10" outlineLevel="2">
      <c r="A1723" s="2459" t="s">
        <v>1669</v>
      </c>
      <c r="B1723" s="2459" t="s">
        <v>1649</v>
      </c>
      <c r="C1723" s="2459" t="s">
        <v>1673</v>
      </c>
      <c r="D1723" s="2460" t="s">
        <v>1671</v>
      </c>
      <c r="E1723" s="2461" t="s">
        <v>1573</v>
      </c>
      <c r="F1723" s="2461" t="s">
        <v>1607</v>
      </c>
      <c r="G1723" s="2461" t="s">
        <v>1439</v>
      </c>
      <c r="H1723" s="2461" t="s">
        <v>1440</v>
      </c>
      <c r="I1723" s="2462">
        <v>1.8642393877553435E-6</v>
      </c>
      <c r="J1723" s="2462">
        <v>4.6725067869071768E-2</v>
      </c>
    </row>
    <row r="1724" spans="1:10" outlineLevel="2">
      <c r="A1724" s="2459" t="s">
        <v>1669</v>
      </c>
      <c r="B1724" s="2459" t="s">
        <v>1649</v>
      </c>
      <c r="C1724" s="2459" t="s">
        <v>1673</v>
      </c>
      <c r="D1724" s="2460" t="s">
        <v>1671</v>
      </c>
      <c r="E1724" s="2461" t="s">
        <v>1573</v>
      </c>
      <c r="F1724" s="2461" t="s">
        <v>1608</v>
      </c>
      <c r="G1724" s="2461" t="s">
        <v>1439</v>
      </c>
      <c r="H1724" s="2461" t="s">
        <v>1440</v>
      </c>
      <c r="I1724" s="2462">
        <v>2.1910358732447205E-4</v>
      </c>
      <c r="J1724" s="2462">
        <v>12.273277512225187</v>
      </c>
    </row>
    <row r="1725" spans="1:10" outlineLevel="2">
      <c r="A1725" s="2459" t="s">
        <v>1669</v>
      </c>
      <c r="B1725" s="2459" t="s">
        <v>1649</v>
      </c>
      <c r="C1725" s="2459" t="s">
        <v>1673</v>
      </c>
      <c r="D1725" s="2460" t="s">
        <v>1671</v>
      </c>
      <c r="E1725" s="2461" t="s">
        <v>1573</v>
      </c>
      <c r="F1725" s="2461" t="s">
        <v>1609</v>
      </c>
      <c r="G1725" s="2461" t="s">
        <v>1439</v>
      </c>
      <c r="H1725" s="2461" t="s">
        <v>1440</v>
      </c>
      <c r="I1725" s="2462">
        <v>1.4743601544238625E-2</v>
      </c>
      <c r="J1725" s="2462">
        <v>327.53120139929678</v>
      </c>
    </row>
    <row r="1726" spans="1:10" outlineLevel="2">
      <c r="A1726" s="2459" t="s">
        <v>1669</v>
      </c>
      <c r="B1726" s="2459" t="s">
        <v>1649</v>
      </c>
      <c r="C1726" s="2459" t="s">
        <v>1673</v>
      </c>
      <c r="D1726" s="2460" t="s">
        <v>1671</v>
      </c>
      <c r="E1726" s="2461" t="s">
        <v>1573</v>
      </c>
      <c r="F1726" s="2461" t="s">
        <v>1610</v>
      </c>
      <c r="G1726" s="2461" t="s">
        <v>1439</v>
      </c>
      <c r="H1726" s="2461" t="s">
        <v>1440</v>
      </c>
      <c r="I1726" s="2462">
        <v>3.8773057246354347E-3</v>
      </c>
      <c r="J1726" s="2462">
        <v>67.612854884075063</v>
      </c>
    </row>
    <row r="1727" spans="1:10" outlineLevel="2">
      <c r="A1727" s="2459" t="s">
        <v>1669</v>
      </c>
      <c r="B1727" s="2459" t="s">
        <v>1649</v>
      </c>
      <c r="C1727" s="2459" t="s">
        <v>1673</v>
      </c>
      <c r="D1727" s="2460" t="s">
        <v>1671</v>
      </c>
      <c r="E1727" s="2461" t="s">
        <v>1573</v>
      </c>
      <c r="F1727" s="2461" t="s">
        <v>1611</v>
      </c>
      <c r="G1727" s="2461" t="s">
        <v>1439</v>
      </c>
      <c r="H1727" s="2461" t="s">
        <v>1440</v>
      </c>
      <c r="I1727" s="2462">
        <v>9.1644310798980558E-3</v>
      </c>
      <c r="J1727" s="2462">
        <v>446.49034749317315</v>
      </c>
    </row>
    <row r="1728" spans="1:10" outlineLevel="2">
      <c r="A1728" s="2459" t="s">
        <v>1669</v>
      </c>
      <c r="B1728" s="2459" t="s">
        <v>1649</v>
      </c>
      <c r="C1728" s="2459" t="s">
        <v>1673</v>
      </c>
      <c r="D1728" s="2460" t="s">
        <v>1671</v>
      </c>
      <c r="E1728" s="2461" t="s">
        <v>1573</v>
      </c>
      <c r="F1728" s="2461" t="s">
        <v>1612</v>
      </c>
      <c r="G1728" s="2461" t="s">
        <v>1439</v>
      </c>
      <c r="H1728" s="2461" t="s">
        <v>1440</v>
      </c>
      <c r="I1728" s="2462">
        <v>1.5716602676399051E-3</v>
      </c>
      <c r="J1728" s="2462">
        <v>52.607805042626346</v>
      </c>
    </row>
    <row r="1729" spans="1:10" outlineLevel="2">
      <c r="A1729" s="2459" t="s">
        <v>1669</v>
      </c>
      <c r="B1729" s="2459" t="s">
        <v>1649</v>
      </c>
      <c r="C1729" s="2459" t="s">
        <v>1673</v>
      </c>
      <c r="D1729" s="2460" t="s">
        <v>1671</v>
      </c>
      <c r="E1729" s="2461" t="s">
        <v>1573</v>
      </c>
      <c r="F1729" s="2461" t="s">
        <v>1613</v>
      </c>
      <c r="G1729" s="2461" t="s">
        <v>1439</v>
      </c>
      <c r="H1729" s="2461" t="s">
        <v>1440</v>
      </c>
      <c r="I1729" s="2462">
        <v>4.418702203602842E-5</v>
      </c>
      <c r="J1729" s="2462">
        <v>1.3358275900894707</v>
      </c>
    </row>
    <row r="1730" spans="1:10" outlineLevel="2">
      <c r="A1730" s="2459" t="s">
        <v>1669</v>
      </c>
      <c r="B1730" s="2459" t="s">
        <v>1649</v>
      </c>
      <c r="C1730" s="2459" t="s">
        <v>1673</v>
      </c>
      <c r="D1730" s="2460" t="s">
        <v>1671</v>
      </c>
      <c r="E1730" s="2461" t="s">
        <v>1573</v>
      </c>
      <c r="F1730" s="2461" t="s">
        <v>1614</v>
      </c>
      <c r="G1730" s="2461" t="s">
        <v>1418</v>
      </c>
      <c r="H1730" s="2461" t="s">
        <v>1452</v>
      </c>
      <c r="I1730" s="2462">
        <v>3.5909255834193105E-6</v>
      </c>
      <c r="J1730" s="2462">
        <v>3.0693097981481197E-2</v>
      </c>
    </row>
    <row r="1731" spans="1:10" outlineLevel="2">
      <c r="A1731" s="2459" t="s">
        <v>1669</v>
      </c>
      <c r="B1731" s="2459" t="s">
        <v>1649</v>
      </c>
      <c r="C1731" s="2459" t="s">
        <v>1673</v>
      </c>
      <c r="D1731" s="2460" t="s">
        <v>1671</v>
      </c>
      <c r="E1731" s="2461" t="s">
        <v>1573</v>
      </c>
      <c r="F1731" s="2461" t="s">
        <v>1615</v>
      </c>
      <c r="G1731" s="2461" t="s">
        <v>1418</v>
      </c>
      <c r="H1731" s="2461" t="s">
        <v>1452</v>
      </c>
      <c r="I1731" s="2462">
        <v>2.1721603990529977E-2</v>
      </c>
      <c r="J1731" s="2462">
        <v>1274.4442421899587</v>
      </c>
    </row>
    <row r="1732" spans="1:10" outlineLevel="2">
      <c r="A1732" s="2459" t="s">
        <v>1669</v>
      </c>
      <c r="B1732" s="2459" t="s">
        <v>1649</v>
      </c>
      <c r="C1732" s="2459" t="s">
        <v>1673</v>
      </c>
      <c r="D1732" s="2460" t="s">
        <v>1671</v>
      </c>
      <c r="E1732" s="2461" t="s">
        <v>1573</v>
      </c>
      <c r="F1732" s="2461" t="s">
        <v>1616</v>
      </c>
      <c r="G1732" s="2461" t="s">
        <v>1418</v>
      </c>
      <c r="H1732" s="2461" t="s">
        <v>1452</v>
      </c>
      <c r="I1732" s="2462">
        <v>1.0367504321865193E-3</v>
      </c>
      <c r="J1732" s="2462">
        <v>114.26479160138493</v>
      </c>
    </row>
    <row r="1733" spans="1:10" outlineLevel="2">
      <c r="A1733" s="2459" t="s">
        <v>1669</v>
      </c>
      <c r="B1733" s="2459" t="s">
        <v>1649</v>
      </c>
      <c r="C1733" s="2459" t="s">
        <v>1673</v>
      </c>
      <c r="D1733" s="2460" t="s">
        <v>1671</v>
      </c>
      <c r="E1733" s="2461" t="s">
        <v>1573</v>
      </c>
      <c r="F1733" s="2461" t="s">
        <v>1617</v>
      </c>
      <c r="G1733" s="2461" t="s">
        <v>1418</v>
      </c>
      <c r="H1733" s="2461" t="s">
        <v>1452</v>
      </c>
      <c r="I1733" s="2462">
        <v>8.2349836095019848E-6</v>
      </c>
      <c r="J1733" s="2462">
        <v>0.63246374779239356</v>
      </c>
    </row>
    <row r="1734" spans="1:10" outlineLevel="2">
      <c r="A1734" s="2459" t="s">
        <v>1669</v>
      </c>
      <c r="B1734" s="2459" t="s">
        <v>1649</v>
      </c>
      <c r="C1734" s="2459" t="s">
        <v>1673</v>
      </c>
      <c r="D1734" s="2460" t="s">
        <v>1671</v>
      </c>
      <c r="E1734" s="2461" t="s">
        <v>1573</v>
      </c>
      <c r="F1734" s="2461" t="s">
        <v>1618</v>
      </c>
      <c r="G1734" s="2461" t="s">
        <v>1418</v>
      </c>
      <c r="H1734" s="2461" t="s">
        <v>1452</v>
      </c>
      <c r="I1734" s="2462">
        <v>1.605292599045207E-6</v>
      </c>
      <c r="J1734" s="2462">
        <v>0.13286133120763738</v>
      </c>
    </row>
    <row r="1735" spans="1:10" outlineLevel="2">
      <c r="A1735" s="2459" t="s">
        <v>1669</v>
      </c>
      <c r="B1735" s="2459" t="s">
        <v>1649</v>
      </c>
      <c r="C1735" s="2459" t="s">
        <v>1673</v>
      </c>
      <c r="D1735" s="2460" t="s">
        <v>1671</v>
      </c>
      <c r="E1735" s="2461" t="s">
        <v>1573</v>
      </c>
      <c r="F1735" s="2461" t="s">
        <v>1619</v>
      </c>
      <c r="G1735" s="2461" t="s">
        <v>1418</v>
      </c>
      <c r="H1735" s="2461" t="s">
        <v>1452</v>
      </c>
      <c r="I1735" s="2462">
        <v>1.0538725816624755E-4</v>
      </c>
      <c r="J1735" s="2462">
        <v>9.6901526322527882</v>
      </c>
    </row>
    <row r="1736" spans="1:10" outlineLevel="2">
      <c r="A1736" s="2459" t="s">
        <v>1669</v>
      </c>
      <c r="B1736" s="2459" t="s">
        <v>1649</v>
      </c>
      <c r="C1736" s="2459" t="s">
        <v>1673</v>
      </c>
      <c r="D1736" s="2460" t="s">
        <v>1671</v>
      </c>
      <c r="E1736" s="2461" t="s">
        <v>1573</v>
      </c>
      <c r="F1736" s="2461" t="s">
        <v>1620</v>
      </c>
      <c r="G1736" s="2461" t="s">
        <v>1418</v>
      </c>
      <c r="H1736" s="2461" t="s">
        <v>1452</v>
      </c>
      <c r="I1736" s="2462">
        <v>2.2281572426979284E-7</v>
      </c>
      <c r="J1736" s="2462">
        <v>2.6809673335334093E-2</v>
      </c>
    </row>
    <row r="1737" spans="1:10" outlineLevel="2">
      <c r="A1737" s="2459" t="s">
        <v>1669</v>
      </c>
      <c r="B1737" s="2459" t="s">
        <v>1649</v>
      </c>
      <c r="C1737" s="2459" t="s">
        <v>1673</v>
      </c>
      <c r="D1737" s="2460" t="s">
        <v>1671</v>
      </c>
      <c r="E1737" s="2461" t="s">
        <v>1573</v>
      </c>
      <c r="F1737" s="2461" t="s">
        <v>1621</v>
      </c>
      <c r="G1737" s="2461" t="s">
        <v>1418</v>
      </c>
      <c r="H1737" s="2461" t="s">
        <v>1452</v>
      </c>
      <c r="I1737" s="2462">
        <v>9.4855139937985217E-5</v>
      </c>
      <c r="J1737" s="2462">
        <v>8.9598289385194043</v>
      </c>
    </row>
    <row r="1738" spans="1:10" outlineLevel="2">
      <c r="A1738" s="2459" t="s">
        <v>1669</v>
      </c>
      <c r="B1738" s="2459" t="s">
        <v>1649</v>
      </c>
      <c r="C1738" s="2459" t="s">
        <v>1673</v>
      </c>
      <c r="D1738" s="2460" t="s">
        <v>1671</v>
      </c>
      <c r="E1738" s="2461" t="s">
        <v>1573</v>
      </c>
      <c r="F1738" s="2461" t="s">
        <v>1622</v>
      </c>
      <c r="G1738" s="2461" t="s">
        <v>1418</v>
      </c>
      <c r="H1738" s="2461" t="s">
        <v>1452</v>
      </c>
      <c r="I1738" s="2462">
        <v>2.804561396371006E-4</v>
      </c>
      <c r="J1738" s="2462">
        <v>24.933724813791368</v>
      </c>
    </row>
    <row r="1739" spans="1:10" outlineLevel="2">
      <c r="A1739" s="2459" t="s">
        <v>1669</v>
      </c>
      <c r="B1739" s="2459" t="s">
        <v>1649</v>
      </c>
      <c r="C1739" s="2459" t="s">
        <v>1673</v>
      </c>
      <c r="D1739" s="2460" t="s">
        <v>1671</v>
      </c>
      <c r="E1739" s="2461" t="s">
        <v>1573</v>
      </c>
      <c r="F1739" s="2461" t="s">
        <v>1623</v>
      </c>
      <c r="G1739" s="2461" t="s">
        <v>1418</v>
      </c>
      <c r="H1739" s="2461" t="s">
        <v>1452</v>
      </c>
      <c r="I1739" s="2462">
        <v>4.2534472163742345E-4</v>
      </c>
      <c r="J1739" s="2462">
        <v>18.385423742278949</v>
      </c>
    </row>
    <row r="1740" spans="1:10" outlineLevel="2">
      <c r="A1740" s="2459" t="s">
        <v>1669</v>
      </c>
      <c r="B1740" s="2459" t="s">
        <v>1649</v>
      </c>
      <c r="C1740" s="2459" t="s">
        <v>1673</v>
      </c>
      <c r="D1740" s="2460" t="s">
        <v>1671</v>
      </c>
      <c r="E1740" s="2461" t="s">
        <v>1573</v>
      </c>
      <c r="F1740" s="2461" t="s">
        <v>1624</v>
      </c>
      <c r="G1740" s="2461" t="s">
        <v>1421</v>
      </c>
      <c r="H1740" s="2461" t="s">
        <v>1454</v>
      </c>
      <c r="I1740" s="2462">
        <v>1.3661189625779908E-2</v>
      </c>
      <c r="J1740" s="2462">
        <v>499.54835935717534</v>
      </c>
    </row>
    <row r="1741" spans="1:10" outlineLevel="2">
      <c r="A1741" s="2459" t="s">
        <v>1669</v>
      </c>
      <c r="B1741" s="2459" t="s">
        <v>1649</v>
      </c>
      <c r="C1741" s="2459" t="s">
        <v>1673</v>
      </c>
      <c r="D1741" s="2460" t="s">
        <v>1671</v>
      </c>
      <c r="E1741" s="2461" t="s">
        <v>1573</v>
      </c>
      <c r="F1741" s="2461" t="s">
        <v>1625</v>
      </c>
      <c r="G1741" s="2461" t="s">
        <v>1421</v>
      </c>
      <c r="H1741" s="2461" t="s">
        <v>1454</v>
      </c>
      <c r="I1741" s="2462">
        <v>3.2217289742146257E-3</v>
      </c>
      <c r="J1741" s="2462">
        <v>117.9025421074019</v>
      </c>
    </row>
    <row r="1742" spans="1:10" outlineLevel="2">
      <c r="A1742" s="2459" t="s">
        <v>1669</v>
      </c>
      <c r="B1742" s="2459" t="s">
        <v>1649</v>
      </c>
      <c r="C1742" s="2459" t="s">
        <v>1673</v>
      </c>
      <c r="D1742" s="2460" t="s">
        <v>1671</v>
      </c>
      <c r="E1742" s="2461" t="s">
        <v>1573</v>
      </c>
      <c r="F1742" s="2461" t="s">
        <v>1626</v>
      </c>
      <c r="G1742" s="2461" t="s">
        <v>1421</v>
      </c>
      <c r="H1742" s="2461" t="s">
        <v>1454</v>
      </c>
      <c r="I1742" s="2462">
        <v>9.0420396243005331E-3</v>
      </c>
      <c r="J1742" s="2462">
        <v>327.10617458291546</v>
      </c>
    </row>
    <row r="1743" spans="1:10" outlineLevel="2">
      <c r="A1743" s="2459" t="s">
        <v>1669</v>
      </c>
      <c r="B1743" s="2459" t="s">
        <v>1649</v>
      </c>
      <c r="C1743" s="2459" t="s">
        <v>1673</v>
      </c>
      <c r="D1743" s="2460" t="s">
        <v>1671</v>
      </c>
      <c r="E1743" s="2461" t="s">
        <v>1573</v>
      </c>
      <c r="F1743" s="2461" t="s">
        <v>1627</v>
      </c>
      <c r="G1743" s="2461" t="s">
        <v>1421</v>
      </c>
      <c r="H1743" s="2461" t="s">
        <v>1454</v>
      </c>
      <c r="I1743" s="2462">
        <v>7.635248893240406E-3</v>
      </c>
      <c r="J1743" s="2462">
        <v>166.08179492332408</v>
      </c>
    </row>
    <row r="1744" spans="1:10" outlineLevel="2">
      <c r="A1744" s="2459" t="s">
        <v>1669</v>
      </c>
      <c r="B1744" s="2459" t="s">
        <v>1649</v>
      </c>
      <c r="C1744" s="2459" t="s">
        <v>1673</v>
      </c>
      <c r="D1744" s="2460" t="s">
        <v>1671</v>
      </c>
      <c r="E1744" s="2461" t="s">
        <v>1573</v>
      </c>
      <c r="F1744" s="2461" t="s">
        <v>1628</v>
      </c>
      <c r="G1744" s="2461" t="s">
        <v>1421</v>
      </c>
      <c r="H1744" s="2461" t="s">
        <v>1454</v>
      </c>
      <c r="I1744" s="2462">
        <v>3.7981074858761709E-4</v>
      </c>
      <c r="J1744" s="2462">
        <v>15.97290326747228</v>
      </c>
    </row>
    <row r="1745" spans="1:10" outlineLevel="2">
      <c r="A1745" s="2459" t="s">
        <v>1669</v>
      </c>
      <c r="B1745" s="2459" t="s">
        <v>1649</v>
      </c>
      <c r="C1745" s="2459" t="s">
        <v>1673</v>
      </c>
      <c r="D1745" s="2460" t="s">
        <v>1671</v>
      </c>
      <c r="E1745" s="2461" t="s">
        <v>1573</v>
      </c>
      <c r="F1745" s="2461" t="s">
        <v>1629</v>
      </c>
      <c r="G1745" s="2461" t="s">
        <v>1421</v>
      </c>
      <c r="H1745" s="2461" t="s">
        <v>1454</v>
      </c>
      <c r="I1745" s="2462">
        <v>4.3939780713410858E-4</v>
      </c>
      <c r="J1745" s="2462">
        <v>14.137299822243385</v>
      </c>
    </row>
    <row r="1746" spans="1:10" outlineLevel="2">
      <c r="A1746" s="2459" t="s">
        <v>1669</v>
      </c>
      <c r="B1746" s="2459" t="s">
        <v>1649</v>
      </c>
      <c r="C1746" s="2459" t="s">
        <v>1673</v>
      </c>
      <c r="D1746" s="2460" t="s">
        <v>1671</v>
      </c>
      <c r="E1746" s="2461" t="s">
        <v>1573</v>
      </c>
      <c r="F1746" s="2461" t="s">
        <v>1630</v>
      </c>
      <c r="G1746" s="2461" t="s">
        <v>1459</v>
      </c>
      <c r="H1746" s="2461" t="s">
        <v>1460</v>
      </c>
      <c r="I1746" s="2462">
        <v>1.3242661299077705E-2</v>
      </c>
      <c r="J1746" s="2462">
        <v>867.89535572190857</v>
      </c>
    </row>
    <row r="1747" spans="1:10" outlineLevel="2">
      <c r="A1747" s="2459" t="s">
        <v>1669</v>
      </c>
      <c r="B1747" s="2459" t="s">
        <v>1649</v>
      </c>
      <c r="C1747" s="2459" t="s">
        <v>1673</v>
      </c>
      <c r="D1747" s="2460" t="s">
        <v>1671</v>
      </c>
      <c r="E1747" s="2461" t="s">
        <v>1573</v>
      </c>
      <c r="F1747" s="2461" t="s">
        <v>1633</v>
      </c>
      <c r="G1747" s="2461" t="s">
        <v>215</v>
      </c>
      <c r="H1747" s="2461" t="s">
        <v>1537</v>
      </c>
      <c r="I1747" s="2462">
        <v>1.2995706480015912E-4</v>
      </c>
      <c r="J1747" s="2462">
        <v>2.8972854683002538</v>
      </c>
    </row>
    <row r="1748" spans="1:10" outlineLevel="2">
      <c r="A1748" s="2459" t="s">
        <v>1669</v>
      </c>
      <c r="B1748" s="2459" t="s">
        <v>1650</v>
      </c>
      <c r="C1748" s="2459" t="s">
        <v>1670</v>
      </c>
      <c r="D1748" s="2460" t="s">
        <v>1671</v>
      </c>
      <c r="E1748" s="2461" t="s">
        <v>1407</v>
      </c>
      <c r="F1748" s="2461" t="s">
        <v>1408</v>
      </c>
      <c r="G1748" s="2461" t="s">
        <v>1409</v>
      </c>
      <c r="H1748" s="2461" t="s">
        <v>1410</v>
      </c>
      <c r="I1748" s="2462">
        <v>1.3681085028551486E-3</v>
      </c>
      <c r="J1748" s="2462">
        <v>2.0125193032257366E-2</v>
      </c>
    </row>
    <row r="1749" spans="1:10" outlineLevel="2">
      <c r="A1749" s="2459" t="s">
        <v>1669</v>
      </c>
      <c r="B1749" s="2459" t="s">
        <v>1650</v>
      </c>
      <c r="C1749" s="2459" t="s">
        <v>1670</v>
      </c>
      <c r="D1749" s="2460" t="s">
        <v>1671</v>
      </c>
      <c r="E1749" s="2461" t="s">
        <v>1407</v>
      </c>
      <c r="F1749" s="2461" t="s">
        <v>1411</v>
      </c>
      <c r="G1749" s="2461" t="s">
        <v>1412</v>
      </c>
      <c r="H1749" s="2461" t="s">
        <v>1410</v>
      </c>
      <c r="I1749" s="2462">
        <v>1.0048062992831819</v>
      </c>
      <c r="J1749" s="2462">
        <v>163.17458451400068</v>
      </c>
    </row>
    <row r="1750" spans="1:10" outlineLevel="2">
      <c r="A1750" s="2459" t="s">
        <v>1669</v>
      </c>
      <c r="B1750" s="2459" t="s">
        <v>1650</v>
      </c>
      <c r="C1750" s="2459" t="s">
        <v>1670</v>
      </c>
      <c r="D1750" s="2460" t="s">
        <v>1671</v>
      </c>
      <c r="E1750" s="2461" t="s">
        <v>1407</v>
      </c>
      <c r="F1750" s="2461" t="s">
        <v>1413</v>
      </c>
      <c r="G1750" s="2461" t="s">
        <v>1412</v>
      </c>
      <c r="H1750" s="2461" t="s">
        <v>1410</v>
      </c>
      <c r="I1750" s="2462">
        <v>8.1600284731048319E-4</v>
      </c>
      <c r="J1750" s="2462">
        <v>0.13823779598937913</v>
      </c>
    </row>
    <row r="1751" spans="1:10" outlineLevel="2">
      <c r="A1751" s="2459" t="s">
        <v>1669</v>
      </c>
      <c r="B1751" s="2459" t="s">
        <v>1650</v>
      </c>
      <c r="C1751" s="2459" t="s">
        <v>1670</v>
      </c>
      <c r="D1751" s="2460" t="s">
        <v>1671</v>
      </c>
      <c r="E1751" s="2461" t="s">
        <v>1407</v>
      </c>
      <c r="F1751" s="2461" t="s">
        <v>1414</v>
      </c>
      <c r="G1751" s="2461" t="s">
        <v>1412</v>
      </c>
      <c r="H1751" s="2461" t="s">
        <v>1410</v>
      </c>
      <c r="I1751" s="2462">
        <v>4.1006314528888396E-4</v>
      </c>
      <c r="J1751" s="2462">
        <v>7.5330208957784861E-2</v>
      </c>
    </row>
    <row r="1752" spans="1:10" outlineLevel="2">
      <c r="A1752" s="2459" t="s">
        <v>1669</v>
      </c>
      <c r="B1752" s="2459" t="s">
        <v>1650</v>
      </c>
      <c r="C1752" s="2459" t="s">
        <v>1670</v>
      </c>
      <c r="D1752" s="2460" t="s">
        <v>1671</v>
      </c>
      <c r="E1752" s="2461" t="s">
        <v>1407</v>
      </c>
      <c r="F1752" s="2461" t="s">
        <v>1415</v>
      </c>
      <c r="G1752" s="2461" t="s">
        <v>1412</v>
      </c>
      <c r="H1752" s="2461" t="s">
        <v>1410</v>
      </c>
      <c r="I1752" s="2462">
        <v>1.2912491478949185E-3</v>
      </c>
      <c r="J1752" s="2462">
        <v>0.2056844074263581</v>
      </c>
    </row>
    <row r="1753" spans="1:10" outlineLevel="2">
      <c r="A1753" s="2459" t="s">
        <v>1669</v>
      </c>
      <c r="B1753" s="2459" t="s">
        <v>1650</v>
      </c>
      <c r="C1753" s="2459" t="s">
        <v>1670</v>
      </c>
      <c r="D1753" s="2460" t="s">
        <v>1671</v>
      </c>
      <c r="E1753" s="2461" t="s">
        <v>1407</v>
      </c>
      <c r="F1753" s="2461" t="s">
        <v>1416</v>
      </c>
      <c r="G1753" s="2461" t="s">
        <v>1412</v>
      </c>
      <c r="H1753" s="2461" t="s">
        <v>1410</v>
      </c>
      <c r="I1753" s="2462">
        <v>3.7534035520746536E-3</v>
      </c>
      <c r="J1753" s="2462">
        <v>0.92330548478681851</v>
      </c>
    </row>
    <row r="1754" spans="1:10" outlineLevel="2">
      <c r="A1754" s="2459" t="s">
        <v>1669</v>
      </c>
      <c r="B1754" s="2459" t="s">
        <v>1650</v>
      </c>
      <c r="C1754" s="2459" t="s">
        <v>1670</v>
      </c>
      <c r="D1754" s="2460" t="s">
        <v>1671</v>
      </c>
      <c r="E1754" s="2461" t="s">
        <v>1407</v>
      </c>
      <c r="F1754" s="2461" t="s">
        <v>1417</v>
      </c>
      <c r="G1754" s="2461" t="s">
        <v>1418</v>
      </c>
      <c r="H1754" s="2461" t="s">
        <v>1410</v>
      </c>
      <c r="I1754" s="2462">
        <v>7.5270594043352077E-3</v>
      </c>
      <c r="J1754" s="2462">
        <v>9.9981214405752916E-2</v>
      </c>
    </row>
    <row r="1755" spans="1:10" outlineLevel="2">
      <c r="A1755" s="2459" t="s">
        <v>1669</v>
      </c>
      <c r="B1755" s="2459" t="s">
        <v>1650</v>
      </c>
      <c r="C1755" s="2459" t="s">
        <v>1670</v>
      </c>
      <c r="D1755" s="2460" t="s">
        <v>1671</v>
      </c>
      <c r="E1755" s="2461" t="s">
        <v>1407</v>
      </c>
      <c r="F1755" s="2461" t="s">
        <v>1419</v>
      </c>
      <c r="G1755" s="2461" t="s">
        <v>1418</v>
      </c>
      <c r="H1755" s="2461" t="s">
        <v>1410</v>
      </c>
      <c r="I1755" s="2462">
        <v>5.5872125470209082E-2</v>
      </c>
      <c r="J1755" s="2462">
        <v>10.850908947628341</v>
      </c>
    </row>
    <row r="1756" spans="1:10" outlineLevel="2">
      <c r="A1756" s="2459" t="s">
        <v>1669</v>
      </c>
      <c r="B1756" s="2459" t="s">
        <v>1650</v>
      </c>
      <c r="C1756" s="2459" t="s">
        <v>1670</v>
      </c>
      <c r="D1756" s="2460" t="s">
        <v>1671</v>
      </c>
      <c r="E1756" s="2461" t="s">
        <v>1407</v>
      </c>
      <c r="F1756" s="2461" t="s">
        <v>1420</v>
      </c>
      <c r="G1756" s="2461" t="s">
        <v>1421</v>
      </c>
      <c r="H1756" s="2461" t="s">
        <v>1410</v>
      </c>
      <c r="I1756" s="2462">
        <v>0.47087127754740488</v>
      </c>
      <c r="J1756" s="2462">
        <v>12.220362684179602</v>
      </c>
    </row>
    <row r="1757" spans="1:10" outlineLevel="2">
      <c r="A1757" s="2459" t="s">
        <v>1669</v>
      </c>
      <c r="B1757" s="2459" t="s">
        <v>1650</v>
      </c>
      <c r="C1757" s="2459" t="s">
        <v>1670</v>
      </c>
      <c r="D1757" s="2460" t="s">
        <v>1671</v>
      </c>
      <c r="E1757" s="2461" t="s">
        <v>1407</v>
      </c>
      <c r="F1757" s="2461" t="s">
        <v>1422</v>
      </c>
      <c r="G1757" s="2461" t="s">
        <v>1421</v>
      </c>
      <c r="H1757" s="2461" t="s">
        <v>1410</v>
      </c>
      <c r="I1757" s="2462">
        <v>1.4239079909084225E-2</v>
      </c>
      <c r="J1757" s="2462">
        <v>0.58342102290092579</v>
      </c>
    </row>
    <row r="1758" spans="1:10" outlineLevel="2">
      <c r="A1758" s="2459" t="s">
        <v>1669</v>
      </c>
      <c r="B1758" s="2459" t="s">
        <v>1650</v>
      </c>
      <c r="C1758" s="2459" t="s">
        <v>1670</v>
      </c>
      <c r="D1758" s="2460" t="s">
        <v>1671</v>
      </c>
      <c r="E1758" s="2461" t="s">
        <v>1407</v>
      </c>
      <c r="F1758" s="2461" t="s">
        <v>1423</v>
      </c>
      <c r="G1758" s="2461" t="s">
        <v>1421</v>
      </c>
      <c r="H1758" s="2461" t="s">
        <v>1410</v>
      </c>
      <c r="I1758" s="2462">
        <v>7.4011253970790595E-3</v>
      </c>
      <c r="J1758" s="2462">
        <v>0.85289522630592918</v>
      </c>
    </row>
    <row r="1759" spans="1:10" outlineLevel="2">
      <c r="A1759" s="2459" t="s">
        <v>1669</v>
      </c>
      <c r="B1759" s="2459" t="s">
        <v>1650</v>
      </c>
      <c r="C1759" s="2459" t="s">
        <v>1670</v>
      </c>
      <c r="D1759" s="2460" t="s">
        <v>1671</v>
      </c>
      <c r="E1759" s="2461" t="s">
        <v>1407</v>
      </c>
      <c r="F1759" s="2461" t="s">
        <v>1424</v>
      </c>
      <c r="G1759" s="2461" t="s">
        <v>1421</v>
      </c>
      <c r="H1759" s="2461" t="s">
        <v>1410</v>
      </c>
      <c r="I1759" s="2462">
        <v>0.14473275194391455</v>
      </c>
      <c r="J1759" s="2462">
        <v>30.28757099486565</v>
      </c>
    </row>
    <row r="1760" spans="1:10" outlineLevel="2">
      <c r="A1760" s="2459" t="s">
        <v>1669</v>
      </c>
      <c r="B1760" s="2459" t="s">
        <v>1650</v>
      </c>
      <c r="C1760" s="2459" t="s">
        <v>1670</v>
      </c>
      <c r="D1760" s="2460" t="s">
        <v>1671</v>
      </c>
      <c r="E1760" s="2461" t="s">
        <v>213</v>
      </c>
      <c r="F1760" s="2461" t="s">
        <v>1425</v>
      </c>
      <c r="G1760" s="2461" t="s">
        <v>1426</v>
      </c>
      <c r="H1760" s="2461" t="s">
        <v>1427</v>
      </c>
      <c r="I1760" s="2462">
        <v>0.20903075802497789</v>
      </c>
      <c r="J1760" s="2462">
        <v>60.061292887743079</v>
      </c>
    </row>
    <row r="1761" spans="1:10" outlineLevel="2">
      <c r="A1761" s="2459" t="s">
        <v>1669</v>
      </c>
      <c r="B1761" s="2459" t="s">
        <v>1650</v>
      </c>
      <c r="C1761" s="2459" t="s">
        <v>1670</v>
      </c>
      <c r="D1761" s="2460" t="s">
        <v>1671</v>
      </c>
      <c r="E1761" s="2461" t="s">
        <v>213</v>
      </c>
      <c r="F1761" s="2461" t="s">
        <v>1428</v>
      </c>
      <c r="G1761" s="2461" t="s">
        <v>1426</v>
      </c>
      <c r="H1761" s="2461" t="s">
        <v>1427</v>
      </c>
      <c r="I1761" s="2462">
        <v>6.3850669377146646E-2</v>
      </c>
      <c r="J1761" s="2462">
        <v>25.793929618426525</v>
      </c>
    </row>
    <row r="1762" spans="1:10" outlineLevel="2">
      <c r="A1762" s="2459" t="s">
        <v>1669</v>
      </c>
      <c r="B1762" s="2459" t="s">
        <v>1650</v>
      </c>
      <c r="C1762" s="2459" t="s">
        <v>1670</v>
      </c>
      <c r="D1762" s="2460" t="s">
        <v>1671</v>
      </c>
      <c r="E1762" s="2461" t="s">
        <v>213</v>
      </c>
      <c r="F1762" s="2461" t="s">
        <v>1429</v>
      </c>
      <c r="G1762" s="2461" t="s">
        <v>1426</v>
      </c>
      <c r="H1762" s="2461" t="s">
        <v>1427</v>
      </c>
      <c r="I1762" s="2462">
        <v>2.9061876710574617E-2</v>
      </c>
      <c r="J1762" s="2462">
        <v>37.37574676258312</v>
      </c>
    </row>
    <row r="1763" spans="1:10" outlineLevel="2">
      <c r="A1763" s="2459" t="s">
        <v>1669</v>
      </c>
      <c r="B1763" s="2459" t="s">
        <v>1650</v>
      </c>
      <c r="C1763" s="2459" t="s">
        <v>1670</v>
      </c>
      <c r="D1763" s="2460" t="s">
        <v>1671</v>
      </c>
      <c r="E1763" s="2461" t="s">
        <v>213</v>
      </c>
      <c r="F1763" s="2461" t="s">
        <v>1430</v>
      </c>
      <c r="G1763" s="2461" t="s">
        <v>1409</v>
      </c>
      <c r="H1763" s="2461" t="s">
        <v>1070</v>
      </c>
      <c r="I1763" s="2462">
        <v>4.2288981073691162E-3</v>
      </c>
      <c r="J1763" s="2462">
        <v>2.6239474837767407</v>
      </c>
    </row>
    <row r="1764" spans="1:10" outlineLevel="2">
      <c r="A1764" s="2459" t="s">
        <v>1669</v>
      </c>
      <c r="B1764" s="2459" t="s">
        <v>1650</v>
      </c>
      <c r="C1764" s="2459" t="s">
        <v>1670</v>
      </c>
      <c r="D1764" s="2460" t="s">
        <v>1671</v>
      </c>
      <c r="E1764" s="2461" t="s">
        <v>213</v>
      </c>
      <c r="F1764" s="2461" t="s">
        <v>1431</v>
      </c>
      <c r="G1764" s="2461" t="s">
        <v>1409</v>
      </c>
      <c r="H1764" s="2461" t="s">
        <v>1070</v>
      </c>
      <c r="I1764" s="2462">
        <v>3.5095380722611986E-4</v>
      </c>
      <c r="J1764" s="2462">
        <v>0.16996919212265987</v>
      </c>
    </row>
    <row r="1765" spans="1:10" outlineLevel="2">
      <c r="A1765" s="2459" t="s">
        <v>1669</v>
      </c>
      <c r="B1765" s="2459" t="s">
        <v>1650</v>
      </c>
      <c r="C1765" s="2459" t="s">
        <v>1670</v>
      </c>
      <c r="D1765" s="2460" t="s">
        <v>1671</v>
      </c>
      <c r="E1765" s="2461" t="s">
        <v>213</v>
      </c>
      <c r="F1765" s="2461" t="s">
        <v>1432</v>
      </c>
      <c r="G1765" s="2461" t="s">
        <v>1409</v>
      </c>
      <c r="H1765" s="2461" t="s">
        <v>1070</v>
      </c>
      <c r="I1765" s="2462">
        <v>4.253098578341303E-4</v>
      </c>
      <c r="J1765" s="2462">
        <v>0.20316142901701154</v>
      </c>
    </row>
    <row r="1766" spans="1:10" outlineLevel="2">
      <c r="A1766" s="2459" t="s">
        <v>1669</v>
      </c>
      <c r="B1766" s="2459" t="s">
        <v>1650</v>
      </c>
      <c r="C1766" s="2459" t="s">
        <v>1670</v>
      </c>
      <c r="D1766" s="2460" t="s">
        <v>1671</v>
      </c>
      <c r="E1766" s="2461" t="s">
        <v>213</v>
      </c>
      <c r="F1766" s="2461" t="s">
        <v>1433</v>
      </c>
      <c r="G1766" s="2461" t="s">
        <v>1409</v>
      </c>
      <c r="H1766" s="2461" t="s">
        <v>1070</v>
      </c>
      <c r="I1766" s="2462">
        <v>3.1453495408817807E-6</v>
      </c>
      <c r="J1766" s="2462">
        <v>1.407690415260439E-3</v>
      </c>
    </row>
    <row r="1767" spans="1:10" outlineLevel="2">
      <c r="A1767" s="2459" t="s">
        <v>1669</v>
      </c>
      <c r="B1767" s="2459" t="s">
        <v>1650</v>
      </c>
      <c r="C1767" s="2459" t="s">
        <v>1670</v>
      </c>
      <c r="D1767" s="2460" t="s">
        <v>1671</v>
      </c>
      <c r="E1767" s="2461" t="s">
        <v>213</v>
      </c>
      <c r="F1767" s="2461" t="s">
        <v>1434</v>
      </c>
      <c r="G1767" s="2461" t="s">
        <v>1409</v>
      </c>
      <c r="H1767" s="2461" t="s">
        <v>1070</v>
      </c>
      <c r="I1767" s="2462">
        <v>1.2123798117978889E-2</v>
      </c>
      <c r="J1767" s="2462">
        <v>6.7697349017253439</v>
      </c>
    </row>
    <row r="1768" spans="1:10" outlineLevel="2">
      <c r="A1768" s="2459" t="s">
        <v>1669</v>
      </c>
      <c r="B1768" s="2459" t="s">
        <v>1650</v>
      </c>
      <c r="C1768" s="2459" t="s">
        <v>1670</v>
      </c>
      <c r="D1768" s="2460" t="s">
        <v>1671</v>
      </c>
      <c r="E1768" s="2461" t="s">
        <v>213</v>
      </c>
      <c r="F1768" s="2461" t="s">
        <v>1435</v>
      </c>
      <c r="G1768" s="2461" t="s">
        <v>1409</v>
      </c>
      <c r="H1768" s="2461" t="s">
        <v>1070</v>
      </c>
      <c r="I1768" s="2462">
        <v>8.8645444464947244E-5</v>
      </c>
      <c r="J1768" s="2462">
        <v>3.9672890335849101E-2</v>
      </c>
    </row>
    <row r="1769" spans="1:10" outlineLevel="2">
      <c r="A1769" s="2459" t="s">
        <v>1669</v>
      </c>
      <c r="B1769" s="2459" t="s">
        <v>1650</v>
      </c>
      <c r="C1769" s="2459" t="s">
        <v>1670</v>
      </c>
      <c r="D1769" s="2460" t="s">
        <v>1671</v>
      </c>
      <c r="E1769" s="2461" t="s">
        <v>213</v>
      </c>
      <c r="F1769" s="2461" t="s">
        <v>1436</v>
      </c>
      <c r="G1769" s="2461" t="s">
        <v>1412</v>
      </c>
      <c r="H1769" s="2461" t="s">
        <v>1116</v>
      </c>
      <c r="I1769" s="2462">
        <v>9.9515986677128866E-4</v>
      </c>
      <c r="J1769" s="2462">
        <v>0.44538023219956674</v>
      </c>
    </row>
    <row r="1770" spans="1:10" outlineLevel="2">
      <c r="A1770" s="2459" t="s">
        <v>1669</v>
      </c>
      <c r="B1770" s="2459" t="s">
        <v>1650</v>
      </c>
      <c r="C1770" s="2459" t="s">
        <v>1670</v>
      </c>
      <c r="D1770" s="2460" t="s">
        <v>1671</v>
      </c>
      <c r="E1770" s="2461" t="s">
        <v>213</v>
      </c>
      <c r="F1770" s="2461" t="s">
        <v>1437</v>
      </c>
      <c r="G1770" s="2461" t="s">
        <v>1412</v>
      </c>
      <c r="H1770" s="2461" t="s">
        <v>1116</v>
      </c>
      <c r="I1770" s="2462">
        <v>7.6150943801011053E-5</v>
      </c>
      <c r="J1770" s="2462">
        <v>3.4081142536613374E-2</v>
      </c>
    </row>
    <row r="1771" spans="1:10" outlineLevel="2">
      <c r="A1771" s="2459" t="s">
        <v>1669</v>
      </c>
      <c r="B1771" s="2459" t="s">
        <v>1650</v>
      </c>
      <c r="C1771" s="2459" t="s">
        <v>1670</v>
      </c>
      <c r="D1771" s="2460" t="s">
        <v>1671</v>
      </c>
      <c r="E1771" s="2461" t="s">
        <v>213</v>
      </c>
      <c r="F1771" s="2461" t="s">
        <v>1438</v>
      </c>
      <c r="G1771" s="2461" t="s">
        <v>1439</v>
      </c>
      <c r="H1771" s="2461" t="s">
        <v>1440</v>
      </c>
      <c r="I1771" s="2462">
        <v>2.3388159962250414E-3</v>
      </c>
      <c r="J1771" s="2462">
        <v>1.2808902054568116</v>
      </c>
    </row>
    <row r="1772" spans="1:10" outlineLevel="2">
      <c r="A1772" s="2459" t="s">
        <v>1669</v>
      </c>
      <c r="B1772" s="2459" t="s">
        <v>1650</v>
      </c>
      <c r="C1772" s="2459" t="s">
        <v>1670</v>
      </c>
      <c r="D1772" s="2460" t="s">
        <v>1671</v>
      </c>
      <c r="E1772" s="2461" t="s">
        <v>213</v>
      </c>
      <c r="F1772" s="2461" t="s">
        <v>1441</v>
      </c>
      <c r="G1772" s="2461" t="s">
        <v>1439</v>
      </c>
      <c r="H1772" s="2461" t="s">
        <v>1440</v>
      </c>
      <c r="I1772" s="2462">
        <v>4.0870244297623218E-2</v>
      </c>
      <c r="J1772" s="2462">
        <v>21.965516795911753</v>
      </c>
    </row>
    <row r="1773" spans="1:10" outlineLevel="2">
      <c r="A1773" s="2459" t="s">
        <v>1669</v>
      </c>
      <c r="B1773" s="2459" t="s">
        <v>1650</v>
      </c>
      <c r="C1773" s="2459" t="s">
        <v>1670</v>
      </c>
      <c r="D1773" s="2460" t="s">
        <v>1671</v>
      </c>
      <c r="E1773" s="2461" t="s">
        <v>213</v>
      </c>
      <c r="F1773" s="2461" t="s">
        <v>1442</v>
      </c>
      <c r="G1773" s="2461" t="s">
        <v>1439</v>
      </c>
      <c r="H1773" s="2461" t="s">
        <v>1440</v>
      </c>
      <c r="I1773" s="2462">
        <v>3.2917709771890576E-2</v>
      </c>
      <c r="J1773" s="2462">
        <v>17.102303990611738</v>
      </c>
    </row>
    <row r="1774" spans="1:10" outlineLevel="2">
      <c r="A1774" s="2459" t="s">
        <v>1669</v>
      </c>
      <c r="B1774" s="2459" t="s">
        <v>1650</v>
      </c>
      <c r="C1774" s="2459" t="s">
        <v>1670</v>
      </c>
      <c r="D1774" s="2460" t="s">
        <v>1671</v>
      </c>
      <c r="E1774" s="2461" t="s">
        <v>213</v>
      </c>
      <c r="F1774" s="2461" t="s">
        <v>1443</v>
      </c>
      <c r="G1774" s="2461" t="s">
        <v>1439</v>
      </c>
      <c r="H1774" s="2461" t="s">
        <v>1440</v>
      </c>
      <c r="I1774" s="2462">
        <v>0.38645115548767711</v>
      </c>
      <c r="J1774" s="2462">
        <v>211.54480986987011</v>
      </c>
    </row>
    <row r="1775" spans="1:10" outlineLevel="2">
      <c r="A1775" s="2459" t="s">
        <v>1669</v>
      </c>
      <c r="B1775" s="2459" t="s">
        <v>1650</v>
      </c>
      <c r="C1775" s="2459" t="s">
        <v>1670</v>
      </c>
      <c r="D1775" s="2460" t="s">
        <v>1671</v>
      </c>
      <c r="E1775" s="2461" t="s">
        <v>213</v>
      </c>
      <c r="F1775" s="2461" t="s">
        <v>1444</v>
      </c>
      <c r="G1775" s="2461" t="s">
        <v>1439</v>
      </c>
      <c r="H1775" s="2461" t="s">
        <v>1440</v>
      </c>
      <c r="I1775" s="2462">
        <v>4.0437553845069196E-2</v>
      </c>
      <c r="J1775" s="2462">
        <v>23.751391223231078</v>
      </c>
    </row>
    <row r="1776" spans="1:10" outlineLevel="2">
      <c r="A1776" s="2459" t="s">
        <v>1669</v>
      </c>
      <c r="B1776" s="2459" t="s">
        <v>1650</v>
      </c>
      <c r="C1776" s="2459" t="s">
        <v>1670</v>
      </c>
      <c r="D1776" s="2460" t="s">
        <v>1671</v>
      </c>
      <c r="E1776" s="2461" t="s">
        <v>213</v>
      </c>
      <c r="F1776" s="2461" t="s">
        <v>1445</v>
      </c>
      <c r="G1776" s="2461" t="s">
        <v>1439</v>
      </c>
      <c r="H1776" s="2461" t="s">
        <v>1440</v>
      </c>
      <c r="I1776" s="2462">
        <v>0.36567406812956599</v>
      </c>
      <c r="J1776" s="2462">
        <v>184.86179119398938</v>
      </c>
    </row>
    <row r="1777" spans="1:10" outlineLevel="2">
      <c r="A1777" s="2459" t="s">
        <v>1669</v>
      </c>
      <c r="B1777" s="2459" t="s">
        <v>1650</v>
      </c>
      <c r="C1777" s="2459" t="s">
        <v>1670</v>
      </c>
      <c r="D1777" s="2460" t="s">
        <v>1671</v>
      </c>
      <c r="E1777" s="2461" t="s">
        <v>213</v>
      </c>
      <c r="F1777" s="2461" t="s">
        <v>1446</v>
      </c>
      <c r="G1777" s="2461" t="s">
        <v>1439</v>
      </c>
      <c r="H1777" s="2461" t="s">
        <v>1440</v>
      </c>
      <c r="I1777" s="2462">
        <v>2.8502232189261761E-2</v>
      </c>
      <c r="J1777" s="2462">
        <v>15.286339226715645</v>
      </c>
    </row>
    <row r="1778" spans="1:10" outlineLevel="2">
      <c r="A1778" s="2459" t="s">
        <v>1669</v>
      </c>
      <c r="B1778" s="2459" t="s">
        <v>1650</v>
      </c>
      <c r="C1778" s="2459" t="s">
        <v>1670</v>
      </c>
      <c r="D1778" s="2460" t="s">
        <v>1671</v>
      </c>
      <c r="E1778" s="2461" t="s">
        <v>213</v>
      </c>
      <c r="F1778" s="2461" t="s">
        <v>1447</v>
      </c>
      <c r="G1778" s="2461" t="s">
        <v>1439</v>
      </c>
      <c r="H1778" s="2461" t="s">
        <v>1440</v>
      </c>
      <c r="I1778" s="2462">
        <v>0.32274156764552586</v>
      </c>
      <c r="J1778" s="2462">
        <v>172.61684462853742</v>
      </c>
    </row>
    <row r="1779" spans="1:10" outlineLevel="2">
      <c r="A1779" s="2459" t="s">
        <v>1669</v>
      </c>
      <c r="B1779" s="2459" t="s">
        <v>1650</v>
      </c>
      <c r="C1779" s="2459" t="s">
        <v>1670</v>
      </c>
      <c r="D1779" s="2460" t="s">
        <v>1671</v>
      </c>
      <c r="E1779" s="2461" t="s">
        <v>213</v>
      </c>
      <c r="F1779" s="2461" t="s">
        <v>1450</v>
      </c>
      <c r="G1779" s="2461" t="s">
        <v>1439</v>
      </c>
      <c r="H1779" s="2461" t="s">
        <v>1440</v>
      </c>
      <c r="I1779" s="2462">
        <v>1.8459569398472867E-4</v>
      </c>
      <c r="J1779" s="2462">
        <v>9.2109609553504362E-2</v>
      </c>
    </row>
    <row r="1780" spans="1:10" outlineLevel="2">
      <c r="A1780" s="2459" t="s">
        <v>1669</v>
      </c>
      <c r="B1780" s="2459" t="s">
        <v>1650</v>
      </c>
      <c r="C1780" s="2459" t="s">
        <v>1670</v>
      </c>
      <c r="D1780" s="2460" t="s">
        <v>1671</v>
      </c>
      <c r="E1780" s="2461" t="s">
        <v>213</v>
      </c>
      <c r="F1780" s="2461" t="s">
        <v>1451</v>
      </c>
      <c r="G1780" s="2461" t="s">
        <v>1418</v>
      </c>
      <c r="H1780" s="2461" t="s">
        <v>1452</v>
      </c>
      <c r="I1780" s="2462">
        <v>9.3475975640254874E-4</v>
      </c>
      <c r="J1780" s="2462">
        <v>0.56844870669679837</v>
      </c>
    </row>
    <row r="1781" spans="1:10" outlineLevel="2">
      <c r="A1781" s="2459" t="s">
        <v>1669</v>
      </c>
      <c r="B1781" s="2459" t="s">
        <v>1650</v>
      </c>
      <c r="C1781" s="2459" t="s">
        <v>1670</v>
      </c>
      <c r="D1781" s="2460" t="s">
        <v>1671</v>
      </c>
      <c r="E1781" s="2461" t="s">
        <v>213</v>
      </c>
      <c r="F1781" s="2461" t="s">
        <v>1453</v>
      </c>
      <c r="G1781" s="2461" t="s">
        <v>1421</v>
      </c>
      <c r="H1781" s="2461" t="s">
        <v>1454</v>
      </c>
      <c r="I1781" s="2462">
        <v>4.1496667155972149E-3</v>
      </c>
      <c r="J1781" s="2462">
        <v>2.0545417010190064</v>
      </c>
    </row>
    <row r="1782" spans="1:10" outlineLevel="2">
      <c r="A1782" s="2459" t="s">
        <v>1669</v>
      </c>
      <c r="B1782" s="2459" t="s">
        <v>1650</v>
      </c>
      <c r="C1782" s="2459" t="s">
        <v>1670</v>
      </c>
      <c r="D1782" s="2460" t="s">
        <v>1671</v>
      </c>
      <c r="E1782" s="2461" t="s">
        <v>213</v>
      </c>
      <c r="F1782" s="2461" t="s">
        <v>1455</v>
      </c>
      <c r="G1782" s="2461" t="s">
        <v>1421</v>
      </c>
      <c r="H1782" s="2461" t="s">
        <v>1454</v>
      </c>
      <c r="I1782" s="2462">
        <v>2.6481479618900503E-2</v>
      </c>
      <c r="J1782" s="2462">
        <v>13.706101660391521</v>
      </c>
    </row>
    <row r="1783" spans="1:10" outlineLevel="2">
      <c r="A1783" s="2459" t="s">
        <v>1669</v>
      </c>
      <c r="B1783" s="2459" t="s">
        <v>1650</v>
      </c>
      <c r="C1783" s="2459" t="s">
        <v>1670</v>
      </c>
      <c r="D1783" s="2460" t="s">
        <v>1671</v>
      </c>
      <c r="E1783" s="2461" t="s">
        <v>213</v>
      </c>
      <c r="F1783" s="2461" t="s">
        <v>1456</v>
      </c>
      <c r="G1783" s="2461" t="s">
        <v>1421</v>
      </c>
      <c r="H1783" s="2461" t="s">
        <v>1454</v>
      </c>
      <c r="I1783" s="2462">
        <v>1.062168695797661E-5</v>
      </c>
      <c r="J1783" s="2462">
        <v>4.7536951824713528E-3</v>
      </c>
    </row>
    <row r="1784" spans="1:10" outlineLevel="2">
      <c r="A1784" s="2459" t="s">
        <v>1669</v>
      </c>
      <c r="B1784" s="2459" t="s">
        <v>1650</v>
      </c>
      <c r="C1784" s="2459" t="s">
        <v>1670</v>
      </c>
      <c r="D1784" s="2460" t="s">
        <v>1671</v>
      </c>
      <c r="E1784" s="2461" t="s">
        <v>213</v>
      </c>
      <c r="F1784" s="2461" t="s">
        <v>1457</v>
      </c>
      <c r="G1784" s="2461" t="s">
        <v>1421</v>
      </c>
      <c r="H1784" s="2461" t="s">
        <v>1454</v>
      </c>
      <c r="I1784" s="2462">
        <v>1.8527596747825538E-4</v>
      </c>
      <c r="J1784" s="2462">
        <v>8.2919558478799296E-2</v>
      </c>
    </row>
    <row r="1785" spans="1:10" outlineLevel="2">
      <c r="A1785" s="2459" t="s">
        <v>1669</v>
      </c>
      <c r="B1785" s="2459" t="s">
        <v>1650</v>
      </c>
      <c r="C1785" s="2459" t="s">
        <v>1670</v>
      </c>
      <c r="D1785" s="2460" t="s">
        <v>1671</v>
      </c>
      <c r="E1785" s="2461" t="s">
        <v>213</v>
      </c>
      <c r="F1785" s="2461" t="s">
        <v>1458</v>
      </c>
      <c r="G1785" s="2461" t="s">
        <v>1459</v>
      </c>
      <c r="H1785" s="2461" t="s">
        <v>1460</v>
      </c>
      <c r="I1785" s="2462">
        <v>2.2517406141117909E-2</v>
      </c>
      <c r="J1785" s="2462">
        <v>12.999949660052435</v>
      </c>
    </row>
    <row r="1786" spans="1:10" outlineLevel="2">
      <c r="A1786" s="2459" t="s">
        <v>1669</v>
      </c>
      <c r="B1786" s="2459" t="s">
        <v>1650</v>
      </c>
      <c r="C1786" s="2459" t="s">
        <v>1670</v>
      </c>
      <c r="D1786" s="2460" t="s">
        <v>1671</v>
      </c>
      <c r="E1786" s="2461" t="s">
        <v>213</v>
      </c>
      <c r="F1786" s="2461" t="s">
        <v>1461</v>
      </c>
      <c r="G1786" s="2461" t="s">
        <v>1426</v>
      </c>
      <c r="H1786" s="2461" t="s">
        <v>1427</v>
      </c>
      <c r="I1786" s="2462">
        <v>3.9499228492607605E-2</v>
      </c>
      <c r="J1786" s="2462">
        <v>28.011373480182471</v>
      </c>
    </row>
    <row r="1787" spans="1:10" outlineLevel="2">
      <c r="A1787" s="2459" t="s">
        <v>1669</v>
      </c>
      <c r="B1787" s="2459" t="s">
        <v>1650</v>
      </c>
      <c r="C1787" s="2459" t="s">
        <v>1670</v>
      </c>
      <c r="D1787" s="2460" t="s">
        <v>1671</v>
      </c>
      <c r="E1787" s="2461" t="s">
        <v>213</v>
      </c>
      <c r="F1787" s="2461" t="s">
        <v>1462</v>
      </c>
      <c r="G1787" s="2461" t="s">
        <v>1426</v>
      </c>
      <c r="H1787" s="2461" t="s">
        <v>1427</v>
      </c>
      <c r="I1787" s="2462">
        <v>0.29107940345921196</v>
      </c>
      <c r="J1787" s="2462">
        <v>266.29801724204191</v>
      </c>
    </row>
    <row r="1788" spans="1:10" outlineLevel="2">
      <c r="A1788" s="2459" t="s">
        <v>1669</v>
      </c>
      <c r="B1788" s="2459" t="s">
        <v>1650</v>
      </c>
      <c r="C1788" s="2459" t="s">
        <v>1670</v>
      </c>
      <c r="D1788" s="2460" t="s">
        <v>1671</v>
      </c>
      <c r="E1788" s="2461" t="s">
        <v>213</v>
      </c>
      <c r="F1788" s="2461" t="s">
        <v>1463</v>
      </c>
      <c r="G1788" s="2461" t="s">
        <v>1426</v>
      </c>
      <c r="H1788" s="2461" t="s">
        <v>1427</v>
      </c>
      <c r="I1788" s="2462">
        <v>0.13669652895218307</v>
      </c>
      <c r="J1788" s="2462">
        <v>182.18545927328907</v>
      </c>
    </row>
    <row r="1789" spans="1:10" outlineLevel="2">
      <c r="A1789" s="2459" t="s">
        <v>1669</v>
      </c>
      <c r="B1789" s="2459" t="s">
        <v>1650</v>
      </c>
      <c r="C1789" s="2459" t="s">
        <v>1670</v>
      </c>
      <c r="D1789" s="2460" t="s">
        <v>1671</v>
      </c>
      <c r="E1789" s="2461" t="s">
        <v>213</v>
      </c>
      <c r="F1789" s="2461" t="s">
        <v>1464</v>
      </c>
      <c r="G1789" s="2461" t="s">
        <v>1426</v>
      </c>
      <c r="H1789" s="2461" t="s">
        <v>1427</v>
      </c>
      <c r="I1789" s="2462">
        <v>3.9118451773132529E-2</v>
      </c>
      <c r="J1789" s="2462">
        <v>35.717344048424316</v>
      </c>
    </row>
    <row r="1790" spans="1:10" outlineLevel="2">
      <c r="A1790" s="2459" t="s">
        <v>1669</v>
      </c>
      <c r="B1790" s="2459" t="s">
        <v>1650</v>
      </c>
      <c r="C1790" s="2459" t="s">
        <v>1670</v>
      </c>
      <c r="D1790" s="2460" t="s">
        <v>1671</v>
      </c>
      <c r="E1790" s="2461" t="s">
        <v>213</v>
      </c>
      <c r="F1790" s="2461" t="s">
        <v>1465</v>
      </c>
      <c r="G1790" s="2461" t="s">
        <v>1409</v>
      </c>
      <c r="H1790" s="2461" t="s">
        <v>1070</v>
      </c>
      <c r="I1790" s="2462">
        <v>1.4221953841770376E-3</v>
      </c>
      <c r="J1790" s="2462">
        <v>2.3260095028037417</v>
      </c>
    </row>
    <row r="1791" spans="1:10" outlineLevel="2">
      <c r="A1791" s="2459" t="s">
        <v>1669</v>
      </c>
      <c r="B1791" s="2459" t="s">
        <v>1650</v>
      </c>
      <c r="C1791" s="2459" t="s">
        <v>1670</v>
      </c>
      <c r="D1791" s="2460" t="s">
        <v>1671</v>
      </c>
      <c r="E1791" s="2461" t="s">
        <v>213</v>
      </c>
      <c r="F1791" s="2461" t="s">
        <v>1466</v>
      </c>
      <c r="G1791" s="2461" t="s">
        <v>1409</v>
      </c>
      <c r="H1791" s="2461" t="s">
        <v>1070</v>
      </c>
      <c r="I1791" s="2462">
        <v>1.1363901162240715E-5</v>
      </c>
      <c r="J1791" s="2462">
        <v>1.7361639268426755E-2</v>
      </c>
    </row>
    <row r="1792" spans="1:10" outlineLevel="2">
      <c r="A1792" s="2459" t="s">
        <v>1669</v>
      </c>
      <c r="B1792" s="2459" t="s">
        <v>1650</v>
      </c>
      <c r="C1792" s="2459" t="s">
        <v>1670</v>
      </c>
      <c r="D1792" s="2460" t="s">
        <v>1671</v>
      </c>
      <c r="E1792" s="2461" t="s">
        <v>213</v>
      </c>
      <c r="F1792" s="2461" t="s">
        <v>1467</v>
      </c>
      <c r="G1792" s="2461" t="s">
        <v>1409</v>
      </c>
      <c r="H1792" s="2461" t="s">
        <v>1070</v>
      </c>
      <c r="I1792" s="2462">
        <v>3.0726210543130946E-3</v>
      </c>
      <c r="J1792" s="2462">
        <v>4.3696916819662102</v>
      </c>
    </row>
    <row r="1793" spans="1:10" outlineLevel="2">
      <c r="A1793" s="2459" t="s">
        <v>1669</v>
      </c>
      <c r="B1793" s="2459" t="s">
        <v>1650</v>
      </c>
      <c r="C1793" s="2459" t="s">
        <v>1670</v>
      </c>
      <c r="D1793" s="2460" t="s">
        <v>1671</v>
      </c>
      <c r="E1793" s="2461" t="s">
        <v>213</v>
      </c>
      <c r="F1793" s="2461" t="s">
        <v>1468</v>
      </c>
      <c r="G1793" s="2461" t="s">
        <v>1409</v>
      </c>
      <c r="H1793" s="2461" t="s">
        <v>1070</v>
      </c>
      <c r="I1793" s="2462">
        <v>2.5073753440025778E-3</v>
      </c>
      <c r="J1793" s="2462">
        <v>4.1139920086001407</v>
      </c>
    </row>
    <row r="1794" spans="1:10" outlineLevel="2">
      <c r="A1794" s="2459" t="s">
        <v>1669</v>
      </c>
      <c r="B1794" s="2459" t="s">
        <v>1650</v>
      </c>
      <c r="C1794" s="2459" t="s">
        <v>1670</v>
      </c>
      <c r="D1794" s="2460" t="s">
        <v>1671</v>
      </c>
      <c r="E1794" s="2461" t="s">
        <v>213</v>
      </c>
      <c r="F1794" s="2461" t="s">
        <v>1469</v>
      </c>
      <c r="G1794" s="2461" t="s">
        <v>1409</v>
      </c>
      <c r="H1794" s="2461" t="s">
        <v>1070</v>
      </c>
      <c r="I1794" s="2462">
        <v>5.60737537910703E-3</v>
      </c>
      <c r="J1794" s="2462">
        <v>8.2102594845698285</v>
      </c>
    </row>
    <row r="1795" spans="1:10" outlineLevel="2">
      <c r="A1795" s="2459" t="s">
        <v>1669</v>
      </c>
      <c r="B1795" s="2459" t="s">
        <v>1650</v>
      </c>
      <c r="C1795" s="2459" t="s">
        <v>1670</v>
      </c>
      <c r="D1795" s="2460" t="s">
        <v>1671</v>
      </c>
      <c r="E1795" s="2461" t="s">
        <v>213</v>
      </c>
      <c r="F1795" s="2461" t="s">
        <v>1470</v>
      </c>
      <c r="G1795" s="2461" t="s">
        <v>1409</v>
      </c>
      <c r="H1795" s="2461" t="s">
        <v>1070</v>
      </c>
      <c r="I1795" s="2462">
        <v>2.4325832974535278E-3</v>
      </c>
      <c r="J1795" s="2462">
        <v>3.4571277216824328</v>
      </c>
    </row>
    <row r="1796" spans="1:10" outlineLevel="2">
      <c r="A1796" s="2459" t="s">
        <v>1669</v>
      </c>
      <c r="B1796" s="2459" t="s">
        <v>1650</v>
      </c>
      <c r="C1796" s="2459" t="s">
        <v>1670</v>
      </c>
      <c r="D1796" s="2460" t="s">
        <v>1671</v>
      </c>
      <c r="E1796" s="2461" t="s">
        <v>213</v>
      </c>
      <c r="F1796" s="2461" t="s">
        <v>1471</v>
      </c>
      <c r="G1796" s="2461" t="s">
        <v>1409</v>
      </c>
      <c r="H1796" s="2461" t="s">
        <v>1070</v>
      </c>
      <c r="I1796" s="2462">
        <v>1.3248201067695461E-4</v>
      </c>
      <c r="J1796" s="2462">
        <v>0.18017904094986298</v>
      </c>
    </row>
    <row r="1797" spans="1:10" outlineLevel="2">
      <c r="A1797" s="2459" t="s">
        <v>1669</v>
      </c>
      <c r="B1797" s="2459" t="s">
        <v>1650</v>
      </c>
      <c r="C1797" s="2459" t="s">
        <v>1670</v>
      </c>
      <c r="D1797" s="2460" t="s">
        <v>1671</v>
      </c>
      <c r="E1797" s="2461" t="s">
        <v>213</v>
      </c>
      <c r="F1797" s="2461" t="s">
        <v>1472</v>
      </c>
      <c r="G1797" s="2461" t="s">
        <v>1409</v>
      </c>
      <c r="H1797" s="2461" t="s">
        <v>1070</v>
      </c>
      <c r="I1797" s="2462">
        <v>4.6105985579425668E-3</v>
      </c>
      <c r="J1797" s="2462">
        <v>7.2347064203487559</v>
      </c>
    </row>
    <row r="1798" spans="1:10" outlineLevel="2">
      <c r="A1798" s="2459" t="s">
        <v>1669</v>
      </c>
      <c r="B1798" s="2459" t="s">
        <v>1650</v>
      </c>
      <c r="C1798" s="2459" t="s">
        <v>1670</v>
      </c>
      <c r="D1798" s="2460" t="s">
        <v>1671</v>
      </c>
      <c r="E1798" s="2461" t="s">
        <v>213</v>
      </c>
      <c r="F1798" s="2461" t="s">
        <v>1473</v>
      </c>
      <c r="G1798" s="2461" t="s">
        <v>1409</v>
      </c>
      <c r="H1798" s="2461" t="s">
        <v>1070</v>
      </c>
      <c r="I1798" s="2462">
        <v>2.1982750916884472E-3</v>
      </c>
      <c r="J1798" s="2462">
        <v>2.6832227370848956</v>
      </c>
    </row>
    <row r="1799" spans="1:10" outlineLevel="2">
      <c r="A1799" s="2459" t="s">
        <v>1669</v>
      </c>
      <c r="B1799" s="2459" t="s">
        <v>1650</v>
      </c>
      <c r="C1799" s="2459" t="s">
        <v>1670</v>
      </c>
      <c r="D1799" s="2460" t="s">
        <v>1671</v>
      </c>
      <c r="E1799" s="2461" t="s">
        <v>213</v>
      </c>
      <c r="F1799" s="2461" t="s">
        <v>1474</v>
      </c>
      <c r="G1799" s="2461" t="s">
        <v>1409</v>
      </c>
      <c r="H1799" s="2461" t="s">
        <v>1070</v>
      </c>
      <c r="I1799" s="2462">
        <v>1.0386248044518114E-2</v>
      </c>
      <c r="J1799" s="2462">
        <v>15.075546759104345</v>
      </c>
    </row>
    <row r="1800" spans="1:10" outlineLevel="2">
      <c r="A1800" s="2459" t="s">
        <v>1669</v>
      </c>
      <c r="B1800" s="2459" t="s">
        <v>1650</v>
      </c>
      <c r="C1800" s="2459" t="s">
        <v>1670</v>
      </c>
      <c r="D1800" s="2460" t="s">
        <v>1671</v>
      </c>
      <c r="E1800" s="2461" t="s">
        <v>213</v>
      </c>
      <c r="F1800" s="2461" t="s">
        <v>1475</v>
      </c>
      <c r="G1800" s="2461" t="s">
        <v>1409</v>
      </c>
      <c r="H1800" s="2461" t="s">
        <v>1070</v>
      </c>
      <c r="I1800" s="2462">
        <v>5.2650686468057109E-3</v>
      </c>
      <c r="J1800" s="2462">
        <v>7.2396923164959439</v>
      </c>
    </row>
    <row r="1801" spans="1:10" outlineLevel="2">
      <c r="A1801" s="2459" t="s">
        <v>1669</v>
      </c>
      <c r="B1801" s="2459" t="s">
        <v>1650</v>
      </c>
      <c r="C1801" s="2459" t="s">
        <v>1670</v>
      </c>
      <c r="D1801" s="2460" t="s">
        <v>1671</v>
      </c>
      <c r="E1801" s="2461" t="s">
        <v>213</v>
      </c>
      <c r="F1801" s="2461" t="s">
        <v>1476</v>
      </c>
      <c r="G1801" s="2461" t="s">
        <v>1409</v>
      </c>
      <c r="H1801" s="2461" t="s">
        <v>1070</v>
      </c>
      <c r="I1801" s="2462">
        <v>4.1649793215344866E-4</v>
      </c>
      <c r="J1801" s="2462">
        <v>0.58314790616285228</v>
      </c>
    </row>
    <row r="1802" spans="1:10" outlineLevel="2">
      <c r="A1802" s="2459" t="s">
        <v>1669</v>
      </c>
      <c r="B1802" s="2459" t="s">
        <v>1650</v>
      </c>
      <c r="C1802" s="2459" t="s">
        <v>1670</v>
      </c>
      <c r="D1802" s="2460" t="s">
        <v>1671</v>
      </c>
      <c r="E1802" s="2461" t="s">
        <v>213</v>
      </c>
      <c r="F1802" s="2461" t="s">
        <v>1477</v>
      </c>
      <c r="G1802" s="2461" t="s">
        <v>1409</v>
      </c>
      <c r="H1802" s="2461" t="s">
        <v>1070</v>
      </c>
      <c r="I1802" s="2462">
        <v>6.8341158016905817E-4</v>
      </c>
      <c r="J1802" s="2462">
        <v>0.97925157973503185</v>
      </c>
    </row>
    <row r="1803" spans="1:10" outlineLevel="2">
      <c r="A1803" s="2459" t="s">
        <v>1669</v>
      </c>
      <c r="B1803" s="2459" t="s">
        <v>1650</v>
      </c>
      <c r="C1803" s="2459" t="s">
        <v>1670</v>
      </c>
      <c r="D1803" s="2460" t="s">
        <v>1671</v>
      </c>
      <c r="E1803" s="2461" t="s">
        <v>213</v>
      </c>
      <c r="F1803" s="2461" t="s">
        <v>1478</v>
      </c>
      <c r="G1803" s="2461" t="s">
        <v>1409</v>
      </c>
      <c r="H1803" s="2461" t="s">
        <v>1070</v>
      </c>
      <c r="I1803" s="2462">
        <v>2.9939332414182E-4</v>
      </c>
      <c r="J1803" s="2462">
        <v>0.87504121084153674</v>
      </c>
    </row>
    <row r="1804" spans="1:10" outlineLevel="2">
      <c r="A1804" s="2459" t="s">
        <v>1669</v>
      </c>
      <c r="B1804" s="2459" t="s">
        <v>1650</v>
      </c>
      <c r="C1804" s="2459" t="s">
        <v>1670</v>
      </c>
      <c r="D1804" s="2460" t="s">
        <v>1671</v>
      </c>
      <c r="E1804" s="2461" t="s">
        <v>213</v>
      </c>
      <c r="F1804" s="2461" t="s">
        <v>1479</v>
      </c>
      <c r="G1804" s="2461" t="s">
        <v>1409</v>
      </c>
      <c r="H1804" s="2461" t="s">
        <v>1070</v>
      </c>
      <c r="I1804" s="2462">
        <v>2.4088403886521272E-4</v>
      </c>
      <c r="J1804" s="2462">
        <v>2.0754467836870707</v>
      </c>
    </row>
    <row r="1805" spans="1:10" outlineLevel="2">
      <c r="A1805" s="2459" t="s">
        <v>1669</v>
      </c>
      <c r="B1805" s="2459" t="s">
        <v>1650</v>
      </c>
      <c r="C1805" s="2459" t="s">
        <v>1670</v>
      </c>
      <c r="D1805" s="2460" t="s">
        <v>1671</v>
      </c>
      <c r="E1805" s="2461" t="s">
        <v>213</v>
      </c>
      <c r="F1805" s="2461" t="s">
        <v>1480</v>
      </c>
      <c r="G1805" s="2461" t="s">
        <v>1409</v>
      </c>
      <c r="H1805" s="2461" t="s">
        <v>1070</v>
      </c>
      <c r="I1805" s="2462">
        <v>3.2769007552770828E-3</v>
      </c>
      <c r="J1805" s="2462">
        <v>4.9487532543847621</v>
      </c>
    </row>
    <row r="1806" spans="1:10" outlineLevel="2">
      <c r="A1806" s="2459" t="s">
        <v>1669</v>
      </c>
      <c r="B1806" s="2459" t="s">
        <v>1650</v>
      </c>
      <c r="C1806" s="2459" t="s">
        <v>1670</v>
      </c>
      <c r="D1806" s="2460" t="s">
        <v>1671</v>
      </c>
      <c r="E1806" s="2461" t="s">
        <v>213</v>
      </c>
      <c r="F1806" s="2461" t="s">
        <v>1481</v>
      </c>
      <c r="G1806" s="2461" t="s">
        <v>1409</v>
      </c>
      <c r="H1806" s="2461" t="s">
        <v>1070</v>
      </c>
      <c r="I1806" s="2462">
        <v>2.3404064192769167E-3</v>
      </c>
      <c r="J1806" s="2462">
        <v>3.4490845029452037</v>
      </c>
    </row>
    <row r="1807" spans="1:10" outlineLevel="2">
      <c r="A1807" s="2459" t="s">
        <v>1669</v>
      </c>
      <c r="B1807" s="2459" t="s">
        <v>1650</v>
      </c>
      <c r="C1807" s="2459" t="s">
        <v>1670</v>
      </c>
      <c r="D1807" s="2460" t="s">
        <v>1671</v>
      </c>
      <c r="E1807" s="2461" t="s">
        <v>213</v>
      </c>
      <c r="F1807" s="2461" t="s">
        <v>1482</v>
      </c>
      <c r="G1807" s="2461" t="s">
        <v>1409</v>
      </c>
      <c r="H1807" s="2461" t="s">
        <v>1070</v>
      </c>
      <c r="I1807" s="2462">
        <v>9.1895531175813705E-4</v>
      </c>
      <c r="J1807" s="2462">
        <v>1.1301421472084132</v>
      </c>
    </row>
    <row r="1808" spans="1:10" outlineLevel="2">
      <c r="A1808" s="2459" t="s">
        <v>1669</v>
      </c>
      <c r="B1808" s="2459" t="s">
        <v>1650</v>
      </c>
      <c r="C1808" s="2459" t="s">
        <v>1670</v>
      </c>
      <c r="D1808" s="2460" t="s">
        <v>1671</v>
      </c>
      <c r="E1808" s="2461" t="s">
        <v>213</v>
      </c>
      <c r="F1808" s="2461" t="s">
        <v>1483</v>
      </c>
      <c r="G1808" s="2461" t="s">
        <v>1409</v>
      </c>
      <c r="H1808" s="2461" t="s">
        <v>1070</v>
      </c>
      <c r="I1808" s="2462">
        <v>7.6535466316022171E-4</v>
      </c>
      <c r="J1808" s="2462">
        <v>0.82579704041181345</v>
      </c>
    </row>
    <row r="1809" spans="1:10" outlineLevel="2">
      <c r="A1809" s="2459" t="s">
        <v>1669</v>
      </c>
      <c r="B1809" s="2459" t="s">
        <v>1650</v>
      </c>
      <c r="C1809" s="2459" t="s">
        <v>1670</v>
      </c>
      <c r="D1809" s="2460" t="s">
        <v>1671</v>
      </c>
      <c r="E1809" s="2461" t="s">
        <v>213</v>
      </c>
      <c r="F1809" s="2461" t="s">
        <v>1484</v>
      </c>
      <c r="G1809" s="2461" t="s">
        <v>1412</v>
      </c>
      <c r="H1809" s="2461" t="s">
        <v>1116</v>
      </c>
      <c r="I1809" s="2462">
        <v>2.4563988828111519E-2</v>
      </c>
      <c r="J1809" s="2462">
        <v>49.368168510999105</v>
      </c>
    </row>
    <row r="1810" spans="1:10" outlineLevel="2">
      <c r="A1810" s="2459" t="s">
        <v>1669</v>
      </c>
      <c r="B1810" s="2459" t="s">
        <v>1650</v>
      </c>
      <c r="C1810" s="2459" t="s">
        <v>1670</v>
      </c>
      <c r="D1810" s="2460" t="s">
        <v>1671</v>
      </c>
      <c r="E1810" s="2461" t="s">
        <v>213</v>
      </c>
      <c r="F1810" s="2461" t="s">
        <v>1485</v>
      </c>
      <c r="G1810" s="2461" t="s">
        <v>1412</v>
      </c>
      <c r="H1810" s="2461" t="s">
        <v>1116</v>
      </c>
      <c r="I1810" s="2462">
        <v>1.764418760387303E-2</v>
      </c>
      <c r="J1810" s="2462">
        <v>186.8338176797659</v>
      </c>
    </row>
    <row r="1811" spans="1:10" outlineLevel="2">
      <c r="A1811" s="2459" t="s">
        <v>1669</v>
      </c>
      <c r="B1811" s="2459" t="s">
        <v>1650</v>
      </c>
      <c r="C1811" s="2459" t="s">
        <v>1670</v>
      </c>
      <c r="D1811" s="2460" t="s">
        <v>1671</v>
      </c>
      <c r="E1811" s="2461" t="s">
        <v>213</v>
      </c>
      <c r="F1811" s="2461" t="s">
        <v>1486</v>
      </c>
      <c r="G1811" s="2461" t="s">
        <v>1412</v>
      </c>
      <c r="H1811" s="2461" t="s">
        <v>1116</v>
      </c>
      <c r="I1811" s="2462">
        <v>1.4638456102244138E-2</v>
      </c>
      <c r="J1811" s="2462">
        <v>40.14722305384754</v>
      </c>
    </row>
    <row r="1812" spans="1:10" outlineLevel="2">
      <c r="A1812" s="2459" t="s">
        <v>1669</v>
      </c>
      <c r="B1812" s="2459" t="s">
        <v>1650</v>
      </c>
      <c r="C1812" s="2459" t="s">
        <v>1670</v>
      </c>
      <c r="D1812" s="2460" t="s">
        <v>1671</v>
      </c>
      <c r="E1812" s="2461" t="s">
        <v>213</v>
      </c>
      <c r="F1812" s="2461" t="s">
        <v>1487</v>
      </c>
      <c r="G1812" s="2461" t="s">
        <v>1412</v>
      </c>
      <c r="H1812" s="2461" t="s">
        <v>1116</v>
      </c>
      <c r="I1812" s="2462">
        <v>5.6307376807942913E-2</v>
      </c>
      <c r="J1812" s="2462">
        <v>75.40751232078901</v>
      </c>
    </row>
    <row r="1813" spans="1:10" outlineLevel="2">
      <c r="A1813" s="2459" t="s">
        <v>1669</v>
      </c>
      <c r="B1813" s="2459" t="s">
        <v>1650</v>
      </c>
      <c r="C1813" s="2459" t="s">
        <v>1670</v>
      </c>
      <c r="D1813" s="2460" t="s">
        <v>1671</v>
      </c>
      <c r="E1813" s="2461" t="s">
        <v>213</v>
      </c>
      <c r="F1813" s="2461" t="s">
        <v>1488</v>
      </c>
      <c r="G1813" s="2461" t="s">
        <v>1412</v>
      </c>
      <c r="H1813" s="2461" t="s">
        <v>1116</v>
      </c>
      <c r="I1813" s="2462">
        <v>1.5889726383201581E-3</v>
      </c>
      <c r="J1813" s="2462">
        <v>3.4600195871596426</v>
      </c>
    </row>
    <row r="1814" spans="1:10" outlineLevel="2">
      <c r="A1814" s="2459" t="s">
        <v>1669</v>
      </c>
      <c r="B1814" s="2459" t="s">
        <v>1650</v>
      </c>
      <c r="C1814" s="2459" t="s">
        <v>1670</v>
      </c>
      <c r="D1814" s="2460" t="s">
        <v>1671</v>
      </c>
      <c r="E1814" s="2461" t="s">
        <v>213</v>
      </c>
      <c r="F1814" s="2461" t="s">
        <v>1489</v>
      </c>
      <c r="G1814" s="2461" t="s">
        <v>1412</v>
      </c>
      <c r="H1814" s="2461" t="s">
        <v>1116</v>
      </c>
      <c r="I1814" s="2462">
        <v>6.7104690611905979E-4</v>
      </c>
      <c r="J1814" s="2462">
        <v>0.99942195443415027</v>
      </c>
    </row>
    <row r="1815" spans="1:10" outlineLevel="2">
      <c r="A1815" s="2459" t="s">
        <v>1669</v>
      </c>
      <c r="B1815" s="2459" t="s">
        <v>1650</v>
      </c>
      <c r="C1815" s="2459" t="s">
        <v>1670</v>
      </c>
      <c r="D1815" s="2460" t="s">
        <v>1671</v>
      </c>
      <c r="E1815" s="2461" t="s">
        <v>213</v>
      </c>
      <c r="F1815" s="2461" t="s">
        <v>1490</v>
      </c>
      <c r="G1815" s="2461" t="s">
        <v>1412</v>
      </c>
      <c r="H1815" s="2461" t="s">
        <v>1116</v>
      </c>
      <c r="I1815" s="2462">
        <v>1.156568307399867E-3</v>
      </c>
      <c r="J1815" s="2462">
        <v>16.500328825856954</v>
      </c>
    </row>
    <row r="1816" spans="1:10" outlineLevel="2">
      <c r="A1816" s="2459" t="s">
        <v>1669</v>
      </c>
      <c r="B1816" s="2459" t="s">
        <v>1650</v>
      </c>
      <c r="C1816" s="2459" t="s">
        <v>1670</v>
      </c>
      <c r="D1816" s="2460" t="s">
        <v>1671</v>
      </c>
      <c r="E1816" s="2461" t="s">
        <v>213</v>
      </c>
      <c r="F1816" s="2461" t="s">
        <v>1491</v>
      </c>
      <c r="G1816" s="2461" t="s">
        <v>1439</v>
      </c>
      <c r="H1816" s="2461" t="s">
        <v>1440</v>
      </c>
      <c r="I1816" s="2462">
        <v>0.20165086551834832</v>
      </c>
      <c r="J1816" s="2462">
        <v>216.05257975322681</v>
      </c>
    </row>
    <row r="1817" spans="1:10" outlineLevel="2">
      <c r="A1817" s="2459" t="s">
        <v>1669</v>
      </c>
      <c r="B1817" s="2459" t="s">
        <v>1650</v>
      </c>
      <c r="C1817" s="2459" t="s">
        <v>1670</v>
      </c>
      <c r="D1817" s="2460" t="s">
        <v>1671</v>
      </c>
      <c r="E1817" s="2461" t="s">
        <v>213</v>
      </c>
      <c r="F1817" s="2461" t="s">
        <v>1492</v>
      </c>
      <c r="G1817" s="2461" t="s">
        <v>1439</v>
      </c>
      <c r="H1817" s="2461" t="s">
        <v>1440</v>
      </c>
      <c r="I1817" s="2462">
        <v>0.3975501611697651</v>
      </c>
      <c r="J1817" s="2462">
        <v>540.37104026463965</v>
      </c>
    </row>
    <row r="1818" spans="1:10" outlineLevel="2">
      <c r="A1818" s="2459" t="s">
        <v>1669</v>
      </c>
      <c r="B1818" s="2459" t="s">
        <v>1650</v>
      </c>
      <c r="C1818" s="2459" t="s">
        <v>1670</v>
      </c>
      <c r="D1818" s="2460" t="s">
        <v>1671</v>
      </c>
      <c r="E1818" s="2461" t="s">
        <v>213</v>
      </c>
      <c r="F1818" s="2461" t="s">
        <v>1493</v>
      </c>
      <c r="G1818" s="2461" t="s">
        <v>1439</v>
      </c>
      <c r="H1818" s="2461" t="s">
        <v>1440</v>
      </c>
      <c r="I1818" s="2462">
        <v>1.7359051695137819E-2</v>
      </c>
      <c r="J1818" s="2462">
        <v>18.591697035322817</v>
      </c>
    </row>
    <row r="1819" spans="1:10" outlineLevel="2">
      <c r="A1819" s="2459" t="s">
        <v>1669</v>
      </c>
      <c r="B1819" s="2459" t="s">
        <v>1650</v>
      </c>
      <c r="C1819" s="2459" t="s">
        <v>1670</v>
      </c>
      <c r="D1819" s="2460" t="s">
        <v>1671</v>
      </c>
      <c r="E1819" s="2461" t="s">
        <v>213</v>
      </c>
      <c r="F1819" s="2461" t="s">
        <v>1494</v>
      </c>
      <c r="G1819" s="2461" t="s">
        <v>1439</v>
      </c>
      <c r="H1819" s="2461" t="s">
        <v>1440</v>
      </c>
      <c r="I1819" s="2462">
        <v>0.25334721959961531</v>
      </c>
      <c r="J1819" s="2462">
        <v>320.52847391059208</v>
      </c>
    </row>
    <row r="1820" spans="1:10" outlineLevel="2">
      <c r="A1820" s="2459" t="s">
        <v>1669</v>
      </c>
      <c r="B1820" s="2459" t="s">
        <v>1650</v>
      </c>
      <c r="C1820" s="2459" t="s">
        <v>1670</v>
      </c>
      <c r="D1820" s="2460" t="s">
        <v>1671</v>
      </c>
      <c r="E1820" s="2461" t="s">
        <v>213</v>
      </c>
      <c r="F1820" s="2461" t="s">
        <v>1495</v>
      </c>
      <c r="G1820" s="2461" t="s">
        <v>1439</v>
      </c>
      <c r="H1820" s="2461" t="s">
        <v>1440</v>
      </c>
      <c r="I1820" s="2462">
        <v>9.4564479167051326E-4</v>
      </c>
      <c r="J1820" s="2462">
        <v>1.2009754648828401</v>
      </c>
    </row>
    <row r="1821" spans="1:10" outlineLevel="2">
      <c r="A1821" s="2459" t="s">
        <v>1669</v>
      </c>
      <c r="B1821" s="2459" t="s">
        <v>1650</v>
      </c>
      <c r="C1821" s="2459" t="s">
        <v>1670</v>
      </c>
      <c r="D1821" s="2460" t="s">
        <v>1671</v>
      </c>
      <c r="E1821" s="2461" t="s">
        <v>213</v>
      </c>
      <c r="F1821" s="2461" t="s">
        <v>1496</v>
      </c>
      <c r="G1821" s="2461" t="s">
        <v>1439</v>
      </c>
      <c r="H1821" s="2461" t="s">
        <v>1440</v>
      </c>
      <c r="I1821" s="2462">
        <v>8.8261241557619254E-3</v>
      </c>
      <c r="J1821" s="2462">
        <v>12.51634809638939</v>
      </c>
    </row>
    <row r="1822" spans="1:10" outlineLevel="2">
      <c r="A1822" s="2459" t="s">
        <v>1669</v>
      </c>
      <c r="B1822" s="2459" t="s">
        <v>1650</v>
      </c>
      <c r="C1822" s="2459" t="s">
        <v>1670</v>
      </c>
      <c r="D1822" s="2460" t="s">
        <v>1671</v>
      </c>
      <c r="E1822" s="2461" t="s">
        <v>213</v>
      </c>
      <c r="F1822" s="2461" t="s">
        <v>1497</v>
      </c>
      <c r="G1822" s="2461" t="s">
        <v>1439</v>
      </c>
      <c r="H1822" s="2461" t="s">
        <v>1440</v>
      </c>
      <c r="I1822" s="2462">
        <v>1.8010074222255591E-3</v>
      </c>
      <c r="J1822" s="2462">
        <v>2.2911901535877885</v>
      </c>
    </row>
    <row r="1823" spans="1:10" outlineLevel="2">
      <c r="A1823" s="2459" t="s">
        <v>1669</v>
      </c>
      <c r="B1823" s="2459" t="s">
        <v>1650</v>
      </c>
      <c r="C1823" s="2459" t="s">
        <v>1670</v>
      </c>
      <c r="D1823" s="2460" t="s">
        <v>1671</v>
      </c>
      <c r="E1823" s="2461" t="s">
        <v>213</v>
      </c>
      <c r="F1823" s="2461" t="s">
        <v>1498</v>
      </c>
      <c r="G1823" s="2461" t="s">
        <v>1439</v>
      </c>
      <c r="H1823" s="2461" t="s">
        <v>1440</v>
      </c>
      <c r="I1823" s="2462">
        <v>0.30164607924791476</v>
      </c>
      <c r="J1823" s="2462">
        <v>513.60364831539141</v>
      </c>
    </row>
    <row r="1824" spans="1:10" outlineLevel="2">
      <c r="A1824" s="2459" t="s">
        <v>1669</v>
      </c>
      <c r="B1824" s="2459" t="s">
        <v>1650</v>
      </c>
      <c r="C1824" s="2459" t="s">
        <v>1670</v>
      </c>
      <c r="D1824" s="2460" t="s">
        <v>1671</v>
      </c>
      <c r="E1824" s="2461" t="s">
        <v>213</v>
      </c>
      <c r="F1824" s="2461" t="s">
        <v>1501</v>
      </c>
      <c r="G1824" s="2461" t="s">
        <v>1439</v>
      </c>
      <c r="H1824" s="2461" t="s">
        <v>1440</v>
      </c>
      <c r="I1824" s="2462">
        <v>3.0046228262934613E-2</v>
      </c>
      <c r="J1824" s="2462">
        <v>43.880951832422483</v>
      </c>
    </row>
    <row r="1825" spans="1:10" outlineLevel="2">
      <c r="A1825" s="2459" t="s">
        <v>1669</v>
      </c>
      <c r="B1825" s="2459" t="s">
        <v>1650</v>
      </c>
      <c r="C1825" s="2459" t="s">
        <v>1670</v>
      </c>
      <c r="D1825" s="2460" t="s">
        <v>1671</v>
      </c>
      <c r="E1825" s="2461" t="s">
        <v>213</v>
      </c>
      <c r="F1825" s="2461" t="s">
        <v>1502</v>
      </c>
      <c r="G1825" s="2461" t="s">
        <v>1439</v>
      </c>
      <c r="H1825" s="2461" t="s">
        <v>1440</v>
      </c>
      <c r="I1825" s="2462">
        <v>4.5400329319513162E-2</v>
      </c>
      <c r="J1825" s="2462">
        <v>68.653922419229744</v>
      </c>
    </row>
    <row r="1826" spans="1:10" outlineLevel="2">
      <c r="A1826" s="2459" t="s">
        <v>1669</v>
      </c>
      <c r="B1826" s="2459" t="s">
        <v>1650</v>
      </c>
      <c r="C1826" s="2459" t="s">
        <v>1670</v>
      </c>
      <c r="D1826" s="2460" t="s">
        <v>1671</v>
      </c>
      <c r="E1826" s="2461" t="s">
        <v>213</v>
      </c>
      <c r="F1826" s="2461" t="s">
        <v>1503</v>
      </c>
      <c r="G1826" s="2461" t="s">
        <v>1439</v>
      </c>
      <c r="H1826" s="2461" t="s">
        <v>1440</v>
      </c>
      <c r="I1826" s="2462">
        <v>5.9898934293248593E-2</v>
      </c>
      <c r="J1826" s="2462">
        <v>77.709469378574383</v>
      </c>
    </row>
    <row r="1827" spans="1:10" outlineLevel="2">
      <c r="A1827" s="2459" t="s">
        <v>1669</v>
      </c>
      <c r="B1827" s="2459" t="s">
        <v>1650</v>
      </c>
      <c r="C1827" s="2459" t="s">
        <v>1670</v>
      </c>
      <c r="D1827" s="2460" t="s">
        <v>1671</v>
      </c>
      <c r="E1827" s="2461" t="s">
        <v>213</v>
      </c>
      <c r="F1827" s="2461" t="s">
        <v>1504</v>
      </c>
      <c r="G1827" s="2461" t="s">
        <v>1439</v>
      </c>
      <c r="H1827" s="2461" t="s">
        <v>1440</v>
      </c>
      <c r="I1827" s="2462">
        <v>3.0564133760441155E-2</v>
      </c>
      <c r="J1827" s="2462">
        <v>36.895992863163123</v>
      </c>
    </row>
    <row r="1828" spans="1:10" outlineLevel="2">
      <c r="A1828" s="2459" t="s">
        <v>1669</v>
      </c>
      <c r="B1828" s="2459" t="s">
        <v>1650</v>
      </c>
      <c r="C1828" s="2459" t="s">
        <v>1670</v>
      </c>
      <c r="D1828" s="2460" t="s">
        <v>1671</v>
      </c>
      <c r="E1828" s="2461" t="s">
        <v>213</v>
      </c>
      <c r="F1828" s="2461" t="s">
        <v>1505</v>
      </c>
      <c r="G1828" s="2461" t="s">
        <v>1439</v>
      </c>
      <c r="H1828" s="2461" t="s">
        <v>1440</v>
      </c>
      <c r="I1828" s="2462">
        <v>0.4018300806779182</v>
      </c>
      <c r="J1828" s="2462">
        <v>588.18844852623215</v>
      </c>
    </row>
    <row r="1829" spans="1:10" outlineLevel="2">
      <c r="A1829" s="2459" t="s">
        <v>1669</v>
      </c>
      <c r="B1829" s="2459" t="s">
        <v>1650</v>
      </c>
      <c r="C1829" s="2459" t="s">
        <v>1670</v>
      </c>
      <c r="D1829" s="2460" t="s">
        <v>1671</v>
      </c>
      <c r="E1829" s="2461" t="s">
        <v>213</v>
      </c>
      <c r="F1829" s="2461" t="s">
        <v>1506</v>
      </c>
      <c r="G1829" s="2461" t="s">
        <v>1439</v>
      </c>
      <c r="H1829" s="2461" t="s">
        <v>1440</v>
      </c>
      <c r="I1829" s="2462">
        <v>0.61685297751412393</v>
      </c>
      <c r="J1829" s="2462">
        <v>933.00936542388934</v>
      </c>
    </row>
    <row r="1830" spans="1:10" outlineLevel="2">
      <c r="A1830" s="2459" t="s">
        <v>1669</v>
      </c>
      <c r="B1830" s="2459" t="s">
        <v>1650</v>
      </c>
      <c r="C1830" s="2459" t="s">
        <v>1670</v>
      </c>
      <c r="D1830" s="2460" t="s">
        <v>1671</v>
      </c>
      <c r="E1830" s="2461" t="s">
        <v>213</v>
      </c>
      <c r="F1830" s="2461" t="s">
        <v>1507</v>
      </c>
      <c r="G1830" s="2461" t="s">
        <v>1439</v>
      </c>
      <c r="H1830" s="2461" t="s">
        <v>1440</v>
      </c>
      <c r="I1830" s="2462">
        <v>6.902524829005327E-2</v>
      </c>
      <c r="J1830" s="2462">
        <v>155.78820286372843</v>
      </c>
    </row>
    <row r="1831" spans="1:10" outlineLevel="2">
      <c r="A1831" s="2459" t="s">
        <v>1669</v>
      </c>
      <c r="B1831" s="2459" t="s">
        <v>1650</v>
      </c>
      <c r="C1831" s="2459" t="s">
        <v>1670</v>
      </c>
      <c r="D1831" s="2460" t="s">
        <v>1671</v>
      </c>
      <c r="E1831" s="2461" t="s">
        <v>213</v>
      </c>
      <c r="F1831" s="2461" t="s">
        <v>1508</v>
      </c>
      <c r="G1831" s="2461" t="s">
        <v>1439</v>
      </c>
      <c r="H1831" s="2461" t="s">
        <v>1440</v>
      </c>
      <c r="I1831" s="2462">
        <v>1.8999377110333187</v>
      </c>
      <c r="J1831" s="2462">
        <v>3011.8152084914468</v>
      </c>
    </row>
    <row r="1832" spans="1:10" outlineLevel="2">
      <c r="A1832" s="2459" t="s">
        <v>1669</v>
      </c>
      <c r="B1832" s="2459" t="s">
        <v>1650</v>
      </c>
      <c r="C1832" s="2459" t="s">
        <v>1670</v>
      </c>
      <c r="D1832" s="2460" t="s">
        <v>1671</v>
      </c>
      <c r="E1832" s="2461" t="s">
        <v>213</v>
      </c>
      <c r="F1832" s="2461" t="s">
        <v>1509</v>
      </c>
      <c r="G1832" s="2461" t="s">
        <v>1439</v>
      </c>
      <c r="H1832" s="2461" t="s">
        <v>1440</v>
      </c>
      <c r="I1832" s="2462">
        <v>1.829363737347971E-2</v>
      </c>
      <c r="J1832" s="2462">
        <v>20.90799719460696</v>
      </c>
    </row>
    <row r="1833" spans="1:10" outlineLevel="2">
      <c r="A1833" s="2459" t="s">
        <v>1669</v>
      </c>
      <c r="B1833" s="2459" t="s">
        <v>1650</v>
      </c>
      <c r="C1833" s="2459" t="s">
        <v>1670</v>
      </c>
      <c r="D1833" s="2460" t="s">
        <v>1671</v>
      </c>
      <c r="E1833" s="2461" t="s">
        <v>213</v>
      </c>
      <c r="F1833" s="2461" t="s">
        <v>1510</v>
      </c>
      <c r="G1833" s="2461" t="s">
        <v>1439</v>
      </c>
      <c r="H1833" s="2461" t="s">
        <v>1440</v>
      </c>
      <c r="I1833" s="2462">
        <v>7.9729552448916829E-2</v>
      </c>
      <c r="J1833" s="2462">
        <v>92.548034111233164</v>
      </c>
    </row>
    <row r="1834" spans="1:10" outlineLevel="2">
      <c r="A1834" s="2459" t="s">
        <v>1669</v>
      </c>
      <c r="B1834" s="2459" t="s">
        <v>1650</v>
      </c>
      <c r="C1834" s="2459" t="s">
        <v>1670</v>
      </c>
      <c r="D1834" s="2460" t="s">
        <v>1671</v>
      </c>
      <c r="E1834" s="2461" t="s">
        <v>213</v>
      </c>
      <c r="F1834" s="2461" t="s">
        <v>1511</v>
      </c>
      <c r="G1834" s="2461" t="s">
        <v>1418</v>
      </c>
      <c r="H1834" s="2461" t="s">
        <v>1452</v>
      </c>
      <c r="I1834" s="2462">
        <v>9.3605788078547083E-4</v>
      </c>
      <c r="J1834" s="2462">
        <v>1.3827972713696459</v>
      </c>
    </row>
    <row r="1835" spans="1:10" outlineLevel="2">
      <c r="A1835" s="2459" t="s">
        <v>1669</v>
      </c>
      <c r="B1835" s="2459" t="s">
        <v>1650</v>
      </c>
      <c r="C1835" s="2459" t="s">
        <v>1670</v>
      </c>
      <c r="D1835" s="2460" t="s">
        <v>1671</v>
      </c>
      <c r="E1835" s="2461" t="s">
        <v>213</v>
      </c>
      <c r="F1835" s="2461" t="s">
        <v>1512</v>
      </c>
      <c r="G1835" s="2461" t="s">
        <v>1418</v>
      </c>
      <c r="H1835" s="2461" t="s">
        <v>1452</v>
      </c>
      <c r="I1835" s="2462">
        <v>1.2250184504047248E-3</v>
      </c>
      <c r="J1835" s="2462">
        <v>5.3509270611947573</v>
      </c>
    </row>
    <row r="1836" spans="1:10" outlineLevel="2">
      <c r="A1836" s="2459" t="s">
        <v>1669</v>
      </c>
      <c r="B1836" s="2459" t="s">
        <v>1650</v>
      </c>
      <c r="C1836" s="2459" t="s">
        <v>1670</v>
      </c>
      <c r="D1836" s="2460" t="s">
        <v>1671</v>
      </c>
      <c r="E1836" s="2461" t="s">
        <v>213</v>
      </c>
      <c r="F1836" s="2461" t="s">
        <v>1513</v>
      </c>
      <c r="G1836" s="2461" t="s">
        <v>1418</v>
      </c>
      <c r="H1836" s="2461" t="s">
        <v>1452</v>
      </c>
      <c r="I1836" s="2462">
        <v>4.5705683144524772E-5</v>
      </c>
      <c r="J1836" s="2462">
        <v>4.292371856031231E-2</v>
      </c>
    </row>
    <row r="1837" spans="1:10" outlineLevel="2">
      <c r="A1837" s="2459" t="s">
        <v>1669</v>
      </c>
      <c r="B1837" s="2459" t="s">
        <v>1650</v>
      </c>
      <c r="C1837" s="2459" t="s">
        <v>1670</v>
      </c>
      <c r="D1837" s="2460" t="s">
        <v>1671</v>
      </c>
      <c r="E1837" s="2461" t="s">
        <v>213</v>
      </c>
      <c r="F1837" s="2461" t="s">
        <v>1514</v>
      </c>
      <c r="G1837" s="2461" t="s">
        <v>1418</v>
      </c>
      <c r="H1837" s="2461" t="s">
        <v>1452</v>
      </c>
      <c r="I1837" s="2462">
        <v>4.099725906344001E-3</v>
      </c>
      <c r="J1837" s="2462">
        <v>3.842519676074216</v>
      </c>
    </row>
    <row r="1838" spans="1:10" outlineLevel="2">
      <c r="A1838" s="2459" t="s">
        <v>1669</v>
      </c>
      <c r="B1838" s="2459" t="s">
        <v>1650</v>
      </c>
      <c r="C1838" s="2459" t="s">
        <v>1670</v>
      </c>
      <c r="D1838" s="2460" t="s">
        <v>1671</v>
      </c>
      <c r="E1838" s="2461" t="s">
        <v>213</v>
      </c>
      <c r="F1838" s="2461" t="s">
        <v>1515</v>
      </c>
      <c r="G1838" s="2461" t="s">
        <v>1418</v>
      </c>
      <c r="H1838" s="2461" t="s">
        <v>1452</v>
      </c>
      <c r="I1838" s="2462">
        <v>7.8754170822731609E-4</v>
      </c>
      <c r="J1838" s="2462">
        <v>1.1368695224277614</v>
      </c>
    </row>
    <row r="1839" spans="1:10" outlineLevel="2">
      <c r="A1839" s="2459" t="s">
        <v>1669</v>
      </c>
      <c r="B1839" s="2459" t="s">
        <v>1650</v>
      </c>
      <c r="C1839" s="2459" t="s">
        <v>1670</v>
      </c>
      <c r="D1839" s="2460" t="s">
        <v>1671</v>
      </c>
      <c r="E1839" s="2461" t="s">
        <v>213</v>
      </c>
      <c r="F1839" s="2461" t="s">
        <v>1516</v>
      </c>
      <c r="G1839" s="2461" t="s">
        <v>1418</v>
      </c>
      <c r="H1839" s="2461" t="s">
        <v>1452</v>
      </c>
      <c r="I1839" s="2462">
        <v>1.1256581098118602E-2</v>
      </c>
      <c r="J1839" s="2462">
        <v>12.596450256382855</v>
      </c>
    </row>
    <row r="1840" spans="1:10" outlineLevel="2">
      <c r="A1840" s="2459" t="s">
        <v>1669</v>
      </c>
      <c r="B1840" s="2459" t="s">
        <v>1650</v>
      </c>
      <c r="C1840" s="2459" t="s">
        <v>1670</v>
      </c>
      <c r="D1840" s="2460" t="s">
        <v>1671</v>
      </c>
      <c r="E1840" s="2461" t="s">
        <v>213</v>
      </c>
      <c r="F1840" s="2461" t="s">
        <v>1517</v>
      </c>
      <c r="G1840" s="2461" t="s">
        <v>1418</v>
      </c>
      <c r="H1840" s="2461" t="s">
        <v>1452</v>
      </c>
      <c r="I1840" s="2462">
        <v>5.7639001446127713E-2</v>
      </c>
      <c r="J1840" s="2462">
        <v>28.239950678877843</v>
      </c>
    </row>
    <row r="1841" spans="1:10" outlineLevel="2">
      <c r="A1841" s="2459" t="s">
        <v>1669</v>
      </c>
      <c r="B1841" s="2459" t="s">
        <v>1650</v>
      </c>
      <c r="C1841" s="2459" t="s">
        <v>1670</v>
      </c>
      <c r="D1841" s="2460" t="s">
        <v>1671</v>
      </c>
      <c r="E1841" s="2461" t="s">
        <v>213</v>
      </c>
      <c r="F1841" s="2461" t="s">
        <v>1518</v>
      </c>
      <c r="G1841" s="2461" t="s">
        <v>1418</v>
      </c>
      <c r="H1841" s="2461" t="s">
        <v>1452</v>
      </c>
      <c r="I1841" s="2462">
        <v>6.4927051049031206E-3</v>
      </c>
      <c r="J1841" s="2462">
        <v>6.0853704655832948</v>
      </c>
    </row>
    <row r="1842" spans="1:10" outlineLevel="2">
      <c r="A1842" s="2459" t="s">
        <v>1669</v>
      </c>
      <c r="B1842" s="2459" t="s">
        <v>1650</v>
      </c>
      <c r="C1842" s="2459" t="s">
        <v>1670</v>
      </c>
      <c r="D1842" s="2460" t="s">
        <v>1671</v>
      </c>
      <c r="E1842" s="2461" t="s">
        <v>213</v>
      </c>
      <c r="F1842" s="2461" t="s">
        <v>1519</v>
      </c>
      <c r="G1842" s="2461" t="s">
        <v>1418</v>
      </c>
      <c r="H1842" s="2461" t="s">
        <v>1452</v>
      </c>
      <c r="I1842" s="2462">
        <v>8.5230213579428823E-3</v>
      </c>
      <c r="J1842" s="2462">
        <v>8.6840430012552385</v>
      </c>
    </row>
    <row r="1843" spans="1:10" outlineLevel="2">
      <c r="A1843" s="2459" t="s">
        <v>1669</v>
      </c>
      <c r="B1843" s="2459" t="s">
        <v>1650</v>
      </c>
      <c r="C1843" s="2459" t="s">
        <v>1670</v>
      </c>
      <c r="D1843" s="2460" t="s">
        <v>1671</v>
      </c>
      <c r="E1843" s="2461" t="s">
        <v>213</v>
      </c>
      <c r="F1843" s="2461" t="s">
        <v>1520</v>
      </c>
      <c r="G1843" s="2461" t="s">
        <v>1418</v>
      </c>
      <c r="H1843" s="2461" t="s">
        <v>1452</v>
      </c>
      <c r="I1843" s="2462">
        <v>1.0206925013683265E-3</v>
      </c>
      <c r="J1843" s="2462">
        <v>9.2806900071127618</v>
      </c>
    </row>
    <row r="1844" spans="1:10" outlineLevel="2">
      <c r="A1844" s="2459" t="s">
        <v>1669</v>
      </c>
      <c r="B1844" s="2459" t="s">
        <v>1650</v>
      </c>
      <c r="C1844" s="2459" t="s">
        <v>1670</v>
      </c>
      <c r="D1844" s="2460" t="s">
        <v>1671</v>
      </c>
      <c r="E1844" s="2461" t="s">
        <v>213</v>
      </c>
      <c r="F1844" s="2461" t="s">
        <v>1521</v>
      </c>
      <c r="G1844" s="2461" t="s">
        <v>1421</v>
      </c>
      <c r="H1844" s="2461" t="s">
        <v>1454</v>
      </c>
      <c r="I1844" s="2462">
        <v>0.3040261650676882</v>
      </c>
      <c r="J1844" s="2462">
        <v>422.74671129277755</v>
      </c>
    </row>
    <row r="1845" spans="1:10" outlineLevel="2">
      <c r="A1845" s="2459" t="s">
        <v>1669</v>
      </c>
      <c r="B1845" s="2459" t="s">
        <v>1650</v>
      </c>
      <c r="C1845" s="2459" t="s">
        <v>1670</v>
      </c>
      <c r="D1845" s="2460" t="s">
        <v>1671</v>
      </c>
      <c r="E1845" s="2461" t="s">
        <v>213</v>
      </c>
      <c r="F1845" s="2461" t="s">
        <v>1522</v>
      </c>
      <c r="G1845" s="2461" t="s">
        <v>1421</v>
      </c>
      <c r="H1845" s="2461" t="s">
        <v>1454</v>
      </c>
      <c r="I1845" s="2462">
        <v>7.1413876971903739E-2</v>
      </c>
      <c r="J1845" s="2462">
        <v>105.7674433181032</v>
      </c>
    </row>
    <row r="1846" spans="1:10" outlineLevel="2">
      <c r="A1846" s="2459" t="s">
        <v>1669</v>
      </c>
      <c r="B1846" s="2459" t="s">
        <v>1650</v>
      </c>
      <c r="C1846" s="2459" t="s">
        <v>1670</v>
      </c>
      <c r="D1846" s="2460" t="s">
        <v>1671</v>
      </c>
      <c r="E1846" s="2461" t="s">
        <v>213</v>
      </c>
      <c r="F1846" s="2461" t="s">
        <v>1523</v>
      </c>
      <c r="G1846" s="2461" t="s">
        <v>1421</v>
      </c>
      <c r="H1846" s="2461" t="s">
        <v>1454</v>
      </c>
      <c r="I1846" s="2462">
        <v>3.2944512657965233E-2</v>
      </c>
      <c r="J1846" s="2462">
        <v>55.926337286681289</v>
      </c>
    </row>
    <row r="1847" spans="1:10" outlineLevel="2">
      <c r="A1847" s="2459" t="s">
        <v>1669</v>
      </c>
      <c r="B1847" s="2459" t="s">
        <v>1650</v>
      </c>
      <c r="C1847" s="2459" t="s">
        <v>1670</v>
      </c>
      <c r="D1847" s="2460" t="s">
        <v>1671</v>
      </c>
      <c r="E1847" s="2461" t="s">
        <v>213</v>
      </c>
      <c r="F1847" s="2461" t="s">
        <v>1524</v>
      </c>
      <c r="G1847" s="2461" t="s">
        <v>1421</v>
      </c>
      <c r="H1847" s="2461" t="s">
        <v>1454</v>
      </c>
      <c r="I1847" s="2462">
        <v>7.5910969181069432E-2</v>
      </c>
      <c r="J1847" s="2462">
        <v>120.22650614780157</v>
      </c>
    </row>
    <row r="1848" spans="1:10" outlineLevel="2">
      <c r="A1848" s="2459" t="s">
        <v>1669</v>
      </c>
      <c r="B1848" s="2459" t="s">
        <v>1650</v>
      </c>
      <c r="C1848" s="2459" t="s">
        <v>1670</v>
      </c>
      <c r="D1848" s="2460" t="s">
        <v>1671</v>
      </c>
      <c r="E1848" s="2461" t="s">
        <v>213</v>
      </c>
      <c r="F1848" s="2461" t="s">
        <v>1525</v>
      </c>
      <c r="G1848" s="2461" t="s">
        <v>1421</v>
      </c>
      <c r="H1848" s="2461" t="s">
        <v>1454</v>
      </c>
      <c r="I1848" s="2462">
        <v>0.13372635668949878</v>
      </c>
      <c r="J1848" s="2462">
        <v>189.95471734747846</v>
      </c>
    </row>
    <row r="1849" spans="1:10" outlineLevel="2">
      <c r="A1849" s="2459" t="s">
        <v>1669</v>
      </c>
      <c r="B1849" s="2459" t="s">
        <v>1650</v>
      </c>
      <c r="C1849" s="2459" t="s">
        <v>1670</v>
      </c>
      <c r="D1849" s="2460" t="s">
        <v>1671</v>
      </c>
      <c r="E1849" s="2461" t="s">
        <v>213</v>
      </c>
      <c r="F1849" s="2461" t="s">
        <v>1526</v>
      </c>
      <c r="G1849" s="2461" t="s">
        <v>1421</v>
      </c>
      <c r="H1849" s="2461" t="s">
        <v>1454</v>
      </c>
      <c r="I1849" s="2462">
        <v>6.1951923272655206E-3</v>
      </c>
      <c r="J1849" s="2462">
        <v>8.9123583035743348</v>
      </c>
    </row>
    <row r="1850" spans="1:10" outlineLevel="2">
      <c r="A1850" s="2459" t="s">
        <v>1669</v>
      </c>
      <c r="B1850" s="2459" t="s">
        <v>1650</v>
      </c>
      <c r="C1850" s="2459" t="s">
        <v>1670</v>
      </c>
      <c r="D1850" s="2460" t="s">
        <v>1671</v>
      </c>
      <c r="E1850" s="2461" t="s">
        <v>213</v>
      </c>
      <c r="F1850" s="2461" t="s">
        <v>1527</v>
      </c>
      <c r="G1850" s="2461" t="s">
        <v>1459</v>
      </c>
      <c r="H1850" s="2461" t="s">
        <v>1460</v>
      </c>
      <c r="I1850" s="2462">
        <v>2.9931766640182808E-2</v>
      </c>
      <c r="J1850" s="2462">
        <v>31.327848100570606</v>
      </c>
    </row>
    <row r="1851" spans="1:10" outlineLevel="2">
      <c r="A1851" s="2459" t="s">
        <v>1669</v>
      </c>
      <c r="B1851" s="2459" t="s">
        <v>1650</v>
      </c>
      <c r="C1851" s="2459" t="s">
        <v>1670</v>
      </c>
      <c r="D1851" s="2460" t="s">
        <v>1671</v>
      </c>
      <c r="E1851" s="2461" t="s">
        <v>213</v>
      </c>
      <c r="F1851" s="2461" t="s">
        <v>1528</v>
      </c>
      <c r="G1851" s="2461" t="s">
        <v>1459</v>
      </c>
      <c r="H1851" s="2461" t="s">
        <v>1460</v>
      </c>
      <c r="I1851" s="2462">
        <v>2.6053701550130058E-4</v>
      </c>
      <c r="J1851" s="2462">
        <v>0.33388120664640275</v>
      </c>
    </row>
    <row r="1852" spans="1:10" outlineLevel="2">
      <c r="A1852" s="2459" t="s">
        <v>1669</v>
      </c>
      <c r="B1852" s="2459" t="s">
        <v>1650</v>
      </c>
      <c r="C1852" s="2459" t="s">
        <v>1670</v>
      </c>
      <c r="D1852" s="2460" t="s">
        <v>1671</v>
      </c>
      <c r="E1852" s="2461" t="s">
        <v>213</v>
      </c>
      <c r="F1852" s="2461" t="s">
        <v>1529</v>
      </c>
      <c r="G1852" s="2461" t="s">
        <v>1530</v>
      </c>
      <c r="H1852" s="2461" t="s">
        <v>1531</v>
      </c>
      <c r="I1852" s="2462">
        <v>17.273917261284009</v>
      </c>
      <c r="J1852" s="2462">
        <v>14696.970310756786</v>
      </c>
    </row>
    <row r="1853" spans="1:10" outlineLevel="2">
      <c r="A1853" s="2459" t="s">
        <v>1669</v>
      </c>
      <c r="B1853" s="2459" t="s">
        <v>1650</v>
      </c>
      <c r="C1853" s="2459" t="s">
        <v>1670</v>
      </c>
      <c r="D1853" s="2460" t="s">
        <v>1671</v>
      </c>
      <c r="E1853" s="2461" t="s">
        <v>213</v>
      </c>
      <c r="F1853" s="2461" t="s">
        <v>1532</v>
      </c>
      <c r="G1853" s="2461" t="s">
        <v>1530</v>
      </c>
      <c r="H1853" s="2461" t="s">
        <v>1531</v>
      </c>
      <c r="I1853" s="2462">
        <v>7.2708111429543818</v>
      </c>
      <c r="J1853" s="2462">
        <v>6202.8034922948491</v>
      </c>
    </row>
    <row r="1854" spans="1:10" outlineLevel="2">
      <c r="A1854" s="2459" t="s">
        <v>1669</v>
      </c>
      <c r="B1854" s="2459" t="s">
        <v>1650</v>
      </c>
      <c r="C1854" s="2459" t="s">
        <v>1670</v>
      </c>
      <c r="D1854" s="2460" t="s">
        <v>1671</v>
      </c>
      <c r="E1854" s="2461" t="s">
        <v>213</v>
      </c>
      <c r="F1854" s="2461" t="s">
        <v>1533</v>
      </c>
      <c r="G1854" s="2461" t="s">
        <v>1534</v>
      </c>
      <c r="H1854" s="2461" t="s">
        <v>1531</v>
      </c>
      <c r="I1854" s="2462">
        <v>6.6782826608524521</v>
      </c>
      <c r="J1854" s="2462">
        <v>11235.864966298392</v>
      </c>
    </row>
    <row r="1855" spans="1:10" outlineLevel="2">
      <c r="A1855" s="2459" t="s">
        <v>1669</v>
      </c>
      <c r="B1855" s="2459" t="s">
        <v>1650</v>
      </c>
      <c r="C1855" s="2459" t="s">
        <v>1670</v>
      </c>
      <c r="D1855" s="2460" t="s">
        <v>1671</v>
      </c>
      <c r="E1855" s="2461" t="s">
        <v>1538</v>
      </c>
      <c r="F1855" s="2461" t="s">
        <v>1539</v>
      </c>
      <c r="G1855" s="2461" t="s">
        <v>1426</v>
      </c>
      <c r="H1855" s="2461" t="s">
        <v>1540</v>
      </c>
      <c r="I1855" s="2462">
        <v>1.2817695450120519E-3</v>
      </c>
      <c r="J1855" s="2462">
        <v>2.454651202521398</v>
      </c>
    </row>
    <row r="1856" spans="1:10" outlineLevel="2">
      <c r="A1856" s="2459" t="s">
        <v>1669</v>
      </c>
      <c r="B1856" s="2459" t="s">
        <v>1650</v>
      </c>
      <c r="C1856" s="2459" t="s">
        <v>1670</v>
      </c>
      <c r="D1856" s="2460" t="s">
        <v>1671</v>
      </c>
      <c r="E1856" s="2461" t="s">
        <v>1538</v>
      </c>
      <c r="F1856" s="2461" t="s">
        <v>1541</v>
      </c>
      <c r="G1856" s="2461" t="s">
        <v>1409</v>
      </c>
      <c r="H1856" s="2461" t="s">
        <v>1540</v>
      </c>
      <c r="I1856" s="2462">
        <v>7.3284138986537542E-5</v>
      </c>
      <c r="J1856" s="2462">
        <v>0.34113728108216607</v>
      </c>
    </row>
    <row r="1857" spans="1:10" outlineLevel="2">
      <c r="A1857" s="2459" t="s">
        <v>1669</v>
      </c>
      <c r="B1857" s="2459" t="s">
        <v>1650</v>
      </c>
      <c r="C1857" s="2459" t="s">
        <v>1670</v>
      </c>
      <c r="D1857" s="2460" t="s">
        <v>1671</v>
      </c>
      <c r="E1857" s="2461" t="s">
        <v>1538</v>
      </c>
      <c r="F1857" s="2461" t="s">
        <v>1542</v>
      </c>
      <c r="G1857" s="2461" t="s">
        <v>1409</v>
      </c>
      <c r="H1857" s="2461" t="s">
        <v>1540</v>
      </c>
      <c r="I1857" s="2462">
        <v>3.93046344619772E-5</v>
      </c>
      <c r="J1857" s="2462">
        <v>0.57050128022890645</v>
      </c>
    </row>
    <row r="1858" spans="1:10" outlineLevel="2">
      <c r="A1858" s="2459" t="s">
        <v>1669</v>
      </c>
      <c r="B1858" s="2459" t="s">
        <v>1650</v>
      </c>
      <c r="C1858" s="2459" t="s">
        <v>1670</v>
      </c>
      <c r="D1858" s="2460" t="s">
        <v>1671</v>
      </c>
      <c r="E1858" s="2461" t="s">
        <v>1538</v>
      </c>
      <c r="F1858" s="2461" t="s">
        <v>1543</v>
      </c>
      <c r="G1858" s="2461" t="s">
        <v>1409</v>
      </c>
      <c r="H1858" s="2461" t="s">
        <v>1540</v>
      </c>
      <c r="I1858" s="2462">
        <v>5.8275238431105826E-5</v>
      </c>
      <c r="J1858" s="2462">
        <v>0.10074999669001948</v>
      </c>
    </row>
    <row r="1859" spans="1:10" outlineLevel="2">
      <c r="A1859" s="2459" t="s">
        <v>1669</v>
      </c>
      <c r="B1859" s="2459" t="s">
        <v>1650</v>
      </c>
      <c r="C1859" s="2459" t="s">
        <v>1670</v>
      </c>
      <c r="D1859" s="2460" t="s">
        <v>1671</v>
      </c>
      <c r="E1859" s="2461" t="s">
        <v>1538</v>
      </c>
      <c r="F1859" s="2461" t="s">
        <v>1544</v>
      </c>
      <c r="G1859" s="2461" t="s">
        <v>1409</v>
      </c>
      <c r="H1859" s="2461" t="s">
        <v>1540</v>
      </c>
      <c r="I1859" s="2462">
        <v>1.0668983159579724E-5</v>
      </c>
      <c r="J1859" s="2462">
        <v>5.8409365276169772E-2</v>
      </c>
    </row>
    <row r="1860" spans="1:10" outlineLevel="2">
      <c r="A1860" s="2459" t="s">
        <v>1669</v>
      </c>
      <c r="B1860" s="2459" t="s">
        <v>1650</v>
      </c>
      <c r="C1860" s="2459" t="s">
        <v>1670</v>
      </c>
      <c r="D1860" s="2460" t="s">
        <v>1671</v>
      </c>
      <c r="E1860" s="2461" t="s">
        <v>1538</v>
      </c>
      <c r="F1860" s="2461" t="s">
        <v>1545</v>
      </c>
      <c r="G1860" s="2461" t="s">
        <v>1409</v>
      </c>
      <c r="H1860" s="2461" t="s">
        <v>1540</v>
      </c>
      <c r="I1860" s="2462">
        <v>2.3614158201989559E-4</v>
      </c>
      <c r="J1860" s="2462">
        <v>1.0550060606095584</v>
      </c>
    </row>
    <row r="1861" spans="1:10" outlineLevel="2">
      <c r="A1861" s="2459" t="s">
        <v>1669</v>
      </c>
      <c r="B1861" s="2459" t="s">
        <v>1650</v>
      </c>
      <c r="C1861" s="2459" t="s">
        <v>1670</v>
      </c>
      <c r="D1861" s="2460" t="s">
        <v>1671</v>
      </c>
      <c r="E1861" s="2461" t="s">
        <v>1538</v>
      </c>
      <c r="F1861" s="2461" t="s">
        <v>1546</v>
      </c>
      <c r="G1861" s="2461" t="s">
        <v>1409</v>
      </c>
      <c r="H1861" s="2461" t="s">
        <v>1540</v>
      </c>
      <c r="I1861" s="2462">
        <v>4.5169643629244165E-4</v>
      </c>
      <c r="J1861" s="2462">
        <v>0.52990723883615309</v>
      </c>
    </row>
    <row r="1862" spans="1:10" outlineLevel="2">
      <c r="A1862" s="2459" t="s">
        <v>1669</v>
      </c>
      <c r="B1862" s="2459" t="s">
        <v>1650</v>
      </c>
      <c r="C1862" s="2459" t="s">
        <v>1670</v>
      </c>
      <c r="D1862" s="2460" t="s">
        <v>1671</v>
      </c>
      <c r="E1862" s="2461" t="s">
        <v>1538</v>
      </c>
      <c r="F1862" s="2461" t="s">
        <v>1547</v>
      </c>
      <c r="G1862" s="2461" t="s">
        <v>1409</v>
      </c>
      <c r="H1862" s="2461" t="s">
        <v>1540</v>
      </c>
      <c r="I1862" s="2462">
        <v>4.9060177580211842E-5</v>
      </c>
      <c r="J1862" s="2462">
        <v>0.97607504621302366</v>
      </c>
    </row>
    <row r="1863" spans="1:10" outlineLevel="2">
      <c r="A1863" s="2459" t="s">
        <v>1669</v>
      </c>
      <c r="B1863" s="2459" t="s">
        <v>1650</v>
      </c>
      <c r="C1863" s="2459" t="s">
        <v>1670</v>
      </c>
      <c r="D1863" s="2460" t="s">
        <v>1671</v>
      </c>
      <c r="E1863" s="2461" t="s">
        <v>1538</v>
      </c>
      <c r="F1863" s="2461" t="s">
        <v>1548</v>
      </c>
      <c r="G1863" s="2461" t="s">
        <v>1409</v>
      </c>
      <c r="H1863" s="2461" t="s">
        <v>1540</v>
      </c>
      <c r="I1863" s="2462">
        <v>2.2770077504297864E-4</v>
      </c>
      <c r="J1863" s="2462">
        <v>0.39771867309409326</v>
      </c>
    </row>
    <row r="1864" spans="1:10" outlineLevel="2">
      <c r="A1864" s="2459" t="s">
        <v>1669</v>
      </c>
      <c r="B1864" s="2459" t="s">
        <v>1650</v>
      </c>
      <c r="C1864" s="2459" t="s">
        <v>1670</v>
      </c>
      <c r="D1864" s="2460" t="s">
        <v>1671</v>
      </c>
      <c r="E1864" s="2461" t="s">
        <v>1538</v>
      </c>
      <c r="F1864" s="2461" t="s">
        <v>1549</v>
      </c>
      <c r="G1864" s="2461" t="s">
        <v>1409</v>
      </c>
      <c r="H1864" s="2461" t="s">
        <v>1540</v>
      </c>
      <c r="I1864" s="2462">
        <v>3.4038641317751415E-5</v>
      </c>
      <c r="J1864" s="2462">
        <v>6.5186109761606173E-2</v>
      </c>
    </row>
    <row r="1865" spans="1:10" outlineLevel="2">
      <c r="A1865" s="2459" t="s">
        <v>1669</v>
      </c>
      <c r="B1865" s="2459" t="s">
        <v>1650</v>
      </c>
      <c r="C1865" s="2459" t="s">
        <v>1670</v>
      </c>
      <c r="D1865" s="2460" t="s">
        <v>1671</v>
      </c>
      <c r="E1865" s="2461" t="s">
        <v>1538</v>
      </c>
      <c r="F1865" s="2461" t="s">
        <v>1550</v>
      </c>
      <c r="G1865" s="2461" t="s">
        <v>1409</v>
      </c>
      <c r="H1865" s="2461" t="s">
        <v>1540</v>
      </c>
      <c r="I1865" s="2462">
        <v>1.8654913484941879E-4</v>
      </c>
      <c r="J1865" s="2462">
        <v>0.67782181607806935</v>
      </c>
    </row>
    <row r="1866" spans="1:10" outlineLevel="2">
      <c r="A1866" s="2459" t="s">
        <v>1669</v>
      </c>
      <c r="B1866" s="2459" t="s">
        <v>1650</v>
      </c>
      <c r="C1866" s="2459" t="s">
        <v>1670</v>
      </c>
      <c r="D1866" s="2460" t="s">
        <v>1671</v>
      </c>
      <c r="E1866" s="2461" t="s">
        <v>1538</v>
      </c>
      <c r="F1866" s="2461" t="s">
        <v>1551</v>
      </c>
      <c r="G1866" s="2461" t="s">
        <v>1409</v>
      </c>
      <c r="H1866" s="2461" t="s">
        <v>1540</v>
      </c>
      <c r="I1866" s="2462">
        <v>1.5368608804864985E-4</v>
      </c>
      <c r="J1866" s="2462">
        <v>1.6367909159273604</v>
      </c>
    </row>
    <row r="1867" spans="1:10" outlineLevel="2">
      <c r="A1867" s="2459" t="s">
        <v>1669</v>
      </c>
      <c r="B1867" s="2459" t="s">
        <v>1650</v>
      </c>
      <c r="C1867" s="2459" t="s">
        <v>1670</v>
      </c>
      <c r="D1867" s="2460" t="s">
        <v>1671</v>
      </c>
      <c r="E1867" s="2461" t="s">
        <v>1538</v>
      </c>
      <c r="F1867" s="2461" t="s">
        <v>1552</v>
      </c>
      <c r="G1867" s="2461" t="s">
        <v>1409</v>
      </c>
      <c r="H1867" s="2461" t="s">
        <v>1540</v>
      </c>
      <c r="I1867" s="2462">
        <v>1.0814048407937884E-5</v>
      </c>
      <c r="J1867" s="2462">
        <v>0.17221180899509045</v>
      </c>
    </row>
    <row r="1868" spans="1:10" outlineLevel="2">
      <c r="A1868" s="2459" t="s">
        <v>1669</v>
      </c>
      <c r="B1868" s="2459" t="s">
        <v>1650</v>
      </c>
      <c r="C1868" s="2459" t="s">
        <v>1670</v>
      </c>
      <c r="D1868" s="2460" t="s">
        <v>1671</v>
      </c>
      <c r="E1868" s="2461" t="s">
        <v>1538</v>
      </c>
      <c r="F1868" s="2461" t="s">
        <v>1553</v>
      </c>
      <c r="G1868" s="2461" t="s">
        <v>1409</v>
      </c>
      <c r="H1868" s="2461" t="s">
        <v>1540</v>
      </c>
      <c r="I1868" s="2462">
        <v>8.0196661202275852E-4</v>
      </c>
      <c r="J1868" s="2462">
        <v>1.4743383459063939</v>
      </c>
    </row>
    <row r="1869" spans="1:10" outlineLevel="2">
      <c r="A1869" s="2459" t="s">
        <v>1669</v>
      </c>
      <c r="B1869" s="2459" t="s">
        <v>1650</v>
      </c>
      <c r="C1869" s="2459" t="s">
        <v>1670</v>
      </c>
      <c r="D1869" s="2460" t="s">
        <v>1671</v>
      </c>
      <c r="E1869" s="2461" t="s">
        <v>1538</v>
      </c>
      <c r="F1869" s="2461" t="s">
        <v>1554</v>
      </c>
      <c r="G1869" s="2461" t="s">
        <v>1409</v>
      </c>
      <c r="H1869" s="2461" t="s">
        <v>1540</v>
      </c>
      <c r="I1869" s="2462">
        <v>4.4701554233881664E-4</v>
      </c>
      <c r="J1869" s="2462">
        <v>0.61873883905306803</v>
      </c>
    </row>
    <row r="1870" spans="1:10" outlineLevel="2">
      <c r="A1870" s="2459" t="s">
        <v>1669</v>
      </c>
      <c r="B1870" s="2459" t="s">
        <v>1650</v>
      </c>
      <c r="C1870" s="2459" t="s">
        <v>1670</v>
      </c>
      <c r="D1870" s="2460" t="s">
        <v>1671</v>
      </c>
      <c r="E1870" s="2461" t="s">
        <v>1538</v>
      </c>
      <c r="F1870" s="2461" t="s">
        <v>1555</v>
      </c>
      <c r="G1870" s="2461" t="s">
        <v>1412</v>
      </c>
      <c r="H1870" s="2461" t="s">
        <v>1540</v>
      </c>
      <c r="I1870" s="2462">
        <v>8.6826455973610817E-3</v>
      </c>
      <c r="J1870" s="2462">
        <v>26.72856004749918</v>
      </c>
    </row>
    <row r="1871" spans="1:10" outlineLevel="2">
      <c r="A1871" s="2459" t="s">
        <v>1669</v>
      </c>
      <c r="B1871" s="2459" t="s">
        <v>1650</v>
      </c>
      <c r="C1871" s="2459" t="s">
        <v>1670</v>
      </c>
      <c r="D1871" s="2460" t="s">
        <v>1671</v>
      </c>
      <c r="E1871" s="2461" t="s">
        <v>1538</v>
      </c>
      <c r="F1871" s="2461" t="s">
        <v>1556</v>
      </c>
      <c r="G1871" s="2461" t="s">
        <v>1412</v>
      </c>
      <c r="H1871" s="2461" t="s">
        <v>1540</v>
      </c>
      <c r="I1871" s="2462">
        <v>0.1726167800026312</v>
      </c>
      <c r="J1871" s="2462">
        <v>2431.2547740010941</v>
      </c>
    </row>
    <row r="1872" spans="1:10" outlineLevel="2">
      <c r="A1872" s="2459" t="s">
        <v>1669</v>
      </c>
      <c r="B1872" s="2459" t="s">
        <v>1650</v>
      </c>
      <c r="C1872" s="2459" t="s">
        <v>1670</v>
      </c>
      <c r="D1872" s="2460" t="s">
        <v>1671</v>
      </c>
      <c r="E1872" s="2461" t="s">
        <v>1538</v>
      </c>
      <c r="F1872" s="2461" t="s">
        <v>1557</v>
      </c>
      <c r="G1872" s="2461" t="s">
        <v>1412</v>
      </c>
      <c r="H1872" s="2461" t="s">
        <v>1540</v>
      </c>
      <c r="I1872" s="2462">
        <v>1.0276744543948619E-3</v>
      </c>
      <c r="J1872" s="2462">
        <v>18.111917550994679</v>
      </c>
    </row>
    <row r="1873" spans="1:10" outlineLevel="2">
      <c r="A1873" s="2459" t="s">
        <v>1669</v>
      </c>
      <c r="B1873" s="2459" t="s">
        <v>1650</v>
      </c>
      <c r="C1873" s="2459" t="s">
        <v>1670</v>
      </c>
      <c r="D1873" s="2460" t="s">
        <v>1671</v>
      </c>
      <c r="E1873" s="2461" t="s">
        <v>1538</v>
      </c>
      <c r="F1873" s="2461" t="s">
        <v>1558</v>
      </c>
      <c r="G1873" s="2461" t="s">
        <v>1412</v>
      </c>
      <c r="H1873" s="2461" t="s">
        <v>1540</v>
      </c>
      <c r="I1873" s="2462">
        <v>3.4377748145593092E-4</v>
      </c>
      <c r="J1873" s="2462">
        <v>5.713143341281266</v>
      </c>
    </row>
    <row r="1874" spans="1:10" outlineLevel="2">
      <c r="A1874" s="2459" t="s">
        <v>1669</v>
      </c>
      <c r="B1874" s="2459" t="s">
        <v>1650</v>
      </c>
      <c r="C1874" s="2459" t="s">
        <v>1670</v>
      </c>
      <c r="D1874" s="2460" t="s">
        <v>1671</v>
      </c>
      <c r="E1874" s="2461" t="s">
        <v>1538</v>
      </c>
      <c r="F1874" s="2461" t="s">
        <v>1559</v>
      </c>
      <c r="G1874" s="2461" t="s">
        <v>1412</v>
      </c>
      <c r="H1874" s="2461" t="s">
        <v>1540</v>
      </c>
      <c r="I1874" s="2462">
        <v>3.6706874194565521E-4</v>
      </c>
      <c r="J1874" s="2462">
        <v>1.4109755136996187</v>
      </c>
    </row>
    <row r="1875" spans="1:10" outlineLevel="2">
      <c r="A1875" s="2459" t="s">
        <v>1669</v>
      </c>
      <c r="B1875" s="2459" t="s">
        <v>1650</v>
      </c>
      <c r="C1875" s="2459" t="s">
        <v>1670</v>
      </c>
      <c r="D1875" s="2460" t="s">
        <v>1671</v>
      </c>
      <c r="E1875" s="2461" t="s">
        <v>1538</v>
      </c>
      <c r="F1875" s="2461" t="s">
        <v>1560</v>
      </c>
      <c r="G1875" s="2461" t="s">
        <v>1412</v>
      </c>
      <c r="H1875" s="2461" t="s">
        <v>1540</v>
      </c>
      <c r="I1875" s="2462">
        <v>5.1522647601192262E-4</v>
      </c>
      <c r="J1875" s="2462">
        <v>11.221169147173807</v>
      </c>
    </row>
    <row r="1876" spans="1:10" outlineLevel="2">
      <c r="A1876" s="2459" t="s">
        <v>1669</v>
      </c>
      <c r="B1876" s="2459" t="s">
        <v>1650</v>
      </c>
      <c r="C1876" s="2459" t="s">
        <v>1670</v>
      </c>
      <c r="D1876" s="2460" t="s">
        <v>1671</v>
      </c>
      <c r="E1876" s="2461" t="s">
        <v>1538</v>
      </c>
      <c r="F1876" s="2461" t="s">
        <v>1561</v>
      </c>
      <c r="G1876" s="2461" t="s">
        <v>1439</v>
      </c>
      <c r="H1876" s="2461" t="s">
        <v>1540</v>
      </c>
      <c r="I1876" s="2462">
        <v>3.3883587814841705E-3</v>
      </c>
      <c r="J1876" s="2462">
        <v>51.348209642647312</v>
      </c>
    </row>
    <row r="1877" spans="1:10" outlineLevel="2">
      <c r="A1877" s="2459" t="s">
        <v>1669</v>
      </c>
      <c r="B1877" s="2459" t="s">
        <v>1650</v>
      </c>
      <c r="C1877" s="2459" t="s">
        <v>1670</v>
      </c>
      <c r="D1877" s="2460" t="s">
        <v>1671</v>
      </c>
      <c r="E1877" s="2461" t="s">
        <v>1538</v>
      </c>
      <c r="F1877" s="2461" t="s">
        <v>1562</v>
      </c>
      <c r="G1877" s="2461" t="s">
        <v>1418</v>
      </c>
      <c r="H1877" s="2461" t="s">
        <v>1540</v>
      </c>
      <c r="I1877" s="2462">
        <v>4.3537203037718101E-5</v>
      </c>
      <c r="J1877" s="2462">
        <v>5.4860444731666395E-2</v>
      </c>
    </row>
    <row r="1878" spans="1:10" outlineLevel="2">
      <c r="A1878" s="2459" t="s">
        <v>1669</v>
      </c>
      <c r="B1878" s="2459" t="s">
        <v>1650</v>
      </c>
      <c r="C1878" s="2459" t="s">
        <v>1670</v>
      </c>
      <c r="D1878" s="2460" t="s">
        <v>1671</v>
      </c>
      <c r="E1878" s="2461" t="s">
        <v>1538</v>
      </c>
      <c r="F1878" s="2461" t="s">
        <v>1563</v>
      </c>
      <c r="G1878" s="2461" t="s">
        <v>1418</v>
      </c>
      <c r="H1878" s="2461" t="s">
        <v>1540</v>
      </c>
      <c r="I1878" s="2462">
        <v>6.3081415980443838E-6</v>
      </c>
      <c r="J1878" s="2462">
        <v>0.10685271142670255</v>
      </c>
    </row>
    <row r="1879" spans="1:10" outlineLevel="2">
      <c r="A1879" s="2459" t="s">
        <v>1669</v>
      </c>
      <c r="B1879" s="2459" t="s">
        <v>1650</v>
      </c>
      <c r="C1879" s="2459" t="s">
        <v>1670</v>
      </c>
      <c r="D1879" s="2460" t="s">
        <v>1671</v>
      </c>
      <c r="E1879" s="2461" t="s">
        <v>1538</v>
      </c>
      <c r="F1879" s="2461" t="s">
        <v>1564</v>
      </c>
      <c r="G1879" s="2461" t="s">
        <v>1421</v>
      </c>
      <c r="H1879" s="2461" t="s">
        <v>1540</v>
      </c>
      <c r="I1879" s="2462">
        <v>1.6546175177761524E-2</v>
      </c>
      <c r="J1879" s="2462">
        <v>40.626196098134209</v>
      </c>
    </row>
    <row r="1880" spans="1:10" outlineLevel="2">
      <c r="A1880" s="2459" t="s">
        <v>1669</v>
      </c>
      <c r="B1880" s="2459" t="s">
        <v>1650</v>
      </c>
      <c r="C1880" s="2459" t="s">
        <v>1670</v>
      </c>
      <c r="D1880" s="2460" t="s">
        <v>1671</v>
      </c>
      <c r="E1880" s="2461" t="s">
        <v>1538</v>
      </c>
      <c r="F1880" s="2461" t="s">
        <v>1565</v>
      </c>
      <c r="G1880" s="2461" t="s">
        <v>1421</v>
      </c>
      <c r="H1880" s="2461" t="s">
        <v>1540</v>
      </c>
      <c r="I1880" s="2462">
        <v>1.9469269987446055E-3</v>
      </c>
      <c r="J1880" s="2462">
        <v>8.8925600257706048</v>
      </c>
    </row>
    <row r="1881" spans="1:10" outlineLevel="2">
      <c r="A1881" s="2459" t="s">
        <v>1669</v>
      </c>
      <c r="B1881" s="2459" t="s">
        <v>1650</v>
      </c>
      <c r="C1881" s="2459" t="s">
        <v>1670</v>
      </c>
      <c r="D1881" s="2460" t="s">
        <v>1671</v>
      </c>
      <c r="E1881" s="2461" t="s">
        <v>1538</v>
      </c>
      <c r="F1881" s="2461" t="s">
        <v>1566</v>
      </c>
      <c r="G1881" s="2461" t="s">
        <v>1421</v>
      </c>
      <c r="H1881" s="2461" t="s">
        <v>1540</v>
      </c>
      <c r="I1881" s="2462">
        <v>1.0151449050218768E-3</v>
      </c>
      <c r="J1881" s="2462">
        <v>10.38360984415044</v>
      </c>
    </row>
    <row r="1882" spans="1:10" outlineLevel="2">
      <c r="A1882" s="2459" t="s">
        <v>1669</v>
      </c>
      <c r="B1882" s="2459" t="s">
        <v>1650</v>
      </c>
      <c r="C1882" s="2459" t="s">
        <v>1670</v>
      </c>
      <c r="D1882" s="2460" t="s">
        <v>1671</v>
      </c>
      <c r="E1882" s="2461" t="s">
        <v>1538</v>
      </c>
      <c r="F1882" s="2461" t="s">
        <v>1567</v>
      </c>
      <c r="G1882" s="2461" t="s">
        <v>1421</v>
      </c>
      <c r="H1882" s="2461" t="s">
        <v>1540</v>
      </c>
      <c r="I1882" s="2462">
        <v>1.6805664648411602E-3</v>
      </c>
      <c r="J1882" s="2462">
        <v>12.905315748970628</v>
      </c>
    </row>
    <row r="1883" spans="1:10" outlineLevel="2">
      <c r="A1883" s="2459" t="s">
        <v>1669</v>
      </c>
      <c r="B1883" s="2459" t="s">
        <v>1650</v>
      </c>
      <c r="C1883" s="2459" t="s">
        <v>1670</v>
      </c>
      <c r="D1883" s="2460" t="s">
        <v>1671</v>
      </c>
      <c r="E1883" s="2461" t="s">
        <v>1538</v>
      </c>
      <c r="F1883" s="2461" t="s">
        <v>1568</v>
      </c>
      <c r="G1883" s="2461" t="s">
        <v>1421</v>
      </c>
      <c r="H1883" s="2461" t="s">
        <v>1540</v>
      </c>
      <c r="I1883" s="2462">
        <v>5.8174719747208694E-5</v>
      </c>
      <c r="J1883" s="2462">
        <v>0.17551935399120802</v>
      </c>
    </row>
    <row r="1884" spans="1:10" outlineLevel="2">
      <c r="A1884" s="2459" t="s">
        <v>1669</v>
      </c>
      <c r="B1884" s="2459" t="s">
        <v>1650</v>
      </c>
      <c r="C1884" s="2459" t="s">
        <v>1670</v>
      </c>
      <c r="D1884" s="2460" t="s">
        <v>1671</v>
      </c>
      <c r="E1884" s="2461" t="s">
        <v>1538</v>
      </c>
      <c r="F1884" s="2461" t="s">
        <v>1569</v>
      </c>
      <c r="G1884" s="2461" t="s">
        <v>1421</v>
      </c>
      <c r="H1884" s="2461" t="s">
        <v>1540</v>
      </c>
      <c r="I1884" s="2462">
        <v>1.3790205213420792E-5</v>
      </c>
      <c r="J1884" s="2462">
        <v>0.15935640979385557</v>
      </c>
    </row>
    <row r="1885" spans="1:10" outlineLevel="2">
      <c r="A1885" s="2459" t="s">
        <v>1669</v>
      </c>
      <c r="B1885" s="2459" t="s">
        <v>1650</v>
      </c>
      <c r="C1885" s="2459" t="s">
        <v>1670</v>
      </c>
      <c r="D1885" s="2460" t="s">
        <v>1671</v>
      </c>
      <c r="E1885" s="2461" t="s">
        <v>1400</v>
      </c>
      <c r="F1885" s="2461" t="s">
        <v>1571</v>
      </c>
      <c r="G1885" s="2461" t="s">
        <v>215</v>
      </c>
      <c r="H1885" s="2461" t="s">
        <v>1531</v>
      </c>
      <c r="I1885" s="2462">
        <v>0.23721707916091839</v>
      </c>
      <c r="J1885" s="2462">
        <v>8537.6288992892496</v>
      </c>
    </row>
    <row r="1886" spans="1:10" outlineLevel="2">
      <c r="A1886" s="2459" t="s">
        <v>1669</v>
      </c>
      <c r="B1886" s="2459" t="s">
        <v>1650</v>
      </c>
      <c r="C1886" s="2459" t="s">
        <v>1670</v>
      </c>
      <c r="D1886" s="2460" t="s">
        <v>1671</v>
      </c>
      <c r="E1886" s="2461" t="s">
        <v>1400</v>
      </c>
      <c r="F1886" s="2461" t="s">
        <v>1572</v>
      </c>
      <c r="G1886" s="2461" t="s">
        <v>215</v>
      </c>
      <c r="H1886" s="2461" t="s">
        <v>1531</v>
      </c>
      <c r="I1886" s="2462">
        <v>1.5330682302948826E-3</v>
      </c>
      <c r="J1886" s="2462">
        <v>29.081440259078835</v>
      </c>
    </row>
    <row r="1887" spans="1:10" outlineLevel="2">
      <c r="A1887" s="2459" t="s">
        <v>1669</v>
      </c>
      <c r="B1887" s="2459" t="s">
        <v>1650</v>
      </c>
      <c r="C1887" s="2459" t="s">
        <v>1670</v>
      </c>
      <c r="D1887" s="2460" t="s">
        <v>1671</v>
      </c>
      <c r="E1887" s="2461" t="s">
        <v>1573</v>
      </c>
      <c r="F1887" s="2461" t="s">
        <v>1574</v>
      </c>
      <c r="G1887" s="2461" t="s">
        <v>1426</v>
      </c>
      <c r="H1887" s="2461" t="s">
        <v>1427</v>
      </c>
      <c r="I1887" s="2462">
        <v>1.5539089553653638E-3</v>
      </c>
      <c r="J1887" s="2462">
        <v>38.414824979931232</v>
      </c>
    </row>
    <row r="1888" spans="1:10" outlineLevel="2">
      <c r="A1888" s="2459" t="s">
        <v>1669</v>
      </c>
      <c r="B1888" s="2459" t="s">
        <v>1650</v>
      </c>
      <c r="C1888" s="2459" t="s">
        <v>1670</v>
      </c>
      <c r="D1888" s="2460" t="s">
        <v>1671</v>
      </c>
      <c r="E1888" s="2461" t="s">
        <v>1573</v>
      </c>
      <c r="F1888" s="2461" t="s">
        <v>1575</v>
      </c>
      <c r="G1888" s="2461" t="s">
        <v>1409</v>
      </c>
      <c r="H1888" s="2461" t="s">
        <v>1070</v>
      </c>
      <c r="I1888" s="2462">
        <v>6.9958049743840025E-4</v>
      </c>
      <c r="J1888" s="2462">
        <v>40.799834760429874</v>
      </c>
    </row>
    <row r="1889" spans="1:10" outlineLevel="2">
      <c r="A1889" s="2459" t="s">
        <v>1669</v>
      </c>
      <c r="B1889" s="2459" t="s">
        <v>1650</v>
      </c>
      <c r="C1889" s="2459" t="s">
        <v>1670</v>
      </c>
      <c r="D1889" s="2460" t="s">
        <v>1671</v>
      </c>
      <c r="E1889" s="2461" t="s">
        <v>1573</v>
      </c>
      <c r="F1889" s="2461" t="s">
        <v>1576</v>
      </c>
      <c r="G1889" s="2461" t="s">
        <v>1409</v>
      </c>
      <c r="H1889" s="2461" t="s">
        <v>1070</v>
      </c>
      <c r="I1889" s="2462">
        <v>6.015202161065513E-6</v>
      </c>
      <c r="J1889" s="2462">
        <v>6.6441664379345566E-2</v>
      </c>
    </row>
    <row r="1890" spans="1:10" outlineLevel="2">
      <c r="A1890" s="2459" t="s">
        <v>1669</v>
      </c>
      <c r="B1890" s="2459" t="s">
        <v>1650</v>
      </c>
      <c r="C1890" s="2459" t="s">
        <v>1670</v>
      </c>
      <c r="D1890" s="2460" t="s">
        <v>1671</v>
      </c>
      <c r="E1890" s="2461" t="s">
        <v>1573</v>
      </c>
      <c r="F1890" s="2461" t="s">
        <v>1577</v>
      </c>
      <c r="G1890" s="2461" t="s">
        <v>1409</v>
      </c>
      <c r="H1890" s="2461" t="s">
        <v>1070</v>
      </c>
      <c r="I1890" s="2462">
        <v>8.7235885273834098E-5</v>
      </c>
      <c r="J1890" s="2462">
        <v>1.0944750492847157</v>
      </c>
    </row>
    <row r="1891" spans="1:10" outlineLevel="2">
      <c r="A1891" s="2459" t="s">
        <v>1669</v>
      </c>
      <c r="B1891" s="2459" t="s">
        <v>1650</v>
      </c>
      <c r="C1891" s="2459" t="s">
        <v>1670</v>
      </c>
      <c r="D1891" s="2460" t="s">
        <v>1671</v>
      </c>
      <c r="E1891" s="2461" t="s">
        <v>1573</v>
      </c>
      <c r="F1891" s="2461" t="s">
        <v>1578</v>
      </c>
      <c r="G1891" s="2461" t="s">
        <v>1409</v>
      </c>
      <c r="H1891" s="2461" t="s">
        <v>1070</v>
      </c>
      <c r="I1891" s="2462">
        <v>1.9921221660225415E-3</v>
      </c>
      <c r="J1891" s="2462">
        <v>102.1281562127146</v>
      </c>
    </row>
    <row r="1892" spans="1:10" outlineLevel="2">
      <c r="A1892" s="2459" t="s">
        <v>1669</v>
      </c>
      <c r="B1892" s="2459" t="s">
        <v>1650</v>
      </c>
      <c r="C1892" s="2459" t="s">
        <v>1670</v>
      </c>
      <c r="D1892" s="2460" t="s">
        <v>1671</v>
      </c>
      <c r="E1892" s="2461" t="s">
        <v>1573</v>
      </c>
      <c r="F1892" s="2461" t="s">
        <v>1579</v>
      </c>
      <c r="G1892" s="2461" t="s">
        <v>1409</v>
      </c>
      <c r="H1892" s="2461" t="s">
        <v>1070</v>
      </c>
      <c r="I1892" s="2462">
        <v>1.5122740927795688E-3</v>
      </c>
      <c r="J1892" s="2462">
        <v>111.12236351560348</v>
      </c>
    </row>
    <row r="1893" spans="1:10" outlineLevel="2">
      <c r="A1893" s="2459" t="s">
        <v>1669</v>
      </c>
      <c r="B1893" s="2459" t="s">
        <v>1650</v>
      </c>
      <c r="C1893" s="2459" t="s">
        <v>1670</v>
      </c>
      <c r="D1893" s="2460" t="s">
        <v>1671</v>
      </c>
      <c r="E1893" s="2461" t="s">
        <v>1573</v>
      </c>
      <c r="F1893" s="2461" t="s">
        <v>1580</v>
      </c>
      <c r="G1893" s="2461" t="s">
        <v>1409</v>
      </c>
      <c r="H1893" s="2461" t="s">
        <v>1070</v>
      </c>
      <c r="I1893" s="2462">
        <v>1.7085532739273638E-4</v>
      </c>
      <c r="J1893" s="2462">
        <v>6.1359682607172132</v>
      </c>
    </row>
    <row r="1894" spans="1:10" outlineLevel="2">
      <c r="A1894" s="2459" t="s">
        <v>1669</v>
      </c>
      <c r="B1894" s="2459" t="s">
        <v>1650</v>
      </c>
      <c r="C1894" s="2459" t="s">
        <v>1670</v>
      </c>
      <c r="D1894" s="2460" t="s">
        <v>1671</v>
      </c>
      <c r="E1894" s="2461" t="s">
        <v>1573</v>
      </c>
      <c r="F1894" s="2461" t="s">
        <v>1581</v>
      </c>
      <c r="G1894" s="2461" t="s">
        <v>1409</v>
      </c>
      <c r="H1894" s="2461" t="s">
        <v>1070</v>
      </c>
      <c r="I1894" s="2462">
        <v>9.0876416094507809E-5</v>
      </c>
      <c r="J1894" s="2462">
        <v>4.1783300011572164</v>
      </c>
    </row>
    <row r="1895" spans="1:10" outlineLevel="2">
      <c r="A1895" s="2459" t="s">
        <v>1669</v>
      </c>
      <c r="B1895" s="2459" t="s">
        <v>1650</v>
      </c>
      <c r="C1895" s="2459" t="s">
        <v>1670</v>
      </c>
      <c r="D1895" s="2460" t="s">
        <v>1671</v>
      </c>
      <c r="E1895" s="2461" t="s">
        <v>1573</v>
      </c>
      <c r="F1895" s="2461" t="s">
        <v>1582</v>
      </c>
      <c r="G1895" s="2461" t="s">
        <v>1409</v>
      </c>
      <c r="H1895" s="2461" t="s">
        <v>1070</v>
      </c>
      <c r="I1895" s="2462">
        <v>4.8300467666146133E-4</v>
      </c>
      <c r="J1895" s="2462">
        <v>11.474096868697986</v>
      </c>
    </row>
    <row r="1896" spans="1:10" outlineLevel="2">
      <c r="A1896" s="2459" t="s">
        <v>1669</v>
      </c>
      <c r="B1896" s="2459" t="s">
        <v>1650</v>
      </c>
      <c r="C1896" s="2459" t="s">
        <v>1670</v>
      </c>
      <c r="D1896" s="2460" t="s">
        <v>1671</v>
      </c>
      <c r="E1896" s="2461" t="s">
        <v>1573</v>
      </c>
      <c r="F1896" s="2461" t="s">
        <v>1583</v>
      </c>
      <c r="G1896" s="2461" t="s">
        <v>1409</v>
      </c>
      <c r="H1896" s="2461" t="s">
        <v>1070</v>
      </c>
      <c r="I1896" s="2462">
        <v>1.3846362312819971E-3</v>
      </c>
      <c r="J1896" s="2462">
        <v>49.10070362914437</v>
      </c>
    </row>
    <row r="1897" spans="1:10" outlineLevel="2">
      <c r="A1897" s="2459" t="s">
        <v>1669</v>
      </c>
      <c r="B1897" s="2459" t="s">
        <v>1650</v>
      </c>
      <c r="C1897" s="2459" t="s">
        <v>1670</v>
      </c>
      <c r="D1897" s="2460" t="s">
        <v>1671</v>
      </c>
      <c r="E1897" s="2461" t="s">
        <v>1573</v>
      </c>
      <c r="F1897" s="2461" t="s">
        <v>1584</v>
      </c>
      <c r="G1897" s="2461" t="s">
        <v>1409</v>
      </c>
      <c r="H1897" s="2461" t="s">
        <v>1070</v>
      </c>
      <c r="I1897" s="2462">
        <v>9.7889216526286988E-4</v>
      </c>
      <c r="J1897" s="2462">
        <v>53.909528527653087</v>
      </c>
    </row>
    <row r="1898" spans="1:10" outlineLevel="2">
      <c r="A1898" s="2459" t="s">
        <v>1669</v>
      </c>
      <c r="B1898" s="2459" t="s">
        <v>1650</v>
      </c>
      <c r="C1898" s="2459" t="s">
        <v>1670</v>
      </c>
      <c r="D1898" s="2460" t="s">
        <v>1671</v>
      </c>
      <c r="E1898" s="2461" t="s">
        <v>1573</v>
      </c>
      <c r="F1898" s="2461" t="s">
        <v>1585</v>
      </c>
      <c r="G1898" s="2461" t="s">
        <v>1409</v>
      </c>
      <c r="H1898" s="2461" t="s">
        <v>1070</v>
      </c>
      <c r="I1898" s="2462">
        <v>5.3667407818062977E-3</v>
      </c>
      <c r="J1898" s="2462">
        <v>413.94301384254425</v>
      </c>
    </row>
    <row r="1899" spans="1:10" outlineLevel="2">
      <c r="A1899" s="2459" t="s">
        <v>1669</v>
      </c>
      <c r="B1899" s="2459" t="s">
        <v>1650</v>
      </c>
      <c r="C1899" s="2459" t="s">
        <v>1670</v>
      </c>
      <c r="D1899" s="2460" t="s">
        <v>1671</v>
      </c>
      <c r="E1899" s="2461" t="s">
        <v>1573</v>
      </c>
      <c r="F1899" s="2461" t="s">
        <v>1586</v>
      </c>
      <c r="G1899" s="2461" t="s">
        <v>1409</v>
      </c>
      <c r="H1899" s="2461" t="s">
        <v>1070</v>
      </c>
      <c r="I1899" s="2462">
        <v>1.1351059038875667E-4</v>
      </c>
      <c r="J1899" s="2462">
        <v>3.441985271969207</v>
      </c>
    </row>
    <row r="1900" spans="1:10" outlineLevel="2">
      <c r="A1900" s="2459" t="s">
        <v>1669</v>
      </c>
      <c r="B1900" s="2459" t="s">
        <v>1650</v>
      </c>
      <c r="C1900" s="2459" t="s">
        <v>1670</v>
      </c>
      <c r="D1900" s="2460" t="s">
        <v>1671</v>
      </c>
      <c r="E1900" s="2461" t="s">
        <v>1573</v>
      </c>
      <c r="F1900" s="2461" t="s">
        <v>1587</v>
      </c>
      <c r="G1900" s="2461" t="s">
        <v>1409</v>
      </c>
      <c r="H1900" s="2461" t="s">
        <v>1070</v>
      </c>
      <c r="I1900" s="2462">
        <v>4.4701725615792323E-5</v>
      </c>
      <c r="J1900" s="2462">
        <v>2.1075348136990071</v>
      </c>
    </row>
    <row r="1901" spans="1:10" outlineLevel="2">
      <c r="A1901" s="2459" t="s">
        <v>1669</v>
      </c>
      <c r="B1901" s="2459" t="s">
        <v>1650</v>
      </c>
      <c r="C1901" s="2459" t="s">
        <v>1670</v>
      </c>
      <c r="D1901" s="2460" t="s">
        <v>1671</v>
      </c>
      <c r="E1901" s="2461" t="s">
        <v>1573</v>
      </c>
      <c r="F1901" s="2461" t="s">
        <v>1588</v>
      </c>
      <c r="G1901" s="2461" t="s">
        <v>1409</v>
      </c>
      <c r="H1901" s="2461" t="s">
        <v>1070</v>
      </c>
      <c r="I1901" s="2462">
        <v>1.5836419900687527E-3</v>
      </c>
      <c r="J1901" s="2462">
        <v>94.616747597403588</v>
      </c>
    </row>
    <row r="1902" spans="1:10" outlineLevel="2">
      <c r="A1902" s="2459" t="s">
        <v>1669</v>
      </c>
      <c r="B1902" s="2459" t="s">
        <v>1650</v>
      </c>
      <c r="C1902" s="2459" t="s">
        <v>1670</v>
      </c>
      <c r="D1902" s="2460" t="s">
        <v>1671</v>
      </c>
      <c r="E1902" s="2461" t="s">
        <v>1573</v>
      </c>
      <c r="F1902" s="2461" t="s">
        <v>1589</v>
      </c>
      <c r="G1902" s="2461" t="s">
        <v>1409</v>
      </c>
      <c r="H1902" s="2461" t="s">
        <v>1070</v>
      </c>
      <c r="I1902" s="2462">
        <v>1.3614788667141481E-3</v>
      </c>
      <c r="J1902" s="2462">
        <v>102.99155614914744</v>
      </c>
    </row>
    <row r="1903" spans="1:10" outlineLevel="2">
      <c r="A1903" s="2459" t="s">
        <v>1669</v>
      </c>
      <c r="B1903" s="2459" t="s">
        <v>1650</v>
      </c>
      <c r="C1903" s="2459" t="s">
        <v>1670</v>
      </c>
      <c r="D1903" s="2460" t="s">
        <v>1671</v>
      </c>
      <c r="E1903" s="2461" t="s">
        <v>1573</v>
      </c>
      <c r="F1903" s="2461" t="s">
        <v>1590</v>
      </c>
      <c r="G1903" s="2461" t="s">
        <v>1409</v>
      </c>
      <c r="H1903" s="2461" t="s">
        <v>1070</v>
      </c>
      <c r="I1903" s="2462">
        <v>4.9708887304138185E-3</v>
      </c>
      <c r="J1903" s="2462">
        <v>354.2763696720499</v>
      </c>
    </row>
    <row r="1904" spans="1:10" outlineLevel="2">
      <c r="A1904" s="2459" t="s">
        <v>1669</v>
      </c>
      <c r="B1904" s="2459" t="s">
        <v>1650</v>
      </c>
      <c r="C1904" s="2459" t="s">
        <v>1670</v>
      </c>
      <c r="D1904" s="2460" t="s">
        <v>1671</v>
      </c>
      <c r="E1904" s="2461" t="s">
        <v>1573</v>
      </c>
      <c r="F1904" s="2461" t="s">
        <v>1591</v>
      </c>
      <c r="G1904" s="2461" t="s">
        <v>1409</v>
      </c>
      <c r="H1904" s="2461" t="s">
        <v>1070</v>
      </c>
      <c r="I1904" s="2462">
        <v>3.421717030953139E-4</v>
      </c>
      <c r="J1904" s="2462">
        <v>16.658696601599221</v>
      </c>
    </row>
    <row r="1905" spans="1:10" outlineLevel="2">
      <c r="A1905" s="2459" t="s">
        <v>1669</v>
      </c>
      <c r="B1905" s="2459" t="s">
        <v>1650</v>
      </c>
      <c r="C1905" s="2459" t="s">
        <v>1670</v>
      </c>
      <c r="D1905" s="2460" t="s">
        <v>1671</v>
      </c>
      <c r="E1905" s="2461" t="s">
        <v>1573</v>
      </c>
      <c r="F1905" s="2461" t="s">
        <v>1592</v>
      </c>
      <c r="G1905" s="2461" t="s">
        <v>1409</v>
      </c>
      <c r="H1905" s="2461" t="s">
        <v>1070</v>
      </c>
      <c r="I1905" s="2462">
        <v>2.8772250278356025E-3</v>
      </c>
      <c r="J1905" s="2462">
        <v>132.51096051110426</v>
      </c>
    </row>
    <row r="1906" spans="1:10" outlineLevel="2">
      <c r="A1906" s="2459" t="s">
        <v>1669</v>
      </c>
      <c r="B1906" s="2459" t="s">
        <v>1650</v>
      </c>
      <c r="C1906" s="2459" t="s">
        <v>1670</v>
      </c>
      <c r="D1906" s="2460" t="s">
        <v>1671</v>
      </c>
      <c r="E1906" s="2461" t="s">
        <v>1573</v>
      </c>
      <c r="F1906" s="2461" t="s">
        <v>1593</v>
      </c>
      <c r="G1906" s="2461" t="s">
        <v>1409</v>
      </c>
      <c r="H1906" s="2461" t="s">
        <v>1070</v>
      </c>
      <c r="I1906" s="2462">
        <v>7.0299421741209988E-3</v>
      </c>
      <c r="J1906" s="2462">
        <v>450.51195137250971</v>
      </c>
    </row>
    <row r="1907" spans="1:10" outlineLevel="2">
      <c r="A1907" s="2459" t="s">
        <v>1669</v>
      </c>
      <c r="B1907" s="2459" t="s">
        <v>1650</v>
      </c>
      <c r="C1907" s="2459" t="s">
        <v>1670</v>
      </c>
      <c r="D1907" s="2460" t="s">
        <v>1671</v>
      </c>
      <c r="E1907" s="2461" t="s">
        <v>1573</v>
      </c>
      <c r="F1907" s="2461" t="s">
        <v>1594</v>
      </c>
      <c r="G1907" s="2461" t="s">
        <v>1409</v>
      </c>
      <c r="H1907" s="2461" t="s">
        <v>1070</v>
      </c>
      <c r="I1907" s="2462">
        <v>1.5397302467907058E-2</v>
      </c>
      <c r="J1907" s="2462">
        <v>302.23193874742793</v>
      </c>
    </row>
    <row r="1908" spans="1:10" outlineLevel="2">
      <c r="A1908" s="2459" t="s">
        <v>1669</v>
      </c>
      <c r="B1908" s="2459" t="s">
        <v>1650</v>
      </c>
      <c r="C1908" s="2459" t="s">
        <v>1670</v>
      </c>
      <c r="D1908" s="2460" t="s">
        <v>1671</v>
      </c>
      <c r="E1908" s="2461" t="s">
        <v>1573</v>
      </c>
      <c r="F1908" s="2461" t="s">
        <v>1595</v>
      </c>
      <c r="G1908" s="2461" t="s">
        <v>1409</v>
      </c>
      <c r="H1908" s="2461" t="s">
        <v>1070</v>
      </c>
      <c r="I1908" s="2462">
        <v>5.6612230209378295E-3</v>
      </c>
      <c r="J1908" s="2462">
        <v>412.12315048900018</v>
      </c>
    </row>
    <row r="1909" spans="1:10" outlineLevel="2">
      <c r="A1909" s="2459" t="s">
        <v>1669</v>
      </c>
      <c r="B1909" s="2459" t="s">
        <v>1650</v>
      </c>
      <c r="C1909" s="2459" t="s">
        <v>1670</v>
      </c>
      <c r="D1909" s="2460" t="s">
        <v>1671</v>
      </c>
      <c r="E1909" s="2461" t="s">
        <v>1573</v>
      </c>
      <c r="F1909" s="2461" t="s">
        <v>1596</v>
      </c>
      <c r="G1909" s="2461" t="s">
        <v>1409</v>
      </c>
      <c r="H1909" s="2461" t="s">
        <v>1070</v>
      </c>
      <c r="I1909" s="2462">
        <v>1.0307986031817739E-2</v>
      </c>
      <c r="J1909" s="2462">
        <v>237.23666121448775</v>
      </c>
    </row>
    <row r="1910" spans="1:10" outlineLevel="2">
      <c r="A1910" s="2459" t="s">
        <v>1669</v>
      </c>
      <c r="B1910" s="2459" t="s">
        <v>1650</v>
      </c>
      <c r="C1910" s="2459" t="s">
        <v>1670</v>
      </c>
      <c r="D1910" s="2460" t="s">
        <v>1671</v>
      </c>
      <c r="E1910" s="2461" t="s">
        <v>1573</v>
      </c>
      <c r="F1910" s="2461" t="s">
        <v>1597</v>
      </c>
      <c r="G1910" s="2461" t="s">
        <v>1409</v>
      </c>
      <c r="H1910" s="2461" t="s">
        <v>1070</v>
      </c>
      <c r="I1910" s="2462">
        <v>6.0509881514289317E-4</v>
      </c>
      <c r="J1910" s="2462">
        <v>44.221322450322475</v>
      </c>
    </row>
    <row r="1911" spans="1:10" outlineLevel="2">
      <c r="A1911" s="2459" t="s">
        <v>1669</v>
      </c>
      <c r="B1911" s="2459" t="s">
        <v>1650</v>
      </c>
      <c r="C1911" s="2459" t="s">
        <v>1670</v>
      </c>
      <c r="D1911" s="2460" t="s">
        <v>1671</v>
      </c>
      <c r="E1911" s="2461" t="s">
        <v>1573</v>
      </c>
      <c r="F1911" s="2461" t="s">
        <v>1598</v>
      </c>
      <c r="G1911" s="2461" t="s">
        <v>1409</v>
      </c>
      <c r="H1911" s="2461" t="s">
        <v>1070</v>
      </c>
      <c r="I1911" s="2462">
        <v>3.1428330926999133E-5</v>
      </c>
      <c r="J1911" s="2462">
        <v>0.72550934854699412</v>
      </c>
    </row>
    <row r="1912" spans="1:10" outlineLevel="2">
      <c r="A1912" s="2459" t="s">
        <v>1669</v>
      </c>
      <c r="B1912" s="2459" t="s">
        <v>1650</v>
      </c>
      <c r="C1912" s="2459" t="s">
        <v>1670</v>
      </c>
      <c r="D1912" s="2460" t="s">
        <v>1671</v>
      </c>
      <c r="E1912" s="2461" t="s">
        <v>1573</v>
      </c>
      <c r="F1912" s="2461" t="s">
        <v>1599</v>
      </c>
      <c r="G1912" s="2461" t="s">
        <v>1409</v>
      </c>
      <c r="H1912" s="2461" t="s">
        <v>1070</v>
      </c>
      <c r="I1912" s="2462">
        <v>8.580222684920636E-4</v>
      </c>
      <c r="J1912" s="2462">
        <v>46.127192395166567</v>
      </c>
    </row>
    <row r="1913" spans="1:10" outlineLevel="2">
      <c r="A1913" s="2459" t="s">
        <v>1669</v>
      </c>
      <c r="B1913" s="2459" t="s">
        <v>1650</v>
      </c>
      <c r="C1913" s="2459" t="s">
        <v>1670</v>
      </c>
      <c r="D1913" s="2460" t="s">
        <v>1671</v>
      </c>
      <c r="E1913" s="2461" t="s">
        <v>1573</v>
      </c>
      <c r="F1913" s="2461" t="s">
        <v>1600</v>
      </c>
      <c r="G1913" s="2461" t="s">
        <v>1412</v>
      </c>
      <c r="H1913" s="2461" t="s">
        <v>1116</v>
      </c>
      <c r="I1913" s="2462">
        <v>1.8065651397932408E-3</v>
      </c>
      <c r="J1913" s="2462">
        <v>43.70562014682865</v>
      </c>
    </row>
    <row r="1914" spans="1:10" outlineLevel="2">
      <c r="A1914" s="2459" t="s">
        <v>1669</v>
      </c>
      <c r="B1914" s="2459" t="s">
        <v>1650</v>
      </c>
      <c r="C1914" s="2459" t="s">
        <v>1670</v>
      </c>
      <c r="D1914" s="2460" t="s">
        <v>1671</v>
      </c>
      <c r="E1914" s="2461" t="s">
        <v>1573</v>
      </c>
      <c r="F1914" s="2461" t="s">
        <v>1601</v>
      </c>
      <c r="G1914" s="2461" t="s">
        <v>1412</v>
      </c>
      <c r="H1914" s="2461" t="s">
        <v>1116</v>
      </c>
      <c r="I1914" s="2462">
        <v>8.9906103806284172E-3</v>
      </c>
      <c r="J1914" s="2462">
        <v>634.06351862765609</v>
      </c>
    </row>
    <row r="1915" spans="1:10" outlineLevel="2">
      <c r="A1915" s="2459" t="s">
        <v>1669</v>
      </c>
      <c r="B1915" s="2459" t="s">
        <v>1650</v>
      </c>
      <c r="C1915" s="2459" t="s">
        <v>1670</v>
      </c>
      <c r="D1915" s="2460" t="s">
        <v>1671</v>
      </c>
      <c r="E1915" s="2461" t="s">
        <v>1573</v>
      </c>
      <c r="F1915" s="2461" t="s">
        <v>1602</v>
      </c>
      <c r="G1915" s="2461" t="s">
        <v>1412</v>
      </c>
      <c r="H1915" s="2461" t="s">
        <v>1116</v>
      </c>
      <c r="I1915" s="2462">
        <v>5.2815081562482347E-3</v>
      </c>
      <c r="J1915" s="2462">
        <v>276.94592288294865</v>
      </c>
    </row>
    <row r="1916" spans="1:10" outlineLevel="2">
      <c r="A1916" s="2459" t="s">
        <v>1669</v>
      </c>
      <c r="B1916" s="2459" t="s">
        <v>1650</v>
      </c>
      <c r="C1916" s="2459" t="s">
        <v>1670</v>
      </c>
      <c r="D1916" s="2460" t="s">
        <v>1671</v>
      </c>
      <c r="E1916" s="2461" t="s">
        <v>1573</v>
      </c>
      <c r="F1916" s="2461" t="s">
        <v>1603</v>
      </c>
      <c r="G1916" s="2461" t="s">
        <v>1412</v>
      </c>
      <c r="H1916" s="2461" t="s">
        <v>1116</v>
      </c>
      <c r="I1916" s="2462">
        <v>6.2515956378450237E-3</v>
      </c>
      <c r="J1916" s="2462">
        <v>280.83396216055064</v>
      </c>
    </row>
    <row r="1917" spans="1:10" outlineLevel="2">
      <c r="A1917" s="2459" t="s">
        <v>1669</v>
      </c>
      <c r="B1917" s="2459" t="s">
        <v>1650</v>
      </c>
      <c r="C1917" s="2459" t="s">
        <v>1670</v>
      </c>
      <c r="D1917" s="2460" t="s">
        <v>1671</v>
      </c>
      <c r="E1917" s="2461" t="s">
        <v>1573</v>
      </c>
      <c r="F1917" s="2461" t="s">
        <v>1604</v>
      </c>
      <c r="G1917" s="2461" t="s">
        <v>1412</v>
      </c>
      <c r="H1917" s="2461" t="s">
        <v>1116</v>
      </c>
      <c r="I1917" s="2462">
        <v>3.9594763164466247E-4</v>
      </c>
      <c r="J1917" s="2462">
        <v>10.830691158835036</v>
      </c>
    </row>
    <row r="1918" spans="1:10" outlineLevel="2">
      <c r="A1918" s="2459" t="s">
        <v>1669</v>
      </c>
      <c r="B1918" s="2459" t="s">
        <v>1650</v>
      </c>
      <c r="C1918" s="2459" t="s">
        <v>1670</v>
      </c>
      <c r="D1918" s="2460" t="s">
        <v>1671</v>
      </c>
      <c r="E1918" s="2461" t="s">
        <v>1573</v>
      </c>
      <c r="F1918" s="2461" t="s">
        <v>1605</v>
      </c>
      <c r="G1918" s="2461" t="s">
        <v>1412</v>
      </c>
      <c r="H1918" s="2461" t="s">
        <v>1116</v>
      </c>
      <c r="I1918" s="2462">
        <v>1.6335326285291649E-2</v>
      </c>
      <c r="J1918" s="2462">
        <v>536.88306922020251</v>
      </c>
    </row>
    <row r="1919" spans="1:10" outlineLevel="2">
      <c r="A1919" s="2459" t="s">
        <v>1669</v>
      </c>
      <c r="B1919" s="2459" t="s">
        <v>1650</v>
      </c>
      <c r="C1919" s="2459" t="s">
        <v>1670</v>
      </c>
      <c r="D1919" s="2460" t="s">
        <v>1671</v>
      </c>
      <c r="E1919" s="2461" t="s">
        <v>1573</v>
      </c>
      <c r="F1919" s="2461" t="s">
        <v>1606</v>
      </c>
      <c r="G1919" s="2461" t="s">
        <v>1412</v>
      </c>
      <c r="H1919" s="2461" t="s">
        <v>1116</v>
      </c>
      <c r="I1919" s="2462">
        <v>4.9295883426603172E-3</v>
      </c>
      <c r="J1919" s="2462">
        <v>399.62748574363002</v>
      </c>
    </row>
    <row r="1920" spans="1:10" outlineLevel="2">
      <c r="A1920" s="2459" t="s">
        <v>1669</v>
      </c>
      <c r="B1920" s="2459" t="s">
        <v>1650</v>
      </c>
      <c r="C1920" s="2459" t="s">
        <v>1670</v>
      </c>
      <c r="D1920" s="2460" t="s">
        <v>1671</v>
      </c>
      <c r="E1920" s="2461" t="s">
        <v>1573</v>
      </c>
      <c r="F1920" s="2461" t="s">
        <v>1607</v>
      </c>
      <c r="G1920" s="2461" t="s">
        <v>1439</v>
      </c>
      <c r="H1920" s="2461" t="s">
        <v>1440</v>
      </c>
      <c r="I1920" s="2462">
        <v>2.40546932758179E-6</v>
      </c>
      <c r="J1920" s="2462">
        <v>6.0290411678601913E-2</v>
      </c>
    </row>
    <row r="1921" spans="1:10" outlineLevel="2">
      <c r="A1921" s="2459" t="s">
        <v>1669</v>
      </c>
      <c r="B1921" s="2459" t="s">
        <v>1650</v>
      </c>
      <c r="C1921" s="2459" t="s">
        <v>1670</v>
      </c>
      <c r="D1921" s="2460" t="s">
        <v>1671</v>
      </c>
      <c r="E1921" s="2461" t="s">
        <v>1573</v>
      </c>
      <c r="F1921" s="2461" t="s">
        <v>1609</v>
      </c>
      <c r="G1921" s="2461" t="s">
        <v>1439</v>
      </c>
      <c r="H1921" s="2461" t="s">
        <v>1440</v>
      </c>
      <c r="I1921" s="2462">
        <v>1.9024005675891104E-2</v>
      </c>
      <c r="J1921" s="2462">
        <v>422.62088269131448</v>
      </c>
    </row>
    <row r="1922" spans="1:10" outlineLevel="2">
      <c r="A1922" s="2459" t="s">
        <v>1669</v>
      </c>
      <c r="B1922" s="2459" t="s">
        <v>1650</v>
      </c>
      <c r="C1922" s="2459" t="s">
        <v>1670</v>
      </c>
      <c r="D1922" s="2460" t="s">
        <v>1671</v>
      </c>
      <c r="E1922" s="2461" t="s">
        <v>1573</v>
      </c>
      <c r="F1922" s="2461" t="s">
        <v>1610</v>
      </c>
      <c r="G1922" s="2461" t="s">
        <v>1439</v>
      </c>
      <c r="H1922" s="2461" t="s">
        <v>1440</v>
      </c>
      <c r="I1922" s="2462">
        <v>5.0029746844480029E-3</v>
      </c>
      <c r="J1922" s="2462">
        <v>87.242430952730629</v>
      </c>
    </row>
    <row r="1923" spans="1:10" outlineLevel="2">
      <c r="A1923" s="2459" t="s">
        <v>1669</v>
      </c>
      <c r="B1923" s="2459" t="s">
        <v>1650</v>
      </c>
      <c r="C1923" s="2459" t="s">
        <v>1670</v>
      </c>
      <c r="D1923" s="2460" t="s">
        <v>1671</v>
      </c>
      <c r="E1923" s="2461" t="s">
        <v>1573</v>
      </c>
      <c r="F1923" s="2461" t="s">
        <v>1611</v>
      </c>
      <c r="G1923" s="2461" t="s">
        <v>1439</v>
      </c>
      <c r="H1923" s="2461" t="s">
        <v>1440</v>
      </c>
      <c r="I1923" s="2462">
        <v>1.1825071230855008E-2</v>
      </c>
      <c r="J1923" s="2462">
        <v>576.11653835729123</v>
      </c>
    </row>
    <row r="1924" spans="1:10" outlineLevel="2">
      <c r="A1924" s="2459" t="s">
        <v>1669</v>
      </c>
      <c r="B1924" s="2459" t="s">
        <v>1650</v>
      </c>
      <c r="C1924" s="2459" t="s">
        <v>1670</v>
      </c>
      <c r="D1924" s="2460" t="s">
        <v>1671</v>
      </c>
      <c r="E1924" s="2461" t="s">
        <v>1573</v>
      </c>
      <c r="F1924" s="2461" t="s">
        <v>1612</v>
      </c>
      <c r="G1924" s="2461" t="s">
        <v>1439</v>
      </c>
      <c r="H1924" s="2461" t="s">
        <v>1440</v>
      </c>
      <c r="I1924" s="2462">
        <v>2.0279491559930724E-3</v>
      </c>
      <c r="J1924" s="2462">
        <v>67.881042495110421</v>
      </c>
    </row>
    <row r="1925" spans="1:10" outlineLevel="2">
      <c r="A1925" s="2459" t="s">
        <v>1669</v>
      </c>
      <c r="B1925" s="2459" t="s">
        <v>1650</v>
      </c>
      <c r="C1925" s="2459" t="s">
        <v>1670</v>
      </c>
      <c r="D1925" s="2460" t="s">
        <v>1671</v>
      </c>
      <c r="E1925" s="2461" t="s">
        <v>1573</v>
      </c>
      <c r="F1925" s="2461" t="s">
        <v>1613</v>
      </c>
      <c r="G1925" s="2461" t="s">
        <v>1439</v>
      </c>
      <c r="H1925" s="2461" t="s">
        <v>1440</v>
      </c>
      <c r="I1925" s="2462">
        <v>5.7015516995148225E-5</v>
      </c>
      <c r="J1925" s="2462">
        <v>1.72364840217642</v>
      </c>
    </row>
    <row r="1926" spans="1:10" outlineLevel="2">
      <c r="A1926" s="2459" t="s">
        <v>1669</v>
      </c>
      <c r="B1926" s="2459" t="s">
        <v>1650</v>
      </c>
      <c r="C1926" s="2459" t="s">
        <v>1670</v>
      </c>
      <c r="D1926" s="2460" t="s">
        <v>1671</v>
      </c>
      <c r="E1926" s="2461" t="s">
        <v>1573</v>
      </c>
      <c r="F1926" s="2461" t="s">
        <v>1614</v>
      </c>
      <c r="G1926" s="2461" t="s">
        <v>1418</v>
      </c>
      <c r="H1926" s="2461" t="s">
        <v>1452</v>
      </c>
      <c r="I1926" s="2462">
        <v>1.2526682492978561E-5</v>
      </c>
      <c r="J1926" s="2462">
        <v>0.10707060111977187</v>
      </c>
    </row>
    <row r="1927" spans="1:10" outlineLevel="2">
      <c r="A1927" s="2459" t="s">
        <v>1669</v>
      </c>
      <c r="B1927" s="2459" t="s">
        <v>1650</v>
      </c>
      <c r="C1927" s="2459" t="s">
        <v>1670</v>
      </c>
      <c r="D1927" s="2460" t="s">
        <v>1671</v>
      </c>
      <c r="E1927" s="2461" t="s">
        <v>1573</v>
      </c>
      <c r="F1927" s="2461" t="s">
        <v>1615</v>
      </c>
      <c r="G1927" s="2461" t="s">
        <v>1418</v>
      </c>
      <c r="H1927" s="2461" t="s">
        <v>1452</v>
      </c>
      <c r="I1927" s="2462">
        <v>7.5774206577209846E-2</v>
      </c>
      <c r="J1927" s="2462">
        <v>4445.8046170726966</v>
      </c>
    </row>
    <row r="1928" spans="1:10" outlineLevel="2">
      <c r="A1928" s="2459" t="s">
        <v>1669</v>
      </c>
      <c r="B1928" s="2459" t="s">
        <v>1650</v>
      </c>
      <c r="C1928" s="2459" t="s">
        <v>1670</v>
      </c>
      <c r="D1928" s="2460" t="s">
        <v>1671</v>
      </c>
      <c r="E1928" s="2461" t="s">
        <v>1573</v>
      </c>
      <c r="F1928" s="2461" t="s">
        <v>1616</v>
      </c>
      <c r="G1928" s="2461" t="s">
        <v>1418</v>
      </c>
      <c r="H1928" s="2461" t="s">
        <v>1452</v>
      </c>
      <c r="I1928" s="2462">
        <v>3.6166272196102409E-3</v>
      </c>
      <c r="J1928" s="2462">
        <v>398.60431106860938</v>
      </c>
    </row>
    <row r="1929" spans="1:10" outlineLevel="2">
      <c r="A1929" s="2459" t="s">
        <v>1669</v>
      </c>
      <c r="B1929" s="2459" t="s">
        <v>1650</v>
      </c>
      <c r="C1929" s="2459" t="s">
        <v>1670</v>
      </c>
      <c r="D1929" s="2460" t="s">
        <v>1671</v>
      </c>
      <c r="E1929" s="2461" t="s">
        <v>1573</v>
      </c>
      <c r="F1929" s="2461" t="s">
        <v>1617</v>
      </c>
      <c r="G1929" s="2461" t="s">
        <v>1418</v>
      </c>
      <c r="H1929" s="2461" t="s">
        <v>1452</v>
      </c>
      <c r="I1929" s="2462">
        <v>2.8727136490699861E-5</v>
      </c>
      <c r="J1929" s="2462">
        <v>2.2063032618890057</v>
      </c>
    </row>
    <row r="1930" spans="1:10" outlineLevel="2">
      <c r="A1930" s="2459" t="s">
        <v>1669</v>
      </c>
      <c r="B1930" s="2459" t="s">
        <v>1650</v>
      </c>
      <c r="C1930" s="2459" t="s">
        <v>1670</v>
      </c>
      <c r="D1930" s="2460" t="s">
        <v>1671</v>
      </c>
      <c r="E1930" s="2461" t="s">
        <v>1573</v>
      </c>
      <c r="F1930" s="2461" t="s">
        <v>1618</v>
      </c>
      <c r="G1930" s="2461" t="s">
        <v>1418</v>
      </c>
      <c r="H1930" s="2461" t="s">
        <v>1452</v>
      </c>
      <c r="I1930" s="2462">
        <v>5.5999423977114339E-6</v>
      </c>
      <c r="J1930" s="2462">
        <v>0.46347692935664681</v>
      </c>
    </row>
    <row r="1931" spans="1:10" outlineLevel="2">
      <c r="A1931" s="2459" t="s">
        <v>1669</v>
      </c>
      <c r="B1931" s="2459" t="s">
        <v>1650</v>
      </c>
      <c r="C1931" s="2459" t="s">
        <v>1670</v>
      </c>
      <c r="D1931" s="2460" t="s">
        <v>1671</v>
      </c>
      <c r="E1931" s="2461" t="s">
        <v>1573</v>
      </c>
      <c r="F1931" s="2461" t="s">
        <v>1619</v>
      </c>
      <c r="G1931" s="2461" t="s">
        <v>1418</v>
      </c>
      <c r="H1931" s="2461" t="s">
        <v>1452</v>
      </c>
      <c r="I1931" s="2462">
        <v>3.676356664887437E-4</v>
      </c>
      <c r="J1931" s="2462">
        <v>33.803383909621836</v>
      </c>
    </row>
    <row r="1932" spans="1:10" outlineLevel="2">
      <c r="A1932" s="2459" t="s">
        <v>1669</v>
      </c>
      <c r="B1932" s="2459" t="s">
        <v>1650</v>
      </c>
      <c r="C1932" s="2459" t="s">
        <v>1670</v>
      </c>
      <c r="D1932" s="2460" t="s">
        <v>1671</v>
      </c>
      <c r="E1932" s="2461" t="s">
        <v>1573</v>
      </c>
      <c r="F1932" s="2461" t="s">
        <v>1620</v>
      </c>
      <c r="G1932" s="2461" t="s">
        <v>1418</v>
      </c>
      <c r="H1932" s="2461" t="s">
        <v>1452</v>
      </c>
      <c r="I1932" s="2462">
        <v>7.7727625202421021E-7</v>
      </c>
      <c r="J1932" s="2462">
        <v>9.3523570280052981E-2</v>
      </c>
    </row>
    <row r="1933" spans="1:10" outlineLevel="2">
      <c r="A1933" s="2459" t="s">
        <v>1669</v>
      </c>
      <c r="B1933" s="2459" t="s">
        <v>1650</v>
      </c>
      <c r="C1933" s="2459" t="s">
        <v>1670</v>
      </c>
      <c r="D1933" s="2460" t="s">
        <v>1671</v>
      </c>
      <c r="E1933" s="2461" t="s">
        <v>1573</v>
      </c>
      <c r="F1933" s="2461" t="s">
        <v>1621</v>
      </c>
      <c r="G1933" s="2461" t="s">
        <v>1418</v>
      </c>
      <c r="H1933" s="2461" t="s">
        <v>1452</v>
      </c>
      <c r="I1933" s="2462">
        <v>3.3089520360663242E-4</v>
      </c>
      <c r="J1933" s="2462">
        <v>31.255701810294653</v>
      </c>
    </row>
    <row r="1934" spans="1:10" outlineLevel="2">
      <c r="A1934" s="2459" t="s">
        <v>1669</v>
      </c>
      <c r="B1934" s="2459" t="s">
        <v>1650</v>
      </c>
      <c r="C1934" s="2459" t="s">
        <v>1670</v>
      </c>
      <c r="D1934" s="2460" t="s">
        <v>1671</v>
      </c>
      <c r="E1934" s="2461" t="s">
        <v>1573</v>
      </c>
      <c r="F1934" s="2461" t="s">
        <v>1622</v>
      </c>
      <c r="G1934" s="2461" t="s">
        <v>1418</v>
      </c>
      <c r="H1934" s="2461" t="s">
        <v>1452</v>
      </c>
      <c r="I1934" s="2462">
        <v>9.783503064910912E-4</v>
      </c>
      <c r="J1934" s="2462">
        <v>86.979471029908638</v>
      </c>
    </row>
    <row r="1935" spans="1:10" outlineLevel="2">
      <c r="A1935" s="2459" t="s">
        <v>1669</v>
      </c>
      <c r="B1935" s="2459" t="s">
        <v>1650</v>
      </c>
      <c r="C1935" s="2459" t="s">
        <v>1670</v>
      </c>
      <c r="D1935" s="2460" t="s">
        <v>1671</v>
      </c>
      <c r="E1935" s="2461" t="s">
        <v>1573</v>
      </c>
      <c r="F1935" s="2461" t="s">
        <v>1623</v>
      </c>
      <c r="G1935" s="2461" t="s">
        <v>1418</v>
      </c>
      <c r="H1935" s="2461" t="s">
        <v>1452</v>
      </c>
      <c r="I1935" s="2462">
        <v>1.4837842526328189E-3</v>
      </c>
      <c r="J1935" s="2462">
        <v>64.136191844136846</v>
      </c>
    </row>
    <row r="1936" spans="1:10" outlineLevel="2">
      <c r="A1936" s="2459" t="s">
        <v>1669</v>
      </c>
      <c r="B1936" s="2459" t="s">
        <v>1650</v>
      </c>
      <c r="C1936" s="2459" t="s">
        <v>1670</v>
      </c>
      <c r="D1936" s="2460" t="s">
        <v>1671</v>
      </c>
      <c r="E1936" s="2461" t="s">
        <v>1573</v>
      </c>
      <c r="F1936" s="2461" t="s">
        <v>1624</v>
      </c>
      <c r="G1936" s="2461" t="s">
        <v>1421</v>
      </c>
      <c r="H1936" s="2461" t="s">
        <v>1454</v>
      </c>
      <c r="I1936" s="2462">
        <v>8.4483690337088507E-3</v>
      </c>
      <c r="J1936" s="2462">
        <v>308.93127017435609</v>
      </c>
    </row>
    <row r="1937" spans="1:10" outlineLevel="2">
      <c r="A1937" s="2459" t="s">
        <v>1669</v>
      </c>
      <c r="B1937" s="2459" t="s">
        <v>1650</v>
      </c>
      <c r="C1937" s="2459" t="s">
        <v>1670</v>
      </c>
      <c r="D1937" s="2460" t="s">
        <v>1671</v>
      </c>
      <c r="E1937" s="2461" t="s">
        <v>1573</v>
      </c>
      <c r="F1937" s="2461" t="s">
        <v>1625</v>
      </c>
      <c r="G1937" s="2461" t="s">
        <v>1421</v>
      </c>
      <c r="H1937" s="2461" t="s">
        <v>1454</v>
      </c>
      <c r="I1937" s="2462">
        <v>1.9923850253178669E-3</v>
      </c>
      <c r="J1937" s="2462">
        <v>72.913409006351301</v>
      </c>
    </row>
    <row r="1938" spans="1:10" outlineLevel="2">
      <c r="A1938" s="2459" t="s">
        <v>1669</v>
      </c>
      <c r="B1938" s="2459" t="s">
        <v>1650</v>
      </c>
      <c r="C1938" s="2459" t="s">
        <v>1670</v>
      </c>
      <c r="D1938" s="2460" t="s">
        <v>1671</v>
      </c>
      <c r="E1938" s="2461" t="s">
        <v>1573</v>
      </c>
      <c r="F1938" s="2461" t="s">
        <v>1626</v>
      </c>
      <c r="G1938" s="2461" t="s">
        <v>1421</v>
      </c>
      <c r="H1938" s="2461" t="s">
        <v>1454</v>
      </c>
      <c r="I1938" s="2462">
        <v>5.5917876949907021E-3</v>
      </c>
      <c r="J1938" s="2462">
        <v>202.28935742328042</v>
      </c>
    </row>
    <row r="1939" spans="1:10" outlineLevel="2">
      <c r="A1939" s="2459" t="s">
        <v>1669</v>
      </c>
      <c r="B1939" s="2459" t="s">
        <v>1650</v>
      </c>
      <c r="C1939" s="2459" t="s">
        <v>1670</v>
      </c>
      <c r="D1939" s="2460" t="s">
        <v>1671</v>
      </c>
      <c r="E1939" s="2461" t="s">
        <v>1573</v>
      </c>
      <c r="F1939" s="2461" t="s">
        <v>1627</v>
      </c>
      <c r="G1939" s="2461" t="s">
        <v>1421</v>
      </c>
      <c r="H1939" s="2461" t="s">
        <v>1454</v>
      </c>
      <c r="I1939" s="2462">
        <v>4.7217987277181194E-3</v>
      </c>
      <c r="J1939" s="2462">
        <v>102.70848352282374</v>
      </c>
    </row>
    <row r="1940" spans="1:10" outlineLevel="2">
      <c r="A1940" s="2459" t="s">
        <v>1669</v>
      </c>
      <c r="B1940" s="2459" t="s">
        <v>1650</v>
      </c>
      <c r="C1940" s="2459" t="s">
        <v>1670</v>
      </c>
      <c r="D1940" s="2460" t="s">
        <v>1671</v>
      </c>
      <c r="E1940" s="2461" t="s">
        <v>1573</v>
      </c>
      <c r="F1940" s="2461" t="s">
        <v>1628</v>
      </c>
      <c r="G1940" s="2461" t="s">
        <v>1421</v>
      </c>
      <c r="H1940" s="2461" t="s">
        <v>1454</v>
      </c>
      <c r="I1940" s="2462">
        <v>2.3488301568251504E-4</v>
      </c>
      <c r="J1940" s="2462">
        <v>9.8779800659487478</v>
      </c>
    </row>
    <row r="1941" spans="1:10" outlineLevel="2">
      <c r="A1941" s="2459" t="s">
        <v>1669</v>
      </c>
      <c r="B1941" s="2459" t="s">
        <v>1650</v>
      </c>
      <c r="C1941" s="2459" t="s">
        <v>1670</v>
      </c>
      <c r="D1941" s="2460" t="s">
        <v>1671</v>
      </c>
      <c r="E1941" s="2461" t="s">
        <v>1573</v>
      </c>
      <c r="F1941" s="2461" t="s">
        <v>1629</v>
      </c>
      <c r="G1941" s="2461" t="s">
        <v>1421</v>
      </c>
      <c r="H1941" s="2461" t="s">
        <v>1454</v>
      </c>
      <c r="I1941" s="2462">
        <v>2.7173282887713967E-4</v>
      </c>
      <c r="J1941" s="2462">
        <v>8.7428038531878478</v>
      </c>
    </row>
    <row r="1942" spans="1:10" outlineLevel="2">
      <c r="A1942" s="2459" t="s">
        <v>1669</v>
      </c>
      <c r="B1942" s="2459" t="s">
        <v>1650</v>
      </c>
      <c r="C1942" s="2459" t="s">
        <v>1670</v>
      </c>
      <c r="D1942" s="2460" t="s">
        <v>1671</v>
      </c>
      <c r="E1942" s="2461" t="s">
        <v>1573</v>
      </c>
      <c r="F1942" s="2461" t="s">
        <v>1630</v>
      </c>
      <c r="G1942" s="2461" t="s">
        <v>1459</v>
      </c>
      <c r="H1942" s="2461" t="s">
        <v>1460</v>
      </c>
      <c r="I1942" s="2462">
        <v>1.0914639396680257E-2</v>
      </c>
      <c r="J1942" s="2462">
        <v>715.32190439011333</v>
      </c>
    </row>
    <row r="1943" spans="1:10" outlineLevel="2">
      <c r="A1943" s="2459" t="s">
        <v>1669</v>
      </c>
      <c r="B1943" s="2459" t="s">
        <v>1650</v>
      </c>
      <c r="C1943" s="2459" t="s">
        <v>1670</v>
      </c>
      <c r="D1943" s="2460" t="s">
        <v>1676</v>
      </c>
      <c r="E1943" s="2461" t="s">
        <v>213</v>
      </c>
      <c r="F1943" s="2461" t="s">
        <v>1635</v>
      </c>
      <c r="G1943" s="2461" t="s">
        <v>1636</v>
      </c>
      <c r="H1943" s="2461" t="s">
        <v>1637</v>
      </c>
      <c r="I1943" s="2462">
        <v>2.4458772484917791E-6</v>
      </c>
      <c r="J1943" s="2462">
        <v>8.2967744857120381E-3</v>
      </c>
    </row>
    <row r="1944" spans="1:10" outlineLevel="2">
      <c r="A1944" s="2459" t="s">
        <v>1669</v>
      </c>
      <c r="B1944" s="2459" t="s">
        <v>1650</v>
      </c>
      <c r="C1944" s="2459" t="s">
        <v>1670</v>
      </c>
      <c r="D1944" s="2460" t="s">
        <v>1676</v>
      </c>
      <c r="E1944" s="2461" t="s">
        <v>1538</v>
      </c>
      <c r="F1944" s="2461" t="s">
        <v>1638</v>
      </c>
      <c r="G1944" s="2461" t="s">
        <v>1636</v>
      </c>
      <c r="H1944" s="2461" t="s">
        <v>1540</v>
      </c>
      <c r="I1944" s="2462">
        <v>2.7620558171863633E-7</v>
      </c>
      <c r="J1944" s="2462">
        <v>4.6293272553186576E-3</v>
      </c>
    </row>
    <row r="1945" spans="1:10" outlineLevel="2">
      <c r="A1945" s="2459" t="s">
        <v>1669</v>
      </c>
      <c r="B1945" s="2459" t="s">
        <v>1650</v>
      </c>
      <c r="C1945" s="2459" t="s">
        <v>1670</v>
      </c>
      <c r="D1945" s="2460" t="s">
        <v>1676</v>
      </c>
      <c r="E1945" s="2461" t="s">
        <v>1573</v>
      </c>
      <c r="F1945" s="2461" t="s">
        <v>1639</v>
      </c>
      <c r="G1945" s="2461" t="s">
        <v>1636</v>
      </c>
      <c r="H1945" s="2461" t="s">
        <v>1637</v>
      </c>
      <c r="I1945" s="2462">
        <v>4.8080574889743485E-6</v>
      </c>
      <c r="J1945" s="2462">
        <v>0.25605756708743366</v>
      </c>
    </row>
    <row r="1946" spans="1:10" outlineLevel="2">
      <c r="A1946" s="2459" t="s">
        <v>1669</v>
      </c>
      <c r="B1946" s="2459" t="s">
        <v>1651</v>
      </c>
      <c r="C1946" s="2459" t="s">
        <v>1673</v>
      </c>
      <c r="D1946" s="2460" t="s">
        <v>1671</v>
      </c>
      <c r="E1946" s="2461" t="s">
        <v>1407</v>
      </c>
      <c r="F1946" s="2461" t="s">
        <v>1408</v>
      </c>
      <c r="G1946" s="2461" t="s">
        <v>1409</v>
      </c>
      <c r="H1946" s="2461" t="s">
        <v>1410</v>
      </c>
      <c r="I1946" s="2462">
        <v>1.2578431563272674E-2</v>
      </c>
      <c r="J1946" s="2462">
        <v>0.18503157114110283</v>
      </c>
    </row>
    <row r="1947" spans="1:10" outlineLevel="2">
      <c r="A1947" s="2459" t="s">
        <v>1669</v>
      </c>
      <c r="B1947" s="2459" t="s">
        <v>1651</v>
      </c>
      <c r="C1947" s="2459" t="s">
        <v>1673</v>
      </c>
      <c r="D1947" s="2460" t="s">
        <v>1671</v>
      </c>
      <c r="E1947" s="2461" t="s">
        <v>1407</v>
      </c>
      <c r="F1947" s="2461" t="s">
        <v>1411</v>
      </c>
      <c r="G1947" s="2461" t="s">
        <v>1412</v>
      </c>
      <c r="H1947" s="2461" t="s">
        <v>1410</v>
      </c>
      <c r="I1947" s="2462">
        <v>3.7407301991564688</v>
      </c>
      <c r="J1947" s="2462">
        <v>607.4724368088423</v>
      </c>
    </row>
    <row r="1948" spans="1:10" outlineLevel="2">
      <c r="A1948" s="2459" t="s">
        <v>1669</v>
      </c>
      <c r="B1948" s="2459" t="s">
        <v>1651</v>
      </c>
      <c r="C1948" s="2459" t="s">
        <v>1673</v>
      </c>
      <c r="D1948" s="2460" t="s">
        <v>1671</v>
      </c>
      <c r="E1948" s="2461" t="s">
        <v>1407</v>
      </c>
      <c r="F1948" s="2461" t="s">
        <v>1413</v>
      </c>
      <c r="G1948" s="2461" t="s">
        <v>1412</v>
      </c>
      <c r="H1948" s="2461" t="s">
        <v>1410</v>
      </c>
      <c r="I1948" s="2462">
        <v>3.0378433019964397E-3</v>
      </c>
      <c r="J1948" s="2462">
        <v>0.51463665204390174</v>
      </c>
    </row>
    <row r="1949" spans="1:10" outlineLevel="2">
      <c r="A1949" s="2459" t="s">
        <v>1669</v>
      </c>
      <c r="B1949" s="2459" t="s">
        <v>1651</v>
      </c>
      <c r="C1949" s="2459" t="s">
        <v>1673</v>
      </c>
      <c r="D1949" s="2460" t="s">
        <v>1671</v>
      </c>
      <c r="E1949" s="2461" t="s">
        <v>1407</v>
      </c>
      <c r="F1949" s="2461" t="s">
        <v>1414</v>
      </c>
      <c r="G1949" s="2461" t="s">
        <v>1412</v>
      </c>
      <c r="H1949" s="2461" t="s">
        <v>1410</v>
      </c>
      <c r="I1949" s="2462">
        <v>1.5265967006711874E-3</v>
      </c>
      <c r="J1949" s="2462">
        <v>0.2804422563974111</v>
      </c>
    </row>
    <row r="1950" spans="1:10" outlineLevel="2">
      <c r="A1950" s="2459" t="s">
        <v>1669</v>
      </c>
      <c r="B1950" s="2459" t="s">
        <v>1651</v>
      </c>
      <c r="C1950" s="2459" t="s">
        <v>1673</v>
      </c>
      <c r="D1950" s="2460" t="s">
        <v>1671</v>
      </c>
      <c r="E1950" s="2461" t="s">
        <v>1407</v>
      </c>
      <c r="F1950" s="2461" t="s">
        <v>1415</v>
      </c>
      <c r="G1950" s="2461" t="s">
        <v>1412</v>
      </c>
      <c r="H1950" s="2461" t="s">
        <v>1410</v>
      </c>
      <c r="I1950" s="2462">
        <v>8.8543340169709526E-3</v>
      </c>
      <c r="J1950" s="2462">
        <v>1.4104158069310671</v>
      </c>
    </row>
    <row r="1951" spans="1:10" outlineLevel="2">
      <c r="A1951" s="2459" t="s">
        <v>1669</v>
      </c>
      <c r="B1951" s="2459" t="s">
        <v>1651</v>
      </c>
      <c r="C1951" s="2459" t="s">
        <v>1673</v>
      </c>
      <c r="D1951" s="2460" t="s">
        <v>1671</v>
      </c>
      <c r="E1951" s="2461" t="s">
        <v>1407</v>
      </c>
      <c r="F1951" s="2461" t="s">
        <v>1416</v>
      </c>
      <c r="G1951" s="2461" t="s">
        <v>1412</v>
      </c>
      <c r="H1951" s="2461" t="s">
        <v>1410</v>
      </c>
      <c r="I1951" s="2462">
        <v>1.3973312144431737E-2</v>
      </c>
      <c r="J1951" s="2462">
        <v>3.4373159394895425</v>
      </c>
    </row>
    <row r="1952" spans="1:10" outlineLevel="2">
      <c r="A1952" s="2459" t="s">
        <v>1669</v>
      </c>
      <c r="B1952" s="2459" t="s">
        <v>1651</v>
      </c>
      <c r="C1952" s="2459" t="s">
        <v>1673</v>
      </c>
      <c r="D1952" s="2460" t="s">
        <v>1671</v>
      </c>
      <c r="E1952" s="2461" t="s">
        <v>1407</v>
      </c>
      <c r="F1952" s="2461" t="s">
        <v>1417</v>
      </c>
      <c r="G1952" s="2461" t="s">
        <v>1418</v>
      </c>
      <c r="H1952" s="2461" t="s">
        <v>1410</v>
      </c>
      <c r="I1952" s="2462">
        <v>1.1484931446658232E-2</v>
      </c>
      <c r="J1952" s="2462">
        <v>0.15255330151280941</v>
      </c>
    </row>
    <row r="1953" spans="1:10" outlineLevel="2">
      <c r="A1953" s="2459" t="s">
        <v>1669</v>
      </c>
      <c r="B1953" s="2459" t="s">
        <v>1651</v>
      </c>
      <c r="C1953" s="2459" t="s">
        <v>1673</v>
      </c>
      <c r="D1953" s="2460" t="s">
        <v>1671</v>
      </c>
      <c r="E1953" s="2461" t="s">
        <v>1407</v>
      </c>
      <c r="F1953" s="2461" t="s">
        <v>1419</v>
      </c>
      <c r="G1953" s="2461" t="s">
        <v>1418</v>
      </c>
      <c r="H1953" s="2461" t="s">
        <v>1410</v>
      </c>
      <c r="I1953" s="2462">
        <v>8.5250798788442009E-2</v>
      </c>
      <c r="J1953" s="2462">
        <v>16.556530923308223</v>
      </c>
    </row>
    <row r="1954" spans="1:10" outlineLevel="2">
      <c r="A1954" s="2459" t="s">
        <v>1669</v>
      </c>
      <c r="B1954" s="2459" t="s">
        <v>1651</v>
      </c>
      <c r="C1954" s="2459" t="s">
        <v>1673</v>
      </c>
      <c r="D1954" s="2460" t="s">
        <v>1671</v>
      </c>
      <c r="E1954" s="2461" t="s">
        <v>1407</v>
      </c>
      <c r="F1954" s="2461" t="s">
        <v>1420</v>
      </c>
      <c r="G1954" s="2461" t="s">
        <v>1421</v>
      </c>
      <c r="H1954" s="2461" t="s">
        <v>1410</v>
      </c>
      <c r="I1954" s="2462">
        <v>2.3443384113382111</v>
      </c>
      <c r="J1954" s="2462">
        <v>60.841803928658038</v>
      </c>
    </row>
    <row r="1955" spans="1:10" outlineLevel="2">
      <c r="A1955" s="2459" t="s">
        <v>1669</v>
      </c>
      <c r="B1955" s="2459" t="s">
        <v>1651</v>
      </c>
      <c r="C1955" s="2459" t="s">
        <v>1673</v>
      </c>
      <c r="D1955" s="2460" t="s">
        <v>1671</v>
      </c>
      <c r="E1955" s="2461" t="s">
        <v>1407</v>
      </c>
      <c r="F1955" s="2461" t="s">
        <v>1422</v>
      </c>
      <c r="G1955" s="2461" t="s">
        <v>1421</v>
      </c>
      <c r="H1955" s="2461" t="s">
        <v>1410</v>
      </c>
      <c r="I1955" s="2462">
        <v>7.0892454901924987E-2</v>
      </c>
      <c r="J1955" s="2462">
        <v>2.9046917208598484</v>
      </c>
    </row>
    <row r="1956" spans="1:10" outlineLevel="2">
      <c r="A1956" s="2459" t="s">
        <v>1669</v>
      </c>
      <c r="B1956" s="2459" t="s">
        <v>1651</v>
      </c>
      <c r="C1956" s="2459" t="s">
        <v>1673</v>
      </c>
      <c r="D1956" s="2460" t="s">
        <v>1671</v>
      </c>
      <c r="E1956" s="2461" t="s">
        <v>1407</v>
      </c>
      <c r="F1956" s="2461" t="s">
        <v>1423</v>
      </c>
      <c r="G1956" s="2461" t="s">
        <v>1421</v>
      </c>
      <c r="H1956" s="2461" t="s">
        <v>1410</v>
      </c>
      <c r="I1956" s="2462">
        <v>3.6848161059296503E-2</v>
      </c>
      <c r="J1956" s="2462">
        <v>4.2463308384287588</v>
      </c>
    </row>
    <row r="1957" spans="1:10" outlineLevel="2">
      <c r="A1957" s="2459" t="s">
        <v>1669</v>
      </c>
      <c r="B1957" s="2459" t="s">
        <v>1651</v>
      </c>
      <c r="C1957" s="2459" t="s">
        <v>1673</v>
      </c>
      <c r="D1957" s="2460" t="s">
        <v>1671</v>
      </c>
      <c r="E1957" s="2461" t="s">
        <v>1407</v>
      </c>
      <c r="F1957" s="2461" t="s">
        <v>1424</v>
      </c>
      <c r="G1957" s="2461" t="s">
        <v>1421</v>
      </c>
      <c r="H1957" s="2461" t="s">
        <v>1410</v>
      </c>
      <c r="I1957" s="2462">
        <v>0.72058439474085556</v>
      </c>
      <c r="J1957" s="2462">
        <v>150.79350654164296</v>
      </c>
    </row>
    <row r="1958" spans="1:10" outlineLevel="2">
      <c r="A1958" s="2459" t="s">
        <v>1669</v>
      </c>
      <c r="B1958" s="2459" t="s">
        <v>1651</v>
      </c>
      <c r="C1958" s="2459" t="s">
        <v>1673</v>
      </c>
      <c r="D1958" s="2460" t="s">
        <v>1671</v>
      </c>
      <c r="E1958" s="2461" t="s">
        <v>213</v>
      </c>
      <c r="F1958" s="2461" t="s">
        <v>1425</v>
      </c>
      <c r="G1958" s="2461" t="s">
        <v>1426</v>
      </c>
      <c r="H1958" s="2461" t="s">
        <v>1427</v>
      </c>
      <c r="I1958" s="2462">
        <v>0.62709222247279695</v>
      </c>
      <c r="J1958" s="2462">
        <v>180.18387379956295</v>
      </c>
    </row>
    <row r="1959" spans="1:10" outlineLevel="2">
      <c r="A1959" s="2459" t="s">
        <v>1669</v>
      </c>
      <c r="B1959" s="2459" t="s">
        <v>1651</v>
      </c>
      <c r="C1959" s="2459" t="s">
        <v>1673</v>
      </c>
      <c r="D1959" s="2460" t="s">
        <v>1671</v>
      </c>
      <c r="E1959" s="2461" t="s">
        <v>213</v>
      </c>
      <c r="F1959" s="2461" t="s">
        <v>1428</v>
      </c>
      <c r="G1959" s="2461" t="s">
        <v>1426</v>
      </c>
      <c r="H1959" s="2461" t="s">
        <v>1427</v>
      </c>
      <c r="I1959" s="2462">
        <v>0.19155200138827844</v>
      </c>
      <c r="J1959" s="2462">
        <v>77.381798849913579</v>
      </c>
    </row>
    <row r="1960" spans="1:10" outlineLevel="2">
      <c r="A1960" s="2459" t="s">
        <v>1669</v>
      </c>
      <c r="B1960" s="2459" t="s">
        <v>1651</v>
      </c>
      <c r="C1960" s="2459" t="s">
        <v>1673</v>
      </c>
      <c r="D1960" s="2460" t="s">
        <v>1671</v>
      </c>
      <c r="E1960" s="2461" t="s">
        <v>213</v>
      </c>
      <c r="F1960" s="2461" t="s">
        <v>1429</v>
      </c>
      <c r="G1960" s="2461" t="s">
        <v>1426</v>
      </c>
      <c r="H1960" s="2461" t="s">
        <v>1427</v>
      </c>
      <c r="I1960" s="2462">
        <v>8.7185679491838947E-2</v>
      </c>
      <c r="J1960" s="2462">
        <v>112.12724707176623</v>
      </c>
    </row>
    <row r="1961" spans="1:10" outlineLevel="2">
      <c r="A1961" s="2459" t="s">
        <v>1669</v>
      </c>
      <c r="B1961" s="2459" t="s">
        <v>1651</v>
      </c>
      <c r="C1961" s="2459" t="s">
        <v>1673</v>
      </c>
      <c r="D1961" s="2460" t="s">
        <v>1671</v>
      </c>
      <c r="E1961" s="2461" t="s">
        <v>213</v>
      </c>
      <c r="F1961" s="2461" t="s">
        <v>1430</v>
      </c>
      <c r="G1961" s="2461" t="s">
        <v>1409</v>
      </c>
      <c r="H1961" s="2461" t="s">
        <v>1070</v>
      </c>
      <c r="I1961" s="2462">
        <v>3.8880609306523428E-2</v>
      </c>
      <c r="J1961" s="2462">
        <v>24.124648674846362</v>
      </c>
    </row>
    <row r="1962" spans="1:10" outlineLevel="2">
      <c r="A1962" s="2459" t="s">
        <v>1669</v>
      </c>
      <c r="B1962" s="2459" t="s">
        <v>1651</v>
      </c>
      <c r="C1962" s="2459" t="s">
        <v>1673</v>
      </c>
      <c r="D1962" s="2460" t="s">
        <v>1671</v>
      </c>
      <c r="E1962" s="2461" t="s">
        <v>213</v>
      </c>
      <c r="F1962" s="2461" t="s">
        <v>1431</v>
      </c>
      <c r="G1962" s="2461" t="s">
        <v>1409</v>
      </c>
      <c r="H1962" s="2461" t="s">
        <v>1070</v>
      </c>
      <c r="I1962" s="2462">
        <v>3.2266777251774943E-3</v>
      </c>
      <c r="J1962" s="2462">
        <v>1.5627009690427358</v>
      </c>
    </row>
    <row r="1963" spans="1:10" outlineLevel="2">
      <c r="A1963" s="2459" t="s">
        <v>1669</v>
      </c>
      <c r="B1963" s="2459" t="s">
        <v>1651</v>
      </c>
      <c r="C1963" s="2459" t="s">
        <v>1673</v>
      </c>
      <c r="D1963" s="2460" t="s">
        <v>1671</v>
      </c>
      <c r="E1963" s="2461" t="s">
        <v>213</v>
      </c>
      <c r="F1963" s="2461" t="s">
        <v>1432</v>
      </c>
      <c r="G1963" s="2461" t="s">
        <v>1409</v>
      </c>
      <c r="H1963" s="2461" t="s">
        <v>1070</v>
      </c>
      <c r="I1963" s="2462">
        <v>3.910310641264232E-3</v>
      </c>
      <c r="J1963" s="2462">
        <v>1.8678720002056486</v>
      </c>
    </row>
    <row r="1964" spans="1:10" outlineLevel="2">
      <c r="A1964" s="2459" t="s">
        <v>1669</v>
      </c>
      <c r="B1964" s="2459" t="s">
        <v>1651</v>
      </c>
      <c r="C1964" s="2459" t="s">
        <v>1673</v>
      </c>
      <c r="D1964" s="2460" t="s">
        <v>1671</v>
      </c>
      <c r="E1964" s="2461" t="s">
        <v>213</v>
      </c>
      <c r="F1964" s="2461" t="s">
        <v>1433</v>
      </c>
      <c r="G1964" s="2461" t="s">
        <v>1409</v>
      </c>
      <c r="H1964" s="2461" t="s">
        <v>1070</v>
      </c>
      <c r="I1964" s="2462">
        <v>2.8918445086581205E-5</v>
      </c>
      <c r="J1964" s="2462">
        <v>1.2942345043283428E-2</v>
      </c>
    </row>
    <row r="1965" spans="1:10" outlineLevel="2">
      <c r="A1965" s="2459" t="s">
        <v>1669</v>
      </c>
      <c r="B1965" s="2459" t="s">
        <v>1651</v>
      </c>
      <c r="C1965" s="2459" t="s">
        <v>1673</v>
      </c>
      <c r="D1965" s="2460" t="s">
        <v>1671</v>
      </c>
      <c r="E1965" s="2461" t="s">
        <v>213</v>
      </c>
      <c r="F1965" s="2461" t="s">
        <v>1434</v>
      </c>
      <c r="G1965" s="2461" t="s">
        <v>1409</v>
      </c>
      <c r="H1965" s="2461" t="s">
        <v>1070</v>
      </c>
      <c r="I1965" s="2462">
        <v>0.11146643691000593</v>
      </c>
      <c r="J1965" s="2462">
        <v>62.241139084377906</v>
      </c>
    </row>
    <row r="1966" spans="1:10" outlineLevel="2">
      <c r="A1966" s="2459" t="s">
        <v>1669</v>
      </c>
      <c r="B1966" s="2459" t="s">
        <v>1651</v>
      </c>
      <c r="C1966" s="2459" t="s">
        <v>1673</v>
      </c>
      <c r="D1966" s="2460" t="s">
        <v>1671</v>
      </c>
      <c r="E1966" s="2461" t="s">
        <v>213</v>
      </c>
      <c r="F1966" s="2461" t="s">
        <v>1435</v>
      </c>
      <c r="G1966" s="2461" t="s">
        <v>1409</v>
      </c>
      <c r="H1966" s="2461" t="s">
        <v>1070</v>
      </c>
      <c r="I1966" s="2462">
        <v>8.1500636269948965E-4</v>
      </c>
      <c r="J1966" s="2462">
        <v>0.36475367369873873</v>
      </c>
    </row>
    <row r="1967" spans="1:10" outlineLevel="2">
      <c r="A1967" s="2459" t="s">
        <v>1669</v>
      </c>
      <c r="B1967" s="2459" t="s">
        <v>1651</v>
      </c>
      <c r="C1967" s="2459" t="s">
        <v>1673</v>
      </c>
      <c r="D1967" s="2460" t="s">
        <v>1671</v>
      </c>
      <c r="E1967" s="2461" t="s">
        <v>213</v>
      </c>
      <c r="F1967" s="2461" t="s">
        <v>1436</v>
      </c>
      <c r="G1967" s="2461" t="s">
        <v>1412</v>
      </c>
      <c r="H1967" s="2461" t="s">
        <v>1116</v>
      </c>
      <c r="I1967" s="2462">
        <v>3.7048192218013371E-3</v>
      </c>
      <c r="J1967" s="2462">
        <v>1.6580779803710213</v>
      </c>
    </row>
    <row r="1968" spans="1:10" outlineLevel="2">
      <c r="A1968" s="2459" t="s">
        <v>1669</v>
      </c>
      <c r="B1968" s="2459" t="s">
        <v>1651</v>
      </c>
      <c r="C1968" s="2459" t="s">
        <v>1673</v>
      </c>
      <c r="D1968" s="2460" t="s">
        <v>1671</v>
      </c>
      <c r="E1968" s="2461" t="s">
        <v>213</v>
      </c>
      <c r="F1968" s="2461" t="s">
        <v>1437</v>
      </c>
      <c r="G1968" s="2461" t="s">
        <v>1412</v>
      </c>
      <c r="H1968" s="2461" t="s">
        <v>1116</v>
      </c>
      <c r="I1968" s="2462">
        <v>2.8349760629880414E-4</v>
      </c>
      <c r="J1968" s="2462">
        <v>0.12687839451930866</v>
      </c>
    </row>
    <row r="1969" spans="1:10" outlineLevel="2">
      <c r="A1969" s="2459" t="s">
        <v>1669</v>
      </c>
      <c r="B1969" s="2459" t="s">
        <v>1651</v>
      </c>
      <c r="C1969" s="2459" t="s">
        <v>1673</v>
      </c>
      <c r="D1969" s="2460" t="s">
        <v>1671</v>
      </c>
      <c r="E1969" s="2461" t="s">
        <v>213</v>
      </c>
      <c r="F1969" s="2461" t="s">
        <v>1438</v>
      </c>
      <c r="G1969" s="2461" t="s">
        <v>1439</v>
      </c>
      <c r="H1969" s="2461" t="s">
        <v>1440</v>
      </c>
      <c r="I1969" s="2462">
        <v>1.2362405539739642E-2</v>
      </c>
      <c r="J1969" s="2462">
        <v>6.7704713261464686</v>
      </c>
    </row>
    <row r="1970" spans="1:10" outlineLevel="2">
      <c r="A1970" s="2459" t="s">
        <v>1669</v>
      </c>
      <c r="B1970" s="2459" t="s">
        <v>1651</v>
      </c>
      <c r="C1970" s="2459" t="s">
        <v>1673</v>
      </c>
      <c r="D1970" s="2460" t="s">
        <v>1671</v>
      </c>
      <c r="E1970" s="2461" t="s">
        <v>213</v>
      </c>
      <c r="F1970" s="2461" t="s">
        <v>1441</v>
      </c>
      <c r="G1970" s="2461" t="s">
        <v>1439</v>
      </c>
      <c r="H1970" s="2461" t="s">
        <v>1440</v>
      </c>
      <c r="I1970" s="2462">
        <v>0.19260094727030166</v>
      </c>
      <c r="J1970" s="2462">
        <v>103.51249710731513</v>
      </c>
    </row>
    <row r="1971" spans="1:10" outlineLevel="2">
      <c r="A1971" s="2459" t="s">
        <v>1669</v>
      </c>
      <c r="B1971" s="2459" t="s">
        <v>1651</v>
      </c>
      <c r="C1971" s="2459" t="s">
        <v>1673</v>
      </c>
      <c r="D1971" s="2460" t="s">
        <v>1671</v>
      </c>
      <c r="E1971" s="2461" t="s">
        <v>213</v>
      </c>
      <c r="F1971" s="2461" t="s">
        <v>1442</v>
      </c>
      <c r="G1971" s="2461" t="s">
        <v>1439</v>
      </c>
      <c r="H1971" s="2461" t="s">
        <v>1440</v>
      </c>
      <c r="I1971" s="2462">
        <v>0.17399492645091985</v>
      </c>
      <c r="J1971" s="2462">
        <v>90.39854705988887</v>
      </c>
    </row>
    <row r="1972" spans="1:10" outlineLevel="2">
      <c r="A1972" s="2459" t="s">
        <v>1669</v>
      </c>
      <c r="B1972" s="2459" t="s">
        <v>1651</v>
      </c>
      <c r="C1972" s="2459" t="s">
        <v>1673</v>
      </c>
      <c r="D1972" s="2460" t="s">
        <v>1671</v>
      </c>
      <c r="E1972" s="2461" t="s">
        <v>213</v>
      </c>
      <c r="F1972" s="2461" t="s">
        <v>1443</v>
      </c>
      <c r="G1972" s="2461" t="s">
        <v>1439</v>
      </c>
      <c r="H1972" s="2461" t="s">
        <v>1440</v>
      </c>
      <c r="I1972" s="2462">
        <v>1.8211546132900962</v>
      </c>
      <c r="J1972" s="2462">
        <v>996.90494031982041</v>
      </c>
    </row>
    <row r="1973" spans="1:10" outlineLevel="2">
      <c r="A1973" s="2459" t="s">
        <v>1669</v>
      </c>
      <c r="B1973" s="2459" t="s">
        <v>1651</v>
      </c>
      <c r="C1973" s="2459" t="s">
        <v>1673</v>
      </c>
      <c r="D1973" s="2460" t="s">
        <v>1671</v>
      </c>
      <c r="E1973" s="2461" t="s">
        <v>213</v>
      </c>
      <c r="F1973" s="2461" t="s">
        <v>1444</v>
      </c>
      <c r="G1973" s="2461" t="s">
        <v>1439</v>
      </c>
      <c r="H1973" s="2461" t="s">
        <v>1440</v>
      </c>
      <c r="I1973" s="2462">
        <v>0.21374287178234308</v>
      </c>
      <c r="J1973" s="2462">
        <v>125.54398412897021</v>
      </c>
    </row>
    <row r="1974" spans="1:10" outlineLevel="2">
      <c r="A1974" s="2459" t="s">
        <v>1669</v>
      </c>
      <c r="B1974" s="2459" t="s">
        <v>1651</v>
      </c>
      <c r="C1974" s="2459" t="s">
        <v>1673</v>
      </c>
      <c r="D1974" s="2460" t="s">
        <v>1671</v>
      </c>
      <c r="E1974" s="2461" t="s">
        <v>213</v>
      </c>
      <c r="F1974" s="2461" t="s">
        <v>1445</v>
      </c>
      <c r="G1974" s="2461" t="s">
        <v>1439</v>
      </c>
      <c r="H1974" s="2461" t="s">
        <v>1440</v>
      </c>
      <c r="I1974" s="2462">
        <v>1.7232392774813485</v>
      </c>
      <c r="J1974" s="2462">
        <v>871.16155963725373</v>
      </c>
    </row>
    <row r="1975" spans="1:10" outlineLevel="2">
      <c r="A1975" s="2459" t="s">
        <v>1669</v>
      </c>
      <c r="B1975" s="2459" t="s">
        <v>1651</v>
      </c>
      <c r="C1975" s="2459" t="s">
        <v>1673</v>
      </c>
      <c r="D1975" s="2460" t="s">
        <v>1671</v>
      </c>
      <c r="E1975" s="2461" t="s">
        <v>213</v>
      </c>
      <c r="F1975" s="2461" t="s">
        <v>1446</v>
      </c>
      <c r="G1975" s="2461" t="s">
        <v>1439</v>
      </c>
      <c r="H1975" s="2461" t="s">
        <v>1440</v>
      </c>
      <c r="I1975" s="2462">
        <v>0.15065578130987892</v>
      </c>
      <c r="J1975" s="2462">
        <v>80.799824296039603</v>
      </c>
    </row>
    <row r="1976" spans="1:10" outlineLevel="2">
      <c r="A1976" s="2459" t="s">
        <v>1669</v>
      </c>
      <c r="B1976" s="2459" t="s">
        <v>1651</v>
      </c>
      <c r="C1976" s="2459" t="s">
        <v>1673</v>
      </c>
      <c r="D1976" s="2460" t="s">
        <v>1671</v>
      </c>
      <c r="E1976" s="2461" t="s">
        <v>213</v>
      </c>
      <c r="F1976" s="2461" t="s">
        <v>1447</v>
      </c>
      <c r="G1976" s="2461" t="s">
        <v>1439</v>
      </c>
      <c r="H1976" s="2461" t="s">
        <v>1440</v>
      </c>
      <c r="I1976" s="2462">
        <v>1.5209193212631138</v>
      </c>
      <c r="J1976" s="2462">
        <v>813.45668568980204</v>
      </c>
    </row>
    <row r="1977" spans="1:10" outlineLevel="2">
      <c r="A1977" s="2459" t="s">
        <v>1669</v>
      </c>
      <c r="B1977" s="2459" t="s">
        <v>1651</v>
      </c>
      <c r="C1977" s="2459" t="s">
        <v>1673</v>
      </c>
      <c r="D1977" s="2460" t="s">
        <v>1671</v>
      </c>
      <c r="E1977" s="2461" t="s">
        <v>213</v>
      </c>
      <c r="F1977" s="2461" t="s">
        <v>1448</v>
      </c>
      <c r="G1977" s="2461" t="s">
        <v>1439</v>
      </c>
      <c r="H1977" s="2461" t="s">
        <v>1440</v>
      </c>
      <c r="I1977" s="2462">
        <v>0.27304784032170615</v>
      </c>
      <c r="J1977" s="2462">
        <v>39.977814911835985</v>
      </c>
    </row>
    <row r="1978" spans="1:10" outlineLevel="2">
      <c r="A1978" s="2459" t="s">
        <v>1669</v>
      </c>
      <c r="B1978" s="2459" t="s">
        <v>1651</v>
      </c>
      <c r="C1978" s="2459" t="s">
        <v>1673</v>
      </c>
      <c r="D1978" s="2460" t="s">
        <v>1671</v>
      </c>
      <c r="E1978" s="2461" t="s">
        <v>213</v>
      </c>
      <c r="F1978" s="2461" t="s">
        <v>1449</v>
      </c>
      <c r="G1978" s="2461" t="s">
        <v>1439</v>
      </c>
      <c r="H1978" s="2461" t="s">
        <v>1440</v>
      </c>
      <c r="I1978" s="2462">
        <v>2.0230140275389594</v>
      </c>
      <c r="J1978" s="2462">
        <v>296.18768620777013</v>
      </c>
    </row>
    <row r="1979" spans="1:10" outlineLevel="2">
      <c r="A1979" s="2459" t="s">
        <v>1669</v>
      </c>
      <c r="B1979" s="2459" t="s">
        <v>1651</v>
      </c>
      <c r="C1979" s="2459" t="s">
        <v>1673</v>
      </c>
      <c r="D1979" s="2460" t="s">
        <v>1671</v>
      </c>
      <c r="E1979" s="2461" t="s">
        <v>213</v>
      </c>
      <c r="F1979" s="2461" t="s">
        <v>1450</v>
      </c>
      <c r="G1979" s="2461" t="s">
        <v>1439</v>
      </c>
      <c r="H1979" s="2461" t="s">
        <v>1440</v>
      </c>
      <c r="I1979" s="2462">
        <v>8.6990674678163299E-4</v>
      </c>
      <c r="J1979" s="2462">
        <v>0.43406679646518076</v>
      </c>
    </row>
    <row r="1980" spans="1:10" outlineLevel="2">
      <c r="A1980" s="2459" t="s">
        <v>1669</v>
      </c>
      <c r="B1980" s="2459" t="s">
        <v>1651</v>
      </c>
      <c r="C1980" s="2459" t="s">
        <v>1673</v>
      </c>
      <c r="D1980" s="2460" t="s">
        <v>1671</v>
      </c>
      <c r="E1980" s="2461" t="s">
        <v>213</v>
      </c>
      <c r="F1980" s="2461" t="s">
        <v>1451</v>
      </c>
      <c r="G1980" s="2461" t="s">
        <v>1418</v>
      </c>
      <c r="H1980" s="2461" t="s">
        <v>1452</v>
      </c>
      <c r="I1980" s="2462">
        <v>1.4262754963025798E-3</v>
      </c>
      <c r="J1980" s="2462">
        <v>0.86735029279543818</v>
      </c>
    </row>
    <row r="1981" spans="1:10" outlineLevel="2">
      <c r="A1981" s="2459" t="s">
        <v>1669</v>
      </c>
      <c r="B1981" s="2459" t="s">
        <v>1651</v>
      </c>
      <c r="C1981" s="2459" t="s">
        <v>1673</v>
      </c>
      <c r="D1981" s="2460" t="s">
        <v>1671</v>
      </c>
      <c r="E1981" s="2461" t="s">
        <v>213</v>
      </c>
      <c r="F1981" s="2461" t="s">
        <v>1453</v>
      </c>
      <c r="G1981" s="2461" t="s">
        <v>1421</v>
      </c>
      <c r="H1981" s="2461" t="s">
        <v>1454</v>
      </c>
      <c r="I1981" s="2462">
        <v>2.0660057730057638E-2</v>
      </c>
      <c r="J1981" s="2462">
        <v>10.228998653022678</v>
      </c>
    </row>
    <row r="1982" spans="1:10" outlineLevel="2">
      <c r="A1982" s="2459" t="s">
        <v>1669</v>
      </c>
      <c r="B1982" s="2459" t="s">
        <v>1651</v>
      </c>
      <c r="C1982" s="2459" t="s">
        <v>1673</v>
      </c>
      <c r="D1982" s="2460" t="s">
        <v>1671</v>
      </c>
      <c r="E1982" s="2461" t="s">
        <v>213</v>
      </c>
      <c r="F1982" s="2461" t="s">
        <v>1455</v>
      </c>
      <c r="G1982" s="2461" t="s">
        <v>1421</v>
      </c>
      <c r="H1982" s="2461" t="s">
        <v>1454</v>
      </c>
      <c r="I1982" s="2462">
        <v>0.13184411055280348</v>
      </c>
      <c r="J1982" s="2462">
        <v>68.238836094254026</v>
      </c>
    </row>
    <row r="1983" spans="1:10" outlineLevel="2">
      <c r="A1983" s="2459" t="s">
        <v>1669</v>
      </c>
      <c r="B1983" s="2459" t="s">
        <v>1651</v>
      </c>
      <c r="C1983" s="2459" t="s">
        <v>1673</v>
      </c>
      <c r="D1983" s="2460" t="s">
        <v>1671</v>
      </c>
      <c r="E1983" s="2461" t="s">
        <v>213</v>
      </c>
      <c r="F1983" s="2461" t="s">
        <v>1456</v>
      </c>
      <c r="G1983" s="2461" t="s">
        <v>1421</v>
      </c>
      <c r="H1983" s="2461" t="s">
        <v>1454</v>
      </c>
      <c r="I1983" s="2462">
        <v>5.2882414782170592E-5</v>
      </c>
      <c r="J1983" s="2462">
        <v>2.3667359192352588E-2</v>
      </c>
    </row>
    <row r="1984" spans="1:10" outlineLevel="2">
      <c r="A1984" s="2459" t="s">
        <v>1669</v>
      </c>
      <c r="B1984" s="2459" t="s">
        <v>1651</v>
      </c>
      <c r="C1984" s="2459" t="s">
        <v>1673</v>
      </c>
      <c r="D1984" s="2460" t="s">
        <v>1671</v>
      </c>
      <c r="E1984" s="2461" t="s">
        <v>213</v>
      </c>
      <c r="F1984" s="2461" t="s">
        <v>1457</v>
      </c>
      <c r="G1984" s="2461" t="s">
        <v>1421</v>
      </c>
      <c r="H1984" s="2461" t="s">
        <v>1454</v>
      </c>
      <c r="I1984" s="2462">
        <v>9.2243670317475009E-4</v>
      </c>
      <c r="J1984" s="2462">
        <v>0.41283344363351804</v>
      </c>
    </row>
    <row r="1985" spans="1:10" outlineLevel="2">
      <c r="A1985" s="2459" t="s">
        <v>1669</v>
      </c>
      <c r="B1985" s="2459" t="s">
        <v>1651</v>
      </c>
      <c r="C1985" s="2459" t="s">
        <v>1673</v>
      </c>
      <c r="D1985" s="2460" t="s">
        <v>1671</v>
      </c>
      <c r="E1985" s="2461" t="s">
        <v>213</v>
      </c>
      <c r="F1985" s="2461" t="s">
        <v>1458</v>
      </c>
      <c r="G1985" s="2461" t="s">
        <v>1459</v>
      </c>
      <c r="H1985" s="2461" t="s">
        <v>1460</v>
      </c>
      <c r="I1985" s="2462">
        <v>3.8364517566334723E-3</v>
      </c>
      <c r="J1985" s="2462">
        <v>2.2148931849439863</v>
      </c>
    </row>
    <row r="1986" spans="1:10" outlineLevel="2">
      <c r="A1986" s="2459" t="s">
        <v>1669</v>
      </c>
      <c r="B1986" s="2459" t="s">
        <v>1651</v>
      </c>
      <c r="C1986" s="2459" t="s">
        <v>1673</v>
      </c>
      <c r="D1986" s="2460" t="s">
        <v>1671</v>
      </c>
      <c r="E1986" s="2461" t="s">
        <v>213</v>
      </c>
      <c r="F1986" s="2461" t="s">
        <v>1461</v>
      </c>
      <c r="G1986" s="2461" t="s">
        <v>1426</v>
      </c>
      <c r="H1986" s="2461" t="s">
        <v>1427</v>
      </c>
      <c r="I1986" s="2462">
        <v>0.11906215692901145</v>
      </c>
      <c r="J1986" s="2462">
        <v>84.03409685442287</v>
      </c>
    </row>
    <row r="1987" spans="1:10" outlineLevel="2">
      <c r="A1987" s="2459" t="s">
        <v>1669</v>
      </c>
      <c r="B1987" s="2459" t="s">
        <v>1651</v>
      </c>
      <c r="C1987" s="2459" t="s">
        <v>1673</v>
      </c>
      <c r="D1987" s="2460" t="s">
        <v>1671</v>
      </c>
      <c r="E1987" s="2461" t="s">
        <v>213</v>
      </c>
      <c r="F1987" s="2461" t="s">
        <v>1462</v>
      </c>
      <c r="G1987" s="2461" t="s">
        <v>1426</v>
      </c>
      <c r="H1987" s="2461" t="s">
        <v>1427</v>
      </c>
      <c r="I1987" s="2462">
        <v>0.87735940419353964</v>
      </c>
      <c r="J1987" s="2462">
        <v>798.89408669602801</v>
      </c>
    </row>
    <row r="1988" spans="1:10" outlineLevel="2">
      <c r="A1988" s="2459" t="s">
        <v>1669</v>
      </c>
      <c r="B1988" s="2459" t="s">
        <v>1651</v>
      </c>
      <c r="C1988" s="2459" t="s">
        <v>1673</v>
      </c>
      <c r="D1988" s="2460" t="s">
        <v>1671</v>
      </c>
      <c r="E1988" s="2461" t="s">
        <v>213</v>
      </c>
      <c r="F1988" s="2461" t="s">
        <v>1463</v>
      </c>
      <c r="G1988" s="2461" t="s">
        <v>1426</v>
      </c>
      <c r="H1988" s="2461" t="s">
        <v>1427</v>
      </c>
      <c r="I1988" s="2462">
        <v>0.89283081769836259</v>
      </c>
      <c r="J1988" s="2462">
        <v>1184.205116302857</v>
      </c>
    </row>
    <row r="1989" spans="1:10" outlineLevel="2">
      <c r="A1989" s="2459" t="s">
        <v>1669</v>
      </c>
      <c r="B1989" s="2459" t="s">
        <v>1651</v>
      </c>
      <c r="C1989" s="2459" t="s">
        <v>1673</v>
      </c>
      <c r="D1989" s="2460" t="s">
        <v>1671</v>
      </c>
      <c r="E1989" s="2461" t="s">
        <v>213</v>
      </c>
      <c r="F1989" s="2461" t="s">
        <v>1464</v>
      </c>
      <c r="G1989" s="2461" t="s">
        <v>1426</v>
      </c>
      <c r="H1989" s="2461" t="s">
        <v>1427</v>
      </c>
      <c r="I1989" s="2462">
        <v>0.11787749382377416</v>
      </c>
      <c r="J1989" s="2462">
        <v>107.15204737313533</v>
      </c>
    </row>
    <row r="1990" spans="1:10" outlineLevel="2">
      <c r="A1990" s="2459" t="s">
        <v>1669</v>
      </c>
      <c r="B1990" s="2459" t="s">
        <v>1651</v>
      </c>
      <c r="C1990" s="2459" t="s">
        <v>1673</v>
      </c>
      <c r="D1990" s="2460" t="s">
        <v>1671</v>
      </c>
      <c r="E1990" s="2461" t="s">
        <v>213</v>
      </c>
      <c r="F1990" s="2461" t="s">
        <v>1465</v>
      </c>
      <c r="G1990" s="2461" t="s">
        <v>1409</v>
      </c>
      <c r="H1990" s="2461" t="s">
        <v>1070</v>
      </c>
      <c r="I1990" s="2462">
        <v>1.3161600529851504E-2</v>
      </c>
      <c r="J1990" s="2462">
        <v>21.385397503225075</v>
      </c>
    </row>
    <row r="1991" spans="1:10" outlineLevel="2">
      <c r="A1991" s="2459" t="s">
        <v>1669</v>
      </c>
      <c r="B1991" s="2459" t="s">
        <v>1651</v>
      </c>
      <c r="C1991" s="2459" t="s">
        <v>1673</v>
      </c>
      <c r="D1991" s="2460" t="s">
        <v>1671</v>
      </c>
      <c r="E1991" s="2461" t="s">
        <v>213</v>
      </c>
      <c r="F1991" s="2461" t="s">
        <v>1466</v>
      </c>
      <c r="G1991" s="2461" t="s">
        <v>1409</v>
      </c>
      <c r="H1991" s="2461" t="s">
        <v>1070</v>
      </c>
      <c r="I1991" s="2462">
        <v>1.0517682275834008E-4</v>
      </c>
      <c r="J1991" s="2462">
        <v>0.15962341832738464</v>
      </c>
    </row>
    <row r="1992" spans="1:10" outlineLevel="2">
      <c r="A1992" s="2459" t="s">
        <v>1669</v>
      </c>
      <c r="B1992" s="2459" t="s">
        <v>1651</v>
      </c>
      <c r="C1992" s="2459" t="s">
        <v>1673</v>
      </c>
      <c r="D1992" s="2460" t="s">
        <v>1671</v>
      </c>
      <c r="E1992" s="2461" t="s">
        <v>213</v>
      </c>
      <c r="F1992" s="2461" t="s">
        <v>1467</v>
      </c>
      <c r="G1992" s="2461" t="s">
        <v>1409</v>
      </c>
      <c r="H1992" s="2461" t="s">
        <v>1070</v>
      </c>
      <c r="I1992" s="2462">
        <v>2.8438181516693615E-2</v>
      </c>
      <c r="J1992" s="2462">
        <v>40.175081228062929</v>
      </c>
    </row>
    <row r="1993" spans="1:10" outlineLevel="2">
      <c r="A1993" s="2459" t="s">
        <v>1669</v>
      </c>
      <c r="B1993" s="2459" t="s">
        <v>1651</v>
      </c>
      <c r="C1993" s="2459" t="s">
        <v>1673</v>
      </c>
      <c r="D1993" s="2460" t="s">
        <v>1671</v>
      </c>
      <c r="E1993" s="2461" t="s">
        <v>213</v>
      </c>
      <c r="F1993" s="2461" t="s">
        <v>1468</v>
      </c>
      <c r="G1993" s="2461" t="s">
        <v>1409</v>
      </c>
      <c r="H1993" s="2461" t="s">
        <v>1070</v>
      </c>
      <c r="I1993" s="2462">
        <v>2.3206468578929308E-2</v>
      </c>
      <c r="J1993" s="2462">
        <v>37.824159147848796</v>
      </c>
    </row>
    <row r="1994" spans="1:10" outlineLevel="2">
      <c r="A1994" s="2459" t="s">
        <v>1669</v>
      </c>
      <c r="B1994" s="2459" t="s">
        <v>1651</v>
      </c>
      <c r="C1994" s="2459" t="s">
        <v>1673</v>
      </c>
      <c r="D1994" s="2460" t="s">
        <v>1671</v>
      </c>
      <c r="E1994" s="2461" t="s">
        <v>213</v>
      </c>
      <c r="F1994" s="2461" t="s">
        <v>1469</v>
      </c>
      <c r="G1994" s="2461" t="s">
        <v>1409</v>
      </c>
      <c r="H1994" s="2461" t="s">
        <v>1070</v>
      </c>
      <c r="I1994" s="2462">
        <v>5.1896811430276912E-2</v>
      </c>
      <c r="J1994" s="2462">
        <v>75.485372492370544</v>
      </c>
    </row>
    <row r="1995" spans="1:10" outlineLevel="2">
      <c r="A1995" s="2459" t="s">
        <v>1669</v>
      </c>
      <c r="B1995" s="2459" t="s">
        <v>1651</v>
      </c>
      <c r="C1995" s="2459" t="s">
        <v>1673</v>
      </c>
      <c r="D1995" s="2460" t="s">
        <v>1671</v>
      </c>
      <c r="E1995" s="2461" t="s">
        <v>213</v>
      </c>
      <c r="F1995" s="2461" t="s">
        <v>1470</v>
      </c>
      <c r="G1995" s="2461" t="s">
        <v>1409</v>
      </c>
      <c r="H1995" s="2461" t="s">
        <v>1070</v>
      </c>
      <c r="I1995" s="2462">
        <v>2.2514227604369733E-2</v>
      </c>
      <c r="J1995" s="2462">
        <v>31.78492744056248</v>
      </c>
    </row>
    <row r="1996" spans="1:10" outlineLevel="2">
      <c r="A1996" s="2459" t="s">
        <v>1669</v>
      </c>
      <c r="B1996" s="2459" t="s">
        <v>1651</v>
      </c>
      <c r="C1996" s="2459" t="s">
        <v>1673</v>
      </c>
      <c r="D1996" s="2460" t="s">
        <v>1671</v>
      </c>
      <c r="E1996" s="2461" t="s">
        <v>213</v>
      </c>
      <c r="F1996" s="2461" t="s">
        <v>1471</v>
      </c>
      <c r="G1996" s="2461" t="s">
        <v>1409</v>
      </c>
      <c r="H1996" s="2461" t="s">
        <v>1070</v>
      </c>
      <c r="I1996" s="2462">
        <v>1.2261666692653507E-3</v>
      </c>
      <c r="J1996" s="2462">
        <v>1.656571957848038</v>
      </c>
    </row>
    <row r="1997" spans="1:10" outlineLevel="2">
      <c r="A1997" s="2459" t="s">
        <v>1669</v>
      </c>
      <c r="B1997" s="2459" t="s">
        <v>1651</v>
      </c>
      <c r="C1997" s="2459" t="s">
        <v>1673</v>
      </c>
      <c r="D1997" s="2460" t="s">
        <v>1671</v>
      </c>
      <c r="E1997" s="2461" t="s">
        <v>213</v>
      </c>
      <c r="F1997" s="2461" t="s">
        <v>1472</v>
      </c>
      <c r="G1997" s="2461" t="s">
        <v>1409</v>
      </c>
      <c r="H1997" s="2461" t="s">
        <v>1070</v>
      </c>
      <c r="I1997" s="2462">
        <v>4.2668425918405681E-2</v>
      </c>
      <c r="J1997" s="2462">
        <v>66.516097238179071</v>
      </c>
    </row>
    <row r="1998" spans="1:10" outlineLevel="2">
      <c r="A1998" s="2459" t="s">
        <v>1669</v>
      </c>
      <c r="B1998" s="2459" t="s">
        <v>1651</v>
      </c>
      <c r="C1998" s="2459" t="s">
        <v>1673</v>
      </c>
      <c r="D1998" s="2460" t="s">
        <v>1671</v>
      </c>
      <c r="E1998" s="2461" t="s">
        <v>213</v>
      </c>
      <c r="F1998" s="2461" t="s">
        <v>1473</v>
      </c>
      <c r="G1998" s="2461" t="s">
        <v>1409</v>
      </c>
      <c r="H1998" s="2461" t="s">
        <v>1070</v>
      </c>
      <c r="I1998" s="2462">
        <v>2.0333464045171008E-2</v>
      </c>
      <c r="J1998" s="2462">
        <v>24.669620391867181</v>
      </c>
    </row>
    <row r="1999" spans="1:10" outlineLevel="2">
      <c r="A1999" s="2459" t="s">
        <v>1669</v>
      </c>
      <c r="B1999" s="2459" t="s">
        <v>1651</v>
      </c>
      <c r="C1999" s="2459" t="s">
        <v>1673</v>
      </c>
      <c r="D1999" s="2460" t="s">
        <v>1671</v>
      </c>
      <c r="E1999" s="2461" t="s">
        <v>213</v>
      </c>
      <c r="F1999" s="2461" t="s">
        <v>1474</v>
      </c>
      <c r="G1999" s="2461" t="s">
        <v>1409</v>
      </c>
      <c r="H1999" s="2461" t="s">
        <v>1070</v>
      </c>
      <c r="I1999" s="2462">
        <v>9.6128314534361256E-2</v>
      </c>
      <c r="J1999" s="2462">
        <v>138.60496436468759</v>
      </c>
    </row>
    <row r="2000" spans="1:10" outlineLevel="2">
      <c r="A2000" s="2459" t="s">
        <v>1669</v>
      </c>
      <c r="B2000" s="2459" t="s">
        <v>1651</v>
      </c>
      <c r="C2000" s="2459" t="s">
        <v>1673</v>
      </c>
      <c r="D2000" s="2460" t="s">
        <v>1671</v>
      </c>
      <c r="E2000" s="2461" t="s">
        <v>213</v>
      </c>
      <c r="F2000" s="2461" t="s">
        <v>1475</v>
      </c>
      <c r="G2000" s="2461" t="s">
        <v>1409</v>
      </c>
      <c r="H2000" s="2461" t="s">
        <v>1070</v>
      </c>
      <c r="I2000" s="2462">
        <v>4.8728965171160481E-2</v>
      </c>
      <c r="J2000" s="2462">
        <v>66.561936922646808</v>
      </c>
    </row>
    <row r="2001" spans="1:10" outlineLevel="2">
      <c r="A2001" s="2459" t="s">
        <v>1669</v>
      </c>
      <c r="B2001" s="2459" t="s">
        <v>1651</v>
      </c>
      <c r="C2001" s="2459" t="s">
        <v>1673</v>
      </c>
      <c r="D2001" s="2460" t="s">
        <v>1671</v>
      </c>
      <c r="E2001" s="2461" t="s">
        <v>213</v>
      </c>
      <c r="F2001" s="2461" t="s">
        <v>1476</v>
      </c>
      <c r="G2001" s="2461" t="s">
        <v>1409</v>
      </c>
      <c r="H2001" s="2461" t="s">
        <v>1070</v>
      </c>
      <c r="I2001" s="2462">
        <v>3.8494786929695107E-3</v>
      </c>
      <c r="J2001" s="2462">
        <v>5.3614783478600723</v>
      </c>
    </row>
    <row r="2002" spans="1:10" outlineLevel="2">
      <c r="A2002" s="2459" t="s">
        <v>1669</v>
      </c>
      <c r="B2002" s="2459" t="s">
        <v>1651</v>
      </c>
      <c r="C2002" s="2459" t="s">
        <v>1673</v>
      </c>
      <c r="D2002" s="2460" t="s">
        <v>1671</v>
      </c>
      <c r="E2002" s="2461" t="s">
        <v>213</v>
      </c>
      <c r="F2002" s="2461" t="s">
        <v>1477</v>
      </c>
      <c r="G2002" s="2461" t="s">
        <v>1409</v>
      </c>
      <c r="H2002" s="2461" t="s">
        <v>1070</v>
      </c>
      <c r="I2002" s="2462">
        <v>6.3244429304074217E-3</v>
      </c>
      <c r="J2002" s="2462">
        <v>9.0032643843320574</v>
      </c>
    </row>
    <row r="2003" spans="1:10" outlineLevel="2">
      <c r="A2003" s="2459" t="s">
        <v>1669</v>
      </c>
      <c r="B2003" s="2459" t="s">
        <v>1651</v>
      </c>
      <c r="C2003" s="2459" t="s">
        <v>1673</v>
      </c>
      <c r="D2003" s="2460" t="s">
        <v>1671</v>
      </c>
      <c r="E2003" s="2461" t="s">
        <v>213</v>
      </c>
      <c r="F2003" s="2461" t="s">
        <v>1478</v>
      </c>
      <c r="G2003" s="2461" t="s">
        <v>1409</v>
      </c>
      <c r="H2003" s="2461" t="s">
        <v>1070</v>
      </c>
      <c r="I2003" s="2462">
        <v>2.7674286613291908E-3</v>
      </c>
      <c r="J2003" s="2462">
        <v>8.0451557079469218</v>
      </c>
    </row>
    <row r="2004" spans="1:10" outlineLevel="2">
      <c r="A2004" s="2459" t="s">
        <v>1669</v>
      </c>
      <c r="B2004" s="2459" t="s">
        <v>1651</v>
      </c>
      <c r="C2004" s="2459" t="s">
        <v>1673</v>
      </c>
      <c r="D2004" s="2460" t="s">
        <v>1671</v>
      </c>
      <c r="E2004" s="2461" t="s">
        <v>213</v>
      </c>
      <c r="F2004" s="2461" t="s">
        <v>1479</v>
      </c>
      <c r="G2004" s="2461" t="s">
        <v>1409</v>
      </c>
      <c r="H2004" s="2461" t="s">
        <v>1070</v>
      </c>
      <c r="I2004" s="2462">
        <v>2.2282334899615809E-3</v>
      </c>
      <c r="J2004" s="2462">
        <v>19.081718267239054</v>
      </c>
    </row>
    <row r="2005" spans="1:10" outlineLevel="2">
      <c r="A2005" s="2459" t="s">
        <v>1669</v>
      </c>
      <c r="B2005" s="2459" t="s">
        <v>1651</v>
      </c>
      <c r="C2005" s="2459" t="s">
        <v>1673</v>
      </c>
      <c r="D2005" s="2460" t="s">
        <v>1671</v>
      </c>
      <c r="E2005" s="2461" t="s">
        <v>213</v>
      </c>
      <c r="F2005" s="2461" t="s">
        <v>1480</v>
      </c>
      <c r="G2005" s="2461" t="s">
        <v>1409</v>
      </c>
      <c r="H2005" s="2461" t="s">
        <v>1070</v>
      </c>
      <c r="I2005" s="2462">
        <v>3.0328829771274483E-2</v>
      </c>
      <c r="J2005" s="2462">
        <v>45.49897064571941</v>
      </c>
    </row>
    <row r="2006" spans="1:10" outlineLevel="2">
      <c r="A2006" s="2459" t="s">
        <v>1669</v>
      </c>
      <c r="B2006" s="2459" t="s">
        <v>1651</v>
      </c>
      <c r="C2006" s="2459" t="s">
        <v>1673</v>
      </c>
      <c r="D2006" s="2460" t="s">
        <v>1671</v>
      </c>
      <c r="E2006" s="2461" t="s">
        <v>213</v>
      </c>
      <c r="F2006" s="2461" t="s">
        <v>1481</v>
      </c>
      <c r="G2006" s="2461" t="s">
        <v>1409</v>
      </c>
      <c r="H2006" s="2461" t="s">
        <v>1070</v>
      </c>
      <c r="I2006" s="2462">
        <v>2.1641801810688196E-2</v>
      </c>
      <c r="J2006" s="2462">
        <v>31.710972549057576</v>
      </c>
    </row>
    <row r="2007" spans="1:10" outlineLevel="2">
      <c r="A2007" s="2459" t="s">
        <v>1669</v>
      </c>
      <c r="B2007" s="2459" t="s">
        <v>1651</v>
      </c>
      <c r="C2007" s="2459" t="s">
        <v>1673</v>
      </c>
      <c r="D2007" s="2460" t="s">
        <v>1671</v>
      </c>
      <c r="E2007" s="2461" t="s">
        <v>213</v>
      </c>
      <c r="F2007" s="2461" t="s">
        <v>1482</v>
      </c>
      <c r="G2007" s="2461" t="s">
        <v>1409</v>
      </c>
      <c r="H2007" s="2461" t="s">
        <v>1070</v>
      </c>
      <c r="I2007" s="2462">
        <v>8.503844988130083E-3</v>
      </c>
      <c r="J2007" s="2462">
        <v>10.390558005595986</v>
      </c>
    </row>
    <row r="2008" spans="1:10" outlineLevel="2">
      <c r="A2008" s="2459" t="s">
        <v>1669</v>
      </c>
      <c r="B2008" s="2459" t="s">
        <v>1651</v>
      </c>
      <c r="C2008" s="2459" t="s">
        <v>1673</v>
      </c>
      <c r="D2008" s="2460" t="s">
        <v>1671</v>
      </c>
      <c r="E2008" s="2461" t="s">
        <v>213</v>
      </c>
      <c r="F2008" s="2461" t="s">
        <v>1483</v>
      </c>
      <c r="G2008" s="2461" t="s">
        <v>1409</v>
      </c>
      <c r="H2008" s="2461" t="s">
        <v>1070</v>
      </c>
      <c r="I2008" s="2462">
        <v>7.0717760489079264E-3</v>
      </c>
      <c r="J2008" s="2462">
        <v>7.592403425024469</v>
      </c>
    </row>
    <row r="2009" spans="1:10" outlineLevel="2">
      <c r="A2009" s="2459" t="s">
        <v>1669</v>
      </c>
      <c r="B2009" s="2459" t="s">
        <v>1651</v>
      </c>
      <c r="C2009" s="2459" t="s">
        <v>1673</v>
      </c>
      <c r="D2009" s="2460" t="s">
        <v>1671</v>
      </c>
      <c r="E2009" s="2461" t="s">
        <v>213</v>
      </c>
      <c r="F2009" s="2461" t="s">
        <v>1484</v>
      </c>
      <c r="G2009" s="2461" t="s">
        <v>1412</v>
      </c>
      <c r="H2009" s="2461" t="s">
        <v>1116</v>
      </c>
      <c r="I2009" s="2462">
        <v>9.2027836768055801E-2</v>
      </c>
      <c r="J2009" s="2462">
        <v>183.78963725110054</v>
      </c>
    </row>
    <row r="2010" spans="1:10" outlineLevel="2">
      <c r="A2010" s="2459" t="s">
        <v>1669</v>
      </c>
      <c r="B2010" s="2459" t="s">
        <v>1651</v>
      </c>
      <c r="C2010" s="2459" t="s">
        <v>1673</v>
      </c>
      <c r="D2010" s="2460" t="s">
        <v>1671</v>
      </c>
      <c r="E2010" s="2461" t="s">
        <v>213</v>
      </c>
      <c r="F2010" s="2461" t="s">
        <v>1485</v>
      </c>
      <c r="G2010" s="2461" t="s">
        <v>1412</v>
      </c>
      <c r="H2010" s="2461" t="s">
        <v>1116</v>
      </c>
      <c r="I2010" s="2462">
        <v>6.6140391028426782E-2</v>
      </c>
      <c r="J2010" s="2462">
        <v>695.5519282847107</v>
      </c>
    </row>
    <row r="2011" spans="1:10" outlineLevel="2">
      <c r="A2011" s="2459" t="s">
        <v>1669</v>
      </c>
      <c r="B2011" s="2459" t="s">
        <v>1651</v>
      </c>
      <c r="C2011" s="2459" t="s">
        <v>1673</v>
      </c>
      <c r="D2011" s="2460" t="s">
        <v>1671</v>
      </c>
      <c r="E2011" s="2461" t="s">
        <v>213</v>
      </c>
      <c r="F2011" s="2461" t="s">
        <v>1486</v>
      </c>
      <c r="G2011" s="2461" t="s">
        <v>1412</v>
      </c>
      <c r="H2011" s="2461" t="s">
        <v>1116</v>
      </c>
      <c r="I2011" s="2462">
        <v>5.4893431467831176E-2</v>
      </c>
      <c r="J2011" s="2462">
        <v>149.46153649716118</v>
      </c>
    </row>
    <row r="2012" spans="1:10" outlineLevel="2">
      <c r="A2012" s="2459" t="s">
        <v>1669</v>
      </c>
      <c r="B2012" s="2459" t="s">
        <v>1651</v>
      </c>
      <c r="C2012" s="2459" t="s">
        <v>1673</v>
      </c>
      <c r="D2012" s="2460" t="s">
        <v>1671</v>
      </c>
      <c r="E2012" s="2461" t="s">
        <v>213</v>
      </c>
      <c r="F2012" s="2461" t="s">
        <v>1487</v>
      </c>
      <c r="G2012" s="2461" t="s">
        <v>1412</v>
      </c>
      <c r="H2012" s="2461" t="s">
        <v>1116</v>
      </c>
      <c r="I2012" s="2462">
        <v>0.2111539285702754</v>
      </c>
      <c r="J2012" s="2462">
        <v>280.72984711796607</v>
      </c>
    </row>
    <row r="2013" spans="1:10" outlineLevel="2">
      <c r="A2013" s="2459" t="s">
        <v>1669</v>
      </c>
      <c r="B2013" s="2459" t="s">
        <v>1651</v>
      </c>
      <c r="C2013" s="2459" t="s">
        <v>1673</v>
      </c>
      <c r="D2013" s="2460" t="s">
        <v>1671</v>
      </c>
      <c r="E2013" s="2461" t="s">
        <v>213</v>
      </c>
      <c r="F2013" s="2461" t="s">
        <v>1488</v>
      </c>
      <c r="G2013" s="2461" t="s">
        <v>1412</v>
      </c>
      <c r="H2013" s="2461" t="s">
        <v>1116</v>
      </c>
      <c r="I2013" s="2462">
        <v>5.9550144376876377E-3</v>
      </c>
      <c r="J2013" s="2462">
        <v>12.881082961180251</v>
      </c>
    </row>
    <row r="2014" spans="1:10" outlineLevel="2">
      <c r="A2014" s="2459" t="s">
        <v>1669</v>
      </c>
      <c r="B2014" s="2459" t="s">
        <v>1651</v>
      </c>
      <c r="C2014" s="2459" t="s">
        <v>1673</v>
      </c>
      <c r="D2014" s="2460" t="s">
        <v>1671</v>
      </c>
      <c r="E2014" s="2461" t="s">
        <v>213</v>
      </c>
      <c r="F2014" s="2461" t="s">
        <v>1489</v>
      </c>
      <c r="G2014" s="2461" t="s">
        <v>1412</v>
      </c>
      <c r="H2014" s="2461" t="s">
        <v>1116</v>
      </c>
      <c r="I2014" s="2462">
        <v>4.6351018249312752E-3</v>
      </c>
      <c r="J2014" s="2462">
        <v>6.8532188522109649</v>
      </c>
    </row>
    <row r="2015" spans="1:10" outlineLevel="2">
      <c r="A2015" s="2459" t="s">
        <v>1669</v>
      </c>
      <c r="B2015" s="2459" t="s">
        <v>1651</v>
      </c>
      <c r="C2015" s="2459" t="s">
        <v>1673</v>
      </c>
      <c r="D2015" s="2460" t="s">
        <v>1671</v>
      </c>
      <c r="E2015" s="2461" t="s">
        <v>213</v>
      </c>
      <c r="F2015" s="2461" t="s">
        <v>1490</v>
      </c>
      <c r="G2015" s="2461" t="s">
        <v>1412</v>
      </c>
      <c r="H2015" s="2461" t="s">
        <v>1116</v>
      </c>
      <c r="I2015" s="2462">
        <v>4.3371647678610622E-3</v>
      </c>
      <c r="J2015" s="2462">
        <v>61.428023877978326</v>
      </c>
    </row>
    <row r="2016" spans="1:10" outlineLevel="2">
      <c r="A2016" s="2459" t="s">
        <v>1669</v>
      </c>
      <c r="B2016" s="2459" t="s">
        <v>1651</v>
      </c>
      <c r="C2016" s="2459" t="s">
        <v>1673</v>
      </c>
      <c r="D2016" s="2460" t="s">
        <v>1671</v>
      </c>
      <c r="E2016" s="2461" t="s">
        <v>213</v>
      </c>
      <c r="F2016" s="2461" t="s">
        <v>1491</v>
      </c>
      <c r="G2016" s="2461" t="s">
        <v>1439</v>
      </c>
      <c r="H2016" s="2461" t="s">
        <v>1440</v>
      </c>
      <c r="I2016" s="2462">
        <v>1.0709985599614877</v>
      </c>
      <c r="J2016" s="2462">
        <v>1142.0006828917253</v>
      </c>
    </row>
    <row r="2017" spans="1:10" outlineLevel="2">
      <c r="A2017" s="2459" t="s">
        <v>1669</v>
      </c>
      <c r="B2017" s="2459" t="s">
        <v>1651</v>
      </c>
      <c r="C2017" s="2459" t="s">
        <v>1673</v>
      </c>
      <c r="D2017" s="2460" t="s">
        <v>1671</v>
      </c>
      <c r="E2017" s="2461" t="s">
        <v>213</v>
      </c>
      <c r="F2017" s="2461" t="s">
        <v>1492</v>
      </c>
      <c r="G2017" s="2461" t="s">
        <v>1439</v>
      </c>
      <c r="H2017" s="2461" t="s">
        <v>1440</v>
      </c>
      <c r="I2017" s="2462">
        <v>1.8824566003140957</v>
      </c>
      <c r="J2017" s="2462">
        <v>2546.499157099744</v>
      </c>
    </row>
    <row r="2018" spans="1:10" outlineLevel="2">
      <c r="A2018" s="2459" t="s">
        <v>1669</v>
      </c>
      <c r="B2018" s="2459" t="s">
        <v>1651</v>
      </c>
      <c r="C2018" s="2459" t="s">
        <v>1673</v>
      </c>
      <c r="D2018" s="2460" t="s">
        <v>1671</v>
      </c>
      <c r="E2018" s="2461" t="s">
        <v>213</v>
      </c>
      <c r="F2018" s="2461" t="s">
        <v>1493</v>
      </c>
      <c r="G2018" s="2461" t="s">
        <v>1439</v>
      </c>
      <c r="H2018" s="2461" t="s">
        <v>1440</v>
      </c>
      <c r="I2018" s="2462">
        <v>9.2196552385943265E-2</v>
      </c>
      <c r="J2018" s="2462">
        <v>98.271116777329183</v>
      </c>
    </row>
    <row r="2019" spans="1:10" outlineLevel="2">
      <c r="A2019" s="2459" t="s">
        <v>1669</v>
      </c>
      <c r="B2019" s="2459" t="s">
        <v>1651</v>
      </c>
      <c r="C2019" s="2459" t="s">
        <v>1673</v>
      </c>
      <c r="D2019" s="2460" t="s">
        <v>1671</v>
      </c>
      <c r="E2019" s="2461" t="s">
        <v>213</v>
      </c>
      <c r="F2019" s="2461" t="s">
        <v>1494</v>
      </c>
      <c r="G2019" s="2461" t="s">
        <v>1439</v>
      </c>
      <c r="H2019" s="2461" t="s">
        <v>1440</v>
      </c>
      <c r="I2019" s="2462">
        <v>1.19963573435686</v>
      </c>
      <c r="J2019" s="2462">
        <v>1510.4903001675214</v>
      </c>
    </row>
    <row r="2020" spans="1:10" outlineLevel="2">
      <c r="A2020" s="2459" t="s">
        <v>1669</v>
      </c>
      <c r="B2020" s="2459" t="s">
        <v>1651</v>
      </c>
      <c r="C2020" s="2459" t="s">
        <v>1673</v>
      </c>
      <c r="D2020" s="2460" t="s">
        <v>1671</v>
      </c>
      <c r="E2020" s="2461" t="s">
        <v>213</v>
      </c>
      <c r="F2020" s="2461" t="s">
        <v>1495</v>
      </c>
      <c r="G2020" s="2461" t="s">
        <v>1439</v>
      </c>
      <c r="H2020" s="2461" t="s">
        <v>1440</v>
      </c>
      <c r="I2020" s="2462">
        <v>5.0224627168708458E-3</v>
      </c>
      <c r="J2020" s="2462">
        <v>6.348059917127407</v>
      </c>
    </row>
    <row r="2021" spans="1:10" outlineLevel="2">
      <c r="A2021" s="2459" t="s">
        <v>1669</v>
      </c>
      <c r="B2021" s="2459" t="s">
        <v>1651</v>
      </c>
      <c r="C2021" s="2459" t="s">
        <v>1673</v>
      </c>
      <c r="D2021" s="2460" t="s">
        <v>1671</v>
      </c>
      <c r="E2021" s="2461" t="s">
        <v>213</v>
      </c>
      <c r="F2021" s="2461" t="s">
        <v>1496</v>
      </c>
      <c r="G2021" s="2461" t="s">
        <v>1439</v>
      </c>
      <c r="H2021" s="2461" t="s">
        <v>1440</v>
      </c>
      <c r="I2021" s="2462">
        <v>4.1792969491674881E-2</v>
      </c>
      <c r="J2021" s="2462">
        <v>58.983296960104262</v>
      </c>
    </row>
    <row r="2022" spans="1:10" outlineLevel="2">
      <c r="A2022" s="2459" t="s">
        <v>1669</v>
      </c>
      <c r="B2022" s="2459" t="s">
        <v>1651</v>
      </c>
      <c r="C2022" s="2459" t="s">
        <v>1673</v>
      </c>
      <c r="D2022" s="2460" t="s">
        <v>1671</v>
      </c>
      <c r="E2022" s="2461" t="s">
        <v>213</v>
      </c>
      <c r="F2022" s="2461" t="s">
        <v>1497</v>
      </c>
      <c r="G2022" s="2461" t="s">
        <v>1439</v>
      </c>
      <c r="H2022" s="2461" t="s">
        <v>1440</v>
      </c>
      <c r="I2022" s="2462">
        <v>9.5654235762600848E-3</v>
      </c>
      <c r="J2022" s="2462">
        <v>12.110665435543748</v>
      </c>
    </row>
    <row r="2023" spans="1:10" outlineLevel="2">
      <c r="A2023" s="2459" t="s">
        <v>1669</v>
      </c>
      <c r="B2023" s="2459" t="s">
        <v>1651</v>
      </c>
      <c r="C2023" s="2459" t="s">
        <v>1673</v>
      </c>
      <c r="D2023" s="2460" t="s">
        <v>1671</v>
      </c>
      <c r="E2023" s="2461" t="s">
        <v>213</v>
      </c>
      <c r="F2023" s="2461" t="s">
        <v>1498</v>
      </c>
      <c r="G2023" s="2461" t="s">
        <v>1439</v>
      </c>
      <c r="H2023" s="2461" t="s">
        <v>1440</v>
      </c>
      <c r="I2023" s="2462">
        <v>1.4282748535775611</v>
      </c>
      <c r="J2023" s="2462">
        <v>2420.3565891888929</v>
      </c>
    </row>
    <row r="2024" spans="1:10" outlineLevel="2">
      <c r="A2024" s="2459" t="s">
        <v>1669</v>
      </c>
      <c r="B2024" s="2459" t="s">
        <v>1651</v>
      </c>
      <c r="C2024" s="2459" t="s">
        <v>1673</v>
      </c>
      <c r="D2024" s="2460" t="s">
        <v>1671</v>
      </c>
      <c r="E2024" s="2461" t="s">
        <v>213</v>
      </c>
      <c r="F2024" s="2461" t="s">
        <v>1499</v>
      </c>
      <c r="G2024" s="2461" t="s">
        <v>1439</v>
      </c>
      <c r="H2024" s="2461" t="s">
        <v>1440</v>
      </c>
      <c r="I2024" s="2462">
        <v>0.24429789816679293</v>
      </c>
      <c r="J2024" s="2462">
        <v>129.24577603480543</v>
      </c>
    </row>
    <row r="2025" spans="1:10" outlineLevel="2">
      <c r="A2025" s="2459" t="s">
        <v>1669</v>
      </c>
      <c r="B2025" s="2459" t="s">
        <v>1651</v>
      </c>
      <c r="C2025" s="2459" t="s">
        <v>1673</v>
      </c>
      <c r="D2025" s="2460" t="s">
        <v>1671</v>
      </c>
      <c r="E2025" s="2461" t="s">
        <v>213</v>
      </c>
      <c r="F2025" s="2461" t="s">
        <v>1500</v>
      </c>
      <c r="G2025" s="2461" t="s">
        <v>1439</v>
      </c>
      <c r="H2025" s="2461" t="s">
        <v>1440</v>
      </c>
      <c r="I2025" s="2462">
        <v>1.8101471306243573</v>
      </c>
      <c r="J2025" s="2462">
        <v>957.54557402960518</v>
      </c>
    </row>
    <row r="2026" spans="1:10" outlineLevel="2">
      <c r="A2026" s="2459" t="s">
        <v>1669</v>
      </c>
      <c r="B2026" s="2459" t="s">
        <v>1651</v>
      </c>
      <c r="C2026" s="2459" t="s">
        <v>1673</v>
      </c>
      <c r="D2026" s="2460" t="s">
        <v>1671</v>
      </c>
      <c r="E2026" s="2461" t="s">
        <v>213</v>
      </c>
      <c r="F2026" s="2461" t="s">
        <v>1501</v>
      </c>
      <c r="G2026" s="2461" t="s">
        <v>1439</v>
      </c>
      <c r="H2026" s="2461" t="s">
        <v>1440</v>
      </c>
      <c r="I2026" s="2462">
        <v>0.15957994992615721</v>
      </c>
      <c r="J2026" s="2462">
        <v>231.94388250182499</v>
      </c>
    </row>
    <row r="2027" spans="1:10" outlineLevel="2">
      <c r="A2027" s="2459" t="s">
        <v>1669</v>
      </c>
      <c r="B2027" s="2459" t="s">
        <v>1651</v>
      </c>
      <c r="C2027" s="2459" t="s">
        <v>1673</v>
      </c>
      <c r="D2027" s="2460" t="s">
        <v>1671</v>
      </c>
      <c r="E2027" s="2461" t="s">
        <v>213</v>
      </c>
      <c r="F2027" s="2461" t="s">
        <v>1502</v>
      </c>
      <c r="G2027" s="2461" t="s">
        <v>1439</v>
      </c>
      <c r="H2027" s="2461" t="s">
        <v>1440</v>
      </c>
      <c r="I2027" s="2462">
        <v>0.21497703523451406</v>
      </c>
      <c r="J2027" s="2462">
        <v>323.53149390870857</v>
      </c>
    </row>
    <row r="2028" spans="1:10" outlineLevel="2">
      <c r="A2028" s="2459" t="s">
        <v>1669</v>
      </c>
      <c r="B2028" s="2459" t="s">
        <v>1651</v>
      </c>
      <c r="C2028" s="2459" t="s">
        <v>1673</v>
      </c>
      <c r="D2028" s="2460" t="s">
        <v>1671</v>
      </c>
      <c r="E2028" s="2461" t="s">
        <v>213</v>
      </c>
      <c r="F2028" s="2461" t="s">
        <v>1503</v>
      </c>
      <c r="G2028" s="2461" t="s">
        <v>1439</v>
      </c>
      <c r="H2028" s="2461" t="s">
        <v>1440</v>
      </c>
      <c r="I2028" s="2462">
        <v>0.28362653272232813</v>
      </c>
      <c r="J2028" s="2462">
        <v>366.20587266623727</v>
      </c>
    </row>
    <row r="2029" spans="1:10" outlineLevel="2">
      <c r="A2029" s="2459" t="s">
        <v>1669</v>
      </c>
      <c r="B2029" s="2459" t="s">
        <v>1651</v>
      </c>
      <c r="C2029" s="2459" t="s">
        <v>1673</v>
      </c>
      <c r="D2029" s="2460" t="s">
        <v>1671</v>
      </c>
      <c r="E2029" s="2461" t="s">
        <v>213</v>
      </c>
      <c r="F2029" s="2461" t="s">
        <v>1504</v>
      </c>
      <c r="G2029" s="2461" t="s">
        <v>1439</v>
      </c>
      <c r="H2029" s="2461" t="s">
        <v>1440</v>
      </c>
      <c r="I2029" s="2462">
        <v>0.14472553744223962</v>
      </c>
      <c r="J2029" s="2462">
        <v>173.87234998423597</v>
      </c>
    </row>
    <row r="2030" spans="1:10" outlineLevel="2">
      <c r="A2030" s="2459" t="s">
        <v>1669</v>
      </c>
      <c r="B2030" s="2459" t="s">
        <v>1651</v>
      </c>
      <c r="C2030" s="2459" t="s">
        <v>1673</v>
      </c>
      <c r="D2030" s="2460" t="s">
        <v>1671</v>
      </c>
      <c r="E2030" s="2461" t="s">
        <v>213</v>
      </c>
      <c r="F2030" s="2461" t="s">
        <v>1505</v>
      </c>
      <c r="G2030" s="2461" t="s">
        <v>1439</v>
      </c>
      <c r="H2030" s="2461" t="s">
        <v>1440</v>
      </c>
      <c r="I2030" s="2462">
        <v>2.1341808089058003</v>
      </c>
      <c r="J2030" s="2462">
        <v>3109.0194564976605</v>
      </c>
    </row>
    <row r="2031" spans="1:10" outlineLevel="2">
      <c r="A2031" s="2459" t="s">
        <v>1669</v>
      </c>
      <c r="B2031" s="2459" t="s">
        <v>1651</v>
      </c>
      <c r="C2031" s="2459" t="s">
        <v>1673</v>
      </c>
      <c r="D2031" s="2460" t="s">
        <v>1671</v>
      </c>
      <c r="E2031" s="2461" t="s">
        <v>213</v>
      </c>
      <c r="F2031" s="2461" t="s">
        <v>1506</v>
      </c>
      <c r="G2031" s="2461" t="s">
        <v>1439</v>
      </c>
      <c r="H2031" s="2461" t="s">
        <v>1440</v>
      </c>
      <c r="I2031" s="2462">
        <v>2.9208882377463055</v>
      </c>
      <c r="J2031" s="2462">
        <v>4396.8067514440982</v>
      </c>
    </row>
    <row r="2032" spans="1:10" outlineLevel="2">
      <c r="A2032" s="2459" t="s">
        <v>1669</v>
      </c>
      <c r="B2032" s="2459" t="s">
        <v>1651</v>
      </c>
      <c r="C2032" s="2459" t="s">
        <v>1673</v>
      </c>
      <c r="D2032" s="2460" t="s">
        <v>1671</v>
      </c>
      <c r="E2032" s="2461" t="s">
        <v>213</v>
      </c>
      <c r="F2032" s="2461" t="s">
        <v>1507</v>
      </c>
      <c r="G2032" s="2461" t="s">
        <v>1439</v>
      </c>
      <c r="H2032" s="2461" t="s">
        <v>1440</v>
      </c>
      <c r="I2032" s="2462">
        <v>0.32683965426239225</v>
      </c>
      <c r="J2032" s="2462">
        <v>734.15170202626052</v>
      </c>
    </row>
    <row r="2033" spans="1:10" outlineLevel="2">
      <c r="A2033" s="2459" t="s">
        <v>1669</v>
      </c>
      <c r="B2033" s="2459" t="s">
        <v>1651</v>
      </c>
      <c r="C2033" s="2459" t="s">
        <v>1673</v>
      </c>
      <c r="D2033" s="2460" t="s">
        <v>1671</v>
      </c>
      <c r="E2033" s="2461" t="s">
        <v>213</v>
      </c>
      <c r="F2033" s="2461" t="s">
        <v>1508</v>
      </c>
      <c r="G2033" s="2461" t="s">
        <v>1439</v>
      </c>
      <c r="H2033" s="2461" t="s">
        <v>1440</v>
      </c>
      <c r="I2033" s="2462">
        <v>8.9964785054393861</v>
      </c>
      <c r="J2033" s="2462">
        <v>14193.172615182875</v>
      </c>
    </row>
    <row r="2034" spans="1:10" outlineLevel="2">
      <c r="A2034" s="2459" t="s">
        <v>1669</v>
      </c>
      <c r="B2034" s="2459" t="s">
        <v>1651</v>
      </c>
      <c r="C2034" s="2459" t="s">
        <v>1673</v>
      </c>
      <c r="D2034" s="2460" t="s">
        <v>1671</v>
      </c>
      <c r="E2034" s="2461" t="s">
        <v>213</v>
      </c>
      <c r="F2034" s="2461" t="s">
        <v>1509</v>
      </c>
      <c r="G2034" s="2461" t="s">
        <v>1439</v>
      </c>
      <c r="H2034" s="2461" t="s">
        <v>1440</v>
      </c>
      <c r="I2034" s="2462">
        <v>9.716004834930167E-2</v>
      </c>
      <c r="J2034" s="2462">
        <v>110.51450943521472</v>
      </c>
    </row>
    <row r="2035" spans="1:10" outlineLevel="2">
      <c r="A2035" s="2459" t="s">
        <v>1669</v>
      </c>
      <c r="B2035" s="2459" t="s">
        <v>1651</v>
      </c>
      <c r="C2035" s="2459" t="s">
        <v>1673</v>
      </c>
      <c r="D2035" s="2460" t="s">
        <v>1671</v>
      </c>
      <c r="E2035" s="2461" t="s">
        <v>213</v>
      </c>
      <c r="F2035" s="2461" t="s">
        <v>1510</v>
      </c>
      <c r="G2035" s="2461" t="s">
        <v>1439</v>
      </c>
      <c r="H2035" s="2461" t="s">
        <v>1440</v>
      </c>
      <c r="I2035" s="2462">
        <v>0.37752882694032791</v>
      </c>
      <c r="J2035" s="2462">
        <v>436.13263281062734</v>
      </c>
    </row>
    <row r="2036" spans="1:10" outlineLevel="2">
      <c r="A2036" s="2459" t="s">
        <v>1669</v>
      </c>
      <c r="B2036" s="2459" t="s">
        <v>1651</v>
      </c>
      <c r="C2036" s="2459" t="s">
        <v>1673</v>
      </c>
      <c r="D2036" s="2460" t="s">
        <v>1671</v>
      </c>
      <c r="E2036" s="2461" t="s">
        <v>213</v>
      </c>
      <c r="F2036" s="2461" t="s">
        <v>1511</v>
      </c>
      <c r="G2036" s="2461" t="s">
        <v>1418</v>
      </c>
      <c r="H2036" s="2461" t="s">
        <v>1452</v>
      </c>
      <c r="I2036" s="2462">
        <v>1.4351190629261991E-3</v>
      </c>
      <c r="J2036" s="2462">
        <v>2.1098985304860292</v>
      </c>
    </row>
    <row r="2037" spans="1:10" outlineLevel="2">
      <c r="A2037" s="2459" t="s">
        <v>1669</v>
      </c>
      <c r="B2037" s="2459" t="s">
        <v>1651</v>
      </c>
      <c r="C2037" s="2459" t="s">
        <v>1673</v>
      </c>
      <c r="D2037" s="2460" t="s">
        <v>1671</v>
      </c>
      <c r="E2037" s="2461" t="s">
        <v>213</v>
      </c>
      <c r="F2037" s="2461" t="s">
        <v>1512</v>
      </c>
      <c r="G2037" s="2461" t="s">
        <v>1418</v>
      </c>
      <c r="H2037" s="2461" t="s">
        <v>1452</v>
      </c>
      <c r="I2037" s="2462">
        <v>1.8778743203580854E-3</v>
      </c>
      <c r="J2037" s="2462">
        <v>8.1645496250362495</v>
      </c>
    </row>
    <row r="2038" spans="1:10" outlineLevel="2">
      <c r="A2038" s="2459" t="s">
        <v>1669</v>
      </c>
      <c r="B2038" s="2459" t="s">
        <v>1651</v>
      </c>
      <c r="C2038" s="2459" t="s">
        <v>1673</v>
      </c>
      <c r="D2038" s="2460" t="s">
        <v>1671</v>
      </c>
      <c r="E2038" s="2461" t="s">
        <v>213</v>
      </c>
      <c r="F2038" s="2461" t="s">
        <v>1513</v>
      </c>
      <c r="G2038" s="2461" t="s">
        <v>1418</v>
      </c>
      <c r="H2038" s="2461" t="s">
        <v>1452</v>
      </c>
      <c r="I2038" s="2462">
        <v>6.9981518059429712E-5</v>
      </c>
      <c r="J2038" s="2462">
        <v>6.5493880101784599E-2</v>
      </c>
    </row>
    <row r="2039" spans="1:10" outlineLevel="2">
      <c r="A2039" s="2459" t="s">
        <v>1669</v>
      </c>
      <c r="B2039" s="2459" t="s">
        <v>1651</v>
      </c>
      <c r="C2039" s="2459" t="s">
        <v>1673</v>
      </c>
      <c r="D2039" s="2460" t="s">
        <v>1671</v>
      </c>
      <c r="E2039" s="2461" t="s">
        <v>213</v>
      </c>
      <c r="F2039" s="2461" t="s">
        <v>1514</v>
      </c>
      <c r="G2039" s="2461" t="s">
        <v>1418</v>
      </c>
      <c r="H2039" s="2461" t="s">
        <v>1452</v>
      </c>
      <c r="I2039" s="2462">
        <v>6.2772278779874716E-3</v>
      </c>
      <c r="J2039" s="2462">
        <v>5.8629933430221435</v>
      </c>
    </row>
    <row r="2040" spans="1:10" outlineLevel="2">
      <c r="A2040" s="2459" t="s">
        <v>1669</v>
      </c>
      <c r="B2040" s="2459" t="s">
        <v>1651</v>
      </c>
      <c r="C2040" s="2459" t="s">
        <v>1673</v>
      </c>
      <c r="D2040" s="2460" t="s">
        <v>1671</v>
      </c>
      <c r="E2040" s="2461" t="s">
        <v>213</v>
      </c>
      <c r="F2040" s="2461" t="s">
        <v>1515</v>
      </c>
      <c r="G2040" s="2461" t="s">
        <v>1418</v>
      </c>
      <c r="H2040" s="2461" t="s">
        <v>1452</v>
      </c>
      <c r="I2040" s="2462">
        <v>1.2074208489356684E-3</v>
      </c>
      <c r="J2040" s="2462">
        <v>1.7346580639763758</v>
      </c>
    </row>
    <row r="2041" spans="1:10" outlineLevel="2">
      <c r="A2041" s="2459" t="s">
        <v>1669</v>
      </c>
      <c r="B2041" s="2459" t="s">
        <v>1651</v>
      </c>
      <c r="C2041" s="2459" t="s">
        <v>1673</v>
      </c>
      <c r="D2041" s="2460" t="s">
        <v>1671</v>
      </c>
      <c r="E2041" s="2461" t="s">
        <v>213</v>
      </c>
      <c r="F2041" s="2461" t="s">
        <v>1516</v>
      </c>
      <c r="G2041" s="2461" t="s">
        <v>1418</v>
      </c>
      <c r="H2041" s="2461" t="s">
        <v>1452</v>
      </c>
      <c r="I2041" s="2462">
        <v>1.7249000733062913E-2</v>
      </c>
      <c r="J2041" s="2462">
        <v>19.219911740834082</v>
      </c>
    </row>
    <row r="2042" spans="1:10" outlineLevel="2">
      <c r="A2042" s="2459" t="s">
        <v>1669</v>
      </c>
      <c r="B2042" s="2459" t="s">
        <v>1651</v>
      </c>
      <c r="C2042" s="2459" t="s">
        <v>1673</v>
      </c>
      <c r="D2042" s="2460" t="s">
        <v>1671</v>
      </c>
      <c r="E2042" s="2461" t="s">
        <v>213</v>
      </c>
      <c r="F2042" s="2461" t="s">
        <v>1517</v>
      </c>
      <c r="G2042" s="2461" t="s">
        <v>1418</v>
      </c>
      <c r="H2042" s="2461" t="s">
        <v>1452</v>
      </c>
      <c r="I2042" s="2462">
        <v>8.8281461598133437E-2</v>
      </c>
      <c r="J2042" s="2462">
        <v>43.089084225179953</v>
      </c>
    </row>
    <row r="2043" spans="1:10" outlineLevel="2">
      <c r="A2043" s="2459" t="s">
        <v>1669</v>
      </c>
      <c r="B2043" s="2459" t="s">
        <v>1651</v>
      </c>
      <c r="C2043" s="2459" t="s">
        <v>1673</v>
      </c>
      <c r="D2043" s="2460" t="s">
        <v>1671</v>
      </c>
      <c r="E2043" s="2461" t="s">
        <v>213</v>
      </c>
      <c r="F2043" s="2461" t="s">
        <v>1518</v>
      </c>
      <c r="G2043" s="2461" t="s">
        <v>1418</v>
      </c>
      <c r="H2043" s="2461" t="s">
        <v>1452</v>
      </c>
      <c r="I2043" s="2462">
        <v>9.9411988177003432E-3</v>
      </c>
      <c r="J2043" s="2462">
        <v>9.2851794525552904</v>
      </c>
    </row>
    <row r="2044" spans="1:10" outlineLevel="2">
      <c r="A2044" s="2459" t="s">
        <v>1669</v>
      </c>
      <c r="B2044" s="2459" t="s">
        <v>1651</v>
      </c>
      <c r="C2044" s="2459" t="s">
        <v>1673</v>
      </c>
      <c r="D2044" s="2460" t="s">
        <v>1671</v>
      </c>
      <c r="E2044" s="2461" t="s">
        <v>213</v>
      </c>
      <c r="F2044" s="2461" t="s">
        <v>1519</v>
      </c>
      <c r="G2044" s="2461" t="s">
        <v>1418</v>
      </c>
      <c r="H2044" s="2461" t="s">
        <v>1452</v>
      </c>
      <c r="I2044" s="2462">
        <v>1.3053019033183335E-2</v>
      </c>
      <c r="J2044" s="2462">
        <v>13.250281614754606</v>
      </c>
    </row>
    <row r="2045" spans="1:10" outlineLevel="2">
      <c r="A2045" s="2459" t="s">
        <v>1669</v>
      </c>
      <c r="B2045" s="2459" t="s">
        <v>1651</v>
      </c>
      <c r="C2045" s="2459" t="s">
        <v>1673</v>
      </c>
      <c r="D2045" s="2460" t="s">
        <v>1671</v>
      </c>
      <c r="E2045" s="2461" t="s">
        <v>213</v>
      </c>
      <c r="F2045" s="2461" t="s">
        <v>1520</v>
      </c>
      <c r="G2045" s="2461" t="s">
        <v>1418</v>
      </c>
      <c r="H2045" s="2461" t="s">
        <v>1452</v>
      </c>
      <c r="I2045" s="2462">
        <v>1.5648759288397617E-3</v>
      </c>
      <c r="J2045" s="2462">
        <v>14.160662166533038</v>
      </c>
    </row>
    <row r="2046" spans="1:10" outlineLevel="2">
      <c r="A2046" s="2459" t="s">
        <v>1669</v>
      </c>
      <c r="B2046" s="2459" t="s">
        <v>1651</v>
      </c>
      <c r="C2046" s="2459" t="s">
        <v>1673</v>
      </c>
      <c r="D2046" s="2460" t="s">
        <v>1671</v>
      </c>
      <c r="E2046" s="2461" t="s">
        <v>213</v>
      </c>
      <c r="F2046" s="2461" t="s">
        <v>1521</v>
      </c>
      <c r="G2046" s="2461" t="s">
        <v>1421</v>
      </c>
      <c r="H2046" s="2461" t="s">
        <v>1454</v>
      </c>
      <c r="I2046" s="2462">
        <v>1.5247188782365317</v>
      </c>
      <c r="J2046" s="2462">
        <v>2104.7387997737601</v>
      </c>
    </row>
    <row r="2047" spans="1:10" outlineLevel="2">
      <c r="A2047" s="2459" t="s">
        <v>1669</v>
      </c>
      <c r="B2047" s="2459" t="s">
        <v>1651</v>
      </c>
      <c r="C2047" s="2459" t="s">
        <v>1673</v>
      </c>
      <c r="D2047" s="2460" t="s">
        <v>1671</v>
      </c>
      <c r="E2047" s="2461" t="s">
        <v>213</v>
      </c>
      <c r="F2047" s="2461" t="s">
        <v>1522</v>
      </c>
      <c r="G2047" s="2461" t="s">
        <v>1421</v>
      </c>
      <c r="H2047" s="2461" t="s">
        <v>1454</v>
      </c>
      <c r="I2047" s="2462">
        <v>0.35811815269650804</v>
      </c>
      <c r="J2047" s="2462">
        <v>526.58684835321105</v>
      </c>
    </row>
    <row r="2048" spans="1:10" outlineLevel="2">
      <c r="A2048" s="2459" t="s">
        <v>1669</v>
      </c>
      <c r="B2048" s="2459" t="s">
        <v>1651</v>
      </c>
      <c r="C2048" s="2459" t="s">
        <v>1673</v>
      </c>
      <c r="D2048" s="2460" t="s">
        <v>1671</v>
      </c>
      <c r="E2048" s="2461" t="s">
        <v>213</v>
      </c>
      <c r="F2048" s="2461" t="s">
        <v>1523</v>
      </c>
      <c r="G2048" s="2461" t="s">
        <v>1421</v>
      </c>
      <c r="H2048" s="2461" t="s">
        <v>1454</v>
      </c>
      <c r="I2048" s="2462">
        <v>0.16521044854160644</v>
      </c>
      <c r="J2048" s="2462">
        <v>278.44171390587138</v>
      </c>
    </row>
    <row r="2049" spans="1:10" outlineLevel="2">
      <c r="A2049" s="2459" t="s">
        <v>1669</v>
      </c>
      <c r="B2049" s="2459" t="s">
        <v>1651</v>
      </c>
      <c r="C2049" s="2459" t="s">
        <v>1673</v>
      </c>
      <c r="D2049" s="2460" t="s">
        <v>1671</v>
      </c>
      <c r="E2049" s="2461" t="s">
        <v>213</v>
      </c>
      <c r="F2049" s="2461" t="s">
        <v>1524</v>
      </c>
      <c r="G2049" s="2461" t="s">
        <v>1421</v>
      </c>
      <c r="H2049" s="2461" t="s">
        <v>1454</v>
      </c>
      <c r="I2049" s="2462">
        <v>0.38068684817303883</v>
      </c>
      <c r="J2049" s="2462">
        <v>598.57461408148447</v>
      </c>
    </row>
    <row r="2050" spans="1:10" outlineLevel="2">
      <c r="A2050" s="2459" t="s">
        <v>1669</v>
      </c>
      <c r="B2050" s="2459" t="s">
        <v>1651</v>
      </c>
      <c r="C2050" s="2459" t="s">
        <v>1673</v>
      </c>
      <c r="D2050" s="2460" t="s">
        <v>1671</v>
      </c>
      <c r="E2050" s="2461" t="s">
        <v>213</v>
      </c>
      <c r="F2050" s="2461" t="s">
        <v>1525</v>
      </c>
      <c r="G2050" s="2461" t="s">
        <v>1421</v>
      </c>
      <c r="H2050" s="2461" t="s">
        <v>1454</v>
      </c>
      <c r="I2050" s="2462">
        <v>0.67064893823671345</v>
      </c>
      <c r="J2050" s="2462">
        <v>945.73189003684854</v>
      </c>
    </row>
    <row r="2051" spans="1:10" outlineLevel="2">
      <c r="A2051" s="2459" t="s">
        <v>1669</v>
      </c>
      <c r="B2051" s="2459" t="s">
        <v>1651</v>
      </c>
      <c r="C2051" s="2459" t="s">
        <v>1673</v>
      </c>
      <c r="D2051" s="2460" t="s">
        <v>1671</v>
      </c>
      <c r="E2051" s="2461" t="s">
        <v>213</v>
      </c>
      <c r="F2051" s="2461" t="s">
        <v>1526</v>
      </c>
      <c r="G2051" s="2461" t="s">
        <v>1421</v>
      </c>
      <c r="H2051" s="2461" t="s">
        <v>1454</v>
      </c>
      <c r="I2051" s="2462">
        <v>3.1069349594855324E-2</v>
      </c>
      <c r="J2051" s="2462">
        <v>44.372208509328622</v>
      </c>
    </row>
    <row r="2052" spans="1:10" outlineLevel="2">
      <c r="A2052" s="2459" t="s">
        <v>1669</v>
      </c>
      <c r="B2052" s="2459" t="s">
        <v>1651</v>
      </c>
      <c r="C2052" s="2459" t="s">
        <v>1673</v>
      </c>
      <c r="D2052" s="2460" t="s">
        <v>1671</v>
      </c>
      <c r="E2052" s="2461" t="s">
        <v>213</v>
      </c>
      <c r="F2052" s="2461" t="s">
        <v>1527</v>
      </c>
      <c r="G2052" s="2461" t="s">
        <v>1459</v>
      </c>
      <c r="H2052" s="2461" t="s">
        <v>1460</v>
      </c>
      <c r="I2052" s="2462">
        <v>5.1367388417719161E-3</v>
      </c>
      <c r="J2052" s="2462">
        <v>5.3375488788831422</v>
      </c>
    </row>
    <row r="2053" spans="1:10" outlineLevel="2">
      <c r="A2053" s="2459" t="s">
        <v>1669</v>
      </c>
      <c r="B2053" s="2459" t="s">
        <v>1651</v>
      </c>
      <c r="C2053" s="2459" t="s">
        <v>1673</v>
      </c>
      <c r="D2053" s="2460" t="s">
        <v>1671</v>
      </c>
      <c r="E2053" s="2461" t="s">
        <v>213</v>
      </c>
      <c r="F2053" s="2461" t="s">
        <v>1528</v>
      </c>
      <c r="G2053" s="2461" t="s">
        <v>1459</v>
      </c>
      <c r="H2053" s="2461" t="s">
        <v>1460</v>
      </c>
      <c r="I2053" s="2462">
        <v>4.4713779173787337E-5</v>
      </c>
      <c r="J2053" s="2462">
        <v>5.6885694100608335E-2</v>
      </c>
    </row>
    <row r="2054" spans="1:10" outlineLevel="2">
      <c r="A2054" s="2459" t="s">
        <v>1669</v>
      </c>
      <c r="B2054" s="2459" t="s">
        <v>1651</v>
      </c>
      <c r="C2054" s="2459" t="s">
        <v>1673</v>
      </c>
      <c r="D2054" s="2460" t="s">
        <v>1671</v>
      </c>
      <c r="E2054" s="2461" t="s">
        <v>213</v>
      </c>
      <c r="F2054" s="2461" t="s">
        <v>1529</v>
      </c>
      <c r="G2054" s="2461" t="s">
        <v>1530</v>
      </c>
      <c r="H2054" s="2461" t="s">
        <v>1531</v>
      </c>
      <c r="I2054" s="2462">
        <v>0.6601496701580839</v>
      </c>
      <c r="J2054" s="2462">
        <v>561.6676610321656</v>
      </c>
    </row>
    <row r="2055" spans="1:10" outlineLevel="2">
      <c r="A2055" s="2459" t="s">
        <v>1669</v>
      </c>
      <c r="B2055" s="2459" t="s">
        <v>1651</v>
      </c>
      <c r="C2055" s="2459" t="s">
        <v>1673</v>
      </c>
      <c r="D2055" s="2460" t="s">
        <v>1671</v>
      </c>
      <c r="E2055" s="2461" t="s">
        <v>213</v>
      </c>
      <c r="F2055" s="2461" t="s">
        <v>1532</v>
      </c>
      <c r="G2055" s="2461" t="s">
        <v>1530</v>
      </c>
      <c r="H2055" s="2461" t="s">
        <v>1531</v>
      </c>
      <c r="I2055" s="2462">
        <v>0.2778654255520453</v>
      </c>
      <c r="J2055" s="2462">
        <v>237.04983281072651</v>
      </c>
    </row>
    <row r="2056" spans="1:10" outlineLevel="2">
      <c r="A2056" s="2459" t="s">
        <v>1669</v>
      </c>
      <c r="B2056" s="2459" t="s">
        <v>1651</v>
      </c>
      <c r="C2056" s="2459" t="s">
        <v>1673</v>
      </c>
      <c r="D2056" s="2460" t="s">
        <v>1671</v>
      </c>
      <c r="E2056" s="2461" t="s">
        <v>213</v>
      </c>
      <c r="F2056" s="2461" t="s">
        <v>1533</v>
      </c>
      <c r="G2056" s="2461" t="s">
        <v>1534</v>
      </c>
      <c r="H2056" s="2461" t="s">
        <v>1531</v>
      </c>
      <c r="I2056" s="2462">
        <v>0.10433289292280684</v>
      </c>
      <c r="J2056" s="2462">
        <v>175.1043957606793</v>
      </c>
    </row>
    <row r="2057" spans="1:10" outlineLevel="2">
      <c r="A2057" s="2459" t="s">
        <v>1669</v>
      </c>
      <c r="B2057" s="2459" t="s">
        <v>1651</v>
      </c>
      <c r="C2057" s="2459" t="s">
        <v>1673</v>
      </c>
      <c r="D2057" s="2460" t="s">
        <v>1671</v>
      </c>
      <c r="E2057" s="2461" t="s">
        <v>213</v>
      </c>
      <c r="F2057" s="2461" t="s">
        <v>1535</v>
      </c>
      <c r="G2057" s="2461" t="s">
        <v>1536</v>
      </c>
      <c r="H2057" s="2461" t="s">
        <v>1537</v>
      </c>
      <c r="I2057" s="2462">
        <v>1.172826100833165E-2</v>
      </c>
      <c r="J2057" s="2462">
        <v>17.4068415904114</v>
      </c>
    </row>
    <row r="2058" spans="1:10" outlineLevel="2">
      <c r="A2058" s="2459" t="s">
        <v>1669</v>
      </c>
      <c r="B2058" s="2459" t="s">
        <v>1651</v>
      </c>
      <c r="C2058" s="2459" t="s">
        <v>1673</v>
      </c>
      <c r="D2058" s="2460" t="s">
        <v>1671</v>
      </c>
      <c r="E2058" s="2461" t="s">
        <v>1538</v>
      </c>
      <c r="F2058" s="2461" t="s">
        <v>1539</v>
      </c>
      <c r="G2058" s="2461" t="s">
        <v>1426</v>
      </c>
      <c r="H2058" s="2461" t="s">
        <v>1540</v>
      </c>
      <c r="I2058" s="2462">
        <v>3.8453088531034021E-3</v>
      </c>
      <c r="J2058" s="2462">
        <v>7.3639532715053093</v>
      </c>
    </row>
    <row r="2059" spans="1:10" outlineLevel="2">
      <c r="A2059" s="2459" t="s">
        <v>1669</v>
      </c>
      <c r="B2059" s="2459" t="s">
        <v>1651</v>
      </c>
      <c r="C2059" s="2459" t="s">
        <v>1673</v>
      </c>
      <c r="D2059" s="2460" t="s">
        <v>1671</v>
      </c>
      <c r="E2059" s="2461" t="s">
        <v>1538</v>
      </c>
      <c r="F2059" s="2461" t="s">
        <v>1541</v>
      </c>
      <c r="G2059" s="2461" t="s">
        <v>1409</v>
      </c>
      <c r="H2059" s="2461" t="s">
        <v>1540</v>
      </c>
      <c r="I2059" s="2462">
        <v>6.7377642194365261E-4</v>
      </c>
      <c r="J2059" s="2462">
        <v>3.1364254265336848</v>
      </c>
    </row>
    <row r="2060" spans="1:10" outlineLevel="2">
      <c r="A2060" s="2459" t="s">
        <v>1669</v>
      </c>
      <c r="B2060" s="2459" t="s">
        <v>1651</v>
      </c>
      <c r="C2060" s="2459" t="s">
        <v>1673</v>
      </c>
      <c r="D2060" s="2460" t="s">
        <v>1671</v>
      </c>
      <c r="E2060" s="2461" t="s">
        <v>1538</v>
      </c>
      <c r="F2060" s="2461" t="s">
        <v>1542</v>
      </c>
      <c r="G2060" s="2461" t="s">
        <v>1409</v>
      </c>
      <c r="H2060" s="2461" t="s">
        <v>1540</v>
      </c>
      <c r="I2060" s="2462">
        <v>3.6136791682051303E-4</v>
      </c>
      <c r="J2060" s="2462">
        <v>5.2452051757060438</v>
      </c>
    </row>
    <row r="2061" spans="1:10" outlineLevel="2">
      <c r="A2061" s="2459" t="s">
        <v>1669</v>
      </c>
      <c r="B2061" s="2459" t="s">
        <v>1651</v>
      </c>
      <c r="C2061" s="2459" t="s">
        <v>1673</v>
      </c>
      <c r="D2061" s="2460" t="s">
        <v>1671</v>
      </c>
      <c r="E2061" s="2461" t="s">
        <v>1538</v>
      </c>
      <c r="F2061" s="2461" t="s">
        <v>1543</v>
      </c>
      <c r="G2061" s="2461" t="s">
        <v>1409</v>
      </c>
      <c r="H2061" s="2461" t="s">
        <v>1540</v>
      </c>
      <c r="I2061" s="2462">
        <v>5.3578436538713958E-4</v>
      </c>
      <c r="J2061" s="2462">
        <v>0.92629822376890492</v>
      </c>
    </row>
    <row r="2062" spans="1:10" outlineLevel="2">
      <c r="A2062" s="2459" t="s">
        <v>1669</v>
      </c>
      <c r="B2062" s="2459" t="s">
        <v>1651</v>
      </c>
      <c r="C2062" s="2459" t="s">
        <v>1673</v>
      </c>
      <c r="D2062" s="2460" t="s">
        <v>1671</v>
      </c>
      <c r="E2062" s="2461" t="s">
        <v>1538</v>
      </c>
      <c r="F2062" s="2461" t="s">
        <v>1544</v>
      </c>
      <c r="G2062" s="2461" t="s">
        <v>1409</v>
      </c>
      <c r="H2062" s="2461" t="s">
        <v>1540</v>
      </c>
      <c r="I2062" s="2462">
        <v>9.8090921689352449E-5</v>
      </c>
      <c r="J2062" s="2462">
        <v>0.53701726366894531</v>
      </c>
    </row>
    <row r="2063" spans="1:10" outlineLevel="2">
      <c r="A2063" s="2459" t="s">
        <v>1669</v>
      </c>
      <c r="B2063" s="2459" t="s">
        <v>1651</v>
      </c>
      <c r="C2063" s="2459" t="s">
        <v>1673</v>
      </c>
      <c r="D2063" s="2460" t="s">
        <v>1671</v>
      </c>
      <c r="E2063" s="2461" t="s">
        <v>1538</v>
      </c>
      <c r="F2063" s="2461" t="s">
        <v>1545</v>
      </c>
      <c r="G2063" s="2461" t="s">
        <v>1409</v>
      </c>
      <c r="H2063" s="2461" t="s">
        <v>1540</v>
      </c>
      <c r="I2063" s="2462">
        <v>2.1710919675477134E-3</v>
      </c>
      <c r="J2063" s="2462">
        <v>9.699757941490418</v>
      </c>
    </row>
    <row r="2064" spans="1:10" outlineLevel="2">
      <c r="A2064" s="2459" t="s">
        <v>1669</v>
      </c>
      <c r="B2064" s="2459" t="s">
        <v>1651</v>
      </c>
      <c r="C2064" s="2459" t="s">
        <v>1673</v>
      </c>
      <c r="D2064" s="2460" t="s">
        <v>1671</v>
      </c>
      <c r="E2064" s="2461" t="s">
        <v>1538</v>
      </c>
      <c r="F2064" s="2461" t="s">
        <v>1546</v>
      </c>
      <c r="G2064" s="2461" t="s">
        <v>1409</v>
      </c>
      <c r="H2064" s="2461" t="s">
        <v>1540</v>
      </c>
      <c r="I2064" s="2462">
        <v>4.1529100185415859E-3</v>
      </c>
      <c r="J2064" s="2462">
        <v>4.8719817096574767</v>
      </c>
    </row>
    <row r="2065" spans="1:10" outlineLevel="2">
      <c r="A2065" s="2459" t="s">
        <v>1669</v>
      </c>
      <c r="B2065" s="2459" t="s">
        <v>1651</v>
      </c>
      <c r="C2065" s="2459" t="s">
        <v>1673</v>
      </c>
      <c r="D2065" s="2460" t="s">
        <v>1671</v>
      </c>
      <c r="E2065" s="2461" t="s">
        <v>1538</v>
      </c>
      <c r="F2065" s="2461" t="s">
        <v>1547</v>
      </c>
      <c r="G2065" s="2461" t="s">
        <v>1409</v>
      </c>
      <c r="H2065" s="2461" t="s">
        <v>1540</v>
      </c>
      <c r="I2065" s="2462">
        <v>4.5106067628871983E-4</v>
      </c>
      <c r="J2065" s="2462">
        <v>8.9740622179237839</v>
      </c>
    </row>
    <row r="2066" spans="1:10" outlineLevel="2">
      <c r="A2066" s="2459" t="s">
        <v>1669</v>
      </c>
      <c r="B2066" s="2459" t="s">
        <v>1651</v>
      </c>
      <c r="C2066" s="2459" t="s">
        <v>1673</v>
      </c>
      <c r="D2066" s="2460" t="s">
        <v>1671</v>
      </c>
      <c r="E2066" s="2461" t="s">
        <v>1538</v>
      </c>
      <c r="F2066" s="2461" t="s">
        <v>1548</v>
      </c>
      <c r="G2066" s="2461" t="s">
        <v>1409</v>
      </c>
      <c r="H2066" s="2461" t="s">
        <v>1540</v>
      </c>
      <c r="I2066" s="2462">
        <v>2.0934870688315609E-3</v>
      </c>
      <c r="J2066" s="2462">
        <v>3.6566356618837457</v>
      </c>
    </row>
    <row r="2067" spans="1:10" outlineLevel="2">
      <c r="A2067" s="2459" t="s">
        <v>1669</v>
      </c>
      <c r="B2067" s="2459" t="s">
        <v>1651</v>
      </c>
      <c r="C2067" s="2459" t="s">
        <v>1673</v>
      </c>
      <c r="D2067" s="2460" t="s">
        <v>1671</v>
      </c>
      <c r="E2067" s="2461" t="s">
        <v>1538</v>
      </c>
      <c r="F2067" s="2461" t="s">
        <v>1549</v>
      </c>
      <c r="G2067" s="2461" t="s">
        <v>1409</v>
      </c>
      <c r="H2067" s="2461" t="s">
        <v>1540</v>
      </c>
      <c r="I2067" s="2462">
        <v>3.1295233257761434E-4</v>
      </c>
      <c r="J2067" s="2462">
        <v>0.59932283420131849</v>
      </c>
    </row>
    <row r="2068" spans="1:10" outlineLevel="2">
      <c r="A2068" s="2459" t="s">
        <v>1669</v>
      </c>
      <c r="B2068" s="2459" t="s">
        <v>1651</v>
      </c>
      <c r="C2068" s="2459" t="s">
        <v>1673</v>
      </c>
      <c r="D2068" s="2460" t="s">
        <v>1671</v>
      </c>
      <c r="E2068" s="2461" t="s">
        <v>1538</v>
      </c>
      <c r="F2068" s="2461" t="s">
        <v>1550</v>
      </c>
      <c r="G2068" s="2461" t="s">
        <v>1409</v>
      </c>
      <c r="H2068" s="2461" t="s">
        <v>1540</v>
      </c>
      <c r="I2068" s="2462">
        <v>1.7151379198797555E-3</v>
      </c>
      <c r="J2068" s="2462">
        <v>6.2319117051623394</v>
      </c>
    </row>
    <row r="2069" spans="1:10" outlineLevel="2">
      <c r="A2069" s="2459" t="s">
        <v>1669</v>
      </c>
      <c r="B2069" s="2459" t="s">
        <v>1651</v>
      </c>
      <c r="C2069" s="2459" t="s">
        <v>1673</v>
      </c>
      <c r="D2069" s="2460" t="s">
        <v>1671</v>
      </c>
      <c r="E2069" s="2461" t="s">
        <v>1538</v>
      </c>
      <c r="F2069" s="2461" t="s">
        <v>1551</v>
      </c>
      <c r="G2069" s="2461" t="s">
        <v>1409</v>
      </c>
      <c r="H2069" s="2461" t="s">
        <v>1540</v>
      </c>
      <c r="I2069" s="2462">
        <v>1.4129947872749717E-3</v>
      </c>
      <c r="J2069" s="2462">
        <v>15.048702822035091</v>
      </c>
    </row>
    <row r="2070" spans="1:10" outlineLevel="2">
      <c r="A2070" s="2459" t="s">
        <v>1669</v>
      </c>
      <c r="B2070" s="2459" t="s">
        <v>1651</v>
      </c>
      <c r="C2070" s="2459" t="s">
        <v>1673</v>
      </c>
      <c r="D2070" s="2460" t="s">
        <v>1671</v>
      </c>
      <c r="E2070" s="2461" t="s">
        <v>1538</v>
      </c>
      <c r="F2070" s="2461" t="s">
        <v>1552</v>
      </c>
      <c r="G2070" s="2461" t="s">
        <v>1409</v>
      </c>
      <c r="H2070" s="2461" t="s">
        <v>1540</v>
      </c>
      <c r="I2070" s="2462">
        <v>9.9424675735267616E-5</v>
      </c>
      <c r="J2070" s="2462">
        <v>1.5833201916527107</v>
      </c>
    </row>
    <row r="2071" spans="1:10" outlineLevel="2">
      <c r="A2071" s="2459" t="s">
        <v>1669</v>
      </c>
      <c r="B2071" s="2459" t="s">
        <v>1651</v>
      </c>
      <c r="C2071" s="2459" t="s">
        <v>1673</v>
      </c>
      <c r="D2071" s="2460" t="s">
        <v>1671</v>
      </c>
      <c r="E2071" s="2461" t="s">
        <v>1538</v>
      </c>
      <c r="F2071" s="2461" t="s">
        <v>1553</v>
      </c>
      <c r="G2071" s="2461" t="s">
        <v>1409</v>
      </c>
      <c r="H2071" s="2461" t="s">
        <v>1540</v>
      </c>
      <c r="I2071" s="2462">
        <v>7.373304335275617E-3</v>
      </c>
      <c r="J2071" s="2462">
        <v>13.55510725604614</v>
      </c>
    </row>
    <row r="2072" spans="1:10" outlineLevel="2">
      <c r="A2072" s="2459" t="s">
        <v>1669</v>
      </c>
      <c r="B2072" s="2459" t="s">
        <v>1651</v>
      </c>
      <c r="C2072" s="2459" t="s">
        <v>1673</v>
      </c>
      <c r="D2072" s="2460" t="s">
        <v>1671</v>
      </c>
      <c r="E2072" s="2461" t="s">
        <v>1538</v>
      </c>
      <c r="F2072" s="2461" t="s">
        <v>1554</v>
      </c>
      <c r="G2072" s="2461" t="s">
        <v>1409</v>
      </c>
      <c r="H2072" s="2461" t="s">
        <v>1540</v>
      </c>
      <c r="I2072" s="2462">
        <v>4.1098727529892383E-3</v>
      </c>
      <c r="J2072" s="2462">
        <v>5.6887028387566909</v>
      </c>
    </row>
    <row r="2073" spans="1:10" outlineLevel="2">
      <c r="A2073" s="2459" t="s">
        <v>1669</v>
      </c>
      <c r="B2073" s="2459" t="s">
        <v>1651</v>
      </c>
      <c r="C2073" s="2459" t="s">
        <v>1673</v>
      </c>
      <c r="D2073" s="2460" t="s">
        <v>1671</v>
      </c>
      <c r="E2073" s="2461" t="s">
        <v>1538</v>
      </c>
      <c r="F2073" s="2461" t="s">
        <v>1555</v>
      </c>
      <c r="G2073" s="2461" t="s">
        <v>1412</v>
      </c>
      <c r="H2073" s="2461" t="s">
        <v>1540</v>
      </c>
      <c r="I2073" s="2462">
        <v>3.232407744355939E-2</v>
      </c>
      <c r="J2073" s="2462">
        <v>99.506069106261151</v>
      </c>
    </row>
    <row r="2074" spans="1:10" outlineLevel="2">
      <c r="A2074" s="2459" t="s">
        <v>1669</v>
      </c>
      <c r="B2074" s="2459" t="s">
        <v>1651</v>
      </c>
      <c r="C2074" s="2459" t="s">
        <v>1673</v>
      </c>
      <c r="D2074" s="2460" t="s">
        <v>1671</v>
      </c>
      <c r="E2074" s="2461" t="s">
        <v>1538</v>
      </c>
      <c r="F2074" s="2461" t="s">
        <v>1556</v>
      </c>
      <c r="G2074" s="2461" t="s">
        <v>1412</v>
      </c>
      <c r="H2074" s="2461" t="s">
        <v>1540</v>
      </c>
      <c r="I2074" s="2462">
        <v>0.64262396287536416</v>
      </c>
      <c r="J2074" s="2462">
        <v>9051.1676559699899</v>
      </c>
    </row>
    <row r="2075" spans="1:10" outlineLevel="2">
      <c r="A2075" s="2459" t="s">
        <v>1669</v>
      </c>
      <c r="B2075" s="2459" t="s">
        <v>1651</v>
      </c>
      <c r="C2075" s="2459" t="s">
        <v>1673</v>
      </c>
      <c r="D2075" s="2460" t="s">
        <v>1671</v>
      </c>
      <c r="E2075" s="2461" t="s">
        <v>1538</v>
      </c>
      <c r="F2075" s="2461" t="s">
        <v>1557</v>
      </c>
      <c r="G2075" s="2461" t="s">
        <v>1412</v>
      </c>
      <c r="H2075" s="2461" t="s">
        <v>1540</v>
      </c>
      <c r="I2075" s="2462">
        <v>3.8258639918791037E-3</v>
      </c>
      <c r="J2075" s="2462">
        <v>67.427691043300982</v>
      </c>
    </row>
    <row r="2076" spans="1:10" outlineLevel="2">
      <c r="A2076" s="2459" t="s">
        <v>1669</v>
      </c>
      <c r="B2076" s="2459" t="s">
        <v>1651</v>
      </c>
      <c r="C2076" s="2459" t="s">
        <v>1673</v>
      </c>
      <c r="D2076" s="2460" t="s">
        <v>1671</v>
      </c>
      <c r="E2076" s="2461" t="s">
        <v>1538</v>
      </c>
      <c r="F2076" s="2461" t="s">
        <v>1558</v>
      </c>
      <c r="G2076" s="2461" t="s">
        <v>1412</v>
      </c>
      <c r="H2076" s="2461" t="s">
        <v>1540</v>
      </c>
      <c r="I2076" s="2462">
        <v>1.2798273087668861E-3</v>
      </c>
      <c r="J2076" s="2462">
        <v>21.269094027615786</v>
      </c>
    </row>
    <row r="2077" spans="1:10" outlineLevel="2">
      <c r="A2077" s="2459" t="s">
        <v>1669</v>
      </c>
      <c r="B2077" s="2459" t="s">
        <v>1651</v>
      </c>
      <c r="C2077" s="2459" t="s">
        <v>1673</v>
      </c>
      <c r="D2077" s="2460" t="s">
        <v>1671</v>
      </c>
      <c r="E2077" s="2461" t="s">
        <v>1538</v>
      </c>
      <c r="F2077" s="2461" t="s">
        <v>1559</v>
      </c>
      <c r="G2077" s="2461" t="s">
        <v>1412</v>
      </c>
      <c r="H2077" s="2461" t="s">
        <v>1540</v>
      </c>
      <c r="I2077" s="2462">
        <v>1.3665373545677421E-3</v>
      </c>
      <c r="J2077" s="2462">
        <v>5.252831911543077</v>
      </c>
    </row>
    <row r="2078" spans="1:10" outlineLevel="2">
      <c r="A2078" s="2459" t="s">
        <v>1669</v>
      </c>
      <c r="B2078" s="2459" t="s">
        <v>1651</v>
      </c>
      <c r="C2078" s="2459" t="s">
        <v>1673</v>
      </c>
      <c r="D2078" s="2460" t="s">
        <v>1671</v>
      </c>
      <c r="E2078" s="2461" t="s">
        <v>1538</v>
      </c>
      <c r="F2078" s="2461" t="s">
        <v>1560</v>
      </c>
      <c r="G2078" s="2461" t="s">
        <v>1412</v>
      </c>
      <c r="H2078" s="2461" t="s">
        <v>1540</v>
      </c>
      <c r="I2078" s="2462">
        <v>1.918103535782052E-3</v>
      </c>
      <c r="J2078" s="2462">
        <v>41.774573362242968</v>
      </c>
    </row>
    <row r="2079" spans="1:10" outlineLevel="2">
      <c r="A2079" s="2459" t="s">
        <v>1669</v>
      </c>
      <c r="B2079" s="2459" t="s">
        <v>1651</v>
      </c>
      <c r="C2079" s="2459" t="s">
        <v>1673</v>
      </c>
      <c r="D2079" s="2460" t="s">
        <v>1671</v>
      </c>
      <c r="E2079" s="2461" t="s">
        <v>1538</v>
      </c>
      <c r="F2079" s="2461" t="s">
        <v>1561</v>
      </c>
      <c r="G2079" s="2461" t="s">
        <v>1439</v>
      </c>
      <c r="H2079" s="2461" t="s">
        <v>1540</v>
      </c>
      <c r="I2079" s="2462">
        <v>1.5967641882138943E-2</v>
      </c>
      <c r="J2079" s="2462">
        <v>241.9784033052081</v>
      </c>
    </row>
    <row r="2080" spans="1:10" outlineLevel="2">
      <c r="A2080" s="2459" t="s">
        <v>1669</v>
      </c>
      <c r="B2080" s="2459" t="s">
        <v>1651</v>
      </c>
      <c r="C2080" s="2459" t="s">
        <v>1673</v>
      </c>
      <c r="D2080" s="2460" t="s">
        <v>1671</v>
      </c>
      <c r="E2080" s="2461" t="s">
        <v>1538</v>
      </c>
      <c r="F2080" s="2461" t="s">
        <v>1562</v>
      </c>
      <c r="G2080" s="2461" t="s">
        <v>1418</v>
      </c>
      <c r="H2080" s="2461" t="s">
        <v>1540</v>
      </c>
      <c r="I2080" s="2462">
        <v>6.642994330648636E-5</v>
      </c>
      <c r="J2080" s="2462">
        <v>8.3707139633886513E-2</v>
      </c>
    </row>
    <row r="2081" spans="1:10" outlineLevel="2">
      <c r="A2081" s="2459" t="s">
        <v>1669</v>
      </c>
      <c r="B2081" s="2459" t="s">
        <v>1651</v>
      </c>
      <c r="C2081" s="2459" t="s">
        <v>1673</v>
      </c>
      <c r="D2081" s="2460" t="s">
        <v>1671</v>
      </c>
      <c r="E2081" s="2461" t="s">
        <v>1538</v>
      </c>
      <c r="F2081" s="2461" t="s">
        <v>1563</v>
      </c>
      <c r="G2081" s="2461" t="s">
        <v>1418</v>
      </c>
      <c r="H2081" s="2461" t="s">
        <v>1540</v>
      </c>
      <c r="I2081" s="2462">
        <v>9.625083474955562E-6</v>
      </c>
      <c r="J2081" s="2462">
        <v>0.16303801083985428</v>
      </c>
    </row>
    <row r="2082" spans="1:10" outlineLevel="2">
      <c r="A2082" s="2459" t="s">
        <v>1669</v>
      </c>
      <c r="B2082" s="2459" t="s">
        <v>1651</v>
      </c>
      <c r="C2082" s="2459" t="s">
        <v>1673</v>
      </c>
      <c r="D2082" s="2460" t="s">
        <v>1671</v>
      </c>
      <c r="E2082" s="2461" t="s">
        <v>1538</v>
      </c>
      <c r="F2082" s="2461" t="s">
        <v>1564</v>
      </c>
      <c r="G2082" s="2461" t="s">
        <v>1421</v>
      </c>
      <c r="H2082" s="2461" t="s">
        <v>1540</v>
      </c>
      <c r="I2082" s="2462">
        <v>8.2378828685425107E-2</v>
      </c>
      <c r="J2082" s="2462">
        <v>202.26656994502065</v>
      </c>
    </row>
    <row r="2083" spans="1:10" outlineLevel="2">
      <c r="A2083" s="2459" t="s">
        <v>1669</v>
      </c>
      <c r="B2083" s="2459" t="s">
        <v>1651</v>
      </c>
      <c r="C2083" s="2459" t="s">
        <v>1673</v>
      </c>
      <c r="D2083" s="2460" t="s">
        <v>1671</v>
      </c>
      <c r="E2083" s="2461" t="s">
        <v>1538</v>
      </c>
      <c r="F2083" s="2461" t="s">
        <v>1565</v>
      </c>
      <c r="G2083" s="2461" t="s">
        <v>1421</v>
      </c>
      <c r="H2083" s="2461" t="s">
        <v>1540</v>
      </c>
      <c r="I2083" s="2462">
        <v>9.6932117453800617E-3</v>
      </c>
      <c r="J2083" s="2462">
        <v>44.273601395601553</v>
      </c>
    </row>
    <row r="2084" spans="1:10" outlineLevel="2">
      <c r="A2084" s="2459" t="s">
        <v>1669</v>
      </c>
      <c r="B2084" s="2459" t="s">
        <v>1651</v>
      </c>
      <c r="C2084" s="2459" t="s">
        <v>1673</v>
      </c>
      <c r="D2084" s="2460" t="s">
        <v>1671</v>
      </c>
      <c r="E2084" s="2461" t="s">
        <v>1538</v>
      </c>
      <c r="F2084" s="2461" t="s">
        <v>1566</v>
      </c>
      <c r="G2084" s="2461" t="s">
        <v>1421</v>
      </c>
      <c r="H2084" s="2461" t="s">
        <v>1540</v>
      </c>
      <c r="I2084" s="2462">
        <v>5.0541251915955628E-3</v>
      </c>
      <c r="J2084" s="2462">
        <v>51.697120645464558</v>
      </c>
    </row>
    <row r="2085" spans="1:10" outlineLevel="2">
      <c r="A2085" s="2459" t="s">
        <v>1669</v>
      </c>
      <c r="B2085" s="2459" t="s">
        <v>1651</v>
      </c>
      <c r="C2085" s="2459" t="s">
        <v>1673</v>
      </c>
      <c r="D2085" s="2460" t="s">
        <v>1671</v>
      </c>
      <c r="E2085" s="2461" t="s">
        <v>1538</v>
      </c>
      <c r="F2085" s="2461" t="s">
        <v>1567</v>
      </c>
      <c r="G2085" s="2461" t="s">
        <v>1421</v>
      </c>
      <c r="H2085" s="2461" t="s">
        <v>1540</v>
      </c>
      <c r="I2085" s="2462">
        <v>8.3670755770991773E-3</v>
      </c>
      <c r="J2085" s="2462">
        <v>64.251982627161624</v>
      </c>
    </row>
    <row r="2086" spans="1:10" outlineLevel="2">
      <c r="A2086" s="2459" t="s">
        <v>1669</v>
      </c>
      <c r="B2086" s="2459" t="s">
        <v>1651</v>
      </c>
      <c r="C2086" s="2459" t="s">
        <v>1673</v>
      </c>
      <c r="D2086" s="2460" t="s">
        <v>1671</v>
      </c>
      <c r="E2086" s="2461" t="s">
        <v>1538</v>
      </c>
      <c r="F2086" s="2461" t="s">
        <v>1568</v>
      </c>
      <c r="G2086" s="2461" t="s">
        <v>1421</v>
      </c>
      <c r="H2086" s="2461" t="s">
        <v>1540</v>
      </c>
      <c r="I2086" s="2462">
        <v>2.8963592682130335E-4</v>
      </c>
      <c r="J2086" s="2462">
        <v>0.87386215743912066</v>
      </c>
    </row>
    <row r="2087" spans="1:10" outlineLevel="2">
      <c r="A2087" s="2459" t="s">
        <v>1669</v>
      </c>
      <c r="B2087" s="2459" t="s">
        <v>1651</v>
      </c>
      <c r="C2087" s="2459" t="s">
        <v>1673</v>
      </c>
      <c r="D2087" s="2460" t="s">
        <v>1671</v>
      </c>
      <c r="E2087" s="2461" t="s">
        <v>1538</v>
      </c>
      <c r="F2087" s="2461" t="s">
        <v>1569</v>
      </c>
      <c r="G2087" s="2461" t="s">
        <v>1421</v>
      </c>
      <c r="H2087" s="2461" t="s">
        <v>1540</v>
      </c>
      <c r="I2087" s="2462">
        <v>6.8657606408970717E-5</v>
      </c>
      <c r="J2087" s="2462">
        <v>0.79339137670396409</v>
      </c>
    </row>
    <row r="2088" spans="1:10" outlineLevel="2">
      <c r="A2088" s="2459" t="s">
        <v>1669</v>
      </c>
      <c r="B2088" s="2459" t="s">
        <v>1651</v>
      </c>
      <c r="C2088" s="2459" t="s">
        <v>1673</v>
      </c>
      <c r="D2088" s="2460" t="s">
        <v>1671</v>
      </c>
      <c r="E2088" s="2461" t="s">
        <v>1538</v>
      </c>
      <c r="F2088" s="2461" t="s">
        <v>1570</v>
      </c>
      <c r="G2088" s="2461" t="s">
        <v>899</v>
      </c>
      <c r="H2088" s="2461" t="s">
        <v>1540</v>
      </c>
      <c r="I2088" s="2462">
        <v>1.2230386575736788E-4</v>
      </c>
      <c r="J2088" s="2462">
        <v>0.52839458721218135</v>
      </c>
    </row>
    <row r="2089" spans="1:10" outlineLevel="2">
      <c r="A2089" s="2459" t="s">
        <v>1669</v>
      </c>
      <c r="B2089" s="2459" t="s">
        <v>1651</v>
      </c>
      <c r="C2089" s="2459" t="s">
        <v>1673</v>
      </c>
      <c r="D2089" s="2460" t="s">
        <v>1671</v>
      </c>
      <c r="E2089" s="2461" t="s">
        <v>1400</v>
      </c>
      <c r="F2089" s="2461" t="s">
        <v>1571</v>
      </c>
      <c r="G2089" s="2461" t="s">
        <v>215</v>
      </c>
      <c r="H2089" s="2461" t="s">
        <v>1531</v>
      </c>
      <c r="I2089" s="2462">
        <v>3.6968892229815842E-3</v>
      </c>
      <c r="J2089" s="2462">
        <v>133.05394744588423</v>
      </c>
    </row>
    <row r="2090" spans="1:10" outlineLevel="2">
      <c r="A2090" s="2459" t="s">
        <v>1669</v>
      </c>
      <c r="B2090" s="2459" t="s">
        <v>1651</v>
      </c>
      <c r="C2090" s="2459" t="s">
        <v>1673</v>
      </c>
      <c r="D2090" s="2460" t="s">
        <v>1671</v>
      </c>
      <c r="E2090" s="2461" t="s">
        <v>1400</v>
      </c>
      <c r="F2090" s="2461" t="s">
        <v>1572</v>
      </c>
      <c r="G2090" s="2461" t="s">
        <v>215</v>
      </c>
      <c r="H2090" s="2461" t="s">
        <v>1531</v>
      </c>
      <c r="I2090" s="2462">
        <v>5.8588597836737643E-5</v>
      </c>
      <c r="J2090" s="2462">
        <v>1.1113924610482149</v>
      </c>
    </row>
    <row r="2091" spans="1:10" outlineLevel="2">
      <c r="A2091" s="2459" t="s">
        <v>1669</v>
      </c>
      <c r="B2091" s="2459" t="s">
        <v>1651</v>
      </c>
      <c r="C2091" s="2459" t="s">
        <v>1673</v>
      </c>
      <c r="D2091" s="2460" t="s">
        <v>1671</v>
      </c>
      <c r="E2091" s="2461" t="s">
        <v>1573</v>
      </c>
      <c r="F2091" s="2461" t="s">
        <v>1574</v>
      </c>
      <c r="G2091" s="2461" t="s">
        <v>1426</v>
      </c>
      <c r="H2091" s="2461" t="s">
        <v>1427</v>
      </c>
      <c r="I2091" s="2462">
        <v>4.6617266909343138E-3</v>
      </c>
      <c r="J2091" s="2462">
        <v>115.24447296446013</v>
      </c>
    </row>
    <row r="2092" spans="1:10" outlineLevel="2">
      <c r="A2092" s="2459" t="s">
        <v>1669</v>
      </c>
      <c r="B2092" s="2459" t="s">
        <v>1651</v>
      </c>
      <c r="C2092" s="2459" t="s">
        <v>1673</v>
      </c>
      <c r="D2092" s="2460" t="s">
        <v>1671</v>
      </c>
      <c r="E2092" s="2461" t="s">
        <v>1573</v>
      </c>
      <c r="F2092" s="2461" t="s">
        <v>1575</v>
      </c>
      <c r="G2092" s="2461" t="s">
        <v>1409</v>
      </c>
      <c r="H2092" s="2461" t="s">
        <v>1070</v>
      </c>
      <c r="I2092" s="2462">
        <v>6.4319638879047443E-3</v>
      </c>
      <c r="J2092" s="2462">
        <v>375.11485891535824</v>
      </c>
    </row>
    <row r="2093" spans="1:10" outlineLevel="2">
      <c r="A2093" s="2459" t="s">
        <v>1669</v>
      </c>
      <c r="B2093" s="2459" t="s">
        <v>1651</v>
      </c>
      <c r="C2093" s="2459" t="s">
        <v>1673</v>
      </c>
      <c r="D2093" s="2460" t="s">
        <v>1671</v>
      </c>
      <c r="E2093" s="2461" t="s">
        <v>1573</v>
      </c>
      <c r="F2093" s="2461" t="s">
        <v>1576</v>
      </c>
      <c r="G2093" s="2461" t="s">
        <v>1409</v>
      </c>
      <c r="H2093" s="2461" t="s">
        <v>1070</v>
      </c>
      <c r="I2093" s="2462">
        <v>5.5303933659406023E-5</v>
      </c>
      <c r="J2093" s="2462">
        <v>0.61086654955889097</v>
      </c>
    </row>
    <row r="2094" spans="1:10" outlineLevel="2">
      <c r="A2094" s="2459" t="s">
        <v>1669</v>
      </c>
      <c r="B2094" s="2459" t="s">
        <v>1651</v>
      </c>
      <c r="C2094" s="2459" t="s">
        <v>1673</v>
      </c>
      <c r="D2094" s="2460" t="s">
        <v>1671</v>
      </c>
      <c r="E2094" s="2461" t="s">
        <v>1573</v>
      </c>
      <c r="F2094" s="2461" t="s">
        <v>1577</v>
      </c>
      <c r="G2094" s="2461" t="s">
        <v>1409</v>
      </c>
      <c r="H2094" s="2461" t="s">
        <v>1070</v>
      </c>
      <c r="I2094" s="2462">
        <v>8.0204908582044503E-4</v>
      </c>
      <c r="J2094" s="2462">
        <v>10.062636466139946</v>
      </c>
    </row>
    <row r="2095" spans="1:10" outlineLevel="2">
      <c r="A2095" s="2459" t="s">
        <v>1669</v>
      </c>
      <c r="B2095" s="2459" t="s">
        <v>1651</v>
      </c>
      <c r="C2095" s="2459" t="s">
        <v>1673</v>
      </c>
      <c r="D2095" s="2460" t="s">
        <v>1671</v>
      </c>
      <c r="E2095" s="2461" t="s">
        <v>1573</v>
      </c>
      <c r="F2095" s="2461" t="s">
        <v>1578</v>
      </c>
      <c r="G2095" s="2461" t="s">
        <v>1409</v>
      </c>
      <c r="H2095" s="2461" t="s">
        <v>1070</v>
      </c>
      <c r="I2095" s="2462">
        <v>1.8315628251106296E-2</v>
      </c>
      <c r="J2095" s="2462">
        <v>938.96912460366161</v>
      </c>
    </row>
    <row r="2096" spans="1:10" outlineLevel="2">
      <c r="A2096" s="2459" t="s">
        <v>1669</v>
      </c>
      <c r="B2096" s="2459" t="s">
        <v>1651</v>
      </c>
      <c r="C2096" s="2459" t="s">
        <v>1673</v>
      </c>
      <c r="D2096" s="2460" t="s">
        <v>1671</v>
      </c>
      <c r="E2096" s="2461" t="s">
        <v>1573</v>
      </c>
      <c r="F2096" s="2461" t="s">
        <v>1579</v>
      </c>
      <c r="G2096" s="2461" t="s">
        <v>1409</v>
      </c>
      <c r="H2096" s="2461" t="s">
        <v>1070</v>
      </c>
      <c r="I2096" s="2462">
        <v>1.3903887745568628E-2</v>
      </c>
      <c r="J2096" s="2462">
        <v>1021.6622069247168</v>
      </c>
    </row>
    <row r="2097" spans="1:10" outlineLevel="2">
      <c r="A2097" s="2459" t="s">
        <v>1669</v>
      </c>
      <c r="B2097" s="2459" t="s">
        <v>1651</v>
      </c>
      <c r="C2097" s="2459" t="s">
        <v>1673</v>
      </c>
      <c r="D2097" s="2460" t="s">
        <v>1671</v>
      </c>
      <c r="E2097" s="2461" t="s">
        <v>1573</v>
      </c>
      <c r="F2097" s="2461" t="s">
        <v>1580</v>
      </c>
      <c r="G2097" s="2461" t="s">
        <v>1409</v>
      </c>
      <c r="H2097" s="2461" t="s">
        <v>1070</v>
      </c>
      <c r="I2097" s="2462">
        <v>1.570848699878537E-3</v>
      </c>
      <c r="J2097" s="2462">
        <v>56.414270107513509</v>
      </c>
    </row>
    <row r="2098" spans="1:10" outlineLevel="2">
      <c r="A2098" s="2459" t="s">
        <v>1669</v>
      </c>
      <c r="B2098" s="2459" t="s">
        <v>1651</v>
      </c>
      <c r="C2098" s="2459" t="s">
        <v>1673</v>
      </c>
      <c r="D2098" s="2460" t="s">
        <v>1671</v>
      </c>
      <c r="E2098" s="2461" t="s">
        <v>1573</v>
      </c>
      <c r="F2098" s="2461" t="s">
        <v>1581</v>
      </c>
      <c r="G2098" s="2461" t="s">
        <v>1409</v>
      </c>
      <c r="H2098" s="2461" t="s">
        <v>1070</v>
      </c>
      <c r="I2098" s="2462">
        <v>8.3552040060611336E-4</v>
      </c>
      <c r="J2098" s="2462">
        <v>38.415684080414209</v>
      </c>
    </row>
    <row r="2099" spans="1:10" outlineLevel="2">
      <c r="A2099" s="2459" t="s">
        <v>1669</v>
      </c>
      <c r="B2099" s="2459" t="s">
        <v>1651</v>
      </c>
      <c r="C2099" s="2459" t="s">
        <v>1673</v>
      </c>
      <c r="D2099" s="2460" t="s">
        <v>1671</v>
      </c>
      <c r="E2099" s="2461" t="s">
        <v>1573</v>
      </c>
      <c r="F2099" s="2461" t="s">
        <v>1582</v>
      </c>
      <c r="G2099" s="2461" t="s">
        <v>1409</v>
      </c>
      <c r="H2099" s="2461" t="s">
        <v>1070</v>
      </c>
      <c r="I2099" s="2462">
        <v>4.4407559566391874E-3</v>
      </c>
      <c r="J2099" s="2462">
        <v>105.493176429244</v>
      </c>
    </row>
    <row r="2100" spans="1:10" outlineLevel="2">
      <c r="A2100" s="2459" t="s">
        <v>1669</v>
      </c>
      <c r="B2100" s="2459" t="s">
        <v>1651</v>
      </c>
      <c r="C2100" s="2459" t="s">
        <v>1673</v>
      </c>
      <c r="D2100" s="2460" t="s">
        <v>1671</v>
      </c>
      <c r="E2100" s="2461" t="s">
        <v>1573</v>
      </c>
      <c r="F2100" s="2461" t="s">
        <v>1583</v>
      </c>
      <c r="G2100" s="2461" t="s">
        <v>1409</v>
      </c>
      <c r="H2100" s="2461" t="s">
        <v>1070</v>
      </c>
      <c r="I2100" s="2462">
        <v>1.27303841424821E-2</v>
      </c>
      <c r="J2100" s="2462">
        <v>451.43322876774067</v>
      </c>
    </row>
    <row r="2101" spans="1:10" outlineLevel="2">
      <c r="A2101" s="2459" t="s">
        <v>1669</v>
      </c>
      <c r="B2101" s="2459" t="s">
        <v>1651</v>
      </c>
      <c r="C2101" s="2459" t="s">
        <v>1673</v>
      </c>
      <c r="D2101" s="2460" t="s">
        <v>1671</v>
      </c>
      <c r="E2101" s="2461" t="s">
        <v>1573</v>
      </c>
      <c r="F2101" s="2461" t="s">
        <v>1584</v>
      </c>
      <c r="G2101" s="2461" t="s">
        <v>1409</v>
      </c>
      <c r="H2101" s="2461" t="s">
        <v>1070</v>
      </c>
      <c r="I2101" s="2462">
        <v>8.9999620803280743E-3</v>
      </c>
      <c r="J2101" s="2462">
        <v>495.64569476596176</v>
      </c>
    </row>
    <row r="2102" spans="1:10" outlineLevel="2">
      <c r="A2102" s="2459" t="s">
        <v>1669</v>
      </c>
      <c r="B2102" s="2459" t="s">
        <v>1651</v>
      </c>
      <c r="C2102" s="2459" t="s">
        <v>1673</v>
      </c>
      <c r="D2102" s="2460" t="s">
        <v>1671</v>
      </c>
      <c r="E2102" s="2461" t="s">
        <v>1573</v>
      </c>
      <c r="F2102" s="2461" t="s">
        <v>1585</v>
      </c>
      <c r="G2102" s="2461" t="s">
        <v>1409</v>
      </c>
      <c r="H2102" s="2461" t="s">
        <v>1070</v>
      </c>
      <c r="I2102" s="2462">
        <v>4.9341964256845172E-2</v>
      </c>
      <c r="J2102" s="2462">
        <v>3805.8038875671605</v>
      </c>
    </row>
    <row r="2103" spans="1:10" outlineLevel="2">
      <c r="A2103" s="2459" t="s">
        <v>1669</v>
      </c>
      <c r="B2103" s="2459" t="s">
        <v>1651</v>
      </c>
      <c r="C2103" s="2459" t="s">
        <v>1673</v>
      </c>
      <c r="D2103" s="2460" t="s">
        <v>1671</v>
      </c>
      <c r="E2103" s="2461" t="s">
        <v>1573</v>
      </c>
      <c r="F2103" s="2461" t="s">
        <v>1586</v>
      </c>
      <c r="G2103" s="2461" t="s">
        <v>1409</v>
      </c>
      <c r="H2103" s="2461" t="s">
        <v>1070</v>
      </c>
      <c r="I2103" s="2462">
        <v>1.0436197429372232E-3</v>
      </c>
      <c r="J2103" s="2462">
        <v>31.645711457512206</v>
      </c>
    </row>
    <row r="2104" spans="1:10" outlineLevel="2">
      <c r="A2104" s="2459" t="s">
        <v>1669</v>
      </c>
      <c r="B2104" s="2459" t="s">
        <v>1651</v>
      </c>
      <c r="C2104" s="2459" t="s">
        <v>1673</v>
      </c>
      <c r="D2104" s="2460" t="s">
        <v>1671</v>
      </c>
      <c r="E2104" s="2461" t="s">
        <v>1573</v>
      </c>
      <c r="F2104" s="2461" t="s">
        <v>1587</v>
      </c>
      <c r="G2104" s="2461" t="s">
        <v>1409</v>
      </c>
      <c r="H2104" s="2461" t="s">
        <v>1070</v>
      </c>
      <c r="I2104" s="2462">
        <v>4.1098886540277699E-4</v>
      </c>
      <c r="J2104" s="2462">
        <v>19.376735499388609</v>
      </c>
    </row>
    <row r="2105" spans="1:10" outlineLevel="2">
      <c r="A2105" s="2459" t="s">
        <v>1669</v>
      </c>
      <c r="B2105" s="2459" t="s">
        <v>1651</v>
      </c>
      <c r="C2105" s="2459" t="s">
        <v>1673</v>
      </c>
      <c r="D2105" s="2460" t="s">
        <v>1671</v>
      </c>
      <c r="E2105" s="2461" t="s">
        <v>1573</v>
      </c>
      <c r="F2105" s="2461" t="s">
        <v>1588</v>
      </c>
      <c r="G2105" s="2461" t="s">
        <v>1409</v>
      </c>
      <c r="H2105" s="2461" t="s">
        <v>1070</v>
      </c>
      <c r="I2105" s="2462">
        <v>1.4560049957631037E-2</v>
      </c>
      <c r="J2105" s="2462">
        <v>869.90906588324526</v>
      </c>
    </row>
    <row r="2106" spans="1:10" outlineLevel="2">
      <c r="A2106" s="2459" t="s">
        <v>1669</v>
      </c>
      <c r="B2106" s="2459" t="s">
        <v>1651</v>
      </c>
      <c r="C2106" s="2459" t="s">
        <v>1673</v>
      </c>
      <c r="D2106" s="2460" t="s">
        <v>1671</v>
      </c>
      <c r="E2106" s="2461" t="s">
        <v>1573</v>
      </c>
      <c r="F2106" s="2461" t="s">
        <v>1589</v>
      </c>
      <c r="G2106" s="2461" t="s">
        <v>1409</v>
      </c>
      <c r="H2106" s="2461" t="s">
        <v>1070</v>
      </c>
      <c r="I2106" s="2462">
        <v>1.2517478735469373E-2</v>
      </c>
      <c r="J2106" s="2462">
        <v>946.90731690811515</v>
      </c>
    </row>
    <row r="2107" spans="1:10" outlineLevel="2">
      <c r="A2107" s="2459" t="s">
        <v>1669</v>
      </c>
      <c r="B2107" s="2459" t="s">
        <v>1651</v>
      </c>
      <c r="C2107" s="2459" t="s">
        <v>1673</v>
      </c>
      <c r="D2107" s="2460" t="s">
        <v>1671</v>
      </c>
      <c r="E2107" s="2461" t="s">
        <v>1573</v>
      </c>
      <c r="F2107" s="2461" t="s">
        <v>1590</v>
      </c>
      <c r="G2107" s="2461" t="s">
        <v>1409</v>
      </c>
      <c r="H2107" s="2461" t="s">
        <v>1070</v>
      </c>
      <c r="I2107" s="2462">
        <v>4.5702499317932986E-2</v>
      </c>
      <c r="J2107" s="2462">
        <v>3257.2269199708171</v>
      </c>
    </row>
    <row r="2108" spans="1:10" outlineLevel="2">
      <c r="A2108" s="2459" t="s">
        <v>1669</v>
      </c>
      <c r="B2108" s="2459" t="s">
        <v>1651</v>
      </c>
      <c r="C2108" s="2459" t="s">
        <v>1673</v>
      </c>
      <c r="D2108" s="2460" t="s">
        <v>1671</v>
      </c>
      <c r="E2108" s="2461" t="s">
        <v>1573</v>
      </c>
      <c r="F2108" s="2461" t="s">
        <v>1591</v>
      </c>
      <c r="G2108" s="2461" t="s">
        <v>1409</v>
      </c>
      <c r="H2108" s="2461" t="s">
        <v>1070</v>
      </c>
      <c r="I2108" s="2462">
        <v>3.1459362223353253E-3</v>
      </c>
      <c r="J2108" s="2462">
        <v>153.16054164741078</v>
      </c>
    </row>
    <row r="2109" spans="1:10" outlineLevel="2">
      <c r="A2109" s="2459" t="s">
        <v>1669</v>
      </c>
      <c r="B2109" s="2459" t="s">
        <v>1651</v>
      </c>
      <c r="C2109" s="2459" t="s">
        <v>1673</v>
      </c>
      <c r="D2109" s="2460" t="s">
        <v>1671</v>
      </c>
      <c r="E2109" s="2461" t="s">
        <v>1573</v>
      </c>
      <c r="F2109" s="2461" t="s">
        <v>1592</v>
      </c>
      <c r="G2109" s="2461" t="s">
        <v>1409</v>
      </c>
      <c r="H2109" s="2461" t="s">
        <v>1070</v>
      </c>
      <c r="I2109" s="2462">
        <v>2.6453291460017556E-2</v>
      </c>
      <c r="J2109" s="2462">
        <v>1218.309523017143</v>
      </c>
    </row>
    <row r="2110" spans="1:10" outlineLevel="2">
      <c r="A2110" s="2459" t="s">
        <v>1669</v>
      </c>
      <c r="B2110" s="2459" t="s">
        <v>1651</v>
      </c>
      <c r="C2110" s="2459" t="s">
        <v>1673</v>
      </c>
      <c r="D2110" s="2460" t="s">
        <v>1671</v>
      </c>
      <c r="E2110" s="2461" t="s">
        <v>1573</v>
      </c>
      <c r="F2110" s="2461" t="s">
        <v>1593</v>
      </c>
      <c r="G2110" s="2461" t="s">
        <v>1409</v>
      </c>
      <c r="H2110" s="2461" t="s">
        <v>1070</v>
      </c>
      <c r="I2110" s="2462">
        <v>6.4633468492365495E-2</v>
      </c>
      <c r="J2110" s="2462">
        <v>4142.0195892255897</v>
      </c>
    </row>
    <row r="2111" spans="1:10" outlineLevel="2">
      <c r="A2111" s="2459" t="s">
        <v>1669</v>
      </c>
      <c r="B2111" s="2459" t="s">
        <v>1651</v>
      </c>
      <c r="C2111" s="2459" t="s">
        <v>1673</v>
      </c>
      <c r="D2111" s="2460" t="s">
        <v>1671</v>
      </c>
      <c r="E2111" s="2461" t="s">
        <v>1573</v>
      </c>
      <c r="F2111" s="2461" t="s">
        <v>1594</v>
      </c>
      <c r="G2111" s="2461" t="s">
        <v>1409</v>
      </c>
      <c r="H2111" s="2461" t="s">
        <v>1070</v>
      </c>
      <c r="I2111" s="2462">
        <v>0.14156328196697246</v>
      </c>
      <c r="J2111" s="2462">
        <v>2778.7291745486418</v>
      </c>
    </row>
    <row r="2112" spans="1:10" outlineLevel="2">
      <c r="A2112" s="2459" t="s">
        <v>1669</v>
      </c>
      <c r="B2112" s="2459" t="s">
        <v>1651</v>
      </c>
      <c r="C2112" s="2459" t="s">
        <v>1673</v>
      </c>
      <c r="D2112" s="2460" t="s">
        <v>1671</v>
      </c>
      <c r="E2112" s="2461" t="s">
        <v>1573</v>
      </c>
      <c r="F2112" s="2461" t="s">
        <v>1595</v>
      </c>
      <c r="G2112" s="2461" t="s">
        <v>1409</v>
      </c>
      <c r="H2112" s="2461" t="s">
        <v>1070</v>
      </c>
      <c r="I2112" s="2462">
        <v>5.2049447934412171E-2</v>
      </c>
      <c r="J2112" s="2462">
        <v>3789.0721030678769</v>
      </c>
    </row>
    <row r="2113" spans="1:10" outlineLevel="2">
      <c r="A2113" s="2459" t="s">
        <v>1669</v>
      </c>
      <c r="B2113" s="2459" t="s">
        <v>1651</v>
      </c>
      <c r="C2113" s="2459" t="s">
        <v>1673</v>
      </c>
      <c r="D2113" s="2460" t="s">
        <v>1671</v>
      </c>
      <c r="E2113" s="2461" t="s">
        <v>1573</v>
      </c>
      <c r="F2113" s="2461" t="s">
        <v>1596</v>
      </c>
      <c r="G2113" s="2461" t="s">
        <v>1409</v>
      </c>
      <c r="H2113" s="2461" t="s">
        <v>1070</v>
      </c>
      <c r="I2113" s="2462">
        <v>9.4771910971237258E-2</v>
      </c>
      <c r="J2113" s="2462">
        <v>2181.1604474306482</v>
      </c>
    </row>
    <row r="2114" spans="1:10" outlineLevel="2">
      <c r="A2114" s="2459" t="s">
        <v>1669</v>
      </c>
      <c r="B2114" s="2459" t="s">
        <v>1651</v>
      </c>
      <c r="C2114" s="2459" t="s">
        <v>1673</v>
      </c>
      <c r="D2114" s="2460" t="s">
        <v>1671</v>
      </c>
      <c r="E2114" s="2461" t="s">
        <v>1573</v>
      </c>
      <c r="F2114" s="2461" t="s">
        <v>1597</v>
      </c>
      <c r="G2114" s="2461" t="s">
        <v>1409</v>
      </c>
      <c r="H2114" s="2461" t="s">
        <v>1070</v>
      </c>
      <c r="I2114" s="2462">
        <v>5.5632952902922523E-3</v>
      </c>
      <c r="J2114" s="2462">
        <v>406.57213861878739</v>
      </c>
    </row>
    <row r="2115" spans="1:10" outlineLevel="2">
      <c r="A2115" s="2459" t="s">
        <v>1669</v>
      </c>
      <c r="B2115" s="2459" t="s">
        <v>1651</v>
      </c>
      <c r="C2115" s="2459" t="s">
        <v>1673</v>
      </c>
      <c r="D2115" s="2460" t="s">
        <v>1671</v>
      </c>
      <c r="E2115" s="2461" t="s">
        <v>1573</v>
      </c>
      <c r="F2115" s="2461" t="s">
        <v>1598</v>
      </c>
      <c r="G2115" s="2461" t="s">
        <v>1409</v>
      </c>
      <c r="H2115" s="2461" t="s">
        <v>1070</v>
      </c>
      <c r="I2115" s="2462">
        <v>2.8895291962426837E-4</v>
      </c>
      <c r="J2115" s="2462">
        <v>6.6703533532275072</v>
      </c>
    </row>
    <row r="2116" spans="1:10" outlineLevel="2">
      <c r="A2116" s="2459" t="s">
        <v>1669</v>
      </c>
      <c r="B2116" s="2459" t="s">
        <v>1651</v>
      </c>
      <c r="C2116" s="2459" t="s">
        <v>1673</v>
      </c>
      <c r="D2116" s="2460" t="s">
        <v>1671</v>
      </c>
      <c r="E2116" s="2461" t="s">
        <v>1573</v>
      </c>
      <c r="F2116" s="2461" t="s">
        <v>1599</v>
      </c>
      <c r="G2116" s="2461" t="s">
        <v>1409</v>
      </c>
      <c r="H2116" s="2461" t="s">
        <v>1070</v>
      </c>
      <c r="I2116" s="2462">
        <v>7.8886802422158293E-3</v>
      </c>
      <c r="J2116" s="2462">
        <v>424.09463609230465</v>
      </c>
    </row>
    <row r="2117" spans="1:10" outlineLevel="2">
      <c r="A2117" s="2459" t="s">
        <v>1669</v>
      </c>
      <c r="B2117" s="2459" t="s">
        <v>1651</v>
      </c>
      <c r="C2117" s="2459" t="s">
        <v>1673</v>
      </c>
      <c r="D2117" s="2460" t="s">
        <v>1671</v>
      </c>
      <c r="E2117" s="2461" t="s">
        <v>1573</v>
      </c>
      <c r="F2117" s="2461" t="s">
        <v>1600</v>
      </c>
      <c r="G2117" s="2461" t="s">
        <v>1412</v>
      </c>
      <c r="H2117" s="2461" t="s">
        <v>1116</v>
      </c>
      <c r="I2117" s="2462">
        <v>6.7255455125721014E-3</v>
      </c>
      <c r="J2117" s="2462">
        <v>162.70887109026447</v>
      </c>
    </row>
    <row r="2118" spans="1:10" outlineLevel="2">
      <c r="A2118" s="2459" t="s">
        <v>1669</v>
      </c>
      <c r="B2118" s="2459" t="s">
        <v>1651</v>
      </c>
      <c r="C2118" s="2459" t="s">
        <v>1673</v>
      </c>
      <c r="D2118" s="2460" t="s">
        <v>1671</v>
      </c>
      <c r="E2118" s="2461" t="s">
        <v>1573</v>
      </c>
      <c r="F2118" s="2461" t="s">
        <v>1601</v>
      </c>
      <c r="G2118" s="2461" t="s">
        <v>1412</v>
      </c>
      <c r="H2118" s="2461" t="s">
        <v>1116</v>
      </c>
      <c r="I2118" s="2462">
        <v>3.3470568666412834E-2</v>
      </c>
      <c r="J2118" s="2462">
        <v>2360.5148632471705</v>
      </c>
    </row>
    <row r="2119" spans="1:10" outlineLevel="2">
      <c r="A2119" s="2459" t="s">
        <v>1669</v>
      </c>
      <c r="B2119" s="2459" t="s">
        <v>1651</v>
      </c>
      <c r="C2119" s="2459" t="s">
        <v>1673</v>
      </c>
      <c r="D2119" s="2460" t="s">
        <v>1671</v>
      </c>
      <c r="E2119" s="2461" t="s">
        <v>1573</v>
      </c>
      <c r="F2119" s="2461" t="s">
        <v>1602</v>
      </c>
      <c r="G2119" s="2461" t="s">
        <v>1412</v>
      </c>
      <c r="H2119" s="2461" t="s">
        <v>1116</v>
      </c>
      <c r="I2119" s="2462">
        <v>1.9662197619494389E-2</v>
      </c>
      <c r="J2119" s="2462">
        <v>1031.0243886870144</v>
      </c>
    </row>
    <row r="2120" spans="1:10" outlineLevel="2">
      <c r="A2120" s="2459" t="s">
        <v>1669</v>
      </c>
      <c r="B2120" s="2459" t="s">
        <v>1651</v>
      </c>
      <c r="C2120" s="2459" t="s">
        <v>1673</v>
      </c>
      <c r="D2120" s="2460" t="s">
        <v>1671</v>
      </c>
      <c r="E2120" s="2461" t="s">
        <v>1573</v>
      </c>
      <c r="F2120" s="2461" t="s">
        <v>1603</v>
      </c>
      <c r="G2120" s="2461" t="s">
        <v>1412</v>
      </c>
      <c r="H2120" s="2461" t="s">
        <v>1116</v>
      </c>
      <c r="I2120" s="2462">
        <v>2.3273676878456984E-2</v>
      </c>
      <c r="J2120" s="2462">
        <v>1045.4988985815694</v>
      </c>
    </row>
    <row r="2121" spans="1:10" outlineLevel="2">
      <c r="A2121" s="2459" t="s">
        <v>1669</v>
      </c>
      <c r="B2121" s="2459" t="s">
        <v>1651</v>
      </c>
      <c r="C2121" s="2459" t="s">
        <v>1673</v>
      </c>
      <c r="D2121" s="2460" t="s">
        <v>1671</v>
      </c>
      <c r="E2121" s="2461" t="s">
        <v>1573</v>
      </c>
      <c r="F2121" s="2461" t="s">
        <v>1604</v>
      </c>
      <c r="G2121" s="2461" t="s">
        <v>1412</v>
      </c>
      <c r="H2121" s="2461" t="s">
        <v>1116</v>
      </c>
      <c r="I2121" s="2462">
        <v>1.4740483807157876E-3</v>
      </c>
      <c r="J2121" s="2462">
        <v>40.320892947091977</v>
      </c>
    </row>
    <row r="2122" spans="1:10" outlineLevel="2">
      <c r="A2122" s="2459" t="s">
        <v>1669</v>
      </c>
      <c r="B2122" s="2459" t="s">
        <v>1651</v>
      </c>
      <c r="C2122" s="2459" t="s">
        <v>1673</v>
      </c>
      <c r="D2122" s="2460" t="s">
        <v>1671</v>
      </c>
      <c r="E2122" s="2461" t="s">
        <v>1573</v>
      </c>
      <c r="F2122" s="2461" t="s">
        <v>1605</v>
      </c>
      <c r="G2122" s="2461" t="s">
        <v>1412</v>
      </c>
      <c r="H2122" s="2461" t="s">
        <v>1116</v>
      </c>
      <c r="I2122" s="2462">
        <v>0.11201435686441201</v>
      </c>
      <c r="J2122" s="2462">
        <v>3681.5063582416178</v>
      </c>
    </row>
    <row r="2123" spans="1:10" outlineLevel="2">
      <c r="A2123" s="2459" t="s">
        <v>1669</v>
      </c>
      <c r="B2123" s="2459" t="s">
        <v>1651</v>
      </c>
      <c r="C2123" s="2459" t="s">
        <v>1673</v>
      </c>
      <c r="D2123" s="2460" t="s">
        <v>1671</v>
      </c>
      <c r="E2123" s="2461" t="s">
        <v>1573</v>
      </c>
      <c r="F2123" s="2461" t="s">
        <v>1606</v>
      </c>
      <c r="G2123" s="2461" t="s">
        <v>1412</v>
      </c>
      <c r="H2123" s="2461" t="s">
        <v>1116</v>
      </c>
      <c r="I2123" s="2462">
        <v>1.835205397077121E-2</v>
      </c>
      <c r="J2123" s="2462">
        <v>1487.7476229841902</v>
      </c>
    </row>
    <row r="2124" spans="1:10" outlineLevel="2">
      <c r="A2124" s="2459" t="s">
        <v>1669</v>
      </c>
      <c r="B2124" s="2459" t="s">
        <v>1651</v>
      </c>
      <c r="C2124" s="2459" t="s">
        <v>1673</v>
      </c>
      <c r="D2124" s="2460" t="s">
        <v>1671</v>
      </c>
      <c r="E2124" s="2461" t="s">
        <v>1573</v>
      </c>
      <c r="F2124" s="2461" t="s">
        <v>1607</v>
      </c>
      <c r="G2124" s="2461" t="s">
        <v>1439</v>
      </c>
      <c r="H2124" s="2461" t="s">
        <v>1440</v>
      </c>
      <c r="I2124" s="2462">
        <v>1.1335779150718249E-5</v>
      </c>
      <c r="J2124" s="2462">
        <v>0.28411860666718114</v>
      </c>
    </row>
    <row r="2125" spans="1:10" outlineLevel="2">
      <c r="A2125" s="2459" t="s">
        <v>1669</v>
      </c>
      <c r="B2125" s="2459" t="s">
        <v>1651</v>
      </c>
      <c r="C2125" s="2459" t="s">
        <v>1673</v>
      </c>
      <c r="D2125" s="2460" t="s">
        <v>1671</v>
      </c>
      <c r="E2125" s="2461" t="s">
        <v>1573</v>
      </c>
      <c r="F2125" s="2461" t="s">
        <v>1608</v>
      </c>
      <c r="G2125" s="2461" t="s">
        <v>1439</v>
      </c>
      <c r="H2125" s="2461" t="s">
        <v>1440</v>
      </c>
      <c r="I2125" s="2462">
        <v>1.3322904536300652E-3</v>
      </c>
      <c r="J2125" s="2462">
        <v>74.629456436880872</v>
      </c>
    </row>
    <row r="2126" spans="1:10" outlineLevel="2">
      <c r="A2126" s="2459" t="s">
        <v>1669</v>
      </c>
      <c r="B2126" s="2459" t="s">
        <v>1651</v>
      </c>
      <c r="C2126" s="2459" t="s">
        <v>1673</v>
      </c>
      <c r="D2126" s="2460" t="s">
        <v>1671</v>
      </c>
      <c r="E2126" s="2461" t="s">
        <v>1573</v>
      </c>
      <c r="F2126" s="2461" t="s">
        <v>1609</v>
      </c>
      <c r="G2126" s="2461" t="s">
        <v>1439</v>
      </c>
      <c r="H2126" s="2461" t="s">
        <v>1440</v>
      </c>
      <c r="I2126" s="2462">
        <v>8.9650631993321725E-2</v>
      </c>
      <c r="J2126" s="2462">
        <v>1991.6011873980231</v>
      </c>
    </row>
    <row r="2127" spans="1:10" outlineLevel="2">
      <c r="A2127" s="2459" t="s">
        <v>1669</v>
      </c>
      <c r="B2127" s="2459" t="s">
        <v>1651</v>
      </c>
      <c r="C2127" s="2459" t="s">
        <v>1673</v>
      </c>
      <c r="D2127" s="2460" t="s">
        <v>1671</v>
      </c>
      <c r="E2127" s="2461" t="s">
        <v>1573</v>
      </c>
      <c r="F2127" s="2461" t="s">
        <v>1610</v>
      </c>
      <c r="G2127" s="2461" t="s">
        <v>1439</v>
      </c>
      <c r="H2127" s="2461" t="s">
        <v>1440</v>
      </c>
      <c r="I2127" s="2462">
        <v>2.3576512936511411E-2</v>
      </c>
      <c r="J2127" s="2462">
        <v>411.12987100890246</v>
      </c>
    </row>
    <row r="2128" spans="1:10" outlineLevel="2">
      <c r="A2128" s="2459" t="s">
        <v>1669</v>
      </c>
      <c r="B2128" s="2459" t="s">
        <v>1651</v>
      </c>
      <c r="C2128" s="2459" t="s">
        <v>1673</v>
      </c>
      <c r="D2128" s="2460" t="s">
        <v>1671</v>
      </c>
      <c r="E2128" s="2461" t="s">
        <v>1573</v>
      </c>
      <c r="F2128" s="2461" t="s">
        <v>1611</v>
      </c>
      <c r="G2128" s="2461" t="s">
        <v>1439</v>
      </c>
      <c r="H2128" s="2461" t="s">
        <v>1440</v>
      </c>
      <c r="I2128" s="2462">
        <v>5.5725646441646223E-2</v>
      </c>
      <c r="J2128" s="2462">
        <v>2714.9491589259533</v>
      </c>
    </row>
    <row r="2129" spans="1:10" outlineLevel="2">
      <c r="A2129" s="2459" t="s">
        <v>1669</v>
      </c>
      <c r="B2129" s="2459" t="s">
        <v>1651</v>
      </c>
      <c r="C2129" s="2459" t="s">
        <v>1673</v>
      </c>
      <c r="D2129" s="2460" t="s">
        <v>1671</v>
      </c>
      <c r="E2129" s="2461" t="s">
        <v>1573</v>
      </c>
      <c r="F2129" s="2461" t="s">
        <v>1612</v>
      </c>
      <c r="G2129" s="2461" t="s">
        <v>1439</v>
      </c>
      <c r="H2129" s="2461" t="s">
        <v>1440</v>
      </c>
      <c r="I2129" s="2462">
        <v>9.5567085273444517E-3</v>
      </c>
      <c r="J2129" s="2462">
        <v>319.88938716766637</v>
      </c>
    </row>
    <row r="2130" spans="1:10" outlineLevel="2">
      <c r="A2130" s="2459" t="s">
        <v>1669</v>
      </c>
      <c r="B2130" s="2459" t="s">
        <v>1651</v>
      </c>
      <c r="C2130" s="2459" t="s">
        <v>1673</v>
      </c>
      <c r="D2130" s="2460" t="s">
        <v>1671</v>
      </c>
      <c r="E2130" s="2461" t="s">
        <v>1573</v>
      </c>
      <c r="F2130" s="2461" t="s">
        <v>1613</v>
      </c>
      <c r="G2130" s="2461" t="s">
        <v>1439</v>
      </c>
      <c r="H2130" s="2461" t="s">
        <v>1440</v>
      </c>
      <c r="I2130" s="2462">
        <v>2.6868561493664561E-4</v>
      </c>
      <c r="J2130" s="2462">
        <v>8.1226936437214352</v>
      </c>
    </row>
    <row r="2131" spans="1:10" outlineLevel="2">
      <c r="A2131" s="2459" t="s">
        <v>1669</v>
      </c>
      <c r="B2131" s="2459" t="s">
        <v>1651</v>
      </c>
      <c r="C2131" s="2459" t="s">
        <v>1673</v>
      </c>
      <c r="D2131" s="2460" t="s">
        <v>1671</v>
      </c>
      <c r="E2131" s="2461" t="s">
        <v>1573</v>
      </c>
      <c r="F2131" s="2461" t="s">
        <v>1614</v>
      </c>
      <c r="G2131" s="2461" t="s">
        <v>1418</v>
      </c>
      <c r="H2131" s="2461" t="s">
        <v>1452</v>
      </c>
      <c r="I2131" s="2462">
        <v>1.9113463785685046E-5</v>
      </c>
      <c r="J2131" s="2462">
        <v>0.16337041127568908</v>
      </c>
    </row>
    <row r="2132" spans="1:10" outlineLevel="2">
      <c r="A2132" s="2459" t="s">
        <v>1669</v>
      </c>
      <c r="B2132" s="2459" t="s">
        <v>1651</v>
      </c>
      <c r="C2132" s="2459" t="s">
        <v>1673</v>
      </c>
      <c r="D2132" s="2460" t="s">
        <v>1671</v>
      </c>
      <c r="E2132" s="2461" t="s">
        <v>1573</v>
      </c>
      <c r="F2132" s="2461" t="s">
        <v>1615</v>
      </c>
      <c r="G2132" s="2461" t="s">
        <v>1418</v>
      </c>
      <c r="H2132" s="2461" t="s">
        <v>1452</v>
      </c>
      <c r="I2132" s="2462">
        <v>0.11561779683802705</v>
      </c>
      <c r="J2132" s="2462">
        <v>6783.4959730385262</v>
      </c>
    </row>
    <row r="2133" spans="1:10" outlineLevel="2">
      <c r="A2133" s="2459" t="s">
        <v>1669</v>
      </c>
      <c r="B2133" s="2459" t="s">
        <v>1651</v>
      </c>
      <c r="C2133" s="2459" t="s">
        <v>1673</v>
      </c>
      <c r="D2133" s="2460" t="s">
        <v>1671</v>
      </c>
      <c r="E2133" s="2461" t="s">
        <v>1573</v>
      </c>
      <c r="F2133" s="2461" t="s">
        <v>1616</v>
      </c>
      <c r="G2133" s="2461" t="s">
        <v>1418</v>
      </c>
      <c r="H2133" s="2461" t="s">
        <v>1452</v>
      </c>
      <c r="I2133" s="2462">
        <v>5.5183226577290292E-3</v>
      </c>
      <c r="J2133" s="2462">
        <v>608.19837153172216</v>
      </c>
    </row>
    <row r="2134" spans="1:10" outlineLevel="2">
      <c r="A2134" s="2459" t="s">
        <v>1669</v>
      </c>
      <c r="B2134" s="2459" t="s">
        <v>1651</v>
      </c>
      <c r="C2134" s="2459" t="s">
        <v>1673</v>
      </c>
      <c r="D2134" s="2460" t="s">
        <v>1671</v>
      </c>
      <c r="E2134" s="2461" t="s">
        <v>1573</v>
      </c>
      <c r="F2134" s="2461" t="s">
        <v>1617</v>
      </c>
      <c r="G2134" s="2461" t="s">
        <v>1418</v>
      </c>
      <c r="H2134" s="2461" t="s">
        <v>1452</v>
      </c>
      <c r="I2134" s="2462">
        <v>4.3832428936478523E-5</v>
      </c>
      <c r="J2134" s="2462">
        <v>3.3664208556520858</v>
      </c>
    </row>
    <row r="2135" spans="1:10" outlineLevel="2">
      <c r="A2135" s="2459" t="s">
        <v>1669</v>
      </c>
      <c r="B2135" s="2459" t="s">
        <v>1651</v>
      </c>
      <c r="C2135" s="2459" t="s">
        <v>1673</v>
      </c>
      <c r="D2135" s="2460" t="s">
        <v>1671</v>
      </c>
      <c r="E2135" s="2461" t="s">
        <v>1573</v>
      </c>
      <c r="F2135" s="2461" t="s">
        <v>1618</v>
      </c>
      <c r="G2135" s="2461" t="s">
        <v>1418</v>
      </c>
      <c r="H2135" s="2461" t="s">
        <v>1452</v>
      </c>
      <c r="I2135" s="2462">
        <v>8.5445059769205772E-6</v>
      </c>
      <c r="J2135" s="2462">
        <v>0.70718215534886908</v>
      </c>
    </row>
    <row r="2136" spans="1:10" outlineLevel="2">
      <c r="A2136" s="2459" t="s">
        <v>1669</v>
      </c>
      <c r="B2136" s="2459" t="s">
        <v>1651</v>
      </c>
      <c r="C2136" s="2459" t="s">
        <v>1673</v>
      </c>
      <c r="D2136" s="2460" t="s">
        <v>1671</v>
      </c>
      <c r="E2136" s="2461" t="s">
        <v>1573</v>
      </c>
      <c r="F2136" s="2461" t="s">
        <v>1619</v>
      </c>
      <c r="G2136" s="2461" t="s">
        <v>1418</v>
      </c>
      <c r="H2136" s="2461" t="s">
        <v>1452</v>
      </c>
      <c r="I2136" s="2462">
        <v>5.609457851629225E-4</v>
      </c>
      <c r="J2136" s="2462">
        <v>51.577870676952109</v>
      </c>
    </row>
    <row r="2137" spans="1:10" outlineLevel="2">
      <c r="A2137" s="2459" t="s">
        <v>1669</v>
      </c>
      <c r="B2137" s="2459" t="s">
        <v>1651</v>
      </c>
      <c r="C2137" s="2459" t="s">
        <v>1673</v>
      </c>
      <c r="D2137" s="2460" t="s">
        <v>1671</v>
      </c>
      <c r="E2137" s="2461" t="s">
        <v>1573</v>
      </c>
      <c r="F2137" s="2461" t="s">
        <v>1620</v>
      </c>
      <c r="G2137" s="2461" t="s">
        <v>1418</v>
      </c>
      <c r="H2137" s="2461" t="s">
        <v>1452</v>
      </c>
      <c r="I2137" s="2462">
        <v>1.1859832651414688E-6</v>
      </c>
      <c r="J2137" s="2462">
        <v>0.14270011316069353</v>
      </c>
    </row>
    <row r="2138" spans="1:10" outlineLevel="2">
      <c r="A2138" s="2459" t="s">
        <v>1669</v>
      </c>
      <c r="B2138" s="2459" t="s">
        <v>1651</v>
      </c>
      <c r="C2138" s="2459" t="s">
        <v>1673</v>
      </c>
      <c r="D2138" s="2460" t="s">
        <v>1671</v>
      </c>
      <c r="E2138" s="2461" t="s">
        <v>1573</v>
      </c>
      <c r="F2138" s="2461" t="s">
        <v>1621</v>
      </c>
      <c r="G2138" s="2461" t="s">
        <v>1418</v>
      </c>
      <c r="H2138" s="2461" t="s">
        <v>1452</v>
      </c>
      <c r="I2138" s="2462">
        <v>5.0488639779618755E-4</v>
      </c>
      <c r="J2138" s="2462">
        <v>47.690566871105077</v>
      </c>
    </row>
    <row r="2139" spans="1:10" outlineLevel="2">
      <c r="A2139" s="2459" t="s">
        <v>1669</v>
      </c>
      <c r="B2139" s="2459" t="s">
        <v>1651</v>
      </c>
      <c r="C2139" s="2459" t="s">
        <v>1673</v>
      </c>
      <c r="D2139" s="2460" t="s">
        <v>1671</v>
      </c>
      <c r="E2139" s="2461" t="s">
        <v>1573</v>
      </c>
      <c r="F2139" s="2461" t="s">
        <v>1622</v>
      </c>
      <c r="G2139" s="2461" t="s">
        <v>1418</v>
      </c>
      <c r="H2139" s="2461" t="s">
        <v>1452</v>
      </c>
      <c r="I2139" s="2462">
        <v>1.4927864942010757E-3</v>
      </c>
      <c r="J2139" s="2462">
        <v>132.71498896035931</v>
      </c>
    </row>
    <row r="2140" spans="1:10" outlineLevel="2">
      <c r="A2140" s="2459" t="s">
        <v>1669</v>
      </c>
      <c r="B2140" s="2459" t="s">
        <v>1651</v>
      </c>
      <c r="C2140" s="2459" t="s">
        <v>1673</v>
      </c>
      <c r="D2140" s="2460" t="s">
        <v>1671</v>
      </c>
      <c r="E2140" s="2461" t="s">
        <v>1573</v>
      </c>
      <c r="F2140" s="2461" t="s">
        <v>1623</v>
      </c>
      <c r="G2140" s="2461" t="s">
        <v>1418</v>
      </c>
      <c r="H2140" s="2461" t="s">
        <v>1452</v>
      </c>
      <c r="I2140" s="2462">
        <v>2.2639873050069917E-3</v>
      </c>
      <c r="J2140" s="2462">
        <v>97.86027200598997</v>
      </c>
    </row>
    <row r="2141" spans="1:10" outlineLevel="2">
      <c r="A2141" s="2459" t="s">
        <v>1669</v>
      </c>
      <c r="B2141" s="2459" t="s">
        <v>1651</v>
      </c>
      <c r="C2141" s="2459" t="s">
        <v>1673</v>
      </c>
      <c r="D2141" s="2460" t="s">
        <v>1671</v>
      </c>
      <c r="E2141" s="2461" t="s">
        <v>1573</v>
      </c>
      <c r="F2141" s="2461" t="s">
        <v>1624</v>
      </c>
      <c r="G2141" s="2461" t="s">
        <v>1421</v>
      </c>
      <c r="H2141" s="2461" t="s">
        <v>1454</v>
      </c>
      <c r="I2141" s="2462">
        <v>4.2062087471727426E-2</v>
      </c>
      <c r="J2141" s="2462">
        <v>1538.0832410243634</v>
      </c>
    </row>
    <row r="2142" spans="1:10" outlineLevel="2">
      <c r="A2142" s="2459" t="s">
        <v>1669</v>
      </c>
      <c r="B2142" s="2459" t="s">
        <v>1651</v>
      </c>
      <c r="C2142" s="2459" t="s">
        <v>1673</v>
      </c>
      <c r="D2142" s="2460" t="s">
        <v>1671</v>
      </c>
      <c r="E2142" s="2461" t="s">
        <v>1573</v>
      </c>
      <c r="F2142" s="2461" t="s">
        <v>1625</v>
      </c>
      <c r="G2142" s="2461" t="s">
        <v>1421</v>
      </c>
      <c r="H2142" s="2461" t="s">
        <v>1454</v>
      </c>
      <c r="I2142" s="2462">
        <v>9.9195342163431819E-3</v>
      </c>
      <c r="J2142" s="2462">
        <v>363.01567349713685</v>
      </c>
    </row>
    <row r="2143" spans="1:10" outlineLevel="2">
      <c r="A2143" s="2459" t="s">
        <v>1669</v>
      </c>
      <c r="B2143" s="2459" t="s">
        <v>1651</v>
      </c>
      <c r="C2143" s="2459" t="s">
        <v>1673</v>
      </c>
      <c r="D2143" s="2460" t="s">
        <v>1671</v>
      </c>
      <c r="E2143" s="2461" t="s">
        <v>1573</v>
      </c>
      <c r="F2143" s="2461" t="s">
        <v>1626</v>
      </c>
      <c r="G2143" s="2461" t="s">
        <v>1421</v>
      </c>
      <c r="H2143" s="2461" t="s">
        <v>1454</v>
      </c>
      <c r="I2143" s="2462">
        <v>2.7839959368937225E-2</v>
      </c>
      <c r="J2143" s="2462">
        <v>1007.1429117562939</v>
      </c>
    </row>
    <row r="2144" spans="1:10" outlineLevel="2">
      <c r="A2144" s="2459" t="s">
        <v>1669</v>
      </c>
      <c r="B2144" s="2459" t="s">
        <v>1651</v>
      </c>
      <c r="C2144" s="2459" t="s">
        <v>1673</v>
      </c>
      <c r="D2144" s="2460" t="s">
        <v>1671</v>
      </c>
      <c r="E2144" s="2461" t="s">
        <v>1573</v>
      </c>
      <c r="F2144" s="2461" t="s">
        <v>1627</v>
      </c>
      <c r="G2144" s="2461" t="s">
        <v>1421</v>
      </c>
      <c r="H2144" s="2461" t="s">
        <v>1454</v>
      </c>
      <c r="I2144" s="2462">
        <v>2.3508528698824867E-2</v>
      </c>
      <c r="J2144" s="2462">
        <v>511.3571708280956</v>
      </c>
    </row>
    <row r="2145" spans="1:10" outlineLevel="2">
      <c r="A2145" s="2459" t="s">
        <v>1669</v>
      </c>
      <c r="B2145" s="2459" t="s">
        <v>1651</v>
      </c>
      <c r="C2145" s="2459" t="s">
        <v>1673</v>
      </c>
      <c r="D2145" s="2460" t="s">
        <v>1671</v>
      </c>
      <c r="E2145" s="2461" t="s">
        <v>1573</v>
      </c>
      <c r="F2145" s="2461" t="s">
        <v>1628</v>
      </c>
      <c r="G2145" s="2461" t="s">
        <v>1421</v>
      </c>
      <c r="H2145" s="2461" t="s">
        <v>1454</v>
      </c>
      <c r="I2145" s="2462">
        <v>1.1694173770992408E-3</v>
      </c>
      <c r="J2145" s="2462">
        <v>49.179731991508277</v>
      </c>
    </row>
    <row r="2146" spans="1:10" outlineLevel="2">
      <c r="A2146" s="2459" t="s">
        <v>1669</v>
      </c>
      <c r="B2146" s="2459" t="s">
        <v>1651</v>
      </c>
      <c r="C2146" s="2459" t="s">
        <v>1673</v>
      </c>
      <c r="D2146" s="2460" t="s">
        <v>1671</v>
      </c>
      <c r="E2146" s="2461" t="s">
        <v>1573</v>
      </c>
      <c r="F2146" s="2461" t="s">
        <v>1629</v>
      </c>
      <c r="G2146" s="2461" t="s">
        <v>1421</v>
      </c>
      <c r="H2146" s="2461" t="s">
        <v>1454</v>
      </c>
      <c r="I2146" s="2462">
        <v>1.3528826148350842E-3</v>
      </c>
      <c r="J2146" s="2462">
        <v>43.528003079329615</v>
      </c>
    </row>
    <row r="2147" spans="1:10" outlineLevel="2">
      <c r="A2147" s="2459" t="s">
        <v>1669</v>
      </c>
      <c r="B2147" s="2459" t="s">
        <v>1651</v>
      </c>
      <c r="C2147" s="2459" t="s">
        <v>1673</v>
      </c>
      <c r="D2147" s="2460" t="s">
        <v>1671</v>
      </c>
      <c r="E2147" s="2461" t="s">
        <v>1573</v>
      </c>
      <c r="F2147" s="2461" t="s">
        <v>1630</v>
      </c>
      <c r="G2147" s="2461" t="s">
        <v>1459</v>
      </c>
      <c r="H2147" s="2461" t="s">
        <v>1460</v>
      </c>
      <c r="I2147" s="2462">
        <v>1.8596038744509416E-3</v>
      </c>
      <c r="J2147" s="2462">
        <v>121.87447609517548</v>
      </c>
    </row>
    <row r="2148" spans="1:10" outlineLevel="2">
      <c r="A2148" s="2459" t="s">
        <v>1669</v>
      </c>
      <c r="B2148" s="2459" t="s">
        <v>1651</v>
      </c>
      <c r="C2148" s="2459" t="s">
        <v>1673</v>
      </c>
      <c r="D2148" s="2460" t="s">
        <v>1671</v>
      </c>
      <c r="E2148" s="2461" t="s">
        <v>1573</v>
      </c>
      <c r="F2148" s="2461" t="s">
        <v>1633</v>
      </c>
      <c r="G2148" s="2461" t="s">
        <v>215</v>
      </c>
      <c r="H2148" s="2461" t="s">
        <v>1537</v>
      </c>
      <c r="I2148" s="2462">
        <v>1.321062764306101E-2</v>
      </c>
      <c r="J2148" s="2462">
        <v>294.52010088520097</v>
      </c>
    </row>
    <row r="2149" spans="1:10" outlineLevel="2">
      <c r="A2149" s="2459" t="s">
        <v>1669</v>
      </c>
      <c r="B2149" s="2459" t="s">
        <v>1651</v>
      </c>
      <c r="C2149" s="2459" t="s">
        <v>1673</v>
      </c>
      <c r="D2149" s="2460" t="s">
        <v>1676</v>
      </c>
      <c r="E2149" s="2461" t="s">
        <v>213</v>
      </c>
      <c r="F2149" s="2461" t="s">
        <v>1635</v>
      </c>
      <c r="G2149" s="2461" t="s">
        <v>1636</v>
      </c>
      <c r="H2149" s="2461" t="s">
        <v>1637</v>
      </c>
      <c r="I2149" s="2462">
        <v>3.102410644180486E-5</v>
      </c>
      <c r="J2149" s="2462">
        <v>0.10447793173385374</v>
      </c>
    </row>
    <row r="2150" spans="1:10" outlineLevel="2">
      <c r="A2150" s="2459" t="s">
        <v>1669</v>
      </c>
      <c r="B2150" s="2459" t="s">
        <v>1651</v>
      </c>
      <c r="C2150" s="2459" t="s">
        <v>1673</v>
      </c>
      <c r="D2150" s="2460" t="s">
        <v>1676</v>
      </c>
      <c r="E2150" s="2461" t="s">
        <v>1538</v>
      </c>
      <c r="F2150" s="2461" t="s">
        <v>1638</v>
      </c>
      <c r="G2150" s="2461" t="s">
        <v>1636</v>
      </c>
      <c r="H2150" s="2461" t="s">
        <v>1540</v>
      </c>
      <c r="I2150" s="2462">
        <v>3.4781417422900044E-6</v>
      </c>
      <c r="J2150" s="2462">
        <v>5.8295152425343298E-2</v>
      </c>
    </row>
    <row r="2151" spans="1:10" outlineLevel="2">
      <c r="A2151" s="2459" t="s">
        <v>1669</v>
      </c>
      <c r="B2151" s="2459" t="s">
        <v>1651</v>
      </c>
      <c r="C2151" s="2459" t="s">
        <v>1673</v>
      </c>
      <c r="D2151" s="2460" t="s">
        <v>1676</v>
      </c>
      <c r="E2151" s="2461" t="s">
        <v>1573</v>
      </c>
      <c r="F2151" s="2461" t="s">
        <v>1639</v>
      </c>
      <c r="G2151" s="2461" t="s">
        <v>1636</v>
      </c>
      <c r="H2151" s="2461" t="s">
        <v>1637</v>
      </c>
      <c r="I2151" s="2462">
        <v>6.0545885165141465E-5</v>
      </c>
      <c r="J2151" s="2462">
        <v>3.2244281045791614</v>
      </c>
    </row>
    <row r="2152" spans="1:10" outlineLevel="2">
      <c r="A2152" s="2459" t="s">
        <v>1669</v>
      </c>
      <c r="B2152" s="2459" t="s">
        <v>1652</v>
      </c>
      <c r="C2152" s="2459" t="s">
        <v>1670</v>
      </c>
      <c r="D2152" s="2460" t="s">
        <v>1671</v>
      </c>
      <c r="E2152" s="2461" t="s">
        <v>1407</v>
      </c>
      <c r="F2152" s="2461" t="s">
        <v>1408</v>
      </c>
      <c r="G2152" s="2461" t="s">
        <v>1409</v>
      </c>
      <c r="H2152" s="2461" t="s">
        <v>1410</v>
      </c>
      <c r="I2152" s="2462">
        <v>2.9572983140980533E-3</v>
      </c>
      <c r="J2152" s="2462">
        <v>4.3502543745051588E-2</v>
      </c>
    </row>
    <row r="2153" spans="1:10" outlineLevel="2">
      <c r="A2153" s="2459" t="s">
        <v>1669</v>
      </c>
      <c r="B2153" s="2459" t="s">
        <v>1652</v>
      </c>
      <c r="C2153" s="2459" t="s">
        <v>1670</v>
      </c>
      <c r="D2153" s="2460" t="s">
        <v>1671</v>
      </c>
      <c r="E2153" s="2461" t="s">
        <v>1407</v>
      </c>
      <c r="F2153" s="2461" t="s">
        <v>1411</v>
      </c>
      <c r="G2153" s="2461" t="s">
        <v>1412</v>
      </c>
      <c r="H2153" s="2461" t="s">
        <v>1410</v>
      </c>
      <c r="I2153" s="2462">
        <v>0.36762267093599305</v>
      </c>
      <c r="J2153" s="2462">
        <v>59.699744540582806</v>
      </c>
    </row>
    <row r="2154" spans="1:10" outlineLevel="2">
      <c r="A2154" s="2459" t="s">
        <v>1669</v>
      </c>
      <c r="B2154" s="2459" t="s">
        <v>1652</v>
      </c>
      <c r="C2154" s="2459" t="s">
        <v>1670</v>
      </c>
      <c r="D2154" s="2460" t="s">
        <v>1671</v>
      </c>
      <c r="E2154" s="2461" t="s">
        <v>1407</v>
      </c>
      <c r="F2154" s="2461" t="s">
        <v>1413</v>
      </c>
      <c r="G2154" s="2461" t="s">
        <v>1412</v>
      </c>
      <c r="H2154" s="2461" t="s">
        <v>1410</v>
      </c>
      <c r="I2154" s="2462">
        <v>2.9854616841672101E-4</v>
      </c>
      <c r="J2154" s="2462">
        <v>5.0576253641425865E-2</v>
      </c>
    </row>
    <row r="2155" spans="1:10" outlineLevel="2">
      <c r="A2155" s="2459" t="s">
        <v>1669</v>
      </c>
      <c r="B2155" s="2459" t="s">
        <v>1652</v>
      </c>
      <c r="C2155" s="2459" t="s">
        <v>1670</v>
      </c>
      <c r="D2155" s="2460" t="s">
        <v>1671</v>
      </c>
      <c r="E2155" s="2461" t="s">
        <v>1407</v>
      </c>
      <c r="F2155" s="2461" t="s">
        <v>1414</v>
      </c>
      <c r="G2155" s="2461" t="s">
        <v>1412</v>
      </c>
      <c r="H2155" s="2461" t="s">
        <v>1410</v>
      </c>
      <c r="I2155" s="2462">
        <v>1.5002734260410126E-4</v>
      </c>
      <c r="J2155" s="2462">
        <v>2.7560623147622098E-2</v>
      </c>
    </row>
    <row r="2156" spans="1:10" outlineLevel="2">
      <c r="A2156" s="2459" t="s">
        <v>1669</v>
      </c>
      <c r="B2156" s="2459" t="s">
        <v>1652</v>
      </c>
      <c r="C2156" s="2459" t="s">
        <v>1670</v>
      </c>
      <c r="D2156" s="2460" t="s">
        <v>1671</v>
      </c>
      <c r="E2156" s="2461" t="s">
        <v>1407</v>
      </c>
      <c r="F2156" s="2461" t="s">
        <v>1415</v>
      </c>
      <c r="G2156" s="2461" t="s">
        <v>1412</v>
      </c>
      <c r="H2156" s="2461" t="s">
        <v>1410</v>
      </c>
      <c r="I2156" s="2462">
        <v>1.2667312933186564E-3</v>
      </c>
      <c r="J2156" s="2462">
        <v>0.20177905298440946</v>
      </c>
    </row>
    <row r="2157" spans="1:10" outlineLevel="2">
      <c r="A2157" s="2459" t="s">
        <v>1669</v>
      </c>
      <c r="B2157" s="2459" t="s">
        <v>1652</v>
      </c>
      <c r="C2157" s="2459" t="s">
        <v>1670</v>
      </c>
      <c r="D2157" s="2460" t="s">
        <v>1671</v>
      </c>
      <c r="E2157" s="2461" t="s">
        <v>1407</v>
      </c>
      <c r="F2157" s="2461" t="s">
        <v>1416</v>
      </c>
      <c r="G2157" s="2461" t="s">
        <v>1412</v>
      </c>
      <c r="H2157" s="2461" t="s">
        <v>1410</v>
      </c>
      <c r="I2157" s="2462">
        <v>1.3732362642595451E-3</v>
      </c>
      <c r="J2157" s="2462">
        <v>0.33780446218475335</v>
      </c>
    </row>
    <row r="2158" spans="1:10" outlineLevel="2">
      <c r="A2158" s="2459" t="s">
        <v>1669</v>
      </c>
      <c r="B2158" s="2459" t="s">
        <v>1652</v>
      </c>
      <c r="C2158" s="2459" t="s">
        <v>1670</v>
      </c>
      <c r="D2158" s="2460" t="s">
        <v>1671</v>
      </c>
      <c r="E2158" s="2461" t="s">
        <v>1407</v>
      </c>
      <c r="F2158" s="2461" t="s">
        <v>1417</v>
      </c>
      <c r="G2158" s="2461" t="s">
        <v>1418</v>
      </c>
      <c r="H2158" s="2461" t="s">
        <v>1410</v>
      </c>
      <c r="I2158" s="2462">
        <v>3.512897686420627E-3</v>
      </c>
      <c r="J2158" s="2462">
        <v>4.6661501648097403E-2</v>
      </c>
    </row>
    <row r="2159" spans="1:10" outlineLevel="2">
      <c r="A2159" s="2459" t="s">
        <v>1669</v>
      </c>
      <c r="B2159" s="2459" t="s">
        <v>1652</v>
      </c>
      <c r="C2159" s="2459" t="s">
        <v>1670</v>
      </c>
      <c r="D2159" s="2460" t="s">
        <v>1671</v>
      </c>
      <c r="E2159" s="2461" t="s">
        <v>1407</v>
      </c>
      <c r="F2159" s="2461" t="s">
        <v>1419</v>
      </c>
      <c r="G2159" s="2461" t="s">
        <v>1418</v>
      </c>
      <c r="H2159" s="2461" t="s">
        <v>1410</v>
      </c>
      <c r="I2159" s="2462">
        <v>2.6075680310960459E-2</v>
      </c>
      <c r="J2159" s="2462">
        <v>5.0641482931888993</v>
      </c>
    </row>
    <row r="2160" spans="1:10" outlineLevel="2">
      <c r="A2160" s="2459" t="s">
        <v>1669</v>
      </c>
      <c r="B2160" s="2459" t="s">
        <v>1652</v>
      </c>
      <c r="C2160" s="2459" t="s">
        <v>1670</v>
      </c>
      <c r="D2160" s="2460" t="s">
        <v>1671</v>
      </c>
      <c r="E2160" s="2461" t="s">
        <v>1407</v>
      </c>
      <c r="F2160" s="2461" t="s">
        <v>1420</v>
      </c>
      <c r="G2160" s="2461" t="s">
        <v>1421</v>
      </c>
      <c r="H2160" s="2461" t="s">
        <v>1410</v>
      </c>
      <c r="I2160" s="2462">
        <v>0.35064885607235052</v>
      </c>
      <c r="J2160" s="2462">
        <v>9.1002706883166606</v>
      </c>
    </row>
    <row r="2161" spans="1:10" outlineLevel="2">
      <c r="A2161" s="2459" t="s">
        <v>1669</v>
      </c>
      <c r="B2161" s="2459" t="s">
        <v>1652</v>
      </c>
      <c r="C2161" s="2459" t="s">
        <v>1670</v>
      </c>
      <c r="D2161" s="2460" t="s">
        <v>1671</v>
      </c>
      <c r="E2161" s="2461" t="s">
        <v>1407</v>
      </c>
      <c r="F2161" s="2461" t="s">
        <v>1422</v>
      </c>
      <c r="G2161" s="2461" t="s">
        <v>1421</v>
      </c>
      <c r="H2161" s="2461" t="s">
        <v>1410</v>
      </c>
      <c r="I2161" s="2462">
        <v>1.0603570031467953E-2</v>
      </c>
      <c r="J2161" s="2462">
        <v>0.43446245829803715</v>
      </c>
    </row>
    <row r="2162" spans="1:10" outlineLevel="2">
      <c r="A2162" s="2459" t="s">
        <v>1669</v>
      </c>
      <c r="B2162" s="2459" t="s">
        <v>1652</v>
      </c>
      <c r="C2162" s="2459" t="s">
        <v>1670</v>
      </c>
      <c r="D2162" s="2460" t="s">
        <v>1671</v>
      </c>
      <c r="E2162" s="2461" t="s">
        <v>1407</v>
      </c>
      <c r="F2162" s="2461" t="s">
        <v>1423</v>
      </c>
      <c r="G2162" s="2461" t="s">
        <v>1421</v>
      </c>
      <c r="H2162" s="2461" t="s">
        <v>1410</v>
      </c>
      <c r="I2162" s="2462">
        <v>5.5114764986874936E-3</v>
      </c>
      <c r="J2162" s="2462">
        <v>0.6351347930453406</v>
      </c>
    </row>
    <row r="2163" spans="1:10" outlineLevel="2">
      <c r="A2163" s="2459" t="s">
        <v>1669</v>
      </c>
      <c r="B2163" s="2459" t="s">
        <v>1652</v>
      </c>
      <c r="C2163" s="2459" t="s">
        <v>1670</v>
      </c>
      <c r="D2163" s="2460" t="s">
        <v>1671</v>
      </c>
      <c r="E2163" s="2461" t="s">
        <v>1407</v>
      </c>
      <c r="F2163" s="2461" t="s">
        <v>1424</v>
      </c>
      <c r="G2163" s="2461" t="s">
        <v>1421</v>
      </c>
      <c r="H2163" s="2461" t="s">
        <v>1410</v>
      </c>
      <c r="I2163" s="2462">
        <v>0.10777970540823516</v>
      </c>
      <c r="J2163" s="2462">
        <v>22.554573198066656</v>
      </c>
    </row>
    <row r="2164" spans="1:10" outlineLevel="2">
      <c r="A2164" s="2459" t="s">
        <v>1669</v>
      </c>
      <c r="B2164" s="2459" t="s">
        <v>1652</v>
      </c>
      <c r="C2164" s="2459" t="s">
        <v>1670</v>
      </c>
      <c r="D2164" s="2460" t="s">
        <v>1671</v>
      </c>
      <c r="E2164" s="2461" t="s">
        <v>213</v>
      </c>
      <c r="F2164" s="2461" t="s">
        <v>1425</v>
      </c>
      <c r="G2164" s="2461" t="s">
        <v>1426</v>
      </c>
      <c r="H2164" s="2461" t="s">
        <v>1427</v>
      </c>
      <c r="I2164" s="2462">
        <v>0.62709222247279717</v>
      </c>
      <c r="J2164" s="2462">
        <v>180.18387379956295</v>
      </c>
    </row>
    <row r="2165" spans="1:10" outlineLevel="2">
      <c r="A2165" s="2459" t="s">
        <v>1669</v>
      </c>
      <c r="B2165" s="2459" t="s">
        <v>1652</v>
      </c>
      <c r="C2165" s="2459" t="s">
        <v>1670</v>
      </c>
      <c r="D2165" s="2460" t="s">
        <v>1671</v>
      </c>
      <c r="E2165" s="2461" t="s">
        <v>213</v>
      </c>
      <c r="F2165" s="2461" t="s">
        <v>1653</v>
      </c>
      <c r="G2165" s="2461" t="s">
        <v>1426</v>
      </c>
      <c r="H2165" s="2461" t="s">
        <v>1427</v>
      </c>
      <c r="I2165" s="2462">
        <v>0.42499322922334926</v>
      </c>
      <c r="J2165" s="2462">
        <v>587.5818795762458</v>
      </c>
    </row>
    <row r="2166" spans="1:10" outlineLevel="2">
      <c r="A2166" s="2459" t="s">
        <v>1669</v>
      </c>
      <c r="B2166" s="2459" t="s">
        <v>1652</v>
      </c>
      <c r="C2166" s="2459" t="s">
        <v>1670</v>
      </c>
      <c r="D2166" s="2460" t="s">
        <v>1671</v>
      </c>
      <c r="E2166" s="2461" t="s">
        <v>213</v>
      </c>
      <c r="F2166" s="2461" t="s">
        <v>1428</v>
      </c>
      <c r="G2166" s="2461" t="s">
        <v>1426</v>
      </c>
      <c r="H2166" s="2461" t="s">
        <v>1427</v>
      </c>
      <c r="I2166" s="2462">
        <v>0.19155200138827846</v>
      </c>
      <c r="J2166" s="2462">
        <v>77.381798849913594</v>
      </c>
    </row>
    <row r="2167" spans="1:10" outlineLevel="2">
      <c r="A2167" s="2459" t="s">
        <v>1669</v>
      </c>
      <c r="B2167" s="2459" t="s">
        <v>1652</v>
      </c>
      <c r="C2167" s="2459" t="s">
        <v>1670</v>
      </c>
      <c r="D2167" s="2460" t="s">
        <v>1671</v>
      </c>
      <c r="E2167" s="2461" t="s">
        <v>213</v>
      </c>
      <c r="F2167" s="2461" t="s">
        <v>1429</v>
      </c>
      <c r="G2167" s="2461" t="s">
        <v>1426</v>
      </c>
      <c r="H2167" s="2461" t="s">
        <v>1427</v>
      </c>
      <c r="I2167" s="2462">
        <v>8.7185679491838947E-2</v>
      </c>
      <c r="J2167" s="2462">
        <v>112.12724707176625</v>
      </c>
    </row>
    <row r="2168" spans="1:10" outlineLevel="2">
      <c r="A2168" s="2459" t="s">
        <v>1669</v>
      </c>
      <c r="B2168" s="2459" t="s">
        <v>1652</v>
      </c>
      <c r="C2168" s="2459" t="s">
        <v>1670</v>
      </c>
      <c r="D2168" s="2460" t="s">
        <v>1671</v>
      </c>
      <c r="E2168" s="2461" t="s">
        <v>213</v>
      </c>
      <c r="F2168" s="2461" t="s">
        <v>1430</v>
      </c>
      <c r="G2168" s="2461" t="s">
        <v>1409</v>
      </c>
      <c r="H2168" s="2461" t="s">
        <v>1070</v>
      </c>
      <c r="I2168" s="2462">
        <v>9.1411662050743508E-3</v>
      </c>
      <c r="J2168" s="2462">
        <v>5.6719104693598945</v>
      </c>
    </row>
    <row r="2169" spans="1:10" outlineLevel="2">
      <c r="A2169" s="2459" t="s">
        <v>1669</v>
      </c>
      <c r="B2169" s="2459" t="s">
        <v>1652</v>
      </c>
      <c r="C2169" s="2459" t="s">
        <v>1670</v>
      </c>
      <c r="D2169" s="2460" t="s">
        <v>1671</v>
      </c>
      <c r="E2169" s="2461" t="s">
        <v>213</v>
      </c>
      <c r="F2169" s="2461" t="s">
        <v>1431</v>
      </c>
      <c r="G2169" s="2461" t="s">
        <v>1409</v>
      </c>
      <c r="H2169" s="2461" t="s">
        <v>1070</v>
      </c>
      <c r="I2169" s="2462">
        <v>7.5862036367686683E-4</v>
      </c>
      <c r="J2169" s="2462">
        <v>0.36740468369419482</v>
      </c>
    </row>
    <row r="2170" spans="1:10" outlineLevel="2">
      <c r="A2170" s="2459" t="s">
        <v>1669</v>
      </c>
      <c r="B2170" s="2459" t="s">
        <v>1652</v>
      </c>
      <c r="C2170" s="2459" t="s">
        <v>1670</v>
      </c>
      <c r="D2170" s="2460" t="s">
        <v>1671</v>
      </c>
      <c r="E2170" s="2461" t="s">
        <v>213</v>
      </c>
      <c r="F2170" s="2461" t="s">
        <v>1432</v>
      </c>
      <c r="G2170" s="2461" t="s">
        <v>1409</v>
      </c>
      <c r="H2170" s="2461" t="s">
        <v>1070</v>
      </c>
      <c r="I2170" s="2462">
        <v>9.1934845087985391E-4</v>
      </c>
      <c r="J2170" s="2462">
        <v>0.43915280524778222</v>
      </c>
    </row>
    <row r="2171" spans="1:10" outlineLevel="2">
      <c r="A2171" s="2459" t="s">
        <v>1669</v>
      </c>
      <c r="B2171" s="2459" t="s">
        <v>1652</v>
      </c>
      <c r="C2171" s="2459" t="s">
        <v>1670</v>
      </c>
      <c r="D2171" s="2460" t="s">
        <v>1671</v>
      </c>
      <c r="E2171" s="2461" t="s">
        <v>213</v>
      </c>
      <c r="F2171" s="2461" t="s">
        <v>1433</v>
      </c>
      <c r="G2171" s="2461" t="s">
        <v>1409</v>
      </c>
      <c r="H2171" s="2461" t="s">
        <v>1070</v>
      </c>
      <c r="I2171" s="2462">
        <v>6.7989776421481152E-6</v>
      </c>
      <c r="J2171" s="2462">
        <v>3.0428572265139794E-3</v>
      </c>
    </row>
    <row r="2172" spans="1:10" outlineLevel="2">
      <c r="A2172" s="2459" t="s">
        <v>1669</v>
      </c>
      <c r="B2172" s="2459" t="s">
        <v>1652</v>
      </c>
      <c r="C2172" s="2459" t="s">
        <v>1670</v>
      </c>
      <c r="D2172" s="2460" t="s">
        <v>1671</v>
      </c>
      <c r="E2172" s="2461" t="s">
        <v>213</v>
      </c>
      <c r="F2172" s="2461" t="s">
        <v>1434</v>
      </c>
      <c r="G2172" s="2461" t="s">
        <v>1409</v>
      </c>
      <c r="H2172" s="2461" t="s">
        <v>1070</v>
      </c>
      <c r="I2172" s="2462">
        <v>2.6206759130817388E-2</v>
      </c>
      <c r="J2172" s="2462">
        <v>14.63343670923661</v>
      </c>
    </row>
    <row r="2173" spans="1:10" outlineLevel="2">
      <c r="A2173" s="2459" t="s">
        <v>1669</v>
      </c>
      <c r="B2173" s="2459" t="s">
        <v>1652</v>
      </c>
      <c r="C2173" s="2459" t="s">
        <v>1670</v>
      </c>
      <c r="D2173" s="2460" t="s">
        <v>1671</v>
      </c>
      <c r="E2173" s="2461" t="s">
        <v>213</v>
      </c>
      <c r="F2173" s="2461" t="s">
        <v>1435</v>
      </c>
      <c r="G2173" s="2461" t="s">
        <v>1409</v>
      </c>
      <c r="H2173" s="2461" t="s">
        <v>1070</v>
      </c>
      <c r="I2173" s="2462">
        <v>1.9161538676765009E-4</v>
      </c>
      <c r="J2173" s="2462">
        <v>8.5756791485468831E-2</v>
      </c>
    </row>
    <row r="2174" spans="1:10" outlineLevel="2">
      <c r="A2174" s="2459" t="s">
        <v>1669</v>
      </c>
      <c r="B2174" s="2459" t="s">
        <v>1652</v>
      </c>
      <c r="C2174" s="2459" t="s">
        <v>1670</v>
      </c>
      <c r="D2174" s="2460" t="s">
        <v>1671</v>
      </c>
      <c r="E2174" s="2461" t="s">
        <v>213</v>
      </c>
      <c r="F2174" s="2461" t="s">
        <v>1436</v>
      </c>
      <c r="G2174" s="2461" t="s">
        <v>1412</v>
      </c>
      <c r="H2174" s="2461" t="s">
        <v>1116</v>
      </c>
      <c r="I2174" s="2462">
        <v>3.6409379338523914E-4</v>
      </c>
      <c r="J2174" s="2462">
        <v>0.16294875617386501</v>
      </c>
    </row>
    <row r="2175" spans="1:10" outlineLevel="2">
      <c r="A2175" s="2459" t="s">
        <v>1669</v>
      </c>
      <c r="B2175" s="2459" t="s">
        <v>1652</v>
      </c>
      <c r="C2175" s="2459" t="s">
        <v>1670</v>
      </c>
      <c r="D2175" s="2460" t="s">
        <v>1671</v>
      </c>
      <c r="E2175" s="2461" t="s">
        <v>213</v>
      </c>
      <c r="F2175" s="2461" t="s">
        <v>1437</v>
      </c>
      <c r="G2175" s="2461" t="s">
        <v>1412</v>
      </c>
      <c r="H2175" s="2461" t="s">
        <v>1116</v>
      </c>
      <c r="I2175" s="2462">
        <v>2.7860960700697652E-5</v>
      </c>
      <c r="J2175" s="2462">
        <v>1.2469064306973587E-2</v>
      </c>
    </row>
    <row r="2176" spans="1:10" outlineLevel="2">
      <c r="A2176" s="2459" t="s">
        <v>1669</v>
      </c>
      <c r="B2176" s="2459" t="s">
        <v>1652</v>
      </c>
      <c r="C2176" s="2459" t="s">
        <v>1670</v>
      </c>
      <c r="D2176" s="2460" t="s">
        <v>1671</v>
      </c>
      <c r="E2176" s="2461" t="s">
        <v>213</v>
      </c>
      <c r="F2176" s="2461" t="s">
        <v>1438</v>
      </c>
      <c r="G2176" s="2461" t="s">
        <v>1439</v>
      </c>
      <c r="H2176" s="2461" t="s">
        <v>1440</v>
      </c>
      <c r="I2176" s="2462">
        <v>2.7166129676951746E-3</v>
      </c>
      <c r="J2176" s="2462">
        <v>1.4877963921039519</v>
      </c>
    </row>
    <row r="2177" spans="1:10" outlineLevel="2">
      <c r="A2177" s="2459" t="s">
        <v>1669</v>
      </c>
      <c r="B2177" s="2459" t="s">
        <v>1652</v>
      </c>
      <c r="C2177" s="2459" t="s">
        <v>1670</v>
      </c>
      <c r="D2177" s="2460" t="s">
        <v>1671</v>
      </c>
      <c r="E2177" s="2461" t="s">
        <v>213</v>
      </c>
      <c r="F2177" s="2461" t="s">
        <v>1441</v>
      </c>
      <c r="G2177" s="2461" t="s">
        <v>1439</v>
      </c>
      <c r="H2177" s="2461" t="s">
        <v>1440</v>
      </c>
      <c r="I2177" s="2462">
        <v>4.1125672328866034E-2</v>
      </c>
      <c r="J2177" s="2462">
        <v>22.102796209254414</v>
      </c>
    </row>
    <row r="2178" spans="1:10" outlineLevel="2">
      <c r="A2178" s="2459" t="s">
        <v>1669</v>
      </c>
      <c r="B2178" s="2459" t="s">
        <v>1652</v>
      </c>
      <c r="C2178" s="2459" t="s">
        <v>1670</v>
      </c>
      <c r="D2178" s="2460" t="s">
        <v>1671</v>
      </c>
      <c r="E2178" s="2461" t="s">
        <v>213</v>
      </c>
      <c r="F2178" s="2461" t="s">
        <v>1442</v>
      </c>
      <c r="G2178" s="2461" t="s">
        <v>1439</v>
      </c>
      <c r="H2178" s="2461" t="s">
        <v>1440</v>
      </c>
      <c r="I2178" s="2462">
        <v>3.8235017577682356E-2</v>
      </c>
      <c r="J2178" s="2462">
        <v>19.864889707475299</v>
      </c>
    </row>
    <row r="2179" spans="1:10" outlineLevel="2">
      <c r="A2179" s="2459" t="s">
        <v>1669</v>
      </c>
      <c r="B2179" s="2459" t="s">
        <v>1652</v>
      </c>
      <c r="C2179" s="2459" t="s">
        <v>1670</v>
      </c>
      <c r="D2179" s="2460" t="s">
        <v>1671</v>
      </c>
      <c r="E2179" s="2461" t="s">
        <v>213</v>
      </c>
      <c r="F2179" s="2461" t="s">
        <v>1443</v>
      </c>
      <c r="G2179" s="2461" t="s">
        <v>1439</v>
      </c>
      <c r="H2179" s="2461" t="s">
        <v>1440</v>
      </c>
      <c r="I2179" s="2462">
        <v>0.38886673869856342</v>
      </c>
      <c r="J2179" s="2462">
        <v>212.86701463876321</v>
      </c>
    </row>
    <row r="2180" spans="1:10" outlineLevel="2">
      <c r="A2180" s="2459" t="s">
        <v>1669</v>
      </c>
      <c r="B2180" s="2459" t="s">
        <v>1652</v>
      </c>
      <c r="C2180" s="2459" t="s">
        <v>1670</v>
      </c>
      <c r="D2180" s="2460" t="s">
        <v>1671</v>
      </c>
      <c r="E2180" s="2461" t="s">
        <v>213</v>
      </c>
      <c r="F2180" s="2461" t="s">
        <v>1444</v>
      </c>
      <c r="G2180" s="2461" t="s">
        <v>1439</v>
      </c>
      <c r="H2180" s="2461" t="s">
        <v>1440</v>
      </c>
      <c r="I2180" s="2462">
        <v>4.6969558832118646E-2</v>
      </c>
      <c r="J2180" s="2462">
        <v>27.588030708081551</v>
      </c>
    </row>
    <row r="2181" spans="1:10" outlineLevel="2">
      <c r="A2181" s="2459" t="s">
        <v>1669</v>
      </c>
      <c r="B2181" s="2459" t="s">
        <v>1652</v>
      </c>
      <c r="C2181" s="2459" t="s">
        <v>1670</v>
      </c>
      <c r="D2181" s="2460" t="s">
        <v>1671</v>
      </c>
      <c r="E2181" s="2461" t="s">
        <v>213</v>
      </c>
      <c r="F2181" s="2461" t="s">
        <v>1445</v>
      </c>
      <c r="G2181" s="2461" t="s">
        <v>1439</v>
      </c>
      <c r="H2181" s="2461" t="s">
        <v>1440</v>
      </c>
      <c r="I2181" s="2462">
        <v>0.36795960152992119</v>
      </c>
      <c r="J2181" s="2462">
        <v>186.01732541867591</v>
      </c>
    </row>
    <row r="2182" spans="1:10" outlineLevel="2">
      <c r="A2182" s="2459" t="s">
        <v>1669</v>
      </c>
      <c r="B2182" s="2459" t="s">
        <v>1652</v>
      </c>
      <c r="C2182" s="2459" t="s">
        <v>1670</v>
      </c>
      <c r="D2182" s="2460" t="s">
        <v>1671</v>
      </c>
      <c r="E2182" s="2461" t="s">
        <v>213</v>
      </c>
      <c r="F2182" s="2461" t="s">
        <v>1446</v>
      </c>
      <c r="G2182" s="2461" t="s">
        <v>1439</v>
      </c>
      <c r="H2182" s="2461" t="s">
        <v>1440</v>
      </c>
      <c r="I2182" s="2462">
        <v>3.3106297018680737E-2</v>
      </c>
      <c r="J2182" s="2462">
        <v>17.755594758105424</v>
      </c>
    </row>
    <row r="2183" spans="1:10" outlineLevel="2">
      <c r="A2183" s="2459" t="s">
        <v>1669</v>
      </c>
      <c r="B2183" s="2459" t="s">
        <v>1652</v>
      </c>
      <c r="C2183" s="2459" t="s">
        <v>1670</v>
      </c>
      <c r="D2183" s="2460" t="s">
        <v>1671</v>
      </c>
      <c r="E2183" s="2461" t="s">
        <v>213</v>
      </c>
      <c r="F2183" s="2461" t="s">
        <v>1447</v>
      </c>
      <c r="G2183" s="2461" t="s">
        <v>1439</v>
      </c>
      <c r="H2183" s="2461" t="s">
        <v>1440</v>
      </c>
      <c r="I2183" s="2462">
        <v>0.3247586981408358</v>
      </c>
      <c r="J2183" s="2462">
        <v>173.695665414735</v>
      </c>
    </row>
    <row r="2184" spans="1:10" outlineLevel="2">
      <c r="A2184" s="2459" t="s">
        <v>1669</v>
      </c>
      <c r="B2184" s="2459" t="s">
        <v>1652</v>
      </c>
      <c r="C2184" s="2459" t="s">
        <v>1670</v>
      </c>
      <c r="D2184" s="2460" t="s">
        <v>1671</v>
      </c>
      <c r="E2184" s="2461" t="s">
        <v>213</v>
      </c>
      <c r="F2184" s="2461" t="s">
        <v>1448</v>
      </c>
      <c r="G2184" s="2461" t="s">
        <v>1439</v>
      </c>
      <c r="H2184" s="2461" t="s">
        <v>1440</v>
      </c>
      <c r="I2184" s="2462">
        <v>6.0001717682454471E-2</v>
      </c>
      <c r="J2184" s="2462">
        <v>8.7850412183223661</v>
      </c>
    </row>
    <row r="2185" spans="1:10" outlineLevel="2">
      <c r="A2185" s="2459" t="s">
        <v>1669</v>
      </c>
      <c r="B2185" s="2459" t="s">
        <v>1652</v>
      </c>
      <c r="C2185" s="2459" t="s">
        <v>1670</v>
      </c>
      <c r="D2185" s="2460" t="s">
        <v>1671</v>
      </c>
      <c r="E2185" s="2461" t="s">
        <v>213</v>
      </c>
      <c r="F2185" s="2461" t="s">
        <v>1449</v>
      </c>
      <c r="G2185" s="2461" t="s">
        <v>1439</v>
      </c>
      <c r="H2185" s="2461" t="s">
        <v>1440</v>
      </c>
      <c r="I2185" s="2462">
        <v>0.32733125989052458</v>
      </c>
      <c r="J2185" s="2462">
        <v>47.924258229895472</v>
      </c>
    </row>
    <row r="2186" spans="1:10" outlineLevel="2">
      <c r="A2186" s="2459" t="s">
        <v>1669</v>
      </c>
      <c r="B2186" s="2459" t="s">
        <v>1652</v>
      </c>
      <c r="C2186" s="2459" t="s">
        <v>1670</v>
      </c>
      <c r="D2186" s="2460" t="s">
        <v>1671</v>
      </c>
      <c r="E2186" s="2461" t="s">
        <v>213</v>
      </c>
      <c r="F2186" s="2461" t="s">
        <v>1450</v>
      </c>
      <c r="G2186" s="2461" t="s">
        <v>1439</v>
      </c>
      <c r="H2186" s="2461" t="s">
        <v>1440</v>
      </c>
      <c r="I2186" s="2462">
        <v>1.8574938062820438E-4</v>
      </c>
      <c r="J2186" s="2462">
        <v>9.2685354243726592E-2</v>
      </c>
    </row>
    <row r="2187" spans="1:10" outlineLevel="2">
      <c r="A2187" s="2459" t="s">
        <v>1669</v>
      </c>
      <c r="B2187" s="2459" t="s">
        <v>1652</v>
      </c>
      <c r="C2187" s="2459" t="s">
        <v>1670</v>
      </c>
      <c r="D2187" s="2460" t="s">
        <v>1671</v>
      </c>
      <c r="E2187" s="2461" t="s">
        <v>213</v>
      </c>
      <c r="F2187" s="2461" t="s">
        <v>1451</v>
      </c>
      <c r="G2187" s="2461" t="s">
        <v>1418</v>
      </c>
      <c r="H2187" s="2461" t="s">
        <v>1452</v>
      </c>
      <c r="I2187" s="2462">
        <v>4.3625482129978715E-4</v>
      </c>
      <c r="J2187" s="2462">
        <v>0.26529667148612884</v>
      </c>
    </row>
    <row r="2188" spans="1:10" outlineLevel="2">
      <c r="A2188" s="2459" t="s">
        <v>1669</v>
      </c>
      <c r="B2188" s="2459" t="s">
        <v>1652</v>
      </c>
      <c r="C2188" s="2459" t="s">
        <v>1670</v>
      </c>
      <c r="D2188" s="2460" t="s">
        <v>1671</v>
      </c>
      <c r="E2188" s="2461" t="s">
        <v>213</v>
      </c>
      <c r="F2188" s="2461" t="s">
        <v>1453</v>
      </c>
      <c r="G2188" s="2461" t="s">
        <v>1421</v>
      </c>
      <c r="H2188" s="2461" t="s">
        <v>1454</v>
      </c>
      <c r="I2188" s="2462">
        <v>3.0901810020726758E-3</v>
      </c>
      <c r="J2188" s="2462">
        <v>1.5299762408857578</v>
      </c>
    </row>
    <row r="2189" spans="1:10" outlineLevel="2">
      <c r="A2189" s="2459" t="s">
        <v>1669</v>
      </c>
      <c r="B2189" s="2459" t="s">
        <v>1652</v>
      </c>
      <c r="C2189" s="2459" t="s">
        <v>1670</v>
      </c>
      <c r="D2189" s="2460" t="s">
        <v>1671</v>
      </c>
      <c r="E2189" s="2461" t="s">
        <v>213</v>
      </c>
      <c r="F2189" s="2461" t="s">
        <v>1455</v>
      </c>
      <c r="G2189" s="2461" t="s">
        <v>1421</v>
      </c>
      <c r="H2189" s="2461" t="s">
        <v>1454</v>
      </c>
      <c r="I2189" s="2462">
        <v>1.9720273811117517E-2</v>
      </c>
      <c r="J2189" s="2462">
        <v>10.206660744563559</v>
      </c>
    </row>
    <row r="2190" spans="1:10" outlineLevel="2">
      <c r="A2190" s="2459" t="s">
        <v>1669</v>
      </c>
      <c r="B2190" s="2459" t="s">
        <v>1652</v>
      </c>
      <c r="C2190" s="2459" t="s">
        <v>1670</v>
      </c>
      <c r="D2190" s="2460" t="s">
        <v>1671</v>
      </c>
      <c r="E2190" s="2461" t="s">
        <v>213</v>
      </c>
      <c r="F2190" s="2461" t="s">
        <v>1456</v>
      </c>
      <c r="G2190" s="2461" t="s">
        <v>1421</v>
      </c>
      <c r="H2190" s="2461" t="s">
        <v>1454</v>
      </c>
      <c r="I2190" s="2462">
        <v>7.9097604647994778E-6</v>
      </c>
      <c r="J2190" s="2462">
        <v>3.5399886623254644E-3</v>
      </c>
    </row>
    <row r="2191" spans="1:10" outlineLevel="2">
      <c r="A2191" s="2459" t="s">
        <v>1669</v>
      </c>
      <c r="B2191" s="2459" t="s">
        <v>1652</v>
      </c>
      <c r="C2191" s="2459" t="s">
        <v>1670</v>
      </c>
      <c r="D2191" s="2460" t="s">
        <v>1671</v>
      </c>
      <c r="E2191" s="2461" t="s">
        <v>213</v>
      </c>
      <c r="F2191" s="2461" t="s">
        <v>1457</v>
      </c>
      <c r="G2191" s="2461" t="s">
        <v>1421</v>
      </c>
      <c r="H2191" s="2461" t="s">
        <v>1454</v>
      </c>
      <c r="I2191" s="2462">
        <v>1.3797137366195104E-4</v>
      </c>
      <c r="J2191" s="2462">
        <v>6.1748618818266342E-2</v>
      </c>
    </row>
    <row r="2192" spans="1:10" outlineLevel="2">
      <c r="A2192" s="2459" t="s">
        <v>1669</v>
      </c>
      <c r="B2192" s="2459" t="s">
        <v>1652</v>
      </c>
      <c r="C2192" s="2459" t="s">
        <v>1670</v>
      </c>
      <c r="D2192" s="2460" t="s">
        <v>1671</v>
      </c>
      <c r="E2192" s="2461" t="s">
        <v>213</v>
      </c>
      <c r="F2192" s="2461" t="s">
        <v>1458</v>
      </c>
      <c r="G2192" s="2461" t="s">
        <v>1459</v>
      </c>
      <c r="H2192" s="2461" t="s">
        <v>1460</v>
      </c>
      <c r="I2192" s="2462">
        <v>3.9005318102378686E-2</v>
      </c>
      <c r="J2192" s="2462">
        <v>22.518880817618577</v>
      </c>
    </row>
    <row r="2193" spans="1:10" outlineLevel="2">
      <c r="A2193" s="2459" t="s">
        <v>1669</v>
      </c>
      <c r="B2193" s="2459" t="s">
        <v>1652</v>
      </c>
      <c r="C2193" s="2459" t="s">
        <v>1670</v>
      </c>
      <c r="D2193" s="2460" t="s">
        <v>1671</v>
      </c>
      <c r="E2193" s="2461" t="s">
        <v>213</v>
      </c>
      <c r="F2193" s="2461" t="s">
        <v>1461</v>
      </c>
      <c r="G2193" s="2461" t="s">
        <v>1426</v>
      </c>
      <c r="H2193" s="2461" t="s">
        <v>1427</v>
      </c>
      <c r="I2193" s="2462">
        <v>0.12002170030419727</v>
      </c>
      <c r="J2193" s="2462">
        <v>84.034096854422884</v>
      </c>
    </row>
    <row r="2194" spans="1:10" outlineLevel="2">
      <c r="A2194" s="2459" t="s">
        <v>1669</v>
      </c>
      <c r="B2194" s="2459" t="s">
        <v>1652</v>
      </c>
      <c r="C2194" s="2459" t="s">
        <v>1670</v>
      </c>
      <c r="D2194" s="2460" t="s">
        <v>1671</v>
      </c>
      <c r="E2194" s="2461" t="s">
        <v>213</v>
      </c>
      <c r="F2194" s="2461" t="s">
        <v>1462</v>
      </c>
      <c r="G2194" s="2461" t="s">
        <v>1426</v>
      </c>
      <c r="H2194" s="2461" t="s">
        <v>1427</v>
      </c>
      <c r="I2194" s="2462">
        <v>0.884365112732721</v>
      </c>
      <c r="J2194" s="2462">
        <v>798.8940866960279</v>
      </c>
    </row>
    <row r="2195" spans="1:10" outlineLevel="2">
      <c r="A2195" s="2459" t="s">
        <v>1669</v>
      </c>
      <c r="B2195" s="2459" t="s">
        <v>1652</v>
      </c>
      <c r="C2195" s="2459" t="s">
        <v>1670</v>
      </c>
      <c r="D2195" s="2460" t="s">
        <v>1671</v>
      </c>
      <c r="E2195" s="2461" t="s">
        <v>213</v>
      </c>
      <c r="F2195" s="2461" t="s">
        <v>1463</v>
      </c>
      <c r="G2195" s="2461" t="s">
        <v>1426</v>
      </c>
      <c r="H2195" s="2461" t="s">
        <v>1427</v>
      </c>
      <c r="I2195" s="2462">
        <v>6.9241981941696479E-2</v>
      </c>
      <c r="J2195" s="2462">
        <v>91.092781009707579</v>
      </c>
    </row>
    <row r="2196" spans="1:10" outlineLevel="2">
      <c r="A2196" s="2459" t="s">
        <v>1669</v>
      </c>
      <c r="B2196" s="2459" t="s">
        <v>1652</v>
      </c>
      <c r="C2196" s="2459" t="s">
        <v>1670</v>
      </c>
      <c r="D2196" s="2460" t="s">
        <v>1671</v>
      </c>
      <c r="E2196" s="2461" t="s">
        <v>213</v>
      </c>
      <c r="F2196" s="2461" t="s">
        <v>1464</v>
      </c>
      <c r="G2196" s="2461" t="s">
        <v>1426</v>
      </c>
      <c r="H2196" s="2461" t="s">
        <v>1427</v>
      </c>
      <c r="I2196" s="2462">
        <v>0.11876511709870335</v>
      </c>
      <c r="J2196" s="2462">
        <v>107.15204737313533</v>
      </c>
    </row>
    <row r="2197" spans="1:10" outlineLevel="2">
      <c r="A2197" s="2459" t="s">
        <v>1669</v>
      </c>
      <c r="B2197" s="2459" t="s">
        <v>1652</v>
      </c>
      <c r="C2197" s="2459" t="s">
        <v>1670</v>
      </c>
      <c r="D2197" s="2460" t="s">
        <v>1671</v>
      </c>
      <c r="E2197" s="2461" t="s">
        <v>213</v>
      </c>
      <c r="F2197" s="2461" t="s">
        <v>1465</v>
      </c>
      <c r="G2197" s="2461" t="s">
        <v>1409</v>
      </c>
      <c r="H2197" s="2461" t="s">
        <v>1070</v>
      </c>
      <c r="I2197" s="2462">
        <v>3.121432618433981E-3</v>
      </c>
      <c r="J2197" s="2462">
        <v>5.027891565029317</v>
      </c>
    </row>
    <row r="2198" spans="1:10" outlineLevel="2">
      <c r="A2198" s="2459" t="s">
        <v>1669</v>
      </c>
      <c r="B2198" s="2459" t="s">
        <v>1652</v>
      </c>
      <c r="C2198" s="2459" t="s">
        <v>1670</v>
      </c>
      <c r="D2198" s="2460" t="s">
        <v>1671</v>
      </c>
      <c r="E2198" s="2461" t="s">
        <v>213</v>
      </c>
      <c r="F2198" s="2461" t="s">
        <v>1466</v>
      </c>
      <c r="G2198" s="2461" t="s">
        <v>1409</v>
      </c>
      <c r="H2198" s="2461" t="s">
        <v>1070</v>
      </c>
      <c r="I2198" s="2462">
        <v>2.4947216579864544E-5</v>
      </c>
      <c r="J2198" s="2462">
        <v>3.7528824938193726E-2</v>
      </c>
    </row>
    <row r="2199" spans="1:10" outlineLevel="2">
      <c r="A2199" s="2459" t="s">
        <v>1669</v>
      </c>
      <c r="B2199" s="2459" t="s">
        <v>1652</v>
      </c>
      <c r="C2199" s="2459" t="s">
        <v>1670</v>
      </c>
      <c r="D2199" s="2460" t="s">
        <v>1671</v>
      </c>
      <c r="E2199" s="2461" t="s">
        <v>213</v>
      </c>
      <c r="F2199" s="2461" t="s">
        <v>1467</v>
      </c>
      <c r="G2199" s="2461" t="s">
        <v>1409</v>
      </c>
      <c r="H2199" s="2461" t="s">
        <v>1070</v>
      </c>
      <c r="I2199" s="2462">
        <v>6.7453433871667657E-3</v>
      </c>
      <c r="J2199" s="2462">
        <v>9.4455086531057155</v>
      </c>
    </row>
    <row r="2200" spans="1:10" outlineLevel="2">
      <c r="A2200" s="2459" t="s">
        <v>1669</v>
      </c>
      <c r="B2200" s="2459" t="s">
        <v>1652</v>
      </c>
      <c r="C2200" s="2459" t="s">
        <v>1670</v>
      </c>
      <c r="D2200" s="2460" t="s">
        <v>1671</v>
      </c>
      <c r="E2200" s="2461" t="s">
        <v>213</v>
      </c>
      <c r="F2200" s="2461" t="s">
        <v>1468</v>
      </c>
      <c r="G2200" s="2461" t="s">
        <v>1409</v>
      </c>
      <c r="H2200" s="2461" t="s">
        <v>1070</v>
      </c>
      <c r="I2200" s="2462">
        <v>5.5043698198703177E-3</v>
      </c>
      <c r="J2200" s="2462">
        <v>8.8927864849154297</v>
      </c>
    </row>
    <row r="2201" spans="1:10" outlineLevel="2">
      <c r="A2201" s="2459" t="s">
        <v>1669</v>
      </c>
      <c r="B2201" s="2459" t="s">
        <v>1652</v>
      </c>
      <c r="C2201" s="2459" t="s">
        <v>1670</v>
      </c>
      <c r="D2201" s="2460" t="s">
        <v>1671</v>
      </c>
      <c r="E2201" s="2461" t="s">
        <v>213</v>
      </c>
      <c r="F2201" s="2461" t="s">
        <v>1469</v>
      </c>
      <c r="G2201" s="2461" t="s">
        <v>1409</v>
      </c>
      <c r="H2201" s="2461" t="s">
        <v>1070</v>
      </c>
      <c r="I2201" s="2462">
        <v>1.2309136172090687E-2</v>
      </c>
      <c r="J2201" s="2462">
        <v>17.747266224093845</v>
      </c>
    </row>
    <row r="2202" spans="1:10" outlineLevel="2">
      <c r="A2202" s="2459" t="s">
        <v>1669</v>
      </c>
      <c r="B2202" s="2459" t="s">
        <v>1652</v>
      </c>
      <c r="C2202" s="2459" t="s">
        <v>1670</v>
      </c>
      <c r="D2202" s="2460" t="s">
        <v>1671</v>
      </c>
      <c r="E2202" s="2461" t="s">
        <v>213</v>
      </c>
      <c r="F2202" s="2461" t="s">
        <v>1470</v>
      </c>
      <c r="G2202" s="2461" t="s">
        <v>1409</v>
      </c>
      <c r="H2202" s="2461" t="s">
        <v>1070</v>
      </c>
      <c r="I2202" s="2462">
        <v>5.3401659815231891E-3</v>
      </c>
      <c r="J2202" s="2462">
        <v>7.4729114961186411</v>
      </c>
    </row>
    <row r="2203" spans="1:10" outlineLevel="2">
      <c r="A2203" s="2459" t="s">
        <v>1669</v>
      </c>
      <c r="B2203" s="2459" t="s">
        <v>1652</v>
      </c>
      <c r="C2203" s="2459" t="s">
        <v>1670</v>
      </c>
      <c r="D2203" s="2460" t="s">
        <v>1671</v>
      </c>
      <c r="E2203" s="2461" t="s">
        <v>213</v>
      </c>
      <c r="F2203" s="2461" t="s">
        <v>1471</v>
      </c>
      <c r="G2203" s="2461" t="s">
        <v>1409</v>
      </c>
      <c r="H2203" s="2461" t="s">
        <v>1070</v>
      </c>
      <c r="I2203" s="2462">
        <v>2.9083832641021312E-4</v>
      </c>
      <c r="J2203" s="2462">
        <v>0.38947444527764341</v>
      </c>
    </row>
    <row r="2204" spans="1:10" outlineLevel="2">
      <c r="A2204" s="2459" t="s">
        <v>1669</v>
      </c>
      <c r="B2204" s="2459" t="s">
        <v>1652</v>
      </c>
      <c r="C2204" s="2459" t="s">
        <v>1670</v>
      </c>
      <c r="D2204" s="2460" t="s">
        <v>1671</v>
      </c>
      <c r="E2204" s="2461" t="s">
        <v>213</v>
      </c>
      <c r="F2204" s="2461" t="s">
        <v>1472</v>
      </c>
      <c r="G2204" s="2461" t="s">
        <v>1409</v>
      </c>
      <c r="H2204" s="2461" t="s">
        <v>1070</v>
      </c>
      <c r="I2204" s="2462">
        <v>1.0119328018774252E-2</v>
      </c>
      <c r="J2204" s="2462">
        <v>15.63850903081279</v>
      </c>
    </row>
    <row r="2205" spans="1:10" outlineLevel="2">
      <c r="A2205" s="2459" t="s">
        <v>1669</v>
      </c>
      <c r="B2205" s="2459" t="s">
        <v>1652</v>
      </c>
      <c r="C2205" s="2459" t="s">
        <v>1670</v>
      </c>
      <c r="D2205" s="2460" t="s">
        <v>1671</v>
      </c>
      <c r="E2205" s="2461" t="s">
        <v>213</v>
      </c>
      <c r="F2205" s="2461" t="s">
        <v>1473</v>
      </c>
      <c r="G2205" s="2461" t="s">
        <v>1409</v>
      </c>
      <c r="H2205" s="2461" t="s">
        <v>1070</v>
      </c>
      <c r="I2205" s="2462">
        <v>4.8191052574456054E-3</v>
      </c>
      <c r="J2205" s="2462">
        <v>5.8000422535241389</v>
      </c>
    </row>
    <row r="2206" spans="1:10" outlineLevel="2">
      <c r="A2206" s="2459" t="s">
        <v>1669</v>
      </c>
      <c r="B2206" s="2459" t="s">
        <v>1652</v>
      </c>
      <c r="C2206" s="2459" t="s">
        <v>1670</v>
      </c>
      <c r="D2206" s="2460" t="s">
        <v>1671</v>
      </c>
      <c r="E2206" s="2461" t="s">
        <v>213</v>
      </c>
      <c r="F2206" s="2461" t="s">
        <v>1474</v>
      </c>
      <c r="G2206" s="2461" t="s">
        <v>1409</v>
      </c>
      <c r="H2206" s="2461" t="s">
        <v>1070</v>
      </c>
      <c r="I2206" s="2462">
        <v>2.2800984713537493E-2</v>
      </c>
      <c r="J2206" s="2462">
        <v>32.587238821859671</v>
      </c>
    </row>
    <row r="2207" spans="1:10" outlineLevel="2">
      <c r="A2207" s="2459" t="s">
        <v>1669</v>
      </c>
      <c r="B2207" s="2459" t="s">
        <v>1652</v>
      </c>
      <c r="C2207" s="2459" t="s">
        <v>1670</v>
      </c>
      <c r="D2207" s="2460" t="s">
        <v>1671</v>
      </c>
      <c r="E2207" s="2461" t="s">
        <v>213</v>
      </c>
      <c r="F2207" s="2461" t="s">
        <v>1475</v>
      </c>
      <c r="G2207" s="2461" t="s">
        <v>1409</v>
      </c>
      <c r="H2207" s="2461" t="s">
        <v>1070</v>
      </c>
      <c r="I2207" s="2462">
        <v>1.1557838314936911E-2</v>
      </c>
      <c r="J2207" s="2462">
        <v>15.649287115480048</v>
      </c>
    </row>
    <row r="2208" spans="1:10" outlineLevel="2">
      <c r="A2208" s="2459" t="s">
        <v>1669</v>
      </c>
      <c r="B2208" s="2459" t="s">
        <v>1652</v>
      </c>
      <c r="C2208" s="2459" t="s">
        <v>1670</v>
      </c>
      <c r="D2208" s="2460" t="s">
        <v>1671</v>
      </c>
      <c r="E2208" s="2461" t="s">
        <v>213</v>
      </c>
      <c r="F2208" s="2461" t="s">
        <v>1476</v>
      </c>
      <c r="G2208" s="2461" t="s">
        <v>1409</v>
      </c>
      <c r="H2208" s="2461" t="s">
        <v>1070</v>
      </c>
      <c r="I2208" s="2462">
        <v>9.1139687594688238E-4</v>
      </c>
      <c r="J2208" s="2462">
        <v>1.2605299794155209</v>
      </c>
    </row>
    <row r="2209" spans="1:10" outlineLevel="2">
      <c r="A2209" s="2459" t="s">
        <v>1669</v>
      </c>
      <c r="B2209" s="2459" t="s">
        <v>1652</v>
      </c>
      <c r="C2209" s="2459" t="s">
        <v>1670</v>
      </c>
      <c r="D2209" s="2460" t="s">
        <v>1671</v>
      </c>
      <c r="E2209" s="2461" t="s">
        <v>213</v>
      </c>
      <c r="F2209" s="2461" t="s">
        <v>1477</v>
      </c>
      <c r="G2209" s="2461" t="s">
        <v>1409</v>
      </c>
      <c r="H2209" s="2461" t="s">
        <v>1070</v>
      </c>
      <c r="I2209" s="2462">
        <v>1.4998741891711514E-3</v>
      </c>
      <c r="J2209" s="2462">
        <v>2.1167454844412048</v>
      </c>
    </row>
    <row r="2210" spans="1:10" outlineLevel="2">
      <c r="A2210" s="2459" t="s">
        <v>1669</v>
      </c>
      <c r="B2210" s="2459" t="s">
        <v>1652</v>
      </c>
      <c r="C2210" s="2459" t="s">
        <v>1670</v>
      </c>
      <c r="D2210" s="2460" t="s">
        <v>1671</v>
      </c>
      <c r="E2210" s="2461" t="s">
        <v>213</v>
      </c>
      <c r="F2210" s="2461" t="s">
        <v>1478</v>
      </c>
      <c r="G2210" s="2461" t="s">
        <v>1409</v>
      </c>
      <c r="H2210" s="2461" t="s">
        <v>1070</v>
      </c>
      <c r="I2210" s="2462">
        <v>6.5530239124684132E-4</v>
      </c>
      <c r="J2210" s="2462">
        <v>1.8914858375743742</v>
      </c>
    </row>
    <row r="2211" spans="1:10" outlineLevel="2">
      <c r="A2211" s="2459" t="s">
        <v>1669</v>
      </c>
      <c r="B2211" s="2459" t="s">
        <v>1652</v>
      </c>
      <c r="C2211" s="2459" t="s">
        <v>1670</v>
      </c>
      <c r="D2211" s="2460" t="s">
        <v>1671</v>
      </c>
      <c r="E2211" s="2461" t="s">
        <v>213</v>
      </c>
      <c r="F2211" s="2461" t="s">
        <v>1479</v>
      </c>
      <c r="G2211" s="2461" t="s">
        <v>1409</v>
      </c>
      <c r="H2211" s="2461" t="s">
        <v>1070</v>
      </c>
      <c r="I2211" s="2462">
        <v>5.2813679671289673E-4</v>
      </c>
      <c r="J2211" s="2462">
        <v>4.4862771273883713</v>
      </c>
    </row>
    <row r="2212" spans="1:10" outlineLevel="2">
      <c r="A2212" s="2459" t="s">
        <v>1669</v>
      </c>
      <c r="B2212" s="2459" t="s">
        <v>1652</v>
      </c>
      <c r="C2212" s="2459" t="s">
        <v>1670</v>
      </c>
      <c r="D2212" s="2460" t="s">
        <v>1671</v>
      </c>
      <c r="E2212" s="2461" t="s">
        <v>213</v>
      </c>
      <c r="F2212" s="2461" t="s">
        <v>1480</v>
      </c>
      <c r="G2212" s="2461" t="s">
        <v>1409</v>
      </c>
      <c r="H2212" s="2461" t="s">
        <v>1070</v>
      </c>
      <c r="I2212" s="2462">
        <v>7.1937877081045785E-3</v>
      </c>
      <c r="J2212" s="2462">
        <v>10.6972006020998</v>
      </c>
    </row>
    <row r="2213" spans="1:10" outlineLevel="2">
      <c r="A2213" s="2459" t="s">
        <v>1669</v>
      </c>
      <c r="B2213" s="2459" t="s">
        <v>1652</v>
      </c>
      <c r="C2213" s="2459" t="s">
        <v>1670</v>
      </c>
      <c r="D2213" s="2460" t="s">
        <v>1671</v>
      </c>
      <c r="E2213" s="2461" t="s">
        <v>213</v>
      </c>
      <c r="F2213" s="2461" t="s">
        <v>1481</v>
      </c>
      <c r="G2213" s="2461" t="s">
        <v>1409</v>
      </c>
      <c r="H2213" s="2461" t="s">
        <v>1070</v>
      </c>
      <c r="I2213" s="2462">
        <v>5.1272026815636354E-3</v>
      </c>
      <c r="J2213" s="2462">
        <v>7.4555262235783726</v>
      </c>
    </row>
    <row r="2214" spans="1:10" outlineLevel="2">
      <c r="A2214" s="2459" t="s">
        <v>1669</v>
      </c>
      <c r="B2214" s="2459" t="s">
        <v>1652</v>
      </c>
      <c r="C2214" s="2459" t="s">
        <v>1670</v>
      </c>
      <c r="D2214" s="2460" t="s">
        <v>1671</v>
      </c>
      <c r="E2214" s="2461" t="s">
        <v>213</v>
      </c>
      <c r="F2214" s="2461" t="s">
        <v>1482</v>
      </c>
      <c r="G2214" s="2461" t="s">
        <v>1409</v>
      </c>
      <c r="H2214" s="2461" t="s">
        <v>1070</v>
      </c>
      <c r="I2214" s="2462">
        <v>2.0166160539989218E-3</v>
      </c>
      <c r="J2214" s="2462">
        <v>2.4429101298547558</v>
      </c>
    </row>
    <row r="2215" spans="1:10" outlineLevel="2">
      <c r="A2215" s="2459" t="s">
        <v>1669</v>
      </c>
      <c r="B2215" s="2459" t="s">
        <v>1652</v>
      </c>
      <c r="C2215" s="2459" t="s">
        <v>1670</v>
      </c>
      <c r="D2215" s="2460" t="s">
        <v>1671</v>
      </c>
      <c r="E2215" s="2461" t="s">
        <v>213</v>
      </c>
      <c r="F2215" s="2461" t="s">
        <v>1483</v>
      </c>
      <c r="G2215" s="2461" t="s">
        <v>1409</v>
      </c>
      <c r="H2215" s="2461" t="s">
        <v>1070</v>
      </c>
      <c r="I2215" s="2462">
        <v>1.6736738499409385E-3</v>
      </c>
      <c r="J2215" s="2462">
        <v>1.7850396803238504</v>
      </c>
    </row>
    <row r="2216" spans="1:10" outlineLevel="2">
      <c r="A2216" s="2459" t="s">
        <v>1669</v>
      </c>
      <c r="B2216" s="2459" t="s">
        <v>1652</v>
      </c>
      <c r="C2216" s="2459" t="s">
        <v>1670</v>
      </c>
      <c r="D2216" s="2460" t="s">
        <v>1671</v>
      </c>
      <c r="E2216" s="2461" t="s">
        <v>213</v>
      </c>
      <c r="F2216" s="2461" t="s">
        <v>1484</v>
      </c>
      <c r="G2216" s="2461" t="s">
        <v>1412</v>
      </c>
      <c r="H2216" s="2461" t="s">
        <v>1116</v>
      </c>
      <c r="I2216" s="2462">
        <v>9.1156454885711405E-3</v>
      </c>
      <c r="J2216" s="2462">
        <v>18.062050148733757</v>
      </c>
    </row>
    <row r="2217" spans="1:10" outlineLevel="2">
      <c r="A2217" s="2459" t="s">
        <v>1669</v>
      </c>
      <c r="B2217" s="2459" t="s">
        <v>1652</v>
      </c>
      <c r="C2217" s="2459" t="s">
        <v>1670</v>
      </c>
      <c r="D2217" s="2460" t="s">
        <v>1671</v>
      </c>
      <c r="E2217" s="2461" t="s">
        <v>213</v>
      </c>
      <c r="F2217" s="2461" t="s">
        <v>1485</v>
      </c>
      <c r="G2217" s="2461" t="s">
        <v>1412</v>
      </c>
      <c r="H2217" s="2461" t="s">
        <v>1116</v>
      </c>
      <c r="I2217" s="2462">
        <v>6.5559756106264421E-3</v>
      </c>
      <c r="J2217" s="2462">
        <v>68.355811162026868</v>
      </c>
    </row>
    <row r="2218" spans="1:10" outlineLevel="2">
      <c r="A2218" s="2459" t="s">
        <v>1669</v>
      </c>
      <c r="B2218" s="2459" t="s">
        <v>1652</v>
      </c>
      <c r="C2218" s="2459" t="s">
        <v>1670</v>
      </c>
      <c r="D2218" s="2460" t="s">
        <v>1671</v>
      </c>
      <c r="E2218" s="2461" t="s">
        <v>213</v>
      </c>
      <c r="F2218" s="2461" t="s">
        <v>1486</v>
      </c>
      <c r="G2218" s="2461" t="s">
        <v>1412</v>
      </c>
      <c r="H2218" s="2461" t="s">
        <v>1116</v>
      </c>
      <c r="I2218" s="2462">
        <v>5.4436320937466479E-3</v>
      </c>
      <c r="J2218" s="2462">
        <v>14.688433964373237</v>
      </c>
    </row>
    <row r="2219" spans="1:10" outlineLevel="2">
      <c r="A2219" s="2459" t="s">
        <v>1669</v>
      </c>
      <c r="B2219" s="2459" t="s">
        <v>1652</v>
      </c>
      <c r="C2219" s="2459" t="s">
        <v>1670</v>
      </c>
      <c r="D2219" s="2460" t="s">
        <v>1671</v>
      </c>
      <c r="E2219" s="2461" t="s">
        <v>213</v>
      </c>
      <c r="F2219" s="2461" t="s">
        <v>1487</v>
      </c>
      <c r="G2219" s="2461" t="s">
        <v>1412</v>
      </c>
      <c r="H2219" s="2461" t="s">
        <v>1116</v>
      </c>
      <c r="I2219" s="2462">
        <v>2.0940060984932899E-2</v>
      </c>
      <c r="J2219" s="2462">
        <v>27.588914260999854</v>
      </c>
    </row>
    <row r="2220" spans="1:10" outlineLevel="2">
      <c r="A2220" s="2459" t="s">
        <v>1669</v>
      </c>
      <c r="B2220" s="2459" t="s">
        <v>1652</v>
      </c>
      <c r="C2220" s="2459" t="s">
        <v>1670</v>
      </c>
      <c r="D2220" s="2460" t="s">
        <v>1671</v>
      </c>
      <c r="E2220" s="2461" t="s">
        <v>213</v>
      </c>
      <c r="F2220" s="2461" t="s">
        <v>1488</v>
      </c>
      <c r="G2220" s="2461" t="s">
        <v>1412</v>
      </c>
      <c r="H2220" s="2461" t="s">
        <v>1116</v>
      </c>
      <c r="I2220" s="2462">
        <v>5.9010797877270815E-4</v>
      </c>
      <c r="J2220" s="2462">
        <v>1.2658967973799</v>
      </c>
    </row>
    <row r="2221" spans="1:10" outlineLevel="2">
      <c r="A2221" s="2459" t="s">
        <v>1669</v>
      </c>
      <c r="B2221" s="2459" t="s">
        <v>1652</v>
      </c>
      <c r="C2221" s="2459" t="s">
        <v>1670</v>
      </c>
      <c r="D2221" s="2460" t="s">
        <v>1671</v>
      </c>
      <c r="E2221" s="2461" t="s">
        <v>213</v>
      </c>
      <c r="F2221" s="2461" t="s">
        <v>1489</v>
      </c>
      <c r="G2221" s="2461" t="s">
        <v>1412</v>
      </c>
      <c r="H2221" s="2461" t="s">
        <v>1116</v>
      </c>
      <c r="I2221" s="2462">
        <v>6.6914784690698089E-4</v>
      </c>
      <c r="J2221" s="2462">
        <v>0.98044525405244676</v>
      </c>
    </row>
    <row r="2222" spans="1:10" outlineLevel="2">
      <c r="A2222" s="2459" t="s">
        <v>1669</v>
      </c>
      <c r="B2222" s="2459" t="s">
        <v>1652</v>
      </c>
      <c r="C2222" s="2459" t="s">
        <v>1670</v>
      </c>
      <c r="D2222" s="2460" t="s">
        <v>1671</v>
      </c>
      <c r="E2222" s="2461" t="s">
        <v>213</v>
      </c>
      <c r="F2222" s="2461" t="s">
        <v>1490</v>
      </c>
      <c r="G2222" s="2461" t="s">
        <v>1412</v>
      </c>
      <c r="H2222" s="2461" t="s">
        <v>1116</v>
      </c>
      <c r="I2222" s="2462">
        <v>4.3011645222350563E-4</v>
      </c>
      <c r="J2222" s="2462">
        <v>6.0368803012112169</v>
      </c>
    </row>
    <row r="2223" spans="1:10" outlineLevel="2">
      <c r="A2223" s="2459" t="s">
        <v>1669</v>
      </c>
      <c r="B2223" s="2459" t="s">
        <v>1652</v>
      </c>
      <c r="C2223" s="2459" t="s">
        <v>1670</v>
      </c>
      <c r="D2223" s="2460" t="s">
        <v>1671</v>
      </c>
      <c r="E2223" s="2461" t="s">
        <v>213</v>
      </c>
      <c r="F2223" s="2461" t="s">
        <v>1491</v>
      </c>
      <c r="G2223" s="2461" t="s">
        <v>1439</v>
      </c>
      <c r="H2223" s="2461" t="s">
        <v>1440</v>
      </c>
      <c r="I2223" s="2462">
        <v>0.23727392018710394</v>
      </c>
      <c r="J2223" s="2462">
        <v>250.95224024161175</v>
      </c>
    </row>
    <row r="2224" spans="1:10" outlineLevel="2">
      <c r="A2224" s="2459" t="s">
        <v>1669</v>
      </c>
      <c r="B2224" s="2459" t="s">
        <v>1652</v>
      </c>
      <c r="C2224" s="2459" t="s">
        <v>1670</v>
      </c>
      <c r="D2224" s="2460" t="s">
        <v>1671</v>
      </c>
      <c r="E2224" s="2461" t="s">
        <v>213</v>
      </c>
      <c r="F2224" s="2461" t="s">
        <v>1492</v>
      </c>
      <c r="G2224" s="2461" t="s">
        <v>1439</v>
      </c>
      <c r="H2224" s="2461" t="s">
        <v>1440</v>
      </c>
      <c r="I2224" s="2462">
        <v>0.40524341073277215</v>
      </c>
      <c r="J2224" s="2462">
        <v>543.74837618532672</v>
      </c>
    </row>
    <row r="2225" spans="1:10" outlineLevel="2">
      <c r="A2225" s="2459" t="s">
        <v>1669</v>
      </c>
      <c r="B2225" s="2459" t="s">
        <v>1652</v>
      </c>
      <c r="C2225" s="2459" t="s">
        <v>1670</v>
      </c>
      <c r="D2225" s="2460" t="s">
        <v>1671</v>
      </c>
      <c r="E2225" s="2461" t="s">
        <v>213</v>
      </c>
      <c r="F2225" s="2461" t="s">
        <v>1493</v>
      </c>
      <c r="G2225" s="2461" t="s">
        <v>1439</v>
      </c>
      <c r="H2225" s="2461" t="s">
        <v>1440</v>
      </c>
      <c r="I2225" s="2462">
        <v>2.0425648623040239E-2</v>
      </c>
      <c r="J2225" s="2462">
        <v>21.594872719977559</v>
      </c>
    </row>
    <row r="2226" spans="1:10" outlineLevel="2">
      <c r="A2226" s="2459" t="s">
        <v>1669</v>
      </c>
      <c r="B2226" s="2459" t="s">
        <v>1652</v>
      </c>
      <c r="C2226" s="2459" t="s">
        <v>1670</v>
      </c>
      <c r="D2226" s="2460" t="s">
        <v>1671</v>
      </c>
      <c r="E2226" s="2461" t="s">
        <v>213</v>
      </c>
      <c r="F2226" s="2461" t="s">
        <v>1494</v>
      </c>
      <c r="G2226" s="2461" t="s">
        <v>1439</v>
      </c>
      <c r="H2226" s="2461" t="s">
        <v>1440</v>
      </c>
      <c r="I2226" s="2462">
        <v>0.25825003361879617</v>
      </c>
      <c r="J2226" s="2462">
        <v>322.5317975102966</v>
      </c>
    </row>
    <row r="2227" spans="1:10" outlineLevel="2">
      <c r="A2227" s="2459" t="s">
        <v>1669</v>
      </c>
      <c r="B2227" s="2459" t="s">
        <v>1652</v>
      </c>
      <c r="C2227" s="2459" t="s">
        <v>1670</v>
      </c>
      <c r="D2227" s="2460" t="s">
        <v>1671</v>
      </c>
      <c r="E2227" s="2461" t="s">
        <v>213</v>
      </c>
      <c r="F2227" s="2461" t="s">
        <v>1495</v>
      </c>
      <c r="G2227" s="2461" t="s">
        <v>1439</v>
      </c>
      <c r="H2227" s="2461" t="s">
        <v>1440</v>
      </c>
      <c r="I2227" s="2462">
        <v>1.1126998193188434E-3</v>
      </c>
      <c r="J2227" s="2462">
        <v>1.3949729571976879</v>
      </c>
    </row>
    <row r="2228" spans="1:10" outlineLevel="2">
      <c r="A2228" s="2459" t="s">
        <v>1669</v>
      </c>
      <c r="B2228" s="2459" t="s">
        <v>1652</v>
      </c>
      <c r="C2228" s="2459" t="s">
        <v>1670</v>
      </c>
      <c r="D2228" s="2460" t="s">
        <v>1671</v>
      </c>
      <c r="E2228" s="2461" t="s">
        <v>213</v>
      </c>
      <c r="F2228" s="2461" t="s">
        <v>1496</v>
      </c>
      <c r="G2228" s="2461" t="s">
        <v>1439</v>
      </c>
      <c r="H2228" s="2461" t="s">
        <v>1440</v>
      </c>
      <c r="I2228" s="2462">
        <v>8.9969255631672223E-3</v>
      </c>
      <c r="J2228" s="2462">
        <v>12.594576781871877</v>
      </c>
    </row>
    <row r="2229" spans="1:10" outlineLevel="2">
      <c r="A2229" s="2459" t="s">
        <v>1669</v>
      </c>
      <c r="B2229" s="2459" t="s">
        <v>1652</v>
      </c>
      <c r="C2229" s="2459" t="s">
        <v>1670</v>
      </c>
      <c r="D2229" s="2460" t="s">
        <v>1671</v>
      </c>
      <c r="E2229" s="2461" t="s">
        <v>213</v>
      </c>
      <c r="F2229" s="2461" t="s">
        <v>1497</v>
      </c>
      <c r="G2229" s="2461" t="s">
        <v>1439</v>
      </c>
      <c r="H2229" s="2461" t="s">
        <v>1440</v>
      </c>
      <c r="I2229" s="2462">
        <v>2.1191683345225263E-3</v>
      </c>
      <c r="J2229" s="2462">
        <v>2.6612926276360063</v>
      </c>
    </row>
    <row r="2230" spans="1:10" outlineLevel="2">
      <c r="A2230" s="2459" t="s">
        <v>1669</v>
      </c>
      <c r="B2230" s="2459" t="s">
        <v>1652</v>
      </c>
      <c r="C2230" s="2459" t="s">
        <v>1670</v>
      </c>
      <c r="D2230" s="2460" t="s">
        <v>1671</v>
      </c>
      <c r="E2230" s="2461" t="s">
        <v>213</v>
      </c>
      <c r="F2230" s="2461" t="s">
        <v>1498</v>
      </c>
      <c r="G2230" s="2461" t="s">
        <v>1439</v>
      </c>
      <c r="H2230" s="2461" t="s">
        <v>1440</v>
      </c>
      <c r="I2230" s="2462">
        <v>0.30744665771756746</v>
      </c>
      <c r="J2230" s="2462">
        <v>516.81370489133587</v>
      </c>
    </row>
    <row r="2231" spans="1:10" outlineLevel="2">
      <c r="A2231" s="2459" t="s">
        <v>1669</v>
      </c>
      <c r="B2231" s="2459" t="s">
        <v>1652</v>
      </c>
      <c r="C2231" s="2459" t="s">
        <v>1670</v>
      </c>
      <c r="D2231" s="2460" t="s">
        <v>1671</v>
      </c>
      <c r="E2231" s="2461" t="s">
        <v>213</v>
      </c>
      <c r="F2231" s="2461" t="s">
        <v>1499</v>
      </c>
      <c r="G2231" s="2461" t="s">
        <v>1439</v>
      </c>
      <c r="H2231" s="2461" t="s">
        <v>1440</v>
      </c>
      <c r="I2231" s="2462">
        <v>5.4234280217224304E-2</v>
      </c>
      <c r="J2231" s="2462">
        <v>28.401495053410411</v>
      </c>
    </row>
    <row r="2232" spans="1:10" outlineLevel="2">
      <c r="A2232" s="2459" t="s">
        <v>1669</v>
      </c>
      <c r="B2232" s="2459" t="s">
        <v>1652</v>
      </c>
      <c r="C2232" s="2459" t="s">
        <v>1670</v>
      </c>
      <c r="D2232" s="2460" t="s">
        <v>1671</v>
      </c>
      <c r="E2232" s="2461" t="s">
        <v>213</v>
      </c>
      <c r="F2232" s="2461" t="s">
        <v>1500</v>
      </c>
      <c r="G2232" s="2461" t="s">
        <v>1439</v>
      </c>
      <c r="H2232" s="2461" t="s">
        <v>1440</v>
      </c>
      <c r="I2232" s="2462">
        <v>0.29589085888360445</v>
      </c>
      <c r="J2232" s="2462">
        <v>154.93451750707152</v>
      </c>
    </row>
    <row r="2233" spans="1:10" outlineLevel="2">
      <c r="A2233" s="2459" t="s">
        <v>1669</v>
      </c>
      <c r="B2233" s="2459" t="s">
        <v>1652</v>
      </c>
      <c r="C2233" s="2459" t="s">
        <v>1670</v>
      </c>
      <c r="D2233" s="2460" t="s">
        <v>1671</v>
      </c>
      <c r="E2233" s="2461" t="s">
        <v>213</v>
      </c>
      <c r="F2233" s="2461" t="s">
        <v>1501</v>
      </c>
      <c r="G2233" s="2461" t="s">
        <v>1439</v>
      </c>
      <c r="H2233" s="2461" t="s">
        <v>1440</v>
      </c>
      <c r="I2233" s="2462">
        <v>3.5354034193178209E-2</v>
      </c>
      <c r="J2233" s="2462">
        <v>50.969175567680594</v>
      </c>
    </row>
    <row r="2234" spans="1:10" outlineLevel="2">
      <c r="A2234" s="2459" t="s">
        <v>1669</v>
      </c>
      <c r="B2234" s="2459" t="s">
        <v>1652</v>
      </c>
      <c r="C2234" s="2459" t="s">
        <v>1670</v>
      </c>
      <c r="D2234" s="2460" t="s">
        <v>1671</v>
      </c>
      <c r="E2234" s="2461" t="s">
        <v>213</v>
      </c>
      <c r="F2234" s="2461" t="s">
        <v>1502</v>
      </c>
      <c r="G2234" s="2461" t="s">
        <v>1439</v>
      </c>
      <c r="H2234" s="2461" t="s">
        <v>1440</v>
      </c>
      <c r="I2234" s="2462">
        <v>4.6278896915882967E-2</v>
      </c>
      <c r="J2234" s="2462">
        <v>69.082998090102336</v>
      </c>
    </row>
    <row r="2235" spans="1:10" outlineLevel="2">
      <c r="A2235" s="2459" t="s">
        <v>1669</v>
      </c>
      <c r="B2235" s="2459" t="s">
        <v>1652</v>
      </c>
      <c r="C2235" s="2459" t="s">
        <v>1670</v>
      </c>
      <c r="D2235" s="2460" t="s">
        <v>1671</v>
      </c>
      <c r="E2235" s="2461" t="s">
        <v>213</v>
      </c>
      <c r="F2235" s="2461" t="s">
        <v>1503</v>
      </c>
      <c r="G2235" s="2461" t="s">
        <v>1439</v>
      </c>
      <c r="H2235" s="2461" t="s">
        <v>1440</v>
      </c>
      <c r="I2235" s="2462">
        <v>6.1056043908255378E-2</v>
      </c>
      <c r="J2235" s="2462">
        <v>78.195130337521888</v>
      </c>
    </row>
    <row r="2236" spans="1:10" outlineLevel="2">
      <c r="A2236" s="2459" t="s">
        <v>1669</v>
      </c>
      <c r="B2236" s="2459" t="s">
        <v>1652</v>
      </c>
      <c r="C2236" s="2459" t="s">
        <v>1670</v>
      </c>
      <c r="D2236" s="2460" t="s">
        <v>1671</v>
      </c>
      <c r="E2236" s="2461" t="s">
        <v>213</v>
      </c>
      <c r="F2236" s="2461" t="s">
        <v>1504</v>
      </c>
      <c r="G2236" s="2461" t="s">
        <v>1439</v>
      </c>
      <c r="H2236" s="2461" t="s">
        <v>1440</v>
      </c>
      <c r="I2236" s="2462">
        <v>3.1155606599378053E-2</v>
      </c>
      <c r="J2236" s="2462">
        <v>37.126585200847636</v>
      </c>
    </row>
    <row r="2237" spans="1:10" outlineLevel="2">
      <c r="A2237" s="2459" t="s">
        <v>1669</v>
      </c>
      <c r="B2237" s="2459" t="s">
        <v>1652</v>
      </c>
      <c r="C2237" s="2459" t="s">
        <v>1670</v>
      </c>
      <c r="D2237" s="2460" t="s">
        <v>1671</v>
      </c>
      <c r="E2237" s="2461" t="s">
        <v>213</v>
      </c>
      <c r="F2237" s="2461" t="s">
        <v>1505</v>
      </c>
      <c r="G2237" s="2461" t="s">
        <v>1439</v>
      </c>
      <c r="H2237" s="2461" t="s">
        <v>1440</v>
      </c>
      <c r="I2237" s="2462">
        <v>0.4728163009111056</v>
      </c>
      <c r="J2237" s="2462">
        <v>683.20061972478118</v>
      </c>
    </row>
    <row r="2238" spans="1:10" outlineLevel="2">
      <c r="A2238" s="2459" t="s">
        <v>1669</v>
      </c>
      <c r="B2238" s="2459" t="s">
        <v>1652</v>
      </c>
      <c r="C2238" s="2459" t="s">
        <v>1670</v>
      </c>
      <c r="D2238" s="2460" t="s">
        <v>1671</v>
      </c>
      <c r="E2238" s="2461" t="s">
        <v>213</v>
      </c>
      <c r="F2238" s="2461" t="s">
        <v>1506</v>
      </c>
      <c r="G2238" s="2461" t="s">
        <v>1439</v>
      </c>
      <c r="H2238" s="2461" t="s">
        <v>1440</v>
      </c>
      <c r="I2238" s="2462">
        <v>0.62879040224426264</v>
      </c>
      <c r="J2238" s="2462">
        <v>938.84068961870298</v>
      </c>
    </row>
    <row r="2239" spans="1:10" outlineLevel="2">
      <c r="A2239" s="2459" t="s">
        <v>1669</v>
      </c>
      <c r="B2239" s="2459" t="s">
        <v>1652</v>
      </c>
      <c r="C2239" s="2459" t="s">
        <v>1670</v>
      </c>
      <c r="D2239" s="2460" t="s">
        <v>1671</v>
      </c>
      <c r="E2239" s="2461" t="s">
        <v>213</v>
      </c>
      <c r="F2239" s="2461" t="s">
        <v>1507</v>
      </c>
      <c r="G2239" s="2461" t="s">
        <v>1439</v>
      </c>
      <c r="H2239" s="2461" t="s">
        <v>1440</v>
      </c>
      <c r="I2239" s="2462">
        <v>7.0358218531867606E-2</v>
      </c>
      <c r="J2239" s="2462">
        <v>156.76182224011632</v>
      </c>
    </row>
    <row r="2240" spans="1:10" outlineLevel="2">
      <c r="A2240" s="2459" t="s">
        <v>1669</v>
      </c>
      <c r="B2240" s="2459" t="s">
        <v>1652</v>
      </c>
      <c r="C2240" s="2459" t="s">
        <v>1670</v>
      </c>
      <c r="D2240" s="2460" t="s">
        <v>1671</v>
      </c>
      <c r="E2240" s="2461" t="s">
        <v>213</v>
      </c>
      <c r="F2240" s="2461" t="s">
        <v>1508</v>
      </c>
      <c r="G2240" s="2461" t="s">
        <v>1439</v>
      </c>
      <c r="H2240" s="2461" t="s">
        <v>1440</v>
      </c>
      <c r="I2240" s="2462">
        <v>1.9367048553110733</v>
      </c>
      <c r="J2240" s="2462">
        <v>3030.6391508893594</v>
      </c>
    </row>
    <row r="2241" spans="1:10" outlineLevel="2">
      <c r="A2241" s="2459" t="s">
        <v>1669</v>
      </c>
      <c r="B2241" s="2459" t="s">
        <v>1652</v>
      </c>
      <c r="C2241" s="2459" t="s">
        <v>1670</v>
      </c>
      <c r="D2241" s="2460" t="s">
        <v>1671</v>
      </c>
      <c r="E2241" s="2461" t="s">
        <v>213</v>
      </c>
      <c r="F2241" s="2461" t="s">
        <v>1509</v>
      </c>
      <c r="G2241" s="2461" t="s">
        <v>1439</v>
      </c>
      <c r="H2241" s="2461" t="s">
        <v>1440</v>
      </c>
      <c r="I2241" s="2462">
        <v>2.1525196836945076E-2</v>
      </c>
      <c r="J2241" s="2462">
        <v>24.285332816718956</v>
      </c>
    </row>
    <row r="2242" spans="1:10" outlineLevel="2">
      <c r="A2242" s="2459" t="s">
        <v>1669</v>
      </c>
      <c r="B2242" s="2459" t="s">
        <v>1652</v>
      </c>
      <c r="C2242" s="2459" t="s">
        <v>1670</v>
      </c>
      <c r="D2242" s="2460" t="s">
        <v>1671</v>
      </c>
      <c r="E2242" s="2461" t="s">
        <v>213</v>
      </c>
      <c r="F2242" s="2461" t="s">
        <v>1510</v>
      </c>
      <c r="G2242" s="2461" t="s">
        <v>1439</v>
      </c>
      <c r="H2242" s="2461" t="s">
        <v>1440</v>
      </c>
      <c r="I2242" s="2462">
        <v>8.1271230484229989E-2</v>
      </c>
      <c r="J2242" s="2462">
        <v>93.126452227804364</v>
      </c>
    </row>
    <row r="2243" spans="1:10" outlineLevel="2">
      <c r="A2243" s="2459" t="s">
        <v>1669</v>
      </c>
      <c r="B2243" s="2459" t="s">
        <v>1652</v>
      </c>
      <c r="C2243" s="2459" t="s">
        <v>1670</v>
      </c>
      <c r="D2243" s="2460" t="s">
        <v>1671</v>
      </c>
      <c r="E2243" s="2461" t="s">
        <v>213</v>
      </c>
      <c r="F2243" s="2461" t="s">
        <v>1511</v>
      </c>
      <c r="G2243" s="2461" t="s">
        <v>1418</v>
      </c>
      <c r="H2243" s="2461" t="s">
        <v>1452</v>
      </c>
      <c r="I2243" s="2462">
        <v>4.4254890154425626E-4</v>
      </c>
      <c r="J2243" s="2462">
        <v>0.64535511835900117</v>
      </c>
    </row>
    <row r="2244" spans="1:10" outlineLevel="2">
      <c r="A2244" s="2459" t="s">
        <v>1669</v>
      </c>
      <c r="B2244" s="2459" t="s">
        <v>1652</v>
      </c>
      <c r="C2244" s="2459" t="s">
        <v>1670</v>
      </c>
      <c r="D2244" s="2460" t="s">
        <v>1671</v>
      </c>
      <c r="E2244" s="2461" t="s">
        <v>213</v>
      </c>
      <c r="F2244" s="2461" t="s">
        <v>1512</v>
      </c>
      <c r="G2244" s="2461" t="s">
        <v>1418</v>
      </c>
      <c r="H2244" s="2461" t="s">
        <v>1452</v>
      </c>
      <c r="I2244" s="2462">
        <v>5.7894417269598367E-4</v>
      </c>
      <c r="J2244" s="2462">
        <v>2.4972931150184836</v>
      </c>
    </row>
    <row r="2245" spans="1:10" outlineLevel="2">
      <c r="A2245" s="2459" t="s">
        <v>1669</v>
      </c>
      <c r="B2245" s="2459" t="s">
        <v>1652</v>
      </c>
      <c r="C2245" s="2459" t="s">
        <v>1670</v>
      </c>
      <c r="D2245" s="2460" t="s">
        <v>1671</v>
      </c>
      <c r="E2245" s="2461" t="s">
        <v>213</v>
      </c>
      <c r="F2245" s="2461" t="s">
        <v>1513</v>
      </c>
      <c r="G2245" s="2461" t="s">
        <v>1418</v>
      </c>
      <c r="H2245" s="2461" t="s">
        <v>1452</v>
      </c>
      <c r="I2245" s="2462">
        <v>2.1532264975665412E-5</v>
      </c>
      <c r="J2245" s="2462">
        <v>2.00326163778499E-2</v>
      </c>
    </row>
    <row r="2246" spans="1:10" outlineLevel="2">
      <c r="A2246" s="2459" t="s">
        <v>1669</v>
      </c>
      <c r="B2246" s="2459" t="s">
        <v>1652</v>
      </c>
      <c r="C2246" s="2459" t="s">
        <v>1670</v>
      </c>
      <c r="D2246" s="2460" t="s">
        <v>1671</v>
      </c>
      <c r="E2246" s="2461" t="s">
        <v>213</v>
      </c>
      <c r="F2246" s="2461" t="s">
        <v>1514</v>
      </c>
      <c r="G2246" s="2461" t="s">
        <v>1418</v>
      </c>
      <c r="H2246" s="2461" t="s">
        <v>1452</v>
      </c>
      <c r="I2246" s="2462">
        <v>1.9314089935184365E-3</v>
      </c>
      <c r="J2246" s="2462">
        <v>1.7933145923033273</v>
      </c>
    </row>
    <row r="2247" spans="1:10" outlineLevel="2">
      <c r="A2247" s="2459" t="s">
        <v>1669</v>
      </c>
      <c r="B2247" s="2459" t="s">
        <v>1652</v>
      </c>
      <c r="C2247" s="2459" t="s">
        <v>1670</v>
      </c>
      <c r="D2247" s="2460" t="s">
        <v>1671</v>
      </c>
      <c r="E2247" s="2461" t="s">
        <v>213</v>
      </c>
      <c r="F2247" s="2461" t="s">
        <v>1515</v>
      </c>
      <c r="G2247" s="2461" t="s">
        <v>1418</v>
      </c>
      <c r="H2247" s="2461" t="s">
        <v>1452</v>
      </c>
      <c r="I2247" s="2462">
        <v>3.7233358160365247E-4</v>
      </c>
      <c r="J2247" s="2462">
        <v>0.5305800516157454</v>
      </c>
    </row>
    <row r="2248" spans="1:10" outlineLevel="2">
      <c r="A2248" s="2459" t="s">
        <v>1669</v>
      </c>
      <c r="B2248" s="2459" t="s">
        <v>1652</v>
      </c>
      <c r="C2248" s="2459" t="s">
        <v>1670</v>
      </c>
      <c r="D2248" s="2460" t="s">
        <v>1671</v>
      </c>
      <c r="E2248" s="2461" t="s">
        <v>213</v>
      </c>
      <c r="F2248" s="2461" t="s">
        <v>1516</v>
      </c>
      <c r="G2248" s="2461" t="s">
        <v>1418</v>
      </c>
      <c r="H2248" s="2461" t="s">
        <v>1452</v>
      </c>
      <c r="I2248" s="2462">
        <v>5.3143834380153286E-3</v>
      </c>
      <c r="J2248" s="2462">
        <v>5.8787977690125572</v>
      </c>
    </row>
    <row r="2249" spans="1:10" outlineLevel="2">
      <c r="A2249" s="2459" t="s">
        <v>1669</v>
      </c>
      <c r="B2249" s="2459" t="s">
        <v>1652</v>
      </c>
      <c r="C2249" s="2459" t="s">
        <v>1670</v>
      </c>
      <c r="D2249" s="2460" t="s">
        <v>1671</v>
      </c>
      <c r="E2249" s="2461" t="s">
        <v>213</v>
      </c>
      <c r="F2249" s="2461" t="s">
        <v>1517</v>
      </c>
      <c r="G2249" s="2461" t="s">
        <v>1418</v>
      </c>
      <c r="H2249" s="2461" t="s">
        <v>1452</v>
      </c>
      <c r="I2249" s="2462">
        <v>2.7177706475239916E-2</v>
      </c>
      <c r="J2249" s="2462">
        <v>13.179661443497992</v>
      </c>
    </row>
    <row r="2250" spans="1:10" outlineLevel="2">
      <c r="A2250" s="2459" t="s">
        <v>1669</v>
      </c>
      <c r="B2250" s="2459" t="s">
        <v>1652</v>
      </c>
      <c r="C2250" s="2459" t="s">
        <v>1670</v>
      </c>
      <c r="D2250" s="2460" t="s">
        <v>1671</v>
      </c>
      <c r="E2250" s="2461" t="s">
        <v>213</v>
      </c>
      <c r="F2250" s="2461" t="s">
        <v>1518</v>
      </c>
      <c r="G2250" s="2461" t="s">
        <v>1418</v>
      </c>
      <c r="H2250" s="2461" t="s">
        <v>1452</v>
      </c>
      <c r="I2250" s="2462">
        <v>3.0587580817949783E-3</v>
      </c>
      <c r="J2250" s="2462">
        <v>2.8400589217652072</v>
      </c>
    </row>
    <row r="2251" spans="1:10" outlineLevel="2">
      <c r="A2251" s="2459" t="s">
        <v>1669</v>
      </c>
      <c r="B2251" s="2459" t="s">
        <v>1652</v>
      </c>
      <c r="C2251" s="2459" t="s">
        <v>1670</v>
      </c>
      <c r="D2251" s="2460" t="s">
        <v>1671</v>
      </c>
      <c r="E2251" s="2461" t="s">
        <v>213</v>
      </c>
      <c r="F2251" s="2461" t="s">
        <v>1519</v>
      </c>
      <c r="G2251" s="2461" t="s">
        <v>1418</v>
      </c>
      <c r="H2251" s="2461" t="s">
        <v>1452</v>
      </c>
      <c r="I2251" s="2462">
        <v>4.0178526000133252E-3</v>
      </c>
      <c r="J2251" s="2462">
        <v>4.0528663009396766</v>
      </c>
    </row>
    <row r="2252" spans="1:10" outlineLevel="2">
      <c r="A2252" s="2459" t="s">
        <v>1669</v>
      </c>
      <c r="B2252" s="2459" t="s">
        <v>1652</v>
      </c>
      <c r="C2252" s="2459" t="s">
        <v>1670</v>
      </c>
      <c r="D2252" s="2460" t="s">
        <v>1671</v>
      </c>
      <c r="E2252" s="2461" t="s">
        <v>213</v>
      </c>
      <c r="F2252" s="2461" t="s">
        <v>1520</v>
      </c>
      <c r="G2252" s="2461" t="s">
        <v>1418</v>
      </c>
      <c r="H2252" s="2461" t="s">
        <v>1452</v>
      </c>
      <c r="I2252" s="2462">
        <v>4.8256242534553708E-4</v>
      </c>
      <c r="J2252" s="2462">
        <v>4.331322013401504</v>
      </c>
    </row>
    <row r="2253" spans="1:10" outlineLevel="2">
      <c r="A2253" s="2459" t="s">
        <v>1669</v>
      </c>
      <c r="B2253" s="2459" t="s">
        <v>1652</v>
      </c>
      <c r="C2253" s="2459" t="s">
        <v>1670</v>
      </c>
      <c r="D2253" s="2460" t="s">
        <v>1671</v>
      </c>
      <c r="E2253" s="2461" t="s">
        <v>213</v>
      </c>
      <c r="F2253" s="2461" t="s">
        <v>1521</v>
      </c>
      <c r="G2253" s="2461" t="s">
        <v>1421</v>
      </c>
      <c r="H2253" s="2461" t="s">
        <v>1454</v>
      </c>
      <c r="I2253" s="2462">
        <v>0.23013143252970072</v>
      </c>
      <c r="J2253" s="2462">
        <v>314.8113870829751</v>
      </c>
    </row>
    <row r="2254" spans="1:10" outlineLevel="2">
      <c r="A2254" s="2459" t="s">
        <v>1669</v>
      </c>
      <c r="B2254" s="2459" t="s">
        <v>1652</v>
      </c>
      <c r="C2254" s="2459" t="s">
        <v>1670</v>
      </c>
      <c r="D2254" s="2460" t="s">
        <v>1671</v>
      </c>
      <c r="E2254" s="2461" t="s">
        <v>213</v>
      </c>
      <c r="F2254" s="2461" t="s">
        <v>1522</v>
      </c>
      <c r="G2254" s="2461" t="s">
        <v>1421</v>
      </c>
      <c r="H2254" s="2461" t="s">
        <v>1454</v>
      </c>
      <c r="I2254" s="2462">
        <v>5.4046757207135428E-2</v>
      </c>
      <c r="J2254" s="2462">
        <v>78.762969669800754</v>
      </c>
    </row>
    <row r="2255" spans="1:10" outlineLevel="2">
      <c r="A2255" s="2459" t="s">
        <v>1669</v>
      </c>
      <c r="B2255" s="2459" t="s">
        <v>1652</v>
      </c>
      <c r="C2255" s="2459" t="s">
        <v>1670</v>
      </c>
      <c r="D2255" s="2460" t="s">
        <v>1671</v>
      </c>
      <c r="E2255" s="2461" t="s">
        <v>213</v>
      </c>
      <c r="F2255" s="2461" t="s">
        <v>1523</v>
      </c>
      <c r="G2255" s="2461" t="s">
        <v>1421</v>
      </c>
      <c r="H2255" s="2461" t="s">
        <v>1454</v>
      </c>
      <c r="I2255" s="2462">
        <v>2.4934089960488626E-2</v>
      </c>
      <c r="J2255" s="2462">
        <v>41.647264415891918</v>
      </c>
    </row>
    <row r="2256" spans="1:10" outlineLevel="2">
      <c r="A2256" s="2459" t="s">
        <v>1669</v>
      </c>
      <c r="B2256" s="2459" t="s">
        <v>1652</v>
      </c>
      <c r="C2256" s="2459" t="s">
        <v>1670</v>
      </c>
      <c r="D2256" s="2460" t="s">
        <v>1671</v>
      </c>
      <c r="E2256" s="2461" t="s">
        <v>213</v>
      </c>
      <c r="F2256" s="2461" t="s">
        <v>1524</v>
      </c>
      <c r="G2256" s="2461" t="s">
        <v>1421</v>
      </c>
      <c r="H2256" s="2461" t="s">
        <v>1454</v>
      </c>
      <c r="I2256" s="2462">
        <v>5.7455925132774706E-2</v>
      </c>
      <c r="J2256" s="2462">
        <v>89.53038337649572</v>
      </c>
    </row>
    <row r="2257" spans="1:10" outlineLevel="2">
      <c r="A2257" s="2459" t="s">
        <v>1669</v>
      </c>
      <c r="B2257" s="2459" t="s">
        <v>1652</v>
      </c>
      <c r="C2257" s="2459" t="s">
        <v>1670</v>
      </c>
      <c r="D2257" s="2460" t="s">
        <v>1671</v>
      </c>
      <c r="E2257" s="2461" t="s">
        <v>213</v>
      </c>
      <c r="F2257" s="2461" t="s">
        <v>1525</v>
      </c>
      <c r="G2257" s="2461" t="s">
        <v>1421</v>
      </c>
      <c r="H2257" s="2461" t="s">
        <v>1454</v>
      </c>
      <c r="I2257" s="2462">
        <v>0.10122339517287948</v>
      </c>
      <c r="J2257" s="2462">
        <v>141.45563461505554</v>
      </c>
    </row>
    <row r="2258" spans="1:10" outlineLevel="2">
      <c r="A2258" s="2459" t="s">
        <v>1669</v>
      </c>
      <c r="B2258" s="2459" t="s">
        <v>1652</v>
      </c>
      <c r="C2258" s="2459" t="s">
        <v>1670</v>
      </c>
      <c r="D2258" s="2460" t="s">
        <v>1671</v>
      </c>
      <c r="E2258" s="2461" t="s">
        <v>213</v>
      </c>
      <c r="F2258" s="2461" t="s">
        <v>1526</v>
      </c>
      <c r="G2258" s="2461" t="s">
        <v>1421</v>
      </c>
      <c r="H2258" s="2461" t="s">
        <v>1454</v>
      </c>
      <c r="I2258" s="2462">
        <v>4.6893928619202267E-3</v>
      </c>
      <c r="J2258" s="2462">
        <v>6.6368659458839243</v>
      </c>
    </row>
    <row r="2259" spans="1:10" outlineLevel="2">
      <c r="A2259" s="2459" t="s">
        <v>1669</v>
      </c>
      <c r="B2259" s="2459" t="s">
        <v>1652</v>
      </c>
      <c r="C2259" s="2459" t="s">
        <v>1670</v>
      </c>
      <c r="D2259" s="2460" t="s">
        <v>1671</v>
      </c>
      <c r="E2259" s="2461" t="s">
        <v>213</v>
      </c>
      <c r="F2259" s="2461" t="s">
        <v>1527</v>
      </c>
      <c r="G2259" s="2461" t="s">
        <v>1459</v>
      </c>
      <c r="H2259" s="2461" t="s">
        <v>1460</v>
      </c>
      <c r="I2259" s="2462">
        <v>5.2698027662627621E-2</v>
      </c>
      <c r="J2259" s="2462">
        <v>54.267037428088109</v>
      </c>
    </row>
    <row r="2260" spans="1:10" outlineLevel="2">
      <c r="A2260" s="2459" t="s">
        <v>1669</v>
      </c>
      <c r="B2260" s="2459" t="s">
        <v>1652</v>
      </c>
      <c r="C2260" s="2459" t="s">
        <v>1670</v>
      </c>
      <c r="D2260" s="2460" t="s">
        <v>1671</v>
      </c>
      <c r="E2260" s="2461" t="s">
        <v>213</v>
      </c>
      <c r="F2260" s="2461" t="s">
        <v>1528</v>
      </c>
      <c r="G2260" s="2461" t="s">
        <v>1459</v>
      </c>
      <c r="H2260" s="2461" t="s">
        <v>1460</v>
      </c>
      <c r="I2260" s="2462">
        <v>4.5874333700099803E-4</v>
      </c>
      <c r="J2260" s="2462">
        <v>0.57835837197026163</v>
      </c>
    </row>
    <row r="2261" spans="1:10" outlineLevel="2">
      <c r="A2261" s="2459" t="s">
        <v>1669</v>
      </c>
      <c r="B2261" s="2459" t="s">
        <v>1652</v>
      </c>
      <c r="C2261" s="2459" t="s">
        <v>1670</v>
      </c>
      <c r="D2261" s="2460" t="s">
        <v>1671</v>
      </c>
      <c r="E2261" s="2461" t="s">
        <v>213</v>
      </c>
      <c r="F2261" s="2461" t="s">
        <v>1529</v>
      </c>
      <c r="G2261" s="2461" t="s">
        <v>1530</v>
      </c>
      <c r="H2261" s="2461" t="s">
        <v>1531</v>
      </c>
      <c r="I2261" s="2462">
        <v>1.1552619112804563</v>
      </c>
      <c r="J2261" s="2462">
        <v>982.91837151314121</v>
      </c>
    </row>
    <row r="2262" spans="1:10" outlineLevel="2">
      <c r="A2262" s="2459" t="s">
        <v>1669</v>
      </c>
      <c r="B2262" s="2459" t="s">
        <v>1652</v>
      </c>
      <c r="C2262" s="2459" t="s">
        <v>1670</v>
      </c>
      <c r="D2262" s="2460" t="s">
        <v>1671</v>
      </c>
      <c r="E2262" s="2461" t="s">
        <v>213</v>
      </c>
      <c r="F2262" s="2461" t="s">
        <v>1532</v>
      </c>
      <c r="G2262" s="2461" t="s">
        <v>1530</v>
      </c>
      <c r="H2262" s="2461" t="s">
        <v>1531</v>
      </c>
      <c r="I2262" s="2462">
        <v>0.48626428029062763</v>
      </c>
      <c r="J2262" s="2462">
        <v>414.83716051810751</v>
      </c>
    </row>
    <row r="2263" spans="1:10" outlineLevel="2">
      <c r="A2263" s="2459" t="s">
        <v>1669</v>
      </c>
      <c r="B2263" s="2459" t="s">
        <v>1652</v>
      </c>
      <c r="C2263" s="2459" t="s">
        <v>1670</v>
      </c>
      <c r="D2263" s="2460" t="s">
        <v>1671</v>
      </c>
      <c r="E2263" s="2461" t="s">
        <v>213</v>
      </c>
      <c r="F2263" s="2461" t="s">
        <v>1533</v>
      </c>
      <c r="G2263" s="2461" t="s">
        <v>1534</v>
      </c>
      <c r="H2263" s="2461" t="s">
        <v>1531</v>
      </c>
      <c r="I2263" s="2462">
        <v>0.18391763434490233</v>
      </c>
      <c r="J2263" s="2462">
        <v>306.43270588003884</v>
      </c>
    </row>
    <row r="2264" spans="1:10" outlineLevel="2">
      <c r="A2264" s="2459" t="s">
        <v>1669</v>
      </c>
      <c r="B2264" s="2459" t="s">
        <v>1652</v>
      </c>
      <c r="C2264" s="2459" t="s">
        <v>1670</v>
      </c>
      <c r="D2264" s="2460" t="s">
        <v>1671</v>
      </c>
      <c r="E2264" s="2461" t="s">
        <v>213</v>
      </c>
      <c r="F2264" s="2461" t="s">
        <v>1535</v>
      </c>
      <c r="G2264" s="2461" t="s">
        <v>1536</v>
      </c>
      <c r="H2264" s="2461" t="s">
        <v>1537</v>
      </c>
      <c r="I2264" s="2462">
        <v>6.3807367347694453E-4</v>
      </c>
      <c r="J2264" s="2462">
        <v>0.93849880763333204</v>
      </c>
    </row>
    <row r="2265" spans="1:10" outlineLevel="2">
      <c r="A2265" s="2459" t="s">
        <v>1669</v>
      </c>
      <c r="B2265" s="2459" t="s">
        <v>1652</v>
      </c>
      <c r="C2265" s="2459" t="s">
        <v>1670</v>
      </c>
      <c r="D2265" s="2460" t="s">
        <v>1671</v>
      </c>
      <c r="E2265" s="2461" t="s">
        <v>1538</v>
      </c>
      <c r="F2265" s="2461" t="s">
        <v>1539</v>
      </c>
      <c r="G2265" s="2461" t="s">
        <v>1426</v>
      </c>
      <c r="H2265" s="2461" t="s">
        <v>1540</v>
      </c>
      <c r="I2265" s="2462">
        <v>3.845308853103403E-3</v>
      </c>
      <c r="J2265" s="2462">
        <v>7.3639532715053111</v>
      </c>
    </row>
    <row r="2266" spans="1:10" outlineLevel="2">
      <c r="A2266" s="2459" t="s">
        <v>1669</v>
      </c>
      <c r="B2266" s="2459" t="s">
        <v>1652</v>
      </c>
      <c r="C2266" s="2459" t="s">
        <v>1670</v>
      </c>
      <c r="D2266" s="2460" t="s">
        <v>1671</v>
      </c>
      <c r="E2266" s="2461" t="s">
        <v>1538</v>
      </c>
      <c r="F2266" s="2461" t="s">
        <v>1541</v>
      </c>
      <c r="G2266" s="2461" t="s">
        <v>1409</v>
      </c>
      <c r="H2266" s="2461" t="s">
        <v>1540</v>
      </c>
      <c r="I2266" s="2462">
        <v>1.58410655976141E-4</v>
      </c>
      <c r="J2266" s="2462">
        <v>0.73740100681728349</v>
      </c>
    </row>
    <row r="2267" spans="1:10" outlineLevel="2">
      <c r="A2267" s="2459" t="s">
        <v>1669</v>
      </c>
      <c r="B2267" s="2459" t="s">
        <v>1652</v>
      </c>
      <c r="C2267" s="2459" t="s">
        <v>1670</v>
      </c>
      <c r="D2267" s="2460" t="s">
        <v>1671</v>
      </c>
      <c r="E2267" s="2461" t="s">
        <v>1538</v>
      </c>
      <c r="F2267" s="2461" t="s">
        <v>1542</v>
      </c>
      <c r="G2267" s="2461" t="s">
        <v>1409</v>
      </c>
      <c r="H2267" s="2461" t="s">
        <v>1540</v>
      </c>
      <c r="I2267" s="2462">
        <v>8.4960707264348649E-5</v>
      </c>
      <c r="J2267" s="2462">
        <v>1.2331931923577804</v>
      </c>
    </row>
    <row r="2268" spans="1:10" outlineLevel="2">
      <c r="A2268" s="2459" t="s">
        <v>1669</v>
      </c>
      <c r="B2268" s="2459" t="s">
        <v>1652</v>
      </c>
      <c r="C2268" s="2459" t="s">
        <v>1670</v>
      </c>
      <c r="D2268" s="2460" t="s">
        <v>1671</v>
      </c>
      <c r="E2268" s="2461" t="s">
        <v>1538</v>
      </c>
      <c r="F2268" s="2461" t="s">
        <v>1543</v>
      </c>
      <c r="G2268" s="2461" t="s">
        <v>1409</v>
      </c>
      <c r="H2268" s="2461" t="s">
        <v>1540</v>
      </c>
      <c r="I2268" s="2462">
        <v>1.2596751696144205E-4</v>
      </c>
      <c r="J2268" s="2462">
        <v>0.2177807522779861</v>
      </c>
    </row>
    <row r="2269" spans="1:10" outlineLevel="2">
      <c r="A2269" s="2459" t="s">
        <v>1669</v>
      </c>
      <c r="B2269" s="2459" t="s">
        <v>1652</v>
      </c>
      <c r="C2269" s="2459" t="s">
        <v>1670</v>
      </c>
      <c r="D2269" s="2460" t="s">
        <v>1671</v>
      </c>
      <c r="E2269" s="2461" t="s">
        <v>1538</v>
      </c>
      <c r="F2269" s="2461" t="s">
        <v>1544</v>
      </c>
      <c r="G2269" s="2461" t="s">
        <v>1409</v>
      </c>
      <c r="H2269" s="2461" t="s">
        <v>1540</v>
      </c>
      <c r="I2269" s="2462">
        <v>2.3062028498787518E-5</v>
      </c>
      <c r="J2269" s="2462">
        <v>0.12625744154766819</v>
      </c>
    </row>
    <row r="2270" spans="1:10" outlineLevel="2">
      <c r="A2270" s="2459" t="s">
        <v>1669</v>
      </c>
      <c r="B2270" s="2459" t="s">
        <v>1652</v>
      </c>
      <c r="C2270" s="2459" t="s">
        <v>1670</v>
      </c>
      <c r="D2270" s="2460" t="s">
        <v>1671</v>
      </c>
      <c r="E2270" s="2461" t="s">
        <v>1538</v>
      </c>
      <c r="F2270" s="2461" t="s">
        <v>1545</v>
      </c>
      <c r="G2270" s="2461" t="s">
        <v>1409</v>
      </c>
      <c r="H2270" s="2461" t="s">
        <v>1540</v>
      </c>
      <c r="I2270" s="2462">
        <v>5.1044249338555133E-4</v>
      </c>
      <c r="J2270" s="2462">
        <v>2.2804965947112406</v>
      </c>
    </row>
    <row r="2271" spans="1:10" outlineLevel="2">
      <c r="A2271" s="2459" t="s">
        <v>1669</v>
      </c>
      <c r="B2271" s="2459" t="s">
        <v>1652</v>
      </c>
      <c r="C2271" s="2459" t="s">
        <v>1670</v>
      </c>
      <c r="D2271" s="2460" t="s">
        <v>1671</v>
      </c>
      <c r="E2271" s="2461" t="s">
        <v>1538</v>
      </c>
      <c r="F2271" s="2461" t="s">
        <v>1546</v>
      </c>
      <c r="G2271" s="2461" t="s">
        <v>1409</v>
      </c>
      <c r="H2271" s="2461" t="s">
        <v>1540</v>
      </c>
      <c r="I2271" s="2462">
        <v>9.7638521942392865E-4</v>
      </c>
      <c r="J2271" s="2462">
        <v>1.1454450293185121</v>
      </c>
    </row>
    <row r="2272" spans="1:10" outlineLevel="2">
      <c r="A2272" s="2459" t="s">
        <v>1669</v>
      </c>
      <c r="B2272" s="2459" t="s">
        <v>1652</v>
      </c>
      <c r="C2272" s="2459" t="s">
        <v>1670</v>
      </c>
      <c r="D2272" s="2460" t="s">
        <v>1671</v>
      </c>
      <c r="E2272" s="2461" t="s">
        <v>1538</v>
      </c>
      <c r="F2272" s="2461" t="s">
        <v>1547</v>
      </c>
      <c r="G2272" s="2461" t="s">
        <v>1409</v>
      </c>
      <c r="H2272" s="2461" t="s">
        <v>1540</v>
      </c>
      <c r="I2272" s="2462">
        <v>1.0604823667240731E-4</v>
      </c>
      <c r="J2272" s="2462">
        <v>2.1098795048942907</v>
      </c>
    </row>
    <row r="2273" spans="1:10" outlineLevel="2">
      <c r="A2273" s="2459" t="s">
        <v>1669</v>
      </c>
      <c r="B2273" s="2459" t="s">
        <v>1652</v>
      </c>
      <c r="C2273" s="2459" t="s">
        <v>1670</v>
      </c>
      <c r="D2273" s="2460" t="s">
        <v>1671</v>
      </c>
      <c r="E2273" s="2461" t="s">
        <v>1538</v>
      </c>
      <c r="F2273" s="2461" t="s">
        <v>1548</v>
      </c>
      <c r="G2273" s="2461" t="s">
        <v>1409</v>
      </c>
      <c r="H2273" s="2461" t="s">
        <v>1540</v>
      </c>
      <c r="I2273" s="2462">
        <v>4.9219715535944329E-4</v>
      </c>
      <c r="J2273" s="2462">
        <v>0.85970690926366289</v>
      </c>
    </row>
    <row r="2274" spans="1:10" outlineLevel="2">
      <c r="A2274" s="2459" t="s">
        <v>1669</v>
      </c>
      <c r="B2274" s="2459" t="s">
        <v>1652</v>
      </c>
      <c r="C2274" s="2459" t="s">
        <v>1670</v>
      </c>
      <c r="D2274" s="2460" t="s">
        <v>1671</v>
      </c>
      <c r="E2274" s="2461" t="s">
        <v>1538</v>
      </c>
      <c r="F2274" s="2461" t="s">
        <v>1549</v>
      </c>
      <c r="G2274" s="2461" t="s">
        <v>1409</v>
      </c>
      <c r="H2274" s="2461" t="s">
        <v>1540</v>
      </c>
      <c r="I2274" s="2462">
        <v>7.3577798148704156E-5</v>
      </c>
      <c r="J2274" s="2462">
        <v>0.14090600031075198</v>
      </c>
    </row>
    <row r="2275" spans="1:10" outlineLevel="2">
      <c r="A2275" s="2459" t="s">
        <v>1669</v>
      </c>
      <c r="B2275" s="2459" t="s">
        <v>1652</v>
      </c>
      <c r="C2275" s="2459" t="s">
        <v>1670</v>
      </c>
      <c r="D2275" s="2460" t="s">
        <v>1671</v>
      </c>
      <c r="E2275" s="2461" t="s">
        <v>1538</v>
      </c>
      <c r="F2275" s="2461" t="s">
        <v>1550</v>
      </c>
      <c r="G2275" s="2461" t="s">
        <v>1409</v>
      </c>
      <c r="H2275" s="2461" t="s">
        <v>1540</v>
      </c>
      <c r="I2275" s="2462">
        <v>4.032438553810787E-4</v>
      </c>
      <c r="J2275" s="2462">
        <v>1.4651766321511743</v>
      </c>
    </row>
    <row r="2276" spans="1:10" outlineLevel="2">
      <c r="A2276" s="2459" t="s">
        <v>1669</v>
      </c>
      <c r="B2276" s="2459" t="s">
        <v>1652</v>
      </c>
      <c r="C2276" s="2459" t="s">
        <v>1670</v>
      </c>
      <c r="D2276" s="2460" t="s">
        <v>1671</v>
      </c>
      <c r="E2276" s="2461" t="s">
        <v>1538</v>
      </c>
      <c r="F2276" s="2461" t="s">
        <v>1551</v>
      </c>
      <c r="G2276" s="2461" t="s">
        <v>1409</v>
      </c>
      <c r="H2276" s="2461" t="s">
        <v>1540</v>
      </c>
      <c r="I2276" s="2462">
        <v>3.32207206424887E-4</v>
      </c>
      <c r="J2276" s="2462">
        <v>3.5380803920954991</v>
      </c>
    </row>
    <row r="2277" spans="1:10" outlineLevel="2">
      <c r="A2277" s="2459" t="s">
        <v>1669</v>
      </c>
      <c r="B2277" s="2459" t="s">
        <v>1652</v>
      </c>
      <c r="C2277" s="2459" t="s">
        <v>1670</v>
      </c>
      <c r="D2277" s="2460" t="s">
        <v>1671</v>
      </c>
      <c r="E2277" s="2461" t="s">
        <v>1538</v>
      </c>
      <c r="F2277" s="2461" t="s">
        <v>1552</v>
      </c>
      <c r="G2277" s="2461" t="s">
        <v>1409</v>
      </c>
      <c r="H2277" s="2461" t="s">
        <v>1540</v>
      </c>
      <c r="I2277" s="2462">
        <v>2.337559785665646E-5</v>
      </c>
      <c r="J2277" s="2462">
        <v>0.37225224717182298</v>
      </c>
    </row>
    <row r="2278" spans="1:10" outlineLevel="2">
      <c r="A2278" s="2459" t="s">
        <v>1669</v>
      </c>
      <c r="B2278" s="2459" t="s">
        <v>1652</v>
      </c>
      <c r="C2278" s="2459" t="s">
        <v>1670</v>
      </c>
      <c r="D2278" s="2460" t="s">
        <v>1671</v>
      </c>
      <c r="E2278" s="2461" t="s">
        <v>1538</v>
      </c>
      <c r="F2278" s="2461" t="s">
        <v>1553</v>
      </c>
      <c r="G2278" s="2461" t="s">
        <v>1409</v>
      </c>
      <c r="H2278" s="2461" t="s">
        <v>1540</v>
      </c>
      <c r="I2278" s="2462">
        <v>1.733527687049908E-3</v>
      </c>
      <c r="J2278" s="2462">
        <v>3.1869237993380404</v>
      </c>
    </row>
    <row r="2279" spans="1:10" outlineLevel="2">
      <c r="A2279" s="2459" t="s">
        <v>1669</v>
      </c>
      <c r="B2279" s="2459" t="s">
        <v>1652</v>
      </c>
      <c r="C2279" s="2459" t="s">
        <v>1670</v>
      </c>
      <c r="D2279" s="2460" t="s">
        <v>1671</v>
      </c>
      <c r="E2279" s="2461" t="s">
        <v>1538</v>
      </c>
      <c r="F2279" s="2461" t="s">
        <v>1554</v>
      </c>
      <c r="G2279" s="2461" t="s">
        <v>1409</v>
      </c>
      <c r="H2279" s="2461" t="s">
        <v>1540</v>
      </c>
      <c r="I2279" s="2462">
        <v>9.6626660095220545E-4</v>
      </c>
      <c r="J2279" s="2462">
        <v>1.3374631468544855</v>
      </c>
    </row>
    <row r="2280" spans="1:10" outlineLevel="2">
      <c r="A2280" s="2459" t="s">
        <v>1669</v>
      </c>
      <c r="B2280" s="2459" t="s">
        <v>1652</v>
      </c>
      <c r="C2280" s="2459" t="s">
        <v>1670</v>
      </c>
      <c r="D2280" s="2460" t="s">
        <v>1671</v>
      </c>
      <c r="E2280" s="2461" t="s">
        <v>1538</v>
      </c>
      <c r="F2280" s="2461" t="s">
        <v>1555</v>
      </c>
      <c r="G2280" s="2461" t="s">
        <v>1412</v>
      </c>
      <c r="H2280" s="2461" t="s">
        <v>1540</v>
      </c>
      <c r="I2280" s="2462">
        <v>3.1766688267482702E-3</v>
      </c>
      <c r="J2280" s="2462">
        <v>9.7790239985447265</v>
      </c>
    </row>
    <row r="2281" spans="1:10" outlineLevel="2">
      <c r="A2281" s="2459" t="s">
        <v>1669</v>
      </c>
      <c r="B2281" s="2459" t="s">
        <v>1652</v>
      </c>
      <c r="C2281" s="2459" t="s">
        <v>1670</v>
      </c>
      <c r="D2281" s="2460" t="s">
        <v>1671</v>
      </c>
      <c r="E2281" s="2461" t="s">
        <v>1538</v>
      </c>
      <c r="F2281" s="2461" t="s">
        <v>1556</v>
      </c>
      <c r="G2281" s="2461" t="s">
        <v>1412</v>
      </c>
      <c r="H2281" s="2461" t="s">
        <v>1540</v>
      </c>
      <c r="I2281" s="2462">
        <v>6.3154309615521001E-2</v>
      </c>
      <c r="J2281" s="2462">
        <v>889.50908836795293</v>
      </c>
    </row>
    <row r="2282" spans="1:10" outlineLevel="2">
      <c r="A2282" s="2459" t="s">
        <v>1669</v>
      </c>
      <c r="B2282" s="2459" t="s">
        <v>1652</v>
      </c>
      <c r="C2282" s="2459" t="s">
        <v>1670</v>
      </c>
      <c r="D2282" s="2460" t="s">
        <v>1671</v>
      </c>
      <c r="E2282" s="2461" t="s">
        <v>1538</v>
      </c>
      <c r="F2282" s="2461" t="s">
        <v>1557</v>
      </c>
      <c r="G2282" s="2461" t="s">
        <v>1412</v>
      </c>
      <c r="H2282" s="2461" t="s">
        <v>1540</v>
      </c>
      <c r="I2282" s="2462">
        <v>3.7598923243134405E-4</v>
      </c>
      <c r="J2282" s="2462">
        <v>6.6265014636719339</v>
      </c>
    </row>
    <row r="2283" spans="1:10" outlineLevel="2">
      <c r="A2283" s="2459" t="s">
        <v>1669</v>
      </c>
      <c r="B2283" s="2459" t="s">
        <v>1652</v>
      </c>
      <c r="C2283" s="2459" t="s">
        <v>1670</v>
      </c>
      <c r="D2283" s="2460" t="s">
        <v>1671</v>
      </c>
      <c r="E2283" s="2461" t="s">
        <v>1538</v>
      </c>
      <c r="F2283" s="2461" t="s">
        <v>1558</v>
      </c>
      <c r="G2283" s="2461" t="s">
        <v>1412</v>
      </c>
      <c r="H2283" s="2461" t="s">
        <v>1540</v>
      </c>
      <c r="I2283" s="2462">
        <v>1.2577588482709593E-4</v>
      </c>
      <c r="J2283" s="2462">
        <v>2.0902345755032714</v>
      </c>
    </row>
    <row r="2284" spans="1:10" outlineLevel="2">
      <c r="A2284" s="2459" t="s">
        <v>1669</v>
      </c>
      <c r="B2284" s="2459" t="s">
        <v>1652</v>
      </c>
      <c r="C2284" s="2459" t="s">
        <v>1670</v>
      </c>
      <c r="D2284" s="2460" t="s">
        <v>1671</v>
      </c>
      <c r="E2284" s="2461" t="s">
        <v>1538</v>
      </c>
      <c r="F2284" s="2461" t="s">
        <v>1559</v>
      </c>
      <c r="G2284" s="2461" t="s">
        <v>1412</v>
      </c>
      <c r="H2284" s="2461" t="s">
        <v>1540</v>
      </c>
      <c r="I2284" s="2462">
        <v>1.3429735577220639E-4</v>
      </c>
      <c r="J2284" s="2462">
        <v>0.51622571892221225</v>
      </c>
    </row>
    <row r="2285" spans="1:10" outlineLevel="2">
      <c r="A2285" s="2459" t="s">
        <v>1669</v>
      </c>
      <c r="B2285" s="2459" t="s">
        <v>1652</v>
      </c>
      <c r="C2285" s="2459" t="s">
        <v>1670</v>
      </c>
      <c r="D2285" s="2460" t="s">
        <v>1671</v>
      </c>
      <c r="E2285" s="2461" t="s">
        <v>1538</v>
      </c>
      <c r="F2285" s="2461" t="s">
        <v>1560</v>
      </c>
      <c r="G2285" s="2461" t="s">
        <v>1412</v>
      </c>
      <c r="H2285" s="2461" t="s">
        <v>1540</v>
      </c>
      <c r="I2285" s="2462">
        <v>1.8850290296294837E-4</v>
      </c>
      <c r="J2285" s="2462">
        <v>4.1054246745765504</v>
      </c>
    </row>
    <row r="2286" spans="1:10" outlineLevel="2">
      <c r="A2286" s="2459" t="s">
        <v>1669</v>
      </c>
      <c r="B2286" s="2459" t="s">
        <v>1652</v>
      </c>
      <c r="C2286" s="2459" t="s">
        <v>1670</v>
      </c>
      <c r="D2286" s="2460" t="s">
        <v>1671</v>
      </c>
      <c r="E2286" s="2461" t="s">
        <v>1538</v>
      </c>
      <c r="F2286" s="2461" t="s">
        <v>1561</v>
      </c>
      <c r="G2286" s="2461" t="s">
        <v>1439</v>
      </c>
      <c r="H2286" s="2461" t="s">
        <v>1540</v>
      </c>
      <c r="I2286" s="2462">
        <v>3.4095367176083568E-3</v>
      </c>
      <c r="J2286" s="2462">
        <v>51.669134485030476</v>
      </c>
    </row>
    <row r="2287" spans="1:10" outlineLevel="2">
      <c r="A2287" s="2459" t="s">
        <v>1669</v>
      </c>
      <c r="B2287" s="2459" t="s">
        <v>1652</v>
      </c>
      <c r="C2287" s="2459" t="s">
        <v>1670</v>
      </c>
      <c r="D2287" s="2460" t="s">
        <v>1671</v>
      </c>
      <c r="E2287" s="2461" t="s">
        <v>1538</v>
      </c>
      <c r="F2287" s="2461" t="s">
        <v>1562</v>
      </c>
      <c r="G2287" s="2461" t="s">
        <v>1418</v>
      </c>
      <c r="H2287" s="2461" t="s">
        <v>1540</v>
      </c>
      <c r="I2287" s="2462">
        <v>2.0318924084911467E-5</v>
      </c>
      <c r="J2287" s="2462">
        <v>2.5603514761039281E-2</v>
      </c>
    </row>
    <row r="2288" spans="1:10" outlineLevel="2">
      <c r="A2288" s="2459" t="s">
        <v>1669</v>
      </c>
      <c r="B2288" s="2459" t="s">
        <v>1652</v>
      </c>
      <c r="C2288" s="2459" t="s">
        <v>1670</v>
      </c>
      <c r="D2288" s="2460" t="s">
        <v>1671</v>
      </c>
      <c r="E2288" s="2461" t="s">
        <v>1538</v>
      </c>
      <c r="F2288" s="2461" t="s">
        <v>1563</v>
      </c>
      <c r="G2288" s="2461" t="s">
        <v>1418</v>
      </c>
      <c r="H2288" s="2461" t="s">
        <v>1540</v>
      </c>
      <c r="I2288" s="2462">
        <v>2.944025822338925E-6</v>
      </c>
      <c r="J2288" s="2462">
        <v>4.9868436172068424E-2</v>
      </c>
    </row>
    <row r="2289" spans="1:10" outlineLevel="2">
      <c r="A2289" s="2459" t="s">
        <v>1669</v>
      </c>
      <c r="B2289" s="2459" t="s">
        <v>1652</v>
      </c>
      <c r="C2289" s="2459" t="s">
        <v>1670</v>
      </c>
      <c r="D2289" s="2460" t="s">
        <v>1671</v>
      </c>
      <c r="E2289" s="2461" t="s">
        <v>1538</v>
      </c>
      <c r="F2289" s="2461" t="s">
        <v>1564</v>
      </c>
      <c r="G2289" s="2461" t="s">
        <v>1421</v>
      </c>
      <c r="H2289" s="2461" t="s">
        <v>1540</v>
      </c>
      <c r="I2289" s="2462">
        <v>1.2321619846426149E-2</v>
      </c>
      <c r="J2289" s="2462">
        <v>30.253543610842318</v>
      </c>
    </row>
    <row r="2290" spans="1:10" outlineLevel="2">
      <c r="A2290" s="2459" t="s">
        <v>1669</v>
      </c>
      <c r="B2290" s="2459" t="s">
        <v>1652</v>
      </c>
      <c r="C2290" s="2459" t="s">
        <v>1670</v>
      </c>
      <c r="D2290" s="2460" t="s">
        <v>1671</v>
      </c>
      <c r="E2290" s="2461" t="s">
        <v>1538</v>
      </c>
      <c r="F2290" s="2461" t="s">
        <v>1565</v>
      </c>
      <c r="G2290" s="2461" t="s">
        <v>1421</v>
      </c>
      <c r="H2290" s="2461" t="s">
        <v>1540</v>
      </c>
      <c r="I2290" s="2462">
        <v>1.4498391032459746E-3</v>
      </c>
      <c r="J2290" s="2462">
        <v>6.6221184164867113</v>
      </c>
    </row>
    <row r="2291" spans="1:10" outlineLevel="2">
      <c r="A2291" s="2459" t="s">
        <v>1669</v>
      </c>
      <c r="B2291" s="2459" t="s">
        <v>1652</v>
      </c>
      <c r="C2291" s="2459" t="s">
        <v>1670</v>
      </c>
      <c r="D2291" s="2460" t="s">
        <v>1671</v>
      </c>
      <c r="E2291" s="2461" t="s">
        <v>1538</v>
      </c>
      <c r="F2291" s="2461" t="s">
        <v>1566</v>
      </c>
      <c r="G2291" s="2461" t="s">
        <v>1421</v>
      </c>
      <c r="H2291" s="2461" t="s">
        <v>1540</v>
      </c>
      <c r="I2291" s="2462">
        <v>7.5595875489444832E-4</v>
      </c>
      <c r="J2291" s="2462">
        <v>7.7324729933254508</v>
      </c>
    </row>
    <row r="2292" spans="1:10" outlineLevel="2">
      <c r="A2292" s="2459" t="s">
        <v>1669</v>
      </c>
      <c r="B2292" s="2459" t="s">
        <v>1652</v>
      </c>
      <c r="C2292" s="2459" t="s">
        <v>1670</v>
      </c>
      <c r="D2292" s="2460" t="s">
        <v>1671</v>
      </c>
      <c r="E2292" s="2461" t="s">
        <v>1538</v>
      </c>
      <c r="F2292" s="2461" t="s">
        <v>1567</v>
      </c>
      <c r="G2292" s="2461" t="s">
        <v>1421</v>
      </c>
      <c r="H2292" s="2461" t="s">
        <v>1540</v>
      </c>
      <c r="I2292" s="2462">
        <v>1.2514849215876029E-3</v>
      </c>
      <c r="J2292" s="2462">
        <v>9.6103387787465593</v>
      </c>
    </row>
    <row r="2293" spans="1:10" outlineLevel="2">
      <c r="A2293" s="2459" t="s">
        <v>1669</v>
      </c>
      <c r="B2293" s="2459" t="s">
        <v>1652</v>
      </c>
      <c r="C2293" s="2459" t="s">
        <v>1670</v>
      </c>
      <c r="D2293" s="2460" t="s">
        <v>1671</v>
      </c>
      <c r="E2293" s="2461" t="s">
        <v>1538</v>
      </c>
      <c r="F2293" s="2461" t="s">
        <v>1568</v>
      </c>
      <c r="G2293" s="2461" t="s">
        <v>1421</v>
      </c>
      <c r="H2293" s="2461" t="s">
        <v>1540</v>
      </c>
      <c r="I2293" s="2462">
        <v>4.3321611708482385E-5</v>
      </c>
      <c r="J2293" s="2462">
        <v>0.13070592967798414</v>
      </c>
    </row>
    <row r="2294" spans="1:10" outlineLevel="2">
      <c r="A2294" s="2459" t="s">
        <v>1669</v>
      </c>
      <c r="B2294" s="2459" t="s">
        <v>1652</v>
      </c>
      <c r="C2294" s="2459" t="s">
        <v>1670</v>
      </c>
      <c r="D2294" s="2460" t="s">
        <v>1671</v>
      </c>
      <c r="E2294" s="2461" t="s">
        <v>1538</v>
      </c>
      <c r="F2294" s="2461" t="s">
        <v>1569</v>
      </c>
      <c r="G2294" s="2461" t="s">
        <v>1421</v>
      </c>
      <c r="H2294" s="2461" t="s">
        <v>1540</v>
      </c>
      <c r="I2294" s="2462">
        <v>1.0269304395255425E-5</v>
      </c>
      <c r="J2294" s="2462">
        <v>0.11866971468415918</v>
      </c>
    </row>
    <row r="2295" spans="1:10" outlineLevel="2">
      <c r="A2295" s="2459" t="s">
        <v>1669</v>
      </c>
      <c r="B2295" s="2459" t="s">
        <v>1652</v>
      </c>
      <c r="C2295" s="2459" t="s">
        <v>1670</v>
      </c>
      <c r="D2295" s="2460" t="s">
        <v>1671</v>
      </c>
      <c r="E2295" s="2461" t="s">
        <v>1538</v>
      </c>
      <c r="F2295" s="2461" t="s">
        <v>1570</v>
      </c>
      <c r="G2295" s="2461" t="s">
        <v>899</v>
      </c>
      <c r="H2295" s="2461" t="s">
        <v>1540</v>
      </c>
      <c r="I2295" s="2462">
        <v>6.5940729981118488E-6</v>
      </c>
      <c r="J2295" s="2462">
        <v>2.8488640916030858E-2</v>
      </c>
    </row>
    <row r="2296" spans="1:10" outlineLevel="2">
      <c r="A2296" s="2459" t="s">
        <v>1669</v>
      </c>
      <c r="B2296" s="2459" t="s">
        <v>1652</v>
      </c>
      <c r="C2296" s="2459" t="s">
        <v>1670</v>
      </c>
      <c r="D2296" s="2460" t="s">
        <v>1671</v>
      </c>
      <c r="E2296" s="2461" t="s">
        <v>1400</v>
      </c>
      <c r="F2296" s="2461" t="s">
        <v>1571</v>
      </c>
      <c r="G2296" s="2461" t="s">
        <v>215</v>
      </c>
      <c r="H2296" s="2461" t="s">
        <v>1531</v>
      </c>
      <c r="I2296" s="2462">
        <v>6.4695571741412074E-3</v>
      </c>
      <c r="J2296" s="2462">
        <v>232.8444074354872</v>
      </c>
    </row>
    <row r="2297" spans="1:10" outlineLevel="2">
      <c r="A2297" s="2459" t="s">
        <v>1669</v>
      </c>
      <c r="B2297" s="2459" t="s">
        <v>1652</v>
      </c>
      <c r="C2297" s="2459" t="s">
        <v>1670</v>
      </c>
      <c r="D2297" s="2460" t="s">
        <v>1671</v>
      </c>
      <c r="E2297" s="2461" t="s">
        <v>1400</v>
      </c>
      <c r="F2297" s="2461" t="s">
        <v>1572</v>
      </c>
      <c r="G2297" s="2461" t="s">
        <v>215</v>
      </c>
      <c r="H2297" s="2461" t="s">
        <v>1531</v>
      </c>
      <c r="I2297" s="2462">
        <v>1.0253004261446196E-4</v>
      </c>
      <c r="J2297" s="2462">
        <v>1.9449370900514955</v>
      </c>
    </row>
    <row r="2298" spans="1:10" outlineLevel="2">
      <c r="A2298" s="2459" t="s">
        <v>1669</v>
      </c>
      <c r="B2298" s="2459" t="s">
        <v>1652</v>
      </c>
      <c r="C2298" s="2459" t="s">
        <v>1670</v>
      </c>
      <c r="D2298" s="2460" t="s">
        <v>1671</v>
      </c>
      <c r="E2298" s="2461" t="s">
        <v>1573</v>
      </c>
      <c r="F2298" s="2461" t="s">
        <v>1574</v>
      </c>
      <c r="G2298" s="2461" t="s">
        <v>1426</v>
      </c>
      <c r="H2298" s="2461" t="s">
        <v>1427</v>
      </c>
      <c r="I2298" s="2462">
        <v>4.661726690934313E-3</v>
      </c>
      <c r="J2298" s="2462">
        <v>115.24447296446013</v>
      </c>
    </row>
    <row r="2299" spans="1:10" outlineLevel="2">
      <c r="A2299" s="2459" t="s">
        <v>1669</v>
      </c>
      <c r="B2299" s="2459" t="s">
        <v>1652</v>
      </c>
      <c r="C2299" s="2459" t="s">
        <v>1670</v>
      </c>
      <c r="D2299" s="2460" t="s">
        <v>1671</v>
      </c>
      <c r="E2299" s="2461" t="s">
        <v>1573</v>
      </c>
      <c r="F2299" s="2461" t="s">
        <v>1575</v>
      </c>
      <c r="G2299" s="2461" t="s">
        <v>1409</v>
      </c>
      <c r="H2299" s="2461" t="s">
        <v>1070</v>
      </c>
      <c r="I2299" s="2462">
        <v>1.5122101163974077E-3</v>
      </c>
      <c r="J2299" s="2462">
        <v>88.19274215923393</v>
      </c>
    </row>
    <row r="2300" spans="1:10" outlineLevel="2">
      <c r="A2300" s="2459" t="s">
        <v>1669</v>
      </c>
      <c r="B2300" s="2459" t="s">
        <v>1652</v>
      </c>
      <c r="C2300" s="2459" t="s">
        <v>1670</v>
      </c>
      <c r="D2300" s="2460" t="s">
        <v>1671</v>
      </c>
      <c r="E2300" s="2461" t="s">
        <v>1573</v>
      </c>
      <c r="F2300" s="2461" t="s">
        <v>1576</v>
      </c>
      <c r="G2300" s="2461" t="s">
        <v>1409</v>
      </c>
      <c r="H2300" s="2461" t="s">
        <v>1070</v>
      </c>
      <c r="I2300" s="2462">
        <v>1.3002430024062322E-5</v>
      </c>
      <c r="J2300" s="2462">
        <v>0.1436200053427435</v>
      </c>
    </row>
    <row r="2301" spans="1:10" outlineLevel="2">
      <c r="A2301" s="2459" t="s">
        <v>1669</v>
      </c>
      <c r="B2301" s="2459" t="s">
        <v>1652</v>
      </c>
      <c r="C2301" s="2459" t="s">
        <v>1670</v>
      </c>
      <c r="D2301" s="2460" t="s">
        <v>1671</v>
      </c>
      <c r="E2301" s="2461" t="s">
        <v>1573</v>
      </c>
      <c r="F2301" s="2461" t="s">
        <v>1577</v>
      </c>
      <c r="G2301" s="2461" t="s">
        <v>1409</v>
      </c>
      <c r="H2301" s="2461" t="s">
        <v>1070</v>
      </c>
      <c r="I2301" s="2462">
        <v>1.8856871609267611E-4</v>
      </c>
      <c r="J2301" s="2462">
        <v>2.3658131542989471</v>
      </c>
    </row>
    <row r="2302" spans="1:10" outlineLevel="2">
      <c r="A2302" s="2459" t="s">
        <v>1669</v>
      </c>
      <c r="B2302" s="2459" t="s">
        <v>1652</v>
      </c>
      <c r="C2302" s="2459" t="s">
        <v>1670</v>
      </c>
      <c r="D2302" s="2460" t="s">
        <v>1671</v>
      </c>
      <c r="E2302" s="2461" t="s">
        <v>1573</v>
      </c>
      <c r="F2302" s="2461" t="s">
        <v>1578</v>
      </c>
      <c r="G2302" s="2461" t="s">
        <v>1409</v>
      </c>
      <c r="H2302" s="2461" t="s">
        <v>1070</v>
      </c>
      <c r="I2302" s="2462">
        <v>4.3061625785446684E-3</v>
      </c>
      <c r="J2302" s="2462">
        <v>220.75978378905913</v>
      </c>
    </row>
    <row r="2303" spans="1:10" outlineLevel="2">
      <c r="A2303" s="2459" t="s">
        <v>1669</v>
      </c>
      <c r="B2303" s="2459" t="s">
        <v>1652</v>
      </c>
      <c r="C2303" s="2459" t="s">
        <v>1670</v>
      </c>
      <c r="D2303" s="2460" t="s">
        <v>1671</v>
      </c>
      <c r="E2303" s="2461" t="s">
        <v>1573</v>
      </c>
      <c r="F2303" s="2461" t="s">
        <v>1579</v>
      </c>
      <c r="G2303" s="2461" t="s">
        <v>1409</v>
      </c>
      <c r="H2303" s="2461" t="s">
        <v>1070</v>
      </c>
      <c r="I2303" s="2462">
        <v>3.2689252049666042E-3</v>
      </c>
      <c r="J2303" s="2462">
        <v>240.20161336076617</v>
      </c>
    </row>
    <row r="2304" spans="1:10" outlineLevel="2">
      <c r="A2304" s="2459" t="s">
        <v>1669</v>
      </c>
      <c r="B2304" s="2459" t="s">
        <v>1652</v>
      </c>
      <c r="C2304" s="2459" t="s">
        <v>1670</v>
      </c>
      <c r="D2304" s="2460" t="s">
        <v>1671</v>
      </c>
      <c r="E2304" s="2461" t="s">
        <v>1573</v>
      </c>
      <c r="F2304" s="2461" t="s">
        <v>1580</v>
      </c>
      <c r="G2304" s="2461" t="s">
        <v>1409</v>
      </c>
      <c r="H2304" s="2461" t="s">
        <v>1070</v>
      </c>
      <c r="I2304" s="2462">
        <v>3.6932019379329263E-4</v>
      </c>
      <c r="J2304" s="2462">
        <v>13.263483694412347</v>
      </c>
    </row>
    <row r="2305" spans="1:10" outlineLevel="2">
      <c r="A2305" s="2459" t="s">
        <v>1669</v>
      </c>
      <c r="B2305" s="2459" t="s">
        <v>1652</v>
      </c>
      <c r="C2305" s="2459" t="s">
        <v>1670</v>
      </c>
      <c r="D2305" s="2460" t="s">
        <v>1671</v>
      </c>
      <c r="E2305" s="2461" t="s">
        <v>1573</v>
      </c>
      <c r="F2305" s="2461" t="s">
        <v>1581</v>
      </c>
      <c r="G2305" s="2461" t="s">
        <v>1409</v>
      </c>
      <c r="H2305" s="2461" t="s">
        <v>1070</v>
      </c>
      <c r="I2305" s="2462">
        <v>1.9643805783367443E-4</v>
      </c>
      <c r="J2305" s="2462">
        <v>9.0318600729196046</v>
      </c>
    </row>
    <row r="2306" spans="1:10" outlineLevel="2">
      <c r="A2306" s="2459" t="s">
        <v>1669</v>
      </c>
      <c r="B2306" s="2459" t="s">
        <v>1652</v>
      </c>
      <c r="C2306" s="2459" t="s">
        <v>1670</v>
      </c>
      <c r="D2306" s="2460" t="s">
        <v>1671</v>
      </c>
      <c r="E2306" s="2461" t="s">
        <v>1573</v>
      </c>
      <c r="F2306" s="2461" t="s">
        <v>1582</v>
      </c>
      <c r="G2306" s="2461" t="s">
        <v>1409</v>
      </c>
      <c r="H2306" s="2461" t="s">
        <v>1070</v>
      </c>
      <c r="I2306" s="2462">
        <v>1.0440607710886631E-3</v>
      </c>
      <c r="J2306" s="2462">
        <v>24.802360715533904</v>
      </c>
    </row>
    <row r="2307" spans="1:10" outlineLevel="2">
      <c r="A2307" s="2459" t="s">
        <v>1669</v>
      </c>
      <c r="B2307" s="2459" t="s">
        <v>1652</v>
      </c>
      <c r="C2307" s="2459" t="s">
        <v>1670</v>
      </c>
      <c r="D2307" s="2460" t="s">
        <v>1671</v>
      </c>
      <c r="E2307" s="2461" t="s">
        <v>1573</v>
      </c>
      <c r="F2307" s="2461" t="s">
        <v>1583</v>
      </c>
      <c r="G2307" s="2461" t="s">
        <v>1409</v>
      </c>
      <c r="H2307" s="2461" t="s">
        <v>1070</v>
      </c>
      <c r="I2307" s="2462">
        <v>2.993023463770107E-3</v>
      </c>
      <c r="J2307" s="2462">
        <v>106.13586985722758</v>
      </c>
    </row>
    <row r="2308" spans="1:10" outlineLevel="2">
      <c r="A2308" s="2459" t="s">
        <v>1669</v>
      </c>
      <c r="B2308" s="2459" t="s">
        <v>1652</v>
      </c>
      <c r="C2308" s="2459" t="s">
        <v>1670</v>
      </c>
      <c r="D2308" s="2460" t="s">
        <v>1671</v>
      </c>
      <c r="E2308" s="2461" t="s">
        <v>1573</v>
      </c>
      <c r="F2308" s="2461" t="s">
        <v>1584</v>
      </c>
      <c r="G2308" s="2461" t="s">
        <v>1409</v>
      </c>
      <c r="H2308" s="2461" t="s">
        <v>1070</v>
      </c>
      <c r="I2308" s="2462">
        <v>2.1159692968268913E-3</v>
      </c>
      <c r="J2308" s="2462">
        <v>116.53059496162305</v>
      </c>
    </row>
    <row r="2309" spans="1:10" outlineLevel="2">
      <c r="A2309" s="2459" t="s">
        <v>1669</v>
      </c>
      <c r="B2309" s="2459" t="s">
        <v>1652</v>
      </c>
      <c r="C2309" s="2459" t="s">
        <v>1670</v>
      </c>
      <c r="D2309" s="2460" t="s">
        <v>1671</v>
      </c>
      <c r="E2309" s="2461" t="s">
        <v>1573</v>
      </c>
      <c r="F2309" s="2461" t="s">
        <v>1585</v>
      </c>
      <c r="G2309" s="2461" t="s">
        <v>1409</v>
      </c>
      <c r="H2309" s="2461" t="s">
        <v>1070</v>
      </c>
      <c r="I2309" s="2462">
        <v>1.1600725144982428E-2</v>
      </c>
      <c r="J2309" s="2462">
        <v>894.77744521501938</v>
      </c>
    </row>
    <row r="2310" spans="1:10" outlineLevel="2">
      <c r="A2310" s="2459" t="s">
        <v>1669</v>
      </c>
      <c r="B2310" s="2459" t="s">
        <v>1652</v>
      </c>
      <c r="C2310" s="2459" t="s">
        <v>1670</v>
      </c>
      <c r="D2310" s="2460" t="s">
        <v>1671</v>
      </c>
      <c r="E2310" s="2461" t="s">
        <v>1573</v>
      </c>
      <c r="F2310" s="2461" t="s">
        <v>1586</v>
      </c>
      <c r="G2310" s="2461" t="s">
        <v>1409</v>
      </c>
      <c r="H2310" s="2461" t="s">
        <v>1070</v>
      </c>
      <c r="I2310" s="2462">
        <v>2.4536406134487772E-4</v>
      </c>
      <c r="J2310" s="2462">
        <v>7.4401803032520828</v>
      </c>
    </row>
    <row r="2311" spans="1:10" outlineLevel="2">
      <c r="A2311" s="2459" t="s">
        <v>1669</v>
      </c>
      <c r="B2311" s="2459" t="s">
        <v>1652</v>
      </c>
      <c r="C2311" s="2459" t="s">
        <v>1670</v>
      </c>
      <c r="D2311" s="2460" t="s">
        <v>1671</v>
      </c>
      <c r="E2311" s="2461" t="s">
        <v>1573</v>
      </c>
      <c r="F2311" s="2461" t="s">
        <v>1587</v>
      </c>
      <c r="G2311" s="2461" t="s">
        <v>1409</v>
      </c>
      <c r="H2311" s="2461" t="s">
        <v>1070</v>
      </c>
      <c r="I2311" s="2462">
        <v>9.6627052883544435E-5</v>
      </c>
      <c r="J2311" s="2462">
        <v>4.5556383693763509</v>
      </c>
    </row>
    <row r="2312" spans="1:10" outlineLevel="2">
      <c r="A2312" s="2459" t="s">
        <v>1669</v>
      </c>
      <c r="B2312" s="2459" t="s">
        <v>1652</v>
      </c>
      <c r="C2312" s="2459" t="s">
        <v>1670</v>
      </c>
      <c r="D2312" s="2460" t="s">
        <v>1671</v>
      </c>
      <c r="E2312" s="2461" t="s">
        <v>1573</v>
      </c>
      <c r="F2312" s="2461" t="s">
        <v>1588</v>
      </c>
      <c r="G2312" s="2461" t="s">
        <v>1409</v>
      </c>
      <c r="H2312" s="2461" t="s">
        <v>1070</v>
      </c>
      <c r="I2312" s="2462">
        <v>3.4231932505094527E-3</v>
      </c>
      <c r="J2312" s="2462">
        <v>204.52318134065783</v>
      </c>
    </row>
    <row r="2313" spans="1:10" outlineLevel="2">
      <c r="A2313" s="2459" t="s">
        <v>1669</v>
      </c>
      <c r="B2313" s="2459" t="s">
        <v>1652</v>
      </c>
      <c r="C2313" s="2459" t="s">
        <v>1670</v>
      </c>
      <c r="D2313" s="2460" t="s">
        <v>1671</v>
      </c>
      <c r="E2313" s="2461" t="s">
        <v>1573</v>
      </c>
      <c r="F2313" s="2461" t="s">
        <v>1589</v>
      </c>
      <c r="G2313" s="2461" t="s">
        <v>1409</v>
      </c>
      <c r="H2313" s="2461" t="s">
        <v>1070</v>
      </c>
      <c r="I2313" s="2462">
        <v>2.9429675075453594E-3</v>
      </c>
      <c r="J2313" s="2462">
        <v>222.62612984934998</v>
      </c>
    </row>
    <row r="2314" spans="1:10" outlineLevel="2">
      <c r="A2314" s="2459" t="s">
        <v>1669</v>
      </c>
      <c r="B2314" s="2459" t="s">
        <v>1652</v>
      </c>
      <c r="C2314" s="2459" t="s">
        <v>1670</v>
      </c>
      <c r="D2314" s="2460" t="s">
        <v>1671</v>
      </c>
      <c r="E2314" s="2461" t="s">
        <v>1573</v>
      </c>
      <c r="F2314" s="2461" t="s">
        <v>1590</v>
      </c>
      <c r="G2314" s="2461" t="s">
        <v>1409</v>
      </c>
      <c r="H2314" s="2461" t="s">
        <v>1070</v>
      </c>
      <c r="I2314" s="2462">
        <v>1.0745051305652367E-2</v>
      </c>
      <c r="J2314" s="2462">
        <v>765.8022465024261</v>
      </c>
    </row>
    <row r="2315" spans="1:10" outlineLevel="2">
      <c r="A2315" s="2459" t="s">
        <v>1669</v>
      </c>
      <c r="B2315" s="2459" t="s">
        <v>1652</v>
      </c>
      <c r="C2315" s="2459" t="s">
        <v>1670</v>
      </c>
      <c r="D2315" s="2460" t="s">
        <v>1671</v>
      </c>
      <c r="E2315" s="2461" t="s">
        <v>1573</v>
      </c>
      <c r="F2315" s="2461" t="s">
        <v>1591</v>
      </c>
      <c r="G2315" s="2461" t="s">
        <v>1409</v>
      </c>
      <c r="H2315" s="2461" t="s">
        <v>1070</v>
      </c>
      <c r="I2315" s="2462">
        <v>7.3963688123593959E-4</v>
      </c>
      <c r="J2315" s="2462">
        <v>36.009368695889364</v>
      </c>
    </row>
    <row r="2316" spans="1:10" outlineLevel="2">
      <c r="A2316" s="2459" t="s">
        <v>1669</v>
      </c>
      <c r="B2316" s="2459" t="s">
        <v>1652</v>
      </c>
      <c r="C2316" s="2459" t="s">
        <v>1670</v>
      </c>
      <c r="D2316" s="2460" t="s">
        <v>1671</v>
      </c>
      <c r="E2316" s="2461" t="s">
        <v>1573</v>
      </c>
      <c r="F2316" s="2461" t="s">
        <v>1592</v>
      </c>
      <c r="G2316" s="2461" t="s">
        <v>1409</v>
      </c>
      <c r="H2316" s="2461" t="s">
        <v>1070</v>
      </c>
      <c r="I2316" s="2462">
        <v>6.2193990089119246E-3</v>
      </c>
      <c r="J2316" s="2462">
        <v>286.43512988606017</v>
      </c>
    </row>
    <row r="2317" spans="1:10" outlineLevel="2">
      <c r="A2317" s="2459" t="s">
        <v>1669</v>
      </c>
      <c r="B2317" s="2459" t="s">
        <v>1652</v>
      </c>
      <c r="C2317" s="2459" t="s">
        <v>1670</v>
      </c>
      <c r="D2317" s="2460" t="s">
        <v>1671</v>
      </c>
      <c r="E2317" s="2461" t="s">
        <v>1573</v>
      </c>
      <c r="F2317" s="2461" t="s">
        <v>1593</v>
      </c>
      <c r="G2317" s="2461" t="s">
        <v>1409</v>
      </c>
      <c r="H2317" s="2461" t="s">
        <v>1070</v>
      </c>
      <c r="I2317" s="2462">
        <v>1.5195892257588467E-2</v>
      </c>
      <c r="J2317" s="2462">
        <v>973.8247122314707</v>
      </c>
    </row>
    <row r="2318" spans="1:10" outlineLevel="2">
      <c r="A2318" s="2459" t="s">
        <v>1669</v>
      </c>
      <c r="B2318" s="2459" t="s">
        <v>1652</v>
      </c>
      <c r="C2318" s="2459" t="s">
        <v>1670</v>
      </c>
      <c r="D2318" s="2460" t="s">
        <v>1671</v>
      </c>
      <c r="E2318" s="2461" t="s">
        <v>1573</v>
      </c>
      <c r="F2318" s="2461" t="s">
        <v>1594</v>
      </c>
      <c r="G2318" s="2461" t="s">
        <v>1409</v>
      </c>
      <c r="H2318" s="2461" t="s">
        <v>1070</v>
      </c>
      <c r="I2318" s="2462">
        <v>3.3282747414751387E-2</v>
      </c>
      <c r="J2318" s="2462">
        <v>653.30339147097004</v>
      </c>
    </row>
    <row r="2319" spans="1:10" outlineLevel="2">
      <c r="A2319" s="2459" t="s">
        <v>1669</v>
      </c>
      <c r="B2319" s="2459" t="s">
        <v>1652</v>
      </c>
      <c r="C2319" s="2459" t="s">
        <v>1670</v>
      </c>
      <c r="D2319" s="2460" t="s">
        <v>1671</v>
      </c>
      <c r="E2319" s="2461" t="s">
        <v>1573</v>
      </c>
      <c r="F2319" s="2461" t="s">
        <v>1595</v>
      </c>
      <c r="G2319" s="2461" t="s">
        <v>1409</v>
      </c>
      <c r="H2319" s="2461" t="s">
        <v>1070</v>
      </c>
      <c r="I2319" s="2462">
        <v>1.2237273347669315E-2</v>
      </c>
      <c r="J2319" s="2462">
        <v>890.84365196695057</v>
      </c>
    </row>
    <row r="2320" spans="1:10" outlineLevel="2">
      <c r="A2320" s="2459" t="s">
        <v>1669</v>
      </c>
      <c r="B2320" s="2459" t="s">
        <v>1652</v>
      </c>
      <c r="C2320" s="2459" t="s">
        <v>1670</v>
      </c>
      <c r="D2320" s="2460" t="s">
        <v>1671</v>
      </c>
      <c r="E2320" s="2461" t="s">
        <v>1573</v>
      </c>
      <c r="F2320" s="2461" t="s">
        <v>1596</v>
      </c>
      <c r="G2320" s="2461" t="s">
        <v>1409</v>
      </c>
      <c r="H2320" s="2461" t="s">
        <v>1070</v>
      </c>
      <c r="I2320" s="2462">
        <v>2.228169584858802E-2</v>
      </c>
      <c r="J2320" s="2462">
        <v>512.80972727299172</v>
      </c>
    </row>
    <row r="2321" spans="1:10" outlineLevel="2">
      <c r="A2321" s="2459" t="s">
        <v>1669</v>
      </c>
      <c r="B2321" s="2459" t="s">
        <v>1652</v>
      </c>
      <c r="C2321" s="2459" t="s">
        <v>1670</v>
      </c>
      <c r="D2321" s="2460" t="s">
        <v>1671</v>
      </c>
      <c r="E2321" s="2461" t="s">
        <v>1573</v>
      </c>
      <c r="F2321" s="2461" t="s">
        <v>1597</v>
      </c>
      <c r="G2321" s="2461" t="s">
        <v>1409</v>
      </c>
      <c r="H2321" s="2461" t="s">
        <v>1070</v>
      </c>
      <c r="I2321" s="2462">
        <v>1.3079785975927496E-3</v>
      </c>
      <c r="J2321" s="2462">
        <v>95.588628028403477</v>
      </c>
    </row>
    <row r="2322" spans="1:10" outlineLevel="2">
      <c r="A2322" s="2459" t="s">
        <v>1669</v>
      </c>
      <c r="B2322" s="2459" t="s">
        <v>1652</v>
      </c>
      <c r="C2322" s="2459" t="s">
        <v>1670</v>
      </c>
      <c r="D2322" s="2460" t="s">
        <v>1671</v>
      </c>
      <c r="E2322" s="2461" t="s">
        <v>1573</v>
      </c>
      <c r="F2322" s="2461" t="s">
        <v>1598</v>
      </c>
      <c r="G2322" s="2461" t="s">
        <v>1409</v>
      </c>
      <c r="H2322" s="2461" t="s">
        <v>1070</v>
      </c>
      <c r="I2322" s="2462">
        <v>6.7935346856561112E-5</v>
      </c>
      <c r="J2322" s="2462">
        <v>1.5682578225028991</v>
      </c>
    </row>
    <row r="2323" spans="1:10" outlineLevel="2">
      <c r="A2323" s="2459" t="s">
        <v>1669</v>
      </c>
      <c r="B2323" s="2459" t="s">
        <v>1652</v>
      </c>
      <c r="C2323" s="2459" t="s">
        <v>1670</v>
      </c>
      <c r="D2323" s="2460" t="s">
        <v>1671</v>
      </c>
      <c r="E2323" s="2461" t="s">
        <v>1573</v>
      </c>
      <c r="F2323" s="2461" t="s">
        <v>1599</v>
      </c>
      <c r="G2323" s="2461" t="s">
        <v>1409</v>
      </c>
      <c r="H2323" s="2461" t="s">
        <v>1070</v>
      </c>
      <c r="I2323" s="2462">
        <v>1.854697078027185E-3</v>
      </c>
      <c r="J2323" s="2462">
        <v>99.708329438135337</v>
      </c>
    </row>
    <row r="2324" spans="1:10" outlineLevel="2">
      <c r="A2324" s="2459" t="s">
        <v>1669</v>
      </c>
      <c r="B2324" s="2459" t="s">
        <v>1652</v>
      </c>
      <c r="C2324" s="2459" t="s">
        <v>1670</v>
      </c>
      <c r="D2324" s="2460" t="s">
        <v>1671</v>
      </c>
      <c r="E2324" s="2461" t="s">
        <v>1573</v>
      </c>
      <c r="F2324" s="2461" t="s">
        <v>1600</v>
      </c>
      <c r="G2324" s="2461" t="s">
        <v>1412</v>
      </c>
      <c r="H2324" s="2461" t="s">
        <v>1116</v>
      </c>
      <c r="I2324" s="2462">
        <v>6.6095773668593512E-4</v>
      </c>
      <c r="J2324" s="2462">
        <v>15.99032091227544</v>
      </c>
    </row>
    <row r="2325" spans="1:10" outlineLevel="2">
      <c r="A2325" s="2459" t="s">
        <v>1669</v>
      </c>
      <c r="B2325" s="2459" t="s">
        <v>1652</v>
      </c>
      <c r="C2325" s="2459" t="s">
        <v>1670</v>
      </c>
      <c r="D2325" s="2460" t="s">
        <v>1671</v>
      </c>
      <c r="E2325" s="2461" t="s">
        <v>1573</v>
      </c>
      <c r="F2325" s="2461" t="s">
        <v>1601</v>
      </c>
      <c r="G2325" s="2461" t="s">
        <v>1412</v>
      </c>
      <c r="H2325" s="2461" t="s">
        <v>1116</v>
      </c>
      <c r="I2325" s="2462">
        <v>3.2893427975661939E-3</v>
      </c>
      <c r="J2325" s="2462">
        <v>231.98121327377604</v>
      </c>
    </row>
    <row r="2326" spans="1:10" outlineLevel="2">
      <c r="A2326" s="2459" t="s">
        <v>1669</v>
      </c>
      <c r="B2326" s="2459" t="s">
        <v>1652</v>
      </c>
      <c r="C2326" s="2459" t="s">
        <v>1670</v>
      </c>
      <c r="D2326" s="2460" t="s">
        <v>1671</v>
      </c>
      <c r="E2326" s="2461" t="s">
        <v>1573</v>
      </c>
      <c r="F2326" s="2461" t="s">
        <v>1602</v>
      </c>
      <c r="G2326" s="2461" t="s">
        <v>1412</v>
      </c>
      <c r="H2326" s="2461" t="s">
        <v>1116</v>
      </c>
      <c r="I2326" s="2462">
        <v>1.9323151221572576E-3</v>
      </c>
      <c r="J2326" s="2462">
        <v>101.32460184005845</v>
      </c>
    </row>
    <row r="2327" spans="1:10" outlineLevel="2">
      <c r="A2327" s="2459" t="s">
        <v>1669</v>
      </c>
      <c r="B2327" s="2459" t="s">
        <v>1652</v>
      </c>
      <c r="C2327" s="2459" t="s">
        <v>1670</v>
      </c>
      <c r="D2327" s="2460" t="s">
        <v>1671</v>
      </c>
      <c r="E2327" s="2461" t="s">
        <v>1573</v>
      </c>
      <c r="F2327" s="2461" t="s">
        <v>1603</v>
      </c>
      <c r="G2327" s="2461" t="s">
        <v>1412</v>
      </c>
      <c r="H2327" s="2461" t="s">
        <v>1116</v>
      </c>
      <c r="I2327" s="2462">
        <v>2.2872361649024552E-3</v>
      </c>
      <c r="J2327" s="2462">
        <v>102.74712079724236</v>
      </c>
    </row>
    <row r="2328" spans="1:10" outlineLevel="2">
      <c r="A2328" s="2459" t="s">
        <v>1669</v>
      </c>
      <c r="B2328" s="2459" t="s">
        <v>1652</v>
      </c>
      <c r="C2328" s="2459" t="s">
        <v>1670</v>
      </c>
      <c r="D2328" s="2460" t="s">
        <v>1671</v>
      </c>
      <c r="E2328" s="2461" t="s">
        <v>1573</v>
      </c>
      <c r="F2328" s="2461" t="s">
        <v>1604</v>
      </c>
      <c r="G2328" s="2461" t="s">
        <v>1412</v>
      </c>
      <c r="H2328" s="2461" t="s">
        <v>1116</v>
      </c>
      <c r="I2328" s="2462">
        <v>1.4486312227422E-4</v>
      </c>
      <c r="J2328" s="2462">
        <v>3.9625624926835061</v>
      </c>
    </row>
    <row r="2329" spans="1:10" outlineLevel="2">
      <c r="A2329" s="2459" t="s">
        <v>1669</v>
      </c>
      <c r="B2329" s="2459" t="s">
        <v>1652</v>
      </c>
      <c r="C2329" s="2459" t="s">
        <v>1670</v>
      </c>
      <c r="D2329" s="2460" t="s">
        <v>1671</v>
      </c>
      <c r="E2329" s="2461" t="s">
        <v>1573</v>
      </c>
      <c r="F2329" s="2461" t="s">
        <v>1605</v>
      </c>
      <c r="G2329" s="2461" t="s">
        <v>1412</v>
      </c>
      <c r="H2329" s="2461" t="s">
        <v>1116</v>
      </c>
      <c r="I2329" s="2462">
        <v>1.6025156195523842E-2</v>
      </c>
      <c r="J2329" s="2462">
        <v>526.68918207624824</v>
      </c>
    </row>
    <row r="2330" spans="1:10" outlineLevel="2">
      <c r="A2330" s="2459" t="s">
        <v>1669</v>
      </c>
      <c r="B2330" s="2459" t="s">
        <v>1652</v>
      </c>
      <c r="C2330" s="2459" t="s">
        <v>1670</v>
      </c>
      <c r="D2330" s="2460" t="s">
        <v>1671</v>
      </c>
      <c r="E2330" s="2461" t="s">
        <v>1573</v>
      </c>
      <c r="F2330" s="2461" t="s">
        <v>1606</v>
      </c>
      <c r="G2330" s="2461" t="s">
        <v>1412</v>
      </c>
      <c r="H2330" s="2461" t="s">
        <v>1116</v>
      </c>
      <c r="I2330" s="2462">
        <v>1.8035604627540576E-3</v>
      </c>
      <c r="J2330" s="2462">
        <v>146.20937367891872</v>
      </c>
    </row>
    <row r="2331" spans="1:10" outlineLevel="2">
      <c r="A2331" s="2459" t="s">
        <v>1669</v>
      </c>
      <c r="B2331" s="2459" t="s">
        <v>1652</v>
      </c>
      <c r="C2331" s="2459" t="s">
        <v>1670</v>
      </c>
      <c r="D2331" s="2460" t="s">
        <v>1671</v>
      </c>
      <c r="E2331" s="2461" t="s">
        <v>1573</v>
      </c>
      <c r="F2331" s="2461" t="s">
        <v>1607</v>
      </c>
      <c r="G2331" s="2461" t="s">
        <v>1439</v>
      </c>
      <c r="H2331" s="2461" t="s">
        <v>1440</v>
      </c>
      <c r="I2331" s="2462">
        <v>2.4205043883619344E-6</v>
      </c>
      <c r="J2331" s="2462">
        <v>6.0667229383580074E-2</v>
      </c>
    </row>
    <row r="2332" spans="1:10" outlineLevel="2">
      <c r="A2332" s="2459" t="s">
        <v>1669</v>
      </c>
      <c r="B2332" s="2459" t="s">
        <v>1652</v>
      </c>
      <c r="C2332" s="2459" t="s">
        <v>1670</v>
      </c>
      <c r="D2332" s="2460" t="s">
        <v>1671</v>
      </c>
      <c r="E2332" s="2461" t="s">
        <v>1573</v>
      </c>
      <c r="F2332" s="2461" t="s">
        <v>1608</v>
      </c>
      <c r="G2332" s="2461" t="s">
        <v>1439</v>
      </c>
      <c r="H2332" s="2461" t="s">
        <v>1440</v>
      </c>
      <c r="I2332" s="2462">
        <v>2.1556940905618084E-4</v>
      </c>
      <c r="J2332" s="2462">
        <v>12.075322368461183</v>
      </c>
    </row>
    <row r="2333" spans="1:10" outlineLevel="2">
      <c r="A2333" s="2459" t="s">
        <v>1669</v>
      </c>
      <c r="B2333" s="2459" t="s">
        <v>1652</v>
      </c>
      <c r="C2333" s="2459" t="s">
        <v>1670</v>
      </c>
      <c r="D2333" s="2460" t="s">
        <v>1671</v>
      </c>
      <c r="E2333" s="2461" t="s">
        <v>1573</v>
      </c>
      <c r="F2333" s="2461" t="s">
        <v>1609</v>
      </c>
      <c r="G2333" s="2461" t="s">
        <v>1439</v>
      </c>
      <c r="H2333" s="2461" t="s">
        <v>1440</v>
      </c>
      <c r="I2333" s="2462">
        <v>1.9142899022900926E-2</v>
      </c>
      <c r="J2333" s="2462">
        <v>425.2623447985145</v>
      </c>
    </row>
    <row r="2334" spans="1:10" outlineLevel="2">
      <c r="A2334" s="2459" t="s">
        <v>1669</v>
      </c>
      <c r="B2334" s="2459" t="s">
        <v>1652</v>
      </c>
      <c r="C2334" s="2459" t="s">
        <v>1670</v>
      </c>
      <c r="D2334" s="2460" t="s">
        <v>1671</v>
      </c>
      <c r="E2334" s="2461" t="s">
        <v>1573</v>
      </c>
      <c r="F2334" s="2461" t="s">
        <v>1610</v>
      </c>
      <c r="G2334" s="2461" t="s">
        <v>1439</v>
      </c>
      <c r="H2334" s="2461" t="s">
        <v>1440</v>
      </c>
      <c r="I2334" s="2462">
        <v>5.0342437946641486E-3</v>
      </c>
      <c r="J2334" s="2462">
        <v>87.787665803856044</v>
      </c>
    </row>
    <row r="2335" spans="1:10" outlineLevel="2">
      <c r="A2335" s="2459" t="s">
        <v>1669</v>
      </c>
      <c r="B2335" s="2459" t="s">
        <v>1652</v>
      </c>
      <c r="C2335" s="2459" t="s">
        <v>1670</v>
      </c>
      <c r="D2335" s="2460" t="s">
        <v>1671</v>
      </c>
      <c r="E2335" s="2461" t="s">
        <v>1573</v>
      </c>
      <c r="F2335" s="2461" t="s">
        <v>1611</v>
      </c>
      <c r="G2335" s="2461" t="s">
        <v>1439</v>
      </c>
      <c r="H2335" s="2461" t="s">
        <v>1440</v>
      </c>
      <c r="I2335" s="2462">
        <v>1.1898980986702839E-2</v>
      </c>
      <c r="J2335" s="2462">
        <v>579.71733598499418</v>
      </c>
    </row>
    <row r="2336" spans="1:10" outlineLevel="2">
      <c r="A2336" s="2459" t="s">
        <v>1669</v>
      </c>
      <c r="B2336" s="2459" t="s">
        <v>1652</v>
      </c>
      <c r="C2336" s="2459" t="s">
        <v>1670</v>
      </c>
      <c r="D2336" s="2460" t="s">
        <v>1671</v>
      </c>
      <c r="E2336" s="2461" t="s">
        <v>1573</v>
      </c>
      <c r="F2336" s="2461" t="s">
        <v>1612</v>
      </c>
      <c r="G2336" s="2461" t="s">
        <v>1439</v>
      </c>
      <c r="H2336" s="2461" t="s">
        <v>1440</v>
      </c>
      <c r="I2336" s="2462">
        <v>2.0406242793093634E-3</v>
      </c>
      <c r="J2336" s="2462">
        <v>68.305297045295617</v>
      </c>
    </row>
    <row r="2337" spans="1:10" outlineLevel="2">
      <c r="A2337" s="2459" t="s">
        <v>1669</v>
      </c>
      <c r="B2337" s="2459" t="s">
        <v>1652</v>
      </c>
      <c r="C2337" s="2459" t="s">
        <v>1670</v>
      </c>
      <c r="D2337" s="2460" t="s">
        <v>1671</v>
      </c>
      <c r="E2337" s="2461" t="s">
        <v>1573</v>
      </c>
      <c r="F2337" s="2461" t="s">
        <v>1613</v>
      </c>
      <c r="G2337" s="2461" t="s">
        <v>1439</v>
      </c>
      <c r="H2337" s="2461" t="s">
        <v>1440</v>
      </c>
      <c r="I2337" s="2462">
        <v>5.7371859469934597E-5</v>
      </c>
      <c r="J2337" s="2462">
        <v>1.7344213004758249</v>
      </c>
    </row>
    <row r="2338" spans="1:10" outlineLevel="2">
      <c r="A2338" s="2459" t="s">
        <v>1669</v>
      </c>
      <c r="B2338" s="2459" t="s">
        <v>1652</v>
      </c>
      <c r="C2338" s="2459" t="s">
        <v>1670</v>
      </c>
      <c r="D2338" s="2460" t="s">
        <v>1671</v>
      </c>
      <c r="E2338" s="2461" t="s">
        <v>1573</v>
      </c>
      <c r="F2338" s="2461" t="s">
        <v>1614</v>
      </c>
      <c r="G2338" s="2461" t="s">
        <v>1418</v>
      </c>
      <c r="H2338" s="2461" t="s">
        <v>1452</v>
      </c>
      <c r="I2338" s="2462">
        <v>5.846235162284639E-6</v>
      </c>
      <c r="J2338" s="2462">
        <v>4.9970138606097857E-2</v>
      </c>
    </row>
    <row r="2339" spans="1:10" outlineLevel="2">
      <c r="A2339" s="2459" t="s">
        <v>1669</v>
      </c>
      <c r="B2339" s="2459" t="s">
        <v>1652</v>
      </c>
      <c r="C2339" s="2459" t="s">
        <v>1670</v>
      </c>
      <c r="D2339" s="2460" t="s">
        <v>1671</v>
      </c>
      <c r="E2339" s="2461" t="s">
        <v>1573</v>
      </c>
      <c r="F2339" s="2461" t="s">
        <v>1615</v>
      </c>
      <c r="G2339" s="2461" t="s">
        <v>1418</v>
      </c>
      <c r="H2339" s="2461" t="s">
        <v>1452</v>
      </c>
      <c r="I2339" s="2462">
        <v>3.5364030395817807E-2</v>
      </c>
      <c r="J2339" s="2462">
        <v>2074.8690193367283</v>
      </c>
    </row>
    <row r="2340" spans="1:10" outlineLevel="2">
      <c r="A2340" s="2459" t="s">
        <v>1669</v>
      </c>
      <c r="B2340" s="2459" t="s">
        <v>1652</v>
      </c>
      <c r="C2340" s="2459" t="s">
        <v>1670</v>
      </c>
      <c r="D2340" s="2460" t="s">
        <v>1671</v>
      </c>
      <c r="E2340" s="2461" t="s">
        <v>1573</v>
      </c>
      <c r="F2340" s="2461" t="s">
        <v>1616</v>
      </c>
      <c r="G2340" s="2461" t="s">
        <v>1418</v>
      </c>
      <c r="H2340" s="2461" t="s">
        <v>1452</v>
      </c>
      <c r="I2340" s="2462">
        <v>1.6878893134935535E-3</v>
      </c>
      <c r="J2340" s="2462">
        <v>186.02971095290312</v>
      </c>
    </row>
    <row r="2341" spans="1:10" outlineLevel="2">
      <c r="A2341" s="2459" t="s">
        <v>1669</v>
      </c>
      <c r="B2341" s="2459" t="s">
        <v>1652</v>
      </c>
      <c r="C2341" s="2459" t="s">
        <v>1670</v>
      </c>
      <c r="D2341" s="2460" t="s">
        <v>1671</v>
      </c>
      <c r="E2341" s="2461" t="s">
        <v>1573</v>
      </c>
      <c r="F2341" s="2461" t="s">
        <v>1617</v>
      </c>
      <c r="G2341" s="2461" t="s">
        <v>1418</v>
      </c>
      <c r="H2341" s="2461" t="s">
        <v>1452</v>
      </c>
      <c r="I2341" s="2462">
        <v>1.3407031878448314E-5</v>
      </c>
      <c r="J2341" s="2462">
        <v>1.0296876305781308</v>
      </c>
    </row>
    <row r="2342" spans="1:10" outlineLevel="2">
      <c r="A2342" s="2459" t="s">
        <v>1669</v>
      </c>
      <c r="B2342" s="2459" t="s">
        <v>1652</v>
      </c>
      <c r="C2342" s="2459" t="s">
        <v>1670</v>
      </c>
      <c r="D2342" s="2460" t="s">
        <v>1671</v>
      </c>
      <c r="E2342" s="2461" t="s">
        <v>1573</v>
      </c>
      <c r="F2342" s="2461" t="s">
        <v>1618</v>
      </c>
      <c r="G2342" s="2461" t="s">
        <v>1418</v>
      </c>
      <c r="H2342" s="2461" t="s">
        <v>1452</v>
      </c>
      <c r="I2342" s="2462">
        <v>2.6135083468917496E-6</v>
      </c>
      <c r="J2342" s="2462">
        <v>0.21630594384950333</v>
      </c>
    </row>
    <row r="2343" spans="1:10" outlineLevel="2">
      <c r="A2343" s="2459" t="s">
        <v>1669</v>
      </c>
      <c r="B2343" s="2459" t="s">
        <v>1652</v>
      </c>
      <c r="C2343" s="2459" t="s">
        <v>1670</v>
      </c>
      <c r="D2343" s="2460" t="s">
        <v>1671</v>
      </c>
      <c r="E2343" s="2461" t="s">
        <v>1573</v>
      </c>
      <c r="F2343" s="2461" t="s">
        <v>1619</v>
      </c>
      <c r="G2343" s="2461" t="s">
        <v>1418</v>
      </c>
      <c r="H2343" s="2461" t="s">
        <v>1452</v>
      </c>
      <c r="I2343" s="2462">
        <v>1.7157656242875789E-4</v>
      </c>
      <c r="J2343" s="2462">
        <v>15.776129778000966</v>
      </c>
    </row>
    <row r="2344" spans="1:10" outlineLevel="2">
      <c r="A2344" s="2459" t="s">
        <v>1669</v>
      </c>
      <c r="B2344" s="2459" t="s">
        <v>1652</v>
      </c>
      <c r="C2344" s="2459" t="s">
        <v>1670</v>
      </c>
      <c r="D2344" s="2460" t="s">
        <v>1671</v>
      </c>
      <c r="E2344" s="2461" t="s">
        <v>1573</v>
      </c>
      <c r="F2344" s="2461" t="s">
        <v>1620</v>
      </c>
      <c r="G2344" s="2461" t="s">
        <v>1418</v>
      </c>
      <c r="H2344" s="2461" t="s">
        <v>1452</v>
      </c>
      <c r="I2344" s="2462">
        <v>3.6275686264113025E-7</v>
      </c>
      <c r="J2344" s="2462">
        <v>4.3647693322545332E-2</v>
      </c>
    </row>
    <row r="2345" spans="1:10" outlineLevel="2">
      <c r="A2345" s="2459" t="s">
        <v>1669</v>
      </c>
      <c r="B2345" s="2459" t="s">
        <v>1652</v>
      </c>
      <c r="C2345" s="2459" t="s">
        <v>1670</v>
      </c>
      <c r="D2345" s="2460" t="s">
        <v>1671</v>
      </c>
      <c r="E2345" s="2461" t="s">
        <v>1573</v>
      </c>
      <c r="F2345" s="2461" t="s">
        <v>1621</v>
      </c>
      <c r="G2345" s="2461" t="s">
        <v>1418</v>
      </c>
      <c r="H2345" s="2461" t="s">
        <v>1452</v>
      </c>
      <c r="I2345" s="2462">
        <v>1.5442965299783572E-4</v>
      </c>
      <c r="J2345" s="2462">
        <v>14.587120009370773</v>
      </c>
    </row>
    <row r="2346" spans="1:10" outlineLevel="2">
      <c r="A2346" s="2459" t="s">
        <v>1669</v>
      </c>
      <c r="B2346" s="2459" t="s">
        <v>1652</v>
      </c>
      <c r="C2346" s="2459" t="s">
        <v>1670</v>
      </c>
      <c r="D2346" s="2460" t="s">
        <v>1671</v>
      </c>
      <c r="E2346" s="2461" t="s">
        <v>1573</v>
      </c>
      <c r="F2346" s="2461" t="s">
        <v>1622</v>
      </c>
      <c r="G2346" s="2461" t="s">
        <v>1418</v>
      </c>
      <c r="H2346" s="2461" t="s">
        <v>1452</v>
      </c>
      <c r="I2346" s="2462">
        <v>4.5659873061367672E-4</v>
      </c>
      <c r="J2346" s="2462">
        <v>40.593554823764933</v>
      </c>
    </row>
    <row r="2347" spans="1:10" outlineLevel="2">
      <c r="A2347" s="2459" t="s">
        <v>1669</v>
      </c>
      <c r="B2347" s="2459" t="s">
        <v>1652</v>
      </c>
      <c r="C2347" s="2459" t="s">
        <v>1670</v>
      </c>
      <c r="D2347" s="2460" t="s">
        <v>1671</v>
      </c>
      <c r="E2347" s="2461" t="s">
        <v>1573</v>
      </c>
      <c r="F2347" s="2461" t="s">
        <v>1623</v>
      </c>
      <c r="G2347" s="2461" t="s">
        <v>1418</v>
      </c>
      <c r="H2347" s="2461" t="s">
        <v>1452</v>
      </c>
      <c r="I2347" s="2462">
        <v>6.9248598577450473E-4</v>
      </c>
      <c r="J2347" s="2462">
        <v>29.932534015593685</v>
      </c>
    </row>
    <row r="2348" spans="1:10" outlineLevel="2">
      <c r="A2348" s="2459" t="s">
        <v>1669</v>
      </c>
      <c r="B2348" s="2459" t="s">
        <v>1652</v>
      </c>
      <c r="C2348" s="2459" t="s">
        <v>1670</v>
      </c>
      <c r="D2348" s="2460" t="s">
        <v>1671</v>
      </c>
      <c r="E2348" s="2461" t="s">
        <v>1573</v>
      </c>
      <c r="F2348" s="2461" t="s">
        <v>1624</v>
      </c>
      <c r="G2348" s="2461" t="s">
        <v>1421</v>
      </c>
      <c r="H2348" s="2461" t="s">
        <v>1454</v>
      </c>
      <c r="I2348" s="2462">
        <v>6.2913371559350523E-3</v>
      </c>
      <c r="J2348" s="2462">
        <v>230.05519584948897</v>
      </c>
    </row>
    <row r="2349" spans="1:10" outlineLevel="2">
      <c r="A2349" s="2459" t="s">
        <v>1669</v>
      </c>
      <c r="B2349" s="2459" t="s">
        <v>1652</v>
      </c>
      <c r="C2349" s="2459" t="s">
        <v>1670</v>
      </c>
      <c r="D2349" s="2460" t="s">
        <v>1671</v>
      </c>
      <c r="E2349" s="2461" t="s">
        <v>1573</v>
      </c>
      <c r="F2349" s="2461" t="s">
        <v>1625</v>
      </c>
      <c r="G2349" s="2461" t="s">
        <v>1421</v>
      </c>
      <c r="H2349" s="2461" t="s">
        <v>1454</v>
      </c>
      <c r="I2349" s="2462">
        <v>1.4836910515032195E-3</v>
      </c>
      <c r="J2349" s="2462">
        <v>54.297222040533811</v>
      </c>
    </row>
    <row r="2350" spans="1:10" outlineLevel="2">
      <c r="A2350" s="2459" t="s">
        <v>1669</v>
      </c>
      <c r="B2350" s="2459" t="s">
        <v>1652</v>
      </c>
      <c r="C2350" s="2459" t="s">
        <v>1670</v>
      </c>
      <c r="D2350" s="2460" t="s">
        <v>1671</v>
      </c>
      <c r="E2350" s="2461" t="s">
        <v>1573</v>
      </c>
      <c r="F2350" s="2461" t="s">
        <v>1626</v>
      </c>
      <c r="G2350" s="2461" t="s">
        <v>1421</v>
      </c>
      <c r="H2350" s="2461" t="s">
        <v>1454</v>
      </c>
      <c r="I2350" s="2462">
        <v>4.1640961974066882E-3</v>
      </c>
      <c r="J2350" s="2462">
        <v>150.6409877617981</v>
      </c>
    </row>
    <row r="2351" spans="1:10" outlineLevel="2">
      <c r="A2351" s="2459" t="s">
        <v>1669</v>
      </c>
      <c r="B2351" s="2459" t="s">
        <v>1652</v>
      </c>
      <c r="C2351" s="2459" t="s">
        <v>1670</v>
      </c>
      <c r="D2351" s="2460" t="s">
        <v>1671</v>
      </c>
      <c r="E2351" s="2461" t="s">
        <v>1573</v>
      </c>
      <c r="F2351" s="2461" t="s">
        <v>1627</v>
      </c>
      <c r="G2351" s="2461" t="s">
        <v>1421</v>
      </c>
      <c r="H2351" s="2461" t="s">
        <v>1454</v>
      </c>
      <c r="I2351" s="2462">
        <v>3.5162336210221817E-3</v>
      </c>
      <c r="J2351" s="2462">
        <v>76.48504182030193</v>
      </c>
    </row>
    <row r="2352" spans="1:10" outlineLevel="2">
      <c r="A2352" s="2459" t="s">
        <v>1669</v>
      </c>
      <c r="B2352" s="2459" t="s">
        <v>1652</v>
      </c>
      <c r="C2352" s="2459" t="s">
        <v>1670</v>
      </c>
      <c r="D2352" s="2460" t="s">
        <v>1671</v>
      </c>
      <c r="E2352" s="2461" t="s">
        <v>1573</v>
      </c>
      <c r="F2352" s="2461" t="s">
        <v>1628</v>
      </c>
      <c r="G2352" s="2461" t="s">
        <v>1421</v>
      </c>
      <c r="H2352" s="2461" t="s">
        <v>1454</v>
      </c>
      <c r="I2352" s="2462">
        <v>1.7491284520902291E-4</v>
      </c>
      <c r="J2352" s="2462">
        <v>7.355942807836505</v>
      </c>
    </row>
    <row r="2353" spans="1:10" outlineLevel="2">
      <c r="A2353" s="2459" t="s">
        <v>1669</v>
      </c>
      <c r="B2353" s="2459" t="s">
        <v>1652</v>
      </c>
      <c r="C2353" s="2459" t="s">
        <v>1670</v>
      </c>
      <c r="D2353" s="2460" t="s">
        <v>1671</v>
      </c>
      <c r="E2353" s="2461" t="s">
        <v>1573</v>
      </c>
      <c r="F2353" s="2461" t="s">
        <v>1629</v>
      </c>
      <c r="G2353" s="2461" t="s">
        <v>1421</v>
      </c>
      <c r="H2353" s="2461" t="s">
        <v>1454</v>
      </c>
      <c r="I2353" s="2462">
        <v>2.0235429420103514E-4</v>
      </c>
      <c r="J2353" s="2462">
        <v>6.5105980359593278</v>
      </c>
    </row>
    <row r="2354" spans="1:10" outlineLevel="2">
      <c r="A2354" s="2459" t="s">
        <v>1669</v>
      </c>
      <c r="B2354" s="2459" t="s">
        <v>1652</v>
      </c>
      <c r="C2354" s="2459" t="s">
        <v>1670</v>
      </c>
      <c r="D2354" s="2460" t="s">
        <v>1671</v>
      </c>
      <c r="E2354" s="2461" t="s">
        <v>1573</v>
      </c>
      <c r="F2354" s="2461" t="s">
        <v>1630</v>
      </c>
      <c r="G2354" s="2461" t="s">
        <v>1459</v>
      </c>
      <c r="H2354" s="2461" t="s">
        <v>1460</v>
      </c>
      <c r="I2354" s="2462">
        <v>1.8906654101667503E-2</v>
      </c>
      <c r="J2354" s="2462">
        <v>1239.1017873907717</v>
      </c>
    </row>
    <row r="2355" spans="1:10" outlineLevel="2">
      <c r="A2355" s="2459" t="s">
        <v>1669</v>
      </c>
      <c r="B2355" s="2459" t="s">
        <v>1652</v>
      </c>
      <c r="C2355" s="2459" t="s">
        <v>1670</v>
      </c>
      <c r="D2355" s="2460" t="s">
        <v>1671</v>
      </c>
      <c r="E2355" s="2461" t="s">
        <v>1573</v>
      </c>
      <c r="F2355" s="2461" t="s">
        <v>1631</v>
      </c>
      <c r="G2355" s="2461" t="s">
        <v>1632</v>
      </c>
      <c r="H2355" s="2461" t="s">
        <v>1070</v>
      </c>
      <c r="I2355" s="2462">
        <v>0.29389164014571689</v>
      </c>
      <c r="J2355" s="2462">
        <v>2871.608352927999</v>
      </c>
    </row>
    <row r="2356" spans="1:10" outlineLevel="2">
      <c r="A2356" s="2459" t="s">
        <v>1669</v>
      </c>
      <c r="B2356" s="2459" t="s">
        <v>1652</v>
      </c>
      <c r="C2356" s="2459" t="s">
        <v>1670</v>
      </c>
      <c r="D2356" s="2460" t="s">
        <v>1671</v>
      </c>
      <c r="E2356" s="2461" t="s">
        <v>1573</v>
      </c>
      <c r="F2356" s="2461" t="s">
        <v>1633</v>
      </c>
      <c r="G2356" s="2461" t="s">
        <v>215</v>
      </c>
      <c r="H2356" s="2461" t="s">
        <v>1537</v>
      </c>
      <c r="I2356" s="2462">
        <v>7.1225757340292236E-4</v>
      </c>
      <c r="J2356" s="2462">
        <v>15.879196391078711</v>
      </c>
    </row>
    <row r="2357" spans="1:10" outlineLevel="2">
      <c r="A2357" s="2459" t="s">
        <v>1669</v>
      </c>
      <c r="B2357" s="2459" t="s">
        <v>1652</v>
      </c>
      <c r="C2357" s="2459" t="s">
        <v>1670</v>
      </c>
      <c r="D2357" s="2460" t="s">
        <v>1676</v>
      </c>
      <c r="E2357" s="2461" t="s">
        <v>213</v>
      </c>
      <c r="F2357" s="2461" t="s">
        <v>1635</v>
      </c>
      <c r="G2357" s="2461" t="s">
        <v>1636</v>
      </c>
      <c r="H2357" s="2461" t="s">
        <v>1637</v>
      </c>
      <c r="I2357" s="2462">
        <v>1.8414911267255632E-6</v>
      </c>
      <c r="J2357" s="2462">
        <v>6.1457635206523557E-3</v>
      </c>
    </row>
    <row r="2358" spans="1:10" outlineLevel="2">
      <c r="A2358" s="2459" t="s">
        <v>1669</v>
      </c>
      <c r="B2358" s="2459" t="s">
        <v>1652</v>
      </c>
      <c r="C2358" s="2459" t="s">
        <v>1670</v>
      </c>
      <c r="D2358" s="2460" t="s">
        <v>1676</v>
      </c>
      <c r="E2358" s="2461" t="s">
        <v>1538</v>
      </c>
      <c r="F2358" s="2461" t="s">
        <v>1638</v>
      </c>
      <c r="G2358" s="2461" t="s">
        <v>1636</v>
      </c>
      <c r="H2358" s="2461" t="s">
        <v>1540</v>
      </c>
      <c r="I2358" s="2462">
        <v>2.0459667833806561E-7</v>
      </c>
      <c r="J2358" s="2462">
        <v>3.4291285646411962E-3</v>
      </c>
    </row>
    <row r="2359" spans="1:10" outlineLevel="2">
      <c r="A2359" s="2459" t="s">
        <v>1669</v>
      </c>
      <c r="B2359" s="2459" t="s">
        <v>1652</v>
      </c>
      <c r="C2359" s="2459" t="s">
        <v>1670</v>
      </c>
      <c r="D2359" s="2460" t="s">
        <v>1676</v>
      </c>
      <c r="E2359" s="2461" t="s">
        <v>1573</v>
      </c>
      <c r="F2359" s="2461" t="s">
        <v>1639</v>
      </c>
      <c r="G2359" s="2461" t="s">
        <v>1636</v>
      </c>
      <c r="H2359" s="2461" t="s">
        <v>1637</v>
      </c>
      <c r="I2359" s="2462">
        <v>3.5615224268363827E-6</v>
      </c>
      <c r="J2359" s="2462">
        <v>0.18967225182113637</v>
      </c>
    </row>
    <row r="2360" spans="1:10" outlineLevel="2">
      <c r="A2360" s="2459" t="s">
        <v>1669</v>
      </c>
      <c r="B2360" s="2459" t="s">
        <v>1654</v>
      </c>
      <c r="C2360" s="2459" t="s">
        <v>1672</v>
      </c>
      <c r="D2360" s="2460" t="s">
        <v>1671</v>
      </c>
      <c r="E2360" s="2461" t="s">
        <v>1407</v>
      </c>
      <c r="F2360" s="2461" t="s">
        <v>1408</v>
      </c>
      <c r="G2360" s="2461" t="s">
        <v>1409</v>
      </c>
      <c r="H2360" s="2461" t="s">
        <v>1410</v>
      </c>
      <c r="I2360" s="2462">
        <v>1.5148360596739227E-2</v>
      </c>
      <c r="J2360" s="2462">
        <v>0.2228359395306522</v>
      </c>
    </row>
    <row r="2361" spans="1:10" outlineLevel="2">
      <c r="A2361" s="2459" t="s">
        <v>1669</v>
      </c>
      <c r="B2361" s="2459" t="s">
        <v>1654</v>
      </c>
      <c r="C2361" s="2459" t="s">
        <v>1672</v>
      </c>
      <c r="D2361" s="2460" t="s">
        <v>1671</v>
      </c>
      <c r="E2361" s="2461" t="s">
        <v>1407</v>
      </c>
      <c r="F2361" s="2461" t="s">
        <v>1411</v>
      </c>
      <c r="G2361" s="2461" t="s">
        <v>1412</v>
      </c>
      <c r="H2361" s="2461" t="s">
        <v>1410</v>
      </c>
      <c r="I2361" s="2462">
        <v>2.4964342201654874</v>
      </c>
      <c r="J2361" s="2462">
        <v>405.40627565495311</v>
      </c>
    </row>
    <row r="2362" spans="1:10" outlineLevel="2">
      <c r="A2362" s="2459" t="s">
        <v>1669</v>
      </c>
      <c r="B2362" s="2459" t="s">
        <v>1654</v>
      </c>
      <c r="C2362" s="2459" t="s">
        <v>1672</v>
      </c>
      <c r="D2362" s="2460" t="s">
        <v>1671</v>
      </c>
      <c r="E2362" s="2461" t="s">
        <v>1407</v>
      </c>
      <c r="F2362" s="2461" t="s">
        <v>1413</v>
      </c>
      <c r="G2362" s="2461" t="s">
        <v>1412</v>
      </c>
      <c r="H2362" s="2461" t="s">
        <v>1410</v>
      </c>
      <c r="I2362" s="2462">
        <v>2.0273529973779949E-3</v>
      </c>
      <c r="J2362" s="2462">
        <v>0.34345098974676114</v>
      </c>
    </row>
    <row r="2363" spans="1:10" outlineLevel="2">
      <c r="A2363" s="2459" t="s">
        <v>1669</v>
      </c>
      <c r="B2363" s="2459" t="s">
        <v>1654</v>
      </c>
      <c r="C2363" s="2459" t="s">
        <v>1672</v>
      </c>
      <c r="D2363" s="2460" t="s">
        <v>1671</v>
      </c>
      <c r="E2363" s="2461" t="s">
        <v>1407</v>
      </c>
      <c r="F2363" s="2461" t="s">
        <v>1414</v>
      </c>
      <c r="G2363" s="2461" t="s">
        <v>1412</v>
      </c>
      <c r="H2363" s="2461" t="s">
        <v>1410</v>
      </c>
      <c r="I2363" s="2462">
        <v>1.0187984411698398E-3</v>
      </c>
      <c r="J2363" s="2462">
        <v>0.18715740902515587</v>
      </c>
    </row>
    <row r="2364" spans="1:10" outlineLevel="2">
      <c r="A2364" s="2459" t="s">
        <v>1669</v>
      </c>
      <c r="B2364" s="2459" t="s">
        <v>1654</v>
      </c>
      <c r="C2364" s="2459" t="s">
        <v>1672</v>
      </c>
      <c r="D2364" s="2460" t="s">
        <v>1671</v>
      </c>
      <c r="E2364" s="2461" t="s">
        <v>1407</v>
      </c>
      <c r="F2364" s="2461" t="s">
        <v>1415</v>
      </c>
      <c r="G2364" s="2461" t="s">
        <v>1412</v>
      </c>
      <c r="H2364" s="2461" t="s">
        <v>1410</v>
      </c>
      <c r="I2364" s="2462">
        <v>9.6274536354375266E-3</v>
      </c>
      <c r="J2364" s="2462">
        <v>1.5335678581986762</v>
      </c>
    </row>
    <row r="2365" spans="1:10" outlineLevel="2">
      <c r="A2365" s="2459" t="s">
        <v>1669</v>
      </c>
      <c r="B2365" s="2459" t="s">
        <v>1654</v>
      </c>
      <c r="C2365" s="2459" t="s">
        <v>1672</v>
      </c>
      <c r="D2365" s="2460" t="s">
        <v>1671</v>
      </c>
      <c r="E2365" s="2461" t="s">
        <v>1407</v>
      </c>
      <c r="F2365" s="2461" t="s">
        <v>1416</v>
      </c>
      <c r="G2365" s="2461" t="s">
        <v>1412</v>
      </c>
      <c r="H2365" s="2461" t="s">
        <v>1410</v>
      </c>
      <c r="I2365" s="2462">
        <v>9.3253098426037285E-3</v>
      </c>
      <c r="J2365" s="2462">
        <v>2.2939467189973208</v>
      </c>
    </row>
    <row r="2366" spans="1:10" outlineLevel="2">
      <c r="A2366" s="2459" t="s">
        <v>1669</v>
      </c>
      <c r="B2366" s="2459" t="s">
        <v>1654</v>
      </c>
      <c r="C2366" s="2459" t="s">
        <v>1672</v>
      </c>
      <c r="D2366" s="2460" t="s">
        <v>1671</v>
      </c>
      <c r="E2366" s="2461" t="s">
        <v>1407</v>
      </c>
      <c r="F2366" s="2461" t="s">
        <v>1417</v>
      </c>
      <c r="G2366" s="2461" t="s">
        <v>1418</v>
      </c>
      <c r="H2366" s="2461" t="s">
        <v>1410</v>
      </c>
      <c r="I2366" s="2462">
        <v>4.3000276671004882E-3</v>
      </c>
      <c r="J2366" s="2462">
        <v>5.7116869625895954E-2</v>
      </c>
    </row>
    <row r="2367" spans="1:10" outlineLevel="2">
      <c r="A2367" s="2459" t="s">
        <v>1669</v>
      </c>
      <c r="B2367" s="2459" t="s">
        <v>1654</v>
      </c>
      <c r="C2367" s="2459" t="s">
        <v>1672</v>
      </c>
      <c r="D2367" s="2460" t="s">
        <v>1671</v>
      </c>
      <c r="E2367" s="2461" t="s">
        <v>1407</v>
      </c>
      <c r="F2367" s="2461" t="s">
        <v>1419</v>
      </c>
      <c r="G2367" s="2461" t="s">
        <v>1418</v>
      </c>
      <c r="H2367" s="2461" t="s">
        <v>1410</v>
      </c>
      <c r="I2367" s="2462">
        <v>3.1918405594034624E-2</v>
      </c>
      <c r="J2367" s="2462">
        <v>6.1988648418571062</v>
      </c>
    </row>
    <row r="2368" spans="1:10" outlineLevel="2">
      <c r="A2368" s="2459" t="s">
        <v>1669</v>
      </c>
      <c r="B2368" s="2459" t="s">
        <v>1654</v>
      </c>
      <c r="C2368" s="2459" t="s">
        <v>1672</v>
      </c>
      <c r="D2368" s="2460" t="s">
        <v>1671</v>
      </c>
      <c r="E2368" s="2461" t="s">
        <v>1407</v>
      </c>
      <c r="F2368" s="2461" t="s">
        <v>1420</v>
      </c>
      <c r="G2368" s="2461" t="s">
        <v>1421</v>
      </c>
      <c r="H2368" s="2461" t="s">
        <v>1410</v>
      </c>
      <c r="I2368" s="2462">
        <v>2.2541710911650958</v>
      </c>
      <c r="J2368" s="2462">
        <v>58.501737458761184</v>
      </c>
    </row>
    <row r="2369" spans="1:10" outlineLevel="2">
      <c r="A2369" s="2459" t="s">
        <v>1669</v>
      </c>
      <c r="B2369" s="2459" t="s">
        <v>1654</v>
      </c>
      <c r="C2369" s="2459" t="s">
        <v>1672</v>
      </c>
      <c r="D2369" s="2460" t="s">
        <v>1671</v>
      </c>
      <c r="E2369" s="2461" t="s">
        <v>1407</v>
      </c>
      <c r="F2369" s="2461" t="s">
        <v>1422</v>
      </c>
      <c r="G2369" s="2461" t="s">
        <v>1421</v>
      </c>
      <c r="H2369" s="2461" t="s">
        <v>1410</v>
      </c>
      <c r="I2369" s="2462">
        <v>6.8165806498153209E-2</v>
      </c>
      <c r="J2369" s="2462">
        <v>2.7929733668774821</v>
      </c>
    </row>
    <row r="2370" spans="1:10" outlineLevel="2">
      <c r="A2370" s="2459" t="s">
        <v>1669</v>
      </c>
      <c r="B2370" s="2459" t="s">
        <v>1654</v>
      </c>
      <c r="C2370" s="2459" t="s">
        <v>1672</v>
      </c>
      <c r="D2370" s="2460" t="s">
        <v>1671</v>
      </c>
      <c r="E2370" s="2461" t="s">
        <v>1407</v>
      </c>
      <c r="F2370" s="2461" t="s">
        <v>1423</v>
      </c>
      <c r="G2370" s="2461" t="s">
        <v>1421</v>
      </c>
      <c r="H2370" s="2461" t="s">
        <v>1410</v>
      </c>
      <c r="I2370" s="2462">
        <v>3.5430921073570425E-2</v>
      </c>
      <c r="J2370" s="2462">
        <v>4.0830082970393446</v>
      </c>
    </row>
    <row r="2371" spans="1:10" outlineLevel="2">
      <c r="A2371" s="2459" t="s">
        <v>1669</v>
      </c>
      <c r="B2371" s="2459" t="s">
        <v>1654</v>
      </c>
      <c r="C2371" s="2459" t="s">
        <v>1672</v>
      </c>
      <c r="D2371" s="2460" t="s">
        <v>1671</v>
      </c>
      <c r="E2371" s="2461" t="s">
        <v>1407</v>
      </c>
      <c r="F2371" s="2461" t="s">
        <v>1424</v>
      </c>
      <c r="G2371" s="2461" t="s">
        <v>1421</v>
      </c>
      <c r="H2371" s="2461" t="s">
        <v>1410</v>
      </c>
      <c r="I2371" s="2462">
        <v>0.69287000915087105</v>
      </c>
      <c r="J2371" s="2462">
        <v>144.99366440532967</v>
      </c>
    </row>
    <row r="2372" spans="1:10" outlineLevel="2">
      <c r="A2372" s="2459" t="s">
        <v>1669</v>
      </c>
      <c r="B2372" s="2459" t="s">
        <v>1654</v>
      </c>
      <c r="C2372" s="2459" t="s">
        <v>1672</v>
      </c>
      <c r="D2372" s="2460" t="s">
        <v>1671</v>
      </c>
      <c r="E2372" s="2461" t="s">
        <v>1407</v>
      </c>
      <c r="F2372" s="2461" t="s">
        <v>1641</v>
      </c>
      <c r="G2372" s="2461" t="s">
        <v>1412</v>
      </c>
      <c r="H2372" s="2461" t="s">
        <v>1410</v>
      </c>
      <c r="I2372" s="2462">
        <v>1.4680927602450265E-2</v>
      </c>
      <c r="J2372" s="2462">
        <v>3.3362188520853286</v>
      </c>
    </row>
    <row r="2373" spans="1:10" outlineLevel="2">
      <c r="A2373" s="2459" t="s">
        <v>1669</v>
      </c>
      <c r="B2373" s="2459" t="s">
        <v>1654</v>
      </c>
      <c r="C2373" s="2459" t="s">
        <v>1672</v>
      </c>
      <c r="D2373" s="2460" t="s">
        <v>1671</v>
      </c>
      <c r="E2373" s="2461" t="s">
        <v>213</v>
      </c>
      <c r="F2373" s="2461" t="s">
        <v>1425</v>
      </c>
      <c r="G2373" s="2461" t="s">
        <v>1426</v>
      </c>
      <c r="H2373" s="2461" t="s">
        <v>1427</v>
      </c>
      <c r="I2373" s="2462">
        <v>1.0451538528513407</v>
      </c>
      <c r="J2373" s="2462">
        <v>300.30644491155169</v>
      </c>
    </row>
    <row r="2374" spans="1:10" outlineLevel="2">
      <c r="A2374" s="2459" t="s">
        <v>1669</v>
      </c>
      <c r="B2374" s="2459" t="s">
        <v>1654</v>
      </c>
      <c r="C2374" s="2459" t="s">
        <v>1672</v>
      </c>
      <c r="D2374" s="2460" t="s">
        <v>1671</v>
      </c>
      <c r="E2374" s="2461" t="s">
        <v>213</v>
      </c>
      <c r="F2374" s="2461" t="s">
        <v>1428</v>
      </c>
      <c r="G2374" s="2461" t="s">
        <v>1426</v>
      </c>
      <c r="H2374" s="2461" t="s">
        <v>1427</v>
      </c>
      <c r="I2374" s="2462">
        <v>0.31925336433118789</v>
      </c>
      <c r="J2374" s="2462">
        <v>128.96965423060055</v>
      </c>
    </row>
    <row r="2375" spans="1:10" outlineLevel="2">
      <c r="A2375" s="2459" t="s">
        <v>1669</v>
      </c>
      <c r="B2375" s="2459" t="s">
        <v>1654</v>
      </c>
      <c r="C2375" s="2459" t="s">
        <v>1672</v>
      </c>
      <c r="D2375" s="2460" t="s">
        <v>1671</v>
      </c>
      <c r="E2375" s="2461" t="s">
        <v>213</v>
      </c>
      <c r="F2375" s="2461" t="s">
        <v>1429</v>
      </c>
      <c r="G2375" s="2461" t="s">
        <v>1426</v>
      </c>
      <c r="H2375" s="2461" t="s">
        <v>1427</v>
      </c>
      <c r="I2375" s="2462">
        <v>0.14530940283971489</v>
      </c>
      <c r="J2375" s="2462">
        <v>186.87876091620274</v>
      </c>
    </row>
    <row r="2376" spans="1:10" outlineLevel="2">
      <c r="A2376" s="2459" t="s">
        <v>1669</v>
      </c>
      <c r="B2376" s="2459" t="s">
        <v>1654</v>
      </c>
      <c r="C2376" s="2459" t="s">
        <v>1672</v>
      </c>
      <c r="D2376" s="2460" t="s">
        <v>1671</v>
      </c>
      <c r="E2376" s="2461" t="s">
        <v>213</v>
      </c>
      <c r="F2376" s="2461" t="s">
        <v>1430</v>
      </c>
      <c r="G2376" s="2461" t="s">
        <v>1409</v>
      </c>
      <c r="H2376" s="2461" t="s">
        <v>1070</v>
      </c>
      <c r="I2376" s="2462">
        <v>4.6824421956899578E-2</v>
      </c>
      <c r="J2376" s="2462">
        <v>29.05360610632437</v>
      </c>
    </row>
    <row r="2377" spans="1:10" outlineLevel="2">
      <c r="A2377" s="2459" t="s">
        <v>1669</v>
      </c>
      <c r="B2377" s="2459" t="s">
        <v>1654</v>
      </c>
      <c r="C2377" s="2459" t="s">
        <v>1672</v>
      </c>
      <c r="D2377" s="2460" t="s">
        <v>1671</v>
      </c>
      <c r="E2377" s="2461" t="s">
        <v>213</v>
      </c>
      <c r="F2377" s="2461" t="s">
        <v>1431</v>
      </c>
      <c r="G2377" s="2461" t="s">
        <v>1409</v>
      </c>
      <c r="H2377" s="2461" t="s">
        <v>1070</v>
      </c>
      <c r="I2377" s="2462">
        <v>3.8859324763378042E-3</v>
      </c>
      <c r="J2377" s="2462">
        <v>1.8819814323398925</v>
      </c>
    </row>
    <row r="2378" spans="1:10" outlineLevel="2">
      <c r="A2378" s="2459" t="s">
        <v>1669</v>
      </c>
      <c r="B2378" s="2459" t="s">
        <v>1654</v>
      </c>
      <c r="C2378" s="2459" t="s">
        <v>1672</v>
      </c>
      <c r="D2378" s="2460" t="s">
        <v>1671</v>
      </c>
      <c r="E2378" s="2461" t="s">
        <v>213</v>
      </c>
      <c r="F2378" s="2461" t="s">
        <v>1432</v>
      </c>
      <c r="G2378" s="2461" t="s">
        <v>1409</v>
      </c>
      <c r="H2378" s="2461" t="s">
        <v>1070</v>
      </c>
      <c r="I2378" s="2462">
        <v>4.7092376359556638E-3</v>
      </c>
      <c r="J2378" s="2462">
        <v>2.2495027684312534</v>
      </c>
    </row>
    <row r="2379" spans="1:10" outlineLevel="2">
      <c r="A2379" s="2459" t="s">
        <v>1669</v>
      </c>
      <c r="B2379" s="2459" t="s">
        <v>1654</v>
      </c>
      <c r="C2379" s="2459" t="s">
        <v>1672</v>
      </c>
      <c r="D2379" s="2460" t="s">
        <v>1671</v>
      </c>
      <c r="E2379" s="2461" t="s">
        <v>213</v>
      </c>
      <c r="F2379" s="2461" t="s">
        <v>1433</v>
      </c>
      <c r="G2379" s="2461" t="s">
        <v>1409</v>
      </c>
      <c r="H2379" s="2461" t="s">
        <v>1070</v>
      </c>
      <c r="I2379" s="2462">
        <v>3.4826856304791934E-5</v>
      </c>
      <c r="J2379" s="2462">
        <v>1.5586628019641981E-2</v>
      </c>
    </row>
    <row r="2380" spans="1:10" outlineLevel="2">
      <c r="A2380" s="2459" t="s">
        <v>1669</v>
      </c>
      <c r="B2380" s="2459" t="s">
        <v>1654</v>
      </c>
      <c r="C2380" s="2459" t="s">
        <v>1672</v>
      </c>
      <c r="D2380" s="2460" t="s">
        <v>1671</v>
      </c>
      <c r="E2380" s="2461" t="s">
        <v>213</v>
      </c>
      <c r="F2380" s="2461" t="s">
        <v>1434</v>
      </c>
      <c r="G2380" s="2461" t="s">
        <v>1409</v>
      </c>
      <c r="H2380" s="2461" t="s">
        <v>1070</v>
      </c>
      <c r="I2380" s="2462">
        <v>0.13424072766544273</v>
      </c>
      <c r="J2380" s="2462">
        <v>74.957803933243468</v>
      </c>
    </row>
    <row r="2381" spans="1:10" outlineLevel="2">
      <c r="A2381" s="2459" t="s">
        <v>1669</v>
      </c>
      <c r="B2381" s="2459" t="s">
        <v>1654</v>
      </c>
      <c r="C2381" s="2459" t="s">
        <v>1672</v>
      </c>
      <c r="D2381" s="2460" t="s">
        <v>1671</v>
      </c>
      <c r="E2381" s="2461" t="s">
        <v>213</v>
      </c>
      <c r="F2381" s="2461" t="s">
        <v>1435</v>
      </c>
      <c r="G2381" s="2461" t="s">
        <v>1409</v>
      </c>
      <c r="H2381" s="2461" t="s">
        <v>1070</v>
      </c>
      <c r="I2381" s="2462">
        <v>9.8152333006193502E-4</v>
      </c>
      <c r="J2381" s="2462">
        <v>0.43927767743356738</v>
      </c>
    </row>
    <row r="2382" spans="1:10" outlineLevel="2">
      <c r="A2382" s="2459" t="s">
        <v>1669</v>
      </c>
      <c r="B2382" s="2459" t="s">
        <v>1654</v>
      </c>
      <c r="C2382" s="2459" t="s">
        <v>1672</v>
      </c>
      <c r="D2382" s="2460" t="s">
        <v>1671</v>
      </c>
      <c r="E2382" s="2461" t="s">
        <v>213</v>
      </c>
      <c r="F2382" s="2461" t="s">
        <v>1436</v>
      </c>
      <c r="G2382" s="2461" t="s">
        <v>1412</v>
      </c>
      <c r="H2382" s="2461" t="s">
        <v>1116</v>
      </c>
      <c r="I2382" s="2462">
        <v>2.4724695153726835E-3</v>
      </c>
      <c r="J2382" s="2462">
        <v>1.1065454658329716</v>
      </c>
    </row>
    <row r="2383" spans="1:10" outlineLevel="2">
      <c r="A2383" s="2459" t="s">
        <v>1669</v>
      </c>
      <c r="B2383" s="2459" t="s">
        <v>1654</v>
      </c>
      <c r="C2383" s="2459" t="s">
        <v>1672</v>
      </c>
      <c r="D2383" s="2460" t="s">
        <v>1671</v>
      </c>
      <c r="E2383" s="2461" t="s">
        <v>213</v>
      </c>
      <c r="F2383" s="2461" t="s">
        <v>1437</v>
      </c>
      <c r="G2383" s="2461" t="s">
        <v>1412</v>
      </c>
      <c r="H2383" s="2461" t="s">
        <v>1116</v>
      </c>
      <c r="I2383" s="2462">
        <v>1.8919700392122329E-4</v>
      </c>
      <c r="J2383" s="2462">
        <v>8.4674337213778594E-2</v>
      </c>
    </row>
    <row r="2384" spans="1:10" outlineLevel="2">
      <c r="A2384" s="2459" t="s">
        <v>1669</v>
      </c>
      <c r="B2384" s="2459" t="s">
        <v>1654</v>
      </c>
      <c r="C2384" s="2459" t="s">
        <v>1672</v>
      </c>
      <c r="D2384" s="2460" t="s">
        <v>1671</v>
      </c>
      <c r="E2384" s="2461" t="s">
        <v>213</v>
      </c>
      <c r="F2384" s="2461" t="s">
        <v>1438</v>
      </c>
      <c r="G2384" s="2461" t="s">
        <v>1439</v>
      </c>
      <c r="H2384" s="2461" t="s">
        <v>1440</v>
      </c>
      <c r="I2384" s="2462">
        <v>1.3756331990657164E-2</v>
      </c>
      <c r="J2384" s="2462">
        <v>7.5338778937855277</v>
      </c>
    </row>
    <row r="2385" spans="1:10" outlineLevel="2">
      <c r="A2385" s="2459" t="s">
        <v>1669</v>
      </c>
      <c r="B2385" s="2459" t="s">
        <v>1654</v>
      </c>
      <c r="C2385" s="2459" t="s">
        <v>1672</v>
      </c>
      <c r="D2385" s="2460" t="s">
        <v>1671</v>
      </c>
      <c r="E2385" s="2461" t="s">
        <v>213</v>
      </c>
      <c r="F2385" s="2461" t="s">
        <v>1441</v>
      </c>
      <c r="G2385" s="2461" t="s">
        <v>1439</v>
      </c>
      <c r="H2385" s="2461" t="s">
        <v>1440</v>
      </c>
      <c r="I2385" s="2462">
        <v>8.4550287584113121E-2</v>
      </c>
      <c r="J2385" s="2462">
        <v>45.441168696166677</v>
      </c>
    </row>
    <row r="2386" spans="1:10" outlineLevel="2">
      <c r="A2386" s="2459" t="s">
        <v>1669</v>
      </c>
      <c r="B2386" s="2459" t="s">
        <v>1654</v>
      </c>
      <c r="C2386" s="2459" t="s">
        <v>1672</v>
      </c>
      <c r="D2386" s="2460" t="s">
        <v>1671</v>
      </c>
      <c r="E2386" s="2461" t="s">
        <v>213</v>
      </c>
      <c r="F2386" s="2461" t="s">
        <v>1442</v>
      </c>
      <c r="G2386" s="2461" t="s">
        <v>1439</v>
      </c>
      <c r="H2386" s="2461" t="s">
        <v>1440</v>
      </c>
      <c r="I2386" s="2462">
        <v>0.19361373112979019</v>
      </c>
      <c r="J2386" s="2462">
        <v>100.59148475754752</v>
      </c>
    </row>
    <row r="2387" spans="1:10" outlineLevel="2">
      <c r="A2387" s="2459" t="s">
        <v>1669</v>
      </c>
      <c r="B2387" s="2459" t="s">
        <v>1654</v>
      </c>
      <c r="C2387" s="2459" t="s">
        <v>1672</v>
      </c>
      <c r="D2387" s="2460" t="s">
        <v>1671</v>
      </c>
      <c r="E2387" s="2461" t="s">
        <v>213</v>
      </c>
      <c r="F2387" s="2461" t="s">
        <v>1443</v>
      </c>
      <c r="G2387" s="2461" t="s">
        <v>1439</v>
      </c>
      <c r="H2387" s="2461" t="s">
        <v>1440</v>
      </c>
      <c r="I2387" s="2462">
        <v>0.79947106186591077</v>
      </c>
      <c r="J2387" s="2462">
        <v>437.63350579316852</v>
      </c>
    </row>
    <row r="2388" spans="1:10" outlineLevel="2">
      <c r="A2388" s="2459" t="s">
        <v>1669</v>
      </c>
      <c r="B2388" s="2459" t="s">
        <v>1654</v>
      </c>
      <c r="C2388" s="2459" t="s">
        <v>1672</v>
      </c>
      <c r="D2388" s="2460" t="s">
        <v>1671</v>
      </c>
      <c r="E2388" s="2461" t="s">
        <v>213</v>
      </c>
      <c r="F2388" s="2461" t="s">
        <v>1444</v>
      </c>
      <c r="G2388" s="2461" t="s">
        <v>1439</v>
      </c>
      <c r="H2388" s="2461" t="s">
        <v>1440</v>
      </c>
      <c r="I2388" s="2462">
        <v>0.23784357868112144</v>
      </c>
      <c r="J2388" s="2462">
        <v>139.6997610794717</v>
      </c>
    </row>
    <row r="2389" spans="1:10" outlineLevel="2">
      <c r="A2389" s="2459" t="s">
        <v>1669</v>
      </c>
      <c r="B2389" s="2459" t="s">
        <v>1654</v>
      </c>
      <c r="C2389" s="2459" t="s">
        <v>1672</v>
      </c>
      <c r="D2389" s="2460" t="s">
        <v>1671</v>
      </c>
      <c r="E2389" s="2461" t="s">
        <v>213</v>
      </c>
      <c r="F2389" s="2461" t="s">
        <v>1445</v>
      </c>
      <c r="G2389" s="2461" t="s">
        <v>1439</v>
      </c>
      <c r="H2389" s="2461" t="s">
        <v>1440</v>
      </c>
      <c r="I2389" s="2462">
        <v>0.7564884466435583</v>
      </c>
      <c r="J2389" s="2462">
        <v>382.43307034732715</v>
      </c>
    </row>
    <row r="2390" spans="1:10" outlineLevel="2">
      <c r="A2390" s="2459" t="s">
        <v>1669</v>
      </c>
      <c r="B2390" s="2459" t="s">
        <v>1654</v>
      </c>
      <c r="C2390" s="2459" t="s">
        <v>1672</v>
      </c>
      <c r="D2390" s="2460" t="s">
        <v>1671</v>
      </c>
      <c r="E2390" s="2461" t="s">
        <v>213</v>
      </c>
      <c r="F2390" s="2461" t="s">
        <v>1446</v>
      </c>
      <c r="G2390" s="2461" t="s">
        <v>1439</v>
      </c>
      <c r="H2390" s="2461" t="s">
        <v>1440</v>
      </c>
      <c r="I2390" s="2462">
        <v>0.16764305884904895</v>
      </c>
      <c r="J2390" s="2462">
        <v>89.910425560706727</v>
      </c>
    </row>
    <row r="2391" spans="1:10" outlineLevel="2">
      <c r="A2391" s="2459" t="s">
        <v>1669</v>
      </c>
      <c r="B2391" s="2459" t="s">
        <v>1654</v>
      </c>
      <c r="C2391" s="2459" t="s">
        <v>1672</v>
      </c>
      <c r="D2391" s="2460" t="s">
        <v>1671</v>
      </c>
      <c r="E2391" s="2461" t="s">
        <v>213</v>
      </c>
      <c r="F2391" s="2461" t="s">
        <v>1447</v>
      </c>
      <c r="G2391" s="2461" t="s">
        <v>1439</v>
      </c>
      <c r="H2391" s="2461" t="s">
        <v>1440</v>
      </c>
      <c r="I2391" s="2462">
        <v>0.66767157562070645</v>
      </c>
      <c r="J2391" s="2462">
        <v>357.10086090046059</v>
      </c>
    </row>
    <row r="2392" spans="1:10" outlineLevel="2">
      <c r="A2392" s="2459" t="s">
        <v>1669</v>
      </c>
      <c r="B2392" s="2459" t="s">
        <v>1654</v>
      </c>
      <c r="C2392" s="2459" t="s">
        <v>1672</v>
      </c>
      <c r="D2392" s="2460" t="s">
        <v>1671</v>
      </c>
      <c r="E2392" s="2461" t="s">
        <v>213</v>
      </c>
      <c r="F2392" s="2461" t="s">
        <v>1448</v>
      </c>
      <c r="G2392" s="2461" t="s">
        <v>1439</v>
      </c>
      <c r="H2392" s="2461" t="s">
        <v>1440</v>
      </c>
      <c r="I2392" s="2462">
        <v>0.30383575407399316</v>
      </c>
      <c r="J2392" s="2462">
        <v>44.485513755693034</v>
      </c>
    </row>
    <row r="2393" spans="1:10" outlineLevel="2">
      <c r="A2393" s="2459" t="s">
        <v>1669</v>
      </c>
      <c r="B2393" s="2459" t="s">
        <v>1654</v>
      </c>
      <c r="C2393" s="2459" t="s">
        <v>1672</v>
      </c>
      <c r="D2393" s="2460" t="s">
        <v>1671</v>
      </c>
      <c r="E2393" s="2461" t="s">
        <v>213</v>
      </c>
      <c r="F2393" s="2461" t="s">
        <v>1449</v>
      </c>
      <c r="G2393" s="2461" t="s">
        <v>1439</v>
      </c>
      <c r="H2393" s="2461" t="s">
        <v>1440</v>
      </c>
      <c r="I2393" s="2462">
        <v>0.88808719380169387</v>
      </c>
      <c r="J2393" s="2462">
        <v>130.02402791229846</v>
      </c>
    </row>
    <row r="2394" spans="1:10" outlineLevel="2">
      <c r="A2394" s="2459" t="s">
        <v>1669</v>
      </c>
      <c r="B2394" s="2459" t="s">
        <v>1654</v>
      </c>
      <c r="C2394" s="2459" t="s">
        <v>1672</v>
      </c>
      <c r="D2394" s="2460" t="s">
        <v>1671</v>
      </c>
      <c r="E2394" s="2461" t="s">
        <v>213</v>
      </c>
      <c r="F2394" s="2461" t="s">
        <v>1450</v>
      </c>
      <c r="G2394" s="2461" t="s">
        <v>1439</v>
      </c>
      <c r="H2394" s="2461" t="s">
        <v>1440</v>
      </c>
      <c r="I2394" s="2462">
        <v>3.8188231375704449E-4</v>
      </c>
      <c r="J2394" s="2462">
        <v>0.19055190044304193</v>
      </c>
    </row>
    <row r="2395" spans="1:10" outlineLevel="2">
      <c r="A2395" s="2459" t="s">
        <v>1669</v>
      </c>
      <c r="B2395" s="2459" t="s">
        <v>1654</v>
      </c>
      <c r="C2395" s="2459" t="s">
        <v>1672</v>
      </c>
      <c r="D2395" s="2460" t="s">
        <v>1671</v>
      </c>
      <c r="E2395" s="2461" t="s">
        <v>213</v>
      </c>
      <c r="F2395" s="2461" t="s">
        <v>1451</v>
      </c>
      <c r="G2395" s="2461" t="s">
        <v>1418</v>
      </c>
      <c r="H2395" s="2461" t="s">
        <v>1452</v>
      </c>
      <c r="I2395" s="2462">
        <v>5.340059264180646E-4</v>
      </c>
      <c r="J2395" s="2462">
        <v>0.32474115610737087</v>
      </c>
    </row>
    <row r="2396" spans="1:10" outlineLevel="2">
      <c r="A2396" s="2459" t="s">
        <v>1669</v>
      </c>
      <c r="B2396" s="2459" t="s">
        <v>1654</v>
      </c>
      <c r="C2396" s="2459" t="s">
        <v>1672</v>
      </c>
      <c r="D2396" s="2460" t="s">
        <v>1671</v>
      </c>
      <c r="E2396" s="2461" t="s">
        <v>213</v>
      </c>
      <c r="F2396" s="2461" t="s">
        <v>1453</v>
      </c>
      <c r="G2396" s="2461" t="s">
        <v>1421</v>
      </c>
      <c r="H2396" s="2461" t="s">
        <v>1454</v>
      </c>
      <c r="I2396" s="2462">
        <v>1.9865452929281553E-2</v>
      </c>
      <c r="J2396" s="2462">
        <v>9.8355678866570209</v>
      </c>
    </row>
    <row r="2397" spans="1:10" outlineLevel="2">
      <c r="A2397" s="2459" t="s">
        <v>1669</v>
      </c>
      <c r="B2397" s="2459" t="s">
        <v>1654</v>
      </c>
      <c r="C2397" s="2459" t="s">
        <v>1672</v>
      </c>
      <c r="D2397" s="2460" t="s">
        <v>1671</v>
      </c>
      <c r="E2397" s="2461" t="s">
        <v>213</v>
      </c>
      <c r="F2397" s="2461" t="s">
        <v>1455</v>
      </c>
      <c r="G2397" s="2461" t="s">
        <v>1421</v>
      </c>
      <c r="H2397" s="2461" t="s">
        <v>1454</v>
      </c>
      <c r="I2397" s="2462">
        <v>0.12677314985618465</v>
      </c>
      <c r="J2397" s="2462">
        <v>65.614263780357788</v>
      </c>
    </row>
    <row r="2398" spans="1:10" outlineLevel="2">
      <c r="A2398" s="2459" t="s">
        <v>1669</v>
      </c>
      <c r="B2398" s="2459" t="s">
        <v>1654</v>
      </c>
      <c r="C2398" s="2459" t="s">
        <v>1672</v>
      </c>
      <c r="D2398" s="2460" t="s">
        <v>1671</v>
      </c>
      <c r="E2398" s="2461" t="s">
        <v>213</v>
      </c>
      <c r="F2398" s="2461" t="s">
        <v>1456</v>
      </c>
      <c r="G2398" s="2461" t="s">
        <v>1421</v>
      </c>
      <c r="H2398" s="2461" t="s">
        <v>1454</v>
      </c>
      <c r="I2398" s="2462">
        <v>5.0848494312411334E-5</v>
      </c>
      <c r="J2398" s="2462">
        <v>2.2757062012764076E-2</v>
      </c>
    </row>
    <row r="2399" spans="1:10" outlineLevel="2">
      <c r="A2399" s="2459" t="s">
        <v>1669</v>
      </c>
      <c r="B2399" s="2459" t="s">
        <v>1654</v>
      </c>
      <c r="C2399" s="2459" t="s">
        <v>1672</v>
      </c>
      <c r="D2399" s="2460" t="s">
        <v>1671</v>
      </c>
      <c r="E2399" s="2461" t="s">
        <v>213</v>
      </c>
      <c r="F2399" s="2461" t="s">
        <v>1457</v>
      </c>
      <c r="G2399" s="2461" t="s">
        <v>1421</v>
      </c>
      <c r="H2399" s="2461" t="s">
        <v>1454</v>
      </c>
      <c r="I2399" s="2462">
        <v>8.8695791104640234E-4</v>
      </c>
      <c r="J2399" s="2462">
        <v>0.3969553351237895</v>
      </c>
    </row>
    <row r="2400" spans="1:10" outlineLevel="2">
      <c r="A2400" s="2459" t="s">
        <v>1669</v>
      </c>
      <c r="B2400" s="2459" t="s">
        <v>1654</v>
      </c>
      <c r="C2400" s="2459" t="s">
        <v>1672</v>
      </c>
      <c r="D2400" s="2460" t="s">
        <v>1671</v>
      </c>
      <c r="E2400" s="2461" t="s">
        <v>213</v>
      </c>
      <c r="F2400" s="2461" t="s">
        <v>1458</v>
      </c>
      <c r="G2400" s="2461" t="s">
        <v>1459</v>
      </c>
      <c r="H2400" s="2461" t="s">
        <v>1460</v>
      </c>
      <c r="I2400" s="2462">
        <v>1.0319051835241701E-2</v>
      </c>
      <c r="J2400" s="2462">
        <v>5.9574973805555196</v>
      </c>
    </row>
    <row r="2401" spans="1:10" outlineLevel="2">
      <c r="A2401" s="2459" t="s">
        <v>1669</v>
      </c>
      <c r="B2401" s="2459" t="s">
        <v>1654</v>
      </c>
      <c r="C2401" s="2459" t="s">
        <v>1672</v>
      </c>
      <c r="D2401" s="2460" t="s">
        <v>1671</v>
      </c>
      <c r="E2401" s="2461" t="s">
        <v>213</v>
      </c>
      <c r="F2401" s="2461" t="s">
        <v>1461</v>
      </c>
      <c r="G2401" s="2461" t="s">
        <v>1426</v>
      </c>
      <c r="H2401" s="2461" t="s">
        <v>1427</v>
      </c>
      <c r="I2401" s="2462">
        <v>0.19813128419172713</v>
      </c>
      <c r="J2401" s="2462">
        <v>140.05681947903344</v>
      </c>
    </row>
    <row r="2402" spans="1:10" outlineLevel="2">
      <c r="A2402" s="2459" t="s">
        <v>1669</v>
      </c>
      <c r="B2402" s="2459" t="s">
        <v>1654</v>
      </c>
      <c r="C2402" s="2459" t="s">
        <v>1672</v>
      </c>
      <c r="D2402" s="2460" t="s">
        <v>1671</v>
      </c>
      <c r="E2402" s="2461" t="s">
        <v>213</v>
      </c>
      <c r="F2402" s="2461" t="s">
        <v>1462</v>
      </c>
      <c r="G2402" s="2461" t="s">
        <v>1426</v>
      </c>
      <c r="H2402" s="2461" t="s">
        <v>1427</v>
      </c>
      <c r="I2402" s="2462">
        <v>1.4600340195939578</v>
      </c>
      <c r="J2402" s="2462">
        <v>1331.4899696750972</v>
      </c>
    </row>
    <row r="2403" spans="1:10" outlineLevel="2">
      <c r="A2403" s="2459" t="s">
        <v>1669</v>
      </c>
      <c r="B2403" s="2459" t="s">
        <v>1654</v>
      </c>
      <c r="C2403" s="2459" t="s">
        <v>1672</v>
      </c>
      <c r="D2403" s="2460" t="s">
        <v>1671</v>
      </c>
      <c r="E2403" s="2461" t="s">
        <v>213</v>
      </c>
      <c r="F2403" s="2461" t="s">
        <v>1463</v>
      </c>
      <c r="G2403" s="2461" t="s">
        <v>1426</v>
      </c>
      <c r="H2403" s="2461" t="s">
        <v>1427</v>
      </c>
      <c r="I2403" s="2462">
        <v>0.61714539401936397</v>
      </c>
      <c r="J2403" s="2462">
        <v>819.8350844788572</v>
      </c>
    </row>
    <row r="2404" spans="1:10" outlineLevel="2">
      <c r="A2404" s="2459" t="s">
        <v>1669</v>
      </c>
      <c r="B2404" s="2459" t="s">
        <v>1654</v>
      </c>
      <c r="C2404" s="2459" t="s">
        <v>1672</v>
      </c>
      <c r="D2404" s="2460" t="s">
        <v>1671</v>
      </c>
      <c r="E2404" s="2461" t="s">
        <v>213</v>
      </c>
      <c r="F2404" s="2461" t="s">
        <v>1464</v>
      </c>
      <c r="G2404" s="2461" t="s">
        <v>1426</v>
      </c>
      <c r="H2404" s="2461" t="s">
        <v>1427</v>
      </c>
      <c r="I2404" s="2462">
        <v>0.19617975366464435</v>
      </c>
      <c r="J2404" s="2462">
        <v>178.58674084854252</v>
      </c>
    </row>
    <row r="2405" spans="1:10" outlineLevel="2">
      <c r="A2405" s="2459" t="s">
        <v>1669</v>
      </c>
      <c r="B2405" s="2459" t="s">
        <v>1654</v>
      </c>
      <c r="C2405" s="2459" t="s">
        <v>1672</v>
      </c>
      <c r="D2405" s="2460" t="s">
        <v>1671</v>
      </c>
      <c r="E2405" s="2461" t="s">
        <v>213</v>
      </c>
      <c r="F2405" s="2461" t="s">
        <v>1465</v>
      </c>
      <c r="G2405" s="2461" t="s">
        <v>1409</v>
      </c>
      <c r="H2405" s="2461" t="s">
        <v>1070</v>
      </c>
      <c r="I2405" s="2462">
        <v>1.5815997988839203E-2</v>
      </c>
      <c r="J2405" s="2462">
        <v>25.754707431589321</v>
      </c>
    </row>
    <row r="2406" spans="1:10" outlineLevel="2">
      <c r="A2406" s="2459" t="s">
        <v>1669</v>
      </c>
      <c r="B2406" s="2459" t="s">
        <v>1654</v>
      </c>
      <c r="C2406" s="2459" t="s">
        <v>1672</v>
      </c>
      <c r="D2406" s="2460" t="s">
        <v>1671</v>
      </c>
      <c r="E2406" s="2461" t="s">
        <v>213</v>
      </c>
      <c r="F2406" s="2461" t="s">
        <v>1466</v>
      </c>
      <c r="G2406" s="2461" t="s">
        <v>1409</v>
      </c>
      <c r="H2406" s="2461" t="s">
        <v>1070</v>
      </c>
      <c r="I2406" s="2462">
        <v>1.2638440756722132E-4</v>
      </c>
      <c r="J2406" s="2462">
        <v>0.19223657892784163</v>
      </c>
    </row>
    <row r="2407" spans="1:10" outlineLevel="2">
      <c r="A2407" s="2459" t="s">
        <v>1669</v>
      </c>
      <c r="B2407" s="2459" t="s">
        <v>1654</v>
      </c>
      <c r="C2407" s="2459" t="s">
        <v>1672</v>
      </c>
      <c r="D2407" s="2460" t="s">
        <v>1671</v>
      </c>
      <c r="E2407" s="2461" t="s">
        <v>213</v>
      </c>
      <c r="F2407" s="2461" t="s">
        <v>1467</v>
      </c>
      <c r="G2407" s="2461" t="s">
        <v>1409</v>
      </c>
      <c r="H2407" s="2461" t="s">
        <v>1070</v>
      </c>
      <c r="I2407" s="2462">
        <v>3.4172400267162367E-2</v>
      </c>
      <c r="J2407" s="2462">
        <v>48.383341965614392</v>
      </c>
    </row>
    <row r="2408" spans="1:10" outlineLevel="2">
      <c r="A2408" s="2459" t="s">
        <v>1669</v>
      </c>
      <c r="B2408" s="2459" t="s">
        <v>1654</v>
      </c>
      <c r="C2408" s="2459" t="s">
        <v>1672</v>
      </c>
      <c r="D2408" s="2460" t="s">
        <v>1671</v>
      </c>
      <c r="E2408" s="2461" t="s">
        <v>213</v>
      </c>
      <c r="F2408" s="2461" t="s">
        <v>1468</v>
      </c>
      <c r="G2408" s="2461" t="s">
        <v>1409</v>
      </c>
      <c r="H2408" s="2461" t="s">
        <v>1070</v>
      </c>
      <c r="I2408" s="2462">
        <v>2.7885826238248243E-2</v>
      </c>
      <c r="J2408" s="2462">
        <v>45.552138943983529</v>
      </c>
    </row>
    <row r="2409" spans="1:10" outlineLevel="2">
      <c r="A2409" s="2459" t="s">
        <v>1669</v>
      </c>
      <c r="B2409" s="2459" t="s">
        <v>1654</v>
      </c>
      <c r="C2409" s="2459" t="s">
        <v>1672</v>
      </c>
      <c r="D2409" s="2460" t="s">
        <v>1671</v>
      </c>
      <c r="E2409" s="2461" t="s">
        <v>213</v>
      </c>
      <c r="F2409" s="2461" t="s">
        <v>1469</v>
      </c>
      <c r="G2409" s="2461" t="s">
        <v>1409</v>
      </c>
      <c r="H2409" s="2461" t="s">
        <v>1070</v>
      </c>
      <c r="I2409" s="2462">
        <v>6.2361716467481058E-2</v>
      </c>
      <c r="J2409" s="2462">
        <v>90.908015274656151</v>
      </c>
    </row>
    <row r="2410" spans="1:10" outlineLevel="2">
      <c r="A2410" s="2459" t="s">
        <v>1669</v>
      </c>
      <c r="B2410" s="2459" t="s">
        <v>1654</v>
      </c>
      <c r="C2410" s="2459" t="s">
        <v>1672</v>
      </c>
      <c r="D2410" s="2460" t="s">
        <v>1671</v>
      </c>
      <c r="E2410" s="2461" t="s">
        <v>213</v>
      </c>
      <c r="F2410" s="2461" t="s">
        <v>1470</v>
      </c>
      <c r="G2410" s="2461" t="s">
        <v>1409</v>
      </c>
      <c r="H2410" s="2461" t="s">
        <v>1070</v>
      </c>
      <c r="I2410" s="2462">
        <v>2.7054008236810697E-2</v>
      </c>
      <c r="J2410" s="2462">
        <v>38.279001670135102</v>
      </c>
    </row>
    <row r="2411" spans="1:10" outlineLevel="2">
      <c r="A2411" s="2459" t="s">
        <v>1669</v>
      </c>
      <c r="B2411" s="2459" t="s">
        <v>1654</v>
      </c>
      <c r="C2411" s="2459" t="s">
        <v>1672</v>
      </c>
      <c r="D2411" s="2460" t="s">
        <v>1671</v>
      </c>
      <c r="E2411" s="2461" t="s">
        <v>213</v>
      </c>
      <c r="F2411" s="2461" t="s">
        <v>1471</v>
      </c>
      <c r="G2411" s="2461" t="s">
        <v>1409</v>
      </c>
      <c r="H2411" s="2461" t="s">
        <v>1070</v>
      </c>
      <c r="I2411" s="2462">
        <v>1.4734086747031994E-3</v>
      </c>
      <c r="J2411" s="2462">
        <v>1.9950312187914789</v>
      </c>
    </row>
    <row r="2412" spans="1:10" outlineLevel="2">
      <c r="A2412" s="2459" t="s">
        <v>1669</v>
      </c>
      <c r="B2412" s="2459" t="s">
        <v>1654</v>
      </c>
      <c r="C2412" s="2459" t="s">
        <v>1672</v>
      </c>
      <c r="D2412" s="2460" t="s">
        <v>1671</v>
      </c>
      <c r="E2412" s="2461" t="s">
        <v>213</v>
      </c>
      <c r="F2412" s="2461" t="s">
        <v>1472</v>
      </c>
      <c r="G2412" s="2461" t="s">
        <v>1409</v>
      </c>
      <c r="H2412" s="2461" t="s">
        <v>1070</v>
      </c>
      <c r="I2412" s="2462">
        <v>5.1273684956577567E-2</v>
      </c>
      <c r="J2412" s="2462">
        <v>80.106169143336089</v>
      </c>
    </row>
    <row r="2413" spans="1:10" outlineLevel="2">
      <c r="A2413" s="2459" t="s">
        <v>1669</v>
      </c>
      <c r="B2413" s="2459" t="s">
        <v>1654</v>
      </c>
      <c r="C2413" s="2459" t="s">
        <v>1672</v>
      </c>
      <c r="D2413" s="2460" t="s">
        <v>1671</v>
      </c>
      <c r="E2413" s="2461" t="s">
        <v>213</v>
      </c>
      <c r="F2413" s="2461" t="s">
        <v>1473</v>
      </c>
      <c r="G2413" s="2461" t="s">
        <v>1409</v>
      </c>
      <c r="H2413" s="2461" t="s">
        <v>1070</v>
      </c>
      <c r="I2413" s="2462">
        <v>2.4438400151215706E-2</v>
      </c>
      <c r="J2413" s="2462">
        <v>29.709942020311292</v>
      </c>
    </row>
    <row r="2414" spans="1:10" outlineLevel="2">
      <c r="A2414" s="2459" t="s">
        <v>1669</v>
      </c>
      <c r="B2414" s="2459" t="s">
        <v>1654</v>
      </c>
      <c r="C2414" s="2459" t="s">
        <v>1672</v>
      </c>
      <c r="D2414" s="2460" t="s">
        <v>1671</v>
      </c>
      <c r="E2414" s="2461" t="s">
        <v>213</v>
      </c>
      <c r="F2414" s="2461" t="s">
        <v>1474</v>
      </c>
      <c r="G2414" s="2461" t="s">
        <v>1409</v>
      </c>
      <c r="H2414" s="2461" t="s">
        <v>1070</v>
      </c>
      <c r="I2414" s="2462">
        <v>0.11551134244513919</v>
      </c>
      <c r="J2414" s="2462">
        <v>166.92376452202978</v>
      </c>
    </row>
    <row r="2415" spans="1:10" outlineLevel="2">
      <c r="A2415" s="2459" t="s">
        <v>1669</v>
      </c>
      <c r="B2415" s="2459" t="s">
        <v>1654</v>
      </c>
      <c r="C2415" s="2459" t="s">
        <v>1672</v>
      </c>
      <c r="D2415" s="2460" t="s">
        <v>1671</v>
      </c>
      <c r="E2415" s="2461" t="s">
        <v>213</v>
      </c>
      <c r="F2415" s="2461" t="s">
        <v>1475</v>
      </c>
      <c r="G2415" s="2461" t="s">
        <v>1409</v>
      </c>
      <c r="H2415" s="2461" t="s">
        <v>1070</v>
      </c>
      <c r="I2415" s="2462">
        <v>5.8554977814978162E-2</v>
      </c>
      <c r="J2415" s="2462">
        <v>80.161372956133675</v>
      </c>
    </row>
    <row r="2416" spans="1:10" outlineLevel="2">
      <c r="A2416" s="2459" t="s">
        <v>1669</v>
      </c>
      <c r="B2416" s="2459" t="s">
        <v>1654</v>
      </c>
      <c r="C2416" s="2459" t="s">
        <v>1672</v>
      </c>
      <c r="D2416" s="2460" t="s">
        <v>1671</v>
      </c>
      <c r="E2416" s="2461" t="s">
        <v>213</v>
      </c>
      <c r="F2416" s="2461" t="s">
        <v>1476</v>
      </c>
      <c r="G2416" s="2461" t="s">
        <v>1409</v>
      </c>
      <c r="H2416" s="2461" t="s">
        <v>1070</v>
      </c>
      <c r="I2416" s="2462">
        <v>4.6278268968161489E-3</v>
      </c>
      <c r="J2416" s="2462">
        <v>6.4568972693241911</v>
      </c>
    </row>
    <row r="2417" spans="1:10" outlineLevel="2">
      <c r="A2417" s="2459" t="s">
        <v>1669</v>
      </c>
      <c r="B2417" s="2459" t="s">
        <v>1654</v>
      </c>
      <c r="C2417" s="2459" t="s">
        <v>1672</v>
      </c>
      <c r="D2417" s="2460" t="s">
        <v>1671</v>
      </c>
      <c r="E2417" s="2461" t="s">
        <v>213</v>
      </c>
      <c r="F2417" s="2461" t="s">
        <v>1477</v>
      </c>
      <c r="G2417" s="2461" t="s">
        <v>1409</v>
      </c>
      <c r="H2417" s="2461" t="s">
        <v>1070</v>
      </c>
      <c r="I2417" s="2462">
        <v>7.5999964624997723E-3</v>
      </c>
      <c r="J2417" s="2462">
        <v>10.842746471753463</v>
      </c>
    </row>
    <row r="2418" spans="1:10" outlineLevel="2">
      <c r="A2418" s="2459" t="s">
        <v>1669</v>
      </c>
      <c r="B2418" s="2459" t="s">
        <v>1654</v>
      </c>
      <c r="C2418" s="2459" t="s">
        <v>1672</v>
      </c>
      <c r="D2418" s="2460" t="s">
        <v>1671</v>
      </c>
      <c r="E2418" s="2461" t="s">
        <v>213</v>
      </c>
      <c r="F2418" s="2461" t="s">
        <v>1478</v>
      </c>
      <c r="G2418" s="2461" t="s">
        <v>1409</v>
      </c>
      <c r="H2418" s="2461" t="s">
        <v>1070</v>
      </c>
      <c r="I2418" s="2462">
        <v>3.3268743099202172E-3</v>
      </c>
      <c r="J2418" s="2462">
        <v>9.6888855883700327</v>
      </c>
    </row>
    <row r="2419" spans="1:10" outlineLevel="2">
      <c r="A2419" s="2459" t="s">
        <v>1669</v>
      </c>
      <c r="B2419" s="2459" t="s">
        <v>1654</v>
      </c>
      <c r="C2419" s="2459" t="s">
        <v>1672</v>
      </c>
      <c r="D2419" s="2460" t="s">
        <v>1671</v>
      </c>
      <c r="E2419" s="2461" t="s">
        <v>213</v>
      </c>
      <c r="F2419" s="2461" t="s">
        <v>1479</v>
      </c>
      <c r="G2419" s="2461" t="s">
        <v>1409</v>
      </c>
      <c r="H2419" s="2461" t="s">
        <v>1070</v>
      </c>
      <c r="I2419" s="2462">
        <v>2.6780236708028159E-3</v>
      </c>
      <c r="J2419" s="2462">
        <v>22.980362773997442</v>
      </c>
    </row>
    <row r="2420" spans="1:10" outlineLevel="2">
      <c r="A2420" s="2459" t="s">
        <v>1669</v>
      </c>
      <c r="B2420" s="2459" t="s">
        <v>1654</v>
      </c>
      <c r="C2420" s="2459" t="s">
        <v>1672</v>
      </c>
      <c r="D2420" s="2460" t="s">
        <v>1671</v>
      </c>
      <c r="E2420" s="2461" t="s">
        <v>213</v>
      </c>
      <c r="F2420" s="2461" t="s">
        <v>1480</v>
      </c>
      <c r="G2420" s="2461" t="s">
        <v>1409</v>
      </c>
      <c r="H2420" s="2461" t="s">
        <v>1070</v>
      </c>
      <c r="I2420" s="2462">
        <v>3.644427011260816E-2</v>
      </c>
      <c r="J2420" s="2462">
        <v>54.795001809881462</v>
      </c>
    </row>
    <row r="2421" spans="1:10" outlineLevel="2">
      <c r="A2421" s="2459" t="s">
        <v>1669</v>
      </c>
      <c r="B2421" s="2459" t="s">
        <v>1654</v>
      </c>
      <c r="C2421" s="2459" t="s">
        <v>1672</v>
      </c>
      <c r="D2421" s="2460" t="s">
        <v>1671</v>
      </c>
      <c r="E2421" s="2461" t="s">
        <v>213</v>
      </c>
      <c r="F2421" s="2461" t="s">
        <v>1481</v>
      </c>
      <c r="G2421" s="2461" t="s">
        <v>1409</v>
      </c>
      <c r="H2421" s="2461" t="s">
        <v>1070</v>
      </c>
      <c r="I2421" s="2462">
        <v>2.6013414352987069E-2</v>
      </c>
      <c r="J2421" s="2462">
        <v>38.189945212706384</v>
      </c>
    </row>
    <row r="2422" spans="1:10" outlineLevel="2">
      <c r="A2422" s="2459" t="s">
        <v>1669</v>
      </c>
      <c r="B2422" s="2459" t="s">
        <v>1654</v>
      </c>
      <c r="C2422" s="2459" t="s">
        <v>1672</v>
      </c>
      <c r="D2422" s="2460" t="s">
        <v>1671</v>
      </c>
      <c r="E2422" s="2461" t="s">
        <v>213</v>
      </c>
      <c r="F2422" s="2461" t="s">
        <v>1482</v>
      </c>
      <c r="G2422" s="2461" t="s">
        <v>1409</v>
      </c>
      <c r="H2422" s="2461" t="s">
        <v>1070</v>
      </c>
      <c r="I2422" s="2462">
        <v>1.0219103792179503E-2</v>
      </c>
      <c r="J2422" s="2462">
        <v>12.5134808235652</v>
      </c>
    </row>
    <row r="2423" spans="1:10" outlineLevel="2">
      <c r="A2423" s="2459" t="s">
        <v>1669</v>
      </c>
      <c r="B2423" s="2459" t="s">
        <v>1654</v>
      </c>
      <c r="C2423" s="2459" t="s">
        <v>1672</v>
      </c>
      <c r="D2423" s="2460" t="s">
        <v>1671</v>
      </c>
      <c r="E2423" s="2461" t="s">
        <v>213</v>
      </c>
      <c r="F2423" s="2461" t="s">
        <v>1483</v>
      </c>
      <c r="G2423" s="2461" t="s">
        <v>1409</v>
      </c>
      <c r="H2423" s="2461" t="s">
        <v>1070</v>
      </c>
      <c r="I2423" s="2462">
        <v>8.5024643691380894E-3</v>
      </c>
      <c r="J2423" s="2462">
        <v>9.1436290978314414</v>
      </c>
    </row>
    <row r="2424" spans="1:10" outlineLevel="2">
      <c r="A2424" s="2459" t="s">
        <v>1669</v>
      </c>
      <c r="B2424" s="2459" t="s">
        <v>1654</v>
      </c>
      <c r="C2424" s="2459" t="s">
        <v>1672</v>
      </c>
      <c r="D2424" s="2460" t="s">
        <v>1671</v>
      </c>
      <c r="E2424" s="2461" t="s">
        <v>213</v>
      </c>
      <c r="F2424" s="2461" t="s">
        <v>1484</v>
      </c>
      <c r="G2424" s="2461" t="s">
        <v>1412</v>
      </c>
      <c r="H2424" s="2461" t="s">
        <v>1116</v>
      </c>
      <c r="I2424" s="2462">
        <v>6.1286229262628902E-2</v>
      </c>
      <c r="J2424" s="2462">
        <v>122.65490832343534</v>
      </c>
    </row>
    <row r="2425" spans="1:10" outlineLevel="2">
      <c r="A2425" s="2459" t="s">
        <v>1669</v>
      </c>
      <c r="B2425" s="2459" t="s">
        <v>1654</v>
      </c>
      <c r="C2425" s="2459" t="s">
        <v>1672</v>
      </c>
      <c r="D2425" s="2460" t="s">
        <v>1671</v>
      </c>
      <c r="E2425" s="2461" t="s">
        <v>213</v>
      </c>
      <c r="F2425" s="2461" t="s">
        <v>1485</v>
      </c>
      <c r="G2425" s="2461" t="s">
        <v>1412</v>
      </c>
      <c r="H2425" s="2461" t="s">
        <v>1116</v>
      </c>
      <c r="I2425" s="2462">
        <v>4.4038109106399527E-2</v>
      </c>
      <c r="J2425" s="2462">
        <v>464.18746561529758</v>
      </c>
    </row>
    <row r="2426" spans="1:10" outlineLevel="2">
      <c r="A2426" s="2459" t="s">
        <v>1669</v>
      </c>
      <c r="B2426" s="2459" t="s">
        <v>1654</v>
      </c>
      <c r="C2426" s="2459" t="s">
        <v>1672</v>
      </c>
      <c r="D2426" s="2460" t="s">
        <v>1671</v>
      </c>
      <c r="E2426" s="2461" t="s">
        <v>213</v>
      </c>
      <c r="F2426" s="2461" t="s">
        <v>1486</v>
      </c>
      <c r="G2426" s="2461" t="s">
        <v>1412</v>
      </c>
      <c r="H2426" s="2461" t="s">
        <v>1116</v>
      </c>
      <c r="I2426" s="2462">
        <v>3.6545073542797422E-2</v>
      </c>
      <c r="J2426" s="2462">
        <v>99.745523960182538</v>
      </c>
    </row>
    <row r="2427" spans="1:10" outlineLevel="2">
      <c r="A2427" s="2459" t="s">
        <v>1669</v>
      </c>
      <c r="B2427" s="2459" t="s">
        <v>1654</v>
      </c>
      <c r="C2427" s="2459" t="s">
        <v>1672</v>
      </c>
      <c r="D2427" s="2460" t="s">
        <v>1671</v>
      </c>
      <c r="E2427" s="2461" t="s">
        <v>213</v>
      </c>
      <c r="F2427" s="2461" t="s">
        <v>1487</v>
      </c>
      <c r="G2427" s="2461" t="s">
        <v>1412</v>
      </c>
      <c r="H2427" s="2461" t="s">
        <v>1116</v>
      </c>
      <c r="I2427" s="2462">
        <v>0.14057386347984788</v>
      </c>
      <c r="J2427" s="2462">
        <v>187.34949874296581</v>
      </c>
    </row>
    <row r="2428" spans="1:10" outlineLevel="2">
      <c r="A2428" s="2459" t="s">
        <v>1669</v>
      </c>
      <c r="B2428" s="2459" t="s">
        <v>1654</v>
      </c>
      <c r="C2428" s="2459" t="s">
        <v>1672</v>
      </c>
      <c r="D2428" s="2460" t="s">
        <v>1671</v>
      </c>
      <c r="E2428" s="2461" t="s">
        <v>213</v>
      </c>
      <c r="F2428" s="2461" t="s">
        <v>1488</v>
      </c>
      <c r="G2428" s="2461" t="s">
        <v>1412</v>
      </c>
      <c r="H2428" s="2461" t="s">
        <v>1116</v>
      </c>
      <c r="I2428" s="2462">
        <v>3.9653156590546716E-3</v>
      </c>
      <c r="J2428" s="2462">
        <v>8.5963921160523711</v>
      </c>
    </row>
    <row r="2429" spans="1:10" outlineLevel="2">
      <c r="A2429" s="2459" t="s">
        <v>1669</v>
      </c>
      <c r="B2429" s="2459" t="s">
        <v>1654</v>
      </c>
      <c r="C2429" s="2459" t="s">
        <v>1672</v>
      </c>
      <c r="D2429" s="2460" t="s">
        <v>1671</v>
      </c>
      <c r="E2429" s="2461" t="s">
        <v>213</v>
      </c>
      <c r="F2429" s="2461" t="s">
        <v>1489</v>
      </c>
      <c r="G2429" s="2461" t="s">
        <v>1412</v>
      </c>
      <c r="H2429" s="2461" t="s">
        <v>1116</v>
      </c>
      <c r="I2429" s="2462">
        <v>5.0275501250741225E-3</v>
      </c>
      <c r="J2429" s="2462">
        <v>7.4516147092422527</v>
      </c>
    </row>
    <row r="2430" spans="1:10" outlineLevel="2">
      <c r="A2430" s="2459" t="s">
        <v>1669</v>
      </c>
      <c r="B2430" s="2459" t="s">
        <v>1654</v>
      </c>
      <c r="C2430" s="2459" t="s">
        <v>1672</v>
      </c>
      <c r="D2430" s="2460" t="s">
        <v>1671</v>
      </c>
      <c r="E2430" s="2461" t="s">
        <v>213</v>
      </c>
      <c r="F2430" s="2461" t="s">
        <v>1490</v>
      </c>
      <c r="G2430" s="2461" t="s">
        <v>1412</v>
      </c>
      <c r="H2430" s="2461" t="s">
        <v>1116</v>
      </c>
      <c r="I2430" s="2462">
        <v>2.8874276288835261E-3</v>
      </c>
      <c r="J2430" s="2462">
        <v>40.994965649925447</v>
      </c>
    </row>
    <row r="2431" spans="1:10" outlineLevel="2">
      <c r="A2431" s="2459" t="s">
        <v>1669</v>
      </c>
      <c r="B2431" s="2459" t="s">
        <v>1654</v>
      </c>
      <c r="C2431" s="2459" t="s">
        <v>1672</v>
      </c>
      <c r="D2431" s="2460" t="s">
        <v>1671</v>
      </c>
      <c r="E2431" s="2461" t="s">
        <v>213</v>
      </c>
      <c r="F2431" s="2461" t="s">
        <v>1491</v>
      </c>
      <c r="G2431" s="2461" t="s">
        <v>1439</v>
      </c>
      <c r="H2431" s="2461" t="s">
        <v>1440</v>
      </c>
      <c r="I2431" s="2462">
        <v>1.1898574996896623</v>
      </c>
      <c r="J2431" s="2462">
        <v>1270.7674643017799</v>
      </c>
    </row>
    <row r="2432" spans="1:10" outlineLevel="2">
      <c r="A2432" s="2459" t="s">
        <v>1669</v>
      </c>
      <c r="B2432" s="2459" t="s">
        <v>1654</v>
      </c>
      <c r="C2432" s="2459" t="s">
        <v>1672</v>
      </c>
      <c r="D2432" s="2460" t="s">
        <v>1671</v>
      </c>
      <c r="E2432" s="2461" t="s">
        <v>213</v>
      </c>
      <c r="F2432" s="2461" t="s">
        <v>1492</v>
      </c>
      <c r="G2432" s="2461" t="s">
        <v>1439</v>
      </c>
      <c r="H2432" s="2461" t="s">
        <v>1440</v>
      </c>
      <c r="I2432" s="2462">
        <v>0.82506461469688275</v>
      </c>
      <c r="J2432" s="2462">
        <v>1117.8924596202005</v>
      </c>
    </row>
    <row r="2433" spans="1:10" outlineLevel="2">
      <c r="A2433" s="2459" t="s">
        <v>1669</v>
      </c>
      <c r="B2433" s="2459" t="s">
        <v>1654</v>
      </c>
      <c r="C2433" s="2459" t="s">
        <v>1672</v>
      </c>
      <c r="D2433" s="2460" t="s">
        <v>1671</v>
      </c>
      <c r="E2433" s="2461" t="s">
        <v>213</v>
      </c>
      <c r="F2433" s="2461" t="s">
        <v>1493</v>
      </c>
      <c r="G2433" s="2461" t="s">
        <v>1439</v>
      </c>
      <c r="H2433" s="2461" t="s">
        <v>1440</v>
      </c>
      <c r="I2433" s="2462">
        <v>0.10242848873912658</v>
      </c>
      <c r="J2433" s="2462">
        <v>109.35169766064323</v>
      </c>
    </row>
    <row r="2434" spans="1:10" outlineLevel="2">
      <c r="A2434" s="2459" t="s">
        <v>1669</v>
      </c>
      <c r="B2434" s="2459" t="s">
        <v>1654</v>
      </c>
      <c r="C2434" s="2459" t="s">
        <v>1672</v>
      </c>
      <c r="D2434" s="2460" t="s">
        <v>1671</v>
      </c>
      <c r="E2434" s="2461" t="s">
        <v>213</v>
      </c>
      <c r="F2434" s="2461" t="s">
        <v>1494</v>
      </c>
      <c r="G2434" s="2461" t="s">
        <v>1439</v>
      </c>
      <c r="H2434" s="2461" t="s">
        <v>1440</v>
      </c>
      <c r="I2434" s="2462">
        <v>0.52579013196901636</v>
      </c>
      <c r="J2434" s="2462">
        <v>663.09331033878095</v>
      </c>
    </row>
    <row r="2435" spans="1:10" outlineLevel="2">
      <c r="A2435" s="2459" t="s">
        <v>1669</v>
      </c>
      <c r="B2435" s="2459" t="s">
        <v>1654</v>
      </c>
      <c r="C2435" s="2459" t="s">
        <v>1672</v>
      </c>
      <c r="D2435" s="2460" t="s">
        <v>1671</v>
      </c>
      <c r="E2435" s="2461" t="s">
        <v>213</v>
      </c>
      <c r="F2435" s="2461" t="s">
        <v>1495</v>
      </c>
      <c r="G2435" s="2461" t="s">
        <v>1439</v>
      </c>
      <c r="H2435" s="2461" t="s">
        <v>1440</v>
      </c>
      <c r="I2435" s="2462">
        <v>5.579854658653567E-3</v>
      </c>
      <c r="J2435" s="2462">
        <v>7.063836840362443</v>
      </c>
    </row>
    <row r="2436" spans="1:10" outlineLevel="2">
      <c r="A2436" s="2459" t="s">
        <v>1669</v>
      </c>
      <c r="B2436" s="2459" t="s">
        <v>1654</v>
      </c>
      <c r="C2436" s="2459" t="s">
        <v>1672</v>
      </c>
      <c r="D2436" s="2460" t="s">
        <v>1671</v>
      </c>
      <c r="E2436" s="2461" t="s">
        <v>213</v>
      </c>
      <c r="F2436" s="2461" t="s">
        <v>1496</v>
      </c>
      <c r="G2436" s="2461" t="s">
        <v>1439</v>
      </c>
      <c r="H2436" s="2461" t="s">
        <v>1440</v>
      </c>
      <c r="I2436" s="2462">
        <v>1.8317500832538337E-2</v>
      </c>
      <c r="J2436" s="2462">
        <v>25.893194510472828</v>
      </c>
    </row>
    <row r="2437" spans="1:10" outlineLevel="2">
      <c r="A2437" s="2459" t="s">
        <v>1669</v>
      </c>
      <c r="B2437" s="2459" t="s">
        <v>1654</v>
      </c>
      <c r="C2437" s="2459" t="s">
        <v>1672</v>
      </c>
      <c r="D2437" s="2460" t="s">
        <v>1671</v>
      </c>
      <c r="E2437" s="2461" t="s">
        <v>213</v>
      </c>
      <c r="F2437" s="2461" t="s">
        <v>1497</v>
      </c>
      <c r="G2437" s="2461" t="s">
        <v>1439</v>
      </c>
      <c r="H2437" s="2461" t="s">
        <v>1440</v>
      </c>
      <c r="I2437" s="2462">
        <v>1.0626992965269845E-2</v>
      </c>
      <c r="J2437" s="2462">
        <v>13.476208083079568</v>
      </c>
    </row>
    <row r="2438" spans="1:10" outlineLevel="2">
      <c r="A2438" s="2459" t="s">
        <v>1669</v>
      </c>
      <c r="B2438" s="2459" t="s">
        <v>1654</v>
      </c>
      <c r="C2438" s="2459" t="s">
        <v>1672</v>
      </c>
      <c r="D2438" s="2460" t="s">
        <v>1671</v>
      </c>
      <c r="E2438" s="2461" t="s">
        <v>213</v>
      </c>
      <c r="F2438" s="2461" t="s">
        <v>1498</v>
      </c>
      <c r="G2438" s="2461" t="s">
        <v>1439</v>
      </c>
      <c r="H2438" s="2461" t="s">
        <v>1440</v>
      </c>
      <c r="I2438" s="2462">
        <v>0.62600976506163375</v>
      </c>
      <c r="J2438" s="2462">
        <v>1062.5172096452973</v>
      </c>
    </row>
    <row r="2439" spans="1:10" outlineLevel="2">
      <c r="A2439" s="2459" t="s">
        <v>1669</v>
      </c>
      <c r="B2439" s="2459" t="s">
        <v>1654</v>
      </c>
      <c r="C2439" s="2459" t="s">
        <v>1672</v>
      </c>
      <c r="D2439" s="2460" t="s">
        <v>1671</v>
      </c>
      <c r="E2439" s="2461" t="s">
        <v>213</v>
      </c>
      <c r="F2439" s="2461" t="s">
        <v>1499</v>
      </c>
      <c r="G2439" s="2461" t="s">
        <v>1439</v>
      </c>
      <c r="H2439" s="2461" t="s">
        <v>1440</v>
      </c>
      <c r="I2439" s="2462">
        <v>0.27084902445381387</v>
      </c>
      <c r="J2439" s="2462">
        <v>143.81901539187311</v>
      </c>
    </row>
    <row r="2440" spans="1:10" outlineLevel="2">
      <c r="A2440" s="2459" t="s">
        <v>1669</v>
      </c>
      <c r="B2440" s="2459" t="s">
        <v>1654</v>
      </c>
      <c r="C2440" s="2459" t="s">
        <v>1672</v>
      </c>
      <c r="D2440" s="2460" t="s">
        <v>1671</v>
      </c>
      <c r="E2440" s="2461" t="s">
        <v>213</v>
      </c>
      <c r="F2440" s="2461" t="s">
        <v>1500</v>
      </c>
      <c r="G2440" s="2461" t="s">
        <v>1439</v>
      </c>
      <c r="H2440" s="2461" t="s">
        <v>1440</v>
      </c>
      <c r="I2440" s="2462">
        <v>0.7917324282644107</v>
      </c>
      <c r="J2440" s="2462">
        <v>420.35489661861789</v>
      </c>
    </row>
    <row r="2441" spans="1:10" outlineLevel="2">
      <c r="A2441" s="2459" t="s">
        <v>1669</v>
      </c>
      <c r="B2441" s="2459" t="s">
        <v>1654</v>
      </c>
      <c r="C2441" s="2459" t="s">
        <v>1672</v>
      </c>
      <c r="D2441" s="2460" t="s">
        <v>1671</v>
      </c>
      <c r="E2441" s="2461" t="s">
        <v>213</v>
      </c>
      <c r="F2441" s="2461" t="s">
        <v>1501</v>
      </c>
      <c r="G2441" s="2461" t="s">
        <v>1439</v>
      </c>
      <c r="H2441" s="2461" t="s">
        <v>1440</v>
      </c>
      <c r="I2441" s="2462">
        <v>0.17729013112531511</v>
      </c>
      <c r="J2441" s="2462">
        <v>258.09676420401968</v>
      </c>
    </row>
    <row r="2442" spans="1:10" outlineLevel="2">
      <c r="A2442" s="2459" t="s">
        <v>1669</v>
      </c>
      <c r="B2442" s="2459" t="s">
        <v>1654</v>
      </c>
      <c r="C2442" s="2459" t="s">
        <v>1672</v>
      </c>
      <c r="D2442" s="2460" t="s">
        <v>1671</v>
      </c>
      <c r="E2442" s="2461" t="s">
        <v>213</v>
      </c>
      <c r="F2442" s="2461" t="s">
        <v>1502</v>
      </c>
      <c r="G2442" s="2461" t="s">
        <v>1439</v>
      </c>
      <c r="H2442" s="2461" t="s">
        <v>1440</v>
      </c>
      <c r="I2442" s="2462">
        <v>9.4222601981331033E-2</v>
      </c>
      <c r="J2442" s="2462">
        <v>142.02777966080689</v>
      </c>
    </row>
    <row r="2443" spans="1:10" outlineLevel="2">
      <c r="A2443" s="2459" t="s">
        <v>1669</v>
      </c>
      <c r="B2443" s="2459" t="s">
        <v>1654</v>
      </c>
      <c r="C2443" s="2459" t="s">
        <v>1672</v>
      </c>
      <c r="D2443" s="2460" t="s">
        <v>1671</v>
      </c>
      <c r="E2443" s="2461" t="s">
        <v>213</v>
      </c>
      <c r="F2443" s="2461" t="s">
        <v>1503</v>
      </c>
      <c r="G2443" s="2461" t="s">
        <v>1439</v>
      </c>
      <c r="H2443" s="2461" t="s">
        <v>1440</v>
      </c>
      <c r="I2443" s="2462">
        <v>0.12431161811934663</v>
      </c>
      <c r="J2443" s="2462">
        <v>160.76142916309007</v>
      </c>
    </row>
    <row r="2444" spans="1:10" outlineLevel="2">
      <c r="A2444" s="2459" t="s">
        <v>1669</v>
      </c>
      <c r="B2444" s="2459" t="s">
        <v>1654</v>
      </c>
      <c r="C2444" s="2459" t="s">
        <v>1672</v>
      </c>
      <c r="D2444" s="2460" t="s">
        <v>1671</v>
      </c>
      <c r="E2444" s="2461" t="s">
        <v>213</v>
      </c>
      <c r="F2444" s="2461" t="s">
        <v>1504</v>
      </c>
      <c r="G2444" s="2461" t="s">
        <v>1439</v>
      </c>
      <c r="H2444" s="2461" t="s">
        <v>1440</v>
      </c>
      <c r="I2444" s="2462">
        <v>6.3431986850949945E-2</v>
      </c>
      <c r="J2444" s="2462">
        <v>76.328595239435913</v>
      </c>
    </row>
    <row r="2445" spans="1:10" outlineLevel="2">
      <c r="A2445" s="2459" t="s">
        <v>1669</v>
      </c>
      <c r="B2445" s="2459" t="s">
        <v>1654</v>
      </c>
      <c r="C2445" s="2459" t="s">
        <v>1672</v>
      </c>
      <c r="D2445" s="2460" t="s">
        <v>1671</v>
      </c>
      <c r="E2445" s="2461" t="s">
        <v>213</v>
      </c>
      <c r="F2445" s="2461" t="s">
        <v>1505</v>
      </c>
      <c r="G2445" s="2461" t="s">
        <v>1439</v>
      </c>
      <c r="H2445" s="2461" t="s">
        <v>1440</v>
      </c>
      <c r="I2445" s="2462">
        <v>2.3710311471474523</v>
      </c>
      <c r="J2445" s="2462">
        <v>3459.5784099722132</v>
      </c>
    </row>
    <row r="2446" spans="1:10" outlineLevel="2">
      <c r="A2446" s="2459" t="s">
        <v>1669</v>
      </c>
      <c r="B2446" s="2459" t="s">
        <v>1654</v>
      </c>
      <c r="C2446" s="2459" t="s">
        <v>1672</v>
      </c>
      <c r="D2446" s="2460" t="s">
        <v>1671</v>
      </c>
      <c r="E2446" s="2461" t="s">
        <v>213</v>
      </c>
      <c r="F2446" s="2461" t="s">
        <v>1506</v>
      </c>
      <c r="G2446" s="2461" t="s">
        <v>1439</v>
      </c>
      <c r="H2446" s="2461" t="s">
        <v>1440</v>
      </c>
      <c r="I2446" s="2462">
        <v>1.2802004679977188</v>
      </c>
      <c r="J2446" s="2462">
        <v>1930.1633736584947</v>
      </c>
    </row>
    <row r="2447" spans="1:10" outlineLevel="2">
      <c r="A2447" s="2459" t="s">
        <v>1669</v>
      </c>
      <c r="B2447" s="2459" t="s">
        <v>1654</v>
      </c>
      <c r="C2447" s="2459" t="s">
        <v>1672</v>
      </c>
      <c r="D2447" s="2460" t="s">
        <v>1671</v>
      </c>
      <c r="E2447" s="2461" t="s">
        <v>213</v>
      </c>
      <c r="F2447" s="2461" t="s">
        <v>1507</v>
      </c>
      <c r="G2447" s="2461" t="s">
        <v>1439</v>
      </c>
      <c r="H2447" s="2461" t="s">
        <v>1440</v>
      </c>
      <c r="I2447" s="2462">
        <v>0.1432518005964187</v>
      </c>
      <c r="J2447" s="2462">
        <v>322.28680372984394</v>
      </c>
    </row>
    <row r="2448" spans="1:10" outlineLevel="2">
      <c r="A2448" s="2459" t="s">
        <v>1669</v>
      </c>
      <c r="B2448" s="2459" t="s">
        <v>1654</v>
      </c>
      <c r="C2448" s="2459" t="s">
        <v>1672</v>
      </c>
      <c r="D2448" s="2460" t="s">
        <v>1671</v>
      </c>
      <c r="E2448" s="2461" t="s">
        <v>213</v>
      </c>
      <c r="F2448" s="2461" t="s">
        <v>1508</v>
      </c>
      <c r="G2448" s="2461" t="s">
        <v>1439</v>
      </c>
      <c r="H2448" s="2461" t="s">
        <v>1440</v>
      </c>
      <c r="I2448" s="2462">
        <v>3.9430807455005765</v>
      </c>
      <c r="J2448" s="2462">
        <v>6230.6901028875936</v>
      </c>
    </row>
    <row r="2449" spans="1:10" outlineLevel="2">
      <c r="A2449" s="2459" t="s">
        <v>1669</v>
      </c>
      <c r="B2449" s="2459" t="s">
        <v>1654</v>
      </c>
      <c r="C2449" s="2459" t="s">
        <v>1672</v>
      </c>
      <c r="D2449" s="2460" t="s">
        <v>1671</v>
      </c>
      <c r="E2449" s="2461" t="s">
        <v>213</v>
      </c>
      <c r="F2449" s="2461" t="s">
        <v>1509</v>
      </c>
      <c r="G2449" s="2461" t="s">
        <v>1439</v>
      </c>
      <c r="H2449" s="2461" t="s">
        <v>1440</v>
      </c>
      <c r="I2449" s="2462">
        <v>0.10794291436814847</v>
      </c>
      <c r="J2449" s="2462">
        <v>122.97563088840931</v>
      </c>
    </row>
    <row r="2450" spans="1:10" outlineLevel="2">
      <c r="A2450" s="2459" t="s">
        <v>1669</v>
      </c>
      <c r="B2450" s="2459" t="s">
        <v>1654</v>
      </c>
      <c r="C2450" s="2459" t="s">
        <v>1672</v>
      </c>
      <c r="D2450" s="2460" t="s">
        <v>1671</v>
      </c>
      <c r="E2450" s="2461" t="s">
        <v>213</v>
      </c>
      <c r="F2450" s="2461" t="s">
        <v>1510</v>
      </c>
      <c r="G2450" s="2461" t="s">
        <v>1439</v>
      </c>
      <c r="H2450" s="2461" t="s">
        <v>1440</v>
      </c>
      <c r="I2450" s="2462">
        <v>0.16546796474537676</v>
      </c>
      <c r="J2450" s="2462">
        <v>191.45874422692492</v>
      </c>
    </row>
    <row r="2451" spans="1:10" outlineLevel="2">
      <c r="A2451" s="2459" t="s">
        <v>1669</v>
      </c>
      <c r="B2451" s="2459" t="s">
        <v>1654</v>
      </c>
      <c r="C2451" s="2459" t="s">
        <v>1672</v>
      </c>
      <c r="D2451" s="2460" t="s">
        <v>1671</v>
      </c>
      <c r="E2451" s="2461" t="s">
        <v>213</v>
      </c>
      <c r="F2451" s="2461" t="s">
        <v>1511</v>
      </c>
      <c r="G2451" s="2461" t="s">
        <v>1418</v>
      </c>
      <c r="H2451" s="2461" t="s">
        <v>1452</v>
      </c>
      <c r="I2451" s="2462">
        <v>5.364594742925798E-4</v>
      </c>
      <c r="J2451" s="2462">
        <v>0.78995884236156988</v>
      </c>
    </row>
    <row r="2452" spans="1:10" outlineLevel="2">
      <c r="A2452" s="2459" t="s">
        <v>1669</v>
      </c>
      <c r="B2452" s="2459" t="s">
        <v>1654</v>
      </c>
      <c r="C2452" s="2459" t="s">
        <v>1672</v>
      </c>
      <c r="D2452" s="2460" t="s">
        <v>1671</v>
      </c>
      <c r="E2452" s="2461" t="s">
        <v>213</v>
      </c>
      <c r="F2452" s="2461" t="s">
        <v>1512</v>
      </c>
      <c r="G2452" s="2461" t="s">
        <v>1418</v>
      </c>
      <c r="H2452" s="2461" t="s">
        <v>1452</v>
      </c>
      <c r="I2452" s="2462">
        <v>7.0199820688266899E-4</v>
      </c>
      <c r="J2452" s="2462">
        <v>3.0568578608884573</v>
      </c>
    </row>
    <row r="2453" spans="1:10" outlineLevel="2">
      <c r="A2453" s="2459" t="s">
        <v>1669</v>
      </c>
      <c r="B2453" s="2459" t="s">
        <v>1654</v>
      </c>
      <c r="C2453" s="2459" t="s">
        <v>1672</v>
      </c>
      <c r="D2453" s="2460" t="s">
        <v>1671</v>
      </c>
      <c r="E2453" s="2461" t="s">
        <v>213</v>
      </c>
      <c r="F2453" s="2461" t="s">
        <v>1513</v>
      </c>
      <c r="G2453" s="2461" t="s">
        <v>1418</v>
      </c>
      <c r="H2453" s="2461" t="s">
        <v>1452</v>
      </c>
      <c r="I2453" s="2462">
        <v>2.617114573376858E-5</v>
      </c>
      <c r="J2453" s="2462">
        <v>2.4521293012779263E-2</v>
      </c>
    </row>
    <row r="2454" spans="1:10" outlineLevel="2">
      <c r="A2454" s="2459" t="s">
        <v>1669</v>
      </c>
      <c r="B2454" s="2459" t="s">
        <v>1654</v>
      </c>
      <c r="C2454" s="2459" t="s">
        <v>1672</v>
      </c>
      <c r="D2454" s="2460" t="s">
        <v>1671</v>
      </c>
      <c r="E2454" s="2461" t="s">
        <v>213</v>
      </c>
      <c r="F2454" s="2461" t="s">
        <v>1514</v>
      </c>
      <c r="G2454" s="2461" t="s">
        <v>1418</v>
      </c>
      <c r="H2454" s="2461" t="s">
        <v>1452</v>
      </c>
      <c r="I2454" s="2462">
        <v>2.3475097994331844E-3</v>
      </c>
      <c r="J2454" s="2462">
        <v>2.1951393269174657</v>
      </c>
    </row>
    <row r="2455" spans="1:10" outlineLevel="2">
      <c r="A2455" s="2459" t="s">
        <v>1669</v>
      </c>
      <c r="B2455" s="2459" t="s">
        <v>1654</v>
      </c>
      <c r="C2455" s="2459" t="s">
        <v>1672</v>
      </c>
      <c r="D2455" s="2460" t="s">
        <v>1671</v>
      </c>
      <c r="E2455" s="2461" t="s">
        <v>213</v>
      </c>
      <c r="F2455" s="2461" t="s">
        <v>1515</v>
      </c>
      <c r="G2455" s="2461" t="s">
        <v>1418</v>
      </c>
      <c r="H2455" s="2461" t="s">
        <v>1452</v>
      </c>
      <c r="I2455" s="2462">
        <v>4.5134402378593623E-4</v>
      </c>
      <c r="J2455" s="2462">
        <v>0.64946626341169178</v>
      </c>
    </row>
    <row r="2456" spans="1:10" outlineLevel="2">
      <c r="A2456" s="2459" t="s">
        <v>1669</v>
      </c>
      <c r="B2456" s="2459" t="s">
        <v>1654</v>
      </c>
      <c r="C2456" s="2459" t="s">
        <v>1672</v>
      </c>
      <c r="D2456" s="2460" t="s">
        <v>1671</v>
      </c>
      <c r="E2456" s="2461" t="s">
        <v>213</v>
      </c>
      <c r="F2456" s="2461" t="s">
        <v>1516</v>
      </c>
      <c r="G2456" s="2461" t="s">
        <v>1418</v>
      </c>
      <c r="H2456" s="2461" t="s">
        <v>1452</v>
      </c>
      <c r="I2456" s="2462">
        <v>6.4489469151862997E-3</v>
      </c>
      <c r="J2456" s="2462">
        <v>7.1960504832967667</v>
      </c>
    </row>
    <row r="2457" spans="1:10" outlineLevel="2">
      <c r="A2457" s="2459" t="s">
        <v>1669</v>
      </c>
      <c r="B2457" s="2459" t="s">
        <v>1654</v>
      </c>
      <c r="C2457" s="2459" t="s">
        <v>1672</v>
      </c>
      <c r="D2457" s="2460" t="s">
        <v>1671</v>
      </c>
      <c r="E2457" s="2461" t="s">
        <v>213</v>
      </c>
      <c r="F2457" s="2461" t="s">
        <v>1517</v>
      </c>
      <c r="G2457" s="2461" t="s">
        <v>1418</v>
      </c>
      <c r="H2457" s="2461" t="s">
        <v>1452</v>
      </c>
      <c r="I2457" s="2462">
        <v>3.3011274592933147E-2</v>
      </c>
      <c r="J2457" s="2462">
        <v>16.132802393627774</v>
      </c>
    </row>
    <row r="2458" spans="1:10" outlineLevel="2">
      <c r="A2458" s="2459" t="s">
        <v>1669</v>
      </c>
      <c r="B2458" s="2459" t="s">
        <v>1654</v>
      </c>
      <c r="C2458" s="2459" t="s">
        <v>1672</v>
      </c>
      <c r="D2458" s="2460" t="s">
        <v>1671</v>
      </c>
      <c r="E2458" s="2461" t="s">
        <v>213</v>
      </c>
      <c r="F2458" s="2461" t="s">
        <v>1518</v>
      </c>
      <c r="G2458" s="2461" t="s">
        <v>1418</v>
      </c>
      <c r="H2458" s="2461" t="s">
        <v>1452</v>
      </c>
      <c r="I2458" s="2462">
        <v>3.7177330520001047E-3</v>
      </c>
      <c r="J2458" s="2462">
        <v>3.4764259009055705</v>
      </c>
    </row>
    <row r="2459" spans="1:10" outlineLevel="2">
      <c r="A2459" s="2459" t="s">
        <v>1669</v>
      </c>
      <c r="B2459" s="2459" t="s">
        <v>1654</v>
      </c>
      <c r="C2459" s="2459" t="s">
        <v>1672</v>
      </c>
      <c r="D2459" s="2460" t="s">
        <v>1671</v>
      </c>
      <c r="E2459" s="2461" t="s">
        <v>213</v>
      </c>
      <c r="F2459" s="2461" t="s">
        <v>1519</v>
      </c>
      <c r="G2459" s="2461" t="s">
        <v>1418</v>
      </c>
      <c r="H2459" s="2461" t="s">
        <v>1452</v>
      </c>
      <c r="I2459" s="2462">
        <v>4.8810776150875219E-3</v>
      </c>
      <c r="J2459" s="2462">
        <v>4.9609845851191166</v>
      </c>
    </row>
    <row r="2460" spans="1:10" outlineLevel="2">
      <c r="A2460" s="2459" t="s">
        <v>1669</v>
      </c>
      <c r="B2460" s="2459" t="s">
        <v>1654</v>
      </c>
      <c r="C2460" s="2459" t="s">
        <v>1672</v>
      </c>
      <c r="D2460" s="2460" t="s">
        <v>1671</v>
      </c>
      <c r="E2460" s="2461" t="s">
        <v>213</v>
      </c>
      <c r="F2460" s="2461" t="s">
        <v>1520</v>
      </c>
      <c r="G2460" s="2461" t="s">
        <v>1418</v>
      </c>
      <c r="H2460" s="2461" t="s">
        <v>1452</v>
      </c>
      <c r="I2460" s="2462">
        <v>5.8496383209095059E-4</v>
      </c>
      <c r="J2460" s="2462">
        <v>5.3018352216502471</v>
      </c>
    </row>
    <row r="2461" spans="1:10" outlineLevel="2">
      <c r="A2461" s="2459" t="s">
        <v>1669</v>
      </c>
      <c r="B2461" s="2459" t="s">
        <v>1654</v>
      </c>
      <c r="C2461" s="2459" t="s">
        <v>1672</v>
      </c>
      <c r="D2461" s="2460" t="s">
        <v>1671</v>
      </c>
      <c r="E2461" s="2461" t="s">
        <v>213</v>
      </c>
      <c r="F2461" s="2461" t="s">
        <v>1521</v>
      </c>
      <c r="G2461" s="2461" t="s">
        <v>1421</v>
      </c>
      <c r="H2461" s="2461" t="s">
        <v>1454</v>
      </c>
      <c r="I2461" s="2462">
        <v>1.4625059770678277</v>
      </c>
      <c r="J2461" s="2462">
        <v>2023.7875179619764</v>
      </c>
    </row>
    <row r="2462" spans="1:10" outlineLevel="2">
      <c r="A2462" s="2459" t="s">
        <v>1669</v>
      </c>
      <c r="B2462" s="2459" t="s">
        <v>1654</v>
      </c>
      <c r="C2462" s="2459" t="s">
        <v>1672</v>
      </c>
      <c r="D2462" s="2460" t="s">
        <v>1671</v>
      </c>
      <c r="E2462" s="2461" t="s">
        <v>213</v>
      </c>
      <c r="F2462" s="2461" t="s">
        <v>1522</v>
      </c>
      <c r="G2462" s="2461" t="s">
        <v>1421</v>
      </c>
      <c r="H2462" s="2461" t="s">
        <v>1454</v>
      </c>
      <c r="I2462" s="2462">
        <v>0.34351523551303981</v>
      </c>
      <c r="J2462" s="2462">
        <v>506.33367218361792</v>
      </c>
    </row>
    <row r="2463" spans="1:10" outlineLevel="2">
      <c r="A2463" s="2459" t="s">
        <v>1669</v>
      </c>
      <c r="B2463" s="2459" t="s">
        <v>1654</v>
      </c>
      <c r="C2463" s="2459" t="s">
        <v>1672</v>
      </c>
      <c r="D2463" s="2460" t="s">
        <v>1671</v>
      </c>
      <c r="E2463" s="2461" t="s">
        <v>213</v>
      </c>
      <c r="F2463" s="2461" t="s">
        <v>1523</v>
      </c>
      <c r="G2463" s="2461" t="s">
        <v>1421</v>
      </c>
      <c r="H2463" s="2461" t="s">
        <v>1454</v>
      </c>
      <c r="I2463" s="2462">
        <v>0.1584723852855654</v>
      </c>
      <c r="J2463" s="2462">
        <v>267.73238440431686</v>
      </c>
    </row>
    <row r="2464" spans="1:10" outlineLevel="2">
      <c r="A2464" s="2459" t="s">
        <v>1669</v>
      </c>
      <c r="B2464" s="2459" t="s">
        <v>1654</v>
      </c>
      <c r="C2464" s="2459" t="s">
        <v>1672</v>
      </c>
      <c r="D2464" s="2460" t="s">
        <v>1671</v>
      </c>
      <c r="E2464" s="2461" t="s">
        <v>213</v>
      </c>
      <c r="F2464" s="2461" t="s">
        <v>1524</v>
      </c>
      <c r="G2464" s="2461" t="s">
        <v>1421</v>
      </c>
      <c r="H2464" s="2461" t="s">
        <v>1454</v>
      </c>
      <c r="I2464" s="2462">
        <v>0.36515803188514445</v>
      </c>
      <c r="J2464" s="2462">
        <v>575.55250575358923</v>
      </c>
    </row>
    <row r="2465" spans="1:10" outlineLevel="2">
      <c r="A2465" s="2459" t="s">
        <v>1669</v>
      </c>
      <c r="B2465" s="2459" t="s">
        <v>1654</v>
      </c>
      <c r="C2465" s="2459" t="s">
        <v>1672</v>
      </c>
      <c r="D2465" s="2460" t="s">
        <v>1671</v>
      </c>
      <c r="E2465" s="2461" t="s">
        <v>213</v>
      </c>
      <c r="F2465" s="2461" t="s">
        <v>1525</v>
      </c>
      <c r="G2465" s="2461" t="s">
        <v>1421</v>
      </c>
      <c r="H2465" s="2461" t="s">
        <v>1454</v>
      </c>
      <c r="I2465" s="2462">
        <v>0.64328473694404043</v>
      </c>
      <c r="J2465" s="2462">
        <v>909.35733720030555</v>
      </c>
    </row>
    <row r="2466" spans="1:10" outlineLevel="2">
      <c r="A2466" s="2459" t="s">
        <v>1669</v>
      </c>
      <c r="B2466" s="2459" t="s">
        <v>1654</v>
      </c>
      <c r="C2466" s="2459" t="s">
        <v>1672</v>
      </c>
      <c r="D2466" s="2460" t="s">
        <v>1671</v>
      </c>
      <c r="E2466" s="2461" t="s">
        <v>213</v>
      </c>
      <c r="F2466" s="2461" t="s">
        <v>1526</v>
      </c>
      <c r="G2466" s="2461" t="s">
        <v>1421</v>
      </c>
      <c r="H2466" s="2461" t="s">
        <v>1454</v>
      </c>
      <c r="I2466" s="2462">
        <v>2.9801663182322972E-2</v>
      </c>
      <c r="J2466" s="2462">
        <v>42.665560639536821</v>
      </c>
    </row>
    <row r="2467" spans="1:10" outlineLevel="2">
      <c r="A2467" s="2459" t="s">
        <v>1669</v>
      </c>
      <c r="B2467" s="2459" t="s">
        <v>1654</v>
      </c>
      <c r="C2467" s="2459" t="s">
        <v>1672</v>
      </c>
      <c r="D2467" s="2460" t="s">
        <v>1671</v>
      </c>
      <c r="E2467" s="2461" t="s">
        <v>213</v>
      </c>
      <c r="F2467" s="2461" t="s">
        <v>1527</v>
      </c>
      <c r="G2467" s="2461" t="s">
        <v>1459</v>
      </c>
      <c r="H2467" s="2461" t="s">
        <v>1460</v>
      </c>
      <c r="I2467" s="2462">
        <v>1.3783046212037253E-2</v>
      </c>
      <c r="J2467" s="2462">
        <v>14.356639510673219</v>
      </c>
    </row>
    <row r="2468" spans="1:10" outlineLevel="2">
      <c r="A2468" s="2459" t="s">
        <v>1669</v>
      </c>
      <c r="B2468" s="2459" t="s">
        <v>1654</v>
      </c>
      <c r="C2468" s="2459" t="s">
        <v>1672</v>
      </c>
      <c r="D2468" s="2460" t="s">
        <v>1671</v>
      </c>
      <c r="E2468" s="2461" t="s">
        <v>213</v>
      </c>
      <c r="F2468" s="2461" t="s">
        <v>1528</v>
      </c>
      <c r="G2468" s="2461" t="s">
        <v>1459</v>
      </c>
      <c r="H2468" s="2461" t="s">
        <v>1460</v>
      </c>
      <c r="I2468" s="2462">
        <v>1.1997573917204813E-4</v>
      </c>
      <c r="J2468" s="2462">
        <v>0.15300778544793542</v>
      </c>
    </row>
    <row r="2469" spans="1:10" outlineLevel="2">
      <c r="A2469" s="2459" t="s">
        <v>1669</v>
      </c>
      <c r="B2469" s="2459" t="s">
        <v>1654</v>
      </c>
      <c r="C2469" s="2459" t="s">
        <v>1672</v>
      </c>
      <c r="D2469" s="2460" t="s">
        <v>1671</v>
      </c>
      <c r="E2469" s="2461" t="s">
        <v>213</v>
      </c>
      <c r="F2469" s="2461" t="s">
        <v>1642</v>
      </c>
      <c r="G2469" s="2461" t="s">
        <v>1412</v>
      </c>
      <c r="H2469" s="2461" t="s">
        <v>1116</v>
      </c>
      <c r="I2469" s="2462">
        <v>3.9860801113510069E-3</v>
      </c>
      <c r="J2469" s="2462">
        <v>4.9173725832598691</v>
      </c>
    </row>
    <row r="2470" spans="1:10" outlineLevel="2">
      <c r="A2470" s="2459" t="s">
        <v>1669</v>
      </c>
      <c r="B2470" s="2459" t="s">
        <v>1654</v>
      </c>
      <c r="C2470" s="2459" t="s">
        <v>1672</v>
      </c>
      <c r="D2470" s="2460" t="s">
        <v>1671</v>
      </c>
      <c r="E2470" s="2461" t="s">
        <v>213</v>
      </c>
      <c r="F2470" s="2461" t="s">
        <v>1529</v>
      </c>
      <c r="G2470" s="2461" t="s">
        <v>1530</v>
      </c>
      <c r="H2470" s="2461" t="s">
        <v>1531</v>
      </c>
      <c r="I2470" s="2462">
        <v>4.0709229974090331</v>
      </c>
      <c r="J2470" s="2462">
        <v>3463.617186082537</v>
      </c>
    </row>
    <row r="2471" spans="1:10" outlineLevel="2">
      <c r="A2471" s="2459" t="s">
        <v>1669</v>
      </c>
      <c r="B2471" s="2459" t="s">
        <v>1654</v>
      </c>
      <c r="C2471" s="2459" t="s">
        <v>1672</v>
      </c>
      <c r="D2471" s="2460" t="s">
        <v>1671</v>
      </c>
      <c r="E2471" s="2461" t="s">
        <v>213</v>
      </c>
      <c r="F2471" s="2461" t="s">
        <v>1532</v>
      </c>
      <c r="G2471" s="2461" t="s">
        <v>1530</v>
      </c>
      <c r="H2471" s="2461" t="s">
        <v>1531</v>
      </c>
      <c r="I2471" s="2462">
        <v>1.7135026286576813</v>
      </c>
      <c r="J2471" s="2462">
        <v>1461.8073023609545</v>
      </c>
    </row>
    <row r="2472" spans="1:10" outlineLevel="2">
      <c r="A2472" s="2459" t="s">
        <v>1669</v>
      </c>
      <c r="B2472" s="2459" t="s">
        <v>1654</v>
      </c>
      <c r="C2472" s="2459" t="s">
        <v>1672</v>
      </c>
      <c r="D2472" s="2460" t="s">
        <v>1671</v>
      </c>
      <c r="E2472" s="2461" t="s">
        <v>213</v>
      </c>
      <c r="F2472" s="2461" t="s">
        <v>1533</v>
      </c>
      <c r="G2472" s="2461" t="s">
        <v>1534</v>
      </c>
      <c r="H2472" s="2461" t="s">
        <v>1531</v>
      </c>
      <c r="I2472" s="2462">
        <v>1.4509477843060312</v>
      </c>
      <c r="J2472" s="2462">
        <v>2436.8694094577368</v>
      </c>
    </row>
    <row r="2473" spans="1:10" outlineLevel="2">
      <c r="A2473" s="2459" t="s">
        <v>1669</v>
      </c>
      <c r="B2473" s="2459" t="s">
        <v>1654</v>
      </c>
      <c r="C2473" s="2459" t="s">
        <v>1672</v>
      </c>
      <c r="D2473" s="2460" t="s">
        <v>1671</v>
      </c>
      <c r="E2473" s="2461" t="s">
        <v>213</v>
      </c>
      <c r="F2473" s="2461" t="s">
        <v>1535</v>
      </c>
      <c r="G2473" s="2461" t="s">
        <v>1536</v>
      </c>
      <c r="H2473" s="2461" t="s">
        <v>1537</v>
      </c>
      <c r="I2473" s="2462">
        <v>5.07703716267985E-3</v>
      </c>
      <c r="J2473" s="2462">
        <v>7.5535775745382443</v>
      </c>
    </row>
    <row r="2474" spans="1:10" outlineLevel="2">
      <c r="A2474" s="2459" t="s">
        <v>1669</v>
      </c>
      <c r="B2474" s="2459" t="s">
        <v>1654</v>
      </c>
      <c r="C2474" s="2459" t="s">
        <v>1672</v>
      </c>
      <c r="D2474" s="2460" t="s">
        <v>1671</v>
      </c>
      <c r="E2474" s="2461" t="s">
        <v>1538</v>
      </c>
      <c r="F2474" s="2461" t="s">
        <v>1539</v>
      </c>
      <c r="G2474" s="2461" t="s">
        <v>1426</v>
      </c>
      <c r="H2474" s="2461" t="s">
        <v>1540</v>
      </c>
      <c r="I2474" s="2462">
        <v>6.4088473016613405E-3</v>
      </c>
      <c r="J2474" s="2462">
        <v>12.273256092384759</v>
      </c>
    </row>
    <row r="2475" spans="1:10" outlineLevel="2">
      <c r="A2475" s="2459" t="s">
        <v>1669</v>
      </c>
      <c r="B2475" s="2459" t="s">
        <v>1654</v>
      </c>
      <c r="C2475" s="2459" t="s">
        <v>1672</v>
      </c>
      <c r="D2475" s="2460" t="s">
        <v>1671</v>
      </c>
      <c r="E2475" s="2461" t="s">
        <v>1538</v>
      </c>
      <c r="F2475" s="2461" t="s">
        <v>1541</v>
      </c>
      <c r="G2475" s="2461" t="s">
        <v>1409</v>
      </c>
      <c r="H2475" s="2461" t="s">
        <v>1540</v>
      </c>
      <c r="I2475" s="2462">
        <v>8.1143769771941591E-4</v>
      </c>
      <c r="J2475" s="2462">
        <v>3.777238174506103</v>
      </c>
    </row>
    <row r="2476" spans="1:10" outlineLevel="2">
      <c r="A2476" s="2459" t="s">
        <v>1669</v>
      </c>
      <c r="B2476" s="2459" t="s">
        <v>1654</v>
      </c>
      <c r="C2476" s="2459" t="s">
        <v>1672</v>
      </c>
      <c r="D2476" s="2460" t="s">
        <v>1671</v>
      </c>
      <c r="E2476" s="2461" t="s">
        <v>1538</v>
      </c>
      <c r="F2476" s="2461" t="s">
        <v>1542</v>
      </c>
      <c r="G2476" s="2461" t="s">
        <v>1409</v>
      </c>
      <c r="H2476" s="2461" t="s">
        <v>1540</v>
      </c>
      <c r="I2476" s="2462">
        <v>4.3519995813392701E-4</v>
      </c>
      <c r="J2476" s="2462">
        <v>6.3168686936411023</v>
      </c>
    </row>
    <row r="2477" spans="1:10" outlineLevel="2">
      <c r="A2477" s="2459" t="s">
        <v>1669</v>
      </c>
      <c r="B2477" s="2459" t="s">
        <v>1654</v>
      </c>
      <c r="C2477" s="2459" t="s">
        <v>1672</v>
      </c>
      <c r="D2477" s="2460" t="s">
        <v>1671</v>
      </c>
      <c r="E2477" s="2461" t="s">
        <v>1538</v>
      </c>
      <c r="F2477" s="2461" t="s">
        <v>1543</v>
      </c>
      <c r="G2477" s="2461" t="s">
        <v>1409</v>
      </c>
      <c r="H2477" s="2461" t="s">
        <v>1540</v>
      </c>
      <c r="I2477" s="2462">
        <v>6.4525203318326313E-4</v>
      </c>
      <c r="J2477" s="2462">
        <v>1.1155529972538862</v>
      </c>
    </row>
    <row r="2478" spans="1:10" outlineLevel="2">
      <c r="A2478" s="2459" t="s">
        <v>1669</v>
      </c>
      <c r="B2478" s="2459" t="s">
        <v>1654</v>
      </c>
      <c r="C2478" s="2459" t="s">
        <v>1672</v>
      </c>
      <c r="D2478" s="2460" t="s">
        <v>1671</v>
      </c>
      <c r="E2478" s="2461" t="s">
        <v>1538</v>
      </c>
      <c r="F2478" s="2461" t="s">
        <v>1544</v>
      </c>
      <c r="G2478" s="2461" t="s">
        <v>1409</v>
      </c>
      <c r="H2478" s="2461" t="s">
        <v>1540</v>
      </c>
      <c r="I2478" s="2462">
        <v>1.1813219631145028E-4</v>
      </c>
      <c r="J2478" s="2462">
        <v>0.64673698791563905</v>
      </c>
    </row>
    <row r="2479" spans="1:10" outlineLevel="2">
      <c r="A2479" s="2459" t="s">
        <v>1669</v>
      </c>
      <c r="B2479" s="2459" t="s">
        <v>1654</v>
      </c>
      <c r="C2479" s="2459" t="s">
        <v>1672</v>
      </c>
      <c r="D2479" s="2460" t="s">
        <v>1671</v>
      </c>
      <c r="E2479" s="2461" t="s">
        <v>1538</v>
      </c>
      <c r="F2479" s="2461" t="s">
        <v>1545</v>
      </c>
      <c r="G2479" s="2461" t="s">
        <v>1409</v>
      </c>
      <c r="H2479" s="2461" t="s">
        <v>1540</v>
      </c>
      <c r="I2479" s="2462">
        <v>2.6146743526272607E-3</v>
      </c>
      <c r="J2479" s="2462">
        <v>11.681541244742693</v>
      </c>
    </row>
    <row r="2480" spans="1:10" outlineLevel="2">
      <c r="A2480" s="2459" t="s">
        <v>1669</v>
      </c>
      <c r="B2480" s="2459" t="s">
        <v>1654</v>
      </c>
      <c r="C2480" s="2459" t="s">
        <v>1672</v>
      </c>
      <c r="D2480" s="2460" t="s">
        <v>1671</v>
      </c>
      <c r="E2480" s="2461" t="s">
        <v>1538</v>
      </c>
      <c r="F2480" s="2461" t="s">
        <v>1546</v>
      </c>
      <c r="G2480" s="2461" t="s">
        <v>1409</v>
      </c>
      <c r="H2480" s="2461" t="s">
        <v>1540</v>
      </c>
      <c r="I2480" s="2462">
        <v>5.0014038408585405E-3</v>
      </c>
      <c r="J2480" s="2462">
        <v>5.8673911906790428</v>
      </c>
    </row>
    <row r="2481" spans="1:10" outlineLevel="2">
      <c r="A2481" s="2459" t="s">
        <v>1669</v>
      </c>
      <c r="B2481" s="2459" t="s">
        <v>1654</v>
      </c>
      <c r="C2481" s="2459" t="s">
        <v>1672</v>
      </c>
      <c r="D2481" s="2460" t="s">
        <v>1671</v>
      </c>
      <c r="E2481" s="2461" t="s">
        <v>1538</v>
      </c>
      <c r="F2481" s="2461" t="s">
        <v>1547</v>
      </c>
      <c r="G2481" s="2461" t="s">
        <v>1409</v>
      </c>
      <c r="H2481" s="2461" t="s">
        <v>1540</v>
      </c>
      <c r="I2481" s="2462">
        <v>5.4321823404911086E-4</v>
      </c>
      <c r="J2481" s="2462">
        <v>10.80757664948988</v>
      </c>
    </row>
    <row r="2482" spans="1:10" outlineLevel="2">
      <c r="A2482" s="2459" t="s">
        <v>1669</v>
      </c>
      <c r="B2482" s="2459" t="s">
        <v>1654</v>
      </c>
      <c r="C2482" s="2459" t="s">
        <v>1672</v>
      </c>
      <c r="D2482" s="2460" t="s">
        <v>1671</v>
      </c>
      <c r="E2482" s="2461" t="s">
        <v>1538</v>
      </c>
      <c r="F2482" s="2461" t="s">
        <v>1548</v>
      </c>
      <c r="G2482" s="2461" t="s">
        <v>1409</v>
      </c>
      <c r="H2482" s="2461" t="s">
        <v>1540</v>
      </c>
      <c r="I2482" s="2462">
        <v>2.5212141689225464E-3</v>
      </c>
      <c r="J2482" s="2462">
        <v>4.4037351890539425</v>
      </c>
    </row>
    <row r="2483" spans="1:10" outlineLevel="2">
      <c r="A2483" s="2459" t="s">
        <v>1669</v>
      </c>
      <c r="B2483" s="2459" t="s">
        <v>1654</v>
      </c>
      <c r="C2483" s="2459" t="s">
        <v>1672</v>
      </c>
      <c r="D2483" s="2460" t="s">
        <v>1671</v>
      </c>
      <c r="E2483" s="2461" t="s">
        <v>1538</v>
      </c>
      <c r="F2483" s="2461" t="s">
        <v>1549</v>
      </c>
      <c r="G2483" s="2461" t="s">
        <v>1409</v>
      </c>
      <c r="H2483" s="2461" t="s">
        <v>1540</v>
      </c>
      <c r="I2483" s="2462">
        <v>3.7689257430250099E-4</v>
      </c>
      <c r="J2483" s="2462">
        <v>0.72177208330510734</v>
      </c>
    </row>
    <row r="2484" spans="1:10" outlineLevel="2">
      <c r="A2484" s="2459" t="s">
        <v>1669</v>
      </c>
      <c r="B2484" s="2459" t="s">
        <v>1654</v>
      </c>
      <c r="C2484" s="2459" t="s">
        <v>1672</v>
      </c>
      <c r="D2484" s="2460" t="s">
        <v>1671</v>
      </c>
      <c r="E2484" s="2461" t="s">
        <v>1538</v>
      </c>
      <c r="F2484" s="2461" t="s">
        <v>1550</v>
      </c>
      <c r="G2484" s="2461" t="s">
        <v>1409</v>
      </c>
      <c r="H2484" s="2461" t="s">
        <v>1540</v>
      </c>
      <c r="I2484" s="2462">
        <v>2.0655630415784628E-3</v>
      </c>
      <c r="J2484" s="2462">
        <v>7.5051733090467954</v>
      </c>
    </row>
    <row r="2485" spans="1:10" outlineLevel="2">
      <c r="A2485" s="2459" t="s">
        <v>1669</v>
      </c>
      <c r="B2485" s="2459" t="s">
        <v>1654</v>
      </c>
      <c r="C2485" s="2459" t="s">
        <v>1672</v>
      </c>
      <c r="D2485" s="2460" t="s">
        <v>1671</v>
      </c>
      <c r="E2485" s="2461" t="s">
        <v>1538</v>
      </c>
      <c r="F2485" s="2461" t="s">
        <v>1551</v>
      </c>
      <c r="G2485" s="2461" t="s">
        <v>1409</v>
      </c>
      <c r="H2485" s="2461" t="s">
        <v>1540</v>
      </c>
      <c r="I2485" s="2462">
        <v>1.7016875459431125E-3</v>
      </c>
      <c r="J2485" s="2462">
        <v>18.123350837131571</v>
      </c>
    </row>
    <row r="2486" spans="1:10" outlineLevel="2">
      <c r="A2486" s="2459" t="s">
        <v>1669</v>
      </c>
      <c r="B2486" s="2459" t="s">
        <v>1654</v>
      </c>
      <c r="C2486" s="2459" t="s">
        <v>1672</v>
      </c>
      <c r="D2486" s="2460" t="s">
        <v>1671</v>
      </c>
      <c r="E2486" s="2461" t="s">
        <v>1538</v>
      </c>
      <c r="F2486" s="2461" t="s">
        <v>1552</v>
      </c>
      <c r="G2486" s="2461" t="s">
        <v>1409</v>
      </c>
      <c r="H2486" s="2461" t="s">
        <v>1540</v>
      </c>
      <c r="I2486" s="2462">
        <v>1.1973841217022907E-4</v>
      </c>
      <c r="J2486" s="2462">
        <v>1.9068131000746593</v>
      </c>
    </row>
    <row r="2487" spans="1:10" outlineLevel="2">
      <c r="A2487" s="2459" t="s">
        <v>1669</v>
      </c>
      <c r="B2487" s="2459" t="s">
        <v>1654</v>
      </c>
      <c r="C2487" s="2459" t="s">
        <v>1672</v>
      </c>
      <c r="D2487" s="2460" t="s">
        <v>1671</v>
      </c>
      <c r="E2487" s="2461" t="s">
        <v>1538</v>
      </c>
      <c r="F2487" s="2461" t="s">
        <v>1553</v>
      </c>
      <c r="G2487" s="2461" t="s">
        <v>1409</v>
      </c>
      <c r="H2487" s="2461" t="s">
        <v>1540</v>
      </c>
      <c r="I2487" s="2462">
        <v>8.8797655312224822E-3</v>
      </c>
      <c r="J2487" s="2462">
        <v>16.324592309900208</v>
      </c>
    </row>
    <row r="2488" spans="1:10" outlineLevel="2">
      <c r="A2488" s="2459" t="s">
        <v>1669</v>
      </c>
      <c r="B2488" s="2459" t="s">
        <v>1654</v>
      </c>
      <c r="C2488" s="2459" t="s">
        <v>1672</v>
      </c>
      <c r="D2488" s="2460" t="s">
        <v>1671</v>
      </c>
      <c r="E2488" s="2461" t="s">
        <v>1538</v>
      </c>
      <c r="F2488" s="2461" t="s">
        <v>1554</v>
      </c>
      <c r="G2488" s="2461" t="s">
        <v>1409</v>
      </c>
      <c r="H2488" s="2461" t="s">
        <v>1540</v>
      </c>
      <c r="I2488" s="2462">
        <v>4.9495712308092535E-3</v>
      </c>
      <c r="J2488" s="2462">
        <v>6.8509770354108674</v>
      </c>
    </row>
    <row r="2489" spans="1:10" outlineLevel="2">
      <c r="A2489" s="2459" t="s">
        <v>1669</v>
      </c>
      <c r="B2489" s="2459" t="s">
        <v>1654</v>
      </c>
      <c r="C2489" s="2459" t="s">
        <v>1672</v>
      </c>
      <c r="D2489" s="2460" t="s">
        <v>1671</v>
      </c>
      <c r="E2489" s="2461" t="s">
        <v>1538</v>
      </c>
      <c r="F2489" s="2461" t="s">
        <v>1555</v>
      </c>
      <c r="G2489" s="2461" t="s">
        <v>1412</v>
      </c>
      <c r="H2489" s="2461" t="s">
        <v>1540</v>
      </c>
      <c r="I2489" s="2462">
        <v>2.1571977374680831E-2</v>
      </c>
      <c r="J2489" s="2462">
        <v>66.406933698942012</v>
      </c>
    </row>
    <row r="2490" spans="1:10" outlineLevel="2">
      <c r="A2490" s="2459" t="s">
        <v>1669</v>
      </c>
      <c r="B2490" s="2459" t="s">
        <v>1654</v>
      </c>
      <c r="C2490" s="2459" t="s">
        <v>1672</v>
      </c>
      <c r="D2490" s="2460" t="s">
        <v>1671</v>
      </c>
      <c r="E2490" s="2461" t="s">
        <v>1538</v>
      </c>
      <c r="F2490" s="2461" t="s">
        <v>1556</v>
      </c>
      <c r="G2490" s="2461" t="s">
        <v>1412</v>
      </c>
      <c r="H2490" s="2461" t="s">
        <v>1540</v>
      </c>
      <c r="I2490" s="2462">
        <v>0.42886536396274394</v>
      </c>
      <c r="J2490" s="2462">
        <v>6040.4372936276368</v>
      </c>
    </row>
    <row r="2491" spans="1:10" outlineLevel="2">
      <c r="A2491" s="2459" t="s">
        <v>1669</v>
      </c>
      <c r="B2491" s="2459" t="s">
        <v>1654</v>
      </c>
      <c r="C2491" s="2459" t="s">
        <v>1672</v>
      </c>
      <c r="D2491" s="2460" t="s">
        <v>1671</v>
      </c>
      <c r="E2491" s="2461" t="s">
        <v>1538</v>
      </c>
      <c r="F2491" s="2461" t="s">
        <v>1557</v>
      </c>
      <c r="G2491" s="2461" t="s">
        <v>1412</v>
      </c>
      <c r="H2491" s="2461" t="s">
        <v>1540</v>
      </c>
      <c r="I2491" s="2462">
        <v>2.553249773017967E-3</v>
      </c>
      <c r="J2491" s="2462">
        <v>44.998925341244941</v>
      </c>
    </row>
    <row r="2492" spans="1:10" outlineLevel="2">
      <c r="A2492" s="2459" t="s">
        <v>1669</v>
      </c>
      <c r="B2492" s="2459" t="s">
        <v>1654</v>
      </c>
      <c r="C2492" s="2459" t="s">
        <v>1672</v>
      </c>
      <c r="D2492" s="2460" t="s">
        <v>1671</v>
      </c>
      <c r="E2492" s="2461" t="s">
        <v>1538</v>
      </c>
      <c r="F2492" s="2461" t="s">
        <v>1558</v>
      </c>
      <c r="G2492" s="2461" t="s">
        <v>1412</v>
      </c>
      <c r="H2492" s="2461" t="s">
        <v>1540</v>
      </c>
      <c r="I2492" s="2462">
        <v>8.5411276126483348E-4</v>
      </c>
      <c r="J2492" s="2462">
        <v>14.194267871363619</v>
      </c>
    </row>
    <row r="2493" spans="1:10" outlineLevel="2">
      <c r="A2493" s="2459" t="s">
        <v>1669</v>
      </c>
      <c r="B2493" s="2459" t="s">
        <v>1654</v>
      </c>
      <c r="C2493" s="2459" t="s">
        <v>1672</v>
      </c>
      <c r="D2493" s="2460" t="s">
        <v>1671</v>
      </c>
      <c r="E2493" s="2461" t="s">
        <v>1538</v>
      </c>
      <c r="F2493" s="2461" t="s">
        <v>1559</v>
      </c>
      <c r="G2493" s="2461" t="s">
        <v>1412</v>
      </c>
      <c r="H2493" s="2461" t="s">
        <v>1540</v>
      </c>
      <c r="I2493" s="2462">
        <v>9.1197997759482838E-4</v>
      </c>
      <c r="J2493" s="2462">
        <v>3.5055601834932091</v>
      </c>
    </row>
    <row r="2494" spans="1:10" outlineLevel="2">
      <c r="A2494" s="2459" t="s">
        <v>1669</v>
      </c>
      <c r="B2494" s="2459" t="s">
        <v>1654</v>
      </c>
      <c r="C2494" s="2459" t="s">
        <v>1672</v>
      </c>
      <c r="D2494" s="2460" t="s">
        <v>1671</v>
      </c>
      <c r="E2494" s="2461" t="s">
        <v>1538</v>
      </c>
      <c r="F2494" s="2461" t="s">
        <v>1560</v>
      </c>
      <c r="G2494" s="2461" t="s">
        <v>1412</v>
      </c>
      <c r="H2494" s="2461" t="s">
        <v>1540</v>
      </c>
      <c r="I2494" s="2462">
        <v>1.2800770652950427E-3</v>
      </c>
      <c r="J2494" s="2462">
        <v>27.878941376332044</v>
      </c>
    </row>
    <row r="2495" spans="1:10" outlineLevel="2">
      <c r="A2495" s="2459" t="s">
        <v>1669</v>
      </c>
      <c r="B2495" s="2459" t="s">
        <v>1654</v>
      </c>
      <c r="C2495" s="2459" t="s">
        <v>1672</v>
      </c>
      <c r="D2495" s="2460" t="s">
        <v>1671</v>
      </c>
      <c r="E2495" s="2461" t="s">
        <v>1538</v>
      </c>
      <c r="F2495" s="2461" t="s">
        <v>1561</v>
      </c>
      <c r="G2495" s="2461" t="s">
        <v>1439</v>
      </c>
      <c r="H2495" s="2461" t="s">
        <v>1540</v>
      </c>
      <c r="I2495" s="2462">
        <v>7.0096686131905271E-3</v>
      </c>
      <c r="J2495" s="2462">
        <v>106.22660248471976</v>
      </c>
    </row>
    <row r="2496" spans="1:10" outlineLevel="2">
      <c r="A2496" s="2459" t="s">
        <v>1669</v>
      </c>
      <c r="B2496" s="2459" t="s">
        <v>1654</v>
      </c>
      <c r="C2496" s="2459" t="s">
        <v>1672</v>
      </c>
      <c r="D2496" s="2460" t="s">
        <v>1671</v>
      </c>
      <c r="E2496" s="2461" t="s">
        <v>1538</v>
      </c>
      <c r="F2496" s="2461" t="s">
        <v>1562</v>
      </c>
      <c r="G2496" s="2461" t="s">
        <v>1418</v>
      </c>
      <c r="H2496" s="2461" t="s">
        <v>1540</v>
      </c>
      <c r="I2496" s="2462">
        <v>2.4871748719364576E-5</v>
      </c>
      <c r="J2496" s="2462">
        <v>3.1340460227817155E-2</v>
      </c>
    </row>
    <row r="2497" spans="1:10" outlineLevel="2">
      <c r="A2497" s="2459" t="s">
        <v>1669</v>
      </c>
      <c r="B2497" s="2459" t="s">
        <v>1654</v>
      </c>
      <c r="C2497" s="2459" t="s">
        <v>1672</v>
      </c>
      <c r="D2497" s="2460" t="s">
        <v>1671</v>
      </c>
      <c r="E2497" s="2461" t="s">
        <v>1538</v>
      </c>
      <c r="F2497" s="2461" t="s">
        <v>1563</v>
      </c>
      <c r="G2497" s="2461" t="s">
        <v>1418</v>
      </c>
      <c r="H2497" s="2461" t="s">
        <v>1540</v>
      </c>
      <c r="I2497" s="2462">
        <v>3.603688767990184E-6</v>
      </c>
      <c r="J2497" s="2462">
        <v>6.1042391872626514E-2</v>
      </c>
    </row>
    <row r="2498" spans="1:10" outlineLevel="2">
      <c r="A2498" s="2459" t="s">
        <v>1669</v>
      </c>
      <c r="B2498" s="2459" t="s">
        <v>1654</v>
      </c>
      <c r="C2498" s="2459" t="s">
        <v>1672</v>
      </c>
      <c r="D2498" s="2460" t="s">
        <v>1671</v>
      </c>
      <c r="E2498" s="2461" t="s">
        <v>1538</v>
      </c>
      <c r="F2498" s="2461" t="s">
        <v>1564</v>
      </c>
      <c r="G2498" s="2461" t="s">
        <v>1421</v>
      </c>
      <c r="H2498" s="2461" t="s">
        <v>1540</v>
      </c>
      <c r="I2498" s="2462">
        <v>7.9210391859439427E-2</v>
      </c>
      <c r="J2498" s="2462">
        <v>194.48706505731386</v>
      </c>
    </row>
    <row r="2499" spans="1:10" outlineLevel="2">
      <c r="A2499" s="2459" t="s">
        <v>1669</v>
      </c>
      <c r="B2499" s="2459" t="s">
        <v>1654</v>
      </c>
      <c r="C2499" s="2459" t="s">
        <v>1672</v>
      </c>
      <c r="D2499" s="2460" t="s">
        <v>1671</v>
      </c>
      <c r="E2499" s="2461" t="s">
        <v>1538</v>
      </c>
      <c r="F2499" s="2461" t="s">
        <v>1565</v>
      </c>
      <c r="G2499" s="2461" t="s">
        <v>1421</v>
      </c>
      <c r="H2499" s="2461" t="s">
        <v>1540</v>
      </c>
      <c r="I2499" s="2462">
        <v>9.3203959834171415E-3</v>
      </c>
      <c r="J2499" s="2462">
        <v>42.570773419547571</v>
      </c>
    </row>
    <row r="2500" spans="1:10" outlineLevel="2">
      <c r="A2500" s="2459" t="s">
        <v>1669</v>
      </c>
      <c r="B2500" s="2459" t="s">
        <v>1654</v>
      </c>
      <c r="C2500" s="2459" t="s">
        <v>1672</v>
      </c>
      <c r="D2500" s="2460" t="s">
        <v>1671</v>
      </c>
      <c r="E2500" s="2461" t="s">
        <v>1538</v>
      </c>
      <c r="F2500" s="2461" t="s">
        <v>1566</v>
      </c>
      <c r="G2500" s="2461" t="s">
        <v>1421</v>
      </c>
      <c r="H2500" s="2461" t="s">
        <v>1540</v>
      </c>
      <c r="I2500" s="2462">
        <v>4.8597369781880678E-3</v>
      </c>
      <c r="J2500" s="2462">
        <v>49.708773486223158</v>
      </c>
    </row>
    <row r="2501" spans="1:10" outlineLevel="2">
      <c r="A2501" s="2459" t="s">
        <v>1669</v>
      </c>
      <c r="B2501" s="2459" t="s">
        <v>1654</v>
      </c>
      <c r="C2501" s="2459" t="s">
        <v>1672</v>
      </c>
      <c r="D2501" s="2460" t="s">
        <v>1671</v>
      </c>
      <c r="E2501" s="2461" t="s">
        <v>1538</v>
      </c>
      <c r="F2501" s="2461" t="s">
        <v>1567</v>
      </c>
      <c r="G2501" s="2461" t="s">
        <v>1421</v>
      </c>
      <c r="H2501" s="2461" t="s">
        <v>1540</v>
      </c>
      <c r="I2501" s="2462">
        <v>8.0452614557581219E-3</v>
      </c>
      <c r="J2501" s="2462">
        <v>61.780744033512271</v>
      </c>
    </row>
    <row r="2502" spans="1:10" outlineLevel="2">
      <c r="A2502" s="2459" t="s">
        <v>1669</v>
      </c>
      <c r="B2502" s="2459" t="s">
        <v>1654</v>
      </c>
      <c r="C2502" s="2459" t="s">
        <v>1672</v>
      </c>
      <c r="D2502" s="2460" t="s">
        <v>1671</v>
      </c>
      <c r="E2502" s="2461" t="s">
        <v>1538</v>
      </c>
      <c r="F2502" s="2461" t="s">
        <v>1568</v>
      </c>
      <c r="G2502" s="2461" t="s">
        <v>1421</v>
      </c>
      <c r="H2502" s="2461" t="s">
        <v>1540</v>
      </c>
      <c r="I2502" s="2462">
        <v>2.7849606687606879E-4</v>
      </c>
      <c r="J2502" s="2462">
        <v>0.84025245364169276</v>
      </c>
    </row>
    <row r="2503" spans="1:10" outlineLevel="2">
      <c r="A2503" s="2459" t="s">
        <v>1669</v>
      </c>
      <c r="B2503" s="2459" t="s">
        <v>1654</v>
      </c>
      <c r="C2503" s="2459" t="s">
        <v>1672</v>
      </c>
      <c r="D2503" s="2460" t="s">
        <v>1671</v>
      </c>
      <c r="E2503" s="2461" t="s">
        <v>1538</v>
      </c>
      <c r="F2503" s="2461" t="s">
        <v>1569</v>
      </c>
      <c r="G2503" s="2461" t="s">
        <v>1421</v>
      </c>
      <c r="H2503" s="2461" t="s">
        <v>1540</v>
      </c>
      <c r="I2503" s="2462">
        <v>6.6016939422581947E-5</v>
      </c>
      <c r="J2503" s="2462">
        <v>0.76287668961085819</v>
      </c>
    </row>
    <row r="2504" spans="1:10" outlineLevel="2">
      <c r="A2504" s="2459" t="s">
        <v>1669</v>
      </c>
      <c r="B2504" s="2459" t="s">
        <v>1654</v>
      </c>
      <c r="C2504" s="2459" t="s">
        <v>1672</v>
      </c>
      <c r="D2504" s="2460" t="s">
        <v>1671</v>
      </c>
      <c r="E2504" s="2461" t="s">
        <v>1538</v>
      </c>
      <c r="F2504" s="2461" t="s">
        <v>1570</v>
      </c>
      <c r="G2504" s="2461" t="s">
        <v>899</v>
      </c>
      <c r="H2504" s="2461" t="s">
        <v>1540</v>
      </c>
      <c r="I2504" s="2462">
        <v>5.3072877003613817E-5</v>
      </c>
      <c r="J2504" s="2462">
        <v>0.22929307723739301</v>
      </c>
    </row>
    <row r="2505" spans="1:10" outlineLevel="2">
      <c r="A2505" s="2459" t="s">
        <v>1669</v>
      </c>
      <c r="B2505" s="2459" t="s">
        <v>1654</v>
      </c>
      <c r="C2505" s="2459" t="s">
        <v>1672</v>
      </c>
      <c r="D2505" s="2460" t="s">
        <v>1671</v>
      </c>
      <c r="E2505" s="2461" t="s">
        <v>1400</v>
      </c>
      <c r="F2505" s="2461" t="s">
        <v>1571</v>
      </c>
      <c r="G2505" s="2461" t="s">
        <v>215</v>
      </c>
      <c r="H2505" s="2461" t="s">
        <v>1531</v>
      </c>
      <c r="I2505" s="2462">
        <v>5.1448392002458987E-2</v>
      </c>
      <c r="J2505" s="2462">
        <v>1851.6674811096934</v>
      </c>
    </row>
    <row r="2506" spans="1:10" outlineLevel="2">
      <c r="A2506" s="2459" t="s">
        <v>1669</v>
      </c>
      <c r="B2506" s="2459" t="s">
        <v>1654</v>
      </c>
      <c r="C2506" s="2459" t="s">
        <v>1672</v>
      </c>
      <c r="D2506" s="2460" t="s">
        <v>1671</v>
      </c>
      <c r="E2506" s="2461" t="s">
        <v>1400</v>
      </c>
      <c r="F2506" s="2461" t="s">
        <v>1572</v>
      </c>
      <c r="G2506" s="2461" t="s">
        <v>215</v>
      </c>
      <c r="H2506" s="2461" t="s">
        <v>1531</v>
      </c>
      <c r="I2506" s="2462">
        <v>3.612963233984945E-4</v>
      </c>
      <c r="J2506" s="2462">
        <v>6.8535887843543133</v>
      </c>
    </row>
    <row r="2507" spans="1:10" outlineLevel="2">
      <c r="A2507" s="2459" t="s">
        <v>1669</v>
      </c>
      <c r="B2507" s="2459" t="s">
        <v>1654</v>
      </c>
      <c r="C2507" s="2459" t="s">
        <v>1672</v>
      </c>
      <c r="D2507" s="2460" t="s">
        <v>1671</v>
      </c>
      <c r="E2507" s="2461" t="s">
        <v>1573</v>
      </c>
      <c r="F2507" s="2461" t="s">
        <v>1574</v>
      </c>
      <c r="G2507" s="2461" t="s">
        <v>1426</v>
      </c>
      <c r="H2507" s="2461" t="s">
        <v>1427</v>
      </c>
      <c r="I2507" s="2462">
        <v>7.769544114533255E-3</v>
      </c>
      <c r="J2507" s="2462">
        <v>192.07412531560615</v>
      </c>
    </row>
    <row r="2508" spans="1:10" outlineLevel="2">
      <c r="A2508" s="2459" t="s">
        <v>1669</v>
      </c>
      <c r="B2508" s="2459" t="s">
        <v>1654</v>
      </c>
      <c r="C2508" s="2459" t="s">
        <v>1672</v>
      </c>
      <c r="D2508" s="2460" t="s">
        <v>1671</v>
      </c>
      <c r="E2508" s="2461" t="s">
        <v>1573</v>
      </c>
      <c r="F2508" s="2461" t="s">
        <v>1575</v>
      </c>
      <c r="G2508" s="2461" t="s">
        <v>1409</v>
      </c>
      <c r="H2508" s="2461" t="s">
        <v>1070</v>
      </c>
      <c r="I2508" s="2462">
        <v>7.7460966860788951E-3</v>
      </c>
      <c r="J2508" s="2462">
        <v>451.75567288034165</v>
      </c>
    </row>
    <row r="2509" spans="1:10" outlineLevel="2">
      <c r="A2509" s="2459" t="s">
        <v>1669</v>
      </c>
      <c r="B2509" s="2459" t="s">
        <v>1654</v>
      </c>
      <c r="C2509" s="2459" t="s">
        <v>1672</v>
      </c>
      <c r="D2509" s="2460" t="s">
        <v>1671</v>
      </c>
      <c r="E2509" s="2461" t="s">
        <v>1573</v>
      </c>
      <c r="F2509" s="2461" t="s">
        <v>1576</v>
      </c>
      <c r="G2509" s="2461" t="s">
        <v>1409</v>
      </c>
      <c r="H2509" s="2461" t="s">
        <v>1070</v>
      </c>
      <c r="I2509" s="2462">
        <v>6.6603224787478195E-5</v>
      </c>
      <c r="J2509" s="2462">
        <v>0.73567433880549782</v>
      </c>
    </row>
    <row r="2510" spans="1:10" outlineLevel="2">
      <c r="A2510" s="2459" t="s">
        <v>1669</v>
      </c>
      <c r="B2510" s="2459" t="s">
        <v>1654</v>
      </c>
      <c r="C2510" s="2459" t="s">
        <v>1672</v>
      </c>
      <c r="D2510" s="2460" t="s">
        <v>1671</v>
      </c>
      <c r="E2510" s="2461" t="s">
        <v>1573</v>
      </c>
      <c r="F2510" s="2461" t="s">
        <v>1577</v>
      </c>
      <c r="G2510" s="2461" t="s">
        <v>1409</v>
      </c>
      <c r="H2510" s="2461" t="s">
        <v>1070</v>
      </c>
      <c r="I2510" s="2462">
        <v>9.6591832437357831E-4</v>
      </c>
      <c r="J2510" s="2462">
        <v>12.118564694436328</v>
      </c>
    </row>
    <row r="2511" spans="1:10" outlineLevel="2">
      <c r="A2511" s="2459" t="s">
        <v>1669</v>
      </c>
      <c r="B2511" s="2459" t="s">
        <v>1654</v>
      </c>
      <c r="C2511" s="2459" t="s">
        <v>1672</v>
      </c>
      <c r="D2511" s="2460" t="s">
        <v>1671</v>
      </c>
      <c r="E2511" s="2461" t="s">
        <v>1573</v>
      </c>
      <c r="F2511" s="2461" t="s">
        <v>1578</v>
      </c>
      <c r="G2511" s="2461" t="s">
        <v>1409</v>
      </c>
      <c r="H2511" s="2461" t="s">
        <v>1070</v>
      </c>
      <c r="I2511" s="2462">
        <v>2.2057744075475512E-2</v>
      </c>
      <c r="J2511" s="2462">
        <v>1130.8126391965218</v>
      </c>
    </row>
    <row r="2512" spans="1:10" outlineLevel="2">
      <c r="A2512" s="2459" t="s">
        <v>1669</v>
      </c>
      <c r="B2512" s="2459" t="s">
        <v>1654</v>
      </c>
      <c r="C2512" s="2459" t="s">
        <v>1672</v>
      </c>
      <c r="D2512" s="2460" t="s">
        <v>1671</v>
      </c>
      <c r="E2512" s="2461" t="s">
        <v>1573</v>
      </c>
      <c r="F2512" s="2461" t="s">
        <v>1579</v>
      </c>
      <c r="G2512" s="2461" t="s">
        <v>1409</v>
      </c>
      <c r="H2512" s="2461" t="s">
        <v>1070</v>
      </c>
      <c r="I2512" s="2462">
        <v>1.674463120226214E-2</v>
      </c>
      <c r="J2512" s="2462">
        <v>1230.4007929768761</v>
      </c>
    </row>
    <row r="2513" spans="1:10" outlineLevel="2">
      <c r="A2513" s="2459" t="s">
        <v>1669</v>
      </c>
      <c r="B2513" s="2459" t="s">
        <v>1654</v>
      </c>
      <c r="C2513" s="2459" t="s">
        <v>1672</v>
      </c>
      <c r="D2513" s="2460" t="s">
        <v>1671</v>
      </c>
      <c r="E2513" s="2461" t="s">
        <v>1573</v>
      </c>
      <c r="F2513" s="2461" t="s">
        <v>1580</v>
      </c>
      <c r="G2513" s="2461" t="s">
        <v>1409</v>
      </c>
      <c r="H2513" s="2461" t="s">
        <v>1070</v>
      </c>
      <c r="I2513" s="2462">
        <v>1.89179367100773E-3</v>
      </c>
      <c r="J2513" s="2462">
        <v>67.940434603976541</v>
      </c>
    </row>
    <row r="2514" spans="1:10" outlineLevel="2">
      <c r="A2514" s="2459" t="s">
        <v>1669</v>
      </c>
      <c r="B2514" s="2459" t="s">
        <v>1654</v>
      </c>
      <c r="C2514" s="2459" t="s">
        <v>1672</v>
      </c>
      <c r="D2514" s="2460" t="s">
        <v>1671</v>
      </c>
      <c r="E2514" s="2461" t="s">
        <v>1573</v>
      </c>
      <c r="F2514" s="2461" t="s">
        <v>1581</v>
      </c>
      <c r="G2514" s="2461" t="s">
        <v>1409</v>
      </c>
      <c r="H2514" s="2461" t="s">
        <v>1070</v>
      </c>
      <c r="I2514" s="2462">
        <v>1.0062279294660277E-3</v>
      </c>
      <c r="J2514" s="2462">
        <v>46.264505442939921</v>
      </c>
    </row>
    <row r="2515" spans="1:10" outlineLevel="2">
      <c r="A2515" s="2459" t="s">
        <v>1669</v>
      </c>
      <c r="B2515" s="2459" t="s">
        <v>1654</v>
      </c>
      <c r="C2515" s="2459" t="s">
        <v>1672</v>
      </c>
      <c r="D2515" s="2460" t="s">
        <v>1671</v>
      </c>
      <c r="E2515" s="2461" t="s">
        <v>1573</v>
      </c>
      <c r="F2515" s="2461" t="s">
        <v>1582</v>
      </c>
      <c r="G2515" s="2461" t="s">
        <v>1409</v>
      </c>
      <c r="H2515" s="2461" t="s">
        <v>1070</v>
      </c>
      <c r="I2515" s="2462">
        <v>5.3480628817223911E-3</v>
      </c>
      <c r="J2515" s="2462">
        <v>127.04679783245096</v>
      </c>
    </row>
    <row r="2516" spans="1:10" outlineLevel="2">
      <c r="A2516" s="2459" t="s">
        <v>1669</v>
      </c>
      <c r="B2516" s="2459" t="s">
        <v>1654</v>
      </c>
      <c r="C2516" s="2459" t="s">
        <v>1672</v>
      </c>
      <c r="D2516" s="2460" t="s">
        <v>1671</v>
      </c>
      <c r="E2516" s="2461" t="s">
        <v>1573</v>
      </c>
      <c r="F2516" s="2461" t="s">
        <v>1583</v>
      </c>
      <c r="G2516" s="2461" t="s">
        <v>1409</v>
      </c>
      <c r="H2516" s="2461" t="s">
        <v>1070</v>
      </c>
      <c r="I2516" s="2462">
        <v>1.5331364611041728E-2</v>
      </c>
      <c r="J2516" s="2462">
        <v>543.66688373134809</v>
      </c>
    </row>
    <row r="2517" spans="1:10" outlineLevel="2">
      <c r="A2517" s="2459" t="s">
        <v>1669</v>
      </c>
      <c r="B2517" s="2459" t="s">
        <v>1654</v>
      </c>
      <c r="C2517" s="2459" t="s">
        <v>1672</v>
      </c>
      <c r="D2517" s="2460" t="s">
        <v>1671</v>
      </c>
      <c r="E2517" s="2461" t="s">
        <v>1573</v>
      </c>
      <c r="F2517" s="2461" t="s">
        <v>1584</v>
      </c>
      <c r="G2517" s="2461" t="s">
        <v>1409</v>
      </c>
      <c r="H2517" s="2461" t="s">
        <v>1070</v>
      </c>
      <c r="I2517" s="2462">
        <v>1.0838770545822501E-2</v>
      </c>
      <c r="J2517" s="2462">
        <v>596.91250931369245</v>
      </c>
    </row>
    <row r="2518" spans="1:10" outlineLevel="2">
      <c r="A2518" s="2459" t="s">
        <v>1669</v>
      </c>
      <c r="B2518" s="2459" t="s">
        <v>1654</v>
      </c>
      <c r="C2518" s="2459" t="s">
        <v>1672</v>
      </c>
      <c r="D2518" s="2460" t="s">
        <v>1671</v>
      </c>
      <c r="E2518" s="2461" t="s">
        <v>1573</v>
      </c>
      <c r="F2518" s="2461" t="s">
        <v>1585</v>
      </c>
      <c r="G2518" s="2461" t="s">
        <v>1409</v>
      </c>
      <c r="H2518" s="2461" t="s">
        <v>1070</v>
      </c>
      <c r="I2518" s="2462">
        <v>5.9423174577841596E-2</v>
      </c>
      <c r="J2518" s="2462">
        <v>4583.3785701614852</v>
      </c>
    </row>
    <row r="2519" spans="1:10" outlineLevel="2">
      <c r="A2519" s="2459" t="s">
        <v>1669</v>
      </c>
      <c r="B2519" s="2459" t="s">
        <v>1654</v>
      </c>
      <c r="C2519" s="2459" t="s">
        <v>1672</v>
      </c>
      <c r="D2519" s="2460" t="s">
        <v>1671</v>
      </c>
      <c r="E2519" s="2461" t="s">
        <v>1573</v>
      </c>
      <c r="F2519" s="2461" t="s">
        <v>1586</v>
      </c>
      <c r="G2519" s="2461" t="s">
        <v>1409</v>
      </c>
      <c r="H2519" s="2461" t="s">
        <v>1070</v>
      </c>
      <c r="I2519" s="2462">
        <v>1.2568448633459499E-3</v>
      </c>
      <c r="J2519" s="2462">
        <v>38.111338822934258</v>
      </c>
    </row>
    <row r="2520" spans="1:10" outlineLevel="2">
      <c r="A2520" s="2459" t="s">
        <v>1669</v>
      </c>
      <c r="B2520" s="2459" t="s">
        <v>1654</v>
      </c>
      <c r="C2520" s="2459" t="s">
        <v>1672</v>
      </c>
      <c r="D2520" s="2460" t="s">
        <v>1671</v>
      </c>
      <c r="E2520" s="2461" t="s">
        <v>1573</v>
      </c>
      <c r="F2520" s="2461" t="s">
        <v>1587</v>
      </c>
      <c r="G2520" s="2461" t="s">
        <v>1409</v>
      </c>
      <c r="H2520" s="2461" t="s">
        <v>1070</v>
      </c>
      <c r="I2520" s="2462">
        <v>4.9495929056376912E-4</v>
      </c>
      <c r="J2520" s="2462">
        <v>23.335653059535126</v>
      </c>
    </row>
    <row r="2521" spans="1:10" outlineLevel="2">
      <c r="A2521" s="2459" t="s">
        <v>1669</v>
      </c>
      <c r="B2521" s="2459" t="s">
        <v>1654</v>
      </c>
      <c r="C2521" s="2459" t="s">
        <v>1672</v>
      </c>
      <c r="D2521" s="2460" t="s">
        <v>1671</v>
      </c>
      <c r="E2521" s="2461" t="s">
        <v>1573</v>
      </c>
      <c r="F2521" s="2461" t="s">
        <v>1588</v>
      </c>
      <c r="G2521" s="2461" t="s">
        <v>1409</v>
      </c>
      <c r="H2521" s="2461" t="s">
        <v>1070</v>
      </c>
      <c r="I2521" s="2462">
        <v>1.7534853644420118E-2</v>
      </c>
      <c r="J2521" s="2462">
        <v>1047.6428675636234</v>
      </c>
    </row>
    <row r="2522" spans="1:10" outlineLevel="2">
      <c r="A2522" s="2459" t="s">
        <v>1669</v>
      </c>
      <c r="B2522" s="2459" t="s">
        <v>1654</v>
      </c>
      <c r="C2522" s="2459" t="s">
        <v>1672</v>
      </c>
      <c r="D2522" s="2460" t="s">
        <v>1671</v>
      </c>
      <c r="E2522" s="2461" t="s">
        <v>1573</v>
      </c>
      <c r="F2522" s="2461" t="s">
        <v>1589</v>
      </c>
      <c r="G2522" s="2461" t="s">
        <v>1409</v>
      </c>
      <c r="H2522" s="2461" t="s">
        <v>1070</v>
      </c>
      <c r="I2522" s="2462">
        <v>1.5074963103150167E-2</v>
      </c>
      <c r="J2522" s="2462">
        <v>1140.3726623074397</v>
      </c>
    </row>
    <row r="2523" spans="1:10" outlineLevel="2">
      <c r="A2523" s="2459" t="s">
        <v>1669</v>
      </c>
      <c r="B2523" s="2459" t="s">
        <v>1654</v>
      </c>
      <c r="C2523" s="2459" t="s">
        <v>1672</v>
      </c>
      <c r="D2523" s="2460" t="s">
        <v>1671</v>
      </c>
      <c r="E2523" s="2461" t="s">
        <v>1573</v>
      </c>
      <c r="F2523" s="2461" t="s">
        <v>1590</v>
      </c>
      <c r="G2523" s="2461" t="s">
        <v>1409</v>
      </c>
      <c r="H2523" s="2461" t="s">
        <v>1070</v>
      </c>
      <c r="I2523" s="2462">
        <v>5.5040110108408473E-2</v>
      </c>
      <c r="J2523" s="2462">
        <v>3922.7201819035645</v>
      </c>
    </row>
    <row r="2524" spans="1:10" outlineLevel="2">
      <c r="A2524" s="2459" t="s">
        <v>1669</v>
      </c>
      <c r="B2524" s="2459" t="s">
        <v>1654</v>
      </c>
      <c r="C2524" s="2459" t="s">
        <v>1672</v>
      </c>
      <c r="D2524" s="2460" t="s">
        <v>1671</v>
      </c>
      <c r="E2524" s="2461" t="s">
        <v>1573</v>
      </c>
      <c r="F2524" s="2461" t="s">
        <v>1591</v>
      </c>
      <c r="G2524" s="2461" t="s">
        <v>1409</v>
      </c>
      <c r="H2524" s="2461" t="s">
        <v>1070</v>
      </c>
      <c r="I2524" s="2462">
        <v>3.7886920456648931E-3</v>
      </c>
      <c r="J2524" s="2462">
        <v>184.453211634707</v>
      </c>
    </row>
    <row r="2525" spans="1:10" outlineLevel="2">
      <c r="A2525" s="2459" t="s">
        <v>1669</v>
      </c>
      <c r="B2525" s="2459" t="s">
        <v>1654</v>
      </c>
      <c r="C2525" s="2459" t="s">
        <v>1672</v>
      </c>
      <c r="D2525" s="2460" t="s">
        <v>1671</v>
      </c>
      <c r="E2525" s="2461" t="s">
        <v>1573</v>
      </c>
      <c r="F2525" s="2461" t="s">
        <v>1592</v>
      </c>
      <c r="G2525" s="2461" t="s">
        <v>1409</v>
      </c>
      <c r="H2525" s="2461" t="s">
        <v>1070</v>
      </c>
      <c r="I2525" s="2462">
        <v>3.1858040884139023E-2</v>
      </c>
      <c r="J2525" s="2462">
        <v>1467.2258445015154</v>
      </c>
    </row>
    <row r="2526" spans="1:10" outlineLevel="2">
      <c r="A2526" s="2459" t="s">
        <v>1669</v>
      </c>
      <c r="B2526" s="2459" t="s">
        <v>1654</v>
      </c>
      <c r="C2526" s="2459" t="s">
        <v>1672</v>
      </c>
      <c r="D2526" s="2460" t="s">
        <v>1671</v>
      </c>
      <c r="E2526" s="2461" t="s">
        <v>1573</v>
      </c>
      <c r="F2526" s="2461" t="s">
        <v>1593</v>
      </c>
      <c r="G2526" s="2461" t="s">
        <v>1409</v>
      </c>
      <c r="H2526" s="2461" t="s">
        <v>1070</v>
      </c>
      <c r="I2526" s="2462">
        <v>7.783895256455374E-2</v>
      </c>
      <c r="J2526" s="2462">
        <v>4988.288260954806</v>
      </c>
    </row>
    <row r="2527" spans="1:10" outlineLevel="2">
      <c r="A2527" s="2459" t="s">
        <v>1669</v>
      </c>
      <c r="B2527" s="2459" t="s">
        <v>1654</v>
      </c>
      <c r="C2527" s="2459" t="s">
        <v>1672</v>
      </c>
      <c r="D2527" s="2460" t="s">
        <v>1671</v>
      </c>
      <c r="E2527" s="2461" t="s">
        <v>1573</v>
      </c>
      <c r="F2527" s="2461" t="s">
        <v>1594</v>
      </c>
      <c r="G2527" s="2461" t="s">
        <v>1409</v>
      </c>
      <c r="H2527" s="2461" t="s">
        <v>1070</v>
      </c>
      <c r="I2527" s="2462">
        <v>0.17048648342802339</v>
      </c>
      <c r="J2527" s="2462">
        <v>3346.4592560164901</v>
      </c>
    </row>
    <row r="2528" spans="1:10" outlineLevel="2">
      <c r="A2528" s="2459" t="s">
        <v>1669</v>
      </c>
      <c r="B2528" s="2459" t="s">
        <v>1654</v>
      </c>
      <c r="C2528" s="2459" t="s">
        <v>1672</v>
      </c>
      <c r="D2528" s="2460" t="s">
        <v>1671</v>
      </c>
      <c r="E2528" s="2461" t="s">
        <v>1573</v>
      </c>
      <c r="F2528" s="2461" t="s">
        <v>1595</v>
      </c>
      <c r="G2528" s="2461" t="s">
        <v>1409</v>
      </c>
      <c r="H2528" s="2461" t="s">
        <v>1070</v>
      </c>
      <c r="I2528" s="2462">
        <v>6.2683815687272368E-2</v>
      </c>
      <c r="J2528" s="2462">
        <v>4563.2288328416207</v>
      </c>
    </row>
    <row r="2529" spans="1:10" outlineLevel="2">
      <c r="A2529" s="2459" t="s">
        <v>1669</v>
      </c>
      <c r="B2529" s="2459" t="s">
        <v>1654</v>
      </c>
      <c r="C2529" s="2459" t="s">
        <v>1672</v>
      </c>
      <c r="D2529" s="2460" t="s">
        <v>1671</v>
      </c>
      <c r="E2529" s="2461" t="s">
        <v>1573</v>
      </c>
      <c r="F2529" s="2461" t="s">
        <v>1596</v>
      </c>
      <c r="G2529" s="2461" t="s">
        <v>1409</v>
      </c>
      <c r="H2529" s="2461" t="s">
        <v>1070</v>
      </c>
      <c r="I2529" s="2462">
        <v>0.114135031352408</v>
      </c>
      <c r="J2529" s="2462">
        <v>2626.7996458365333</v>
      </c>
    </row>
    <row r="2530" spans="1:10" outlineLevel="2">
      <c r="A2530" s="2459" t="s">
        <v>1669</v>
      </c>
      <c r="B2530" s="2459" t="s">
        <v>1654</v>
      </c>
      <c r="C2530" s="2459" t="s">
        <v>1672</v>
      </c>
      <c r="D2530" s="2460" t="s">
        <v>1671</v>
      </c>
      <c r="E2530" s="2461" t="s">
        <v>1573</v>
      </c>
      <c r="F2530" s="2461" t="s">
        <v>1597</v>
      </c>
      <c r="G2530" s="2461" t="s">
        <v>1409</v>
      </c>
      <c r="H2530" s="2461" t="s">
        <v>1070</v>
      </c>
      <c r="I2530" s="2462">
        <v>6.6999486191425565E-3</v>
      </c>
      <c r="J2530" s="2462">
        <v>489.64003746647768</v>
      </c>
    </row>
    <row r="2531" spans="1:10" outlineLevel="2">
      <c r="A2531" s="2459" t="s">
        <v>1669</v>
      </c>
      <c r="B2531" s="2459" t="s">
        <v>1654</v>
      </c>
      <c r="C2531" s="2459" t="s">
        <v>1672</v>
      </c>
      <c r="D2531" s="2460" t="s">
        <v>1671</v>
      </c>
      <c r="E2531" s="2461" t="s">
        <v>1573</v>
      </c>
      <c r="F2531" s="2461" t="s">
        <v>1598</v>
      </c>
      <c r="G2531" s="2461" t="s">
        <v>1409</v>
      </c>
      <c r="H2531" s="2461" t="s">
        <v>1070</v>
      </c>
      <c r="I2531" s="2462">
        <v>3.4798974004190123E-4</v>
      </c>
      <c r="J2531" s="2462">
        <v>8.0331928065884348</v>
      </c>
    </row>
    <row r="2532" spans="1:10" outlineLevel="2">
      <c r="A2532" s="2459" t="s">
        <v>1669</v>
      </c>
      <c r="B2532" s="2459" t="s">
        <v>1654</v>
      </c>
      <c r="C2532" s="2459" t="s">
        <v>1672</v>
      </c>
      <c r="D2532" s="2460" t="s">
        <v>1671</v>
      </c>
      <c r="E2532" s="2461" t="s">
        <v>1573</v>
      </c>
      <c r="F2532" s="2461" t="s">
        <v>1599</v>
      </c>
      <c r="G2532" s="2461" t="s">
        <v>1409</v>
      </c>
      <c r="H2532" s="2461" t="s">
        <v>1070</v>
      </c>
      <c r="I2532" s="2462">
        <v>9.5004415800191734E-3</v>
      </c>
      <c r="J2532" s="2462">
        <v>510.74264059830091</v>
      </c>
    </row>
    <row r="2533" spans="1:10" outlineLevel="2">
      <c r="A2533" s="2459" t="s">
        <v>1669</v>
      </c>
      <c r="B2533" s="2459" t="s">
        <v>1654</v>
      </c>
      <c r="C2533" s="2459" t="s">
        <v>1672</v>
      </c>
      <c r="D2533" s="2460" t="s">
        <v>1671</v>
      </c>
      <c r="E2533" s="2461" t="s">
        <v>1573</v>
      </c>
      <c r="F2533" s="2461" t="s">
        <v>1600</v>
      </c>
      <c r="G2533" s="2461" t="s">
        <v>1412</v>
      </c>
      <c r="H2533" s="2461" t="s">
        <v>1116</v>
      </c>
      <c r="I2533" s="2462">
        <v>4.4883994313686931E-3</v>
      </c>
      <c r="J2533" s="2462">
        <v>108.58633576679944</v>
      </c>
    </row>
    <row r="2534" spans="1:10" outlineLevel="2">
      <c r="A2534" s="2459" t="s">
        <v>1669</v>
      </c>
      <c r="B2534" s="2459" t="s">
        <v>1654</v>
      </c>
      <c r="C2534" s="2459" t="s">
        <v>1672</v>
      </c>
      <c r="D2534" s="2460" t="s">
        <v>1671</v>
      </c>
      <c r="E2534" s="2461" t="s">
        <v>1573</v>
      </c>
      <c r="F2534" s="2461" t="s">
        <v>1601</v>
      </c>
      <c r="G2534" s="2461" t="s">
        <v>1412</v>
      </c>
      <c r="H2534" s="2461" t="s">
        <v>1116</v>
      </c>
      <c r="I2534" s="2462">
        <v>2.2337111359363618E-2</v>
      </c>
      <c r="J2534" s="2462">
        <v>1575.3270293840367</v>
      </c>
    </row>
    <row r="2535" spans="1:10" outlineLevel="2">
      <c r="A2535" s="2459" t="s">
        <v>1669</v>
      </c>
      <c r="B2535" s="2459" t="s">
        <v>1654</v>
      </c>
      <c r="C2535" s="2459" t="s">
        <v>1672</v>
      </c>
      <c r="D2535" s="2460" t="s">
        <v>1671</v>
      </c>
      <c r="E2535" s="2461" t="s">
        <v>1573</v>
      </c>
      <c r="F2535" s="2461" t="s">
        <v>1602</v>
      </c>
      <c r="G2535" s="2461" t="s">
        <v>1412</v>
      </c>
      <c r="H2535" s="2461" t="s">
        <v>1116</v>
      </c>
      <c r="I2535" s="2462">
        <v>1.312187315695567E-2</v>
      </c>
      <c r="J2535" s="2462">
        <v>688.07035650670582</v>
      </c>
    </row>
    <row r="2536" spans="1:10" outlineLevel="2">
      <c r="A2536" s="2459" t="s">
        <v>1669</v>
      </c>
      <c r="B2536" s="2459" t="s">
        <v>1654</v>
      </c>
      <c r="C2536" s="2459" t="s">
        <v>1672</v>
      </c>
      <c r="D2536" s="2460" t="s">
        <v>1671</v>
      </c>
      <c r="E2536" s="2461" t="s">
        <v>1573</v>
      </c>
      <c r="F2536" s="2461" t="s">
        <v>1603</v>
      </c>
      <c r="G2536" s="2461" t="s">
        <v>1412</v>
      </c>
      <c r="H2536" s="2461" t="s">
        <v>1116</v>
      </c>
      <c r="I2536" s="2462">
        <v>1.55320516282593E-2</v>
      </c>
      <c r="J2536" s="2462">
        <v>697.7302436017294</v>
      </c>
    </row>
    <row r="2537" spans="1:10" outlineLevel="2">
      <c r="A2537" s="2459" t="s">
        <v>1669</v>
      </c>
      <c r="B2537" s="2459" t="s">
        <v>1654</v>
      </c>
      <c r="C2537" s="2459" t="s">
        <v>1672</v>
      </c>
      <c r="D2537" s="2460" t="s">
        <v>1671</v>
      </c>
      <c r="E2537" s="2461" t="s">
        <v>1573</v>
      </c>
      <c r="F2537" s="2461" t="s">
        <v>1604</v>
      </c>
      <c r="G2537" s="2461" t="s">
        <v>1412</v>
      </c>
      <c r="H2537" s="2461" t="s">
        <v>1116</v>
      </c>
      <c r="I2537" s="2462">
        <v>9.8372918862768164E-4</v>
      </c>
      <c r="J2537" s="2462">
        <v>26.908781570393522</v>
      </c>
    </row>
    <row r="2538" spans="1:10" outlineLevel="2">
      <c r="A2538" s="2459" t="s">
        <v>1669</v>
      </c>
      <c r="B2538" s="2459" t="s">
        <v>1654</v>
      </c>
      <c r="C2538" s="2459" t="s">
        <v>1672</v>
      </c>
      <c r="D2538" s="2460" t="s">
        <v>1671</v>
      </c>
      <c r="E2538" s="2461" t="s">
        <v>1573</v>
      </c>
      <c r="F2538" s="2461" t="s">
        <v>1605</v>
      </c>
      <c r="G2538" s="2461" t="s">
        <v>1412</v>
      </c>
      <c r="H2538" s="2461" t="s">
        <v>1116</v>
      </c>
      <c r="I2538" s="2462">
        <v>0.12179496988477385</v>
      </c>
      <c r="J2538" s="2462">
        <v>4002.9604940934764</v>
      </c>
    </row>
    <row r="2539" spans="1:10" outlineLevel="2">
      <c r="A2539" s="2459" t="s">
        <v>1669</v>
      </c>
      <c r="B2539" s="2459" t="s">
        <v>1654</v>
      </c>
      <c r="C2539" s="2459" t="s">
        <v>1672</v>
      </c>
      <c r="D2539" s="2460" t="s">
        <v>1671</v>
      </c>
      <c r="E2539" s="2461" t="s">
        <v>1573</v>
      </c>
      <c r="F2539" s="2461" t="s">
        <v>1606</v>
      </c>
      <c r="G2539" s="2461" t="s">
        <v>1412</v>
      </c>
      <c r="H2539" s="2461" t="s">
        <v>1116</v>
      </c>
      <c r="I2539" s="2462">
        <v>1.2247536646840871E-2</v>
      </c>
      <c r="J2539" s="2462">
        <v>992.87194725019651</v>
      </c>
    </row>
    <row r="2540" spans="1:10" outlineLevel="2">
      <c r="A2540" s="2459" t="s">
        <v>1669</v>
      </c>
      <c r="B2540" s="2459" t="s">
        <v>1654</v>
      </c>
      <c r="C2540" s="2459" t="s">
        <v>1672</v>
      </c>
      <c r="D2540" s="2460" t="s">
        <v>1671</v>
      </c>
      <c r="E2540" s="2461" t="s">
        <v>1573</v>
      </c>
      <c r="F2540" s="2461" t="s">
        <v>1607</v>
      </c>
      <c r="G2540" s="2461" t="s">
        <v>1439</v>
      </c>
      <c r="H2540" s="2461" t="s">
        <v>1440</v>
      </c>
      <c r="I2540" s="2462">
        <v>4.9763172981108766E-6</v>
      </c>
      <c r="J2540" s="2462">
        <v>0.12472579119390594</v>
      </c>
    </row>
    <row r="2541" spans="1:10" outlineLevel="2">
      <c r="A2541" s="2459" t="s">
        <v>1669</v>
      </c>
      <c r="B2541" s="2459" t="s">
        <v>1654</v>
      </c>
      <c r="C2541" s="2459" t="s">
        <v>1672</v>
      </c>
      <c r="D2541" s="2460" t="s">
        <v>1671</v>
      </c>
      <c r="E2541" s="2461" t="s">
        <v>1573</v>
      </c>
      <c r="F2541" s="2461" t="s">
        <v>1608</v>
      </c>
      <c r="G2541" s="2461" t="s">
        <v>1439</v>
      </c>
      <c r="H2541" s="2461" t="s">
        <v>1440</v>
      </c>
      <c r="I2541" s="2462">
        <v>5.8486491197255644E-4</v>
      </c>
      <c r="J2541" s="2462">
        <v>32.761742376764857</v>
      </c>
    </row>
    <row r="2542" spans="1:10" outlineLevel="2">
      <c r="A2542" s="2459" t="s">
        <v>1669</v>
      </c>
      <c r="B2542" s="2459" t="s">
        <v>1654</v>
      </c>
      <c r="C2542" s="2459" t="s">
        <v>1672</v>
      </c>
      <c r="D2542" s="2460" t="s">
        <v>1671</v>
      </c>
      <c r="E2542" s="2461" t="s">
        <v>1573</v>
      </c>
      <c r="F2542" s="2461" t="s">
        <v>1609</v>
      </c>
      <c r="G2542" s="2461" t="s">
        <v>1439</v>
      </c>
      <c r="H2542" s="2461" t="s">
        <v>1440</v>
      </c>
      <c r="I2542" s="2462">
        <v>3.9355902058555541E-2</v>
      </c>
      <c r="J2542" s="2462">
        <v>874.29702549556282</v>
      </c>
    </row>
    <row r="2543" spans="1:10" outlineLevel="2">
      <c r="A2543" s="2459" t="s">
        <v>1669</v>
      </c>
      <c r="B2543" s="2459" t="s">
        <v>1654</v>
      </c>
      <c r="C2543" s="2459" t="s">
        <v>1672</v>
      </c>
      <c r="D2543" s="2460" t="s">
        <v>1671</v>
      </c>
      <c r="E2543" s="2461" t="s">
        <v>1573</v>
      </c>
      <c r="F2543" s="2461" t="s">
        <v>1610</v>
      </c>
      <c r="G2543" s="2461" t="s">
        <v>1439</v>
      </c>
      <c r="H2543" s="2461" t="s">
        <v>1440</v>
      </c>
      <c r="I2543" s="2462">
        <v>1.0349898893872509E-2</v>
      </c>
      <c r="J2543" s="2462">
        <v>180.48275327290233</v>
      </c>
    </row>
    <row r="2544" spans="1:10" outlineLevel="2">
      <c r="A2544" s="2459" t="s">
        <v>1669</v>
      </c>
      <c r="B2544" s="2459" t="s">
        <v>1654</v>
      </c>
      <c r="C2544" s="2459" t="s">
        <v>1672</v>
      </c>
      <c r="D2544" s="2460" t="s">
        <v>1671</v>
      </c>
      <c r="E2544" s="2461" t="s">
        <v>1573</v>
      </c>
      <c r="F2544" s="2461" t="s">
        <v>1611</v>
      </c>
      <c r="G2544" s="2461" t="s">
        <v>1439</v>
      </c>
      <c r="H2544" s="2461" t="s">
        <v>1440</v>
      </c>
      <c r="I2544" s="2462">
        <v>2.4463114603841402E-2</v>
      </c>
      <c r="J2544" s="2462">
        <v>1191.8411512401633</v>
      </c>
    </row>
    <row r="2545" spans="1:10" outlineLevel="2">
      <c r="A2545" s="2459" t="s">
        <v>1669</v>
      </c>
      <c r="B2545" s="2459" t="s">
        <v>1654</v>
      </c>
      <c r="C2545" s="2459" t="s">
        <v>1672</v>
      </c>
      <c r="D2545" s="2460" t="s">
        <v>1671</v>
      </c>
      <c r="E2545" s="2461" t="s">
        <v>1573</v>
      </c>
      <c r="F2545" s="2461" t="s">
        <v>1612</v>
      </c>
      <c r="G2545" s="2461" t="s">
        <v>1439</v>
      </c>
      <c r="H2545" s="2461" t="s">
        <v>1440</v>
      </c>
      <c r="I2545" s="2462">
        <v>4.1953196142809129E-3</v>
      </c>
      <c r="J2545" s="2462">
        <v>140.42889640534531</v>
      </c>
    </row>
    <row r="2546" spans="1:10" outlineLevel="2">
      <c r="A2546" s="2459" t="s">
        <v>1669</v>
      </c>
      <c r="B2546" s="2459" t="s">
        <v>1654</v>
      </c>
      <c r="C2546" s="2459" t="s">
        <v>1672</v>
      </c>
      <c r="D2546" s="2460" t="s">
        <v>1671</v>
      </c>
      <c r="E2546" s="2461" t="s">
        <v>1573</v>
      </c>
      <c r="F2546" s="2461" t="s">
        <v>1613</v>
      </c>
      <c r="G2546" s="2461" t="s">
        <v>1439</v>
      </c>
      <c r="H2546" s="2461" t="s">
        <v>1440</v>
      </c>
      <c r="I2546" s="2462">
        <v>1.1795084751083959E-4</v>
      </c>
      <c r="J2546" s="2462">
        <v>3.5657981583298963</v>
      </c>
    </row>
    <row r="2547" spans="1:10" outlineLevel="2">
      <c r="A2547" s="2459" t="s">
        <v>1669</v>
      </c>
      <c r="B2547" s="2459" t="s">
        <v>1654</v>
      </c>
      <c r="C2547" s="2459" t="s">
        <v>1672</v>
      </c>
      <c r="D2547" s="2460" t="s">
        <v>1671</v>
      </c>
      <c r="E2547" s="2461" t="s">
        <v>1573</v>
      </c>
      <c r="F2547" s="2461" t="s">
        <v>1614</v>
      </c>
      <c r="G2547" s="2461" t="s">
        <v>1418</v>
      </c>
      <c r="H2547" s="2461" t="s">
        <v>1452</v>
      </c>
      <c r="I2547" s="2462">
        <v>7.1561926007597619E-6</v>
      </c>
      <c r="J2547" s="2462">
        <v>6.1166888712447826E-2</v>
      </c>
    </row>
    <row r="2548" spans="1:10" outlineLevel="2">
      <c r="A2548" s="2459" t="s">
        <v>1669</v>
      </c>
      <c r="B2548" s="2459" t="s">
        <v>1654</v>
      </c>
      <c r="C2548" s="2459" t="s">
        <v>1672</v>
      </c>
      <c r="D2548" s="2460" t="s">
        <v>1671</v>
      </c>
      <c r="E2548" s="2461" t="s">
        <v>1573</v>
      </c>
      <c r="F2548" s="2461" t="s">
        <v>1615</v>
      </c>
      <c r="G2548" s="2461" t="s">
        <v>1418</v>
      </c>
      <c r="H2548" s="2461" t="s">
        <v>1452</v>
      </c>
      <c r="I2548" s="2462">
        <v>4.3287992271243449E-2</v>
      </c>
      <c r="J2548" s="2462">
        <v>2539.7814360163043</v>
      </c>
    </row>
    <row r="2549" spans="1:10" outlineLevel="2">
      <c r="A2549" s="2459" t="s">
        <v>1669</v>
      </c>
      <c r="B2549" s="2459" t="s">
        <v>1654</v>
      </c>
      <c r="C2549" s="2459" t="s">
        <v>1672</v>
      </c>
      <c r="D2549" s="2460" t="s">
        <v>1671</v>
      </c>
      <c r="E2549" s="2461" t="s">
        <v>1573</v>
      </c>
      <c r="F2549" s="2461" t="s">
        <v>1616</v>
      </c>
      <c r="G2549" s="2461" t="s">
        <v>1418</v>
      </c>
      <c r="H2549" s="2461" t="s">
        <v>1452</v>
      </c>
      <c r="I2549" s="2462">
        <v>2.0660924895181485E-3</v>
      </c>
      <c r="J2549" s="2462">
        <v>227.71307237729806</v>
      </c>
    </row>
    <row r="2550" spans="1:10" outlineLevel="2">
      <c r="A2550" s="2459" t="s">
        <v>1669</v>
      </c>
      <c r="B2550" s="2459" t="s">
        <v>1654</v>
      </c>
      <c r="C2550" s="2459" t="s">
        <v>1672</v>
      </c>
      <c r="D2550" s="2460" t="s">
        <v>1671</v>
      </c>
      <c r="E2550" s="2461" t="s">
        <v>1573</v>
      </c>
      <c r="F2550" s="2461" t="s">
        <v>1617</v>
      </c>
      <c r="G2550" s="2461" t="s">
        <v>1418</v>
      </c>
      <c r="H2550" s="2461" t="s">
        <v>1452</v>
      </c>
      <c r="I2550" s="2462">
        <v>1.6411123375908898E-5</v>
      </c>
      <c r="J2550" s="2462">
        <v>1.2604076073242765</v>
      </c>
    </row>
    <row r="2551" spans="1:10" outlineLevel="2">
      <c r="A2551" s="2459" t="s">
        <v>1669</v>
      </c>
      <c r="B2551" s="2459" t="s">
        <v>1654</v>
      </c>
      <c r="C2551" s="2459" t="s">
        <v>1672</v>
      </c>
      <c r="D2551" s="2460" t="s">
        <v>1671</v>
      </c>
      <c r="E2551" s="2461" t="s">
        <v>1573</v>
      </c>
      <c r="F2551" s="2461" t="s">
        <v>1618</v>
      </c>
      <c r="G2551" s="2461" t="s">
        <v>1418</v>
      </c>
      <c r="H2551" s="2461" t="s">
        <v>1452</v>
      </c>
      <c r="I2551" s="2462">
        <v>3.1991130035961637E-6</v>
      </c>
      <c r="J2551" s="2462">
        <v>0.26477326487491659</v>
      </c>
    </row>
    <row r="2552" spans="1:10" outlineLevel="2">
      <c r="A2552" s="2459" t="s">
        <v>1669</v>
      </c>
      <c r="B2552" s="2459" t="s">
        <v>1654</v>
      </c>
      <c r="C2552" s="2459" t="s">
        <v>1672</v>
      </c>
      <c r="D2552" s="2460" t="s">
        <v>1671</v>
      </c>
      <c r="E2552" s="2461" t="s">
        <v>1573</v>
      </c>
      <c r="F2552" s="2461" t="s">
        <v>1619</v>
      </c>
      <c r="G2552" s="2461" t="s">
        <v>1418</v>
      </c>
      <c r="H2552" s="2461" t="s">
        <v>1452</v>
      </c>
      <c r="I2552" s="2462">
        <v>2.100214302328422E-4</v>
      </c>
      <c r="J2552" s="2462">
        <v>19.311060800076405</v>
      </c>
    </row>
    <row r="2553" spans="1:10" outlineLevel="2">
      <c r="A2553" s="2459" t="s">
        <v>1669</v>
      </c>
      <c r="B2553" s="2459" t="s">
        <v>1654</v>
      </c>
      <c r="C2553" s="2459" t="s">
        <v>1672</v>
      </c>
      <c r="D2553" s="2460" t="s">
        <v>1671</v>
      </c>
      <c r="E2553" s="2461" t="s">
        <v>1573</v>
      </c>
      <c r="F2553" s="2461" t="s">
        <v>1620</v>
      </c>
      <c r="G2553" s="2461" t="s">
        <v>1418</v>
      </c>
      <c r="H2553" s="2461" t="s">
        <v>1452</v>
      </c>
      <c r="I2553" s="2462">
        <v>4.4403910949493818E-7</v>
      </c>
      <c r="J2553" s="2462">
        <v>5.3427756851150789E-2</v>
      </c>
    </row>
    <row r="2554" spans="1:10" outlineLevel="2">
      <c r="A2554" s="2459" t="s">
        <v>1669</v>
      </c>
      <c r="B2554" s="2459" t="s">
        <v>1654</v>
      </c>
      <c r="C2554" s="2459" t="s">
        <v>1672</v>
      </c>
      <c r="D2554" s="2460" t="s">
        <v>1671</v>
      </c>
      <c r="E2554" s="2461" t="s">
        <v>1573</v>
      </c>
      <c r="F2554" s="2461" t="s">
        <v>1621</v>
      </c>
      <c r="G2554" s="2461" t="s">
        <v>1418</v>
      </c>
      <c r="H2554" s="2461" t="s">
        <v>1452</v>
      </c>
      <c r="I2554" s="2462">
        <v>1.8903246742620731E-4</v>
      </c>
      <c r="J2554" s="2462">
        <v>17.85562959222311</v>
      </c>
    </row>
    <row r="2555" spans="1:10" outlineLevel="2">
      <c r="A2555" s="2459" t="s">
        <v>1669</v>
      </c>
      <c r="B2555" s="2459" t="s">
        <v>1654</v>
      </c>
      <c r="C2555" s="2459" t="s">
        <v>1672</v>
      </c>
      <c r="D2555" s="2460" t="s">
        <v>1671</v>
      </c>
      <c r="E2555" s="2461" t="s">
        <v>1573</v>
      </c>
      <c r="F2555" s="2461" t="s">
        <v>1622</v>
      </c>
      <c r="G2555" s="2461" t="s">
        <v>1418</v>
      </c>
      <c r="H2555" s="2461" t="s">
        <v>1452</v>
      </c>
      <c r="I2555" s="2462">
        <v>5.5890801930396695E-4</v>
      </c>
      <c r="J2555" s="2462">
        <v>49.68927805980536</v>
      </c>
    </row>
    <row r="2556" spans="1:10" outlineLevel="2">
      <c r="A2556" s="2459" t="s">
        <v>1669</v>
      </c>
      <c r="B2556" s="2459" t="s">
        <v>1654</v>
      </c>
      <c r="C2556" s="2459" t="s">
        <v>1672</v>
      </c>
      <c r="D2556" s="2460" t="s">
        <v>1671</v>
      </c>
      <c r="E2556" s="2461" t="s">
        <v>1573</v>
      </c>
      <c r="F2556" s="2461" t="s">
        <v>1623</v>
      </c>
      <c r="G2556" s="2461" t="s">
        <v>1418</v>
      </c>
      <c r="H2556" s="2461" t="s">
        <v>1452</v>
      </c>
      <c r="I2556" s="2462">
        <v>8.4765034089084867E-4</v>
      </c>
      <c r="J2556" s="2462">
        <v>36.639464658826206</v>
      </c>
    </row>
    <row r="2557" spans="1:10" outlineLevel="2">
      <c r="A2557" s="2459" t="s">
        <v>1669</v>
      </c>
      <c r="B2557" s="2459" t="s">
        <v>1654</v>
      </c>
      <c r="C2557" s="2459" t="s">
        <v>1672</v>
      </c>
      <c r="D2557" s="2460" t="s">
        <v>1671</v>
      </c>
      <c r="E2557" s="2461" t="s">
        <v>1573</v>
      </c>
      <c r="F2557" s="2461" t="s">
        <v>1624</v>
      </c>
      <c r="G2557" s="2461" t="s">
        <v>1421</v>
      </c>
      <c r="H2557" s="2461" t="s">
        <v>1454</v>
      </c>
      <c r="I2557" s="2462">
        <v>4.0444328758753555E-2</v>
      </c>
      <c r="J2557" s="2462">
        <v>1478.9261475084836</v>
      </c>
    </row>
    <row r="2558" spans="1:10" outlineLevel="2">
      <c r="A2558" s="2459" t="s">
        <v>1669</v>
      </c>
      <c r="B2558" s="2459" t="s">
        <v>1654</v>
      </c>
      <c r="C2558" s="2459" t="s">
        <v>1672</v>
      </c>
      <c r="D2558" s="2460" t="s">
        <v>1671</v>
      </c>
      <c r="E2558" s="2461" t="s">
        <v>1573</v>
      </c>
      <c r="F2558" s="2461" t="s">
        <v>1625</v>
      </c>
      <c r="G2558" s="2461" t="s">
        <v>1421</v>
      </c>
      <c r="H2558" s="2461" t="s">
        <v>1454</v>
      </c>
      <c r="I2558" s="2462">
        <v>9.5380153797043482E-3</v>
      </c>
      <c r="J2558" s="2462">
        <v>349.0535528665452</v>
      </c>
    </row>
    <row r="2559" spans="1:10" outlineLevel="2">
      <c r="A2559" s="2459" t="s">
        <v>1669</v>
      </c>
      <c r="B2559" s="2459" t="s">
        <v>1654</v>
      </c>
      <c r="C2559" s="2459" t="s">
        <v>1672</v>
      </c>
      <c r="D2559" s="2460" t="s">
        <v>1671</v>
      </c>
      <c r="E2559" s="2461" t="s">
        <v>1573</v>
      </c>
      <c r="F2559" s="2461" t="s">
        <v>1626</v>
      </c>
      <c r="G2559" s="2461" t="s">
        <v>1421</v>
      </c>
      <c r="H2559" s="2461" t="s">
        <v>1454</v>
      </c>
      <c r="I2559" s="2462">
        <v>2.6769193076551651E-2</v>
      </c>
      <c r="J2559" s="2462">
        <v>968.40662874486395</v>
      </c>
    </row>
    <row r="2560" spans="1:10" outlineLevel="2">
      <c r="A2560" s="2459" t="s">
        <v>1669</v>
      </c>
      <c r="B2560" s="2459" t="s">
        <v>1654</v>
      </c>
      <c r="C2560" s="2459" t="s">
        <v>1672</v>
      </c>
      <c r="D2560" s="2460" t="s">
        <v>1671</v>
      </c>
      <c r="E2560" s="2461" t="s">
        <v>1573</v>
      </c>
      <c r="F2560" s="2461" t="s">
        <v>1627</v>
      </c>
      <c r="G2560" s="2461" t="s">
        <v>1421</v>
      </c>
      <c r="H2560" s="2461" t="s">
        <v>1454</v>
      </c>
      <c r="I2560" s="2462">
        <v>2.2604359280418249E-2</v>
      </c>
      <c r="J2560" s="2462">
        <v>491.68955270433605</v>
      </c>
    </row>
    <row r="2561" spans="1:10" outlineLevel="2">
      <c r="A2561" s="2459" t="s">
        <v>1669</v>
      </c>
      <c r="B2561" s="2459" t="s">
        <v>1654</v>
      </c>
      <c r="C2561" s="2459" t="s">
        <v>1672</v>
      </c>
      <c r="D2561" s="2460" t="s">
        <v>1671</v>
      </c>
      <c r="E2561" s="2461" t="s">
        <v>1573</v>
      </c>
      <c r="F2561" s="2461" t="s">
        <v>1628</v>
      </c>
      <c r="G2561" s="2461" t="s">
        <v>1421</v>
      </c>
      <c r="H2561" s="2461" t="s">
        <v>1454</v>
      </c>
      <c r="I2561" s="2462">
        <v>1.1244397792123312E-3</v>
      </c>
      <c r="J2561" s="2462">
        <v>47.288200079550052</v>
      </c>
    </row>
    <row r="2562" spans="1:10" outlineLevel="2">
      <c r="A2562" s="2459" t="s">
        <v>1669</v>
      </c>
      <c r="B2562" s="2459" t="s">
        <v>1654</v>
      </c>
      <c r="C2562" s="2459" t="s">
        <v>1672</v>
      </c>
      <c r="D2562" s="2460" t="s">
        <v>1671</v>
      </c>
      <c r="E2562" s="2461" t="s">
        <v>1573</v>
      </c>
      <c r="F2562" s="2461" t="s">
        <v>1629</v>
      </c>
      <c r="G2562" s="2461" t="s">
        <v>1421</v>
      </c>
      <c r="H2562" s="2461" t="s">
        <v>1454</v>
      </c>
      <c r="I2562" s="2462">
        <v>1.3008488014427872E-3</v>
      </c>
      <c r="J2562" s="2462">
        <v>41.853849674520305</v>
      </c>
    </row>
    <row r="2563" spans="1:10" outlineLevel="2">
      <c r="A2563" s="2459" t="s">
        <v>1669</v>
      </c>
      <c r="B2563" s="2459" t="s">
        <v>1654</v>
      </c>
      <c r="C2563" s="2459" t="s">
        <v>1672</v>
      </c>
      <c r="D2563" s="2460" t="s">
        <v>1671</v>
      </c>
      <c r="E2563" s="2461" t="s">
        <v>1573</v>
      </c>
      <c r="F2563" s="2461" t="s">
        <v>1630</v>
      </c>
      <c r="G2563" s="2461" t="s">
        <v>1459</v>
      </c>
      <c r="H2563" s="2461" t="s">
        <v>1460</v>
      </c>
      <c r="I2563" s="2462">
        <v>5.0018567783962232E-3</v>
      </c>
      <c r="J2563" s="2462">
        <v>327.81101489876795</v>
      </c>
    </row>
    <row r="2564" spans="1:10" outlineLevel="2">
      <c r="A2564" s="2459" t="s">
        <v>1669</v>
      </c>
      <c r="B2564" s="2459" t="s">
        <v>1654</v>
      </c>
      <c r="C2564" s="2459" t="s">
        <v>1672</v>
      </c>
      <c r="D2564" s="2460" t="s">
        <v>1671</v>
      </c>
      <c r="E2564" s="2461" t="s">
        <v>1573</v>
      </c>
      <c r="F2564" s="2461" t="s">
        <v>1643</v>
      </c>
      <c r="G2564" s="2461" t="s">
        <v>1412</v>
      </c>
      <c r="H2564" s="2461" t="s">
        <v>1116</v>
      </c>
      <c r="I2564" s="2462">
        <v>2.0974756277691003E-3</v>
      </c>
      <c r="J2564" s="2462">
        <v>66.630071969968583</v>
      </c>
    </row>
    <row r="2565" spans="1:10" outlineLevel="2">
      <c r="A2565" s="2459" t="s">
        <v>1669</v>
      </c>
      <c r="B2565" s="2459" t="s">
        <v>1654</v>
      </c>
      <c r="C2565" s="2459" t="s">
        <v>1672</v>
      </c>
      <c r="D2565" s="2460" t="s">
        <v>1671</v>
      </c>
      <c r="E2565" s="2461" t="s">
        <v>1573</v>
      </c>
      <c r="F2565" s="2461" t="s">
        <v>1633</v>
      </c>
      <c r="G2565" s="2461" t="s">
        <v>215</v>
      </c>
      <c r="H2565" s="2461" t="s">
        <v>1537</v>
      </c>
      <c r="I2565" s="2462">
        <v>5.7326592996675869E-3</v>
      </c>
      <c r="J2565" s="2462">
        <v>127.80490938764416</v>
      </c>
    </row>
    <row r="2566" spans="1:10" outlineLevel="2">
      <c r="A2566" s="2459" t="s">
        <v>1669</v>
      </c>
      <c r="B2566" s="2459" t="s">
        <v>1655</v>
      </c>
      <c r="C2566" s="2459" t="s">
        <v>1672</v>
      </c>
      <c r="D2566" s="2460" t="s">
        <v>1671</v>
      </c>
      <c r="E2566" s="2461" t="s">
        <v>1407</v>
      </c>
      <c r="F2566" s="2461" t="s">
        <v>1408</v>
      </c>
      <c r="G2566" s="2461" t="s">
        <v>1409</v>
      </c>
      <c r="H2566" s="2461" t="s">
        <v>1410</v>
      </c>
      <c r="I2566" s="2462">
        <v>1.0873265503811918E-2</v>
      </c>
      <c r="J2566" s="2462">
        <v>0.15994825466744636</v>
      </c>
    </row>
    <row r="2567" spans="1:10" outlineLevel="2">
      <c r="A2567" s="2459" t="s">
        <v>1669</v>
      </c>
      <c r="B2567" s="2459" t="s">
        <v>1655</v>
      </c>
      <c r="C2567" s="2459" t="s">
        <v>1672</v>
      </c>
      <c r="D2567" s="2460" t="s">
        <v>1671</v>
      </c>
      <c r="E2567" s="2461" t="s">
        <v>1407</v>
      </c>
      <c r="F2567" s="2461" t="s">
        <v>1411</v>
      </c>
      <c r="G2567" s="2461" t="s">
        <v>1412</v>
      </c>
      <c r="H2567" s="2461" t="s">
        <v>1410</v>
      </c>
      <c r="I2567" s="2462">
        <v>3.3905408454865591</v>
      </c>
      <c r="J2567" s="2462">
        <v>550.6036651894326</v>
      </c>
    </row>
    <row r="2568" spans="1:10" outlineLevel="2">
      <c r="A2568" s="2459" t="s">
        <v>1669</v>
      </c>
      <c r="B2568" s="2459" t="s">
        <v>1655</v>
      </c>
      <c r="C2568" s="2459" t="s">
        <v>1672</v>
      </c>
      <c r="D2568" s="2460" t="s">
        <v>1671</v>
      </c>
      <c r="E2568" s="2461" t="s">
        <v>1407</v>
      </c>
      <c r="F2568" s="2461" t="s">
        <v>1413</v>
      </c>
      <c r="G2568" s="2461" t="s">
        <v>1412</v>
      </c>
      <c r="H2568" s="2461" t="s">
        <v>1410</v>
      </c>
      <c r="I2568" s="2462">
        <v>2.7534551023465355E-3</v>
      </c>
      <c r="J2568" s="2462">
        <v>0.46645910115145728</v>
      </c>
    </row>
    <row r="2569" spans="1:10" outlineLevel="2">
      <c r="A2569" s="2459" t="s">
        <v>1669</v>
      </c>
      <c r="B2569" s="2459" t="s">
        <v>1655</v>
      </c>
      <c r="C2569" s="2459" t="s">
        <v>1672</v>
      </c>
      <c r="D2569" s="2460" t="s">
        <v>1671</v>
      </c>
      <c r="E2569" s="2461" t="s">
        <v>1407</v>
      </c>
      <c r="F2569" s="2461" t="s">
        <v>1414</v>
      </c>
      <c r="G2569" s="2461" t="s">
        <v>1412</v>
      </c>
      <c r="H2569" s="2461" t="s">
        <v>1410</v>
      </c>
      <c r="I2569" s="2462">
        <v>1.3836839111227607E-3</v>
      </c>
      <c r="J2569" s="2462">
        <v>0.25418831191227503</v>
      </c>
    </row>
    <row r="2570" spans="1:10" outlineLevel="2">
      <c r="A2570" s="2459" t="s">
        <v>1669</v>
      </c>
      <c r="B2570" s="2459" t="s">
        <v>1655</v>
      </c>
      <c r="C2570" s="2459" t="s">
        <v>1672</v>
      </c>
      <c r="D2570" s="2460" t="s">
        <v>1671</v>
      </c>
      <c r="E2570" s="2461" t="s">
        <v>1407</v>
      </c>
      <c r="F2570" s="2461" t="s">
        <v>1415</v>
      </c>
      <c r="G2570" s="2461" t="s">
        <v>1412</v>
      </c>
      <c r="H2570" s="2461" t="s">
        <v>1410</v>
      </c>
      <c r="I2570" s="2462">
        <v>1.100534152826497E-2</v>
      </c>
      <c r="J2570" s="2462">
        <v>1.7530529531032235</v>
      </c>
    </row>
    <row r="2571" spans="1:10" outlineLevel="2">
      <c r="A2571" s="2459" t="s">
        <v>1669</v>
      </c>
      <c r="B2571" s="2459" t="s">
        <v>1655</v>
      </c>
      <c r="C2571" s="2459" t="s">
        <v>1672</v>
      </c>
      <c r="D2571" s="2460" t="s">
        <v>1671</v>
      </c>
      <c r="E2571" s="2461" t="s">
        <v>1407</v>
      </c>
      <c r="F2571" s="2461" t="s">
        <v>1416</v>
      </c>
      <c r="G2571" s="2461" t="s">
        <v>1412</v>
      </c>
      <c r="H2571" s="2461" t="s">
        <v>1410</v>
      </c>
      <c r="I2571" s="2462">
        <v>1.2665192355294496E-2</v>
      </c>
      <c r="J2571" s="2462">
        <v>3.1155303904820864</v>
      </c>
    </row>
    <row r="2572" spans="1:10" outlineLevel="2">
      <c r="A2572" s="2459" t="s">
        <v>1669</v>
      </c>
      <c r="B2572" s="2459" t="s">
        <v>1655</v>
      </c>
      <c r="C2572" s="2459" t="s">
        <v>1672</v>
      </c>
      <c r="D2572" s="2460" t="s">
        <v>1671</v>
      </c>
      <c r="E2572" s="2461" t="s">
        <v>1407</v>
      </c>
      <c r="F2572" s="2461" t="s">
        <v>1417</v>
      </c>
      <c r="G2572" s="2461" t="s">
        <v>1418</v>
      </c>
      <c r="H2572" s="2461" t="s">
        <v>1410</v>
      </c>
      <c r="I2572" s="2462">
        <v>1.950653516157612E-3</v>
      </c>
      <c r="J2572" s="2462">
        <v>2.5910353129726622E-2</v>
      </c>
    </row>
    <row r="2573" spans="1:10" outlineLevel="2">
      <c r="A2573" s="2459" t="s">
        <v>1669</v>
      </c>
      <c r="B2573" s="2459" t="s">
        <v>1655</v>
      </c>
      <c r="C2573" s="2459" t="s">
        <v>1672</v>
      </c>
      <c r="D2573" s="2460" t="s">
        <v>1671</v>
      </c>
      <c r="E2573" s="2461" t="s">
        <v>1407</v>
      </c>
      <c r="F2573" s="2461" t="s">
        <v>1419</v>
      </c>
      <c r="G2573" s="2461" t="s">
        <v>1418</v>
      </c>
      <c r="H2573" s="2461" t="s">
        <v>1410</v>
      </c>
      <c r="I2573" s="2462">
        <v>1.4479389759989469E-2</v>
      </c>
      <c r="J2573" s="2462">
        <v>2.8120371567656668</v>
      </c>
    </row>
    <row r="2574" spans="1:10" outlineLevel="2">
      <c r="A2574" s="2459" t="s">
        <v>1669</v>
      </c>
      <c r="B2574" s="2459" t="s">
        <v>1655</v>
      </c>
      <c r="C2574" s="2459" t="s">
        <v>1672</v>
      </c>
      <c r="D2574" s="2460" t="s">
        <v>1671</v>
      </c>
      <c r="E2574" s="2461" t="s">
        <v>1407</v>
      </c>
      <c r="F2574" s="2461" t="s">
        <v>1420</v>
      </c>
      <c r="G2574" s="2461" t="s">
        <v>1421</v>
      </c>
      <c r="H2574" s="2461" t="s">
        <v>1410</v>
      </c>
      <c r="I2574" s="2462">
        <v>5.9910866635485371</v>
      </c>
      <c r="J2574" s="2462">
        <v>155.48459816212053</v>
      </c>
    </row>
    <row r="2575" spans="1:10" outlineLevel="2">
      <c r="A2575" s="2459" t="s">
        <v>1669</v>
      </c>
      <c r="B2575" s="2459" t="s">
        <v>1655</v>
      </c>
      <c r="C2575" s="2459" t="s">
        <v>1672</v>
      </c>
      <c r="D2575" s="2460" t="s">
        <v>1671</v>
      </c>
      <c r="E2575" s="2461" t="s">
        <v>1407</v>
      </c>
      <c r="F2575" s="2461" t="s">
        <v>1422</v>
      </c>
      <c r="G2575" s="2461" t="s">
        <v>1421</v>
      </c>
      <c r="H2575" s="2461" t="s">
        <v>1410</v>
      </c>
      <c r="I2575" s="2462">
        <v>0.18116957239519157</v>
      </c>
      <c r="J2575" s="2462">
        <v>7.4231018266383284</v>
      </c>
    </row>
    <row r="2576" spans="1:10" outlineLevel="2">
      <c r="A2576" s="2459" t="s">
        <v>1669</v>
      </c>
      <c r="B2576" s="2459" t="s">
        <v>1655</v>
      </c>
      <c r="C2576" s="2459" t="s">
        <v>1672</v>
      </c>
      <c r="D2576" s="2460" t="s">
        <v>1671</v>
      </c>
      <c r="E2576" s="2461" t="s">
        <v>1407</v>
      </c>
      <c r="F2576" s="2461" t="s">
        <v>1423</v>
      </c>
      <c r="G2576" s="2461" t="s">
        <v>1421</v>
      </c>
      <c r="H2576" s="2461" t="s">
        <v>1410</v>
      </c>
      <c r="I2576" s="2462">
        <v>9.4167550816619122E-2</v>
      </c>
      <c r="J2576" s="2462">
        <v>10.851730461572144</v>
      </c>
    </row>
    <row r="2577" spans="1:10" outlineLevel="2">
      <c r="A2577" s="2459" t="s">
        <v>1669</v>
      </c>
      <c r="B2577" s="2459" t="s">
        <v>1655</v>
      </c>
      <c r="C2577" s="2459" t="s">
        <v>1672</v>
      </c>
      <c r="D2577" s="2460" t="s">
        <v>1671</v>
      </c>
      <c r="E2577" s="2461" t="s">
        <v>1407</v>
      </c>
      <c r="F2577" s="2461" t="s">
        <v>1424</v>
      </c>
      <c r="G2577" s="2461" t="s">
        <v>1421</v>
      </c>
      <c r="H2577" s="2461" t="s">
        <v>1410</v>
      </c>
      <c r="I2577" s="2462">
        <v>1.8414950339161991</v>
      </c>
      <c r="J2577" s="2462">
        <v>385.36136126999781</v>
      </c>
    </row>
    <row r="2578" spans="1:10" outlineLevel="2">
      <c r="A2578" s="2459" t="s">
        <v>1669</v>
      </c>
      <c r="B2578" s="2459" t="s">
        <v>1655</v>
      </c>
      <c r="C2578" s="2459" t="s">
        <v>1672</v>
      </c>
      <c r="D2578" s="2460" t="s">
        <v>1671</v>
      </c>
      <c r="E2578" s="2461" t="s">
        <v>1407</v>
      </c>
      <c r="F2578" s="2461" t="s">
        <v>1641</v>
      </c>
      <c r="G2578" s="2461" t="s">
        <v>1412</v>
      </c>
      <c r="H2578" s="2461" t="s">
        <v>1410</v>
      </c>
      <c r="I2578" s="2462">
        <v>1.1744744855408173E-2</v>
      </c>
      <c r="J2578" s="2462">
        <v>2.6689742937990051</v>
      </c>
    </row>
    <row r="2579" spans="1:10" outlineLevel="2">
      <c r="A2579" s="2459" t="s">
        <v>1669</v>
      </c>
      <c r="B2579" s="2459" t="s">
        <v>1655</v>
      </c>
      <c r="C2579" s="2459" t="s">
        <v>1672</v>
      </c>
      <c r="D2579" s="2460" t="s">
        <v>1671</v>
      </c>
      <c r="E2579" s="2461" t="s">
        <v>213</v>
      </c>
      <c r="F2579" s="2461" t="s">
        <v>1425</v>
      </c>
      <c r="G2579" s="2461" t="s">
        <v>1426</v>
      </c>
      <c r="H2579" s="2461" t="s">
        <v>1427</v>
      </c>
      <c r="I2579" s="2462">
        <v>0.20903075802497786</v>
      </c>
      <c r="J2579" s="2462">
        <v>60.061292887743086</v>
      </c>
    </row>
    <row r="2580" spans="1:10" outlineLevel="2">
      <c r="A2580" s="2459" t="s">
        <v>1669</v>
      </c>
      <c r="B2580" s="2459" t="s">
        <v>1655</v>
      </c>
      <c r="C2580" s="2459" t="s">
        <v>1672</v>
      </c>
      <c r="D2580" s="2460" t="s">
        <v>1671</v>
      </c>
      <c r="E2580" s="2461" t="s">
        <v>213</v>
      </c>
      <c r="F2580" s="2461" t="s">
        <v>1428</v>
      </c>
      <c r="G2580" s="2461" t="s">
        <v>1426</v>
      </c>
      <c r="H2580" s="2461" t="s">
        <v>1427</v>
      </c>
      <c r="I2580" s="2462">
        <v>6.3850669377146632E-2</v>
      </c>
      <c r="J2580" s="2462">
        <v>25.793929618426521</v>
      </c>
    </row>
    <row r="2581" spans="1:10" outlineLevel="2">
      <c r="A2581" s="2459" t="s">
        <v>1669</v>
      </c>
      <c r="B2581" s="2459" t="s">
        <v>1655</v>
      </c>
      <c r="C2581" s="2459" t="s">
        <v>1672</v>
      </c>
      <c r="D2581" s="2460" t="s">
        <v>1671</v>
      </c>
      <c r="E2581" s="2461" t="s">
        <v>213</v>
      </c>
      <c r="F2581" s="2461" t="s">
        <v>1429</v>
      </c>
      <c r="G2581" s="2461" t="s">
        <v>1426</v>
      </c>
      <c r="H2581" s="2461" t="s">
        <v>1427</v>
      </c>
      <c r="I2581" s="2462">
        <v>2.9061876710574617E-2</v>
      </c>
      <c r="J2581" s="2462">
        <v>37.375746762583105</v>
      </c>
    </row>
    <row r="2582" spans="1:10" outlineLevel="2">
      <c r="A2582" s="2459" t="s">
        <v>1669</v>
      </c>
      <c r="B2582" s="2459" t="s">
        <v>1655</v>
      </c>
      <c r="C2582" s="2459" t="s">
        <v>1672</v>
      </c>
      <c r="D2582" s="2460" t="s">
        <v>1671</v>
      </c>
      <c r="E2582" s="2461" t="s">
        <v>213</v>
      </c>
      <c r="F2582" s="2461" t="s">
        <v>1430</v>
      </c>
      <c r="G2582" s="2461" t="s">
        <v>1409</v>
      </c>
      <c r="H2582" s="2461" t="s">
        <v>1070</v>
      </c>
      <c r="I2582" s="2462">
        <v>3.3609851232483619E-2</v>
      </c>
      <c r="J2582" s="2462">
        <v>20.854232675360524</v>
      </c>
    </row>
    <row r="2583" spans="1:10" outlineLevel="2">
      <c r="A2583" s="2459" t="s">
        <v>1669</v>
      </c>
      <c r="B2583" s="2459" t="s">
        <v>1655</v>
      </c>
      <c r="C2583" s="2459" t="s">
        <v>1672</v>
      </c>
      <c r="D2583" s="2460" t="s">
        <v>1671</v>
      </c>
      <c r="E2583" s="2461" t="s">
        <v>213</v>
      </c>
      <c r="F2583" s="2461" t="s">
        <v>1431</v>
      </c>
      <c r="G2583" s="2461" t="s">
        <v>1409</v>
      </c>
      <c r="H2583" s="2461" t="s">
        <v>1070</v>
      </c>
      <c r="I2583" s="2462">
        <v>2.7892620639160559E-3</v>
      </c>
      <c r="J2583" s="2462">
        <v>1.3508569404894211</v>
      </c>
    </row>
    <row r="2584" spans="1:10" outlineLevel="2">
      <c r="A2584" s="2459" t="s">
        <v>1669</v>
      </c>
      <c r="B2584" s="2459" t="s">
        <v>1655</v>
      </c>
      <c r="C2584" s="2459" t="s">
        <v>1672</v>
      </c>
      <c r="D2584" s="2460" t="s">
        <v>1671</v>
      </c>
      <c r="E2584" s="2461" t="s">
        <v>213</v>
      </c>
      <c r="F2584" s="2461" t="s">
        <v>1432</v>
      </c>
      <c r="G2584" s="2461" t="s">
        <v>1409</v>
      </c>
      <c r="H2584" s="2461" t="s">
        <v>1070</v>
      </c>
      <c r="I2584" s="2462">
        <v>3.3802200034502902E-3</v>
      </c>
      <c r="J2584" s="2462">
        <v>1.614658269747651</v>
      </c>
    </row>
    <row r="2585" spans="1:10" outlineLevel="2">
      <c r="A2585" s="2459" t="s">
        <v>1669</v>
      </c>
      <c r="B2585" s="2459" t="s">
        <v>1655</v>
      </c>
      <c r="C2585" s="2459" t="s">
        <v>1672</v>
      </c>
      <c r="D2585" s="2460" t="s">
        <v>1671</v>
      </c>
      <c r="E2585" s="2461" t="s">
        <v>213</v>
      </c>
      <c r="F2585" s="2461" t="s">
        <v>1433</v>
      </c>
      <c r="G2585" s="2461" t="s">
        <v>1409</v>
      </c>
      <c r="H2585" s="2461" t="s">
        <v>1070</v>
      </c>
      <c r="I2585" s="2462">
        <v>2.4998179298754192E-5</v>
      </c>
      <c r="J2585" s="2462">
        <v>1.1187849030398121E-2</v>
      </c>
    </row>
    <row r="2586" spans="1:10" outlineLevel="2">
      <c r="A2586" s="2459" t="s">
        <v>1669</v>
      </c>
      <c r="B2586" s="2459" t="s">
        <v>1655</v>
      </c>
      <c r="C2586" s="2459" t="s">
        <v>1672</v>
      </c>
      <c r="D2586" s="2460" t="s">
        <v>1671</v>
      </c>
      <c r="E2586" s="2461" t="s">
        <v>213</v>
      </c>
      <c r="F2586" s="2461" t="s">
        <v>1434</v>
      </c>
      <c r="G2586" s="2461" t="s">
        <v>1409</v>
      </c>
      <c r="H2586" s="2461" t="s">
        <v>1070</v>
      </c>
      <c r="I2586" s="2462">
        <v>9.6355850698682313E-2</v>
      </c>
      <c r="J2586" s="2462">
        <v>53.803629341775022</v>
      </c>
    </row>
    <row r="2587" spans="1:10" outlineLevel="2">
      <c r="A2587" s="2459" t="s">
        <v>1669</v>
      </c>
      <c r="B2587" s="2459" t="s">
        <v>1655</v>
      </c>
      <c r="C2587" s="2459" t="s">
        <v>1672</v>
      </c>
      <c r="D2587" s="2460" t="s">
        <v>1671</v>
      </c>
      <c r="E2587" s="2461" t="s">
        <v>213</v>
      </c>
      <c r="F2587" s="2461" t="s">
        <v>1435</v>
      </c>
      <c r="G2587" s="2461" t="s">
        <v>1409</v>
      </c>
      <c r="H2587" s="2461" t="s">
        <v>1070</v>
      </c>
      <c r="I2587" s="2462">
        <v>7.0452313644311438E-4</v>
      </c>
      <c r="J2587" s="2462">
        <v>0.31530676208866049</v>
      </c>
    </row>
    <row r="2588" spans="1:10" outlineLevel="2">
      <c r="A2588" s="2459" t="s">
        <v>1669</v>
      </c>
      <c r="B2588" s="2459" t="s">
        <v>1655</v>
      </c>
      <c r="C2588" s="2459" t="s">
        <v>1672</v>
      </c>
      <c r="D2588" s="2460" t="s">
        <v>1671</v>
      </c>
      <c r="E2588" s="2461" t="s">
        <v>213</v>
      </c>
      <c r="F2588" s="2461" t="s">
        <v>1436</v>
      </c>
      <c r="G2588" s="2461" t="s">
        <v>1412</v>
      </c>
      <c r="H2588" s="2461" t="s">
        <v>1116</v>
      </c>
      <c r="I2588" s="2462">
        <v>3.3579924705358188E-3</v>
      </c>
      <c r="J2588" s="2462">
        <v>1.5028571036518883</v>
      </c>
    </row>
    <row r="2589" spans="1:10" outlineLevel="2">
      <c r="A2589" s="2459" t="s">
        <v>1669</v>
      </c>
      <c r="B2589" s="2459" t="s">
        <v>1655</v>
      </c>
      <c r="C2589" s="2459" t="s">
        <v>1672</v>
      </c>
      <c r="D2589" s="2460" t="s">
        <v>1671</v>
      </c>
      <c r="E2589" s="2461" t="s">
        <v>213</v>
      </c>
      <c r="F2589" s="2461" t="s">
        <v>1437</v>
      </c>
      <c r="G2589" s="2461" t="s">
        <v>1412</v>
      </c>
      <c r="H2589" s="2461" t="s">
        <v>1116</v>
      </c>
      <c r="I2589" s="2462">
        <v>2.569580782552359E-4</v>
      </c>
      <c r="J2589" s="2462">
        <v>0.11500072796084788</v>
      </c>
    </row>
    <row r="2590" spans="1:10" outlineLevel="2">
      <c r="A2590" s="2459" t="s">
        <v>1669</v>
      </c>
      <c r="B2590" s="2459" t="s">
        <v>1655</v>
      </c>
      <c r="C2590" s="2459" t="s">
        <v>1672</v>
      </c>
      <c r="D2590" s="2460" t="s">
        <v>1671</v>
      </c>
      <c r="E2590" s="2461" t="s">
        <v>213</v>
      </c>
      <c r="F2590" s="2461" t="s">
        <v>1438</v>
      </c>
      <c r="G2590" s="2461" t="s">
        <v>1439</v>
      </c>
      <c r="H2590" s="2461" t="s">
        <v>1440</v>
      </c>
      <c r="I2590" s="2462">
        <v>1.5333206183339401E-2</v>
      </c>
      <c r="J2590" s="2462">
        <v>8.3974791617378148</v>
      </c>
    </row>
    <row r="2591" spans="1:10" outlineLevel="2">
      <c r="A2591" s="2459" t="s">
        <v>1669</v>
      </c>
      <c r="B2591" s="2459" t="s">
        <v>1655</v>
      </c>
      <c r="C2591" s="2459" t="s">
        <v>1672</v>
      </c>
      <c r="D2591" s="2460" t="s">
        <v>1671</v>
      </c>
      <c r="E2591" s="2461" t="s">
        <v>213</v>
      </c>
      <c r="F2591" s="2461" t="s">
        <v>1441</v>
      </c>
      <c r="G2591" s="2461" t="s">
        <v>1439</v>
      </c>
      <c r="H2591" s="2461" t="s">
        <v>1440</v>
      </c>
      <c r="I2591" s="2462">
        <v>0.24879753751636674</v>
      </c>
      <c r="J2591" s="2462">
        <v>133.71508090799051</v>
      </c>
    </row>
    <row r="2592" spans="1:10" outlineLevel="2">
      <c r="A2592" s="2459" t="s">
        <v>1669</v>
      </c>
      <c r="B2592" s="2459" t="s">
        <v>1655</v>
      </c>
      <c r="C2592" s="2459" t="s">
        <v>1672</v>
      </c>
      <c r="D2592" s="2460" t="s">
        <v>1671</v>
      </c>
      <c r="E2592" s="2461" t="s">
        <v>213</v>
      </c>
      <c r="F2592" s="2461" t="s">
        <v>1442</v>
      </c>
      <c r="G2592" s="2461" t="s">
        <v>1439</v>
      </c>
      <c r="H2592" s="2461" t="s">
        <v>1440</v>
      </c>
      <c r="I2592" s="2462">
        <v>0.21580758960624982</v>
      </c>
      <c r="J2592" s="2462">
        <v>112.12218104580029</v>
      </c>
    </row>
    <row r="2593" spans="1:10" outlineLevel="2">
      <c r="A2593" s="2459" t="s">
        <v>1669</v>
      </c>
      <c r="B2593" s="2459" t="s">
        <v>1655</v>
      </c>
      <c r="C2593" s="2459" t="s">
        <v>1672</v>
      </c>
      <c r="D2593" s="2460" t="s">
        <v>1671</v>
      </c>
      <c r="E2593" s="2461" t="s">
        <v>213</v>
      </c>
      <c r="F2593" s="2461" t="s">
        <v>1443</v>
      </c>
      <c r="G2593" s="2461" t="s">
        <v>1439</v>
      </c>
      <c r="H2593" s="2461" t="s">
        <v>1440</v>
      </c>
      <c r="I2593" s="2462">
        <v>2.3525217593399068</v>
      </c>
      <c r="J2593" s="2462">
        <v>1287.7795761995064</v>
      </c>
    </row>
    <row r="2594" spans="1:10" outlineLevel="2">
      <c r="A2594" s="2459" t="s">
        <v>1669</v>
      </c>
      <c r="B2594" s="2459" t="s">
        <v>1655</v>
      </c>
      <c r="C2594" s="2459" t="s">
        <v>1672</v>
      </c>
      <c r="D2594" s="2460" t="s">
        <v>1671</v>
      </c>
      <c r="E2594" s="2461" t="s">
        <v>213</v>
      </c>
      <c r="F2594" s="2461" t="s">
        <v>1444</v>
      </c>
      <c r="G2594" s="2461" t="s">
        <v>1439</v>
      </c>
      <c r="H2594" s="2461" t="s">
        <v>1440</v>
      </c>
      <c r="I2594" s="2462">
        <v>0.26510742018795813</v>
      </c>
      <c r="J2594" s="2462">
        <v>155.71343819992427</v>
      </c>
    </row>
    <row r="2595" spans="1:10" outlineLevel="2">
      <c r="A2595" s="2459" t="s">
        <v>1669</v>
      </c>
      <c r="B2595" s="2459" t="s">
        <v>1655</v>
      </c>
      <c r="C2595" s="2459" t="s">
        <v>1672</v>
      </c>
      <c r="D2595" s="2460" t="s">
        <v>1671</v>
      </c>
      <c r="E2595" s="2461" t="s">
        <v>213</v>
      </c>
      <c r="F2595" s="2461" t="s">
        <v>1445</v>
      </c>
      <c r="G2595" s="2461" t="s">
        <v>1439</v>
      </c>
      <c r="H2595" s="2461" t="s">
        <v>1440</v>
      </c>
      <c r="I2595" s="2462">
        <v>2.2260423968144005</v>
      </c>
      <c r="J2595" s="2462">
        <v>1125.3468631467883</v>
      </c>
    </row>
    <row r="2596" spans="1:10" outlineLevel="2">
      <c r="A2596" s="2459" t="s">
        <v>1669</v>
      </c>
      <c r="B2596" s="2459" t="s">
        <v>1655</v>
      </c>
      <c r="C2596" s="2459" t="s">
        <v>1672</v>
      </c>
      <c r="D2596" s="2460" t="s">
        <v>1671</v>
      </c>
      <c r="E2596" s="2461" t="s">
        <v>213</v>
      </c>
      <c r="F2596" s="2461" t="s">
        <v>1446</v>
      </c>
      <c r="G2596" s="2461" t="s">
        <v>1439</v>
      </c>
      <c r="H2596" s="2461" t="s">
        <v>1440</v>
      </c>
      <c r="I2596" s="2462">
        <v>0.18685983728108835</v>
      </c>
      <c r="J2596" s="2462">
        <v>100.21679274859666</v>
      </c>
    </row>
    <row r="2597" spans="1:10" outlineLevel="2">
      <c r="A2597" s="2459" t="s">
        <v>1669</v>
      </c>
      <c r="B2597" s="2459" t="s">
        <v>1655</v>
      </c>
      <c r="C2597" s="2459" t="s">
        <v>1672</v>
      </c>
      <c r="D2597" s="2460" t="s">
        <v>1671</v>
      </c>
      <c r="E2597" s="2461" t="s">
        <v>213</v>
      </c>
      <c r="F2597" s="2461" t="s">
        <v>1447</v>
      </c>
      <c r="G2597" s="2461" t="s">
        <v>1439</v>
      </c>
      <c r="H2597" s="2461" t="s">
        <v>1440</v>
      </c>
      <c r="I2597" s="2462">
        <v>1.9646892713427957</v>
      </c>
      <c r="J2597" s="2462">
        <v>1050.8047896175685</v>
      </c>
    </row>
    <row r="2598" spans="1:10" outlineLevel="2">
      <c r="A2598" s="2459" t="s">
        <v>1669</v>
      </c>
      <c r="B2598" s="2459" t="s">
        <v>1655</v>
      </c>
      <c r="C2598" s="2459" t="s">
        <v>1672</v>
      </c>
      <c r="D2598" s="2460" t="s">
        <v>1671</v>
      </c>
      <c r="E2598" s="2461" t="s">
        <v>213</v>
      </c>
      <c r="F2598" s="2461" t="s">
        <v>1448</v>
      </c>
      <c r="G2598" s="2461" t="s">
        <v>1439</v>
      </c>
      <c r="H2598" s="2461" t="s">
        <v>1440</v>
      </c>
      <c r="I2598" s="2462">
        <v>0.33866393555285629</v>
      </c>
      <c r="J2598" s="2462">
        <v>49.584853001130547</v>
      </c>
    </row>
    <row r="2599" spans="1:10" outlineLevel="2">
      <c r="A2599" s="2459" t="s">
        <v>1669</v>
      </c>
      <c r="B2599" s="2459" t="s">
        <v>1655</v>
      </c>
      <c r="C2599" s="2459" t="s">
        <v>1672</v>
      </c>
      <c r="D2599" s="2460" t="s">
        <v>1671</v>
      </c>
      <c r="E2599" s="2461" t="s">
        <v>213</v>
      </c>
      <c r="F2599" s="2461" t="s">
        <v>1449</v>
      </c>
      <c r="G2599" s="2461" t="s">
        <v>1439</v>
      </c>
      <c r="H2599" s="2461" t="s">
        <v>1440</v>
      </c>
      <c r="I2599" s="2462">
        <v>2.6132842724036287</v>
      </c>
      <c r="J2599" s="2462">
        <v>382.60849446991909</v>
      </c>
    </row>
    <row r="2600" spans="1:10" outlineLevel="2">
      <c r="A2600" s="2459" t="s">
        <v>1669</v>
      </c>
      <c r="B2600" s="2459" t="s">
        <v>1655</v>
      </c>
      <c r="C2600" s="2459" t="s">
        <v>1672</v>
      </c>
      <c r="D2600" s="2460" t="s">
        <v>1671</v>
      </c>
      <c r="E2600" s="2461" t="s">
        <v>213</v>
      </c>
      <c r="F2600" s="2461" t="s">
        <v>1450</v>
      </c>
      <c r="G2600" s="2461" t="s">
        <v>1439</v>
      </c>
      <c r="H2600" s="2461" t="s">
        <v>1440</v>
      </c>
      <c r="I2600" s="2462">
        <v>1.1237259011720434E-3</v>
      </c>
      <c r="J2600" s="2462">
        <v>0.56071744913742561</v>
      </c>
    </row>
    <row r="2601" spans="1:10" outlineLevel="2">
      <c r="A2601" s="2459" t="s">
        <v>1669</v>
      </c>
      <c r="B2601" s="2459" t="s">
        <v>1655</v>
      </c>
      <c r="C2601" s="2459" t="s">
        <v>1672</v>
      </c>
      <c r="D2601" s="2460" t="s">
        <v>1671</v>
      </c>
      <c r="E2601" s="2461" t="s">
        <v>213</v>
      </c>
      <c r="F2601" s="2461" t="s">
        <v>1451</v>
      </c>
      <c r="G2601" s="2461" t="s">
        <v>1418</v>
      </c>
      <c r="H2601" s="2461" t="s">
        <v>1452</v>
      </c>
      <c r="I2601" s="2462">
        <v>2.4224514496069583E-4</v>
      </c>
      <c r="J2601" s="2462">
        <v>0.14731472358047587</v>
      </c>
    </row>
    <row r="2602" spans="1:10" outlineLevel="2">
      <c r="A2602" s="2459" t="s">
        <v>1669</v>
      </c>
      <c r="B2602" s="2459" t="s">
        <v>1655</v>
      </c>
      <c r="C2602" s="2459" t="s">
        <v>1672</v>
      </c>
      <c r="D2602" s="2460" t="s">
        <v>1671</v>
      </c>
      <c r="E2602" s="2461" t="s">
        <v>213</v>
      </c>
      <c r="F2602" s="2461" t="s">
        <v>1453</v>
      </c>
      <c r="G2602" s="2461" t="s">
        <v>1421</v>
      </c>
      <c r="H2602" s="2461" t="s">
        <v>1454</v>
      </c>
      <c r="I2602" s="2462">
        <v>5.2797876541430075E-2</v>
      </c>
      <c r="J2602" s="2462">
        <v>26.140722545495169</v>
      </c>
    </row>
    <row r="2603" spans="1:10" outlineLevel="2">
      <c r="A2603" s="2459" t="s">
        <v>1669</v>
      </c>
      <c r="B2603" s="2459" t="s">
        <v>1655</v>
      </c>
      <c r="C2603" s="2459" t="s">
        <v>1672</v>
      </c>
      <c r="D2603" s="2460" t="s">
        <v>1671</v>
      </c>
      <c r="E2603" s="2461" t="s">
        <v>213</v>
      </c>
      <c r="F2603" s="2461" t="s">
        <v>1455</v>
      </c>
      <c r="G2603" s="2461" t="s">
        <v>1421</v>
      </c>
      <c r="H2603" s="2461" t="s">
        <v>1454</v>
      </c>
      <c r="I2603" s="2462">
        <v>0.33693459716978574</v>
      </c>
      <c r="J2603" s="2462">
        <v>174.38813096017307</v>
      </c>
    </row>
    <row r="2604" spans="1:10" outlineLevel="2">
      <c r="A2604" s="2459" t="s">
        <v>1669</v>
      </c>
      <c r="B2604" s="2459" t="s">
        <v>1655</v>
      </c>
      <c r="C2604" s="2459" t="s">
        <v>1672</v>
      </c>
      <c r="D2604" s="2460" t="s">
        <v>1671</v>
      </c>
      <c r="E2604" s="2461" t="s">
        <v>213</v>
      </c>
      <c r="F2604" s="2461" t="s">
        <v>1456</v>
      </c>
      <c r="G2604" s="2461" t="s">
        <v>1421</v>
      </c>
      <c r="H2604" s="2461" t="s">
        <v>1454</v>
      </c>
      <c r="I2604" s="2462">
        <v>1.3514395966725525E-4</v>
      </c>
      <c r="J2604" s="2462">
        <v>6.0483267622096062E-2</v>
      </c>
    </row>
    <row r="2605" spans="1:10" outlineLevel="2">
      <c r="A2605" s="2459" t="s">
        <v>1669</v>
      </c>
      <c r="B2605" s="2459" t="s">
        <v>1655</v>
      </c>
      <c r="C2605" s="2459" t="s">
        <v>1672</v>
      </c>
      <c r="D2605" s="2460" t="s">
        <v>1671</v>
      </c>
      <c r="E2605" s="2461" t="s">
        <v>213</v>
      </c>
      <c r="F2605" s="2461" t="s">
        <v>1457</v>
      </c>
      <c r="G2605" s="2461" t="s">
        <v>1421</v>
      </c>
      <c r="H2605" s="2461" t="s">
        <v>1454</v>
      </c>
      <c r="I2605" s="2462">
        <v>2.3573385946400313E-3</v>
      </c>
      <c r="J2605" s="2462">
        <v>1.055018417390799</v>
      </c>
    </row>
    <row r="2606" spans="1:10" outlineLevel="2">
      <c r="A2606" s="2459" t="s">
        <v>1669</v>
      </c>
      <c r="B2606" s="2459" t="s">
        <v>1655</v>
      </c>
      <c r="C2606" s="2459" t="s">
        <v>1672</v>
      </c>
      <c r="D2606" s="2460" t="s">
        <v>1671</v>
      </c>
      <c r="E2606" s="2461" t="s">
        <v>213</v>
      </c>
      <c r="F2606" s="2461" t="s">
        <v>1458</v>
      </c>
      <c r="G2606" s="2461" t="s">
        <v>1459</v>
      </c>
      <c r="H2606" s="2461" t="s">
        <v>1460</v>
      </c>
      <c r="I2606" s="2462">
        <v>4.6544024308380243E-3</v>
      </c>
      <c r="J2606" s="2462">
        <v>2.6871151606443204</v>
      </c>
    </row>
    <row r="2607" spans="1:10" outlineLevel="2">
      <c r="A2607" s="2459" t="s">
        <v>1669</v>
      </c>
      <c r="B2607" s="2459" t="s">
        <v>1655</v>
      </c>
      <c r="C2607" s="2459" t="s">
        <v>1672</v>
      </c>
      <c r="D2607" s="2460" t="s">
        <v>1671</v>
      </c>
      <c r="E2607" s="2461" t="s">
        <v>213</v>
      </c>
      <c r="F2607" s="2461" t="s">
        <v>1461</v>
      </c>
      <c r="G2607" s="2461" t="s">
        <v>1426</v>
      </c>
      <c r="H2607" s="2461" t="s">
        <v>1427</v>
      </c>
      <c r="I2607" s="2462">
        <v>3.9610716462608289E-2</v>
      </c>
      <c r="J2607" s="2462">
        <v>28.011373480182467</v>
      </c>
    </row>
    <row r="2608" spans="1:10" outlineLevel="2">
      <c r="A2608" s="2459" t="s">
        <v>1669</v>
      </c>
      <c r="B2608" s="2459" t="s">
        <v>1655</v>
      </c>
      <c r="C2608" s="2459" t="s">
        <v>1672</v>
      </c>
      <c r="D2608" s="2460" t="s">
        <v>1671</v>
      </c>
      <c r="E2608" s="2461" t="s">
        <v>213</v>
      </c>
      <c r="F2608" s="2461" t="s">
        <v>1462</v>
      </c>
      <c r="G2608" s="2461" t="s">
        <v>1426</v>
      </c>
      <c r="H2608" s="2461" t="s">
        <v>1427</v>
      </c>
      <c r="I2608" s="2462">
        <v>0.29189333755861469</v>
      </c>
      <c r="J2608" s="2462">
        <v>266.29801724204191</v>
      </c>
    </row>
    <row r="2609" spans="1:10" outlineLevel="2">
      <c r="A2609" s="2459" t="s">
        <v>1669</v>
      </c>
      <c r="B2609" s="2459" t="s">
        <v>1655</v>
      </c>
      <c r="C2609" s="2459" t="s">
        <v>1672</v>
      </c>
      <c r="D2609" s="2460" t="s">
        <v>1671</v>
      </c>
      <c r="E2609" s="2461" t="s">
        <v>213</v>
      </c>
      <c r="F2609" s="2461" t="s">
        <v>1463</v>
      </c>
      <c r="G2609" s="2461" t="s">
        <v>1426</v>
      </c>
      <c r="H2609" s="2461" t="s">
        <v>1427</v>
      </c>
      <c r="I2609" s="2462">
        <v>0.47981061007127757</v>
      </c>
      <c r="J2609" s="2462">
        <v>637.64921600996865</v>
      </c>
    </row>
    <row r="2610" spans="1:10" outlineLevel="2">
      <c r="A2610" s="2459" t="s">
        <v>1669</v>
      </c>
      <c r="B2610" s="2459" t="s">
        <v>1655</v>
      </c>
      <c r="C2610" s="2459" t="s">
        <v>1672</v>
      </c>
      <c r="D2610" s="2460" t="s">
        <v>1671</v>
      </c>
      <c r="E2610" s="2461" t="s">
        <v>213</v>
      </c>
      <c r="F2610" s="2461" t="s">
        <v>1464</v>
      </c>
      <c r="G2610" s="2461" t="s">
        <v>1426</v>
      </c>
      <c r="H2610" s="2461" t="s">
        <v>1427</v>
      </c>
      <c r="I2610" s="2462">
        <v>3.9221575934222506E-2</v>
      </c>
      <c r="J2610" s="2462">
        <v>35.717344048424302</v>
      </c>
    </row>
    <row r="2611" spans="1:10" outlineLevel="2">
      <c r="A2611" s="2459" t="s">
        <v>1669</v>
      </c>
      <c r="B2611" s="2459" t="s">
        <v>1655</v>
      </c>
      <c r="C2611" s="2459" t="s">
        <v>1672</v>
      </c>
      <c r="D2611" s="2460" t="s">
        <v>1671</v>
      </c>
      <c r="E2611" s="2461" t="s">
        <v>213</v>
      </c>
      <c r="F2611" s="2461" t="s">
        <v>1465</v>
      </c>
      <c r="G2611" s="2461" t="s">
        <v>1409</v>
      </c>
      <c r="H2611" s="2461" t="s">
        <v>1070</v>
      </c>
      <c r="I2611" s="2462">
        <v>1.1346968244115246E-2</v>
      </c>
      <c r="J2611" s="2462">
        <v>18.486334190628433</v>
      </c>
    </row>
    <row r="2612" spans="1:10" outlineLevel="2">
      <c r="A2612" s="2459" t="s">
        <v>1669</v>
      </c>
      <c r="B2612" s="2459" t="s">
        <v>1655</v>
      </c>
      <c r="C2612" s="2459" t="s">
        <v>1672</v>
      </c>
      <c r="D2612" s="2460" t="s">
        <v>1671</v>
      </c>
      <c r="E2612" s="2461" t="s">
        <v>213</v>
      </c>
      <c r="F2612" s="2461" t="s">
        <v>1466</v>
      </c>
      <c r="G2612" s="2461" t="s">
        <v>1409</v>
      </c>
      <c r="H2612" s="2461" t="s">
        <v>1070</v>
      </c>
      <c r="I2612" s="2462">
        <v>9.0672084849729539E-5</v>
      </c>
      <c r="J2612" s="2462">
        <v>0.13798436518621357</v>
      </c>
    </row>
    <row r="2613" spans="1:10" outlineLevel="2">
      <c r="A2613" s="2459" t="s">
        <v>1669</v>
      </c>
      <c r="B2613" s="2459" t="s">
        <v>1655</v>
      </c>
      <c r="C2613" s="2459" t="s">
        <v>1672</v>
      </c>
      <c r="D2613" s="2460" t="s">
        <v>1671</v>
      </c>
      <c r="E2613" s="2461" t="s">
        <v>213</v>
      </c>
      <c r="F2613" s="2461" t="s">
        <v>1467</v>
      </c>
      <c r="G2613" s="2461" t="s">
        <v>1409</v>
      </c>
      <c r="H2613" s="2461" t="s">
        <v>1070</v>
      </c>
      <c r="I2613" s="2462">
        <v>2.4516328589229523E-2</v>
      </c>
      <c r="J2613" s="2462">
        <v>34.728845890389373</v>
      </c>
    </row>
    <row r="2614" spans="1:10" outlineLevel="2">
      <c r="A2614" s="2459" t="s">
        <v>1669</v>
      </c>
      <c r="B2614" s="2459" t="s">
        <v>1655</v>
      </c>
      <c r="C2614" s="2459" t="s">
        <v>1672</v>
      </c>
      <c r="D2614" s="2460" t="s">
        <v>1671</v>
      </c>
      <c r="E2614" s="2461" t="s">
        <v>213</v>
      </c>
      <c r="F2614" s="2461" t="s">
        <v>1468</v>
      </c>
      <c r="G2614" s="2461" t="s">
        <v>1409</v>
      </c>
      <c r="H2614" s="2461" t="s">
        <v>1070</v>
      </c>
      <c r="I2614" s="2462">
        <v>2.0006168931906109E-2</v>
      </c>
      <c r="J2614" s="2462">
        <v>32.696606503840258</v>
      </c>
    </row>
    <row r="2615" spans="1:10" outlineLevel="2">
      <c r="A2615" s="2459" t="s">
        <v>1669</v>
      </c>
      <c r="B2615" s="2459" t="s">
        <v>1655</v>
      </c>
      <c r="C2615" s="2459" t="s">
        <v>1672</v>
      </c>
      <c r="D2615" s="2460" t="s">
        <v>1671</v>
      </c>
      <c r="E2615" s="2461" t="s">
        <v>213</v>
      </c>
      <c r="F2615" s="2461" t="s">
        <v>1469</v>
      </c>
      <c r="G2615" s="2461" t="s">
        <v>1409</v>
      </c>
      <c r="H2615" s="2461" t="s">
        <v>1070</v>
      </c>
      <c r="I2615" s="2462">
        <v>4.4740309795383869E-2</v>
      </c>
      <c r="J2615" s="2462">
        <v>65.252377882617452</v>
      </c>
    </row>
    <row r="2616" spans="1:10" outlineLevel="2">
      <c r="A2616" s="2459" t="s">
        <v>1669</v>
      </c>
      <c r="B2616" s="2459" t="s">
        <v>1655</v>
      </c>
      <c r="C2616" s="2459" t="s">
        <v>1672</v>
      </c>
      <c r="D2616" s="2460" t="s">
        <v>1671</v>
      </c>
      <c r="E2616" s="2461" t="s">
        <v>213</v>
      </c>
      <c r="F2616" s="2461" t="s">
        <v>1470</v>
      </c>
      <c r="G2616" s="2461" t="s">
        <v>1409</v>
      </c>
      <c r="H2616" s="2461" t="s">
        <v>1070</v>
      </c>
      <c r="I2616" s="2462">
        <v>1.9409390527609316E-2</v>
      </c>
      <c r="J2616" s="2462">
        <v>27.476081693798776</v>
      </c>
    </row>
    <row r="2617" spans="1:10" outlineLevel="2">
      <c r="A2617" s="2459" t="s">
        <v>1669</v>
      </c>
      <c r="B2617" s="2459" t="s">
        <v>1655</v>
      </c>
      <c r="C2617" s="2459" t="s">
        <v>1672</v>
      </c>
      <c r="D2617" s="2460" t="s">
        <v>1671</v>
      </c>
      <c r="E2617" s="2461" t="s">
        <v>213</v>
      </c>
      <c r="F2617" s="2461" t="s">
        <v>1471</v>
      </c>
      <c r="G2617" s="2461" t="s">
        <v>1409</v>
      </c>
      <c r="H2617" s="2461" t="s">
        <v>1070</v>
      </c>
      <c r="I2617" s="2462">
        <v>1.0570685049859424E-3</v>
      </c>
      <c r="J2617" s="2462">
        <v>1.432002929511357</v>
      </c>
    </row>
    <row r="2618" spans="1:10" outlineLevel="2">
      <c r="A2618" s="2459" t="s">
        <v>1669</v>
      </c>
      <c r="B2618" s="2459" t="s">
        <v>1655</v>
      </c>
      <c r="C2618" s="2459" t="s">
        <v>1672</v>
      </c>
      <c r="D2618" s="2460" t="s">
        <v>1671</v>
      </c>
      <c r="E2618" s="2461" t="s">
        <v>213</v>
      </c>
      <c r="F2618" s="2461" t="s">
        <v>1472</v>
      </c>
      <c r="G2618" s="2461" t="s">
        <v>1409</v>
      </c>
      <c r="H2618" s="2461" t="s">
        <v>1070</v>
      </c>
      <c r="I2618" s="2462">
        <v>3.6785600389553058E-2</v>
      </c>
      <c r="J2618" s="2462">
        <v>57.498997556283278</v>
      </c>
    </row>
    <row r="2619" spans="1:10" outlineLevel="2">
      <c r="A2619" s="2459" t="s">
        <v>1669</v>
      </c>
      <c r="B2619" s="2459" t="s">
        <v>1655</v>
      </c>
      <c r="C2619" s="2459" t="s">
        <v>1672</v>
      </c>
      <c r="D2619" s="2460" t="s">
        <v>1671</v>
      </c>
      <c r="E2619" s="2461" t="s">
        <v>213</v>
      </c>
      <c r="F2619" s="2461" t="s">
        <v>1473</v>
      </c>
      <c r="G2619" s="2461" t="s">
        <v>1409</v>
      </c>
      <c r="H2619" s="2461" t="s">
        <v>1070</v>
      </c>
      <c r="I2619" s="2462">
        <v>1.7533653229423712E-2</v>
      </c>
      <c r="J2619" s="2462">
        <v>21.32534479912308</v>
      </c>
    </row>
    <row r="2620" spans="1:10" outlineLevel="2">
      <c r="A2620" s="2459" t="s">
        <v>1669</v>
      </c>
      <c r="B2620" s="2459" t="s">
        <v>1655</v>
      </c>
      <c r="C2620" s="2459" t="s">
        <v>1672</v>
      </c>
      <c r="D2620" s="2460" t="s">
        <v>1671</v>
      </c>
      <c r="E2620" s="2461" t="s">
        <v>213</v>
      </c>
      <c r="F2620" s="2461" t="s">
        <v>1474</v>
      </c>
      <c r="G2620" s="2461" t="s">
        <v>1409</v>
      </c>
      <c r="H2620" s="2461" t="s">
        <v>1070</v>
      </c>
      <c r="I2620" s="2462">
        <v>8.2871405539340443E-2</v>
      </c>
      <c r="J2620" s="2462">
        <v>119.815385581985</v>
      </c>
    </row>
    <row r="2621" spans="1:10" outlineLevel="2">
      <c r="A2621" s="2459" t="s">
        <v>1669</v>
      </c>
      <c r="B2621" s="2459" t="s">
        <v>1655</v>
      </c>
      <c r="C2621" s="2459" t="s">
        <v>1672</v>
      </c>
      <c r="D2621" s="2460" t="s">
        <v>1671</v>
      </c>
      <c r="E2621" s="2461" t="s">
        <v>213</v>
      </c>
      <c r="F2621" s="2461" t="s">
        <v>1475</v>
      </c>
      <c r="G2621" s="2461" t="s">
        <v>1409</v>
      </c>
      <c r="H2621" s="2461" t="s">
        <v>1070</v>
      </c>
      <c r="I2621" s="2462">
        <v>4.2009219013561652E-2</v>
      </c>
      <c r="J2621" s="2462">
        <v>57.538626276985212</v>
      </c>
    </row>
    <row r="2622" spans="1:10" outlineLevel="2">
      <c r="A2622" s="2459" t="s">
        <v>1669</v>
      </c>
      <c r="B2622" s="2459" t="s">
        <v>1655</v>
      </c>
      <c r="C2622" s="2459" t="s">
        <v>1672</v>
      </c>
      <c r="D2622" s="2460" t="s">
        <v>1671</v>
      </c>
      <c r="E2622" s="2461" t="s">
        <v>213</v>
      </c>
      <c r="F2622" s="2461" t="s">
        <v>1476</v>
      </c>
      <c r="G2622" s="2461" t="s">
        <v>1409</v>
      </c>
      <c r="H2622" s="2461" t="s">
        <v>1070</v>
      </c>
      <c r="I2622" s="2462">
        <v>3.3204875052583131E-3</v>
      </c>
      <c r="J2622" s="2462">
        <v>4.6346619373335578</v>
      </c>
    </row>
    <row r="2623" spans="1:10" outlineLevel="2">
      <c r="A2623" s="2459" t="s">
        <v>1669</v>
      </c>
      <c r="B2623" s="2459" t="s">
        <v>1655</v>
      </c>
      <c r="C2623" s="2459" t="s">
        <v>1672</v>
      </c>
      <c r="D2623" s="2460" t="s">
        <v>1671</v>
      </c>
      <c r="E2623" s="2461" t="s">
        <v>213</v>
      </c>
      <c r="F2623" s="2461" t="s">
        <v>1477</v>
      </c>
      <c r="G2623" s="2461" t="s">
        <v>1409</v>
      </c>
      <c r="H2623" s="2461" t="s">
        <v>1070</v>
      </c>
      <c r="I2623" s="2462">
        <v>5.4525232707849144E-3</v>
      </c>
      <c r="J2623" s="2462">
        <v>7.7827588020355201</v>
      </c>
    </row>
    <row r="2624" spans="1:10" outlineLevel="2">
      <c r="A2624" s="2459" t="s">
        <v>1669</v>
      </c>
      <c r="B2624" s="2459" t="s">
        <v>1655</v>
      </c>
      <c r="C2624" s="2459" t="s">
        <v>1672</v>
      </c>
      <c r="D2624" s="2460" t="s">
        <v>1671</v>
      </c>
      <c r="E2624" s="2461" t="s">
        <v>213</v>
      </c>
      <c r="F2624" s="2461" t="s">
        <v>1478</v>
      </c>
      <c r="G2624" s="2461" t="s">
        <v>1409</v>
      </c>
      <c r="H2624" s="2461" t="s">
        <v>1070</v>
      </c>
      <c r="I2624" s="2462">
        <v>2.387030014537701E-3</v>
      </c>
      <c r="J2624" s="2462">
        <v>6.9545326916279055</v>
      </c>
    </row>
    <row r="2625" spans="1:10" outlineLevel="2">
      <c r="A2625" s="2459" t="s">
        <v>1669</v>
      </c>
      <c r="B2625" s="2459" t="s">
        <v>1655</v>
      </c>
      <c r="C2625" s="2459" t="s">
        <v>1672</v>
      </c>
      <c r="D2625" s="2460" t="s">
        <v>1671</v>
      </c>
      <c r="E2625" s="2461" t="s">
        <v>213</v>
      </c>
      <c r="F2625" s="2461" t="s">
        <v>1479</v>
      </c>
      <c r="G2625" s="2461" t="s">
        <v>1409</v>
      </c>
      <c r="H2625" s="2461" t="s">
        <v>1070</v>
      </c>
      <c r="I2625" s="2462">
        <v>1.9213757177928494E-3</v>
      </c>
      <c r="J2625" s="2462">
        <v>16.494949493180815</v>
      </c>
    </row>
    <row r="2626" spans="1:10" outlineLevel="2">
      <c r="A2626" s="2459" t="s">
        <v>1669</v>
      </c>
      <c r="B2626" s="2459" t="s">
        <v>1655</v>
      </c>
      <c r="C2626" s="2459" t="s">
        <v>1672</v>
      </c>
      <c r="D2626" s="2460" t="s">
        <v>1671</v>
      </c>
      <c r="E2626" s="2461" t="s">
        <v>213</v>
      </c>
      <c r="F2626" s="2461" t="s">
        <v>1480</v>
      </c>
      <c r="G2626" s="2461" t="s">
        <v>1409</v>
      </c>
      <c r="H2626" s="2461" t="s">
        <v>1070</v>
      </c>
      <c r="I2626" s="2462">
        <v>2.6146257816906614E-2</v>
      </c>
      <c r="J2626" s="2462">
        <v>39.33100812856874</v>
      </c>
    </row>
    <row r="2627" spans="1:10" outlineLevel="2">
      <c r="A2627" s="2459" t="s">
        <v>1669</v>
      </c>
      <c r="B2627" s="2459" t="s">
        <v>1655</v>
      </c>
      <c r="C2627" s="2459" t="s">
        <v>1672</v>
      </c>
      <c r="D2627" s="2460" t="s">
        <v>1671</v>
      </c>
      <c r="E2627" s="2461" t="s">
        <v>213</v>
      </c>
      <c r="F2627" s="2461" t="s">
        <v>1481</v>
      </c>
      <c r="G2627" s="2461" t="s">
        <v>1409</v>
      </c>
      <c r="H2627" s="2461" t="s">
        <v>1070</v>
      </c>
      <c r="I2627" s="2462">
        <v>1.8664068934817479E-2</v>
      </c>
      <c r="J2627" s="2462">
        <v>27.412157677408359</v>
      </c>
    </row>
    <row r="2628" spans="1:10" outlineLevel="2">
      <c r="A2628" s="2459" t="s">
        <v>1669</v>
      </c>
      <c r="B2628" s="2459" t="s">
        <v>1655</v>
      </c>
      <c r="C2628" s="2459" t="s">
        <v>1672</v>
      </c>
      <c r="D2628" s="2460" t="s">
        <v>1671</v>
      </c>
      <c r="E2628" s="2461" t="s">
        <v>213</v>
      </c>
      <c r="F2628" s="2461" t="s">
        <v>1482</v>
      </c>
      <c r="G2628" s="2461" t="s">
        <v>1409</v>
      </c>
      <c r="H2628" s="2461" t="s">
        <v>1070</v>
      </c>
      <c r="I2628" s="2462">
        <v>7.3315897204285375E-3</v>
      </c>
      <c r="J2628" s="2462">
        <v>8.9819864442757034</v>
      </c>
    </row>
    <row r="2629" spans="1:10" outlineLevel="2">
      <c r="A2629" s="2459" t="s">
        <v>1669</v>
      </c>
      <c r="B2629" s="2459" t="s">
        <v>1655</v>
      </c>
      <c r="C2629" s="2459" t="s">
        <v>1672</v>
      </c>
      <c r="D2629" s="2460" t="s">
        <v>1671</v>
      </c>
      <c r="E2629" s="2461" t="s">
        <v>213</v>
      </c>
      <c r="F2629" s="2461" t="s">
        <v>1483</v>
      </c>
      <c r="G2629" s="2461" t="s">
        <v>1409</v>
      </c>
      <c r="H2629" s="2461" t="s">
        <v>1070</v>
      </c>
      <c r="I2629" s="2462">
        <v>6.1006882217962471E-3</v>
      </c>
      <c r="J2629" s="2462">
        <v>6.5631548917513083</v>
      </c>
    </row>
    <row r="2630" spans="1:10" outlineLevel="2">
      <c r="A2630" s="2459" t="s">
        <v>1669</v>
      </c>
      <c r="B2630" s="2459" t="s">
        <v>1655</v>
      </c>
      <c r="C2630" s="2459" t="s">
        <v>1672</v>
      </c>
      <c r="D2630" s="2460" t="s">
        <v>1671</v>
      </c>
      <c r="E2630" s="2461" t="s">
        <v>213</v>
      </c>
      <c r="F2630" s="2461" t="s">
        <v>1484</v>
      </c>
      <c r="G2630" s="2461" t="s">
        <v>1412</v>
      </c>
      <c r="H2630" s="2461" t="s">
        <v>1116</v>
      </c>
      <c r="I2630" s="2462">
        <v>8.3197075011331154E-2</v>
      </c>
      <c r="J2630" s="2462">
        <v>166.58403677423502</v>
      </c>
    </row>
    <row r="2631" spans="1:10" outlineLevel="2">
      <c r="A2631" s="2459" t="s">
        <v>1669</v>
      </c>
      <c r="B2631" s="2459" t="s">
        <v>1655</v>
      </c>
      <c r="C2631" s="2459" t="s">
        <v>1672</v>
      </c>
      <c r="D2631" s="2460" t="s">
        <v>1671</v>
      </c>
      <c r="E2631" s="2461" t="s">
        <v>213</v>
      </c>
      <c r="F2631" s="2461" t="s">
        <v>1485</v>
      </c>
      <c r="G2631" s="2461" t="s">
        <v>1412</v>
      </c>
      <c r="H2631" s="2461" t="s">
        <v>1116</v>
      </c>
      <c r="I2631" s="2462">
        <v>5.9779958678582795E-2</v>
      </c>
      <c r="J2631" s="2462">
        <v>630.43754853040048</v>
      </c>
    </row>
    <row r="2632" spans="1:10" outlineLevel="2">
      <c r="A2632" s="2459" t="s">
        <v>1669</v>
      </c>
      <c r="B2632" s="2459" t="s">
        <v>1655</v>
      </c>
      <c r="C2632" s="2459" t="s">
        <v>1672</v>
      </c>
      <c r="D2632" s="2460" t="s">
        <v>1671</v>
      </c>
      <c r="E2632" s="2461" t="s">
        <v>213</v>
      </c>
      <c r="F2632" s="2461" t="s">
        <v>1486</v>
      </c>
      <c r="G2632" s="2461" t="s">
        <v>1412</v>
      </c>
      <c r="H2632" s="2461" t="s">
        <v>1116</v>
      </c>
      <c r="I2632" s="2462">
        <v>4.9607116218736709E-2</v>
      </c>
      <c r="J2632" s="2462">
        <v>135.46964998165282</v>
      </c>
    </row>
    <row r="2633" spans="1:10" outlineLevel="2">
      <c r="A2633" s="2459" t="s">
        <v>1669</v>
      </c>
      <c r="B2633" s="2459" t="s">
        <v>1655</v>
      </c>
      <c r="C2633" s="2459" t="s">
        <v>1672</v>
      </c>
      <c r="D2633" s="2460" t="s">
        <v>1671</v>
      </c>
      <c r="E2633" s="2461" t="s">
        <v>213</v>
      </c>
      <c r="F2633" s="2461" t="s">
        <v>1487</v>
      </c>
      <c r="G2633" s="2461" t="s">
        <v>1412</v>
      </c>
      <c r="H2633" s="2461" t="s">
        <v>1116</v>
      </c>
      <c r="I2633" s="2462">
        <v>0.1908179439996025</v>
      </c>
      <c r="J2633" s="2462">
        <v>254.44930921720911</v>
      </c>
    </row>
    <row r="2634" spans="1:10" outlineLevel="2">
      <c r="A2634" s="2459" t="s">
        <v>1669</v>
      </c>
      <c r="B2634" s="2459" t="s">
        <v>1655</v>
      </c>
      <c r="C2634" s="2459" t="s">
        <v>1672</v>
      </c>
      <c r="D2634" s="2460" t="s">
        <v>1671</v>
      </c>
      <c r="E2634" s="2461" t="s">
        <v>213</v>
      </c>
      <c r="F2634" s="2461" t="s">
        <v>1488</v>
      </c>
      <c r="G2634" s="2461" t="s">
        <v>1412</v>
      </c>
      <c r="H2634" s="2461" t="s">
        <v>1116</v>
      </c>
      <c r="I2634" s="2462">
        <v>5.3828461928287306E-3</v>
      </c>
      <c r="J2634" s="2462">
        <v>11.675218286344466</v>
      </c>
    </row>
    <row r="2635" spans="1:10" outlineLevel="2">
      <c r="A2635" s="2459" t="s">
        <v>1669</v>
      </c>
      <c r="B2635" s="2459" t="s">
        <v>1655</v>
      </c>
      <c r="C2635" s="2459" t="s">
        <v>1672</v>
      </c>
      <c r="D2635" s="2460" t="s">
        <v>1671</v>
      </c>
      <c r="E2635" s="2461" t="s">
        <v>213</v>
      </c>
      <c r="F2635" s="2461" t="s">
        <v>1489</v>
      </c>
      <c r="G2635" s="2461" t="s">
        <v>1412</v>
      </c>
      <c r="H2635" s="2461" t="s">
        <v>1116</v>
      </c>
      <c r="I2635" s="2462">
        <v>5.7439958929926312E-3</v>
      </c>
      <c r="J2635" s="2462">
        <v>8.5180921013288948</v>
      </c>
    </row>
    <row r="2636" spans="1:10" outlineLevel="2">
      <c r="A2636" s="2459" t="s">
        <v>1669</v>
      </c>
      <c r="B2636" s="2459" t="s">
        <v>1655</v>
      </c>
      <c r="C2636" s="2459" t="s">
        <v>1672</v>
      </c>
      <c r="D2636" s="2460" t="s">
        <v>1671</v>
      </c>
      <c r="E2636" s="2461" t="s">
        <v>213</v>
      </c>
      <c r="F2636" s="2461" t="s">
        <v>1490</v>
      </c>
      <c r="G2636" s="2461" t="s">
        <v>1412</v>
      </c>
      <c r="H2636" s="2461" t="s">
        <v>1116</v>
      </c>
      <c r="I2636" s="2462">
        <v>3.919453379264734E-3</v>
      </c>
      <c r="J2636" s="2462">
        <v>55.677431284285987</v>
      </c>
    </row>
    <row r="2637" spans="1:10" outlineLevel="2">
      <c r="A2637" s="2459" t="s">
        <v>1669</v>
      </c>
      <c r="B2637" s="2459" t="s">
        <v>1655</v>
      </c>
      <c r="C2637" s="2459" t="s">
        <v>1672</v>
      </c>
      <c r="D2637" s="2460" t="s">
        <v>1671</v>
      </c>
      <c r="E2637" s="2461" t="s">
        <v>213</v>
      </c>
      <c r="F2637" s="2461" t="s">
        <v>1491</v>
      </c>
      <c r="G2637" s="2461" t="s">
        <v>1439</v>
      </c>
      <c r="H2637" s="2461" t="s">
        <v>1440</v>
      </c>
      <c r="I2637" s="2462">
        <v>1.3257544249561626</v>
      </c>
      <c r="J2637" s="2462">
        <v>1416.4340574245928</v>
      </c>
    </row>
    <row r="2638" spans="1:10" outlineLevel="2">
      <c r="A2638" s="2459" t="s">
        <v>1669</v>
      </c>
      <c r="B2638" s="2459" t="s">
        <v>1655</v>
      </c>
      <c r="C2638" s="2459" t="s">
        <v>1672</v>
      </c>
      <c r="D2638" s="2460" t="s">
        <v>1671</v>
      </c>
      <c r="E2638" s="2461" t="s">
        <v>213</v>
      </c>
      <c r="F2638" s="2461" t="s">
        <v>1492</v>
      </c>
      <c r="G2638" s="2461" t="s">
        <v>1439</v>
      </c>
      <c r="H2638" s="2461" t="s">
        <v>1440</v>
      </c>
      <c r="I2638" s="2462">
        <v>2.4269259804843641</v>
      </c>
      <c r="J2638" s="2462">
        <v>3289.508525517258</v>
      </c>
    </row>
    <row r="2639" spans="1:10" outlineLevel="2">
      <c r="A2639" s="2459" t="s">
        <v>1669</v>
      </c>
      <c r="B2639" s="2459" t="s">
        <v>1655</v>
      </c>
      <c r="C2639" s="2459" t="s">
        <v>1672</v>
      </c>
      <c r="D2639" s="2460" t="s">
        <v>1671</v>
      </c>
      <c r="E2639" s="2461" t="s">
        <v>213</v>
      </c>
      <c r="F2639" s="2461" t="s">
        <v>1493</v>
      </c>
      <c r="G2639" s="2461" t="s">
        <v>1439</v>
      </c>
      <c r="H2639" s="2461" t="s">
        <v>1440</v>
      </c>
      <c r="I2639" s="2462">
        <v>0.11412714112882112</v>
      </c>
      <c r="J2639" s="2462">
        <v>121.8866022522791</v>
      </c>
    </row>
    <row r="2640" spans="1:10" outlineLevel="2">
      <c r="A2640" s="2459" t="s">
        <v>1669</v>
      </c>
      <c r="B2640" s="2459" t="s">
        <v>1655</v>
      </c>
      <c r="C2640" s="2459" t="s">
        <v>1672</v>
      </c>
      <c r="D2640" s="2460" t="s">
        <v>1671</v>
      </c>
      <c r="E2640" s="2461" t="s">
        <v>213</v>
      </c>
      <c r="F2640" s="2461" t="s">
        <v>1494</v>
      </c>
      <c r="G2640" s="2461" t="s">
        <v>1439</v>
      </c>
      <c r="H2640" s="2461" t="s">
        <v>1440</v>
      </c>
      <c r="I2640" s="2462">
        <v>1.5466114386795142</v>
      </c>
      <c r="J2640" s="2462">
        <v>1951.2168295118754</v>
      </c>
    </row>
    <row r="2641" spans="1:10" outlineLevel="2">
      <c r="A2641" s="2459" t="s">
        <v>1669</v>
      </c>
      <c r="B2641" s="2459" t="s">
        <v>1655</v>
      </c>
      <c r="C2641" s="2459" t="s">
        <v>1672</v>
      </c>
      <c r="D2641" s="2460" t="s">
        <v>1671</v>
      </c>
      <c r="E2641" s="2461" t="s">
        <v>213</v>
      </c>
      <c r="F2641" s="2461" t="s">
        <v>1495</v>
      </c>
      <c r="G2641" s="2461" t="s">
        <v>1439</v>
      </c>
      <c r="H2641" s="2461" t="s">
        <v>1440</v>
      </c>
      <c r="I2641" s="2462">
        <v>6.2171447146238895E-3</v>
      </c>
      <c r="J2641" s="2462">
        <v>7.8735585997777866</v>
      </c>
    </row>
    <row r="2642" spans="1:10" outlineLevel="2">
      <c r="A2642" s="2459" t="s">
        <v>1669</v>
      </c>
      <c r="B2642" s="2459" t="s">
        <v>1655</v>
      </c>
      <c r="C2642" s="2459" t="s">
        <v>1672</v>
      </c>
      <c r="D2642" s="2460" t="s">
        <v>1671</v>
      </c>
      <c r="E2642" s="2461" t="s">
        <v>213</v>
      </c>
      <c r="F2642" s="2461" t="s">
        <v>1496</v>
      </c>
      <c r="G2642" s="2461" t="s">
        <v>1439</v>
      </c>
      <c r="H2642" s="2461" t="s">
        <v>1440</v>
      </c>
      <c r="I2642" s="2462">
        <v>5.3880904380749585E-2</v>
      </c>
      <c r="J2642" s="2462">
        <v>76.193260172322482</v>
      </c>
    </row>
    <row r="2643" spans="1:10" outlineLevel="2">
      <c r="A2643" s="2459" t="s">
        <v>1669</v>
      </c>
      <c r="B2643" s="2459" t="s">
        <v>1655</v>
      </c>
      <c r="C2643" s="2459" t="s">
        <v>1672</v>
      </c>
      <c r="D2643" s="2460" t="s">
        <v>1671</v>
      </c>
      <c r="E2643" s="2461" t="s">
        <v>213</v>
      </c>
      <c r="F2643" s="2461" t="s">
        <v>1497</v>
      </c>
      <c r="G2643" s="2461" t="s">
        <v>1439</v>
      </c>
      <c r="H2643" s="2461" t="s">
        <v>1440</v>
      </c>
      <c r="I2643" s="2462">
        <v>1.1840731166313199E-2</v>
      </c>
      <c r="J2643" s="2462">
        <v>15.020978489270927</v>
      </c>
    </row>
    <row r="2644" spans="1:10" outlineLevel="2">
      <c r="A2644" s="2459" t="s">
        <v>1669</v>
      </c>
      <c r="B2644" s="2459" t="s">
        <v>1655</v>
      </c>
      <c r="C2644" s="2459" t="s">
        <v>1672</v>
      </c>
      <c r="D2644" s="2460" t="s">
        <v>1671</v>
      </c>
      <c r="E2644" s="2461" t="s">
        <v>213</v>
      </c>
      <c r="F2644" s="2461" t="s">
        <v>1498</v>
      </c>
      <c r="G2644" s="2461" t="s">
        <v>1439</v>
      </c>
      <c r="H2644" s="2461" t="s">
        <v>1440</v>
      </c>
      <c r="I2644" s="2462">
        <v>1.8414135706169734</v>
      </c>
      <c r="J2644" s="2462">
        <v>3126.5613874622445</v>
      </c>
    </row>
    <row r="2645" spans="1:10" outlineLevel="2">
      <c r="A2645" s="2459" t="s">
        <v>1669</v>
      </c>
      <c r="B2645" s="2459" t="s">
        <v>1655</v>
      </c>
      <c r="C2645" s="2459" t="s">
        <v>1672</v>
      </c>
      <c r="D2645" s="2460" t="s">
        <v>1671</v>
      </c>
      <c r="E2645" s="2461" t="s">
        <v>213</v>
      </c>
      <c r="F2645" s="2461" t="s">
        <v>1499</v>
      </c>
      <c r="G2645" s="2461" t="s">
        <v>1439</v>
      </c>
      <c r="H2645" s="2461" t="s">
        <v>1440</v>
      </c>
      <c r="I2645" s="2462">
        <v>0.30161438123073547</v>
      </c>
      <c r="J2645" s="2462">
        <v>160.30477161788983</v>
      </c>
    </row>
    <row r="2646" spans="1:10" outlineLevel="2">
      <c r="A2646" s="2459" t="s">
        <v>1669</v>
      </c>
      <c r="B2646" s="2459" t="s">
        <v>1655</v>
      </c>
      <c r="C2646" s="2459" t="s">
        <v>1672</v>
      </c>
      <c r="D2646" s="2460" t="s">
        <v>1671</v>
      </c>
      <c r="E2646" s="2461" t="s">
        <v>213</v>
      </c>
      <c r="F2646" s="2461" t="s">
        <v>1500</v>
      </c>
      <c r="G2646" s="2461" t="s">
        <v>1439</v>
      </c>
      <c r="H2646" s="2461" t="s">
        <v>1440</v>
      </c>
      <c r="I2646" s="2462">
        <v>2.3275743387113055</v>
      </c>
      <c r="J2646" s="2462">
        <v>1236.935448628923</v>
      </c>
    </row>
    <row r="2647" spans="1:10" outlineLevel="2">
      <c r="A2647" s="2459" t="s">
        <v>1669</v>
      </c>
      <c r="B2647" s="2459" t="s">
        <v>1655</v>
      </c>
      <c r="C2647" s="2459" t="s">
        <v>1672</v>
      </c>
      <c r="D2647" s="2460" t="s">
        <v>1671</v>
      </c>
      <c r="E2647" s="2461" t="s">
        <v>213</v>
      </c>
      <c r="F2647" s="2461" t="s">
        <v>1501</v>
      </c>
      <c r="G2647" s="2461" t="s">
        <v>1439</v>
      </c>
      <c r="H2647" s="2461" t="s">
        <v>1440</v>
      </c>
      <c r="I2647" s="2462">
        <v>0.19753895798904286</v>
      </c>
      <c r="J2647" s="2462">
        <v>287.68219021197569</v>
      </c>
    </row>
    <row r="2648" spans="1:10" outlineLevel="2">
      <c r="A2648" s="2459" t="s">
        <v>1669</v>
      </c>
      <c r="B2648" s="2459" t="s">
        <v>1655</v>
      </c>
      <c r="C2648" s="2459" t="s">
        <v>1672</v>
      </c>
      <c r="D2648" s="2460" t="s">
        <v>1671</v>
      </c>
      <c r="E2648" s="2461" t="s">
        <v>213</v>
      </c>
      <c r="F2648" s="2461" t="s">
        <v>1502</v>
      </c>
      <c r="G2648" s="2461" t="s">
        <v>1439</v>
      </c>
      <c r="H2648" s="2461" t="s">
        <v>1440</v>
      </c>
      <c r="I2648" s="2462">
        <v>0.27715556823035642</v>
      </c>
      <c r="J2648" s="2462">
        <v>417.93065046780379</v>
      </c>
    </row>
    <row r="2649" spans="1:10" outlineLevel="2">
      <c r="A2649" s="2459" t="s">
        <v>1669</v>
      </c>
      <c r="B2649" s="2459" t="s">
        <v>1655</v>
      </c>
      <c r="C2649" s="2459" t="s">
        <v>1672</v>
      </c>
      <c r="D2649" s="2460" t="s">
        <v>1671</v>
      </c>
      <c r="E2649" s="2461" t="s">
        <v>213</v>
      </c>
      <c r="F2649" s="2461" t="s">
        <v>1503</v>
      </c>
      <c r="G2649" s="2461" t="s">
        <v>1439</v>
      </c>
      <c r="H2649" s="2461" t="s">
        <v>1440</v>
      </c>
      <c r="I2649" s="2462">
        <v>0.36566286133585268</v>
      </c>
      <c r="J2649" s="2462">
        <v>473.05630054980554</v>
      </c>
    </row>
    <row r="2650" spans="1:10" outlineLevel="2">
      <c r="A2650" s="2459" t="s">
        <v>1669</v>
      </c>
      <c r="B2650" s="2459" t="s">
        <v>1655</v>
      </c>
      <c r="C2650" s="2459" t="s">
        <v>1672</v>
      </c>
      <c r="D2650" s="2460" t="s">
        <v>1671</v>
      </c>
      <c r="E2650" s="2461" t="s">
        <v>213</v>
      </c>
      <c r="F2650" s="2461" t="s">
        <v>1504</v>
      </c>
      <c r="G2650" s="2461" t="s">
        <v>1439</v>
      </c>
      <c r="H2650" s="2461" t="s">
        <v>1440</v>
      </c>
      <c r="I2650" s="2462">
        <v>0.1865851535014032</v>
      </c>
      <c r="J2650" s="2462">
        <v>224.60433456891079</v>
      </c>
    </row>
    <row r="2651" spans="1:10" outlineLevel="2">
      <c r="A2651" s="2459" t="s">
        <v>1669</v>
      </c>
      <c r="B2651" s="2459" t="s">
        <v>1655</v>
      </c>
      <c r="C2651" s="2459" t="s">
        <v>1672</v>
      </c>
      <c r="D2651" s="2460" t="s">
        <v>1671</v>
      </c>
      <c r="E2651" s="2461" t="s">
        <v>213</v>
      </c>
      <c r="F2651" s="2461" t="s">
        <v>1505</v>
      </c>
      <c r="G2651" s="2461" t="s">
        <v>1439</v>
      </c>
      <c r="H2651" s="2461" t="s">
        <v>1440</v>
      </c>
      <c r="I2651" s="2462">
        <v>2.6418332885382885</v>
      </c>
      <c r="J2651" s="2462">
        <v>3856.1455723926542</v>
      </c>
    </row>
    <row r="2652" spans="1:10" outlineLevel="2">
      <c r="A2652" s="2459" t="s">
        <v>1669</v>
      </c>
      <c r="B2652" s="2459" t="s">
        <v>1655</v>
      </c>
      <c r="C2652" s="2459" t="s">
        <v>1672</v>
      </c>
      <c r="D2652" s="2460" t="s">
        <v>1671</v>
      </c>
      <c r="E2652" s="2461" t="s">
        <v>213</v>
      </c>
      <c r="F2652" s="2461" t="s">
        <v>1506</v>
      </c>
      <c r="G2652" s="2461" t="s">
        <v>1439</v>
      </c>
      <c r="H2652" s="2461" t="s">
        <v>1440</v>
      </c>
      <c r="I2652" s="2462">
        <v>3.7657090185782978</v>
      </c>
      <c r="J2652" s="2462">
        <v>5679.6940936847768</v>
      </c>
    </row>
    <row r="2653" spans="1:10" outlineLevel="2">
      <c r="A2653" s="2459" t="s">
        <v>1669</v>
      </c>
      <c r="B2653" s="2459" t="s">
        <v>1655</v>
      </c>
      <c r="C2653" s="2459" t="s">
        <v>1672</v>
      </c>
      <c r="D2653" s="2460" t="s">
        <v>1671</v>
      </c>
      <c r="E2653" s="2461" t="s">
        <v>213</v>
      </c>
      <c r="F2653" s="2461" t="s">
        <v>1507</v>
      </c>
      <c r="G2653" s="2461" t="s">
        <v>1439</v>
      </c>
      <c r="H2653" s="2461" t="s">
        <v>1440</v>
      </c>
      <c r="I2653" s="2462">
        <v>0.42137540501315496</v>
      </c>
      <c r="J2653" s="2462">
        <v>948.36053058317907</v>
      </c>
    </row>
    <row r="2654" spans="1:10" outlineLevel="2">
      <c r="A2654" s="2459" t="s">
        <v>1669</v>
      </c>
      <c r="B2654" s="2459" t="s">
        <v>1655</v>
      </c>
      <c r="C2654" s="2459" t="s">
        <v>1672</v>
      </c>
      <c r="D2654" s="2460" t="s">
        <v>1671</v>
      </c>
      <c r="E2654" s="2461" t="s">
        <v>213</v>
      </c>
      <c r="F2654" s="2461" t="s">
        <v>1508</v>
      </c>
      <c r="G2654" s="2461" t="s">
        <v>1439</v>
      </c>
      <c r="H2654" s="2461" t="s">
        <v>1440</v>
      </c>
      <c r="I2654" s="2462">
        <v>11.598565388408854</v>
      </c>
      <c r="J2654" s="2462">
        <v>18334.417231735617</v>
      </c>
    </row>
    <row r="2655" spans="1:10" outlineLevel="2">
      <c r="A2655" s="2459" t="s">
        <v>1669</v>
      </c>
      <c r="B2655" s="2459" t="s">
        <v>1655</v>
      </c>
      <c r="C2655" s="2459" t="s">
        <v>1672</v>
      </c>
      <c r="D2655" s="2460" t="s">
        <v>1671</v>
      </c>
      <c r="E2655" s="2461" t="s">
        <v>213</v>
      </c>
      <c r="F2655" s="2461" t="s">
        <v>1509</v>
      </c>
      <c r="G2655" s="2461" t="s">
        <v>1439</v>
      </c>
      <c r="H2655" s="2461" t="s">
        <v>1440</v>
      </c>
      <c r="I2655" s="2462">
        <v>0.12027140261629836</v>
      </c>
      <c r="J2655" s="2462">
        <v>137.07222305820895</v>
      </c>
    </row>
    <row r="2656" spans="1:10" outlineLevel="2">
      <c r="A2656" s="2459" t="s">
        <v>1669</v>
      </c>
      <c r="B2656" s="2459" t="s">
        <v>1655</v>
      </c>
      <c r="C2656" s="2459" t="s">
        <v>1672</v>
      </c>
      <c r="D2656" s="2460" t="s">
        <v>1671</v>
      </c>
      <c r="E2656" s="2461" t="s">
        <v>213</v>
      </c>
      <c r="F2656" s="2461" t="s">
        <v>1510</v>
      </c>
      <c r="G2656" s="2461" t="s">
        <v>1439</v>
      </c>
      <c r="H2656" s="2461" t="s">
        <v>1440</v>
      </c>
      <c r="I2656" s="2462">
        <v>0.4867240367193777</v>
      </c>
      <c r="J2656" s="2462">
        <v>563.38611599994977</v>
      </c>
    </row>
    <row r="2657" spans="1:10" outlineLevel="2">
      <c r="A2657" s="2459" t="s">
        <v>1669</v>
      </c>
      <c r="B2657" s="2459" t="s">
        <v>1655</v>
      </c>
      <c r="C2657" s="2459" t="s">
        <v>1672</v>
      </c>
      <c r="D2657" s="2460" t="s">
        <v>1671</v>
      </c>
      <c r="E2657" s="2461" t="s">
        <v>213</v>
      </c>
      <c r="F2657" s="2461" t="s">
        <v>1511</v>
      </c>
      <c r="G2657" s="2461" t="s">
        <v>1418</v>
      </c>
      <c r="H2657" s="2461" t="s">
        <v>1452</v>
      </c>
      <c r="I2657" s="2462">
        <v>2.4326723965858646E-4</v>
      </c>
      <c r="J2657" s="2462">
        <v>0.35835485941526357</v>
      </c>
    </row>
    <row r="2658" spans="1:10" outlineLevel="2">
      <c r="A2658" s="2459" t="s">
        <v>1669</v>
      </c>
      <c r="B2658" s="2459" t="s">
        <v>1655</v>
      </c>
      <c r="C2658" s="2459" t="s">
        <v>1672</v>
      </c>
      <c r="D2658" s="2460" t="s">
        <v>1671</v>
      </c>
      <c r="E2658" s="2461" t="s">
        <v>213</v>
      </c>
      <c r="F2658" s="2461" t="s">
        <v>1512</v>
      </c>
      <c r="G2658" s="2461" t="s">
        <v>1418</v>
      </c>
      <c r="H2658" s="2461" t="s">
        <v>1452</v>
      </c>
      <c r="I2658" s="2462">
        <v>3.1833724919403658E-4</v>
      </c>
      <c r="J2658" s="2462">
        <v>1.386704997675309</v>
      </c>
    </row>
    <row r="2659" spans="1:10" outlineLevel="2">
      <c r="A2659" s="2459" t="s">
        <v>1669</v>
      </c>
      <c r="B2659" s="2459" t="s">
        <v>1655</v>
      </c>
      <c r="C2659" s="2459" t="s">
        <v>1672</v>
      </c>
      <c r="D2659" s="2460" t="s">
        <v>1671</v>
      </c>
      <c r="E2659" s="2461" t="s">
        <v>213</v>
      </c>
      <c r="F2659" s="2461" t="s">
        <v>1513</v>
      </c>
      <c r="G2659" s="2461" t="s">
        <v>1418</v>
      </c>
      <c r="H2659" s="2461" t="s">
        <v>1452</v>
      </c>
      <c r="I2659" s="2462">
        <v>1.186899829795684E-5</v>
      </c>
      <c r="J2659" s="2462">
        <v>1.1123779328685128E-2</v>
      </c>
    </row>
    <row r="2660" spans="1:10" outlineLevel="2">
      <c r="A2660" s="2459" t="s">
        <v>1669</v>
      </c>
      <c r="B2660" s="2459" t="s">
        <v>1655</v>
      </c>
      <c r="C2660" s="2459" t="s">
        <v>1672</v>
      </c>
      <c r="D2660" s="2460" t="s">
        <v>1671</v>
      </c>
      <c r="E2660" s="2461" t="s">
        <v>213</v>
      </c>
      <c r="F2660" s="2461" t="s">
        <v>1514</v>
      </c>
      <c r="G2660" s="2461" t="s">
        <v>1418</v>
      </c>
      <c r="H2660" s="2461" t="s">
        <v>1452</v>
      </c>
      <c r="I2660" s="2462">
        <v>1.0646298085350303E-3</v>
      </c>
      <c r="J2660" s="2462">
        <v>0.99579753057402942</v>
      </c>
    </row>
    <row r="2661" spans="1:10" outlineLevel="2">
      <c r="A2661" s="2459" t="s">
        <v>1669</v>
      </c>
      <c r="B2661" s="2459" t="s">
        <v>1655</v>
      </c>
      <c r="C2661" s="2459" t="s">
        <v>1672</v>
      </c>
      <c r="D2661" s="2460" t="s">
        <v>1671</v>
      </c>
      <c r="E2661" s="2461" t="s">
        <v>213</v>
      </c>
      <c r="F2661" s="2461" t="s">
        <v>1515</v>
      </c>
      <c r="G2661" s="2461" t="s">
        <v>1418</v>
      </c>
      <c r="H2661" s="2461" t="s">
        <v>1452</v>
      </c>
      <c r="I2661" s="2462">
        <v>2.0467012857378544E-4</v>
      </c>
      <c r="J2661" s="2462">
        <v>0.29462215710697182</v>
      </c>
    </row>
    <row r="2662" spans="1:10" outlineLevel="2">
      <c r="A2662" s="2459" t="s">
        <v>1669</v>
      </c>
      <c r="B2662" s="2459" t="s">
        <v>1655</v>
      </c>
      <c r="C2662" s="2459" t="s">
        <v>1672</v>
      </c>
      <c r="D2662" s="2460" t="s">
        <v>1671</v>
      </c>
      <c r="E2662" s="2461" t="s">
        <v>213</v>
      </c>
      <c r="F2662" s="2461" t="s">
        <v>1516</v>
      </c>
      <c r="G2662" s="2461" t="s">
        <v>1418</v>
      </c>
      <c r="H2662" s="2461" t="s">
        <v>1452</v>
      </c>
      <c r="I2662" s="2462">
        <v>2.9245107546487809E-3</v>
      </c>
      <c r="J2662" s="2462">
        <v>3.2643979681662527</v>
      </c>
    </row>
    <row r="2663" spans="1:10" outlineLevel="2">
      <c r="A2663" s="2459" t="s">
        <v>1669</v>
      </c>
      <c r="B2663" s="2459" t="s">
        <v>1655</v>
      </c>
      <c r="C2663" s="2459" t="s">
        <v>1672</v>
      </c>
      <c r="D2663" s="2460" t="s">
        <v>1671</v>
      </c>
      <c r="E2663" s="2461" t="s">
        <v>213</v>
      </c>
      <c r="F2663" s="2461" t="s">
        <v>1517</v>
      </c>
      <c r="G2663" s="2461" t="s">
        <v>1418</v>
      </c>
      <c r="H2663" s="2461" t="s">
        <v>1452</v>
      </c>
      <c r="I2663" s="2462">
        <v>1.4970718936273214E-2</v>
      </c>
      <c r="J2663" s="2462">
        <v>7.3184447394875027</v>
      </c>
    </row>
    <row r="2664" spans="1:10" outlineLevel="2">
      <c r="A2664" s="2459" t="s">
        <v>1669</v>
      </c>
      <c r="B2664" s="2459" t="s">
        <v>1655</v>
      </c>
      <c r="C2664" s="2459" t="s">
        <v>1672</v>
      </c>
      <c r="D2664" s="2460" t="s">
        <v>1671</v>
      </c>
      <c r="E2664" s="2461" t="s">
        <v>213</v>
      </c>
      <c r="F2664" s="2461" t="s">
        <v>1518</v>
      </c>
      <c r="G2664" s="2461" t="s">
        <v>1418</v>
      </c>
      <c r="H2664" s="2461" t="s">
        <v>1452</v>
      </c>
      <c r="I2664" s="2462">
        <v>1.6860462581904448E-3</v>
      </c>
      <c r="J2664" s="2462">
        <v>1.5770370616919245</v>
      </c>
    </row>
    <row r="2665" spans="1:10" outlineLevel="2">
      <c r="A2665" s="2459" t="s">
        <v>1669</v>
      </c>
      <c r="B2665" s="2459" t="s">
        <v>1655</v>
      </c>
      <c r="C2665" s="2459" t="s">
        <v>1672</v>
      </c>
      <c r="D2665" s="2460" t="s">
        <v>1671</v>
      </c>
      <c r="E2665" s="2461" t="s">
        <v>213</v>
      </c>
      <c r="F2665" s="2461" t="s">
        <v>1519</v>
      </c>
      <c r="G2665" s="2461" t="s">
        <v>1418</v>
      </c>
      <c r="H2665" s="2461" t="s">
        <v>1452</v>
      </c>
      <c r="I2665" s="2462">
        <v>2.2135984035457613E-3</v>
      </c>
      <c r="J2665" s="2462">
        <v>2.2504887736088364</v>
      </c>
    </row>
    <row r="2666" spans="1:10" outlineLevel="2">
      <c r="A2666" s="2459" t="s">
        <v>1669</v>
      </c>
      <c r="B2666" s="2459" t="s">
        <v>1655</v>
      </c>
      <c r="C2666" s="2459" t="s">
        <v>1672</v>
      </c>
      <c r="D2666" s="2460" t="s">
        <v>1671</v>
      </c>
      <c r="E2666" s="2461" t="s">
        <v>213</v>
      </c>
      <c r="F2666" s="2461" t="s">
        <v>1520</v>
      </c>
      <c r="G2666" s="2461" t="s">
        <v>1418</v>
      </c>
      <c r="H2666" s="2461" t="s">
        <v>1452</v>
      </c>
      <c r="I2666" s="2462">
        <v>2.652623864358719E-4</v>
      </c>
      <c r="J2666" s="2462">
        <v>2.4051108301997837</v>
      </c>
    </row>
    <row r="2667" spans="1:10" outlineLevel="2">
      <c r="A2667" s="2459" t="s">
        <v>1669</v>
      </c>
      <c r="B2667" s="2459" t="s">
        <v>1655</v>
      </c>
      <c r="C2667" s="2459" t="s">
        <v>1672</v>
      </c>
      <c r="D2667" s="2460" t="s">
        <v>1671</v>
      </c>
      <c r="E2667" s="2461" t="s">
        <v>213</v>
      </c>
      <c r="F2667" s="2461" t="s">
        <v>1521</v>
      </c>
      <c r="G2667" s="2461" t="s">
        <v>1421</v>
      </c>
      <c r="H2667" s="2461" t="s">
        <v>1454</v>
      </c>
      <c r="I2667" s="2462">
        <v>3.8849195318498873</v>
      </c>
      <c r="J2667" s="2462">
        <v>5378.7791607311683</v>
      </c>
    </row>
    <row r="2668" spans="1:10" outlineLevel="2">
      <c r="A2668" s="2459" t="s">
        <v>1669</v>
      </c>
      <c r="B2668" s="2459" t="s">
        <v>1655</v>
      </c>
      <c r="C2668" s="2459" t="s">
        <v>1672</v>
      </c>
      <c r="D2668" s="2460" t="s">
        <v>1671</v>
      </c>
      <c r="E2668" s="2461" t="s">
        <v>213</v>
      </c>
      <c r="F2668" s="2461" t="s">
        <v>1522</v>
      </c>
      <c r="G2668" s="2461" t="s">
        <v>1421</v>
      </c>
      <c r="H2668" s="2461" t="s">
        <v>1454</v>
      </c>
      <c r="I2668" s="2462">
        <v>0.91250020654814534</v>
      </c>
      <c r="J2668" s="2462">
        <v>1345.7218849108535</v>
      </c>
    </row>
    <row r="2669" spans="1:10" outlineLevel="2">
      <c r="A2669" s="2459" t="s">
        <v>1669</v>
      </c>
      <c r="B2669" s="2459" t="s">
        <v>1655</v>
      </c>
      <c r="C2669" s="2459" t="s">
        <v>1672</v>
      </c>
      <c r="D2669" s="2460" t="s">
        <v>1671</v>
      </c>
      <c r="E2669" s="2461" t="s">
        <v>213</v>
      </c>
      <c r="F2669" s="2461" t="s">
        <v>1523</v>
      </c>
      <c r="G2669" s="2461" t="s">
        <v>1421</v>
      </c>
      <c r="H2669" s="2461" t="s">
        <v>1454</v>
      </c>
      <c r="I2669" s="2462">
        <v>0.42095905832683767</v>
      </c>
      <c r="J2669" s="2462">
        <v>711.57358156317196</v>
      </c>
    </row>
    <row r="2670" spans="1:10" outlineLevel="2">
      <c r="A2670" s="2459" t="s">
        <v>1669</v>
      </c>
      <c r="B2670" s="2459" t="s">
        <v>1655</v>
      </c>
      <c r="C2670" s="2459" t="s">
        <v>1672</v>
      </c>
      <c r="D2670" s="2460" t="s">
        <v>1671</v>
      </c>
      <c r="E2670" s="2461" t="s">
        <v>213</v>
      </c>
      <c r="F2670" s="2461" t="s">
        <v>1524</v>
      </c>
      <c r="G2670" s="2461" t="s">
        <v>1421</v>
      </c>
      <c r="H2670" s="2461" t="s">
        <v>1454</v>
      </c>
      <c r="I2670" s="2462">
        <v>0.96998817662433934</v>
      </c>
      <c r="J2670" s="2462">
        <v>1529.6904180855661</v>
      </c>
    </row>
    <row r="2671" spans="1:10" outlineLevel="2">
      <c r="A2671" s="2459" t="s">
        <v>1669</v>
      </c>
      <c r="B2671" s="2459" t="s">
        <v>1655</v>
      </c>
      <c r="C2671" s="2459" t="s">
        <v>1672</v>
      </c>
      <c r="D2671" s="2460" t="s">
        <v>1671</v>
      </c>
      <c r="E2671" s="2461" t="s">
        <v>213</v>
      </c>
      <c r="F2671" s="2461" t="s">
        <v>1525</v>
      </c>
      <c r="G2671" s="2461" t="s">
        <v>1421</v>
      </c>
      <c r="H2671" s="2461" t="s">
        <v>1454</v>
      </c>
      <c r="I2671" s="2462">
        <v>1.7087861369869226</v>
      </c>
      <c r="J2671" s="2462">
        <v>2416.8702349190794</v>
      </c>
    </row>
    <row r="2672" spans="1:10" outlineLevel="2">
      <c r="A2672" s="2459" t="s">
        <v>1669</v>
      </c>
      <c r="B2672" s="2459" t="s">
        <v>1655</v>
      </c>
      <c r="C2672" s="2459" t="s">
        <v>1672</v>
      </c>
      <c r="D2672" s="2460" t="s">
        <v>1671</v>
      </c>
      <c r="E2672" s="2461" t="s">
        <v>213</v>
      </c>
      <c r="F2672" s="2461" t="s">
        <v>1526</v>
      </c>
      <c r="G2672" s="2461" t="s">
        <v>1421</v>
      </c>
      <c r="H2672" s="2461" t="s">
        <v>1454</v>
      </c>
      <c r="I2672" s="2462">
        <v>7.9163495494688818E-2</v>
      </c>
      <c r="J2672" s="2462">
        <v>113.39558118074579</v>
      </c>
    </row>
    <row r="2673" spans="1:10" outlineLevel="2">
      <c r="A2673" s="2459" t="s">
        <v>1669</v>
      </c>
      <c r="B2673" s="2459" t="s">
        <v>1655</v>
      </c>
      <c r="C2673" s="2459" t="s">
        <v>1672</v>
      </c>
      <c r="D2673" s="2460" t="s">
        <v>1671</v>
      </c>
      <c r="E2673" s="2461" t="s">
        <v>213</v>
      </c>
      <c r="F2673" s="2461" t="s">
        <v>1527</v>
      </c>
      <c r="G2673" s="2461" t="s">
        <v>1459</v>
      </c>
      <c r="H2673" s="2461" t="s">
        <v>1460</v>
      </c>
      <c r="I2673" s="2462">
        <v>6.2134823335242458E-3</v>
      </c>
      <c r="J2673" s="2462">
        <v>6.4755334690557378</v>
      </c>
    </row>
    <row r="2674" spans="1:10" outlineLevel="2">
      <c r="A2674" s="2459" t="s">
        <v>1669</v>
      </c>
      <c r="B2674" s="2459" t="s">
        <v>1655</v>
      </c>
      <c r="C2674" s="2459" t="s">
        <v>1672</v>
      </c>
      <c r="D2674" s="2460" t="s">
        <v>1671</v>
      </c>
      <c r="E2674" s="2461" t="s">
        <v>213</v>
      </c>
      <c r="F2674" s="2461" t="s">
        <v>1528</v>
      </c>
      <c r="G2674" s="2461" t="s">
        <v>1459</v>
      </c>
      <c r="H2674" s="2461" t="s">
        <v>1460</v>
      </c>
      <c r="I2674" s="2462">
        <v>5.4085633938298429E-5</v>
      </c>
      <c r="J2674" s="2462">
        <v>6.9013930862777295E-2</v>
      </c>
    </row>
    <row r="2675" spans="1:10" outlineLevel="2">
      <c r="A2675" s="2459" t="s">
        <v>1669</v>
      </c>
      <c r="B2675" s="2459" t="s">
        <v>1655</v>
      </c>
      <c r="C2675" s="2459" t="s">
        <v>1672</v>
      </c>
      <c r="D2675" s="2460" t="s">
        <v>1671</v>
      </c>
      <c r="E2675" s="2461" t="s">
        <v>213</v>
      </c>
      <c r="F2675" s="2461" t="s">
        <v>1642</v>
      </c>
      <c r="G2675" s="2461" t="s">
        <v>1412</v>
      </c>
      <c r="H2675" s="2461" t="s">
        <v>1116</v>
      </c>
      <c r="I2675" s="2462">
        <v>3.1872437804288853E-3</v>
      </c>
      <c r="J2675" s="2462">
        <v>3.9338977159440196</v>
      </c>
    </row>
    <row r="2676" spans="1:10" outlineLevel="2">
      <c r="A2676" s="2459" t="s">
        <v>1669</v>
      </c>
      <c r="B2676" s="2459" t="s">
        <v>1655</v>
      </c>
      <c r="C2676" s="2459" t="s">
        <v>1672</v>
      </c>
      <c r="D2676" s="2460" t="s">
        <v>1671</v>
      </c>
      <c r="E2676" s="2461" t="s">
        <v>213</v>
      </c>
      <c r="F2676" s="2461" t="s">
        <v>1529</v>
      </c>
      <c r="G2676" s="2461" t="s">
        <v>1530</v>
      </c>
      <c r="H2676" s="2461" t="s">
        <v>1531</v>
      </c>
      <c r="I2676" s="2462">
        <v>0.22004993918552554</v>
      </c>
      <c r="J2676" s="2462">
        <v>187.22254341975264</v>
      </c>
    </row>
    <row r="2677" spans="1:10" outlineLevel="2">
      <c r="A2677" s="2459" t="s">
        <v>1669</v>
      </c>
      <c r="B2677" s="2459" t="s">
        <v>1655</v>
      </c>
      <c r="C2677" s="2459" t="s">
        <v>1672</v>
      </c>
      <c r="D2677" s="2460" t="s">
        <v>1671</v>
      </c>
      <c r="E2677" s="2461" t="s">
        <v>213</v>
      </c>
      <c r="F2677" s="2461" t="s">
        <v>1532</v>
      </c>
      <c r="G2677" s="2461" t="s">
        <v>1530</v>
      </c>
      <c r="H2677" s="2461" t="s">
        <v>1531</v>
      </c>
      <c r="I2677" s="2462">
        <v>9.2621796181815944E-2</v>
      </c>
      <c r="J2677" s="2462">
        <v>79.016603271673432</v>
      </c>
    </row>
    <row r="2678" spans="1:10" outlineLevel="2">
      <c r="A2678" s="2459" t="s">
        <v>1669</v>
      </c>
      <c r="B2678" s="2459" t="s">
        <v>1655</v>
      </c>
      <c r="C2678" s="2459" t="s">
        <v>1672</v>
      </c>
      <c r="D2678" s="2460" t="s">
        <v>1671</v>
      </c>
      <c r="E2678" s="2461" t="s">
        <v>213</v>
      </c>
      <c r="F2678" s="2461" t="s">
        <v>1533</v>
      </c>
      <c r="G2678" s="2461" t="s">
        <v>1534</v>
      </c>
      <c r="H2678" s="2461" t="s">
        <v>1531</v>
      </c>
      <c r="I2678" s="2462">
        <v>3.4743795156480434E-2</v>
      </c>
      <c r="J2678" s="2462">
        <v>58.368140522872324</v>
      </c>
    </row>
    <row r="2679" spans="1:10" outlineLevel="2">
      <c r="A2679" s="2459" t="s">
        <v>1669</v>
      </c>
      <c r="B2679" s="2459" t="s">
        <v>1655</v>
      </c>
      <c r="C2679" s="2459" t="s">
        <v>1672</v>
      </c>
      <c r="D2679" s="2460" t="s">
        <v>1671</v>
      </c>
      <c r="E2679" s="2461" t="s">
        <v>213</v>
      </c>
      <c r="F2679" s="2461" t="s">
        <v>1535</v>
      </c>
      <c r="G2679" s="2461" t="s">
        <v>1536</v>
      </c>
      <c r="H2679" s="2461" t="s">
        <v>1537</v>
      </c>
      <c r="I2679" s="2462">
        <v>6.372020377208451E-3</v>
      </c>
      <c r="J2679" s="2462">
        <v>9.4853468596286508</v>
      </c>
    </row>
    <row r="2680" spans="1:10" outlineLevel="2">
      <c r="A2680" s="2459" t="s">
        <v>1669</v>
      </c>
      <c r="B2680" s="2459" t="s">
        <v>1655</v>
      </c>
      <c r="C2680" s="2459" t="s">
        <v>1672</v>
      </c>
      <c r="D2680" s="2460" t="s">
        <v>1671</v>
      </c>
      <c r="E2680" s="2461" t="s">
        <v>1538</v>
      </c>
      <c r="F2680" s="2461" t="s">
        <v>1539</v>
      </c>
      <c r="G2680" s="2461" t="s">
        <v>1426</v>
      </c>
      <c r="H2680" s="2461" t="s">
        <v>1540</v>
      </c>
      <c r="I2680" s="2462">
        <v>1.2817695450120514E-3</v>
      </c>
      <c r="J2680" s="2462">
        <v>2.4546512025213971</v>
      </c>
    </row>
    <row r="2681" spans="1:10" outlineLevel="2">
      <c r="A2681" s="2459" t="s">
        <v>1669</v>
      </c>
      <c r="B2681" s="2459" t="s">
        <v>1655</v>
      </c>
      <c r="C2681" s="2459" t="s">
        <v>1672</v>
      </c>
      <c r="D2681" s="2460" t="s">
        <v>1671</v>
      </c>
      <c r="E2681" s="2461" t="s">
        <v>1538</v>
      </c>
      <c r="F2681" s="2461" t="s">
        <v>1541</v>
      </c>
      <c r="G2681" s="2461" t="s">
        <v>1409</v>
      </c>
      <c r="H2681" s="2461" t="s">
        <v>1540</v>
      </c>
      <c r="I2681" s="2462">
        <v>5.8243774998616756E-4</v>
      </c>
      <c r="J2681" s="2462">
        <v>2.7112443347791189</v>
      </c>
    </row>
    <row r="2682" spans="1:10" outlineLevel="2">
      <c r="A2682" s="2459" t="s">
        <v>1669</v>
      </c>
      <c r="B2682" s="2459" t="s">
        <v>1655</v>
      </c>
      <c r="C2682" s="2459" t="s">
        <v>1672</v>
      </c>
      <c r="D2682" s="2460" t="s">
        <v>1671</v>
      </c>
      <c r="E2682" s="2461" t="s">
        <v>1538</v>
      </c>
      <c r="F2682" s="2461" t="s">
        <v>1542</v>
      </c>
      <c r="G2682" s="2461" t="s">
        <v>1409</v>
      </c>
      <c r="H2682" s="2461" t="s">
        <v>1540</v>
      </c>
      <c r="I2682" s="2462">
        <v>3.1237988704226809E-4</v>
      </c>
      <c r="J2682" s="2462">
        <v>4.5341510763272268</v>
      </c>
    </row>
    <row r="2683" spans="1:10" outlineLevel="2">
      <c r="A2683" s="2459" t="s">
        <v>1669</v>
      </c>
      <c r="B2683" s="2459" t="s">
        <v>1655</v>
      </c>
      <c r="C2683" s="2459" t="s">
        <v>1672</v>
      </c>
      <c r="D2683" s="2460" t="s">
        <v>1671</v>
      </c>
      <c r="E2683" s="2461" t="s">
        <v>1538</v>
      </c>
      <c r="F2683" s="2461" t="s">
        <v>1543</v>
      </c>
      <c r="G2683" s="2461" t="s">
        <v>1409</v>
      </c>
      <c r="H2683" s="2461" t="s">
        <v>1540</v>
      </c>
      <c r="I2683" s="2462">
        <v>4.631519895096755E-4</v>
      </c>
      <c r="J2683" s="2462">
        <v>0.80072680624616699</v>
      </c>
    </row>
    <row r="2684" spans="1:10" outlineLevel="2">
      <c r="A2684" s="2459" t="s">
        <v>1669</v>
      </c>
      <c r="B2684" s="2459" t="s">
        <v>1655</v>
      </c>
      <c r="C2684" s="2459" t="s">
        <v>1672</v>
      </c>
      <c r="D2684" s="2460" t="s">
        <v>1671</v>
      </c>
      <c r="E2684" s="2461" t="s">
        <v>1538</v>
      </c>
      <c r="F2684" s="2461" t="s">
        <v>1544</v>
      </c>
      <c r="G2684" s="2461" t="s">
        <v>1409</v>
      </c>
      <c r="H2684" s="2461" t="s">
        <v>1540</v>
      </c>
      <c r="I2684" s="2462">
        <v>8.4793464821954675E-5</v>
      </c>
      <c r="J2684" s="2462">
        <v>0.4642179095056968</v>
      </c>
    </row>
    <row r="2685" spans="1:10" outlineLevel="2">
      <c r="A2685" s="2459" t="s">
        <v>1669</v>
      </c>
      <c r="B2685" s="2459" t="s">
        <v>1655</v>
      </c>
      <c r="C2685" s="2459" t="s">
        <v>1672</v>
      </c>
      <c r="D2685" s="2460" t="s">
        <v>1671</v>
      </c>
      <c r="E2685" s="2461" t="s">
        <v>1538</v>
      </c>
      <c r="F2685" s="2461" t="s">
        <v>1545</v>
      </c>
      <c r="G2685" s="2461" t="s">
        <v>1409</v>
      </c>
      <c r="H2685" s="2461" t="s">
        <v>1540</v>
      </c>
      <c r="I2685" s="2462">
        <v>1.8767732673148697E-3</v>
      </c>
      <c r="J2685" s="2462">
        <v>8.3848324553349372</v>
      </c>
    </row>
    <row r="2686" spans="1:10" outlineLevel="2">
      <c r="A2686" s="2459" t="s">
        <v>1669</v>
      </c>
      <c r="B2686" s="2459" t="s">
        <v>1655</v>
      </c>
      <c r="C2686" s="2459" t="s">
        <v>1672</v>
      </c>
      <c r="D2686" s="2460" t="s">
        <v>1671</v>
      </c>
      <c r="E2686" s="2461" t="s">
        <v>1538</v>
      </c>
      <c r="F2686" s="2461" t="s">
        <v>1546</v>
      </c>
      <c r="G2686" s="2461" t="s">
        <v>1409</v>
      </c>
      <c r="H2686" s="2461" t="s">
        <v>1540</v>
      </c>
      <c r="I2686" s="2462">
        <v>3.5899307010727089E-3</v>
      </c>
      <c r="J2686" s="2462">
        <v>4.2115229792619679</v>
      </c>
    </row>
    <row r="2687" spans="1:10" outlineLevel="2">
      <c r="A2687" s="2459" t="s">
        <v>1669</v>
      </c>
      <c r="B2687" s="2459" t="s">
        <v>1655</v>
      </c>
      <c r="C2687" s="2459" t="s">
        <v>1672</v>
      </c>
      <c r="D2687" s="2460" t="s">
        <v>1671</v>
      </c>
      <c r="E2687" s="2461" t="s">
        <v>1538</v>
      </c>
      <c r="F2687" s="2461" t="s">
        <v>1547</v>
      </c>
      <c r="G2687" s="2461" t="s">
        <v>1409</v>
      </c>
      <c r="H2687" s="2461" t="s">
        <v>1540</v>
      </c>
      <c r="I2687" s="2462">
        <v>3.8991363453717804E-4</v>
      </c>
      <c r="J2687" s="2462">
        <v>7.7575135587718371</v>
      </c>
    </row>
    <row r="2688" spans="1:10" outlineLevel="2">
      <c r="A2688" s="2459" t="s">
        <v>1669</v>
      </c>
      <c r="B2688" s="2459" t="s">
        <v>1655</v>
      </c>
      <c r="C2688" s="2459" t="s">
        <v>1672</v>
      </c>
      <c r="D2688" s="2460" t="s">
        <v>1671</v>
      </c>
      <c r="E2688" s="2461" t="s">
        <v>1538</v>
      </c>
      <c r="F2688" s="2461" t="s">
        <v>1548</v>
      </c>
      <c r="G2688" s="2461" t="s">
        <v>1409</v>
      </c>
      <c r="H2688" s="2461" t="s">
        <v>1540</v>
      </c>
      <c r="I2688" s="2462">
        <v>1.8096887512983593E-3</v>
      </c>
      <c r="J2688" s="2462">
        <v>3.1609338468222714</v>
      </c>
    </row>
    <row r="2689" spans="1:10" outlineLevel="2">
      <c r="A2689" s="2459" t="s">
        <v>1669</v>
      </c>
      <c r="B2689" s="2459" t="s">
        <v>1655</v>
      </c>
      <c r="C2689" s="2459" t="s">
        <v>1672</v>
      </c>
      <c r="D2689" s="2460" t="s">
        <v>1671</v>
      </c>
      <c r="E2689" s="2461" t="s">
        <v>1538</v>
      </c>
      <c r="F2689" s="2461" t="s">
        <v>1549</v>
      </c>
      <c r="G2689" s="2461" t="s">
        <v>1409</v>
      </c>
      <c r="H2689" s="2461" t="s">
        <v>1540</v>
      </c>
      <c r="I2689" s="2462">
        <v>2.7052770340942783E-4</v>
      </c>
      <c r="J2689" s="2462">
        <v>0.51807693049286352</v>
      </c>
    </row>
    <row r="2690" spans="1:10" outlineLevel="2">
      <c r="A2690" s="2459" t="s">
        <v>1669</v>
      </c>
      <c r="B2690" s="2459" t="s">
        <v>1655</v>
      </c>
      <c r="C2690" s="2459" t="s">
        <v>1672</v>
      </c>
      <c r="D2690" s="2460" t="s">
        <v>1671</v>
      </c>
      <c r="E2690" s="2461" t="s">
        <v>1538</v>
      </c>
      <c r="F2690" s="2461" t="s">
        <v>1550</v>
      </c>
      <c r="G2690" s="2461" t="s">
        <v>1409</v>
      </c>
      <c r="H2690" s="2461" t="s">
        <v>1540</v>
      </c>
      <c r="I2690" s="2462">
        <v>1.4826299024351553E-3</v>
      </c>
      <c r="J2690" s="2462">
        <v>5.387098119844298</v>
      </c>
    </row>
    <row r="2691" spans="1:10" outlineLevel="2">
      <c r="A2691" s="2459" t="s">
        <v>1669</v>
      </c>
      <c r="B2691" s="2459" t="s">
        <v>1655</v>
      </c>
      <c r="C2691" s="2459" t="s">
        <v>1672</v>
      </c>
      <c r="D2691" s="2460" t="s">
        <v>1671</v>
      </c>
      <c r="E2691" s="2461" t="s">
        <v>1538</v>
      </c>
      <c r="F2691" s="2461" t="s">
        <v>1551</v>
      </c>
      <c r="G2691" s="2461" t="s">
        <v>1409</v>
      </c>
      <c r="H2691" s="2461" t="s">
        <v>1540</v>
      </c>
      <c r="I2691" s="2462">
        <v>1.2214454009293089E-3</v>
      </c>
      <c r="J2691" s="2462">
        <v>13.008661437546033</v>
      </c>
    </row>
    <row r="2692" spans="1:10" outlineLevel="2">
      <c r="A2692" s="2459" t="s">
        <v>1669</v>
      </c>
      <c r="B2692" s="2459" t="s">
        <v>1655</v>
      </c>
      <c r="C2692" s="2459" t="s">
        <v>1672</v>
      </c>
      <c r="D2692" s="2460" t="s">
        <v>1671</v>
      </c>
      <c r="E2692" s="2461" t="s">
        <v>1538</v>
      </c>
      <c r="F2692" s="2461" t="s">
        <v>1552</v>
      </c>
      <c r="G2692" s="2461" t="s">
        <v>1409</v>
      </c>
      <c r="H2692" s="2461" t="s">
        <v>1540</v>
      </c>
      <c r="I2692" s="2462">
        <v>8.5946404398614225E-5</v>
      </c>
      <c r="J2692" s="2462">
        <v>1.3686812475672043</v>
      </c>
    </row>
    <row r="2693" spans="1:10" outlineLevel="2">
      <c r="A2693" s="2459" t="s">
        <v>1669</v>
      </c>
      <c r="B2693" s="2459" t="s">
        <v>1655</v>
      </c>
      <c r="C2693" s="2459" t="s">
        <v>1672</v>
      </c>
      <c r="D2693" s="2460" t="s">
        <v>1671</v>
      </c>
      <c r="E2693" s="2461" t="s">
        <v>1538</v>
      </c>
      <c r="F2693" s="2461" t="s">
        <v>1553</v>
      </c>
      <c r="G2693" s="2461" t="s">
        <v>1409</v>
      </c>
      <c r="H2693" s="2461" t="s">
        <v>1540</v>
      </c>
      <c r="I2693" s="2462">
        <v>6.3737593316419072E-3</v>
      </c>
      <c r="J2693" s="2462">
        <v>11.717538036012288</v>
      </c>
    </row>
    <row r="2694" spans="1:10" outlineLevel="2">
      <c r="A2694" s="2459" t="s">
        <v>1669</v>
      </c>
      <c r="B2694" s="2459" t="s">
        <v>1655</v>
      </c>
      <c r="C2694" s="2459" t="s">
        <v>1672</v>
      </c>
      <c r="D2694" s="2460" t="s">
        <v>1671</v>
      </c>
      <c r="E2694" s="2461" t="s">
        <v>1538</v>
      </c>
      <c r="F2694" s="2461" t="s">
        <v>1554</v>
      </c>
      <c r="G2694" s="2461" t="s">
        <v>1409</v>
      </c>
      <c r="H2694" s="2461" t="s">
        <v>1540</v>
      </c>
      <c r="I2694" s="2462">
        <v>3.5527262052990082E-3</v>
      </c>
      <c r="J2694" s="2462">
        <v>4.9175283521661859</v>
      </c>
    </row>
    <row r="2695" spans="1:10" outlineLevel="2">
      <c r="A2695" s="2459" t="s">
        <v>1669</v>
      </c>
      <c r="B2695" s="2459" t="s">
        <v>1655</v>
      </c>
      <c r="C2695" s="2459" t="s">
        <v>1672</v>
      </c>
      <c r="D2695" s="2460" t="s">
        <v>1671</v>
      </c>
      <c r="E2695" s="2461" t="s">
        <v>1538</v>
      </c>
      <c r="F2695" s="2461" t="s">
        <v>1555</v>
      </c>
      <c r="G2695" s="2461" t="s">
        <v>1412</v>
      </c>
      <c r="H2695" s="2461" t="s">
        <v>1540</v>
      </c>
      <c r="I2695" s="2462">
        <v>2.929804823862274E-2</v>
      </c>
      <c r="J2695" s="2462">
        <v>90.190748701195773</v>
      </c>
    </row>
    <row r="2696" spans="1:10" outlineLevel="2">
      <c r="A2696" s="2459" t="s">
        <v>1669</v>
      </c>
      <c r="B2696" s="2459" t="s">
        <v>1655</v>
      </c>
      <c r="C2696" s="2459" t="s">
        <v>1672</v>
      </c>
      <c r="D2696" s="2460" t="s">
        <v>1671</v>
      </c>
      <c r="E2696" s="2461" t="s">
        <v>1538</v>
      </c>
      <c r="F2696" s="2461" t="s">
        <v>1556</v>
      </c>
      <c r="G2696" s="2461" t="s">
        <v>1412</v>
      </c>
      <c r="H2696" s="2461" t="s">
        <v>1540</v>
      </c>
      <c r="I2696" s="2462">
        <v>0.58246453651276875</v>
      </c>
      <c r="J2696" s="2462">
        <v>8203.8379441333309</v>
      </c>
    </row>
    <row r="2697" spans="1:10" outlineLevel="2">
      <c r="A2697" s="2459" t="s">
        <v>1669</v>
      </c>
      <c r="B2697" s="2459" t="s">
        <v>1655</v>
      </c>
      <c r="C2697" s="2459" t="s">
        <v>1672</v>
      </c>
      <c r="D2697" s="2460" t="s">
        <v>1671</v>
      </c>
      <c r="E2697" s="2461" t="s">
        <v>1538</v>
      </c>
      <c r="F2697" s="2461" t="s">
        <v>1557</v>
      </c>
      <c r="G2697" s="2461" t="s">
        <v>1412</v>
      </c>
      <c r="H2697" s="2461" t="s">
        <v>1540</v>
      </c>
      <c r="I2697" s="2462">
        <v>3.4677048764649742E-3</v>
      </c>
      <c r="J2697" s="2462">
        <v>61.115427577257165</v>
      </c>
    </row>
    <row r="2698" spans="1:10" outlineLevel="2">
      <c r="A2698" s="2459" t="s">
        <v>1669</v>
      </c>
      <c r="B2698" s="2459" t="s">
        <v>1655</v>
      </c>
      <c r="C2698" s="2459" t="s">
        <v>1672</v>
      </c>
      <c r="D2698" s="2460" t="s">
        <v>1671</v>
      </c>
      <c r="E2698" s="2461" t="s">
        <v>1538</v>
      </c>
      <c r="F2698" s="2461" t="s">
        <v>1558</v>
      </c>
      <c r="G2698" s="2461" t="s">
        <v>1412</v>
      </c>
      <c r="H2698" s="2461" t="s">
        <v>1540</v>
      </c>
      <c r="I2698" s="2462">
        <v>1.1600158197332369E-3</v>
      </c>
      <c r="J2698" s="2462">
        <v>19.27798794758257</v>
      </c>
    </row>
    <row r="2699" spans="1:10" outlineLevel="2">
      <c r="A2699" s="2459" t="s">
        <v>1669</v>
      </c>
      <c r="B2699" s="2459" t="s">
        <v>1655</v>
      </c>
      <c r="C2699" s="2459" t="s">
        <v>1672</v>
      </c>
      <c r="D2699" s="2460" t="s">
        <v>1671</v>
      </c>
      <c r="E2699" s="2461" t="s">
        <v>1538</v>
      </c>
      <c r="F2699" s="2461" t="s">
        <v>1559</v>
      </c>
      <c r="G2699" s="2461" t="s">
        <v>1412</v>
      </c>
      <c r="H2699" s="2461" t="s">
        <v>1540</v>
      </c>
      <c r="I2699" s="2462">
        <v>1.2386084315304385E-3</v>
      </c>
      <c r="J2699" s="2462">
        <v>4.76108746101999</v>
      </c>
    </row>
    <row r="2700" spans="1:10" outlineLevel="2">
      <c r="A2700" s="2459" t="s">
        <v>1669</v>
      </c>
      <c r="B2700" s="2459" t="s">
        <v>1655</v>
      </c>
      <c r="C2700" s="2459" t="s">
        <v>1672</v>
      </c>
      <c r="D2700" s="2460" t="s">
        <v>1671</v>
      </c>
      <c r="E2700" s="2461" t="s">
        <v>1538</v>
      </c>
      <c r="F2700" s="2461" t="s">
        <v>1560</v>
      </c>
      <c r="G2700" s="2461" t="s">
        <v>1412</v>
      </c>
      <c r="H2700" s="2461" t="s">
        <v>1540</v>
      </c>
      <c r="I2700" s="2462">
        <v>1.7385399810099093E-3</v>
      </c>
      <c r="J2700" s="2462">
        <v>37.863809624576504</v>
      </c>
    </row>
    <row r="2701" spans="1:10" outlineLevel="2">
      <c r="A2701" s="2459" t="s">
        <v>1669</v>
      </c>
      <c r="B2701" s="2459" t="s">
        <v>1655</v>
      </c>
      <c r="C2701" s="2459" t="s">
        <v>1672</v>
      </c>
      <c r="D2701" s="2460" t="s">
        <v>1671</v>
      </c>
      <c r="E2701" s="2461" t="s">
        <v>1538</v>
      </c>
      <c r="F2701" s="2461" t="s">
        <v>1561</v>
      </c>
      <c r="G2701" s="2461" t="s">
        <v>1439</v>
      </c>
      <c r="H2701" s="2461" t="s">
        <v>1540</v>
      </c>
      <c r="I2701" s="2462">
        <v>2.062663864071675E-2</v>
      </c>
      <c r="J2701" s="2462">
        <v>312.58216931932117</v>
      </c>
    </row>
    <row r="2702" spans="1:10" outlineLevel="2">
      <c r="A2702" s="2459" t="s">
        <v>1669</v>
      </c>
      <c r="B2702" s="2459" t="s">
        <v>1655</v>
      </c>
      <c r="C2702" s="2459" t="s">
        <v>1672</v>
      </c>
      <c r="D2702" s="2460" t="s">
        <v>1671</v>
      </c>
      <c r="E2702" s="2461" t="s">
        <v>1538</v>
      </c>
      <c r="F2702" s="2461" t="s">
        <v>1562</v>
      </c>
      <c r="G2702" s="2461" t="s">
        <v>1418</v>
      </c>
      <c r="H2702" s="2461" t="s">
        <v>1540</v>
      </c>
      <c r="I2702" s="2462">
        <v>1.128275841708267E-5</v>
      </c>
      <c r="J2702" s="2462">
        <v>1.4217204695865439E-2</v>
      </c>
    </row>
    <row r="2703" spans="1:10" outlineLevel="2">
      <c r="A2703" s="2459" t="s">
        <v>1669</v>
      </c>
      <c r="B2703" s="2459" t="s">
        <v>1655</v>
      </c>
      <c r="C2703" s="2459" t="s">
        <v>1672</v>
      </c>
      <c r="D2703" s="2460" t="s">
        <v>1671</v>
      </c>
      <c r="E2703" s="2461" t="s">
        <v>1538</v>
      </c>
      <c r="F2703" s="2461" t="s">
        <v>1563</v>
      </c>
      <c r="G2703" s="2461" t="s">
        <v>1418</v>
      </c>
      <c r="H2703" s="2461" t="s">
        <v>1540</v>
      </c>
      <c r="I2703" s="2462">
        <v>1.63476830612018E-6</v>
      </c>
      <c r="J2703" s="2462">
        <v>2.7691112281753746E-2</v>
      </c>
    </row>
    <row r="2704" spans="1:10" outlineLevel="2">
      <c r="A2704" s="2459" t="s">
        <v>1669</v>
      </c>
      <c r="B2704" s="2459" t="s">
        <v>1655</v>
      </c>
      <c r="C2704" s="2459" t="s">
        <v>1672</v>
      </c>
      <c r="D2704" s="2460" t="s">
        <v>1671</v>
      </c>
      <c r="E2704" s="2461" t="s">
        <v>1538</v>
      </c>
      <c r="F2704" s="2461" t="s">
        <v>1564</v>
      </c>
      <c r="G2704" s="2461" t="s">
        <v>1421</v>
      </c>
      <c r="H2704" s="2461" t="s">
        <v>1540</v>
      </c>
      <c r="I2704" s="2462">
        <v>0.21052364402269619</v>
      </c>
      <c r="J2704" s="2462">
        <v>516.90337264953564</v>
      </c>
    </row>
    <row r="2705" spans="1:10" outlineLevel="2">
      <c r="A2705" s="2459" t="s">
        <v>1669</v>
      </c>
      <c r="B2705" s="2459" t="s">
        <v>1655</v>
      </c>
      <c r="C2705" s="2459" t="s">
        <v>1672</v>
      </c>
      <c r="D2705" s="2460" t="s">
        <v>1671</v>
      </c>
      <c r="E2705" s="2461" t="s">
        <v>1538</v>
      </c>
      <c r="F2705" s="2461" t="s">
        <v>1565</v>
      </c>
      <c r="G2705" s="2461" t="s">
        <v>1421</v>
      </c>
      <c r="H2705" s="2461" t="s">
        <v>1540</v>
      </c>
      <c r="I2705" s="2462">
        <v>2.477153791370763E-2</v>
      </c>
      <c r="J2705" s="2462">
        <v>113.14369424718451</v>
      </c>
    </row>
    <row r="2706" spans="1:10" outlineLevel="2">
      <c r="A2706" s="2459" t="s">
        <v>1669</v>
      </c>
      <c r="B2706" s="2459" t="s">
        <v>1655</v>
      </c>
      <c r="C2706" s="2459" t="s">
        <v>1672</v>
      </c>
      <c r="D2706" s="2460" t="s">
        <v>1671</v>
      </c>
      <c r="E2706" s="2461" t="s">
        <v>1538</v>
      </c>
      <c r="F2706" s="2461" t="s">
        <v>1566</v>
      </c>
      <c r="G2706" s="2461" t="s">
        <v>1421</v>
      </c>
      <c r="H2706" s="2461" t="s">
        <v>1540</v>
      </c>
      <c r="I2706" s="2462">
        <v>1.2916099583207529E-2</v>
      </c>
      <c r="J2706" s="2462">
        <v>132.1148895463179</v>
      </c>
    </row>
    <row r="2707" spans="1:10" outlineLevel="2">
      <c r="A2707" s="2459" t="s">
        <v>1669</v>
      </c>
      <c r="B2707" s="2459" t="s">
        <v>1655</v>
      </c>
      <c r="C2707" s="2459" t="s">
        <v>1672</v>
      </c>
      <c r="D2707" s="2460" t="s">
        <v>1671</v>
      </c>
      <c r="E2707" s="2461" t="s">
        <v>1538</v>
      </c>
      <c r="F2707" s="2461" t="s">
        <v>1567</v>
      </c>
      <c r="G2707" s="2461" t="s">
        <v>1421</v>
      </c>
      <c r="H2707" s="2461" t="s">
        <v>1540</v>
      </c>
      <c r="I2707" s="2462">
        <v>2.1382533150981164E-2</v>
      </c>
      <c r="J2707" s="2462">
        <v>164.19951036989002</v>
      </c>
    </row>
    <row r="2708" spans="1:10" outlineLevel="2">
      <c r="A2708" s="2459" t="s">
        <v>1669</v>
      </c>
      <c r="B2708" s="2459" t="s">
        <v>1655</v>
      </c>
      <c r="C2708" s="2459" t="s">
        <v>1672</v>
      </c>
      <c r="D2708" s="2460" t="s">
        <v>1671</v>
      </c>
      <c r="E2708" s="2461" t="s">
        <v>1538</v>
      </c>
      <c r="F2708" s="2461" t="s">
        <v>1568</v>
      </c>
      <c r="G2708" s="2461" t="s">
        <v>1421</v>
      </c>
      <c r="H2708" s="2461" t="s">
        <v>1540</v>
      </c>
      <c r="I2708" s="2462">
        <v>7.4018072584115043E-4</v>
      </c>
      <c r="J2708" s="2462">
        <v>2.233203700533303</v>
      </c>
    </row>
    <row r="2709" spans="1:10" outlineLevel="2">
      <c r="A2709" s="2459" t="s">
        <v>1669</v>
      </c>
      <c r="B2709" s="2459" t="s">
        <v>1655</v>
      </c>
      <c r="C2709" s="2459" t="s">
        <v>1672</v>
      </c>
      <c r="D2709" s="2460" t="s">
        <v>1671</v>
      </c>
      <c r="E2709" s="2461" t="s">
        <v>1538</v>
      </c>
      <c r="F2709" s="2461" t="s">
        <v>1569</v>
      </c>
      <c r="G2709" s="2461" t="s">
        <v>1421</v>
      </c>
      <c r="H2709" s="2461" t="s">
        <v>1540</v>
      </c>
      <c r="I2709" s="2462">
        <v>1.754583564252263E-4</v>
      </c>
      <c r="J2709" s="2462">
        <v>2.027556453407235</v>
      </c>
    </row>
    <row r="2710" spans="1:10" outlineLevel="2">
      <c r="A2710" s="2459" t="s">
        <v>1669</v>
      </c>
      <c r="B2710" s="2459" t="s">
        <v>1655</v>
      </c>
      <c r="C2710" s="2459" t="s">
        <v>1672</v>
      </c>
      <c r="D2710" s="2460" t="s">
        <v>1671</v>
      </c>
      <c r="E2710" s="2461" t="s">
        <v>1538</v>
      </c>
      <c r="F2710" s="2461" t="s">
        <v>1570</v>
      </c>
      <c r="G2710" s="2461" t="s">
        <v>899</v>
      </c>
      <c r="H2710" s="2461" t="s">
        <v>1540</v>
      </c>
      <c r="I2710" s="2462">
        <v>6.6645857611635485E-5</v>
      </c>
      <c r="J2710" s="2462">
        <v>0.28793302177436164</v>
      </c>
    </row>
    <row r="2711" spans="1:10" outlineLevel="2">
      <c r="A2711" s="2459" t="s">
        <v>1669</v>
      </c>
      <c r="B2711" s="2459" t="s">
        <v>1655</v>
      </c>
      <c r="C2711" s="2459" t="s">
        <v>1672</v>
      </c>
      <c r="D2711" s="2460" t="s">
        <v>1671</v>
      </c>
      <c r="E2711" s="2461" t="s">
        <v>1400</v>
      </c>
      <c r="F2711" s="2461" t="s">
        <v>1571</v>
      </c>
      <c r="G2711" s="2461" t="s">
        <v>215</v>
      </c>
      <c r="H2711" s="2461" t="s">
        <v>1531</v>
      </c>
      <c r="I2711" s="2462">
        <v>1.2322967129823131E-3</v>
      </c>
      <c r="J2711" s="2462">
        <v>44.351315381062989</v>
      </c>
    </row>
    <row r="2712" spans="1:10" outlineLevel="2">
      <c r="A2712" s="2459" t="s">
        <v>1669</v>
      </c>
      <c r="B2712" s="2459" t="s">
        <v>1655</v>
      </c>
      <c r="C2712" s="2459" t="s">
        <v>1672</v>
      </c>
      <c r="D2712" s="2460" t="s">
        <v>1671</v>
      </c>
      <c r="E2712" s="2461" t="s">
        <v>1400</v>
      </c>
      <c r="F2712" s="2461" t="s">
        <v>1572</v>
      </c>
      <c r="G2712" s="2461" t="s">
        <v>215</v>
      </c>
      <c r="H2712" s="2461" t="s">
        <v>1531</v>
      </c>
      <c r="I2712" s="2462">
        <v>1.9529537034993585E-5</v>
      </c>
      <c r="J2712" s="2462">
        <v>0.37046421146425818</v>
      </c>
    </row>
    <row r="2713" spans="1:10" outlineLevel="2">
      <c r="A2713" s="2459" t="s">
        <v>1669</v>
      </c>
      <c r="B2713" s="2459" t="s">
        <v>1655</v>
      </c>
      <c r="C2713" s="2459" t="s">
        <v>1672</v>
      </c>
      <c r="D2713" s="2460" t="s">
        <v>1671</v>
      </c>
      <c r="E2713" s="2461" t="s">
        <v>1573</v>
      </c>
      <c r="F2713" s="2461" t="s">
        <v>1574</v>
      </c>
      <c r="G2713" s="2461" t="s">
        <v>1426</v>
      </c>
      <c r="H2713" s="2461" t="s">
        <v>1427</v>
      </c>
      <c r="I2713" s="2462">
        <v>1.5539089553653638E-3</v>
      </c>
      <c r="J2713" s="2462">
        <v>38.414824979931232</v>
      </c>
    </row>
    <row r="2714" spans="1:10" outlineLevel="2">
      <c r="A2714" s="2459" t="s">
        <v>1669</v>
      </c>
      <c r="B2714" s="2459" t="s">
        <v>1655</v>
      </c>
      <c r="C2714" s="2459" t="s">
        <v>1672</v>
      </c>
      <c r="D2714" s="2460" t="s">
        <v>1671</v>
      </c>
      <c r="E2714" s="2461" t="s">
        <v>1573</v>
      </c>
      <c r="F2714" s="2461" t="s">
        <v>1575</v>
      </c>
      <c r="G2714" s="2461" t="s">
        <v>1409</v>
      </c>
      <c r="H2714" s="2461" t="s">
        <v>1070</v>
      </c>
      <c r="I2714" s="2462">
        <v>5.5600296917429305E-3</v>
      </c>
      <c r="J2714" s="2462">
        <v>324.26329189557043</v>
      </c>
    </row>
    <row r="2715" spans="1:10" outlineLevel="2">
      <c r="A2715" s="2459" t="s">
        <v>1669</v>
      </c>
      <c r="B2715" s="2459" t="s">
        <v>1655</v>
      </c>
      <c r="C2715" s="2459" t="s">
        <v>1672</v>
      </c>
      <c r="D2715" s="2460" t="s">
        <v>1671</v>
      </c>
      <c r="E2715" s="2461" t="s">
        <v>1573</v>
      </c>
      <c r="F2715" s="2461" t="s">
        <v>1576</v>
      </c>
      <c r="G2715" s="2461" t="s">
        <v>1409</v>
      </c>
      <c r="H2715" s="2461" t="s">
        <v>1070</v>
      </c>
      <c r="I2715" s="2462">
        <v>4.7806773037124631E-5</v>
      </c>
      <c r="J2715" s="2462">
        <v>0.52805581097830701</v>
      </c>
    </row>
    <row r="2716" spans="1:10" outlineLevel="2">
      <c r="A2716" s="2459" t="s">
        <v>1669</v>
      </c>
      <c r="B2716" s="2459" t="s">
        <v>1655</v>
      </c>
      <c r="C2716" s="2459" t="s">
        <v>1672</v>
      </c>
      <c r="D2716" s="2460" t="s">
        <v>1671</v>
      </c>
      <c r="E2716" s="2461" t="s">
        <v>1573</v>
      </c>
      <c r="F2716" s="2461" t="s">
        <v>1577</v>
      </c>
      <c r="G2716" s="2461" t="s">
        <v>1409</v>
      </c>
      <c r="H2716" s="2461" t="s">
        <v>1070</v>
      </c>
      <c r="I2716" s="2462">
        <v>6.9332143978153909E-4</v>
      </c>
      <c r="J2716" s="2462">
        <v>8.6985177037404284</v>
      </c>
    </row>
    <row r="2717" spans="1:10" outlineLevel="2">
      <c r="A2717" s="2459" t="s">
        <v>1669</v>
      </c>
      <c r="B2717" s="2459" t="s">
        <v>1655</v>
      </c>
      <c r="C2717" s="2459" t="s">
        <v>1672</v>
      </c>
      <c r="D2717" s="2460" t="s">
        <v>1671</v>
      </c>
      <c r="E2717" s="2461" t="s">
        <v>1573</v>
      </c>
      <c r="F2717" s="2461" t="s">
        <v>1578</v>
      </c>
      <c r="G2717" s="2461" t="s">
        <v>1409</v>
      </c>
      <c r="H2717" s="2461" t="s">
        <v>1070</v>
      </c>
      <c r="I2717" s="2462">
        <v>1.5832714001412687E-2</v>
      </c>
      <c r="J2717" s="2462">
        <v>811.68006321923747</v>
      </c>
    </row>
    <row r="2718" spans="1:10" outlineLevel="2">
      <c r="A2718" s="2459" t="s">
        <v>1669</v>
      </c>
      <c r="B2718" s="2459" t="s">
        <v>1655</v>
      </c>
      <c r="C2718" s="2459" t="s">
        <v>1672</v>
      </c>
      <c r="D2718" s="2460" t="s">
        <v>1671</v>
      </c>
      <c r="E2718" s="2461" t="s">
        <v>1573</v>
      </c>
      <c r="F2718" s="2461" t="s">
        <v>1579</v>
      </c>
      <c r="G2718" s="2461" t="s">
        <v>1409</v>
      </c>
      <c r="H2718" s="2461" t="s">
        <v>1070</v>
      </c>
      <c r="I2718" s="2462">
        <v>1.2019042517441843E-2</v>
      </c>
      <c r="J2718" s="2462">
        <v>883.16280905676865</v>
      </c>
    </row>
    <row r="2719" spans="1:10" outlineLevel="2">
      <c r="A2719" s="2459" t="s">
        <v>1669</v>
      </c>
      <c r="B2719" s="2459" t="s">
        <v>1655</v>
      </c>
      <c r="C2719" s="2459" t="s">
        <v>1672</v>
      </c>
      <c r="D2719" s="2460" t="s">
        <v>1671</v>
      </c>
      <c r="E2719" s="2461" t="s">
        <v>1573</v>
      </c>
      <c r="F2719" s="2461" t="s">
        <v>1580</v>
      </c>
      <c r="G2719" s="2461" t="s">
        <v>1409</v>
      </c>
      <c r="H2719" s="2461" t="s">
        <v>1070</v>
      </c>
      <c r="I2719" s="2462">
        <v>1.3579005278640387E-3</v>
      </c>
      <c r="J2719" s="2462">
        <v>48.766601036946732</v>
      </c>
    </row>
    <row r="2720" spans="1:10" outlineLevel="2">
      <c r="A2720" s="2459" t="s">
        <v>1669</v>
      </c>
      <c r="B2720" s="2459" t="s">
        <v>1655</v>
      </c>
      <c r="C2720" s="2459" t="s">
        <v>1672</v>
      </c>
      <c r="D2720" s="2460" t="s">
        <v>1671</v>
      </c>
      <c r="E2720" s="2461" t="s">
        <v>1573</v>
      </c>
      <c r="F2720" s="2461" t="s">
        <v>1581</v>
      </c>
      <c r="G2720" s="2461" t="s">
        <v>1409</v>
      </c>
      <c r="H2720" s="2461" t="s">
        <v>1070</v>
      </c>
      <c r="I2720" s="2462">
        <v>7.2225497820475664E-4</v>
      </c>
      <c r="J2720" s="2462">
        <v>33.207953554539124</v>
      </c>
    </row>
    <row r="2721" spans="1:10" outlineLevel="2">
      <c r="A2721" s="2459" t="s">
        <v>1669</v>
      </c>
      <c r="B2721" s="2459" t="s">
        <v>1655</v>
      </c>
      <c r="C2721" s="2459" t="s">
        <v>1672</v>
      </c>
      <c r="D2721" s="2460" t="s">
        <v>1671</v>
      </c>
      <c r="E2721" s="2461" t="s">
        <v>1573</v>
      </c>
      <c r="F2721" s="2461" t="s">
        <v>1582</v>
      </c>
      <c r="G2721" s="2461" t="s">
        <v>1409</v>
      </c>
      <c r="H2721" s="2461" t="s">
        <v>1070</v>
      </c>
      <c r="I2721" s="2462">
        <v>3.8387571741587412E-3</v>
      </c>
      <c r="J2721" s="2462">
        <v>91.19225007036998</v>
      </c>
    </row>
    <row r="2722" spans="1:10" outlineLevel="2">
      <c r="A2722" s="2459" t="s">
        <v>1669</v>
      </c>
      <c r="B2722" s="2459" t="s">
        <v>1655</v>
      </c>
      <c r="C2722" s="2459" t="s">
        <v>1672</v>
      </c>
      <c r="D2722" s="2460" t="s">
        <v>1671</v>
      </c>
      <c r="E2722" s="2461" t="s">
        <v>1573</v>
      </c>
      <c r="F2722" s="2461" t="s">
        <v>1583</v>
      </c>
      <c r="G2722" s="2461" t="s">
        <v>1409</v>
      </c>
      <c r="H2722" s="2461" t="s">
        <v>1070</v>
      </c>
      <c r="I2722" s="2462">
        <v>1.1004620003094911E-2</v>
      </c>
      <c r="J2722" s="2462">
        <v>390.23577710982948</v>
      </c>
    </row>
    <row r="2723" spans="1:10" outlineLevel="2">
      <c r="A2723" s="2459" t="s">
        <v>1669</v>
      </c>
      <c r="B2723" s="2459" t="s">
        <v>1655</v>
      </c>
      <c r="C2723" s="2459" t="s">
        <v>1672</v>
      </c>
      <c r="D2723" s="2460" t="s">
        <v>1671</v>
      </c>
      <c r="E2723" s="2461" t="s">
        <v>1573</v>
      </c>
      <c r="F2723" s="2461" t="s">
        <v>1584</v>
      </c>
      <c r="G2723" s="2461" t="s">
        <v>1409</v>
      </c>
      <c r="H2723" s="2461" t="s">
        <v>1070</v>
      </c>
      <c r="I2723" s="2462">
        <v>7.7799046525275622E-3</v>
      </c>
      <c r="J2723" s="2462">
        <v>428.45465636763754</v>
      </c>
    </row>
    <row r="2724" spans="1:10" outlineLevel="2">
      <c r="A2724" s="2459" t="s">
        <v>1669</v>
      </c>
      <c r="B2724" s="2459" t="s">
        <v>1655</v>
      </c>
      <c r="C2724" s="2459" t="s">
        <v>1672</v>
      </c>
      <c r="D2724" s="2460" t="s">
        <v>1671</v>
      </c>
      <c r="E2724" s="2461" t="s">
        <v>1573</v>
      </c>
      <c r="F2724" s="2461" t="s">
        <v>1585</v>
      </c>
      <c r="G2724" s="2461" t="s">
        <v>1409</v>
      </c>
      <c r="H2724" s="2461" t="s">
        <v>1070</v>
      </c>
      <c r="I2724" s="2462">
        <v>4.2653041357185228E-2</v>
      </c>
      <c r="J2724" s="2462">
        <v>3289.8791266141711</v>
      </c>
    </row>
    <row r="2725" spans="1:10" outlineLevel="2">
      <c r="A2725" s="2459" t="s">
        <v>1669</v>
      </c>
      <c r="B2725" s="2459" t="s">
        <v>1655</v>
      </c>
      <c r="C2725" s="2459" t="s">
        <v>1672</v>
      </c>
      <c r="D2725" s="2460" t="s">
        <v>1671</v>
      </c>
      <c r="E2725" s="2461" t="s">
        <v>1573</v>
      </c>
      <c r="F2725" s="2461" t="s">
        <v>1586</v>
      </c>
      <c r="G2725" s="2461" t="s">
        <v>1409</v>
      </c>
      <c r="H2725" s="2461" t="s">
        <v>1070</v>
      </c>
      <c r="I2725" s="2462">
        <v>9.0214413201012875E-4</v>
      </c>
      <c r="J2725" s="2462">
        <v>27.355735616055668</v>
      </c>
    </row>
    <row r="2726" spans="1:10" outlineLevel="2">
      <c r="A2726" s="2459" t="s">
        <v>1669</v>
      </c>
      <c r="B2726" s="2459" t="s">
        <v>1655</v>
      </c>
      <c r="C2726" s="2459" t="s">
        <v>1672</v>
      </c>
      <c r="D2726" s="2460" t="s">
        <v>1671</v>
      </c>
      <c r="E2726" s="2461" t="s">
        <v>1573</v>
      </c>
      <c r="F2726" s="2461" t="s">
        <v>1587</v>
      </c>
      <c r="G2726" s="2461" t="s">
        <v>1409</v>
      </c>
      <c r="H2726" s="2461" t="s">
        <v>1070</v>
      </c>
      <c r="I2726" s="2462">
        <v>3.5527417460127722E-4</v>
      </c>
      <c r="J2726" s="2462">
        <v>16.749974871163669</v>
      </c>
    </row>
    <row r="2727" spans="1:10" outlineLevel="2">
      <c r="A2727" s="2459" t="s">
        <v>1669</v>
      </c>
      <c r="B2727" s="2459" t="s">
        <v>1655</v>
      </c>
      <c r="C2727" s="2459" t="s">
        <v>1672</v>
      </c>
      <c r="D2727" s="2460" t="s">
        <v>1671</v>
      </c>
      <c r="E2727" s="2461" t="s">
        <v>1573</v>
      </c>
      <c r="F2727" s="2461" t="s">
        <v>1588</v>
      </c>
      <c r="G2727" s="2461" t="s">
        <v>1409</v>
      </c>
      <c r="H2727" s="2461" t="s">
        <v>1070</v>
      </c>
      <c r="I2727" s="2462">
        <v>1.2586253226485799E-2</v>
      </c>
      <c r="J2727" s="2462">
        <v>751.98189129885213</v>
      </c>
    </row>
    <row r="2728" spans="1:10" outlineLevel="2">
      <c r="A2728" s="2459" t="s">
        <v>1669</v>
      </c>
      <c r="B2728" s="2459" t="s">
        <v>1655</v>
      </c>
      <c r="C2728" s="2459" t="s">
        <v>1672</v>
      </c>
      <c r="D2728" s="2460" t="s">
        <v>1671</v>
      </c>
      <c r="E2728" s="2461" t="s">
        <v>1573</v>
      </c>
      <c r="F2728" s="2461" t="s">
        <v>1589</v>
      </c>
      <c r="G2728" s="2461" t="s">
        <v>1409</v>
      </c>
      <c r="H2728" s="2461" t="s">
        <v>1070</v>
      </c>
      <c r="I2728" s="2462">
        <v>1.0820574766998636E-2</v>
      </c>
      <c r="J2728" s="2462">
        <v>818.5420656561854</v>
      </c>
    </row>
    <row r="2729" spans="1:10" outlineLevel="2">
      <c r="A2729" s="2459" t="s">
        <v>1669</v>
      </c>
      <c r="B2729" s="2459" t="s">
        <v>1655</v>
      </c>
      <c r="C2729" s="2459" t="s">
        <v>1672</v>
      </c>
      <c r="D2729" s="2460" t="s">
        <v>1671</v>
      </c>
      <c r="E2729" s="2461" t="s">
        <v>1573</v>
      </c>
      <c r="F2729" s="2461" t="s">
        <v>1590</v>
      </c>
      <c r="G2729" s="2461" t="s">
        <v>1409</v>
      </c>
      <c r="H2729" s="2461" t="s">
        <v>1070</v>
      </c>
      <c r="I2729" s="2462">
        <v>3.9506944677259605E-2</v>
      </c>
      <c r="J2729" s="2462">
        <v>2815.6686625600032</v>
      </c>
    </row>
    <row r="2730" spans="1:10" outlineLevel="2">
      <c r="A2730" s="2459" t="s">
        <v>1669</v>
      </c>
      <c r="B2730" s="2459" t="s">
        <v>1655</v>
      </c>
      <c r="C2730" s="2459" t="s">
        <v>1672</v>
      </c>
      <c r="D2730" s="2460" t="s">
        <v>1671</v>
      </c>
      <c r="E2730" s="2461" t="s">
        <v>1573</v>
      </c>
      <c r="F2730" s="2461" t="s">
        <v>1591</v>
      </c>
      <c r="G2730" s="2461" t="s">
        <v>1409</v>
      </c>
      <c r="H2730" s="2461" t="s">
        <v>1070</v>
      </c>
      <c r="I2730" s="2462">
        <v>2.7194651598719346E-3</v>
      </c>
      <c r="J2730" s="2462">
        <v>132.39768741590279</v>
      </c>
    </row>
    <row r="2731" spans="1:10" outlineLevel="2">
      <c r="A2731" s="2459" t="s">
        <v>1669</v>
      </c>
      <c r="B2731" s="2459" t="s">
        <v>1655</v>
      </c>
      <c r="C2731" s="2459" t="s">
        <v>1672</v>
      </c>
      <c r="D2731" s="2460" t="s">
        <v>1671</v>
      </c>
      <c r="E2731" s="2461" t="s">
        <v>1573</v>
      </c>
      <c r="F2731" s="2461" t="s">
        <v>1592</v>
      </c>
      <c r="G2731" s="2461" t="s">
        <v>1409</v>
      </c>
      <c r="H2731" s="2461" t="s">
        <v>1070</v>
      </c>
      <c r="I2731" s="2462">
        <v>2.2867210063267848E-2</v>
      </c>
      <c r="J2731" s="2462">
        <v>1053.1523092459167</v>
      </c>
    </row>
    <row r="2732" spans="1:10" outlineLevel="2">
      <c r="A2732" s="2459" t="s">
        <v>1669</v>
      </c>
      <c r="B2732" s="2459" t="s">
        <v>1655</v>
      </c>
      <c r="C2732" s="2459" t="s">
        <v>1672</v>
      </c>
      <c r="D2732" s="2460" t="s">
        <v>1671</v>
      </c>
      <c r="E2732" s="2461" t="s">
        <v>1573</v>
      </c>
      <c r="F2732" s="2461" t="s">
        <v>1593</v>
      </c>
      <c r="G2732" s="2461" t="s">
        <v>1409</v>
      </c>
      <c r="H2732" s="2461" t="s">
        <v>1070</v>
      </c>
      <c r="I2732" s="2462">
        <v>5.587160307987709E-2</v>
      </c>
      <c r="J2732" s="2462">
        <v>3580.5169714999979</v>
      </c>
    </row>
    <row r="2733" spans="1:10" outlineLevel="2">
      <c r="A2733" s="2459" t="s">
        <v>1669</v>
      </c>
      <c r="B2733" s="2459" t="s">
        <v>1655</v>
      </c>
      <c r="C2733" s="2459" t="s">
        <v>1672</v>
      </c>
      <c r="D2733" s="2460" t="s">
        <v>1671</v>
      </c>
      <c r="E2733" s="2461" t="s">
        <v>1573</v>
      </c>
      <c r="F2733" s="2461" t="s">
        <v>1594</v>
      </c>
      <c r="G2733" s="2461" t="s">
        <v>1409</v>
      </c>
      <c r="H2733" s="2461" t="s">
        <v>1070</v>
      </c>
      <c r="I2733" s="2462">
        <v>0.12237256855160261</v>
      </c>
      <c r="J2733" s="2462">
        <v>2402.0372879425017</v>
      </c>
    </row>
    <row r="2734" spans="1:10" outlineLevel="2">
      <c r="A2734" s="2459" t="s">
        <v>1669</v>
      </c>
      <c r="B2734" s="2459" t="s">
        <v>1655</v>
      </c>
      <c r="C2734" s="2459" t="s">
        <v>1672</v>
      </c>
      <c r="D2734" s="2460" t="s">
        <v>1671</v>
      </c>
      <c r="E2734" s="2461" t="s">
        <v>1573</v>
      </c>
      <c r="F2734" s="2461" t="s">
        <v>1595</v>
      </c>
      <c r="G2734" s="2461" t="s">
        <v>1409</v>
      </c>
      <c r="H2734" s="2461" t="s">
        <v>1070</v>
      </c>
      <c r="I2734" s="2462">
        <v>4.4993483478901801E-2</v>
      </c>
      <c r="J2734" s="2462">
        <v>3275.4153073526445</v>
      </c>
    </row>
    <row r="2735" spans="1:10" outlineLevel="2">
      <c r="A2735" s="2459" t="s">
        <v>1669</v>
      </c>
      <c r="B2735" s="2459" t="s">
        <v>1655</v>
      </c>
      <c r="C2735" s="2459" t="s">
        <v>1672</v>
      </c>
      <c r="D2735" s="2460" t="s">
        <v>1671</v>
      </c>
      <c r="E2735" s="2461" t="s">
        <v>1573</v>
      </c>
      <c r="F2735" s="2461" t="s">
        <v>1596</v>
      </c>
      <c r="G2735" s="2461" t="s">
        <v>1409</v>
      </c>
      <c r="H2735" s="2461" t="s">
        <v>1070</v>
      </c>
      <c r="I2735" s="2462">
        <v>8.1924400996443783E-2</v>
      </c>
      <c r="J2735" s="2462">
        <v>1885.4768747350292</v>
      </c>
    </row>
    <row r="2736" spans="1:10" outlineLevel="2">
      <c r="A2736" s="2459" t="s">
        <v>1669</v>
      </c>
      <c r="B2736" s="2459" t="s">
        <v>1655</v>
      </c>
      <c r="C2736" s="2459" t="s">
        <v>1672</v>
      </c>
      <c r="D2736" s="2460" t="s">
        <v>1671</v>
      </c>
      <c r="E2736" s="2461" t="s">
        <v>1573</v>
      </c>
      <c r="F2736" s="2461" t="s">
        <v>1597</v>
      </c>
      <c r="G2736" s="2461" t="s">
        <v>1409</v>
      </c>
      <c r="H2736" s="2461" t="s">
        <v>1070</v>
      </c>
      <c r="I2736" s="2462">
        <v>4.8091216617209137E-3</v>
      </c>
      <c r="J2736" s="2462">
        <v>351.45613035971229</v>
      </c>
    </row>
    <row r="2737" spans="1:10" outlineLevel="2">
      <c r="A2737" s="2459" t="s">
        <v>1669</v>
      </c>
      <c r="B2737" s="2459" t="s">
        <v>1655</v>
      </c>
      <c r="C2737" s="2459" t="s">
        <v>1672</v>
      </c>
      <c r="D2737" s="2460" t="s">
        <v>1671</v>
      </c>
      <c r="E2737" s="2461" t="s">
        <v>1573</v>
      </c>
      <c r="F2737" s="2461" t="s">
        <v>1598</v>
      </c>
      <c r="G2737" s="2461" t="s">
        <v>1409</v>
      </c>
      <c r="H2737" s="2461" t="s">
        <v>1070</v>
      </c>
      <c r="I2737" s="2462">
        <v>2.4978174805692199E-4</v>
      </c>
      <c r="J2737" s="2462">
        <v>5.7661031161065397</v>
      </c>
    </row>
    <row r="2738" spans="1:10" outlineLevel="2">
      <c r="A2738" s="2459" t="s">
        <v>1669</v>
      </c>
      <c r="B2738" s="2459" t="s">
        <v>1655</v>
      </c>
      <c r="C2738" s="2459" t="s">
        <v>1672</v>
      </c>
      <c r="D2738" s="2460" t="s">
        <v>1671</v>
      </c>
      <c r="E2738" s="2461" t="s">
        <v>1573</v>
      </c>
      <c r="F2738" s="2461" t="s">
        <v>1599</v>
      </c>
      <c r="G2738" s="2461" t="s">
        <v>1409</v>
      </c>
      <c r="H2738" s="2461" t="s">
        <v>1070</v>
      </c>
      <c r="I2738" s="2462">
        <v>6.8192697198786309E-3</v>
      </c>
      <c r="J2738" s="2462">
        <v>366.60320967199397</v>
      </c>
    </row>
    <row r="2739" spans="1:10" outlineLevel="2">
      <c r="A2739" s="2459" t="s">
        <v>1669</v>
      </c>
      <c r="B2739" s="2459" t="s">
        <v>1655</v>
      </c>
      <c r="C2739" s="2459" t="s">
        <v>1672</v>
      </c>
      <c r="D2739" s="2460" t="s">
        <v>1671</v>
      </c>
      <c r="E2739" s="2461" t="s">
        <v>1573</v>
      </c>
      <c r="F2739" s="2461" t="s">
        <v>1600</v>
      </c>
      <c r="G2739" s="2461" t="s">
        <v>1412</v>
      </c>
      <c r="H2739" s="2461" t="s">
        <v>1116</v>
      </c>
      <c r="I2739" s="2462">
        <v>6.0959338150124009E-3</v>
      </c>
      <c r="J2739" s="2462">
        <v>147.47683415875446</v>
      </c>
    </row>
    <row r="2740" spans="1:10" outlineLevel="2">
      <c r="A2740" s="2459" t="s">
        <v>1669</v>
      </c>
      <c r="B2740" s="2459" t="s">
        <v>1655</v>
      </c>
      <c r="C2740" s="2459" t="s">
        <v>1672</v>
      </c>
      <c r="D2740" s="2460" t="s">
        <v>1671</v>
      </c>
      <c r="E2740" s="2461" t="s">
        <v>1573</v>
      </c>
      <c r="F2740" s="2461" t="s">
        <v>1601</v>
      </c>
      <c r="G2740" s="2461" t="s">
        <v>1412</v>
      </c>
      <c r="H2740" s="2461" t="s">
        <v>1116</v>
      </c>
      <c r="I2740" s="2462">
        <v>3.0337210108802044E-2</v>
      </c>
      <c r="J2740" s="2462">
        <v>2139.5353673329155</v>
      </c>
    </row>
    <row r="2741" spans="1:10" outlineLevel="2">
      <c r="A2741" s="2459" t="s">
        <v>1669</v>
      </c>
      <c r="B2741" s="2459" t="s">
        <v>1655</v>
      </c>
      <c r="C2741" s="2459" t="s">
        <v>1672</v>
      </c>
      <c r="D2741" s="2460" t="s">
        <v>1671</v>
      </c>
      <c r="E2741" s="2461" t="s">
        <v>1573</v>
      </c>
      <c r="F2741" s="2461" t="s">
        <v>1602</v>
      </c>
      <c r="G2741" s="2461" t="s">
        <v>1412</v>
      </c>
      <c r="H2741" s="2461" t="s">
        <v>1116</v>
      </c>
      <c r="I2741" s="2462">
        <v>1.7821506244575323E-2</v>
      </c>
      <c r="J2741" s="2462">
        <v>934.50495478675271</v>
      </c>
    </row>
    <row r="2742" spans="1:10" outlineLevel="2">
      <c r="A2742" s="2459" t="s">
        <v>1669</v>
      </c>
      <c r="B2742" s="2459" t="s">
        <v>1655</v>
      </c>
      <c r="C2742" s="2459" t="s">
        <v>1672</v>
      </c>
      <c r="D2742" s="2460" t="s">
        <v>1671</v>
      </c>
      <c r="E2742" s="2461" t="s">
        <v>1573</v>
      </c>
      <c r="F2742" s="2461" t="s">
        <v>1603</v>
      </c>
      <c r="G2742" s="2461" t="s">
        <v>1412</v>
      </c>
      <c r="H2742" s="2461" t="s">
        <v>1116</v>
      </c>
      <c r="I2742" s="2462">
        <v>2.109490593781245E-2</v>
      </c>
      <c r="J2742" s="2462">
        <v>947.62442837771005</v>
      </c>
    </row>
    <row r="2743" spans="1:10" outlineLevel="2">
      <c r="A2743" s="2459" t="s">
        <v>1669</v>
      </c>
      <c r="B2743" s="2459" t="s">
        <v>1655</v>
      </c>
      <c r="C2743" s="2459" t="s">
        <v>1672</v>
      </c>
      <c r="D2743" s="2460" t="s">
        <v>1671</v>
      </c>
      <c r="E2743" s="2461" t="s">
        <v>1573</v>
      </c>
      <c r="F2743" s="2461" t="s">
        <v>1604</v>
      </c>
      <c r="G2743" s="2461" t="s">
        <v>1412</v>
      </c>
      <c r="H2743" s="2461" t="s">
        <v>1116</v>
      </c>
      <c r="I2743" s="2462">
        <v>1.3360549619317768E-3</v>
      </c>
      <c r="J2743" s="2462">
        <v>36.546236538759523</v>
      </c>
    </row>
    <row r="2744" spans="1:10" outlineLevel="2">
      <c r="A2744" s="2459" t="s">
        <v>1669</v>
      </c>
      <c r="B2744" s="2459" t="s">
        <v>1655</v>
      </c>
      <c r="C2744" s="2459" t="s">
        <v>1672</v>
      </c>
      <c r="D2744" s="2460" t="s">
        <v>1671</v>
      </c>
      <c r="E2744" s="2461" t="s">
        <v>1573</v>
      </c>
      <c r="F2744" s="2461" t="s">
        <v>1605</v>
      </c>
      <c r="G2744" s="2461" t="s">
        <v>1412</v>
      </c>
      <c r="H2744" s="2461" t="s">
        <v>1116</v>
      </c>
      <c r="I2744" s="2462">
        <v>0.13922626793658097</v>
      </c>
      <c r="J2744" s="2462">
        <v>4575.8654761342259</v>
      </c>
    </row>
    <row r="2745" spans="1:10" outlineLevel="2">
      <c r="A2745" s="2459" t="s">
        <v>1669</v>
      </c>
      <c r="B2745" s="2459" t="s">
        <v>1655</v>
      </c>
      <c r="C2745" s="2459" t="s">
        <v>1672</v>
      </c>
      <c r="D2745" s="2460" t="s">
        <v>1671</v>
      </c>
      <c r="E2745" s="2461" t="s">
        <v>1573</v>
      </c>
      <c r="F2745" s="2461" t="s">
        <v>1606</v>
      </c>
      <c r="G2745" s="2461" t="s">
        <v>1412</v>
      </c>
      <c r="H2745" s="2461" t="s">
        <v>1116</v>
      </c>
      <c r="I2745" s="2462">
        <v>1.6634020799234456E-2</v>
      </c>
      <c r="J2745" s="2462">
        <v>1348.4720375979919</v>
      </c>
    </row>
    <row r="2746" spans="1:10" outlineLevel="2">
      <c r="A2746" s="2459" t="s">
        <v>1669</v>
      </c>
      <c r="B2746" s="2459" t="s">
        <v>1655</v>
      </c>
      <c r="C2746" s="2459" t="s">
        <v>1672</v>
      </c>
      <c r="D2746" s="2460" t="s">
        <v>1671</v>
      </c>
      <c r="E2746" s="2461" t="s">
        <v>1573</v>
      </c>
      <c r="F2746" s="2461" t="s">
        <v>1607</v>
      </c>
      <c r="G2746" s="2461" t="s">
        <v>1439</v>
      </c>
      <c r="H2746" s="2461" t="s">
        <v>1440</v>
      </c>
      <c r="I2746" s="2462">
        <v>1.4643296865404331E-5</v>
      </c>
      <c r="J2746" s="2462">
        <v>0.36701787442975436</v>
      </c>
    </row>
    <row r="2747" spans="1:10" outlineLevel="2">
      <c r="A2747" s="2459" t="s">
        <v>1669</v>
      </c>
      <c r="B2747" s="2459" t="s">
        <v>1655</v>
      </c>
      <c r="C2747" s="2459" t="s">
        <v>1672</v>
      </c>
      <c r="D2747" s="2460" t="s">
        <v>1671</v>
      </c>
      <c r="E2747" s="2461" t="s">
        <v>1573</v>
      </c>
      <c r="F2747" s="2461" t="s">
        <v>1608</v>
      </c>
      <c r="G2747" s="2461" t="s">
        <v>1439</v>
      </c>
      <c r="H2747" s="2461" t="s">
        <v>1440</v>
      </c>
      <c r="I2747" s="2462">
        <v>1.7210224737932728E-3</v>
      </c>
      <c r="J2747" s="2462">
        <v>96.404638783394844</v>
      </c>
    </row>
    <row r="2748" spans="1:10" outlineLevel="2">
      <c r="A2748" s="2459" t="s">
        <v>1669</v>
      </c>
      <c r="B2748" s="2459" t="s">
        <v>1655</v>
      </c>
      <c r="C2748" s="2459" t="s">
        <v>1672</v>
      </c>
      <c r="D2748" s="2460" t="s">
        <v>1671</v>
      </c>
      <c r="E2748" s="2461" t="s">
        <v>1573</v>
      </c>
      <c r="F2748" s="2461" t="s">
        <v>1609</v>
      </c>
      <c r="G2748" s="2461" t="s">
        <v>1439</v>
      </c>
      <c r="H2748" s="2461" t="s">
        <v>1440</v>
      </c>
      <c r="I2748" s="2462">
        <v>0.11580862766206722</v>
      </c>
      <c r="J2748" s="2462">
        <v>2572.7047647932409</v>
      </c>
    </row>
    <row r="2749" spans="1:10" outlineLevel="2">
      <c r="A2749" s="2459" t="s">
        <v>1669</v>
      </c>
      <c r="B2749" s="2459" t="s">
        <v>1655</v>
      </c>
      <c r="C2749" s="2459" t="s">
        <v>1672</v>
      </c>
      <c r="D2749" s="2460" t="s">
        <v>1671</v>
      </c>
      <c r="E2749" s="2461" t="s">
        <v>1573</v>
      </c>
      <c r="F2749" s="2461" t="s">
        <v>1610</v>
      </c>
      <c r="G2749" s="2461" t="s">
        <v>1439</v>
      </c>
      <c r="H2749" s="2461" t="s">
        <v>1440</v>
      </c>
      <c r="I2749" s="2462">
        <v>3.0455602730320774E-2</v>
      </c>
      <c r="J2749" s="2462">
        <v>531.08824062680378</v>
      </c>
    </row>
    <row r="2750" spans="1:10" outlineLevel="2">
      <c r="A2750" s="2459" t="s">
        <v>1669</v>
      </c>
      <c r="B2750" s="2459" t="s">
        <v>1655</v>
      </c>
      <c r="C2750" s="2459" t="s">
        <v>1672</v>
      </c>
      <c r="D2750" s="2460" t="s">
        <v>1671</v>
      </c>
      <c r="E2750" s="2461" t="s">
        <v>1573</v>
      </c>
      <c r="F2750" s="2461" t="s">
        <v>1611</v>
      </c>
      <c r="G2750" s="2461" t="s">
        <v>1439</v>
      </c>
      <c r="H2750" s="2461" t="s">
        <v>1440</v>
      </c>
      <c r="I2750" s="2462">
        <v>7.1985122424048933E-2</v>
      </c>
      <c r="J2750" s="2462">
        <v>3507.1093369225873</v>
      </c>
    </row>
    <row r="2751" spans="1:10" outlineLevel="2">
      <c r="A2751" s="2459" t="s">
        <v>1669</v>
      </c>
      <c r="B2751" s="2459" t="s">
        <v>1655</v>
      </c>
      <c r="C2751" s="2459" t="s">
        <v>1672</v>
      </c>
      <c r="D2751" s="2460" t="s">
        <v>1671</v>
      </c>
      <c r="E2751" s="2461" t="s">
        <v>1573</v>
      </c>
      <c r="F2751" s="2461" t="s">
        <v>1612</v>
      </c>
      <c r="G2751" s="2461" t="s">
        <v>1439</v>
      </c>
      <c r="H2751" s="2461" t="s">
        <v>1440</v>
      </c>
      <c r="I2751" s="2462">
        <v>1.2345140423314287E-2</v>
      </c>
      <c r="J2751" s="2462">
        <v>413.22579940812932</v>
      </c>
    </row>
    <row r="2752" spans="1:10" outlineLevel="2">
      <c r="A2752" s="2459" t="s">
        <v>1669</v>
      </c>
      <c r="B2752" s="2459" t="s">
        <v>1655</v>
      </c>
      <c r="C2752" s="2459" t="s">
        <v>1672</v>
      </c>
      <c r="D2752" s="2460" t="s">
        <v>1671</v>
      </c>
      <c r="E2752" s="2461" t="s">
        <v>1573</v>
      </c>
      <c r="F2752" s="2461" t="s">
        <v>1613</v>
      </c>
      <c r="G2752" s="2461" t="s">
        <v>1439</v>
      </c>
      <c r="H2752" s="2461" t="s">
        <v>1440</v>
      </c>
      <c r="I2752" s="2462">
        <v>3.4708192456459145E-4</v>
      </c>
      <c r="J2752" s="2462">
        <v>10.492709744599612</v>
      </c>
    </row>
    <row r="2753" spans="1:10" outlineLevel="2">
      <c r="A2753" s="2459" t="s">
        <v>1669</v>
      </c>
      <c r="B2753" s="2459" t="s">
        <v>1655</v>
      </c>
      <c r="C2753" s="2459" t="s">
        <v>1672</v>
      </c>
      <c r="D2753" s="2460" t="s">
        <v>1671</v>
      </c>
      <c r="E2753" s="2461" t="s">
        <v>1573</v>
      </c>
      <c r="F2753" s="2461" t="s">
        <v>1614</v>
      </c>
      <c r="G2753" s="2461" t="s">
        <v>1418</v>
      </c>
      <c r="H2753" s="2461" t="s">
        <v>1452</v>
      </c>
      <c r="I2753" s="2462">
        <v>3.2463163581494094E-6</v>
      </c>
      <c r="J2753" s="2462">
        <v>2.7747579420887951E-2</v>
      </c>
    </row>
    <row r="2754" spans="1:10" outlineLevel="2">
      <c r="A2754" s="2459" t="s">
        <v>1669</v>
      </c>
      <c r="B2754" s="2459" t="s">
        <v>1655</v>
      </c>
      <c r="C2754" s="2459" t="s">
        <v>1672</v>
      </c>
      <c r="D2754" s="2460" t="s">
        <v>1671</v>
      </c>
      <c r="E2754" s="2461" t="s">
        <v>1573</v>
      </c>
      <c r="F2754" s="2461" t="s">
        <v>1615</v>
      </c>
      <c r="G2754" s="2461" t="s">
        <v>1418</v>
      </c>
      <c r="H2754" s="2461" t="s">
        <v>1452</v>
      </c>
      <c r="I2754" s="2462">
        <v>1.9637057172713249E-2</v>
      </c>
      <c r="J2754" s="2462">
        <v>1152.1400599542308</v>
      </c>
    </row>
    <row r="2755" spans="1:10" outlineLevel="2">
      <c r="A2755" s="2459" t="s">
        <v>1669</v>
      </c>
      <c r="B2755" s="2459" t="s">
        <v>1655</v>
      </c>
      <c r="C2755" s="2459" t="s">
        <v>1672</v>
      </c>
      <c r="D2755" s="2460" t="s">
        <v>1671</v>
      </c>
      <c r="E2755" s="2461" t="s">
        <v>1573</v>
      </c>
      <c r="F2755" s="2461" t="s">
        <v>1616</v>
      </c>
      <c r="G2755" s="2461" t="s">
        <v>1418</v>
      </c>
      <c r="H2755" s="2461" t="s">
        <v>1452</v>
      </c>
      <c r="I2755" s="2462">
        <v>9.3725679089138984E-4</v>
      </c>
      <c r="J2755" s="2462">
        <v>103.29917522140009</v>
      </c>
    </row>
    <row r="2756" spans="1:10" outlineLevel="2">
      <c r="A2756" s="2459" t="s">
        <v>1669</v>
      </c>
      <c r="B2756" s="2459" t="s">
        <v>1655</v>
      </c>
      <c r="C2756" s="2459" t="s">
        <v>1672</v>
      </c>
      <c r="D2756" s="2460" t="s">
        <v>1671</v>
      </c>
      <c r="E2756" s="2461" t="s">
        <v>1573</v>
      </c>
      <c r="F2756" s="2461" t="s">
        <v>1617</v>
      </c>
      <c r="G2756" s="2461" t="s">
        <v>1418</v>
      </c>
      <c r="H2756" s="2461" t="s">
        <v>1452</v>
      </c>
      <c r="I2756" s="2462">
        <v>7.4447000095601467E-6</v>
      </c>
      <c r="J2756" s="2462">
        <v>0.57176826085585686</v>
      </c>
    </row>
    <row r="2757" spans="1:10" outlineLevel="2">
      <c r="A2757" s="2459" t="s">
        <v>1669</v>
      </c>
      <c r="B2757" s="2459" t="s">
        <v>1655</v>
      </c>
      <c r="C2757" s="2459" t="s">
        <v>1672</v>
      </c>
      <c r="D2757" s="2460" t="s">
        <v>1671</v>
      </c>
      <c r="E2757" s="2461" t="s">
        <v>1573</v>
      </c>
      <c r="F2757" s="2461" t="s">
        <v>1618</v>
      </c>
      <c r="G2757" s="2461" t="s">
        <v>1418</v>
      </c>
      <c r="H2757" s="2461" t="s">
        <v>1452</v>
      </c>
      <c r="I2757" s="2462">
        <v>1.4512375972274056E-6</v>
      </c>
      <c r="J2757" s="2462">
        <v>0.12011107268976248</v>
      </c>
    </row>
    <row r="2758" spans="1:10" outlineLevel="2">
      <c r="A2758" s="2459" t="s">
        <v>1669</v>
      </c>
      <c r="B2758" s="2459" t="s">
        <v>1655</v>
      </c>
      <c r="C2758" s="2459" t="s">
        <v>1672</v>
      </c>
      <c r="D2758" s="2460" t="s">
        <v>1671</v>
      </c>
      <c r="E2758" s="2461" t="s">
        <v>1573</v>
      </c>
      <c r="F2758" s="2461" t="s">
        <v>1619</v>
      </c>
      <c r="G2758" s="2461" t="s">
        <v>1418</v>
      </c>
      <c r="H2758" s="2461" t="s">
        <v>1452</v>
      </c>
      <c r="I2758" s="2462">
        <v>9.5273588166017512E-5</v>
      </c>
      <c r="J2758" s="2462">
        <v>8.7602207743683635</v>
      </c>
    </row>
    <row r="2759" spans="1:10" outlineLevel="2">
      <c r="A2759" s="2459" t="s">
        <v>1669</v>
      </c>
      <c r="B2759" s="2459" t="s">
        <v>1655</v>
      </c>
      <c r="C2759" s="2459" t="s">
        <v>1672</v>
      </c>
      <c r="D2759" s="2460" t="s">
        <v>1671</v>
      </c>
      <c r="E2759" s="2461" t="s">
        <v>1573</v>
      </c>
      <c r="F2759" s="2461" t="s">
        <v>1620</v>
      </c>
      <c r="G2759" s="2461" t="s">
        <v>1418</v>
      </c>
      <c r="H2759" s="2461" t="s">
        <v>1452</v>
      </c>
      <c r="I2759" s="2462">
        <v>2.0143278162087441E-7</v>
      </c>
      <c r="J2759" s="2462">
        <v>2.423683360109594E-2</v>
      </c>
    </row>
    <row r="2760" spans="1:10" outlineLevel="2">
      <c r="A2760" s="2459" t="s">
        <v>1669</v>
      </c>
      <c r="B2760" s="2459" t="s">
        <v>1655</v>
      </c>
      <c r="C2760" s="2459" t="s">
        <v>1672</v>
      </c>
      <c r="D2760" s="2460" t="s">
        <v>1671</v>
      </c>
      <c r="E2760" s="2461" t="s">
        <v>1573</v>
      </c>
      <c r="F2760" s="2461" t="s">
        <v>1621</v>
      </c>
      <c r="G2760" s="2461" t="s">
        <v>1418</v>
      </c>
      <c r="H2760" s="2461" t="s">
        <v>1452</v>
      </c>
      <c r="I2760" s="2462">
        <v>8.5752205831741762E-5</v>
      </c>
      <c r="J2760" s="2462">
        <v>8.0999805010438077</v>
      </c>
    </row>
    <row r="2761" spans="1:10" outlineLevel="2">
      <c r="A2761" s="2459" t="s">
        <v>1669</v>
      </c>
      <c r="B2761" s="2459" t="s">
        <v>1655</v>
      </c>
      <c r="C2761" s="2459" t="s">
        <v>1672</v>
      </c>
      <c r="D2761" s="2460" t="s">
        <v>1671</v>
      </c>
      <c r="E2761" s="2461" t="s">
        <v>1573</v>
      </c>
      <c r="F2761" s="2461" t="s">
        <v>1622</v>
      </c>
      <c r="G2761" s="2461" t="s">
        <v>1418</v>
      </c>
      <c r="H2761" s="2461" t="s">
        <v>1452</v>
      </c>
      <c r="I2761" s="2462">
        <v>2.5354163209831415E-4</v>
      </c>
      <c r="J2761" s="2462">
        <v>22.540922059954855</v>
      </c>
    </row>
    <row r="2762" spans="1:10" outlineLevel="2">
      <c r="A2762" s="2459" t="s">
        <v>1669</v>
      </c>
      <c r="B2762" s="2459" t="s">
        <v>1655</v>
      </c>
      <c r="C2762" s="2459" t="s">
        <v>1672</v>
      </c>
      <c r="D2762" s="2460" t="s">
        <v>1671</v>
      </c>
      <c r="E2762" s="2461" t="s">
        <v>1573</v>
      </c>
      <c r="F2762" s="2461" t="s">
        <v>1623</v>
      </c>
      <c r="G2762" s="2461" t="s">
        <v>1418</v>
      </c>
      <c r="H2762" s="2461" t="s">
        <v>1452</v>
      </c>
      <c r="I2762" s="2462">
        <v>3.8452593625011339E-4</v>
      </c>
      <c r="J2762" s="2462">
        <v>16.621036102568606</v>
      </c>
    </row>
    <row r="2763" spans="1:10" outlineLevel="2">
      <c r="A2763" s="2459" t="s">
        <v>1669</v>
      </c>
      <c r="B2763" s="2459" t="s">
        <v>1655</v>
      </c>
      <c r="C2763" s="2459" t="s">
        <v>1672</v>
      </c>
      <c r="D2763" s="2460" t="s">
        <v>1671</v>
      </c>
      <c r="E2763" s="2461" t="s">
        <v>1573</v>
      </c>
      <c r="F2763" s="2461" t="s">
        <v>1624</v>
      </c>
      <c r="G2763" s="2461" t="s">
        <v>1421</v>
      </c>
      <c r="H2763" s="2461" t="s">
        <v>1454</v>
      </c>
      <c r="I2763" s="2462">
        <v>0.10749201216116724</v>
      </c>
      <c r="J2763" s="2462">
        <v>3930.6569203526178</v>
      </c>
    </row>
    <row r="2764" spans="1:10" outlineLevel="2">
      <c r="A2764" s="2459" t="s">
        <v>1669</v>
      </c>
      <c r="B2764" s="2459" t="s">
        <v>1655</v>
      </c>
      <c r="C2764" s="2459" t="s">
        <v>1672</v>
      </c>
      <c r="D2764" s="2460" t="s">
        <v>1671</v>
      </c>
      <c r="E2764" s="2461" t="s">
        <v>1573</v>
      </c>
      <c r="F2764" s="2461" t="s">
        <v>1625</v>
      </c>
      <c r="G2764" s="2461" t="s">
        <v>1421</v>
      </c>
      <c r="H2764" s="2461" t="s">
        <v>1454</v>
      </c>
      <c r="I2764" s="2462">
        <v>2.5349919996912294E-2</v>
      </c>
      <c r="J2764" s="2462">
        <v>927.70683049143486</v>
      </c>
    </row>
    <row r="2765" spans="1:10" outlineLevel="2">
      <c r="A2765" s="2459" t="s">
        <v>1669</v>
      </c>
      <c r="B2765" s="2459" t="s">
        <v>1655</v>
      </c>
      <c r="C2765" s="2459" t="s">
        <v>1672</v>
      </c>
      <c r="D2765" s="2460" t="s">
        <v>1671</v>
      </c>
      <c r="E2765" s="2461" t="s">
        <v>1573</v>
      </c>
      <c r="F2765" s="2461" t="s">
        <v>1626</v>
      </c>
      <c r="G2765" s="2461" t="s">
        <v>1421</v>
      </c>
      <c r="H2765" s="2461" t="s">
        <v>1454</v>
      </c>
      <c r="I2765" s="2462">
        <v>7.114654850217908E-2</v>
      </c>
      <c r="J2765" s="2462">
        <v>2573.8094444667613</v>
      </c>
    </row>
    <row r="2766" spans="1:10" outlineLevel="2">
      <c r="A2766" s="2459" t="s">
        <v>1669</v>
      </c>
      <c r="B2766" s="2459" t="s">
        <v>1655</v>
      </c>
      <c r="C2766" s="2459" t="s">
        <v>1672</v>
      </c>
      <c r="D2766" s="2460" t="s">
        <v>1671</v>
      </c>
      <c r="E2766" s="2461" t="s">
        <v>1573</v>
      </c>
      <c r="F2766" s="2461" t="s">
        <v>1627</v>
      </c>
      <c r="G2766" s="2461" t="s">
        <v>1421</v>
      </c>
      <c r="H2766" s="2461" t="s">
        <v>1454</v>
      </c>
      <c r="I2766" s="2462">
        <v>6.0077355095100961E-2</v>
      </c>
      <c r="J2766" s="2462">
        <v>1306.801626555831</v>
      </c>
    </row>
    <row r="2767" spans="1:10" outlineLevel="2">
      <c r="A2767" s="2459" t="s">
        <v>1669</v>
      </c>
      <c r="B2767" s="2459" t="s">
        <v>1655</v>
      </c>
      <c r="C2767" s="2459" t="s">
        <v>1672</v>
      </c>
      <c r="D2767" s="2460" t="s">
        <v>1671</v>
      </c>
      <c r="E2767" s="2461" t="s">
        <v>1573</v>
      </c>
      <c r="F2767" s="2461" t="s">
        <v>1628</v>
      </c>
      <c r="G2767" s="2461" t="s">
        <v>1421</v>
      </c>
      <c r="H2767" s="2461" t="s">
        <v>1454</v>
      </c>
      <c r="I2767" s="2462">
        <v>2.9885113473512768E-3</v>
      </c>
      <c r="J2767" s="2462">
        <v>125.681536808096</v>
      </c>
    </row>
    <row r="2768" spans="1:10" outlineLevel="2">
      <c r="A2768" s="2459" t="s">
        <v>1669</v>
      </c>
      <c r="B2768" s="2459" t="s">
        <v>1655</v>
      </c>
      <c r="C2768" s="2459" t="s">
        <v>1672</v>
      </c>
      <c r="D2768" s="2460" t="s">
        <v>1671</v>
      </c>
      <c r="E2768" s="2461" t="s">
        <v>1573</v>
      </c>
      <c r="F2768" s="2461" t="s">
        <v>1629</v>
      </c>
      <c r="G2768" s="2461" t="s">
        <v>1421</v>
      </c>
      <c r="H2768" s="2461" t="s">
        <v>1454</v>
      </c>
      <c r="I2768" s="2462">
        <v>3.4573665535095445E-3</v>
      </c>
      <c r="J2768" s="2462">
        <v>111.2382291795069</v>
      </c>
    </row>
    <row r="2769" spans="1:10" outlineLevel="2">
      <c r="A2769" s="2459" t="s">
        <v>1669</v>
      </c>
      <c r="B2769" s="2459" t="s">
        <v>1655</v>
      </c>
      <c r="C2769" s="2459" t="s">
        <v>1672</v>
      </c>
      <c r="D2769" s="2460" t="s">
        <v>1671</v>
      </c>
      <c r="E2769" s="2461" t="s">
        <v>1573</v>
      </c>
      <c r="F2769" s="2461" t="s">
        <v>1630</v>
      </c>
      <c r="G2769" s="2461" t="s">
        <v>1459</v>
      </c>
      <c r="H2769" s="2461" t="s">
        <v>1460</v>
      </c>
      <c r="I2769" s="2462">
        <v>2.256078536684279E-3</v>
      </c>
      <c r="J2769" s="2462">
        <v>147.85856073512448</v>
      </c>
    </row>
    <row r="2770" spans="1:10" outlineLevel="2">
      <c r="A2770" s="2459" t="s">
        <v>1669</v>
      </c>
      <c r="B2770" s="2459" t="s">
        <v>1655</v>
      </c>
      <c r="C2770" s="2459" t="s">
        <v>1672</v>
      </c>
      <c r="D2770" s="2460" t="s">
        <v>1671</v>
      </c>
      <c r="E2770" s="2461" t="s">
        <v>1573</v>
      </c>
      <c r="F2770" s="2461" t="s">
        <v>1643</v>
      </c>
      <c r="G2770" s="2461" t="s">
        <v>1412</v>
      </c>
      <c r="H2770" s="2461" t="s">
        <v>1116</v>
      </c>
      <c r="I2770" s="2462">
        <v>1.6779805988750959E-3</v>
      </c>
      <c r="J2770" s="2462">
        <v>53.304081073667803</v>
      </c>
    </row>
    <row r="2771" spans="1:10" outlineLevel="2">
      <c r="A2771" s="2459" t="s">
        <v>1669</v>
      </c>
      <c r="B2771" s="2459" t="s">
        <v>1655</v>
      </c>
      <c r="C2771" s="2459" t="s">
        <v>1672</v>
      </c>
      <c r="D2771" s="2460" t="s">
        <v>1671</v>
      </c>
      <c r="E2771" s="2461" t="s">
        <v>1573</v>
      </c>
      <c r="F2771" s="2461" t="s">
        <v>1633</v>
      </c>
      <c r="G2771" s="2461" t="s">
        <v>215</v>
      </c>
      <c r="H2771" s="2461" t="s">
        <v>1537</v>
      </c>
      <c r="I2771" s="2462">
        <v>7.198739745045645E-3</v>
      </c>
      <c r="J2771" s="2462">
        <v>160.49002390020124</v>
      </c>
    </row>
    <row r="2772" spans="1:10" outlineLevel="2">
      <c r="A2772" s="2459" t="s">
        <v>1669</v>
      </c>
      <c r="B2772" s="2459" t="s">
        <v>1656</v>
      </c>
      <c r="C2772" s="2459" t="s">
        <v>1675</v>
      </c>
      <c r="D2772" s="2460" t="s">
        <v>1671</v>
      </c>
      <c r="E2772" s="2461" t="s">
        <v>1407</v>
      </c>
      <c r="F2772" s="2461" t="s">
        <v>1408</v>
      </c>
      <c r="G2772" s="2461" t="s">
        <v>1409</v>
      </c>
      <c r="H2772" s="2461" t="s">
        <v>1410</v>
      </c>
      <c r="I2772" s="2462">
        <v>1.3587907479171654E-3</v>
      </c>
      <c r="J2772" s="2462">
        <v>1.99881255646783E-2</v>
      </c>
    </row>
    <row r="2773" spans="1:10" outlineLevel="2">
      <c r="A2773" s="2459" t="s">
        <v>1669</v>
      </c>
      <c r="B2773" s="2459" t="s">
        <v>1656</v>
      </c>
      <c r="C2773" s="2459" t="s">
        <v>1675</v>
      </c>
      <c r="D2773" s="2460" t="s">
        <v>1671</v>
      </c>
      <c r="E2773" s="2461" t="s">
        <v>1407</v>
      </c>
      <c r="F2773" s="2461" t="s">
        <v>1411</v>
      </c>
      <c r="G2773" s="2461" t="s">
        <v>1412</v>
      </c>
      <c r="H2773" s="2461" t="s">
        <v>1410</v>
      </c>
      <c r="I2773" s="2462">
        <v>0.38200524468536434</v>
      </c>
      <c r="J2773" s="2462">
        <v>62.035369039155135</v>
      </c>
    </row>
    <row r="2774" spans="1:10" outlineLevel="2">
      <c r="A2774" s="2459" t="s">
        <v>1669</v>
      </c>
      <c r="B2774" s="2459" t="s">
        <v>1656</v>
      </c>
      <c r="C2774" s="2459" t="s">
        <v>1675</v>
      </c>
      <c r="D2774" s="2460" t="s">
        <v>1671</v>
      </c>
      <c r="E2774" s="2461" t="s">
        <v>1407</v>
      </c>
      <c r="F2774" s="2461" t="s">
        <v>1413</v>
      </c>
      <c r="G2774" s="2461" t="s">
        <v>1412</v>
      </c>
      <c r="H2774" s="2461" t="s">
        <v>1410</v>
      </c>
      <c r="I2774" s="2462">
        <v>3.1022605768709027E-4</v>
      </c>
      <c r="J2774" s="2462">
        <v>5.2554953914879778E-2</v>
      </c>
    </row>
    <row r="2775" spans="1:10" outlineLevel="2">
      <c r="A2775" s="2459" t="s">
        <v>1669</v>
      </c>
      <c r="B2775" s="2459" t="s">
        <v>1656</v>
      </c>
      <c r="C2775" s="2459" t="s">
        <v>1675</v>
      </c>
      <c r="D2775" s="2460" t="s">
        <v>1671</v>
      </c>
      <c r="E2775" s="2461" t="s">
        <v>1407</v>
      </c>
      <c r="F2775" s="2461" t="s">
        <v>1414</v>
      </c>
      <c r="G2775" s="2461" t="s">
        <v>1412</v>
      </c>
      <c r="H2775" s="2461" t="s">
        <v>1410</v>
      </c>
      <c r="I2775" s="2462">
        <v>1.5589685620196264E-4</v>
      </c>
      <c r="J2775" s="2462">
        <v>2.8638884363889151E-2</v>
      </c>
    </row>
    <row r="2776" spans="1:10" outlineLevel="2">
      <c r="A2776" s="2459" t="s">
        <v>1669</v>
      </c>
      <c r="B2776" s="2459" t="s">
        <v>1656</v>
      </c>
      <c r="C2776" s="2459" t="s">
        <v>1675</v>
      </c>
      <c r="D2776" s="2460" t="s">
        <v>1671</v>
      </c>
      <c r="E2776" s="2461" t="s">
        <v>1407</v>
      </c>
      <c r="F2776" s="2461" t="s">
        <v>1415</v>
      </c>
      <c r="G2776" s="2461" t="s">
        <v>1412</v>
      </c>
      <c r="H2776" s="2461" t="s">
        <v>1410</v>
      </c>
      <c r="I2776" s="2462">
        <v>8.2258131057246007E-4</v>
      </c>
      <c r="J2776" s="2462">
        <v>0.13102985080709939</v>
      </c>
    </row>
    <row r="2777" spans="1:10" outlineLevel="2">
      <c r="A2777" s="2459" t="s">
        <v>1669</v>
      </c>
      <c r="B2777" s="2459" t="s">
        <v>1656</v>
      </c>
      <c r="C2777" s="2459" t="s">
        <v>1675</v>
      </c>
      <c r="D2777" s="2460" t="s">
        <v>1671</v>
      </c>
      <c r="E2777" s="2461" t="s">
        <v>1407</v>
      </c>
      <c r="F2777" s="2461" t="s">
        <v>1416</v>
      </c>
      <c r="G2777" s="2461" t="s">
        <v>1412</v>
      </c>
      <c r="H2777" s="2461" t="s">
        <v>1410</v>
      </c>
      <c r="I2777" s="2462">
        <v>1.4269608610470526E-3</v>
      </c>
      <c r="J2777" s="2462">
        <v>0.3510203317480014</v>
      </c>
    </row>
    <row r="2778" spans="1:10" outlineLevel="2">
      <c r="A2778" s="2459" t="s">
        <v>1669</v>
      </c>
      <c r="B2778" s="2459" t="s">
        <v>1656</v>
      </c>
      <c r="C2778" s="2459" t="s">
        <v>1675</v>
      </c>
      <c r="D2778" s="2460" t="s">
        <v>1671</v>
      </c>
      <c r="E2778" s="2461" t="s">
        <v>1407</v>
      </c>
      <c r="F2778" s="2461" t="s">
        <v>1417</v>
      </c>
      <c r="G2778" s="2461" t="s">
        <v>1418</v>
      </c>
      <c r="H2778" s="2461" t="s">
        <v>1410</v>
      </c>
      <c r="I2778" s="2462">
        <v>8.254500280080403E-3</v>
      </c>
      <c r="J2778" s="2462">
        <v>0.1096437378045013</v>
      </c>
    </row>
    <row r="2779" spans="1:10" outlineLevel="2">
      <c r="A2779" s="2459" t="s">
        <v>1669</v>
      </c>
      <c r="B2779" s="2459" t="s">
        <v>1656</v>
      </c>
      <c r="C2779" s="2459" t="s">
        <v>1675</v>
      </c>
      <c r="D2779" s="2460" t="s">
        <v>1671</v>
      </c>
      <c r="E2779" s="2461" t="s">
        <v>1407</v>
      </c>
      <c r="F2779" s="2461" t="s">
        <v>1419</v>
      </c>
      <c r="G2779" s="2461" t="s">
        <v>1418</v>
      </c>
      <c r="H2779" s="2461" t="s">
        <v>1410</v>
      </c>
      <c r="I2779" s="2462">
        <v>6.1271813305757886E-2</v>
      </c>
      <c r="J2779" s="2462">
        <v>11.899575100895369</v>
      </c>
    </row>
    <row r="2780" spans="1:10" outlineLevel="2">
      <c r="A2780" s="2459" t="s">
        <v>1669</v>
      </c>
      <c r="B2780" s="2459" t="s">
        <v>1656</v>
      </c>
      <c r="C2780" s="2459" t="s">
        <v>1675</v>
      </c>
      <c r="D2780" s="2460" t="s">
        <v>1671</v>
      </c>
      <c r="E2780" s="2461" t="s">
        <v>1407</v>
      </c>
      <c r="F2780" s="2461" t="s">
        <v>1420</v>
      </c>
      <c r="G2780" s="2461" t="s">
        <v>1421</v>
      </c>
      <c r="H2780" s="2461" t="s">
        <v>1410</v>
      </c>
      <c r="I2780" s="2462">
        <v>0.31057470003243592</v>
      </c>
      <c r="J2780" s="2462">
        <v>8.0602397111289399</v>
      </c>
    </row>
    <row r="2781" spans="1:10" outlineLevel="2">
      <c r="A2781" s="2459" t="s">
        <v>1669</v>
      </c>
      <c r="B2781" s="2459" t="s">
        <v>1656</v>
      </c>
      <c r="C2781" s="2459" t="s">
        <v>1675</v>
      </c>
      <c r="D2781" s="2460" t="s">
        <v>1671</v>
      </c>
      <c r="E2781" s="2461" t="s">
        <v>1407</v>
      </c>
      <c r="F2781" s="2461" t="s">
        <v>1422</v>
      </c>
      <c r="G2781" s="2461" t="s">
        <v>1421</v>
      </c>
      <c r="H2781" s="2461" t="s">
        <v>1410</v>
      </c>
      <c r="I2781" s="2462">
        <v>9.3917341696614504E-3</v>
      </c>
      <c r="J2781" s="2462">
        <v>0.38480955820654539</v>
      </c>
    </row>
    <row r="2782" spans="1:10" outlineLevel="2">
      <c r="A2782" s="2459" t="s">
        <v>1669</v>
      </c>
      <c r="B2782" s="2459" t="s">
        <v>1656</v>
      </c>
      <c r="C2782" s="2459" t="s">
        <v>1675</v>
      </c>
      <c r="D2782" s="2460" t="s">
        <v>1671</v>
      </c>
      <c r="E2782" s="2461" t="s">
        <v>1407</v>
      </c>
      <c r="F2782" s="2461" t="s">
        <v>1423</v>
      </c>
      <c r="G2782" s="2461" t="s">
        <v>1421</v>
      </c>
      <c r="H2782" s="2461" t="s">
        <v>1410</v>
      </c>
      <c r="I2782" s="2462">
        <v>4.8815938151187434E-3</v>
      </c>
      <c r="J2782" s="2462">
        <v>0.56254778336332933</v>
      </c>
    </row>
    <row r="2783" spans="1:10" outlineLevel="2">
      <c r="A2783" s="2459" t="s">
        <v>1669</v>
      </c>
      <c r="B2783" s="2459" t="s">
        <v>1656</v>
      </c>
      <c r="C2783" s="2459" t="s">
        <v>1675</v>
      </c>
      <c r="D2783" s="2460" t="s">
        <v>1671</v>
      </c>
      <c r="E2783" s="2461" t="s">
        <v>1407</v>
      </c>
      <c r="F2783" s="2461" t="s">
        <v>1424</v>
      </c>
      <c r="G2783" s="2461" t="s">
        <v>1421</v>
      </c>
      <c r="H2783" s="2461" t="s">
        <v>1410</v>
      </c>
      <c r="I2783" s="2462">
        <v>9.5462085097272234E-2</v>
      </c>
      <c r="J2783" s="2462">
        <v>19.976911931800906</v>
      </c>
    </row>
    <row r="2784" spans="1:10" outlineLevel="2">
      <c r="A2784" s="2459" t="s">
        <v>1669</v>
      </c>
      <c r="B2784" s="2459" t="s">
        <v>1656</v>
      </c>
      <c r="C2784" s="2459" t="s">
        <v>1675</v>
      </c>
      <c r="D2784" s="2460" t="s">
        <v>1671</v>
      </c>
      <c r="E2784" s="2461" t="s">
        <v>1407</v>
      </c>
      <c r="F2784" s="2461" t="s">
        <v>1641</v>
      </c>
      <c r="G2784" s="2461" t="s">
        <v>1412</v>
      </c>
      <c r="H2784" s="2461" t="s">
        <v>1410</v>
      </c>
      <c r="I2784" s="2462">
        <v>3.2298052061064723E-2</v>
      </c>
      <c r="J2784" s="2462">
        <v>7.3396805580313709</v>
      </c>
    </row>
    <row r="2785" spans="1:10" outlineLevel="2">
      <c r="A2785" s="2459" t="s">
        <v>1669</v>
      </c>
      <c r="B2785" s="2459" t="s">
        <v>1656</v>
      </c>
      <c r="C2785" s="2459" t="s">
        <v>1675</v>
      </c>
      <c r="D2785" s="2460" t="s">
        <v>1671</v>
      </c>
      <c r="E2785" s="2461" t="s">
        <v>213</v>
      </c>
      <c r="F2785" s="2461" t="s">
        <v>1425</v>
      </c>
      <c r="G2785" s="2461" t="s">
        <v>1426</v>
      </c>
      <c r="H2785" s="2461" t="s">
        <v>1427</v>
      </c>
      <c r="I2785" s="2462">
        <v>0.62709222247279683</v>
      </c>
      <c r="J2785" s="2462">
        <v>180.183873799563</v>
      </c>
    </row>
    <row r="2786" spans="1:10" outlineLevel="2">
      <c r="A2786" s="2459" t="s">
        <v>1669</v>
      </c>
      <c r="B2786" s="2459" t="s">
        <v>1656</v>
      </c>
      <c r="C2786" s="2459" t="s">
        <v>1675</v>
      </c>
      <c r="D2786" s="2460" t="s">
        <v>1671</v>
      </c>
      <c r="E2786" s="2461" t="s">
        <v>213</v>
      </c>
      <c r="F2786" s="2461" t="s">
        <v>1428</v>
      </c>
      <c r="G2786" s="2461" t="s">
        <v>1426</v>
      </c>
      <c r="H2786" s="2461" t="s">
        <v>1427</v>
      </c>
      <c r="I2786" s="2462">
        <v>0.19155200138827846</v>
      </c>
      <c r="J2786" s="2462">
        <v>77.381798849913579</v>
      </c>
    </row>
    <row r="2787" spans="1:10" outlineLevel="2">
      <c r="A2787" s="2459" t="s">
        <v>1669</v>
      </c>
      <c r="B2787" s="2459" t="s">
        <v>1656</v>
      </c>
      <c r="C2787" s="2459" t="s">
        <v>1675</v>
      </c>
      <c r="D2787" s="2460" t="s">
        <v>1671</v>
      </c>
      <c r="E2787" s="2461" t="s">
        <v>213</v>
      </c>
      <c r="F2787" s="2461" t="s">
        <v>1429</v>
      </c>
      <c r="G2787" s="2461" t="s">
        <v>1426</v>
      </c>
      <c r="H2787" s="2461" t="s">
        <v>1427</v>
      </c>
      <c r="I2787" s="2462">
        <v>8.7185679491838933E-2</v>
      </c>
      <c r="J2787" s="2462">
        <v>112.12724707176625</v>
      </c>
    </row>
    <row r="2788" spans="1:10" outlineLevel="2">
      <c r="A2788" s="2459" t="s">
        <v>1669</v>
      </c>
      <c r="B2788" s="2459" t="s">
        <v>1656</v>
      </c>
      <c r="C2788" s="2459" t="s">
        <v>1675</v>
      </c>
      <c r="D2788" s="2460" t="s">
        <v>1671</v>
      </c>
      <c r="E2788" s="2461" t="s">
        <v>213</v>
      </c>
      <c r="F2788" s="2461" t="s">
        <v>1430</v>
      </c>
      <c r="G2788" s="2461" t="s">
        <v>1409</v>
      </c>
      <c r="H2788" s="2461" t="s">
        <v>1070</v>
      </c>
      <c r="I2788" s="2462">
        <v>4.2000965199312382E-3</v>
      </c>
      <c r="J2788" s="2462">
        <v>2.6060757465151432</v>
      </c>
    </row>
    <row r="2789" spans="1:10" outlineLevel="2">
      <c r="A2789" s="2459" t="s">
        <v>1669</v>
      </c>
      <c r="B2789" s="2459" t="s">
        <v>1656</v>
      </c>
      <c r="C2789" s="2459" t="s">
        <v>1675</v>
      </c>
      <c r="D2789" s="2460" t="s">
        <v>1671</v>
      </c>
      <c r="E2789" s="2461" t="s">
        <v>213</v>
      </c>
      <c r="F2789" s="2461" t="s">
        <v>1431</v>
      </c>
      <c r="G2789" s="2461" t="s">
        <v>1409</v>
      </c>
      <c r="H2789" s="2461" t="s">
        <v>1070</v>
      </c>
      <c r="I2789" s="2462">
        <v>3.4856350343657241E-4</v>
      </c>
      <c r="J2789" s="2462">
        <v>0.16881157745425165</v>
      </c>
    </row>
    <row r="2790" spans="1:10" outlineLevel="2">
      <c r="A2790" s="2459" t="s">
        <v>1669</v>
      </c>
      <c r="B2790" s="2459" t="s">
        <v>1656</v>
      </c>
      <c r="C2790" s="2459" t="s">
        <v>1675</v>
      </c>
      <c r="D2790" s="2460" t="s">
        <v>1671</v>
      </c>
      <c r="E2790" s="2461" t="s">
        <v>213</v>
      </c>
      <c r="F2790" s="2461" t="s">
        <v>1432</v>
      </c>
      <c r="G2790" s="2461" t="s">
        <v>1409</v>
      </c>
      <c r="H2790" s="2461" t="s">
        <v>1070</v>
      </c>
      <c r="I2790" s="2462">
        <v>4.2241332900267592E-4</v>
      </c>
      <c r="J2790" s="2462">
        <v>0.20177768740848162</v>
      </c>
    </row>
    <row r="2791" spans="1:10" outlineLevel="2">
      <c r="A2791" s="2459" t="s">
        <v>1669</v>
      </c>
      <c r="B2791" s="2459" t="s">
        <v>1656</v>
      </c>
      <c r="C2791" s="2459" t="s">
        <v>1675</v>
      </c>
      <c r="D2791" s="2460" t="s">
        <v>1671</v>
      </c>
      <c r="E2791" s="2461" t="s">
        <v>213</v>
      </c>
      <c r="F2791" s="2461" t="s">
        <v>1433</v>
      </c>
      <c r="G2791" s="2461" t="s">
        <v>1409</v>
      </c>
      <c r="H2791" s="2461" t="s">
        <v>1070</v>
      </c>
      <c r="I2791" s="2462">
        <v>3.1239266423971515E-6</v>
      </c>
      <c r="J2791" s="2462">
        <v>1.3981018882221583E-3</v>
      </c>
    </row>
    <row r="2792" spans="1:10" outlineLevel="2">
      <c r="A2792" s="2459" t="s">
        <v>1669</v>
      </c>
      <c r="B2792" s="2459" t="s">
        <v>1656</v>
      </c>
      <c r="C2792" s="2459" t="s">
        <v>1675</v>
      </c>
      <c r="D2792" s="2460" t="s">
        <v>1671</v>
      </c>
      <c r="E2792" s="2461" t="s">
        <v>213</v>
      </c>
      <c r="F2792" s="2461" t="s">
        <v>1434</v>
      </c>
      <c r="G2792" s="2461" t="s">
        <v>1409</v>
      </c>
      <c r="H2792" s="2461" t="s">
        <v>1070</v>
      </c>
      <c r="I2792" s="2462">
        <v>1.2041232401713047E-2</v>
      </c>
      <c r="J2792" s="2462">
        <v>6.7236342640739828</v>
      </c>
    </row>
    <row r="2793" spans="1:10" outlineLevel="2">
      <c r="A2793" s="2459" t="s">
        <v>1669</v>
      </c>
      <c r="B2793" s="2459" t="s">
        <v>1656</v>
      </c>
      <c r="C2793" s="2459" t="s">
        <v>1675</v>
      </c>
      <c r="D2793" s="2460" t="s">
        <v>1671</v>
      </c>
      <c r="E2793" s="2461" t="s">
        <v>213</v>
      </c>
      <c r="F2793" s="2461" t="s">
        <v>1435</v>
      </c>
      <c r="G2793" s="2461" t="s">
        <v>1409</v>
      </c>
      <c r="H2793" s="2461" t="s">
        <v>1070</v>
      </c>
      <c r="I2793" s="2462">
        <v>8.8041626023005983E-5</v>
      </c>
      <c r="J2793" s="2462">
        <v>3.9402689673553065E-2</v>
      </c>
    </row>
    <row r="2794" spans="1:10" outlineLevel="2">
      <c r="A2794" s="2459" t="s">
        <v>1669</v>
      </c>
      <c r="B2794" s="2459" t="s">
        <v>1656</v>
      </c>
      <c r="C2794" s="2459" t="s">
        <v>1675</v>
      </c>
      <c r="D2794" s="2460" t="s">
        <v>1671</v>
      </c>
      <c r="E2794" s="2461" t="s">
        <v>213</v>
      </c>
      <c r="F2794" s="2461" t="s">
        <v>1436</v>
      </c>
      <c r="G2794" s="2461" t="s">
        <v>1412</v>
      </c>
      <c r="H2794" s="2461" t="s">
        <v>1116</v>
      </c>
      <c r="I2794" s="2462">
        <v>3.7833783292420272E-4</v>
      </c>
      <c r="J2794" s="2462">
        <v>0.16932369799530883</v>
      </c>
    </row>
    <row r="2795" spans="1:10" outlineLevel="2">
      <c r="A2795" s="2459" t="s">
        <v>1669</v>
      </c>
      <c r="B2795" s="2459" t="s">
        <v>1656</v>
      </c>
      <c r="C2795" s="2459" t="s">
        <v>1675</v>
      </c>
      <c r="D2795" s="2460" t="s">
        <v>1671</v>
      </c>
      <c r="E2795" s="2461" t="s">
        <v>213</v>
      </c>
      <c r="F2795" s="2461" t="s">
        <v>1437</v>
      </c>
      <c r="G2795" s="2461" t="s">
        <v>1412</v>
      </c>
      <c r="H2795" s="2461" t="s">
        <v>1116</v>
      </c>
      <c r="I2795" s="2462">
        <v>2.8950943307439108E-5</v>
      </c>
      <c r="J2795" s="2462">
        <v>1.2956888568718079E-2</v>
      </c>
    </row>
    <row r="2796" spans="1:10" outlineLevel="2">
      <c r="A2796" s="2459" t="s">
        <v>1669</v>
      </c>
      <c r="B2796" s="2459" t="s">
        <v>1656</v>
      </c>
      <c r="C2796" s="2459" t="s">
        <v>1675</v>
      </c>
      <c r="D2796" s="2460" t="s">
        <v>1671</v>
      </c>
      <c r="E2796" s="2461" t="s">
        <v>213</v>
      </c>
      <c r="F2796" s="2461" t="s">
        <v>1438</v>
      </c>
      <c r="G2796" s="2461" t="s">
        <v>1439</v>
      </c>
      <c r="H2796" s="2461" t="s">
        <v>1440</v>
      </c>
      <c r="I2796" s="2462">
        <v>1.5889348474570609E-3</v>
      </c>
      <c r="J2796" s="2462">
        <v>0.87020612406466991</v>
      </c>
    </row>
    <row r="2797" spans="1:10" outlineLevel="2">
      <c r="A2797" s="2459" t="s">
        <v>1669</v>
      </c>
      <c r="B2797" s="2459" t="s">
        <v>1656</v>
      </c>
      <c r="C2797" s="2459" t="s">
        <v>1675</v>
      </c>
      <c r="D2797" s="2460" t="s">
        <v>1671</v>
      </c>
      <c r="E2797" s="2461" t="s">
        <v>213</v>
      </c>
      <c r="F2797" s="2461" t="s">
        <v>1441</v>
      </c>
      <c r="G2797" s="2461" t="s">
        <v>1439</v>
      </c>
      <c r="H2797" s="2461" t="s">
        <v>1440</v>
      </c>
      <c r="I2797" s="2462">
        <v>2.017967983572732E-2</v>
      </c>
      <c r="J2797" s="2462">
        <v>10.845473863193764</v>
      </c>
    </row>
    <row r="2798" spans="1:10" outlineLevel="2">
      <c r="A2798" s="2459" t="s">
        <v>1669</v>
      </c>
      <c r="B2798" s="2459" t="s">
        <v>1656</v>
      </c>
      <c r="C2798" s="2459" t="s">
        <v>1675</v>
      </c>
      <c r="D2798" s="2460" t="s">
        <v>1671</v>
      </c>
      <c r="E2798" s="2461" t="s">
        <v>213</v>
      </c>
      <c r="F2798" s="2461" t="s">
        <v>1442</v>
      </c>
      <c r="G2798" s="2461" t="s">
        <v>1439</v>
      </c>
      <c r="H2798" s="2461" t="s">
        <v>1440</v>
      </c>
      <c r="I2798" s="2462">
        <v>2.2363493727798386E-2</v>
      </c>
      <c r="J2798" s="2462">
        <v>11.618891242919439</v>
      </c>
    </row>
    <row r="2799" spans="1:10" outlineLevel="2">
      <c r="A2799" s="2459" t="s">
        <v>1669</v>
      </c>
      <c r="B2799" s="2459" t="s">
        <v>1656</v>
      </c>
      <c r="C2799" s="2459" t="s">
        <v>1675</v>
      </c>
      <c r="D2799" s="2460" t="s">
        <v>1671</v>
      </c>
      <c r="E2799" s="2461" t="s">
        <v>213</v>
      </c>
      <c r="F2799" s="2461" t="s">
        <v>1443</v>
      </c>
      <c r="G2799" s="2461" t="s">
        <v>1439</v>
      </c>
      <c r="H2799" s="2461" t="s">
        <v>1440</v>
      </c>
      <c r="I2799" s="2462">
        <v>0.19081044105269721</v>
      </c>
      <c r="J2799" s="2462">
        <v>104.45044007726879</v>
      </c>
    </row>
    <row r="2800" spans="1:10" outlineLevel="2">
      <c r="A2800" s="2459" t="s">
        <v>1669</v>
      </c>
      <c r="B2800" s="2459" t="s">
        <v>1656</v>
      </c>
      <c r="C2800" s="2459" t="s">
        <v>1675</v>
      </c>
      <c r="D2800" s="2460" t="s">
        <v>1671</v>
      </c>
      <c r="E2800" s="2461" t="s">
        <v>213</v>
      </c>
      <c r="F2800" s="2461" t="s">
        <v>1444</v>
      </c>
      <c r="G2800" s="2461" t="s">
        <v>1439</v>
      </c>
      <c r="H2800" s="2461" t="s">
        <v>1440</v>
      </c>
      <c r="I2800" s="2462">
        <v>2.7472289550841248E-2</v>
      </c>
      <c r="J2800" s="2462">
        <v>16.136123098017706</v>
      </c>
    </row>
    <row r="2801" spans="1:10" outlineLevel="2">
      <c r="A2801" s="2459" t="s">
        <v>1669</v>
      </c>
      <c r="B2801" s="2459" t="s">
        <v>1656</v>
      </c>
      <c r="C2801" s="2459" t="s">
        <v>1675</v>
      </c>
      <c r="D2801" s="2460" t="s">
        <v>1671</v>
      </c>
      <c r="E2801" s="2461" t="s">
        <v>213</v>
      </c>
      <c r="F2801" s="2461" t="s">
        <v>1445</v>
      </c>
      <c r="G2801" s="2461" t="s">
        <v>1439</v>
      </c>
      <c r="H2801" s="2461" t="s">
        <v>1440</v>
      </c>
      <c r="I2801" s="2462">
        <v>0.18055161838224432</v>
      </c>
      <c r="J2801" s="2462">
        <v>91.27554368419527</v>
      </c>
    </row>
    <row r="2802" spans="1:10" outlineLevel="2">
      <c r="A2802" s="2459" t="s">
        <v>1669</v>
      </c>
      <c r="B2802" s="2459" t="s">
        <v>1656</v>
      </c>
      <c r="C2802" s="2459" t="s">
        <v>1675</v>
      </c>
      <c r="D2802" s="2460" t="s">
        <v>1671</v>
      </c>
      <c r="E2802" s="2461" t="s">
        <v>213</v>
      </c>
      <c r="F2802" s="2461" t="s">
        <v>1446</v>
      </c>
      <c r="G2802" s="2461" t="s">
        <v>1439</v>
      </c>
      <c r="H2802" s="2461" t="s">
        <v>1440</v>
      </c>
      <c r="I2802" s="2462">
        <v>1.9363734374023736E-2</v>
      </c>
      <c r="J2802" s="2462">
        <v>10.385170281709831</v>
      </c>
    </row>
    <row r="2803" spans="1:10" outlineLevel="2">
      <c r="A2803" s="2459" t="s">
        <v>1669</v>
      </c>
      <c r="B2803" s="2459" t="s">
        <v>1656</v>
      </c>
      <c r="C2803" s="2459" t="s">
        <v>1675</v>
      </c>
      <c r="D2803" s="2460" t="s">
        <v>1671</v>
      </c>
      <c r="E2803" s="2461" t="s">
        <v>213</v>
      </c>
      <c r="F2803" s="2461" t="s">
        <v>1447</v>
      </c>
      <c r="G2803" s="2461" t="s">
        <v>1439</v>
      </c>
      <c r="H2803" s="2461" t="s">
        <v>1440</v>
      </c>
      <c r="I2803" s="2462">
        <v>0.15935362164353353</v>
      </c>
      <c r="J2803" s="2462">
        <v>85.229563099859121</v>
      </c>
    </row>
    <row r="2804" spans="1:10" outlineLevel="2">
      <c r="A2804" s="2459" t="s">
        <v>1669</v>
      </c>
      <c r="B2804" s="2459" t="s">
        <v>1656</v>
      </c>
      <c r="C2804" s="2459" t="s">
        <v>1675</v>
      </c>
      <c r="D2804" s="2460" t="s">
        <v>1671</v>
      </c>
      <c r="E2804" s="2461" t="s">
        <v>213</v>
      </c>
      <c r="F2804" s="2461" t="s">
        <v>1448</v>
      </c>
      <c r="G2804" s="2461" t="s">
        <v>1439</v>
      </c>
      <c r="H2804" s="2461" t="s">
        <v>1440</v>
      </c>
      <c r="I2804" s="2462">
        <v>3.5094747643623282E-2</v>
      </c>
      <c r="J2804" s="2462">
        <v>5.1383328394808414</v>
      </c>
    </row>
    <row r="2805" spans="1:10" outlineLevel="2">
      <c r="A2805" s="2459" t="s">
        <v>1669</v>
      </c>
      <c r="B2805" s="2459" t="s">
        <v>1656</v>
      </c>
      <c r="C2805" s="2459" t="s">
        <v>1675</v>
      </c>
      <c r="D2805" s="2460" t="s">
        <v>1671</v>
      </c>
      <c r="E2805" s="2461" t="s">
        <v>213</v>
      </c>
      <c r="F2805" s="2461" t="s">
        <v>1449</v>
      </c>
      <c r="G2805" s="2461" t="s">
        <v>1439</v>
      </c>
      <c r="H2805" s="2461" t="s">
        <v>1440</v>
      </c>
      <c r="I2805" s="2462">
        <v>0.21196046225487747</v>
      </c>
      <c r="J2805" s="2462">
        <v>31.032923732467466</v>
      </c>
    </row>
    <row r="2806" spans="1:10" outlineLevel="2">
      <c r="A2806" s="2459" t="s">
        <v>1669</v>
      </c>
      <c r="B2806" s="2459" t="s">
        <v>1656</v>
      </c>
      <c r="C2806" s="2459" t="s">
        <v>1675</v>
      </c>
      <c r="D2806" s="2460" t="s">
        <v>1671</v>
      </c>
      <c r="E2806" s="2461" t="s">
        <v>213</v>
      </c>
      <c r="F2806" s="2461" t="s">
        <v>1450</v>
      </c>
      <c r="G2806" s="2461" t="s">
        <v>1439</v>
      </c>
      <c r="H2806" s="2461" t="s">
        <v>1440</v>
      </c>
      <c r="I2806" s="2462">
        <v>9.1144074371762621E-5</v>
      </c>
      <c r="J2806" s="2462">
        <v>4.5479135050935315E-2</v>
      </c>
    </row>
    <row r="2807" spans="1:10" outlineLevel="2">
      <c r="A2807" s="2459" t="s">
        <v>1669</v>
      </c>
      <c r="B2807" s="2459" t="s">
        <v>1656</v>
      </c>
      <c r="C2807" s="2459" t="s">
        <v>1675</v>
      </c>
      <c r="D2807" s="2460" t="s">
        <v>1671</v>
      </c>
      <c r="E2807" s="2461" t="s">
        <v>213</v>
      </c>
      <c r="F2807" s="2461" t="s">
        <v>1451</v>
      </c>
      <c r="G2807" s="2461" t="s">
        <v>1418</v>
      </c>
      <c r="H2807" s="2461" t="s">
        <v>1452</v>
      </c>
      <c r="I2807" s="2462">
        <v>1.0250981099040723E-3</v>
      </c>
      <c r="J2807" s="2462">
        <v>0.62338557929352034</v>
      </c>
    </row>
    <row r="2808" spans="1:10" outlineLevel="2">
      <c r="A2808" s="2459" t="s">
        <v>1669</v>
      </c>
      <c r="B2808" s="2459" t="s">
        <v>1656</v>
      </c>
      <c r="C2808" s="2459" t="s">
        <v>1675</v>
      </c>
      <c r="D2808" s="2460" t="s">
        <v>1671</v>
      </c>
      <c r="E2808" s="2461" t="s">
        <v>213</v>
      </c>
      <c r="F2808" s="2461" t="s">
        <v>1453</v>
      </c>
      <c r="G2808" s="2461" t="s">
        <v>1421</v>
      </c>
      <c r="H2808" s="2461" t="s">
        <v>1454</v>
      </c>
      <c r="I2808" s="2462">
        <v>2.7370126304971233E-3</v>
      </c>
      <c r="J2808" s="2462">
        <v>1.3551209093852501</v>
      </c>
    </row>
    <row r="2809" spans="1:10" outlineLevel="2">
      <c r="A2809" s="2459" t="s">
        <v>1669</v>
      </c>
      <c r="B2809" s="2459" t="s">
        <v>1656</v>
      </c>
      <c r="C2809" s="2459" t="s">
        <v>1675</v>
      </c>
      <c r="D2809" s="2460" t="s">
        <v>1671</v>
      </c>
      <c r="E2809" s="2461" t="s">
        <v>213</v>
      </c>
      <c r="F2809" s="2461" t="s">
        <v>1455</v>
      </c>
      <c r="G2809" s="2461" t="s">
        <v>1421</v>
      </c>
      <c r="H2809" s="2461" t="s">
        <v>1454</v>
      </c>
      <c r="I2809" s="2462">
        <v>1.746649866701467E-2</v>
      </c>
      <c r="J2809" s="2462">
        <v>9.0401872545365727</v>
      </c>
    </row>
    <row r="2810" spans="1:10" outlineLevel="2">
      <c r="A2810" s="2459" t="s">
        <v>1669</v>
      </c>
      <c r="B2810" s="2459" t="s">
        <v>1656</v>
      </c>
      <c r="C2810" s="2459" t="s">
        <v>1675</v>
      </c>
      <c r="D2810" s="2460" t="s">
        <v>1671</v>
      </c>
      <c r="E2810" s="2461" t="s">
        <v>213</v>
      </c>
      <c r="F2810" s="2461" t="s">
        <v>1456</v>
      </c>
      <c r="G2810" s="2461" t="s">
        <v>1421</v>
      </c>
      <c r="H2810" s="2461" t="s">
        <v>1454</v>
      </c>
      <c r="I2810" s="2462">
        <v>7.0057917729728835E-6</v>
      </c>
      <c r="J2810" s="2462">
        <v>3.1354174783600956E-3</v>
      </c>
    </row>
    <row r="2811" spans="1:10" outlineLevel="2">
      <c r="A2811" s="2459" t="s">
        <v>1669</v>
      </c>
      <c r="B2811" s="2459" t="s">
        <v>1656</v>
      </c>
      <c r="C2811" s="2459" t="s">
        <v>1675</v>
      </c>
      <c r="D2811" s="2460" t="s">
        <v>1671</v>
      </c>
      <c r="E2811" s="2461" t="s">
        <v>213</v>
      </c>
      <c r="F2811" s="2461" t="s">
        <v>1457</v>
      </c>
      <c r="G2811" s="2461" t="s">
        <v>1421</v>
      </c>
      <c r="H2811" s="2461" t="s">
        <v>1454</v>
      </c>
      <c r="I2811" s="2462">
        <v>1.2220329517563866E-4</v>
      </c>
      <c r="J2811" s="2462">
        <v>5.4691579616887032E-2</v>
      </c>
    </row>
    <row r="2812" spans="1:10" outlineLevel="2">
      <c r="A2812" s="2459" t="s">
        <v>1669</v>
      </c>
      <c r="B2812" s="2459" t="s">
        <v>1656</v>
      </c>
      <c r="C2812" s="2459" t="s">
        <v>1675</v>
      </c>
      <c r="D2812" s="2460" t="s">
        <v>1671</v>
      </c>
      <c r="E2812" s="2461" t="s">
        <v>213</v>
      </c>
      <c r="F2812" s="2461" t="s">
        <v>1458</v>
      </c>
      <c r="G2812" s="2461" t="s">
        <v>1459</v>
      </c>
      <c r="H2812" s="2461" t="s">
        <v>1460</v>
      </c>
      <c r="I2812" s="2462">
        <v>4.6736786569894825E-3</v>
      </c>
      <c r="J2812" s="2462">
        <v>2.6982444457829216</v>
      </c>
    </row>
    <row r="2813" spans="1:10" outlineLevel="2">
      <c r="A2813" s="2459" t="s">
        <v>1669</v>
      </c>
      <c r="B2813" s="2459" t="s">
        <v>1656</v>
      </c>
      <c r="C2813" s="2459" t="s">
        <v>1675</v>
      </c>
      <c r="D2813" s="2460" t="s">
        <v>1671</v>
      </c>
      <c r="E2813" s="2461" t="s">
        <v>213</v>
      </c>
      <c r="F2813" s="2461" t="s">
        <v>1461</v>
      </c>
      <c r="G2813" s="2461" t="s">
        <v>1426</v>
      </c>
      <c r="H2813" s="2461" t="s">
        <v>1427</v>
      </c>
      <c r="I2813" s="2462">
        <v>0.11874686811184836</v>
      </c>
      <c r="J2813" s="2462">
        <v>84.034096854422913</v>
      </c>
    </row>
    <row r="2814" spans="1:10" outlineLevel="2">
      <c r="A2814" s="2459" t="s">
        <v>1669</v>
      </c>
      <c r="B2814" s="2459" t="s">
        <v>1656</v>
      </c>
      <c r="C2814" s="2459" t="s">
        <v>1675</v>
      </c>
      <c r="D2814" s="2460" t="s">
        <v>1671</v>
      </c>
      <c r="E2814" s="2461" t="s">
        <v>213</v>
      </c>
      <c r="F2814" s="2461" t="s">
        <v>1462</v>
      </c>
      <c r="G2814" s="2461" t="s">
        <v>1426</v>
      </c>
      <c r="H2814" s="2461" t="s">
        <v>1427</v>
      </c>
      <c r="I2814" s="2462">
        <v>0.87505748657897509</v>
      </c>
      <c r="J2814" s="2462">
        <v>798.89408669602778</v>
      </c>
    </row>
    <row r="2815" spans="1:10" outlineLevel="2">
      <c r="A2815" s="2459" t="s">
        <v>1669</v>
      </c>
      <c r="B2815" s="2459" t="s">
        <v>1656</v>
      </c>
      <c r="C2815" s="2459" t="s">
        <v>1675</v>
      </c>
      <c r="D2815" s="2460" t="s">
        <v>1671</v>
      </c>
      <c r="E2815" s="2461" t="s">
        <v>213</v>
      </c>
      <c r="F2815" s="2461" t="s">
        <v>1463</v>
      </c>
      <c r="G2815" s="2461" t="s">
        <v>1426</v>
      </c>
      <c r="H2815" s="2461" t="s">
        <v>1427</v>
      </c>
      <c r="I2815" s="2462">
        <v>6.8494384352704038E-2</v>
      </c>
      <c r="J2815" s="2462">
        <v>91.092781009707565</v>
      </c>
    </row>
    <row r="2816" spans="1:10" outlineLevel="2">
      <c r="A2816" s="2459" t="s">
        <v>1669</v>
      </c>
      <c r="B2816" s="2459" t="s">
        <v>1656</v>
      </c>
      <c r="C2816" s="2459" t="s">
        <v>1675</v>
      </c>
      <c r="D2816" s="2460" t="s">
        <v>1671</v>
      </c>
      <c r="E2816" s="2461" t="s">
        <v>213</v>
      </c>
      <c r="F2816" s="2461" t="s">
        <v>1464</v>
      </c>
      <c r="G2816" s="2461" t="s">
        <v>1426</v>
      </c>
      <c r="H2816" s="2461" t="s">
        <v>1427</v>
      </c>
      <c r="I2816" s="2462">
        <v>0.11758585695127823</v>
      </c>
      <c r="J2816" s="2462">
        <v>107.15204737313536</v>
      </c>
    </row>
    <row r="2817" spans="1:10" outlineLevel="2">
      <c r="A2817" s="2459" t="s">
        <v>1669</v>
      </c>
      <c r="B2817" s="2459" t="s">
        <v>1656</v>
      </c>
      <c r="C2817" s="2459" t="s">
        <v>1675</v>
      </c>
      <c r="D2817" s="2460" t="s">
        <v>1671</v>
      </c>
      <c r="E2817" s="2461" t="s">
        <v>213</v>
      </c>
      <c r="F2817" s="2461" t="s">
        <v>1465</v>
      </c>
      <c r="G2817" s="2461" t="s">
        <v>1409</v>
      </c>
      <c r="H2817" s="2461" t="s">
        <v>1070</v>
      </c>
      <c r="I2817" s="2462">
        <v>1.4164900698788896E-3</v>
      </c>
      <c r="J2817" s="2462">
        <v>2.3101673986348326</v>
      </c>
    </row>
    <row r="2818" spans="1:10" outlineLevel="2">
      <c r="A2818" s="2459" t="s">
        <v>1669</v>
      </c>
      <c r="B2818" s="2459" t="s">
        <v>1656</v>
      </c>
      <c r="C2818" s="2459" t="s">
        <v>1675</v>
      </c>
      <c r="D2818" s="2460" t="s">
        <v>1671</v>
      </c>
      <c r="E2818" s="2461" t="s">
        <v>213</v>
      </c>
      <c r="F2818" s="2461" t="s">
        <v>1466</v>
      </c>
      <c r="G2818" s="2461" t="s">
        <v>1409</v>
      </c>
      <c r="H2818" s="2461" t="s">
        <v>1070</v>
      </c>
      <c r="I2818" s="2462">
        <v>1.1318795542566772E-5</v>
      </c>
      <c r="J2818" s="2462">
        <v>1.7243389744707717E-2</v>
      </c>
    </row>
    <row r="2819" spans="1:10" outlineLevel="2">
      <c r="A2819" s="2459" t="s">
        <v>1669</v>
      </c>
      <c r="B2819" s="2459" t="s">
        <v>1656</v>
      </c>
      <c r="C2819" s="2459" t="s">
        <v>1675</v>
      </c>
      <c r="D2819" s="2460" t="s">
        <v>1671</v>
      </c>
      <c r="E2819" s="2461" t="s">
        <v>213</v>
      </c>
      <c r="F2819" s="2461" t="s">
        <v>1467</v>
      </c>
      <c r="G2819" s="2461" t="s">
        <v>1409</v>
      </c>
      <c r="H2819" s="2461" t="s">
        <v>1070</v>
      </c>
      <c r="I2819" s="2462">
        <v>3.0604269640134127E-3</v>
      </c>
      <c r="J2819" s="2462">
        <v>4.3399305425475729</v>
      </c>
    </row>
    <row r="2820" spans="1:10" outlineLevel="2">
      <c r="A2820" s="2459" t="s">
        <v>1669</v>
      </c>
      <c r="B2820" s="2459" t="s">
        <v>1656</v>
      </c>
      <c r="C2820" s="2459" t="s">
        <v>1675</v>
      </c>
      <c r="D2820" s="2460" t="s">
        <v>1671</v>
      </c>
      <c r="E2820" s="2461" t="s">
        <v>213</v>
      </c>
      <c r="F2820" s="2461" t="s">
        <v>1468</v>
      </c>
      <c r="G2820" s="2461" t="s">
        <v>1409</v>
      </c>
      <c r="H2820" s="2461" t="s">
        <v>1070</v>
      </c>
      <c r="I2820" s="2462">
        <v>2.4974153936333995E-3</v>
      </c>
      <c r="J2820" s="2462">
        <v>4.0859715044280787</v>
      </c>
    </row>
    <row r="2821" spans="1:10" outlineLevel="2">
      <c r="A2821" s="2459" t="s">
        <v>1669</v>
      </c>
      <c r="B2821" s="2459" t="s">
        <v>1656</v>
      </c>
      <c r="C2821" s="2459" t="s">
        <v>1675</v>
      </c>
      <c r="D2821" s="2460" t="s">
        <v>1671</v>
      </c>
      <c r="E2821" s="2461" t="s">
        <v>213</v>
      </c>
      <c r="F2821" s="2461" t="s">
        <v>1469</v>
      </c>
      <c r="G2821" s="2461" t="s">
        <v>1409</v>
      </c>
      <c r="H2821" s="2461" t="s">
        <v>1070</v>
      </c>
      <c r="I2821" s="2462">
        <v>5.5850554670076264E-3</v>
      </c>
      <c r="J2821" s="2462">
        <v>8.1543426399247529</v>
      </c>
    </row>
    <row r="2822" spans="1:10" outlineLevel="2">
      <c r="A2822" s="2459" t="s">
        <v>1669</v>
      </c>
      <c r="B2822" s="2459" t="s">
        <v>1656</v>
      </c>
      <c r="C2822" s="2459" t="s">
        <v>1675</v>
      </c>
      <c r="D2822" s="2460" t="s">
        <v>1671</v>
      </c>
      <c r="E2822" s="2461" t="s">
        <v>213</v>
      </c>
      <c r="F2822" s="2461" t="s">
        <v>1470</v>
      </c>
      <c r="G2822" s="2461" t="s">
        <v>1409</v>
      </c>
      <c r="H2822" s="2461" t="s">
        <v>1070</v>
      </c>
      <c r="I2822" s="2462">
        <v>2.4229202717037149E-3</v>
      </c>
      <c r="J2822" s="2462">
        <v>3.4335812946713467</v>
      </c>
    </row>
    <row r="2823" spans="1:10" outlineLevel="2">
      <c r="A2823" s="2459" t="s">
        <v>1669</v>
      </c>
      <c r="B2823" s="2459" t="s">
        <v>1656</v>
      </c>
      <c r="C2823" s="2459" t="s">
        <v>1675</v>
      </c>
      <c r="D2823" s="2460" t="s">
        <v>1671</v>
      </c>
      <c r="E2823" s="2461" t="s">
        <v>213</v>
      </c>
      <c r="F2823" s="2461" t="s">
        <v>1471</v>
      </c>
      <c r="G2823" s="2461" t="s">
        <v>1409</v>
      </c>
      <c r="H2823" s="2461" t="s">
        <v>1070</v>
      </c>
      <c r="I2823" s="2462">
        <v>1.319561921169474E-4</v>
      </c>
      <c r="J2823" s="2462">
        <v>0.17895187782236766</v>
      </c>
    </row>
    <row r="2824" spans="1:10" outlineLevel="2">
      <c r="A2824" s="2459" t="s">
        <v>1669</v>
      </c>
      <c r="B2824" s="2459" t="s">
        <v>1656</v>
      </c>
      <c r="C2824" s="2459" t="s">
        <v>1675</v>
      </c>
      <c r="D2824" s="2460" t="s">
        <v>1671</v>
      </c>
      <c r="E2824" s="2461" t="s">
        <v>213</v>
      </c>
      <c r="F2824" s="2461" t="s">
        <v>1472</v>
      </c>
      <c r="G2824" s="2461" t="s">
        <v>1409</v>
      </c>
      <c r="H2824" s="2461" t="s">
        <v>1070</v>
      </c>
      <c r="I2824" s="2462">
        <v>4.5921012135157636E-3</v>
      </c>
      <c r="J2824" s="2462">
        <v>7.1854309190346264</v>
      </c>
    </row>
    <row r="2825" spans="1:10" outlineLevel="2">
      <c r="A2825" s="2459" t="s">
        <v>1669</v>
      </c>
      <c r="B2825" s="2459" t="s">
        <v>1656</v>
      </c>
      <c r="C2825" s="2459" t="s">
        <v>1675</v>
      </c>
      <c r="D2825" s="2460" t="s">
        <v>1671</v>
      </c>
      <c r="E2825" s="2461" t="s">
        <v>213</v>
      </c>
      <c r="F2825" s="2461" t="s">
        <v>1473</v>
      </c>
      <c r="G2825" s="2461" t="s">
        <v>1409</v>
      </c>
      <c r="H2825" s="2461" t="s">
        <v>1070</v>
      </c>
      <c r="I2825" s="2462">
        <v>2.188978672335111E-3</v>
      </c>
      <c r="J2825" s="2462">
        <v>2.6649476107629062</v>
      </c>
    </row>
    <row r="2826" spans="1:10" outlineLevel="2">
      <c r="A2826" s="2459" t="s">
        <v>1669</v>
      </c>
      <c r="B2826" s="2459" t="s">
        <v>1656</v>
      </c>
      <c r="C2826" s="2459" t="s">
        <v>1675</v>
      </c>
      <c r="D2826" s="2460" t="s">
        <v>1671</v>
      </c>
      <c r="E2826" s="2461" t="s">
        <v>213</v>
      </c>
      <c r="F2826" s="2461" t="s">
        <v>1474</v>
      </c>
      <c r="G2826" s="2461" t="s">
        <v>1409</v>
      </c>
      <c r="H2826" s="2461" t="s">
        <v>1070</v>
      </c>
      <c r="I2826" s="2462">
        <v>1.0345025044163701E-2</v>
      </c>
      <c r="J2826" s="2462">
        <v>14.972874585732352</v>
      </c>
    </row>
    <row r="2827" spans="1:10" outlineLevel="2">
      <c r="A2827" s="2459" t="s">
        <v>1669</v>
      </c>
      <c r="B2827" s="2459" t="s">
        <v>1656</v>
      </c>
      <c r="C2827" s="2459" t="s">
        <v>1675</v>
      </c>
      <c r="D2827" s="2460" t="s">
        <v>1671</v>
      </c>
      <c r="E2827" s="2461" t="s">
        <v>213</v>
      </c>
      <c r="F2827" s="2461" t="s">
        <v>1475</v>
      </c>
      <c r="G2827" s="2461" t="s">
        <v>1409</v>
      </c>
      <c r="H2827" s="2461" t="s">
        <v>1070</v>
      </c>
      <c r="I2827" s="2462">
        <v>5.2441223522970573E-3</v>
      </c>
      <c r="J2827" s="2462">
        <v>7.1903837724337922</v>
      </c>
    </row>
    <row r="2828" spans="1:10" outlineLevel="2">
      <c r="A2828" s="2459" t="s">
        <v>1669</v>
      </c>
      <c r="B2828" s="2459" t="s">
        <v>1656</v>
      </c>
      <c r="C2828" s="2459" t="s">
        <v>1675</v>
      </c>
      <c r="D2828" s="2460" t="s">
        <v>1671</v>
      </c>
      <c r="E2828" s="2461" t="s">
        <v>213</v>
      </c>
      <c r="F2828" s="2461" t="s">
        <v>1476</v>
      </c>
      <c r="G2828" s="2461" t="s">
        <v>1409</v>
      </c>
      <c r="H2828" s="2461" t="s">
        <v>1070</v>
      </c>
      <c r="I2828" s="2462">
        <v>4.1459682907251847E-4</v>
      </c>
      <c r="J2828" s="2462">
        <v>0.57917605264142191</v>
      </c>
    </row>
    <row r="2829" spans="1:10" outlineLevel="2">
      <c r="A2829" s="2459" t="s">
        <v>1669</v>
      </c>
      <c r="B2829" s="2459" t="s">
        <v>1656</v>
      </c>
      <c r="C2829" s="2459" t="s">
        <v>1675</v>
      </c>
      <c r="D2829" s="2460" t="s">
        <v>1671</v>
      </c>
      <c r="E2829" s="2461" t="s">
        <v>213</v>
      </c>
      <c r="F2829" s="2461" t="s">
        <v>1477</v>
      </c>
      <c r="G2829" s="2461" t="s">
        <v>1409</v>
      </c>
      <c r="H2829" s="2461" t="s">
        <v>1070</v>
      </c>
      <c r="I2829" s="2462">
        <v>6.80663785111168E-4</v>
      </c>
      <c r="J2829" s="2462">
        <v>0.97258189043788823</v>
      </c>
    </row>
    <row r="2830" spans="1:10" outlineLevel="2">
      <c r="A2830" s="2459" t="s">
        <v>1669</v>
      </c>
      <c r="B2830" s="2459" t="s">
        <v>1656</v>
      </c>
      <c r="C2830" s="2459" t="s">
        <v>1675</v>
      </c>
      <c r="D2830" s="2460" t="s">
        <v>1671</v>
      </c>
      <c r="E2830" s="2461" t="s">
        <v>213</v>
      </c>
      <c r="F2830" s="2461" t="s">
        <v>1478</v>
      </c>
      <c r="G2830" s="2461" t="s">
        <v>1409</v>
      </c>
      <c r="H2830" s="2461" t="s">
        <v>1070</v>
      </c>
      <c r="I2830" s="2462">
        <v>2.9804008402733209E-4</v>
      </c>
      <c r="J2830" s="2462">
        <v>0.8690815371548114</v>
      </c>
    </row>
    <row r="2831" spans="1:10" outlineLevel="2">
      <c r="A2831" s="2459" t="s">
        <v>1669</v>
      </c>
      <c r="B2831" s="2459" t="s">
        <v>1656</v>
      </c>
      <c r="C2831" s="2459" t="s">
        <v>1675</v>
      </c>
      <c r="D2831" s="2460" t="s">
        <v>1671</v>
      </c>
      <c r="E2831" s="2461" t="s">
        <v>213</v>
      </c>
      <c r="F2831" s="2461" t="s">
        <v>1479</v>
      </c>
      <c r="G2831" s="2461" t="s">
        <v>1409</v>
      </c>
      <c r="H2831" s="2461" t="s">
        <v>1070</v>
      </c>
      <c r="I2831" s="2462">
        <v>2.3987095083920549E-4</v>
      </c>
      <c r="J2831" s="2462">
        <v>2.0613109702818573</v>
      </c>
    </row>
    <row r="2832" spans="1:10" outlineLevel="2">
      <c r="A2832" s="2459" t="s">
        <v>1669</v>
      </c>
      <c r="B2832" s="2459" t="s">
        <v>1656</v>
      </c>
      <c r="C2832" s="2459" t="s">
        <v>1675</v>
      </c>
      <c r="D2832" s="2460" t="s">
        <v>1671</v>
      </c>
      <c r="E2832" s="2461" t="s">
        <v>213</v>
      </c>
      <c r="F2832" s="2461" t="s">
        <v>1480</v>
      </c>
      <c r="G2832" s="2461" t="s">
        <v>1409</v>
      </c>
      <c r="H2832" s="2461" t="s">
        <v>1070</v>
      </c>
      <c r="I2832" s="2462">
        <v>3.2638947218095017E-3</v>
      </c>
      <c r="J2832" s="2462">
        <v>4.9150472179927025</v>
      </c>
    </row>
    <row r="2833" spans="1:10" outlineLevel="2">
      <c r="A2833" s="2459" t="s">
        <v>1669</v>
      </c>
      <c r="B2833" s="2459" t="s">
        <v>1656</v>
      </c>
      <c r="C2833" s="2459" t="s">
        <v>1675</v>
      </c>
      <c r="D2833" s="2460" t="s">
        <v>1671</v>
      </c>
      <c r="E2833" s="2461" t="s">
        <v>213</v>
      </c>
      <c r="F2833" s="2461" t="s">
        <v>1481</v>
      </c>
      <c r="G2833" s="2461" t="s">
        <v>1409</v>
      </c>
      <c r="H2833" s="2461" t="s">
        <v>1070</v>
      </c>
      <c r="I2833" s="2462">
        <v>2.3302149590717224E-3</v>
      </c>
      <c r="J2833" s="2462">
        <v>3.4255930388723645</v>
      </c>
    </row>
    <row r="2834" spans="1:10" outlineLevel="2">
      <c r="A2834" s="2459" t="s">
        <v>1669</v>
      </c>
      <c r="B2834" s="2459" t="s">
        <v>1656</v>
      </c>
      <c r="C2834" s="2459" t="s">
        <v>1675</v>
      </c>
      <c r="D2834" s="2460" t="s">
        <v>1671</v>
      </c>
      <c r="E2834" s="2461" t="s">
        <v>213</v>
      </c>
      <c r="F2834" s="2461" t="s">
        <v>1482</v>
      </c>
      <c r="G2834" s="2461" t="s">
        <v>1409</v>
      </c>
      <c r="H2834" s="2461" t="s">
        <v>1070</v>
      </c>
      <c r="I2834" s="2462">
        <v>9.1524286024175275E-4</v>
      </c>
      <c r="J2834" s="2462">
        <v>1.1224446220010036</v>
      </c>
    </row>
    <row r="2835" spans="1:10" outlineLevel="2">
      <c r="A2835" s="2459" t="s">
        <v>1669</v>
      </c>
      <c r="B2835" s="2459" t="s">
        <v>1656</v>
      </c>
      <c r="C2835" s="2459" t="s">
        <v>1675</v>
      </c>
      <c r="D2835" s="2460" t="s">
        <v>1671</v>
      </c>
      <c r="E2835" s="2461" t="s">
        <v>213</v>
      </c>
      <c r="F2835" s="2461" t="s">
        <v>1483</v>
      </c>
      <c r="G2835" s="2461" t="s">
        <v>1409</v>
      </c>
      <c r="H2835" s="2461" t="s">
        <v>1070</v>
      </c>
      <c r="I2835" s="2462">
        <v>7.6176819979569433E-4</v>
      </c>
      <c r="J2835" s="2462">
        <v>0.82017297253725108</v>
      </c>
    </row>
    <row r="2836" spans="1:10" outlineLevel="2">
      <c r="A2836" s="2459" t="s">
        <v>1669</v>
      </c>
      <c r="B2836" s="2459" t="s">
        <v>1656</v>
      </c>
      <c r="C2836" s="2459" t="s">
        <v>1675</v>
      </c>
      <c r="D2836" s="2460" t="s">
        <v>1671</v>
      </c>
      <c r="E2836" s="2461" t="s">
        <v>213</v>
      </c>
      <c r="F2836" s="2461" t="s">
        <v>1484</v>
      </c>
      <c r="G2836" s="2461" t="s">
        <v>1412</v>
      </c>
      <c r="H2836" s="2461" t="s">
        <v>1116</v>
      </c>
      <c r="I2836" s="2462">
        <v>9.3640476396532578E-3</v>
      </c>
      <c r="J2836" s="2462">
        <v>18.768683999446409</v>
      </c>
    </row>
    <row r="2837" spans="1:10" outlineLevel="2">
      <c r="A2837" s="2459" t="s">
        <v>1669</v>
      </c>
      <c r="B2837" s="2459" t="s">
        <v>1656</v>
      </c>
      <c r="C2837" s="2459" t="s">
        <v>1675</v>
      </c>
      <c r="D2837" s="2460" t="s">
        <v>1671</v>
      </c>
      <c r="E2837" s="2461" t="s">
        <v>213</v>
      </c>
      <c r="F2837" s="2461" t="s">
        <v>1485</v>
      </c>
      <c r="G2837" s="2461" t="s">
        <v>1412</v>
      </c>
      <c r="H2837" s="2461" t="s">
        <v>1116</v>
      </c>
      <c r="I2837" s="2462">
        <v>6.7277759729254026E-3</v>
      </c>
      <c r="J2837" s="2462">
        <v>71.030084224671626</v>
      </c>
    </row>
    <row r="2838" spans="1:10" outlineLevel="2">
      <c r="A2838" s="2459" t="s">
        <v>1669</v>
      </c>
      <c r="B2838" s="2459" t="s">
        <v>1656</v>
      </c>
      <c r="C2838" s="2459" t="s">
        <v>1675</v>
      </c>
      <c r="D2838" s="2460" t="s">
        <v>1671</v>
      </c>
      <c r="E2838" s="2461" t="s">
        <v>213</v>
      </c>
      <c r="F2838" s="2461" t="s">
        <v>1486</v>
      </c>
      <c r="G2838" s="2461" t="s">
        <v>1412</v>
      </c>
      <c r="H2838" s="2461" t="s">
        <v>1116</v>
      </c>
      <c r="I2838" s="2462">
        <v>5.5825673802315529E-3</v>
      </c>
      <c r="J2838" s="2462">
        <v>15.26308464364884</v>
      </c>
    </row>
    <row r="2839" spans="1:10" outlineLevel="2">
      <c r="A2839" s="2459" t="s">
        <v>1669</v>
      </c>
      <c r="B2839" s="2459" t="s">
        <v>1656</v>
      </c>
      <c r="C2839" s="2459" t="s">
        <v>1675</v>
      </c>
      <c r="D2839" s="2460" t="s">
        <v>1671</v>
      </c>
      <c r="E2839" s="2461" t="s">
        <v>213</v>
      </c>
      <c r="F2839" s="2461" t="s">
        <v>1487</v>
      </c>
      <c r="G2839" s="2461" t="s">
        <v>1412</v>
      </c>
      <c r="H2839" s="2461" t="s">
        <v>1116</v>
      </c>
      <c r="I2839" s="2462">
        <v>2.1473739724873861E-2</v>
      </c>
      <c r="J2839" s="2462">
        <v>28.668262629219381</v>
      </c>
    </row>
    <row r="2840" spans="1:10" outlineLevel="2">
      <c r="A2840" s="2459" t="s">
        <v>1669</v>
      </c>
      <c r="B2840" s="2459" t="s">
        <v>1656</v>
      </c>
      <c r="C2840" s="2459" t="s">
        <v>1675</v>
      </c>
      <c r="D2840" s="2460" t="s">
        <v>1671</v>
      </c>
      <c r="E2840" s="2461" t="s">
        <v>213</v>
      </c>
      <c r="F2840" s="2461" t="s">
        <v>1488</v>
      </c>
      <c r="G2840" s="2461" t="s">
        <v>1412</v>
      </c>
      <c r="H2840" s="2461" t="s">
        <v>1116</v>
      </c>
      <c r="I2840" s="2462">
        <v>6.0582044461146285E-4</v>
      </c>
      <c r="J2840" s="2462">
        <v>1.3154223646353047</v>
      </c>
    </row>
    <row r="2841" spans="1:10" outlineLevel="2">
      <c r="A2841" s="2459" t="s">
        <v>1669</v>
      </c>
      <c r="B2841" s="2459" t="s">
        <v>1656</v>
      </c>
      <c r="C2841" s="2459" t="s">
        <v>1675</v>
      </c>
      <c r="D2841" s="2460" t="s">
        <v>1671</v>
      </c>
      <c r="E2841" s="2461" t="s">
        <v>213</v>
      </c>
      <c r="F2841" s="2461" t="s">
        <v>1489</v>
      </c>
      <c r="G2841" s="2461" t="s">
        <v>1412</v>
      </c>
      <c r="H2841" s="2461" t="s">
        <v>1116</v>
      </c>
      <c r="I2841" s="2462">
        <v>4.2882269356410375E-4</v>
      </c>
      <c r="J2841" s="2462">
        <v>0.63667479988264875</v>
      </c>
    </row>
    <row r="2842" spans="1:10" outlineLevel="2">
      <c r="A2842" s="2459" t="s">
        <v>1669</v>
      </c>
      <c r="B2842" s="2459" t="s">
        <v>1656</v>
      </c>
      <c r="C2842" s="2459" t="s">
        <v>1675</v>
      </c>
      <c r="D2842" s="2460" t="s">
        <v>1671</v>
      </c>
      <c r="E2842" s="2461" t="s">
        <v>213</v>
      </c>
      <c r="F2842" s="2461" t="s">
        <v>1490</v>
      </c>
      <c r="G2842" s="2461" t="s">
        <v>1412</v>
      </c>
      <c r="H2842" s="2461" t="s">
        <v>1116</v>
      </c>
      <c r="I2842" s="2462">
        <v>4.4107646081734407E-4</v>
      </c>
      <c r="J2842" s="2462">
        <v>6.2730581578545594</v>
      </c>
    </row>
    <row r="2843" spans="1:10" outlineLevel="2">
      <c r="A2843" s="2459" t="s">
        <v>1669</v>
      </c>
      <c r="B2843" s="2459" t="s">
        <v>1656</v>
      </c>
      <c r="C2843" s="2459" t="s">
        <v>1675</v>
      </c>
      <c r="D2843" s="2460" t="s">
        <v>1671</v>
      </c>
      <c r="E2843" s="2461" t="s">
        <v>213</v>
      </c>
      <c r="F2843" s="2461" t="s">
        <v>1491</v>
      </c>
      <c r="G2843" s="2461" t="s">
        <v>1439</v>
      </c>
      <c r="H2843" s="2461" t="s">
        <v>1440</v>
      </c>
      <c r="I2843" s="2462">
        <v>0.13727959914055174</v>
      </c>
      <c r="J2843" s="2462">
        <v>146.78088522723297</v>
      </c>
    </row>
    <row r="2844" spans="1:10" outlineLevel="2">
      <c r="A2844" s="2459" t="s">
        <v>1669</v>
      </c>
      <c r="B2844" s="2459" t="s">
        <v>1656</v>
      </c>
      <c r="C2844" s="2459" t="s">
        <v>1675</v>
      </c>
      <c r="D2844" s="2460" t="s">
        <v>1671</v>
      </c>
      <c r="E2844" s="2461" t="s">
        <v>213</v>
      </c>
      <c r="F2844" s="2461" t="s">
        <v>1492</v>
      </c>
      <c r="G2844" s="2461" t="s">
        <v>1439</v>
      </c>
      <c r="H2844" s="2461" t="s">
        <v>1440</v>
      </c>
      <c r="I2844" s="2462">
        <v>0.19669559351883301</v>
      </c>
      <c r="J2844" s="2462">
        <v>266.80820379968816</v>
      </c>
    </row>
    <row r="2845" spans="1:10" outlineLevel="2">
      <c r="A2845" s="2459" t="s">
        <v>1669</v>
      </c>
      <c r="B2845" s="2459" t="s">
        <v>1656</v>
      </c>
      <c r="C2845" s="2459" t="s">
        <v>1675</v>
      </c>
      <c r="D2845" s="2460" t="s">
        <v>1671</v>
      </c>
      <c r="E2845" s="2461" t="s">
        <v>213</v>
      </c>
      <c r="F2845" s="2461" t="s">
        <v>1493</v>
      </c>
      <c r="G2845" s="2461" t="s">
        <v>1439</v>
      </c>
      <c r="H2845" s="2461" t="s">
        <v>1440</v>
      </c>
      <c r="I2845" s="2462">
        <v>1.1817672124806469E-2</v>
      </c>
      <c r="J2845" s="2462">
        <v>12.630751317896539</v>
      </c>
    </row>
    <row r="2846" spans="1:10" outlineLevel="2">
      <c r="A2846" s="2459" t="s">
        <v>1669</v>
      </c>
      <c r="B2846" s="2459" t="s">
        <v>1656</v>
      </c>
      <c r="C2846" s="2459" t="s">
        <v>1675</v>
      </c>
      <c r="D2846" s="2460" t="s">
        <v>1671</v>
      </c>
      <c r="E2846" s="2461" t="s">
        <v>213</v>
      </c>
      <c r="F2846" s="2461" t="s">
        <v>1494</v>
      </c>
      <c r="G2846" s="2461" t="s">
        <v>1439</v>
      </c>
      <c r="H2846" s="2461" t="s">
        <v>1440</v>
      </c>
      <c r="I2846" s="2462">
        <v>0.12534847521471917</v>
      </c>
      <c r="J2846" s="2462">
        <v>158.26092991242666</v>
      </c>
    </row>
    <row r="2847" spans="1:10" outlineLevel="2">
      <c r="A2847" s="2459" t="s">
        <v>1669</v>
      </c>
      <c r="B2847" s="2459" t="s">
        <v>1656</v>
      </c>
      <c r="C2847" s="2459" t="s">
        <v>1675</v>
      </c>
      <c r="D2847" s="2460" t="s">
        <v>1671</v>
      </c>
      <c r="E2847" s="2461" t="s">
        <v>213</v>
      </c>
      <c r="F2847" s="2461" t="s">
        <v>1495</v>
      </c>
      <c r="G2847" s="2461" t="s">
        <v>1439</v>
      </c>
      <c r="H2847" s="2461" t="s">
        <v>1440</v>
      </c>
      <c r="I2847" s="2462">
        <v>6.4377477722634801E-4</v>
      </c>
      <c r="J2847" s="2462">
        <v>0.81591361593218481</v>
      </c>
    </row>
    <row r="2848" spans="1:10" outlineLevel="2">
      <c r="A2848" s="2459" t="s">
        <v>1669</v>
      </c>
      <c r="B2848" s="2459" t="s">
        <v>1656</v>
      </c>
      <c r="C2848" s="2459" t="s">
        <v>1675</v>
      </c>
      <c r="D2848" s="2460" t="s">
        <v>1671</v>
      </c>
      <c r="E2848" s="2461" t="s">
        <v>213</v>
      </c>
      <c r="F2848" s="2461" t="s">
        <v>1496</v>
      </c>
      <c r="G2848" s="2461" t="s">
        <v>1439</v>
      </c>
      <c r="H2848" s="2461" t="s">
        <v>1440</v>
      </c>
      <c r="I2848" s="2462">
        <v>4.366897249339691E-3</v>
      </c>
      <c r="J2848" s="2462">
        <v>6.1799463381665234</v>
      </c>
    </row>
    <row r="2849" spans="1:10" outlineLevel="2">
      <c r="A2849" s="2459" t="s">
        <v>1669</v>
      </c>
      <c r="B2849" s="2459" t="s">
        <v>1656</v>
      </c>
      <c r="C2849" s="2459" t="s">
        <v>1675</v>
      </c>
      <c r="D2849" s="2460" t="s">
        <v>1671</v>
      </c>
      <c r="E2849" s="2461" t="s">
        <v>213</v>
      </c>
      <c r="F2849" s="2461" t="s">
        <v>1497</v>
      </c>
      <c r="G2849" s="2461" t="s">
        <v>1439</v>
      </c>
      <c r="H2849" s="2461" t="s">
        <v>1440</v>
      </c>
      <c r="I2849" s="2462">
        <v>1.2260879409785456E-3</v>
      </c>
      <c r="J2849" s="2462">
        <v>1.556579398025572</v>
      </c>
    </row>
    <row r="2850" spans="1:10" outlineLevel="2">
      <c r="A2850" s="2459" t="s">
        <v>1669</v>
      </c>
      <c r="B2850" s="2459" t="s">
        <v>1656</v>
      </c>
      <c r="C2850" s="2459" t="s">
        <v>1675</v>
      </c>
      <c r="D2850" s="2460" t="s">
        <v>1671</v>
      </c>
      <c r="E2850" s="2461" t="s">
        <v>213</v>
      </c>
      <c r="F2850" s="2461" t="s">
        <v>1498</v>
      </c>
      <c r="G2850" s="2461" t="s">
        <v>1439</v>
      </c>
      <c r="H2850" s="2461" t="s">
        <v>1440</v>
      </c>
      <c r="I2850" s="2462">
        <v>0.14924244930298053</v>
      </c>
      <c r="J2850" s="2462">
        <v>253.59173997290131</v>
      </c>
    </row>
    <row r="2851" spans="1:10" outlineLevel="2">
      <c r="A2851" s="2459" t="s">
        <v>1669</v>
      </c>
      <c r="B2851" s="2459" t="s">
        <v>1656</v>
      </c>
      <c r="C2851" s="2459" t="s">
        <v>1675</v>
      </c>
      <c r="D2851" s="2460" t="s">
        <v>1671</v>
      </c>
      <c r="E2851" s="2461" t="s">
        <v>213</v>
      </c>
      <c r="F2851" s="2461" t="s">
        <v>1499</v>
      </c>
      <c r="G2851" s="2461" t="s">
        <v>1439</v>
      </c>
      <c r="H2851" s="2461" t="s">
        <v>1440</v>
      </c>
      <c r="I2851" s="2462">
        <v>3.1201853271590464E-2</v>
      </c>
      <c r="J2851" s="2462">
        <v>16.611916692504209</v>
      </c>
    </row>
    <row r="2852" spans="1:10" outlineLevel="2">
      <c r="A2852" s="2459" t="s">
        <v>1669</v>
      </c>
      <c r="B2852" s="2459" t="s">
        <v>1656</v>
      </c>
      <c r="C2852" s="2459" t="s">
        <v>1675</v>
      </c>
      <c r="D2852" s="2460" t="s">
        <v>1671</v>
      </c>
      <c r="E2852" s="2461" t="s">
        <v>213</v>
      </c>
      <c r="F2852" s="2461" t="s">
        <v>1500</v>
      </c>
      <c r="G2852" s="2461" t="s">
        <v>1439</v>
      </c>
      <c r="H2852" s="2461" t="s">
        <v>1440</v>
      </c>
      <c r="I2852" s="2462">
        <v>0.18846335832335573</v>
      </c>
      <c r="J2852" s="2462">
        <v>100.3263975979963</v>
      </c>
    </row>
    <row r="2853" spans="1:10" outlineLevel="2">
      <c r="A2853" s="2459" t="s">
        <v>1669</v>
      </c>
      <c r="B2853" s="2459" t="s">
        <v>1656</v>
      </c>
      <c r="C2853" s="2459" t="s">
        <v>1675</v>
      </c>
      <c r="D2853" s="2460" t="s">
        <v>1671</v>
      </c>
      <c r="E2853" s="2461" t="s">
        <v>213</v>
      </c>
      <c r="F2853" s="2461" t="s">
        <v>1501</v>
      </c>
      <c r="G2853" s="2461" t="s">
        <v>1439</v>
      </c>
      <c r="H2853" s="2461" t="s">
        <v>1440</v>
      </c>
      <c r="I2853" s="2462">
        <v>2.0454824381992396E-2</v>
      </c>
      <c r="J2853" s="2462">
        <v>29.811657272862661</v>
      </c>
    </row>
    <row r="2854" spans="1:10" outlineLevel="2">
      <c r="A2854" s="2459" t="s">
        <v>1669</v>
      </c>
      <c r="B2854" s="2459" t="s">
        <v>1656</v>
      </c>
      <c r="C2854" s="2459" t="s">
        <v>1675</v>
      </c>
      <c r="D2854" s="2460" t="s">
        <v>1671</v>
      </c>
      <c r="E2854" s="2461" t="s">
        <v>213</v>
      </c>
      <c r="F2854" s="2461" t="s">
        <v>1502</v>
      </c>
      <c r="G2854" s="2461" t="s">
        <v>1439</v>
      </c>
      <c r="H2854" s="2461" t="s">
        <v>1440</v>
      </c>
      <c r="I2854" s="2462">
        <v>2.2462693777376093E-2</v>
      </c>
      <c r="J2854" s="2462">
        <v>33.897865374707415</v>
      </c>
    </row>
    <row r="2855" spans="1:10" outlineLevel="2">
      <c r="A2855" s="2459" t="s">
        <v>1669</v>
      </c>
      <c r="B2855" s="2459" t="s">
        <v>1656</v>
      </c>
      <c r="C2855" s="2459" t="s">
        <v>1675</v>
      </c>
      <c r="D2855" s="2460" t="s">
        <v>1671</v>
      </c>
      <c r="E2855" s="2461" t="s">
        <v>213</v>
      </c>
      <c r="F2855" s="2461" t="s">
        <v>1503</v>
      </c>
      <c r="G2855" s="2461" t="s">
        <v>1439</v>
      </c>
      <c r="H2855" s="2461" t="s">
        <v>1440</v>
      </c>
      <c r="I2855" s="2462">
        <v>2.9636004964834661E-2</v>
      </c>
      <c r="J2855" s="2462">
        <v>38.369045660577171</v>
      </c>
    </row>
    <row r="2856" spans="1:10" outlineLevel="2">
      <c r="A2856" s="2459" t="s">
        <v>1669</v>
      </c>
      <c r="B2856" s="2459" t="s">
        <v>1656</v>
      </c>
      <c r="C2856" s="2459" t="s">
        <v>1675</v>
      </c>
      <c r="D2856" s="2460" t="s">
        <v>1671</v>
      </c>
      <c r="E2856" s="2461" t="s">
        <v>213</v>
      </c>
      <c r="F2856" s="2461" t="s">
        <v>1504</v>
      </c>
      <c r="G2856" s="2461" t="s">
        <v>1439</v>
      </c>
      <c r="H2856" s="2461" t="s">
        <v>1440</v>
      </c>
      <c r="I2856" s="2462">
        <v>1.5122200557935188E-2</v>
      </c>
      <c r="J2856" s="2462">
        <v>18.217398459913156</v>
      </c>
    </row>
    <row r="2857" spans="1:10" outlineLevel="2">
      <c r="A2857" s="2459" t="s">
        <v>1669</v>
      </c>
      <c r="B2857" s="2459" t="s">
        <v>1656</v>
      </c>
      <c r="C2857" s="2459" t="s">
        <v>1675</v>
      </c>
      <c r="D2857" s="2460" t="s">
        <v>1671</v>
      </c>
      <c r="E2857" s="2461" t="s">
        <v>213</v>
      </c>
      <c r="F2857" s="2461" t="s">
        <v>1505</v>
      </c>
      <c r="G2857" s="2461" t="s">
        <v>1439</v>
      </c>
      <c r="H2857" s="2461" t="s">
        <v>1440</v>
      </c>
      <c r="I2857" s="2462">
        <v>0.27355737729446672</v>
      </c>
      <c r="J2857" s="2462">
        <v>399.60109533718105</v>
      </c>
    </row>
    <row r="2858" spans="1:10" outlineLevel="2">
      <c r="A2858" s="2459" t="s">
        <v>1669</v>
      </c>
      <c r="B2858" s="2459" t="s">
        <v>1656</v>
      </c>
      <c r="C2858" s="2459" t="s">
        <v>1675</v>
      </c>
      <c r="D2858" s="2460" t="s">
        <v>1671</v>
      </c>
      <c r="E2858" s="2461" t="s">
        <v>213</v>
      </c>
      <c r="F2858" s="2461" t="s">
        <v>1506</v>
      </c>
      <c r="G2858" s="2461" t="s">
        <v>1439</v>
      </c>
      <c r="H2858" s="2461" t="s">
        <v>1440</v>
      </c>
      <c r="I2858" s="2462">
        <v>0.30520002692280068</v>
      </c>
      <c r="J2858" s="2462">
        <v>460.67337750227603</v>
      </c>
    </row>
    <row r="2859" spans="1:10" outlineLevel="2">
      <c r="A2859" s="2459" t="s">
        <v>1669</v>
      </c>
      <c r="B2859" s="2459" t="s">
        <v>1656</v>
      </c>
      <c r="C2859" s="2459" t="s">
        <v>1675</v>
      </c>
      <c r="D2859" s="2460" t="s">
        <v>1671</v>
      </c>
      <c r="E2859" s="2461" t="s">
        <v>213</v>
      </c>
      <c r="F2859" s="2461" t="s">
        <v>1507</v>
      </c>
      <c r="G2859" s="2461" t="s">
        <v>1439</v>
      </c>
      <c r="H2859" s="2461" t="s">
        <v>1440</v>
      </c>
      <c r="I2859" s="2462">
        <v>3.4151350552214008E-2</v>
      </c>
      <c r="J2859" s="2462">
        <v>76.920411937647472</v>
      </c>
    </row>
    <row r="2860" spans="1:10" outlineLevel="2">
      <c r="A2860" s="2459" t="s">
        <v>1669</v>
      </c>
      <c r="B2860" s="2459" t="s">
        <v>1656</v>
      </c>
      <c r="C2860" s="2459" t="s">
        <v>1675</v>
      </c>
      <c r="D2860" s="2460" t="s">
        <v>1671</v>
      </c>
      <c r="E2860" s="2461" t="s">
        <v>213</v>
      </c>
      <c r="F2860" s="2461" t="s">
        <v>1508</v>
      </c>
      <c r="G2860" s="2461" t="s">
        <v>1439</v>
      </c>
      <c r="H2860" s="2461" t="s">
        <v>1440</v>
      </c>
      <c r="I2860" s="2462">
        <v>0.94003123865331029</v>
      </c>
      <c r="J2860" s="2462">
        <v>1487.0835359654443</v>
      </c>
    </row>
    <row r="2861" spans="1:10" outlineLevel="2">
      <c r="A2861" s="2459" t="s">
        <v>1669</v>
      </c>
      <c r="B2861" s="2459" t="s">
        <v>1656</v>
      </c>
      <c r="C2861" s="2459" t="s">
        <v>1675</v>
      </c>
      <c r="D2861" s="2460" t="s">
        <v>1671</v>
      </c>
      <c r="E2861" s="2461" t="s">
        <v>213</v>
      </c>
      <c r="F2861" s="2461" t="s">
        <v>1509</v>
      </c>
      <c r="G2861" s="2461" t="s">
        <v>1439</v>
      </c>
      <c r="H2861" s="2461" t="s">
        <v>1440</v>
      </c>
      <c r="I2861" s="2462">
        <v>1.2453905400674131E-2</v>
      </c>
      <c r="J2861" s="2462">
        <v>14.204389598893609</v>
      </c>
    </row>
    <row r="2862" spans="1:10" outlineLevel="2">
      <c r="A2862" s="2459" t="s">
        <v>1669</v>
      </c>
      <c r="B2862" s="2459" t="s">
        <v>1656</v>
      </c>
      <c r="C2862" s="2459" t="s">
        <v>1675</v>
      </c>
      <c r="D2862" s="2460" t="s">
        <v>1671</v>
      </c>
      <c r="E2862" s="2461" t="s">
        <v>213</v>
      </c>
      <c r="F2862" s="2461" t="s">
        <v>1510</v>
      </c>
      <c r="G2862" s="2461" t="s">
        <v>1439</v>
      </c>
      <c r="H2862" s="2461" t="s">
        <v>1440</v>
      </c>
      <c r="I2862" s="2462">
        <v>3.9447659430476713E-2</v>
      </c>
      <c r="J2862" s="2462">
        <v>45.695589014653606</v>
      </c>
    </row>
    <row r="2863" spans="1:10" outlineLevel="2">
      <c r="A2863" s="2459" t="s">
        <v>1669</v>
      </c>
      <c r="B2863" s="2459" t="s">
        <v>1656</v>
      </c>
      <c r="C2863" s="2459" t="s">
        <v>1675</v>
      </c>
      <c r="D2863" s="2460" t="s">
        <v>1671</v>
      </c>
      <c r="E2863" s="2461" t="s">
        <v>213</v>
      </c>
      <c r="F2863" s="2461" t="s">
        <v>1511</v>
      </c>
      <c r="G2863" s="2461" t="s">
        <v>1418</v>
      </c>
      <c r="H2863" s="2461" t="s">
        <v>1452</v>
      </c>
      <c r="I2863" s="2462">
        <v>1.0286412010928321E-3</v>
      </c>
      <c r="J2863" s="2462">
        <v>1.5164354300352216</v>
      </c>
    </row>
    <row r="2864" spans="1:10" outlineLevel="2">
      <c r="A2864" s="2459" t="s">
        <v>1669</v>
      </c>
      <c r="B2864" s="2459" t="s">
        <v>1656</v>
      </c>
      <c r="C2864" s="2459" t="s">
        <v>1675</v>
      </c>
      <c r="D2864" s="2460" t="s">
        <v>1671</v>
      </c>
      <c r="E2864" s="2461" t="s">
        <v>213</v>
      </c>
      <c r="F2864" s="2461" t="s">
        <v>1512</v>
      </c>
      <c r="G2864" s="2461" t="s">
        <v>1418</v>
      </c>
      <c r="H2864" s="2461" t="s">
        <v>1452</v>
      </c>
      <c r="I2864" s="2462">
        <v>1.3461008236781492E-3</v>
      </c>
      <c r="J2864" s="2462">
        <v>5.8680584625727228</v>
      </c>
    </row>
    <row r="2865" spans="1:10" outlineLevel="2">
      <c r="A2865" s="2459" t="s">
        <v>1669</v>
      </c>
      <c r="B2865" s="2459" t="s">
        <v>1656</v>
      </c>
      <c r="C2865" s="2459" t="s">
        <v>1675</v>
      </c>
      <c r="D2865" s="2460" t="s">
        <v>1671</v>
      </c>
      <c r="E2865" s="2461" t="s">
        <v>213</v>
      </c>
      <c r="F2865" s="2461" t="s">
        <v>1513</v>
      </c>
      <c r="G2865" s="2461" t="s">
        <v>1418</v>
      </c>
      <c r="H2865" s="2461" t="s">
        <v>1452</v>
      </c>
      <c r="I2865" s="2462">
        <v>5.0197832139724119E-5</v>
      </c>
      <c r="J2865" s="2462">
        <v>4.7072010943569734E-2</v>
      </c>
    </row>
    <row r="2866" spans="1:10" outlineLevel="2">
      <c r="A2866" s="2459" t="s">
        <v>1669</v>
      </c>
      <c r="B2866" s="2459" t="s">
        <v>1656</v>
      </c>
      <c r="C2866" s="2459" t="s">
        <v>1675</v>
      </c>
      <c r="D2866" s="2460" t="s">
        <v>1671</v>
      </c>
      <c r="E2866" s="2461" t="s">
        <v>213</v>
      </c>
      <c r="F2866" s="2461" t="s">
        <v>1514</v>
      </c>
      <c r="G2866" s="2461" t="s">
        <v>1418</v>
      </c>
      <c r="H2866" s="2461" t="s">
        <v>1452</v>
      </c>
      <c r="I2866" s="2462">
        <v>4.5026652826373652E-3</v>
      </c>
      <c r="J2866" s="2462">
        <v>4.2138736465109714</v>
      </c>
    </row>
    <row r="2867" spans="1:10" outlineLevel="2">
      <c r="A2867" s="2459" t="s">
        <v>1669</v>
      </c>
      <c r="B2867" s="2459" t="s">
        <v>1656</v>
      </c>
      <c r="C2867" s="2459" t="s">
        <v>1675</v>
      </c>
      <c r="D2867" s="2460" t="s">
        <v>1671</v>
      </c>
      <c r="E2867" s="2461" t="s">
        <v>213</v>
      </c>
      <c r="F2867" s="2461" t="s">
        <v>1515</v>
      </c>
      <c r="G2867" s="2461" t="s">
        <v>1418</v>
      </c>
      <c r="H2867" s="2461" t="s">
        <v>1452</v>
      </c>
      <c r="I2867" s="2462">
        <v>8.654356755029883E-4</v>
      </c>
      <c r="J2867" s="2462">
        <v>1.2467402228475999</v>
      </c>
    </row>
    <row r="2868" spans="1:10" outlineLevel="2">
      <c r="A2868" s="2459" t="s">
        <v>1669</v>
      </c>
      <c r="B2868" s="2459" t="s">
        <v>1656</v>
      </c>
      <c r="C2868" s="2459" t="s">
        <v>1675</v>
      </c>
      <c r="D2868" s="2460" t="s">
        <v>1671</v>
      </c>
      <c r="E2868" s="2461" t="s">
        <v>213</v>
      </c>
      <c r="F2868" s="2461" t="s">
        <v>1516</v>
      </c>
      <c r="G2868" s="2461" t="s">
        <v>1418</v>
      </c>
      <c r="H2868" s="2461" t="s">
        <v>1452</v>
      </c>
      <c r="I2868" s="2462">
        <v>1.2367151095953112E-2</v>
      </c>
      <c r="J2868" s="2462">
        <v>13.813811312807477</v>
      </c>
    </row>
    <row r="2869" spans="1:10" outlineLevel="2">
      <c r="A2869" s="2459" t="s">
        <v>1669</v>
      </c>
      <c r="B2869" s="2459" t="s">
        <v>1656</v>
      </c>
      <c r="C2869" s="2459" t="s">
        <v>1675</v>
      </c>
      <c r="D2869" s="2460" t="s">
        <v>1671</v>
      </c>
      <c r="E2869" s="2461" t="s">
        <v>213</v>
      </c>
      <c r="F2869" s="2461" t="s">
        <v>1517</v>
      </c>
      <c r="G2869" s="2461" t="s">
        <v>1418</v>
      </c>
      <c r="H2869" s="2461" t="s">
        <v>1452</v>
      </c>
      <c r="I2869" s="2462">
        <v>6.3312793394096414E-2</v>
      </c>
      <c r="J2869" s="2462">
        <v>30.969151424688732</v>
      </c>
    </row>
    <row r="2870" spans="1:10" outlineLevel="2">
      <c r="A2870" s="2459" t="s">
        <v>1669</v>
      </c>
      <c r="B2870" s="2459" t="s">
        <v>1656</v>
      </c>
      <c r="C2870" s="2459" t="s">
        <v>1675</v>
      </c>
      <c r="D2870" s="2460" t="s">
        <v>1671</v>
      </c>
      <c r="E2870" s="2461" t="s">
        <v>213</v>
      </c>
      <c r="F2870" s="2461" t="s">
        <v>1518</v>
      </c>
      <c r="G2870" s="2461" t="s">
        <v>1418</v>
      </c>
      <c r="H2870" s="2461" t="s">
        <v>1452</v>
      </c>
      <c r="I2870" s="2462">
        <v>7.130837274352186E-3</v>
      </c>
      <c r="J2870" s="2462">
        <v>6.673479111427481</v>
      </c>
    </row>
    <row r="2871" spans="1:10" outlineLevel="2">
      <c r="A2871" s="2459" t="s">
        <v>1669</v>
      </c>
      <c r="B2871" s="2459" t="s">
        <v>1656</v>
      </c>
      <c r="C2871" s="2459" t="s">
        <v>1675</v>
      </c>
      <c r="D2871" s="2460" t="s">
        <v>1671</v>
      </c>
      <c r="E2871" s="2461" t="s">
        <v>213</v>
      </c>
      <c r="F2871" s="2461" t="s">
        <v>1519</v>
      </c>
      <c r="G2871" s="2461" t="s">
        <v>1418</v>
      </c>
      <c r="H2871" s="2461" t="s">
        <v>1452</v>
      </c>
      <c r="I2871" s="2462">
        <v>9.3616706551818037E-3</v>
      </c>
      <c r="J2871" s="2462">
        <v>9.5232965201209332</v>
      </c>
    </row>
    <row r="2872" spans="1:10" outlineLevel="2">
      <c r="A2872" s="2459" t="s">
        <v>1669</v>
      </c>
      <c r="B2872" s="2459" t="s">
        <v>1656</v>
      </c>
      <c r="C2872" s="2459" t="s">
        <v>1675</v>
      </c>
      <c r="D2872" s="2460" t="s">
        <v>1671</v>
      </c>
      <c r="E2872" s="2461" t="s">
        <v>213</v>
      </c>
      <c r="F2872" s="2461" t="s">
        <v>1520</v>
      </c>
      <c r="G2872" s="2461" t="s">
        <v>1418</v>
      </c>
      <c r="H2872" s="2461" t="s">
        <v>1452</v>
      </c>
      <c r="I2872" s="2462">
        <v>1.1216468079462043E-3</v>
      </c>
      <c r="J2872" s="2462">
        <v>10.177605858941545</v>
      </c>
    </row>
    <row r="2873" spans="1:10" outlineLevel="2">
      <c r="A2873" s="2459" t="s">
        <v>1669</v>
      </c>
      <c r="B2873" s="2459" t="s">
        <v>1656</v>
      </c>
      <c r="C2873" s="2459" t="s">
        <v>1675</v>
      </c>
      <c r="D2873" s="2460" t="s">
        <v>1671</v>
      </c>
      <c r="E2873" s="2461" t="s">
        <v>213</v>
      </c>
      <c r="F2873" s="2461" t="s">
        <v>1521</v>
      </c>
      <c r="G2873" s="2461" t="s">
        <v>1421</v>
      </c>
      <c r="H2873" s="2461" t="s">
        <v>1454</v>
      </c>
      <c r="I2873" s="2462">
        <v>0.20115500234245784</v>
      </c>
      <c r="J2873" s="2462">
        <v>278.83292356078846</v>
      </c>
    </row>
    <row r="2874" spans="1:10" outlineLevel="2">
      <c r="A2874" s="2459" t="s">
        <v>1669</v>
      </c>
      <c r="B2874" s="2459" t="s">
        <v>1656</v>
      </c>
      <c r="C2874" s="2459" t="s">
        <v>1675</v>
      </c>
      <c r="D2874" s="2460" t="s">
        <v>1671</v>
      </c>
      <c r="E2874" s="2461" t="s">
        <v>213</v>
      </c>
      <c r="F2874" s="2461" t="s">
        <v>1522</v>
      </c>
      <c r="G2874" s="2461" t="s">
        <v>1421</v>
      </c>
      <c r="H2874" s="2461" t="s">
        <v>1454</v>
      </c>
      <c r="I2874" s="2462">
        <v>4.7248429592052221E-2</v>
      </c>
      <c r="J2874" s="2462">
        <v>69.761521687640297</v>
      </c>
    </row>
    <row r="2875" spans="1:10" outlineLevel="2">
      <c r="A2875" s="2459" t="s">
        <v>1669</v>
      </c>
      <c r="B2875" s="2459" t="s">
        <v>1656</v>
      </c>
      <c r="C2875" s="2459" t="s">
        <v>1675</v>
      </c>
      <c r="D2875" s="2460" t="s">
        <v>1671</v>
      </c>
      <c r="E2875" s="2461" t="s">
        <v>213</v>
      </c>
      <c r="F2875" s="2461" t="s">
        <v>1523</v>
      </c>
      <c r="G2875" s="2461" t="s">
        <v>1421</v>
      </c>
      <c r="H2875" s="2461" t="s">
        <v>1454</v>
      </c>
      <c r="I2875" s="2462">
        <v>2.1796789017381385E-2</v>
      </c>
      <c r="J2875" s="2462">
        <v>36.88758989876591</v>
      </c>
    </row>
    <row r="2876" spans="1:10" outlineLevel="2">
      <c r="A2876" s="2459" t="s">
        <v>1669</v>
      </c>
      <c r="B2876" s="2459" t="s">
        <v>1656</v>
      </c>
      <c r="C2876" s="2459" t="s">
        <v>1675</v>
      </c>
      <c r="D2876" s="2460" t="s">
        <v>1671</v>
      </c>
      <c r="E2876" s="2461" t="s">
        <v>213</v>
      </c>
      <c r="F2876" s="2461" t="s">
        <v>1524</v>
      </c>
      <c r="G2876" s="2461" t="s">
        <v>1421</v>
      </c>
      <c r="H2876" s="2461" t="s">
        <v>1454</v>
      </c>
      <c r="I2876" s="2462">
        <v>5.022473659931375E-2</v>
      </c>
      <c r="J2876" s="2462">
        <v>79.298330426826126</v>
      </c>
    </row>
    <row r="2877" spans="1:10" outlineLevel="2">
      <c r="A2877" s="2459" t="s">
        <v>1669</v>
      </c>
      <c r="B2877" s="2459" t="s">
        <v>1656</v>
      </c>
      <c r="C2877" s="2459" t="s">
        <v>1675</v>
      </c>
      <c r="D2877" s="2460" t="s">
        <v>1671</v>
      </c>
      <c r="E2877" s="2461" t="s">
        <v>213</v>
      </c>
      <c r="F2877" s="2461" t="s">
        <v>1525</v>
      </c>
      <c r="G2877" s="2461" t="s">
        <v>1421</v>
      </c>
      <c r="H2877" s="2461" t="s">
        <v>1454</v>
      </c>
      <c r="I2877" s="2462">
        <v>8.847826238631977E-2</v>
      </c>
      <c r="J2877" s="2462">
        <v>125.28921613304792</v>
      </c>
    </row>
    <row r="2878" spans="1:10" outlineLevel="2">
      <c r="A2878" s="2459" t="s">
        <v>1669</v>
      </c>
      <c r="B2878" s="2459" t="s">
        <v>1656</v>
      </c>
      <c r="C2878" s="2459" t="s">
        <v>1675</v>
      </c>
      <c r="D2878" s="2460" t="s">
        <v>1671</v>
      </c>
      <c r="E2878" s="2461" t="s">
        <v>213</v>
      </c>
      <c r="F2878" s="2461" t="s">
        <v>1526</v>
      </c>
      <c r="G2878" s="2461" t="s">
        <v>1421</v>
      </c>
      <c r="H2878" s="2461" t="s">
        <v>1454</v>
      </c>
      <c r="I2878" s="2462">
        <v>4.0989640416566921E-3</v>
      </c>
      <c r="J2878" s="2462">
        <v>5.8783672224697492</v>
      </c>
    </row>
    <row r="2879" spans="1:10" outlineLevel="2">
      <c r="A2879" s="2459" t="s">
        <v>1669</v>
      </c>
      <c r="B2879" s="2459" t="s">
        <v>1656</v>
      </c>
      <c r="C2879" s="2459" t="s">
        <v>1675</v>
      </c>
      <c r="D2879" s="2460" t="s">
        <v>1671</v>
      </c>
      <c r="E2879" s="2461" t="s">
        <v>213</v>
      </c>
      <c r="F2879" s="2461" t="s">
        <v>1527</v>
      </c>
      <c r="G2879" s="2461" t="s">
        <v>1459</v>
      </c>
      <c r="H2879" s="2461" t="s">
        <v>1460</v>
      </c>
      <c r="I2879" s="2462">
        <v>6.23190617838128E-3</v>
      </c>
      <c r="J2879" s="2462">
        <v>6.5023534676000248</v>
      </c>
    </row>
    <row r="2880" spans="1:10" outlineLevel="2">
      <c r="A2880" s="2459" t="s">
        <v>1669</v>
      </c>
      <c r="B2880" s="2459" t="s">
        <v>1656</v>
      </c>
      <c r="C2880" s="2459" t="s">
        <v>1675</v>
      </c>
      <c r="D2880" s="2460" t="s">
        <v>1671</v>
      </c>
      <c r="E2880" s="2461" t="s">
        <v>213</v>
      </c>
      <c r="F2880" s="2461" t="s">
        <v>1528</v>
      </c>
      <c r="G2880" s="2461" t="s">
        <v>1459</v>
      </c>
      <c r="H2880" s="2461" t="s">
        <v>1460</v>
      </c>
      <c r="I2880" s="2462">
        <v>5.42456968356236E-5</v>
      </c>
      <c r="J2880" s="2462">
        <v>6.9299790335629968E-2</v>
      </c>
    </row>
    <row r="2881" spans="1:10" outlineLevel="2">
      <c r="A2881" s="2459" t="s">
        <v>1669</v>
      </c>
      <c r="B2881" s="2459" t="s">
        <v>1656</v>
      </c>
      <c r="C2881" s="2459" t="s">
        <v>1675</v>
      </c>
      <c r="D2881" s="2460" t="s">
        <v>1671</v>
      </c>
      <c r="E2881" s="2461" t="s">
        <v>213</v>
      </c>
      <c r="F2881" s="2461" t="s">
        <v>1642</v>
      </c>
      <c r="G2881" s="2461" t="s">
        <v>1412</v>
      </c>
      <c r="H2881" s="2461" t="s">
        <v>1116</v>
      </c>
      <c r="I2881" s="2462">
        <v>8.7560526000218172E-3</v>
      </c>
      <c r="J2881" s="2462">
        <v>10.818214320540029</v>
      </c>
    </row>
    <row r="2882" spans="1:10" outlineLevel="2">
      <c r="A2882" s="2459" t="s">
        <v>1669</v>
      </c>
      <c r="B2882" s="2459" t="s">
        <v>1656</v>
      </c>
      <c r="C2882" s="2459" t="s">
        <v>1675</v>
      </c>
      <c r="D2882" s="2460" t="s">
        <v>1671</v>
      </c>
      <c r="E2882" s="2461" t="s">
        <v>213</v>
      </c>
      <c r="F2882" s="2461" t="s">
        <v>1529</v>
      </c>
      <c r="G2882" s="2461" t="s">
        <v>1530</v>
      </c>
      <c r="H2882" s="2461" t="s">
        <v>1531</v>
      </c>
      <c r="I2882" s="2462">
        <v>4.5110233318042043</v>
      </c>
      <c r="J2882" s="2462">
        <v>3838.0623309439889</v>
      </c>
    </row>
    <row r="2883" spans="1:10" outlineLevel="2">
      <c r="A2883" s="2459" t="s">
        <v>1669</v>
      </c>
      <c r="B2883" s="2459" t="s">
        <v>1656</v>
      </c>
      <c r="C2883" s="2459" t="s">
        <v>1675</v>
      </c>
      <c r="D2883" s="2460" t="s">
        <v>1671</v>
      </c>
      <c r="E2883" s="2461" t="s">
        <v>213</v>
      </c>
      <c r="F2883" s="2461" t="s">
        <v>1532</v>
      </c>
      <c r="G2883" s="2461" t="s">
        <v>1530</v>
      </c>
      <c r="H2883" s="2461" t="s">
        <v>1531</v>
      </c>
      <c r="I2883" s="2462">
        <v>1.8987467622834937</v>
      </c>
      <c r="J2883" s="2462">
        <v>1619.8408998943257</v>
      </c>
    </row>
    <row r="2884" spans="1:10" outlineLevel="2">
      <c r="A2884" s="2459" t="s">
        <v>1669</v>
      </c>
      <c r="B2884" s="2459" t="s">
        <v>1656</v>
      </c>
      <c r="C2884" s="2459" t="s">
        <v>1675</v>
      </c>
      <c r="D2884" s="2460" t="s">
        <v>1671</v>
      </c>
      <c r="E2884" s="2461" t="s">
        <v>213</v>
      </c>
      <c r="F2884" s="2461" t="s">
        <v>1533</v>
      </c>
      <c r="G2884" s="2461" t="s">
        <v>1534</v>
      </c>
      <c r="H2884" s="2461" t="s">
        <v>1531</v>
      </c>
      <c r="I2884" s="2462">
        <v>2.0058962189189011</v>
      </c>
      <c r="J2884" s="2462">
        <v>3370.7594237499588</v>
      </c>
    </row>
    <row r="2885" spans="1:10" outlineLevel="2">
      <c r="A2885" s="2459" t="s">
        <v>1669</v>
      </c>
      <c r="B2885" s="2459" t="s">
        <v>1656</v>
      </c>
      <c r="C2885" s="2459" t="s">
        <v>1675</v>
      </c>
      <c r="D2885" s="2460" t="s">
        <v>1671</v>
      </c>
      <c r="E2885" s="2461" t="s">
        <v>1538</v>
      </c>
      <c r="F2885" s="2461" t="s">
        <v>1539</v>
      </c>
      <c r="G2885" s="2461" t="s">
        <v>1426</v>
      </c>
      <c r="H2885" s="2461" t="s">
        <v>1540</v>
      </c>
      <c r="I2885" s="2462">
        <v>3.845308853103403E-3</v>
      </c>
      <c r="J2885" s="2462">
        <v>7.3639532715053111</v>
      </c>
    </row>
    <row r="2886" spans="1:10" outlineLevel="2">
      <c r="A2886" s="2459" t="s">
        <v>1669</v>
      </c>
      <c r="B2886" s="2459" t="s">
        <v>1656</v>
      </c>
      <c r="C2886" s="2459" t="s">
        <v>1675</v>
      </c>
      <c r="D2886" s="2460" t="s">
        <v>1671</v>
      </c>
      <c r="E2886" s="2461" t="s">
        <v>1538</v>
      </c>
      <c r="F2886" s="2461" t="s">
        <v>1541</v>
      </c>
      <c r="G2886" s="2461" t="s">
        <v>1409</v>
      </c>
      <c r="H2886" s="2461" t="s">
        <v>1540</v>
      </c>
      <c r="I2886" s="2462">
        <v>7.2784993531596173E-5</v>
      </c>
      <c r="J2886" s="2462">
        <v>0.33881389523483418</v>
      </c>
    </row>
    <row r="2887" spans="1:10" outlineLevel="2">
      <c r="A2887" s="2459" t="s">
        <v>1669</v>
      </c>
      <c r="B2887" s="2459" t="s">
        <v>1656</v>
      </c>
      <c r="C2887" s="2459" t="s">
        <v>1675</v>
      </c>
      <c r="D2887" s="2460" t="s">
        <v>1671</v>
      </c>
      <c r="E2887" s="2461" t="s">
        <v>1538</v>
      </c>
      <c r="F2887" s="2461" t="s">
        <v>1542</v>
      </c>
      <c r="G2887" s="2461" t="s">
        <v>1409</v>
      </c>
      <c r="H2887" s="2461" t="s">
        <v>1540</v>
      </c>
      <c r="I2887" s="2462">
        <v>3.9036922177903386E-5</v>
      </c>
      <c r="J2887" s="2462">
        <v>0.56661559330151368</v>
      </c>
    </row>
    <row r="2888" spans="1:10" outlineLevel="2">
      <c r="A2888" s="2459" t="s">
        <v>1669</v>
      </c>
      <c r="B2888" s="2459" t="s">
        <v>1656</v>
      </c>
      <c r="C2888" s="2459" t="s">
        <v>1675</v>
      </c>
      <c r="D2888" s="2460" t="s">
        <v>1671</v>
      </c>
      <c r="E2888" s="2461" t="s">
        <v>1538</v>
      </c>
      <c r="F2888" s="2461" t="s">
        <v>1543</v>
      </c>
      <c r="G2888" s="2461" t="s">
        <v>1409</v>
      </c>
      <c r="H2888" s="2461" t="s">
        <v>1540</v>
      </c>
      <c r="I2888" s="2462">
        <v>5.7878342894319577E-5</v>
      </c>
      <c r="J2888" s="2462">
        <v>0.10006377736731234</v>
      </c>
    </row>
    <row r="2889" spans="1:10" outlineLevel="2">
      <c r="A2889" s="2459" t="s">
        <v>1669</v>
      </c>
      <c r="B2889" s="2459" t="s">
        <v>1656</v>
      </c>
      <c r="C2889" s="2459" t="s">
        <v>1675</v>
      </c>
      <c r="D2889" s="2460" t="s">
        <v>1671</v>
      </c>
      <c r="E2889" s="2461" t="s">
        <v>1538</v>
      </c>
      <c r="F2889" s="2461" t="s">
        <v>1544</v>
      </c>
      <c r="G2889" s="2461" t="s">
        <v>1409</v>
      </c>
      <c r="H2889" s="2461" t="s">
        <v>1540</v>
      </c>
      <c r="I2889" s="2462">
        <v>1.0596314928060291E-5</v>
      </c>
      <c r="J2889" s="2462">
        <v>5.8011520719788871E-2</v>
      </c>
    </row>
    <row r="2890" spans="1:10" outlineLevel="2">
      <c r="A2890" s="2459" t="s">
        <v>1669</v>
      </c>
      <c r="B2890" s="2459" t="s">
        <v>1656</v>
      </c>
      <c r="C2890" s="2459" t="s">
        <v>1675</v>
      </c>
      <c r="D2890" s="2460" t="s">
        <v>1671</v>
      </c>
      <c r="E2890" s="2461" t="s">
        <v>1538</v>
      </c>
      <c r="F2890" s="2461" t="s">
        <v>1545</v>
      </c>
      <c r="G2890" s="2461" t="s">
        <v>1409</v>
      </c>
      <c r="H2890" s="2461" t="s">
        <v>1540</v>
      </c>
      <c r="I2890" s="2462">
        <v>2.3453324313959956E-4</v>
      </c>
      <c r="J2890" s="2462">
        <v>1.0478206585369327</v>
      </c>
    </row>
    <row r="2891" spans="1:10" outlineLevel="2">
      <c r="A2891" s="2459" t="s">
        <v>1669</v>
      </c>
      <c r="B2891" s="2459" t="s">
        <v>1656</v>
      </c>
      <c r="C2891" s="2459" t="s">
        <v>1675</v>
      </c>
      <c r="D2891" s="2460" t="s">
        <v>1671</v>
      </c>
      <c r="E2891" s="2461" t="s">
        <v>1538</v>
      </c>
      <c r="F2891" s="2461" t="s">
        <v>1546</v>
      </c>
      <c r="G2891" s="2461" t="s">
        <v>1409</v>
      </c>
      <c r="H2891" s="2461" t="s">
        <v>1540</v>
      </c>
      <c r="I2891" s="2462">
        <v>4.4861997438438176E-4</v>
      </c>
      <c r="J2891" s="2462">
        <v>0.52629811065695065</v>
      </c>
    </row>
    <row r="2892" spans="1:10" outlineLevel="2">
      <c r="A2892" s="2459" t="s">
        <v>1669</v>
      </c>
      <c r="B2892" s="2459" t="s">
        <v>1656</v>
      </c>
      <c r="C2892" s="2459" t="s">
        <v>1675</v>
      </c>
      <c r="D2892" s="2460" t="s">
        <v>1671</v>
      </c>
      <c r="E2892" s="2461" t="s">
        <v>1538</v>
      </c>
      <c r="F2892" s="2461" t="s">
        <v>1547</v>
      </c>
      <c r="G2892" s="2461" t="s">
        <v>1409</v>
      </c>
      <c r="H2892" s="2461" t="s">
        <v>1540</v>
      </c>
      <c r="I2892" s="2462">
        <v>4.8726028612018564E-5</v>
      </c>
      <c r="J2892" s="2462">
        <v>0.96942715854897699</v>
      </c>
    </row>
    <row r="2893" spans="1:10" outlineLevel="2">
      <c r="A2893" s="2459" t="s">
        <v>1669</v>
      </c>
      <c r="B2893" s="2459" t="s">
        <v>1656</v>
      </c>
      <c r="C2893" s="2459" t="s">
        <v>1675</v>
      </c>
      <c r="D2893" s="2460" t="s">
        <v>1671</v>
      </c>
      <c r="E2893" s="2461" t="s">
        <v>1538</v>
      </c>
      <c r="F2893" s="2461" t="s">
        <v>1548</v>
      </c>
      <c r="G2893" s="2461" t="s">
        <v>1409</v>
      </c>
      <c r="H2893" s="2461" t="s">
        <v>1540</v>
      </c>
      <c r="I2893" s="2462">
        <v>2.2614991197689613E-4</v>
      </c>
      <c r="J2893" s="2462">
        <v>0.39500985392734717</v>
      </c>
    </row>
    <row r="2894" spans="1:10" outlineLevel="2">
      <c r="A2894" s="2459" t="s">
        <v>1669</v>
      </c>
      <c r="B2894" s="2459" t="s">
        <v>1656</v>
      </c>
      <c r="C2894" s="2459" t="s">
        <v>1675</v>
      </c>
      <c r="D2894" s="2460" t="s">
        <v>1671</v>
      </c>
      <c r="E2894" s="2461" t="s">
        <v>1538</v>
      </c>
      <c r="F2894" s="2461" t="s">
        <v>1549</v>
      </c>
      <c r="G2894" s="2461" t="s">
        <v>1409</v>
      </c>
      <c r="H2894" s="2461" t="s">
        <v>1540</v>
      </c>
      <c r="I2894" s="2462">
        <v>3.3806820311789288E-5</v>
      </c>
      <c r="J2894" s="2462">
        <v>6.4742133314270131E-2</v>
      </c>
    </row>
    <row r="2895" spans="1:10" outlineLevel="2">
      <c r="A2895" s="2459" t="s">
        <v>1669</v>
      </c>
      <c r="B2895" s="2459" t="s">
        <v>1656</v>
      </c>
      <c r="C2895" s="2459" t="s">
        <v>1675</v>
      </c>
      <c r="D2895" s="2460" t="s">
        <v>1671</v>
      </c>
      <c r="E2895" s="2461" t="s">
        <v>1538</v>
      </c>
      <c r="F2895" s="2461" t="s">
        <v>1550</v>
      </c>
      <c r="G2895" s="2461" t="s">
        <v>1409</v>
      </c>
      <c r="H2895" s="2461" t="s">
        <v>1540</v>
      </c>
      <c r="I2895" s="2462">
        <v>1.8527859610533934E-4</v>
      </c>
      <c r="J2895" s="2462">
        <v>0.6732051762832576</v>
      </c>
    </row>
    <row r="2896" spans="1:10" outlineLevel="2">
      <c r="A2896" s="2459" t="s">
        <v>1669</v>
      </c>
      <c r="B2896" s="2459" t="s">
        <v>1656</v>
      </c>
      <c r="C2896" s="2459" t="s">
        <v>1675</v>
      </c>
      <c r="D2896" s="2460" t="s">
        <v>1671</v>
      </c>
      <c r="E2896" s="2461" t="s">
        <v>1538</v>
      </c>
      <c r="F2896" s="2461" t="s">
        <v>1551</v>
      </c>
      <c r="G2896" s="2461" t="s">
        <v>1409</v>
      </c>
      <c r="H2896" s="2461" t="s">
        <v>1540</v>
      </c>
      <c r="I2896" s="2462">
        <v>1.5263935432635963E-4</v>
      </c>
      <c r="J2896" s="2462">
        <v>1.6256431599559402</v>
      </c>
    </row>
    <row r="2897" spans="1:10" outlineLevel="2">
      <c r="A2897" s="2459" t="s">
        <v>1669</v>
      </c>
      <c r="B2897" s="2459" t="s">
        <v>1656</v>
      </c>
      <c r="C2897" s="2459" t="s">
        <v>1675</v>
      </c>
      <c r="D2897" s="2460" t="s">
        <v>1671</v>
      </c>
      <c r="E2897" s="2461" t="s">
        <v>1538</v>
      </c>
      <c r="F2897" s="2461" t="s">
        <v>1552</v>
      </c>
      <c r="G2897" s="2461" t="s">
        <v>1409</v>
      </c>
      <c r="H2897" s="2461" t="s">
        <v>1540</v>
      </c>
      <c r="I2897" s="2462">
        <v>1.0740396204205993E-5</v>
      </c>
      <c r="J2897" s="2462">
        <v>0.17103890874062655</v>
      </c>
    </row>
    <row r="2898" spans="1:10" outlineLevel="2">
      <c r="A2898" s="2459" t="s">
        <v>1669</v>
      </c>
      <c r="B2898" s="2459" t="s">
        <v>1656</v>
      </c>
      <c r="C2898" s="2459" t="s">
        <v>1675</v>
      </c>
      <c r="D2898" s="2460" t="s">
        <v>1671</v>
      </c>
      <c r="E2898" s="2461" t="s">
        <v>1538</v>
      </c>
      <c r="F2898" s="2461" t="s">
        <v>1553</v>
      </c>
      <c r="G2898" s="2461" t="s">
        <v>1409</v>
      </c>
      <c r="H2898" s="2461" t="s">
        <v>1540</v>
      </c>
      <c r="I2898" s="2462">
        <v>7.9650454633524057E-4</v>
      </c>
      <c r="J2898" s="2462">
        <v>1.4642966947303946</v>
      </c>
    </row>
    <row r="2899" spans="1:10" outlineLevel="2">
      <c r="A2899" s="2459" t="s">
        <v>1669</v>
      </c>
      <c r="B2899" s="2459" t="s">
        <v>1656</v>
      </c>
      <c r="C2899" s="2459" t="s">
        <v>1675</v>
      </c>
      <c r="D2899" s="2460" t="s">
        <v>1671</v>
      </c>
      <c r="E2899" s="2461" t="s">
        <v>1538</v>
      </c>
      <c r="F2899" s="2461" t="s">
        <v>1554</v>
      </c>
      <c r="G2899" s="2461" t="s">
        <v>1409</v>
      </c>
      <c r="H2899" s="2461" t="s">
        <v>1540</v>
      </c>
      <c r="I2899" s="2462">
        <v>4.4397060521042688E-4</v>
      </c>
      <c r="J2899" s="2462">
        <v>0.61452467505283481</v>
      </c>
    </row>
    <row r="2900" spans="1:10" outlineLevel="2">
      <c r="A2900" s="2459" t="s">
        <v>1669</v>
      </c>
      <c r="B2900" s="2459" t="s">
        <v>1656</v>
      </c>
      <c r="C2900" s="2459" t="s">
        <v>1675</v>
      </c>
      <c r="D2900" s="2460" t="s">
        <v>1671</v>
      </c>
      <c r="E2900" s="2461" t="s">
        <v>1538</v>
      </c>
      <c r="F2900" s="2461" t="s">
        <v>1555</v>
      </c>
      <c r="G2900" s="2461" t="s">
        <v>1412</v>
      </c>
      <c r="H2900" s="2461" t="s">
        <v>1540</v>
      </c>
      <c r="I2900" s="2462">
        <v>3.3009493714285915E-3</v>
      </c>
      <c r="J2900" s="2462">
        <v>10.161606733128341</v>
      </c>
    </row>
    <row r="2901" spans="1:10" outlineLevel="2">
      <c r="A2901" s="2459" t="s">
        <v>1669</v>
      </c>
      <c r="B2901" s="2459" t="s">
        <v>1656</v>
      </c>
      <c r="C2901" s="2459" t="s">
        <v>1675</v>
      </c>
      <c r="D2901" s="2460" t="s">
        <v>1671</v>
      </c>
      <c r="E2901" s="2461" t="s">
        <v>1538</v>
      </c>
      <c r="F2901" s="2461" t="s">
        <v>1556</v>
      </c>
      <c r="G2901" s="2461" t="s">
        <v>1412</v>
      </c>
      <c r="H2901" s="2461" t="s">
        <v>1540</v>
      </c>
      <c r="I2901" s="2462">
        <v>6.5625058905887657E-2</v>
      </c>
      <c r="J2901" s="2462">
        <v>924.30934450134021</v>
      </c>
    </row>
    <row r="2902" spans="1:10" outlineLevel="2">
      <c r="A2902" s="2459" t="s">
        <v>1669</v>
      </c>
      <c r="B2902" s="2459" t="s">
        <v>1656</v>
      </c>
      <c r="C2902" s="2459" t="s">
        <v>1675</v>
      </c>
      <c r="D2902" s="2460" t="s">
        <v>1671</v>
      </c>
      <c r="E2902" s="2461" t="s">
        <v>1538</v>
      </c>
      <c r="F2902" s="2461" t="s">
        <v>1557</v>
      </c>
      <c r="G2902" s="2461" t="s">
        <v>1412</v>
      </c>
      <c r="H2902" s="2461" t="s">
        <v>1540</v>
      </c>
      <c r="I2902" s="2462">
        <v>3.9069910723845298E-4</v>
      </c>
      <c r="J2902" s="2462">
        <v>6.8857470886924004</v>
      </c>
    </row>
    <row r="2903" spans="1:10" outlineLevel="2">
      <c r="A2903" s="2459" t="s">
        <v>1669</v>
      </c>
      <c r="B2903" s="2459" t="s">
        <v>1656</v>
      </c>
      <c r="C2903" s="2459" t="s">
        <v>1675</v>
      </c>
      <c r="D2903" s="2460" t="s">
        <v>1671</v>
      </c>
      <c r="E2903" s="2461" t="s">
        <v>1538</v>
      </c>
      <c r="F2903" s="2461" t="s">
        <v>1558</v>
      </c>
      <c r="G2903" s="2461" t="s">
        <v>1412</v>
      </c>
      <c r="H2903" s="2461" t="s">
        <v>1540</v>
      </c>
      <c r="I2903" s="2462">
        <v>1.3069656325349958E-4</v>
      </c>
      <c r="J2903" s="2462">
        <v>2.1720099141504314</v>
      </c>
    </row>
    <row r="2904" spans="1:10" outlineLevel="2">
      <c r="A2904" s="2459" t="s">
        <v>1669</v>
      </c>
      <c r="B2904" s="2459" t="s">
        <v>1656</v>
      </c>
      <c r="C2904" s="2459" t="s">
        <v>1675</v>
      </c>
      <c r="D2904" s="2460" t="s">
        <v>1671</v>
      </c>
      <c r="E2904" s="2461" t="s">
        <v>1538</v>
      </c>
      <c r="F2904" s="2461" t="s">
        <v>1559</v>
      </c>
      <c r="G2904" s="2461" t="s">
        <v>1412</v>
      </c>
      <c r="H2904" s="2461" t="s">
        <v>1540</v>
      </c>
      <c r="I2904" s="2462">
        <v>1.3955140840590587E-4</v>
      </c>
      <c r="J2904" s="2462">
        <v>0.53642166461725782</v>
      </c>
    </row>
    <row r="2905" spans="1:10" outlineLevel="2">
      <c r="A2905" s="2459" t="s">
        <v>1669</v>
      </c>
      <c r="B2905" s="2459" t="s">
        <v>1656</v>
      </c>
      <c r="C2905" s="2459" t="s">
        <v>1675</v>
      </c>
      <c r="D2905" s="2460" t="s">
        <v>1671</v>
      </c>
      <c r="E2905" s="2461" t="s">
        <v>1538</v>
      </c>
      <c r="F2905" s="2461" t="s">
        <v>1560</v>
      </c>
      <c r="G2905" s="2461" t="s">
        <v>1412</v>
      </c>
      <c r="H2905" s="2461" t="s">
        <v>1540</v>
      </c>
      <c r="I2905" s="2462">
        <v>1.9587771008782026E-4</v>
      </c>
      <c r="J2905" s="2462">
        <v>4.266037783325463</v>
      </c>
    </row>
    <row r="2906" spans="1:10" outlineLevel="2">
      <c r="A2906" s="2459" t="s">
        <v>1669</v>
      </c>
      <c r="B2906" s="2459" t="s">
        <v>1656</v>
      </c>
      <c r="C2906" s="2459" t="s">
        <v>1675</v>
      </c>
      <c r="D2906" s="2460" t="s">
        <v>1671</v>
      </c>
      <c r="E2906" s="2461" t="s">
        <v>1538</v>
      </c>
      <c r="F2906" s="2461" t="s">
        <v>1561</v>
      </c>
      <c r="G2906" s="2461" t="s">
        <v>1439</v>
      </c>
      <c r="H2906" s="2461" t="s">
        <v>1540</v>
      </c>
      <c r="I2906" s="2462">
        <v>1.6730020926204957E-3</v>
      </c>
      <c r="J2906" s="2462">
        <v>25.353177688855897</v>
      </c>
    </row>
    <row r="2907" spans="1:10" outlineLevel="2">
      <c r="A2907" s="2459" t="s">
        <v>1669</v>
      </c>
      <c r="B2907" s="2459" t="s">
        <v>1656</v>
      </c>
      <c r="C2907" s="2459" t="s">
        <v>1675</v>
      </c>
      <c r="D2907" s="2460" t="s">
        <v>1671</v>
      </c>
      <c r="E2907" s="2461" t="s">
        <v>1538</v>
      </c>
      <c r="F2907" s="2461" t="s">
        <v>1562</v>
      </c>
      <c r="G2907" s="2461" t="s">
        <v>1418</v>
      </c>
      <c r="H2907" s="2461" t="s">
        <v>1540</v>
      </c>
      <c r="I2907" s="2462">
        <v>4.7744775063115077E-5</v>
      </c>
      <c r="J2907" s="2462">
        <v>6.0162330922892408E-2</v>
      </c>
    </row>
    <row r="2908" spans="1:10" outlineLevel="2">
      <c r="A2908" s="2459" t="s">
        <v>1669</v>
      </c>
      <c r="B2908" s="2459" t="s">
        <v>1656</v>
      </c>
      <c r="C2908" s="2459" t="s">
        <v>1675</v>
      </c>
      <c r="D2908" s="2460" t="s">
        <v>1671</v>
      </c>
      <c r="E2908" s="2461" t="s">
        <v>1538</v>
      </c>
      <c r="F2908" s="2461" t="s">
        <v>1563</v>
      </c>
      <c r="G2908" s="2461" t="s">
        <v>1418</v>
      </c>
      <c r="H2908" s="2461" t="s">
        <v>1540</v>
      </c>
      <c r="I2908" s="2462">
        <v>6.9177787140937985E-6</v>
      </c>
      <c r="J2908" s="2462">
        <v>0.11717928613733612</v>
      </c>
    </row>
    <row r="2909" spans="1:10" outlineLevel="2">
      <c r="A2909" s="2459" t="s">
        <v>1669</v>
      </c>
      <c r="B2909" s="2459" t="s">
        <v>1656</v>
      </c>
      <c r="C2909" s="2459" t="s">
        <v>1675</v>
      </c>
      <c r="D2909" s="2460" t="s">
        <v>1671</v>
      </c>
      <c r="E2909" s="2461" t="s">
        <v>1538</v>
      </c>
      <c r="F2909" s="2461" t="s">
        <v>1564</v>
      </c>
      <c r="G2909" s="2461" t="s">
        <v>1421</v>
      </c>
      <c r="H2909" s="2461" t="s">
        <v>1540</v>
      </c>
      <c r="I2909" s="2462">
        <v>1.0913432942486742E-2</v>
      </c>
      <c r="J2909" s="2462">
        <v>26.79599560197736</v>
      </c>
    </row>
    <row r="2910" spans="1:10" outlineLevel="2">
      <c r="A2910" s="2459" t="s">
        <v>1669</v>
      </c>
      <c r="B2910" s="2459" t="s">
        <v>1656</v>
      </c>
      <c r="C2910" s="2459" t="s">
        <v>1675</v>
      </c>
      <c r="D2910" s="2460" t="s">
        <v>1671</v>
      </c>
      <c r="E2910" s="2461" t="s">
        <v>1538</v>
      </c>
      <c r="F2910" s="2461" t="s">
        <v>1565</v>
      </c>
      <c r="G2910" s="2461" t="s">
        <v>1421</v>
      </c>
      <c r="H2910" s="2461" t="s">
        <v>1540</v>
      </c>
      <c r="I2910" s="2462">
        <v>1.2841436416120577E-3</v>
      </c>
      <c r="J2910" s="2462">
        <v>5.8653062625769783</v>
      </c>
    </row>
    <row r="2911" spans="1:10" outlineLevel="2">
      <c r="A2911" s="2459" t="s">
        <v>1669</v>
      </c>
      <c r="B2911" s="2459" t="s">
        <v>1656</v>
      </c>
      <c r="C2911" s="2459" t="s">
        <v>1675</v>
      </c>
      <c r="D2911" s="2460" t="s">
        <v>1671</v>
      </c>
      <c r="E2911" s="2461" t="s">
        <v>1538</v>
      </c>
      <c r="F2911" s="2461" t="s">
        <v>1566</v>
      </c>
      <c r="G2911" s="2461" t="s">
        <v>1421</v>
      </c>
      <c r="H2911" s="2461" t="s">
        <v>1540</v>
      </c>
      <c r="I2911" s="2462">
        <v>6.695635740925442E-4</v>
      </c>
      <c r="J2911" s="2462">
        <v>6.848764657288819</v>
      </c>
    </row>
    <row r="2912" spans="1:10" outlineLevel="2">
      <c r="A2912" s="2459" t="s">
        <v>1669</v>
      </c>
      <c r="B2912" s="2459" t="s">
        <v>1656</v>
      </c>
      <c r="C2912" s="2459" t="s">
        <v>1675</v>
      </c>
      <c r="D2912" s="2460" t="s">
        <v>1671</v>
      </c>
      <c r="E2912" s="2461" t="s">
        <v>1538</v>
      </c>
      <c r="F2912" s="2461" t="s">
        <v>1567</v>
      </c>
      <c r="G2912" s="2461" t="s">
        <v>1421</v>
      </c>
      <c r="H2912" s="2461" t="s">
        <v>1540</v>
      </c>
      <c r="I2912" s="2462">
        <v>1.1084584328151265E-3</v>
      </c>
      <c r="J2912" s="2462">
        <v>8.512017420237834</v>
      </c>
    </row>
    <row r="2913" spans="1:10" outlineLevel="2">
      <c r="A2913" s="2459" t="s">
        <v>1669</v>
      </c>
      <c r="B2913" s="2459" t="s">
        <v>1656</v>
      </c>
      <c r="C2913" s="2459" t="s">
        <v>1675</v>
      </c>
      <c r="D2913" s="2460" t="s">
        <v>1671</v>
      </c>
      <c r="E2913" s="2461" t="s">
        <v>1538</v>
      </c>
      <c r="F2913" s="2461" t="s">
        <v>1568</v>
      </c>
      <c r="G2913" s="2461" t="s">
        <v>1421</v>
      </c>
      <c r="H2913" s="2461" t="s">
        <v>1540</v>
      </c>
      <c r="I2913" s="2462">
        <v>3.8370562762180782E-5</v>
      </c>
      <c r="J2913" s="2462">
        <v>0.11576811874830646</v>
      </c>
    </row>
    <row r="2914" spans="1:10" outlineLevel="2">
      <c r="A2914" s="2459" t="s">
        <v>1669</v>
      </c>
      <c r="B2914" s="2459" t="s">
        <v>1656</v>
      </c>
      <c r="C2914" s="2459" t="s">
        <v>1675</v>
      </c>
      <c r="D2914" s="2460" t="s">
        <v>1671</v>
      </c>
      <c r="E2914" s="2461" t="s">
        <v>1538</v>
      </c>
      <c r="F2914" s="2461" t="s">
        <v>1569</v>
      </c>
      <c r="G2914" s="2461" t="s">
        <v>1421</v>
      </c>
      <c r="H2914" s="2461" t="s">
        <v>1540</v>
      </c>
      <c r="I2914" s="2462">
        <v>9.0956673589785903E-6</v>
      </c>
      <c r="J2914" s="2462">
        <v>0.1051074208020695</v>
      </c>
    </row>
    <row r="2915" spans="1:10" outlineLevel="2">
      <c r="A2915" s="2459" t="s">
        <v>1669</v>
      </c>
      <c r="B2915" s="2459" t="s">
        <v>1656</v>
      </c>
      <c r="C2915" s="2459" t="s">
        <v>1675</v>
      </c>
      <c r="D2915" s="2460" t="s">
        <v>1671</v>
      </c>
      <c r="E2915" s="2461" t="s">
        <v>1400</v>
      </c>
      <c r="F2915" s="2461" t="s">
        <v>1571</v>
      </c>
      <c r="G2915" s="2461" t="s">
        <v>215</v>
      </c>
      <c r="H2915" s="2461" t="s">
        <v>1531</v>
      </c>
      <c r="I2915" s="2462">
        <v>7.1165128908696057E-2</v>
      </c>
      <c r="J2915" s="2462">
        <v>2561.2885373942977</v>
      </c>
    </row>
    <row r="2916" spans="1:10" outlineLevel="2">
      <c r="A2916" s="2459" t="s">
        <v>1669</v>
      </c>
      <c r="B2916" s="2459" t="s">
        <v>1656</v>
      </c>
      <c r="C2916" s="2459" t="s">
        <v>1675</v>
      </c>
      <c r="D2916" s="2460" t="s">
        <v>1671</v>
      </c>
      <c r="E2916" s="2461" t="s">
        <v>1400</v>
      </c>
      <c r="F2916" s="2461" t="s">
        <v>1572</v>
      </c>
      <c r="G2916" s="2461" t="s">
        <v>215</v>
      </c>
      <c r="H2916" s="2461" t="s">
        <v>1531</v>
      </c>
      <c r="I2916" s="2462">
        <v>4.0035538981700769E-4</v>
      </c>
      <c r="J2916" s="2462">
        <v>7.5945155419977448</v>
      </c>
    </row>
    <row r="2917" spans="1:10" outlineLevel="2">
      <c r="A2917" s="2459" t="s">
        <v>1669</v>
      </c>
      <c r="B2917" s="2459" t="s">
        <v>1656</v>
      </c>
      <c r="C2917" s="2459" t="s">
        <v>1675</v>
      </c>
      <c r="D2917" s="2460" t="s">
        <v>1671</v>
      </c>
      <c r="E2917" s="2461" t="s">
        <v>1573</v>
      </c>
      <c r="F2917" s="2461" t="s">
        <v>1574</v>
      </c>
      <c r="G2917" s="2461" t="s">
        <v>1426</v>
      </c>
      <c r="H2917" s="2461" t="s">
        <v>1427</v>
      </c>
      <c r="I2917" s="2462">
        <v>4.661726690934313E-3</v>
      </c>
      <c r="J2917" s="2462">
        <v>115.24447296446014</v>
      </c>
    </row>
    <row r="2918" spans="1:10" outlineLevel="2">
      <c r="A2918" s="2459" t="s">
        <v>1669</v>
      </c>
      <c r="B2918" s="2459" t="s">
        <v>1656</v>
      </c>
      <c r="C2918" s="2459" t="s">
        <v>1675</v>
      </c>
      <c r="D2918" s="2460" t="s">
        <v>1671</v>
      </c>
      <c r="E2918" s="2461" t="s">
        <v>1573</v>
      </c>
      <c r="F2918" s="2461" t="s">
        <v>1575</v>
      </c>
      <c r="G2918" s="2461" t="s">
        <v>1409</v>
      </c>
      <c r="H2918" s="2461" t="s">
        <v>1070</v>
      </c>
      <c r="I2918" s="2462">
        <v>6.9481571355933889E-4</v>
      </c>
      <c r="J2918" s="2462">
        <v>40.521951319131766</v>
      </c>
    </row>
    <row r="2919" spans="1:10" outlineLevel="2">
      <c r="A2919" s="2459" t="s">
        <v>1669</v>
      </c>
      <c r="B2919" s="2459" t="s">
        <v>1656</v>
      </c>
      <c r="C2919" s="2459" t="s">
        <v>1675</v>
      </c>
      <c r="D2919" s="2460" t="s">
        <v>1671</v>
      </c>
      <c r="E2919" s="2461" t="s">
        <v>1573</v>
      </c>
      <c r="F2919" s="2461" t="s">
        <v>1576</v>
      </c>
      <c r="G2919" s="2461" t="s">
        <v>1409</v>
      </c>
      <c r="H2919" s="2461" t="s">
        <v>1070</v>
      </c>
      <c r="I2919" s="2462">
        <v>5.9742318275113884E-6</v>
      </c>
      <c r="J2919" s="2462">
        <v>6.5989132679017182E-2</v>
      </c>
    </row>
    <row r="2920" spans="1:10" outlineLevel="2">
      <c r="A2920" s="2459" t="s">
        <v>1669</v>
      </c>
      <c r="B2920" s="2459" t="s">
        <v>1656</v>
      </c>
      <c r="C2920" s="2459" t="s">
        <v>1675</v>
      </c>
      <c r="D2920" s="2460" t="s">
        <v>1671</v>
      </c>
      <c r="E2920" s="2461" t="s">
        <v>1573</v>
      </c>
      <c r="F2920" s="2461" t="s">
        <v>1577</v>
      </c>
      <c r="G2920" s="2461" t="s">
        <v>1409</v>
      </c>
      <c r="H2920" s="2461" t="s">
        <v>1070</v>
      </c>
      <c r="I2920" s="2462">
        <v>8.6641744351185601E-5</v>
      </c>
      <c r="J2920" s="2462">
        <v>1.0870209685283545</v>
      </c>
    </row>
    <row r="2921" spans="1:10" outlineLevel="2">
      <c r="A2921" s="2459" t="s">
        <v>1669</v>
      </c>
      <c r="B2921" s="2459" t="s">
        <v>1656</v>
      </c>
      <c r="C2921" s="2459" t="s">
        <v>1675</v>
      </c>
      <c r="D2921" s="2460" t="s">
        <v>1671</v>
      </c>
      <c r="E2921" s="2461" t="s">
        <v>1573</v>
      </c>
      <c r="F2921" s="2461" t="s">
        <v>1578</v>
      </c>
      <c r="G2921" s="2461" t="s">
        <v>1409</v>
      </c>
      <c r="H2921" s="2461" t="s">
        <v>1070</v>
      </c>
      <c r="I2921" s="2462">
        <v>1.9785540104800972E-3</v>
      </c>
      <c r="J2921" s="2462">
        <v>101.43257899183789</v>
      </c>
    </row>
    <row r="2922" spans="1:10" outlineLevel="2">
      <c r="A2922" s="2459" t="s">
        <v>1669</v>
      </c>
      <c r="B2922" s="2459" t="s">
        <v>1656</v>
      </c>
      <c r="C2922" s="2459" t="s">
        <v>1675</v>
      </c>
      <c r="D2922" s="2460" t="s">
        <v>1671</v>
      </c>
      <c r="E2922" s="2461" t="s">
        <v>1573</v>
      </c>
      <c r="F2922" s="2461" t="s">
        <v>1579</v>
      </c>
      <c r="G2922" s="2461" t="s">
        <v>1409</v>
      </c>
      <c r="H2922" s="2461" t="s">
        <v>1070</v>
      </c>
      <c r="I2922" s="2462">
        <v>1.5019737250900446E-3</v>
      </c>
      <c r="J2922" s="2462">
        <v>110.36552368028329</v>
      </c>
    </row>
    <row r="2923" spans="1:10" outlineLevel="2">
      <c r="A2923" s="2459" t="s">
        <v>1669</v>
      </c>
      <c r="B2923" s="2459" t="s">
        <v>1656</v>
      </c>
      <c r="C2923" s="2459" t="s">
        <v>1675</v>
      </c>
      <c r="D2923" s="2460" t="s">
        <v>1671</v>
      </c>
      <c r="E2923" s="2461" t="s">
        <v>1573</v>
      </c>
      <c r="F2923" s="2461" t="s">
        <v>1580</v>
      </c>
      <c r="G2923" s="2461" t="s">
        <v>1409</v>
      </c>
      <c r="H2923" s="2461" t="s">
        <v>1070</v>
      </c>
      <c r="I2923" s="2462">
        <v>1.6969166698786199E-4</v>
      </c>
      <c r="J2923" s="2462">
        <v>6.09417727991418</v>
      </c>
    </row>
    <row r="2924" spans="1:10" outlineLevel="2">
      <c r="A2924" s="2459" t="s">
        <v>1669</v>
      </c>
      <c r="B2924" s="2459" t="s">
        <v>1656</v>
      </c>
      <c r="C2924" s="2459" t="s">
        <v>1675</v>
      </c>
      <c r="D2924" s="2460" t="s">
        <v>1671</v>
      </c>
      <c r="E2924" s="2461" t="s">
        <v>1573</v>
      </c>
      <c r="F2924" s="2461" t="s">
        <v>1581</v>
      </c>
      <c r="G2924" s="2461" t="s">
        <v>1409</v>
      </c>
      <c r="H2924" s="2461" t="s">
        <v>1070</v>
      </c>
      <c r="I2924" s="2462">
        <v>9.025745505073326E-5</v>
      </c>
      <c r="J2924" s="2462">
        <v>4.1498717147738464</v>
      </c>
    </row>
    <row r="2925" spans="1:10" outlineLevel="2">
      <c r="A2925" s="2459" t="s">
        <v>1669</v>
      </c>
      <c r="B2925" s="2459" t="s">
        <v>1656</v>
      </c>
      <c r="C2925" s="2459" t="s">
        <v>1675</v>
      </c>
      <c r="D2925" s="2460" t="s">
        <v>1671</v>
      </c>
      <c r="E2925" s="2461" t="s">
        <v>1573</v>
      </c>
      <c r="F2925" s="2461" t="s">
        <v>1582</v>
      </c>
      <c r="G2925" s="2461" t="s">
        <v>1409</v>
      </c>
      <c r="H2925" s="2461" t="s">
        <v>1070</v>
      </c>
      <c r="I2925" s="2462">
        <v>4.7971484767119242E-4</v>
      </c>
      <c r="J2925" s="2462">
        <v>11.395949464472007</v>
      </c>
    </row>
    <row r="2926" spans="1:10" outlineLevel="2">
      <c r="A2926" s="2459" t="s">
        <v>1669</v>
      </c>
      <c r="B2926" s="2459" t="s">
        <v>1656</v>
      </c>
      <c r="C2926" s="2459" t="s">
        <v>1675</v>
      </c>
      <c r="D2926" s="2460" t="s">
        <v>1671</v>
      </c>
      <c r="E2926" s="2461" t="s">
        <v>1573</v>
      </c>
      <c r="F2926" s="2461" t="s">
        <v>1583</v>
      </c>
      <c r="G2926" s="2461" t="s">
        <v>1409</v>
      </c>
      <c r="H2926" s="2461" t="s">
        <v>1070</v>
      </c>
      <c r="I2926" s="2462">
        <v>1.3752053024518982E-3</v>
      </c>
      <c r="J2926" s="2462">
        <v>48.766283936145932</v>
      </c>
    </row>
    <row r="2927" spans="1:10" outlineLevel="2">
      <c r="A2927" s="2459" t="s">
        <v>1669</v>
      </c>
      <c r="B2927" s="2459" t="s">
        <v>1656</v>
      </c>
      <c r="C2927" s="2459" t="s">
        <v>1675</v>
      </c>
      <c r="D2927" s="2460" t="s">
        <v>1671</v>
      </c>
      <c r="E2927" s="2461" t="s">
        <v>1573</v>
      </c>
      <c r="F2927" s="2461" t="s">
        <v>1584</v>
      </c>
      <c r="G2927" s="2461" t="s">
        <v>1409</v>
      </c>
      <c r="H2927" s="2461" t="s">
        <v>1070</v>
      </c>
      <c r="I2927" s="2462">
        <v>9.7222519247257928E-4</v>
      </c>
      <c r="J2927" s="2462">
        <v>53.54235882539561</v>
      </c>
    </row>
    <row r="2928" spans="1:10" outlineLevel="2">
      <c r="A2928" s="2459" t="s">
        <v>1669</v>
      </c>
      <c r="B2928" s="2459" t="s">
        <v>1656</v>
      </c>
      <c r="C2928" s="2459" t="s">
        <v>1675</v>
      </c>
      <c r="D2928" s="2460" t="s">
        <v>1671</v>
      </c>
      <c r="E2928" s="2461" t="s">
        <v>1573</v>
      </c>
      <c r="F2928" s="2461" t="s">
        <v>1585</v>
      </c>
      <c r="G2928" s="2461" t="s">
        <v>1409</v>
      </c>
      <c r="H2928" s="2461" t="s">
        <v>1070</v>
      </c>
      <c r="I2928" s="2462">
        <v>5.3301888617039968E-3</v>
      </c>
      <c r="J2928" s="2462">
        <v>411.12373694077337</v>
      </c>
    </row>
    <row r="2929" spans="1:10" outlineLevel="2">
      <c r="A2929" s="2459" t="s">
        <v>1669</v>
      </c>
      <c r="B2929" s="2459" t="s">
        <v>1656</v>
      </c>
      <c r="C2929" s="2459" t="s">
        <v>1675</v>
      </c>
      <c r="D2929" s="2460" t="s">
        <v>1671</v>
      </c>
      <c r="E2929" s="2461" t="s">
        <v>1573</v>
      </c>
      <c r="F2929" s="2461" t="s">
        <v>1586</v>
      </c>
      <c r="G2929" s="2461" t="s">
        <v>1409</v>
      </c>
      <c r="H2929" s="2461" t="s">
        <v>1070</v>
      </c>
      <c r="I2929" s="2462">
        <v>1.1273751572886855E-4</v>
      </c>
      <c r="J2929" s="2462">
        <v>3.4185426447615392</v>
      </c>
    </row>
    <row r="2930" spans="1:10" outlineLevel="2">
      <c r="A2930" s="2459" t="s">
        <v>1669</v>
      </c>
      <c r="B2930" s="2459" t="s">
        <v>1656</v>
      </c>
      <c r="C2930" s="2459" t="s">
        <v>1675</v>
      </c>
      <c r="D2930" s="2460" t="s">
        <v>1671</v>
      </c>
      <c r="E2930" s="2461" t="s">
        <v>1573</v>
      </c>
      <c r="F2930" s="2461" t="s">
        <v>1587</v>
      </c>
      <c r="G2930" s="2461" t="s">
        <v>1409</v>
      </c>
      <c r="H2930" s="2461" t="s">
        <v>1070</v>
      </c>
      <c r="I2930" s="2462">
        <v>4.4397266613197511E-5</v>
      </c>
      <c r="J2930" s="2462">
        <v>2.0931809926513512</v>
      </c>
    </row>
    <row r="2931" spans="1:10" outlineLevel="2">
      <c r="A2931" s="2459" t="s">
        <v>1669</v>
      </c>
      <c r="B2931" s="2459" t="s">
        <v>1656</v>
      </c>
      <c r="C2931" s="2459" t="s">
        <v>1675</v>
      </c>
      <c r="D2931" s="2460" t="s">
        <v>1671</v>
      </c>
      <c r="E2931" s="2461" t="s">
        <v>1573</v>
      </c>
      <c r="F2931" s="2461" t="s">
        <v>1588</v>
      </c>
      <c r="G2931" s="2461" t="s">
        <v>1409</v>
      </c>
      <c r="H2931" s="2461" t="s">
        <v>1070</v>
      </c>
      <c r="I2931" s="2462">
        <v>1.572855945979431E-3</v>
      </c>
      <c r="J2931" s="2462">
        <v>93.972337776096694</v>
      </c>
    </row>
    <row r="2932" spans="1:10" outlineLevel="2">
      <c r="A2932" s="2459" t="s">
        <v>1669</v>
      </c>
      <c r="B2932" s="2459" t="s">
        <v>1656</v>
      </c>
      <c r="C2932" s="2459" t="s">
        <v>1675</v>
      </c>
      <c r="D2932" s="2460" t="s">
        <v>1671</v>
      </c>
      <c r="E2932" s="2461" t="s">
        <v>1573</v>
      </c>
      <c r="F2932" s="2461" t="s">
        <v>1589</v>
      </c>
      <c r="G2932" s="2461" t="s">
        <v>1409</v>
      </c>
      <c r="H2932" s="2461" t="s">
        <v>1070</v>
      </c>
      <c r="I2932" s="2462">
        <v>1.3522067057673355E-3</v>
      </c>
      <c r="J2932" s="2462">
        <v>102.29010704712373</v>
      </c>
    </row>
    <row r="2933" spans="1:10" outlineLevel="2">
      <c r="A2933" s="2459" t="s">
        <v>1669</v>
      </c>
      <c r="B2933" s="2459" t="s">
        <v>1656</v>
      </c>
      <c r="C2933" s="2459" t="s">
        <v>1675</v>
      </c>
      <c r="D2933" s="2460" t="s">
        <v>1671</v>
      </c>
      <c r="E2933" s="2461" t="s">
        <v>1573</v>
      </c>
      <c r="F2933" s="2461" t="s">
        <v>1590</v>
      </c>
      <c r="G2933" s="2461" t="s">
        <v>1409</v>
      </c>
      <c r="H2933" s="2461" t="s">
        <v>1070</v>
      </c>
      <c r="I2933" s="2462">
        <v>4.9370335266031044E-3</v>
      </c>
      <c r="J2933" s="2462">
        <v>351.8634521598546</v>
      </c>
    </row>
    <row r="2934" spans="1:10" outlineLevel="2">
      <c r="A2934" s="2459" t="s">
        <v>1669</v>
      </c>
      <c r="B2934" s="2459" t="s">
        <v>1656</v>
      </c>
      <c r="C2934" s="2459" t="s">
        <v>1675</v>
      </c>
      <c r="D2934" s="2460" t="s">
        <v>1671</v>
      </c>
      <c r="E2934" s="2461" t="s">
        <v>1573</v>
      </c>
      <c r="F2934" s="2461" t="s">
        <v>1591</v>
      </c>
      <c r="G2934" s="2461" t="s">
        <v>1409</v>
      </c>
      <c r="H2934" s="2461" t="s">
        <v>1070</v>
      </c>
      <c r="I2934" s="2462">
        <v>3.398412481971015E-4</v>
      </c>
      <c r="J2934" s="2462">
        <v>16.545237363052305</v>
      </c>
    </row>
    <row r="2935" spans="1:10" outlineLevel="2">
      <c r="A2935" s="2459" t="s">
        <v>1669</v>
      </c>
      <c r="B2935" s="2459" t="s">
        <v>1656</v>
      </c>
      <c r="C2935" s="2459" t="s">
        <v>1675</v>
      </c>
      <c r="D2935" s="2460" t="s">
        <v>1671</v>
      </c>
      <c r="E2935" s="2461" t="s">
        <v>1573</v>
      </c>
      <c r="F2935" s="2461" t="s">
        <v>1592</v>
      </c>
      <c r="G2935" s="2461" t="s">
        <v>1409</v>
      </c>
      <c r="H2935" s="2461" t="s">
        <v>1070</v>
      </c>
      <c r="I2935" s="2462">
        <v>2.8576288167302976E-3</v>
      </c>
      <c r="J2935" s="2462">
        <v>131.60846126193513</v>
      </c>
    </row>
    <row r="2936" spans="1:10" outlineLevel="2">
      <c r="A2936" s="2459" t="s">
        <v>1669</v>
      </c>
      <c r="B2936" s="2459" t="s">
        <v>1656</v>
      </c>
      <c r="C2936" s="2459" t="s">
        <v>1675</v>
      </c>
      <c r="D2936" s="2460" t="s">
        <v>1671</v>
      </c>
      <c r="E2936" s="2461" t="s">
        <v>1573</v>
      </c>
      <c r="F2936" s="2461" t="s">
        <v>1593</v>
      </c>
      <c r="G2936" s="2461" t="s">
        <v>1409</v>
      </c>
      <c r="H2936" s="2461" t="s">
        <v>1070</v>
      </c>
      <c r="I2936" s="2462">
        <v>6.9820627974457386E-3</v>
      </c>
      <c r="J2936" s="2462">
        <v>447.44356941486973</v>
      </c>
    </row>
    <row r="2937" spans="1:10" outlineLevel="2">
      <c r="A2937" s="2459" t="s">
        <v>1669</v>
      </c>
      <c r="B2937" s="2459" t="s">
        <v>1656</v>
      </c>
      <c r="C2937" s="2459" t="s">
        <v>1675</v>
      </c>
      <c r="D2937" s="2460" t="s">
        <v>1671</v>
      </c>
      <c r="E2937" s="2461" t="s">
        <v>1573</v>
      </c>
      <c r="F2937" s="2461" t="s">
        <v>1594</v>
      </c>
      <c r="G2937" s="2461" t="s">
        <v>1409</v>
      </c>
      <c r="H2937" s="2461" t="s">
        <v>1070</v>
      </c>
      <c r="I2937" s="2462">
        <v>1.5292437435286983E-2</v>
      </c>
      <c r="J2937" s="2462">
        <v>300.17349425352609</v>
      </c>
    </row>
    <row r="2938" spans="1:10" outlineLevel="2">
      <c r="A2938" s="2459" t="s">
        <v>1669</v>
      </c>
      <c r="B2938" s="2459" t="s">
        <v>1656</v>
      </c>
      <c r="C2938" s="2459" t="s">
        <v>1675</v>
      </c>
      <c r="D2938" s="2460" t="s">
        <v>1671</v>
      </c>
      <c r="E2938" s="2461" t="s">
        <v>1573</v>
      </c>
      <c r="F2938" s="2461" t="s">
        <v>1595</v>
      </c>
      <c r="G2938" s="2461" t="s">
        <v>1409</v>
      </c>
      <c r="H2938" s="2461" t="s">
        <v>1070</v>
      </c>
      <c r="I2938" s="2462">
        <v>5.6226642966723571E-3</v>
      </c>
      <c r="J2938" s="2462">
        <v>409.31626905622426</v>
      </c>
    </row>
    <row r="2939" spans="1:10" outlineLevel="2">
      <c r="A2939" s="2459" t="s">
        <v>1669</v>
      </c>
      <c r="B2939" s="2459" t="s">
        <v>1656</v>
      </c>
      <c r="C2939" s="2459" t="s">
        <v>1675</v>
      </c>
      <c r="D2939" s="2460" t="s">
        <v>1671</v>
      </c>
      <c r="E2939" s="2461" t="s">
        <v>1573</v>
      </c>
      <c r="F2939" s="2461" t="s">
        <v>1596</v>
      </c>
      <c r="G2939" s="2461" t="s">
        <v>1409</v>
      </c>
      <c r="H2939" s="2461" t="s">
        <v>1070</v>
      </c>
      <c r="I2939" s="2462">
        <v>1.0237777180729114E-2</v>
      </c>
      <c r="J2939" s="2462">
        <v>235.62087477894451</v>
      </c>
    </row>
    <row r="2940" spans="1:10" outlineLevel="2">
      <c r="A2940" s="2459" t="s">
        <v>1669</v>
      </c>
      <c r="B2940" s="2459" t="s">
        <v>1656</v>
      </c>
      <c r="C2940" s="2459" t="s">
        <v>1675</v>
      </c>
      <c r="D2940" s="2460" t="s">
        <v>1671</v>
      </c>
      <c r="E2940" s="2461" t="s">
        <v>1573</v>
      </c>
      <c r="F2940" s="2461" t="s">
        <v>1597</v>
      </c>
      <c r="G2940" s="2461" t="s">
        <v>1409</v>
      </c>
      <c r="H2940" s="2461" t="s">
        <v>1070</v>
      </c>
      <c r="I2940" s="2462">
        <v>6.0097745742375538E-4</v>
      </c>
      <c r="J2940" s="2462">
        <v>43.920138872476372</v>
      </c>
    </row>
    <row r="2941" spans="1:10" outlineLevel="2">
      <c r="A2941" s="2459" t="s">
        <v>1669</v>
      </c>
      <c r="B2941" s="2459" t="s">
        <v>1656</v>
      </c>
      <c r="C2941" s="2459" t="s">
        <v>1675</v>
      </c>
      <c r="D2941" s="2460" t="s">
        <v>1671</v>
      </c>
      <c r="E2941" s="2461" t="s">
        <v>1573</v>
      </c>
      <c r="F2941" s="2461" t="s">
        <v>1598</v>
      </c>
      <c r="G2941" s="2461" t="s">
        <v>1409</v>
      </c>
      <c r="H2941" s="2461" t="s">
        <v>1070</v>
      </c>
      <c r="I2941" s="2462">
        <v>3.1214275405801168E-5</v>
      </c>
      <c r="J2941" s="2462">
        <v>0.72056794562255577</v>
      </c>
    </row>
    <row r="2942" spans="1:10" outlineLevel="2">
      <c r="A2942" s="2459" t="s">
        <v>1669</v>
      </c>
      <c r="B2942" s="2459" t="s">
        <v>1656</v>
      </c>
      <c r="C2942" s="2459" t="s">
        <v>1675</v>
      </c>
      <c r="D2942" s="2460" t="s">
        <v>1671</v>
      </c>
      <c r="E2942" s="2461" t="s">
        <v>1573</v>
      </c>
      <c r="F2942" s="2461" t="s">
        <v>1599</v>
      </c>
      <c r="G2942" s="2461" t="s">
        <v>1409</v>
      </c>
      <c r="H2942" s="2461" t="s">
        <v>1070</v>
      </c>
      <c r="I2942" s="2462">
        <v>8.5217838796069307E-4</v>
      </c>
      <c r="J2942" s="2462">
        <v>45.813017513224324</v>
      </c>
    </row>
    <row r="2943" spans="1:10" outlineLevel="2">
      <c r="A2943" s="2459" t="s">
        <v>1669</v>
      </c>
      <c r="B2943" s="2459" t="s">
        <v>1656</v>
      </c>
      <c r="C2943" s="2459" t="s">
        <v>1675</v>
      </c>
      <c r="D2943" s="2460" t="s">
        <v>1671</v>
      </c>
      <c r="E2943" s="2461" t="s">
        <v>1573</v>
      </c>
      <c r="F2943" s="2461" t="s">
        <v>1600</v>
      </c>
      <c r="G2943" s="2461" t="s">
        <v>1412</v>
      </c>
      <c r="H2943" s="2461" t="s">
        <v>1116</v>
      </c>
      <c r="I2943" s="2462">
        <v>6.868161347260537E-4</v>
      </c>
      <c r="J2943" s="2462">
        <v>16.615908066268219</v>
      </c>
    </row>
    <row r="2944" spans="1:10" outlineLevel="2">
      <c r="A2944" s="2459" t="s">
        <v>1669</v>
      </c>
      <c r="B2944" s="2459" t="s">
        <v>1656</v>
      </c>
      <c r="C2944" s="2459" t="s">
        <v>1675</v>
      </c>
      <c r="D2944" s="2460" t="s">
        <v>1671</v>
      </c>
      <c r="E2944" s="2461" t="s">
        <v>1573</v>
      </c>
      <c r="F2944" s="2461" t="s">
        <v>1601</v>
      </c>
      <c r="G2944" s="2461" t="s">
        <v>1412</v>
      </c>
      <c r="H2944" s="2461" t="s">
        <v>1116</v>
      </c>
      <c r="I2944" s="2462">
        <v>3.4180288230050726E-3</v>
      </c>
      <c r="J2944" s="2462">
        <v>241.05690215914075</v>
      </c>
    </row>
    <row r="2945" spans="1:10" outlineLevel="2">
      <c r="A2945" s="2459" t="s">
        <v>1669</v>
      </c>
      <c r="B2945" s="2459" t="s">
        <v>1656</v>
      </c>
      <c r="C2945" s="2459" t="s">
        <v>1675</v>
      </c>
      <c r="D2945" s="2460" t="s">
        <v>1671</v>
      </c>
      <c r="E2945" s="2461" t="s">
        <v>1573</v>
      </c>
      <c r="F2945" s="2461" t="s">
        <v>1602</v>
      </c>
      <c r="G2945" s="2461" t="s">
        <v>1412</v>
      </c>
      <c r="H2945" s="2461" t="s">
        <v>1116</v>
      </c>
      <c r="I2945" s="2462">
        <v>2.0079123988944779E-3</v>
      </c>
      <c r="J2945" s="2462">
        <v>105.28868898105613</v>
      </c>
    </row>
    <row r="2946" spans="1:10" outlineLevel="2">
      <c r="A2946" s="2459" t="s">
        <v>1669</v>
      </c>
      <c r="B2946" s="2459" t="s">
        <v>1656</v>
      </c>
      <c r="C2946" s="2459" t="s">
        <v>1675</v>
      </c>
      <c r="D2946" s="2460" t="s">
        <v>1671</v>
      </c>
      <c r="E2946" s="2461" t="s">
        <v>1573</v>
      </c>
      <c r="F2946" s="2461" t="s">
        <v>1603</v>
      </c>
      <c r="G2946" s="2461" t="s">
        <v>1412</v>
      </c>
      <c r="H2946" s="2461" t="s">
        <v>1116</v>
      </c>
      <c r="I2946" s="2462">
        <v>2.3767190518250306E-3</v>
      </c>
      <c r="J2946" s="2462">
        <v>106.76684717305655</v>
      </c>
    </row>
    <row r="2947" spans="1:10" outlineLevel="2">
      <c r="A2947" s="2459" t="s">
        <v>1669</v>
      </c>
      <c r="B2947" s="2459" t="s">
        <v>1656</v>
      </c>
      <c r="C2947" s="2459" t="s">
        <v>1675</v>
      </c>
      <c r="D2947" s="2460" t="s">
        <v>1671</v>
      </c>
      <c r="E2947" s="2461" t="s">
        <v>1573</v>
      </c>
      <c r="F2947" s="2461" t="s">
        <v>1604</v>
      </c>
      <c r="G2947" s="2461" t="s">
        <v>1412</v>
      </c>
      <c r="H2947" s="2461" t="s">
        <v>1116</v>
      </c>
      <c r="I2947" s="2462">
        <v>1.5053052094883299E-4</v>
      </c>
      <c r="J2947" s="2462">
        <v>4.1175892213407872</v>
      </c>
    </row>
    <row r="2948" spans="1:10" outlineLevel="2">
      <c r="A2948" s="2459" t="s">
        <v>1669</v>
      </c>
      <c r="B2948" s="2459" t="s">
        <v>1656</v>
      </c>
      <c r="C2948" s="2459" t="s">
        <v>1675</v>
      </c>
      <c r="D2948" s="2460" t="s">
        <v>1671</v>
      </c>
      <c r="E2948" s="2461" t="s">
        <v>1573</v>
      </c>
      <c r="F2948" s="2461" t="s">
        <v>1605</v>
      </c>
      <c r="G2948" s="2461" t="s">
        <v>1412</v>
      </c>
      <c r="H2948" s="2461" t="s">
        <v>1116</v>
      </c>
      <c r="I2948" s="2462">
        <v>1.0406309928110376E-2</v>
      </c>
      <c r="J2948" s="2462">
        <v>342.01784280021201</v>
      </c>
    </row>
    <row r="2949" spans="1:10" outlineLevel="2">
      <c r="A2949" s="2459" t="s">
        <v>1669</v>
      </c>
      <c r="B2949" s="2459" t="s">
        <v>1656</v>
      </c>
      <c r="C2949" s="2459" t="s">
        <v>1675</v>
      </c>
      <c r="D2949" s="2460" t="s">
        <v>1671</v>
      </c>
      <c r="E2949" s="2461" t="s">
        <v>1573</v>
      </c>
      <c r="F2949" s="2461" t="s">
        <v>1606</v>
      </c>
      <c r="G2949" s="2461" t="s">
        <v>1412</v>
      </c>
      <c r="H2949" s="2461" t="s">
        <v>1116</v>
      </c>
      <c r="I2949" s="2462">
        <v>1.874120464598345E-3</v>
      </c>
      <c r="J2949" s="2462">
        <v>151.92946719842479</v>
      </c>
    </row>
    <row r="2950" spans="1:10" outlineLevel="2">
      <c r="A2950" s="2459" t="s">
        <v>1669</v>
      </c>
      <c r="B2950" s="2459" t="s">
        <v>1656</v>
      </c>
      <c r="C2950" s="2459" t="s">
        <v>1675</v>
      </c>
      <c r="D2950" s="2460" t="s">
        <v>1671</v>
      </c>
      <c r="E2950" s="2461" t="s">
        <v>1573</v>
      </c>
      <c r="F2950" s="2461" t="s">
        <v>1607</v>
      </c>
      <c r="G2950" s="2461" t="s">
        <v>1439</v>
      </c>
      <c r="H2950" s="2461" t="s">
        <v>1440</v>
      </c>
      <c r="I2950" s="2462">
        <v>1.1877011714967793E-6</v>
      </c>
      <c r="J2950" s="2462">
        <v>2.9768388520452226E-2</v>
      </c>
    </row>
    <row r="2951" spans="1:10" outlineLevel="2">
      <c r="A2951" s="2459" t="s">
        <v>1669</v>
      </c>
      <c r="B2951" s="2459" t="s">
        <v>1656</v>
      </c>
      <c r="C2951" s="2459" t="s">
        <v>1675</v>
      </c>
      <c r="D2951" s="2460" t="s">
        <v>1671</v>
      </c>
      <c r="E2951" s="2461" t="s">
        <v>1573</v>
      </c>
      <c r="F2951" s="2461" t="s">
        <v>1608</v>
      </c>
      <c r="G2951" s="2461" t="s">
        <v>1439</v>
      </c>
      <c r="H2951" s="2461" t="s">
        <v>1440</v>
      </c>
      <c r="I2951" s="2462">
        <v>1.395901376385669E-4</v>
      </c>
      <c r="J2951" s="2462">
        <v>7.8192648392000761</v>
      </c>
    </row>
    <row r="2952" spans="1:10" outlineLevel="2">
      <c r="A2952" s="2459" t="s">
        <v>1669</v>
      </c>
      <c r="B2952" s="2459" t="s">
        <v>1656</v>
      </c>
      <c r="C2952" s="2459" t="s">
        <v>1675</v>
      </c>
      <c r="D2952" s="2460" t="s">
        <v>1671</v>
      </c>
      <c r="E2952" s="2461" t="s">
        <v>1573</v>
      </c>
      <c r="F2952" s="2461" t="s">
        <v>1609</v>
      </c>
      <c r="G2952" s="2461" t="s">
        <v>1439</v>
      </c>
      <c r="H2952" s="2461" t="s">
        <v>1440</v>
      </c>
      <c r="I2952" s="2462">
        <v>9.3930994871043103E-3</v>
      </c>
      <c r="J2952" s="2462">
        <v>208.66907110806972</v>
      </c>
    </row>
    <row r="2953" spans="1:10" outlineLevel="2">
      <c r="A2953" s="2459" t="s">
        <v>1669</v>
      </c>
      <c r="B2953" s="2459" t="s">
        <v>1656</v>
      </c>
      <c r="C2953" s="2459" t="s">
        <v>1675</v>
      </c>
      <c r="D2953" s="2460" t="s">
        <v>1671</v>
      </c>
      <c r="E2953" s="2461" t="s">
        <v>1573</v>
      </c>
      <c r="F2953" s="2461" t="s">
        <v>1610</v>
      </c>
      <c r="G2953" s="2461" t="s">
        <v>1439</v>
      </c>
      <c r="H2953" s="2461" t="s">
        <v>1440</v>
      </c>
      <c r="I2953" s="2462">
        <v>2.4702182083301124E-3</v>
      </c>
      <c r="J2953" s="2462">
        <v>43.075943644457737</v>
      </c>
    </row>
    <row r="2954" spans="1:10" outlineLevel="2">
      <c r="A2954" s="2459" t="s">
        <v>1669</v>
      </c>
      <c r="B2954" s="2459" t="s">
        <v>1656</v>
      </c>
      <c r="C2954" s="2459" t="s">
        <v>1675</v>
      </c>
      <c r="D2954" s="2460" t="s">
        <v>1671</v>
      </c>
      <c r="E2954" s="2461" t="s">
        <v>1573</v>
      </c>
      <c r="F2954" s="2461" t="s">
        <v>1611</v>
      </c>
      <c r="G2954" s="2461" t="s">
        <v>1439</v>
      </c>
      <c r="H2954" s="2461" t="s">
        <v>1440</v>
      </c>
      <c r="I2954" s="2462">
        <v>5.8386291476736178E-3</v>
      </c>
      <c r="J2954" s="2462">
        <v>284.45753898004767</v>
      </c>
    </row>
    <row r="2955" spans="1:10" outlineLevel="2">
      <c r="A2955" s="2459" t="s">
        <v>1669</v>
      </c>
      <c r="B2955" s="2459" t="s">
        <v>1656</v>
      </c>
      <c r="C2955" s="2459" t="s">
        <v>1675</v>
      </c>
      <c r="D2955" s="2460" t="s">
        <v>1671</v>
      </c>
      <c r="E2955" s="2461" t="s">
        <v>1573</v>
      </c>
      <c r="F2955" s="2461" t="s">
        <v>1612</v>
      </c>
      <c r="G2955" s="2461" t="s">
        <v>1439</v>
      </c>
      <c r="H2955" s="2461" t="s">
        <v>1440</v>
      </c>
      <c r="I2955" s="2462">
        <v>1.0012999368845569E-3</v>
      </c>
      <c r="J2955" s="2462">
        <v>33.516263357669324</v>
      </c>
    </row>
    <row r="2956" spans="1:10" outlineLevel="2">
      <c r="A2956" s="2459" t="s">
        <v>1669</v>
      </c>
      <c r="B2956" s="2459" t="s">
        <v>1656</v>
      </c>
      <c r="C2956" s="2459" t="s">
        <v>1675</v>
      </c>
      <c r="D2956" s="2460" t="s">
        <v>1671</v>
      </c>
      <c r="E2956" s="2461" t="s">
        <v>1573</v>
      </c>
      <c r="F2956" s="2461" t="s">
        <v>1613</v>
      </c>
      <c r="G2956" s="2461" t="s">
        <v>1439</v>
      </c>
      <c r="H2956" s="2461" t="s">
        <v>1440</v>
      </c>
      <c r="I2956" s="2462">
        <v>2.8151407433126935E-5</v>
      </c>
      <c r="J2956" s="2462">
        <v>0.85105140896817699</v>
      </c>
    </row>
    <row r="2957" spans="1:10" outlineLevel="2">
      <c r="A2957" s="2459" t="s">
        <v>1669</v>
      </c>
      <c r="B2957" s="2459" t="s">
        <v>1656</v>
      </c>
      <c r="C2957" s="2459" t="s">
        <v>1675</v>
      </c>
      <c r="D2957" s="2460" t="s">
        <v>1671</v>
      </c>
      <c r="E2957" s="2461" t="s">
        <v>1573</v>
      </c>
      <c r="F2957" s="2461" t="s">
        <v>1614</v>
      </c>
      <c r="G2957" s="2461" t="s">
        <v>1418</v>
      </c>
      <c r="H2957" s="2461" t="s">
        <v>1452</v>
      </c>
      <c r="I2957" s="2462">
        <v>1.3737301964435277E-5</v>
      </c>
      <c r="J2957" s="2462">
        <v>0.11741826164021454</v>
      </c>
    </row>
    <row r="2958" spans="1:10" outlineLevel="2">
      <c r="A2958" s="2459" t="s">
        <v>1669</v>
      </c>
      <c r="B2958" s="2459" t="s">
        <v>1656</v>
      </c>
      <c r="C2958" s="2459" t="s">
        <v>1675</v>
      </c>
      <c r="D2958" s="2460" t="s">
        <v>1671</v>
      </c>
      <c r="E2958" s="2461" t="s">
        <v>1573</v>
      </c>
      <c r="F2958" s="2461" t="s">
        <v>1615</v>
      </c>
      <c r="G2958" s="2461" t="s">
        <v>1418</v>
      </c>
      <c r="H2958" s="2461" t="s">
        <v>1452</v>
      </c>
      <c r="I2958" s="2462">
        <v>8.3097281635469811E-2</v>
      </c>
      <c r="J2958" s="2462">
        <v>4875.4614565825123</v>
      </c>
    </row>
    <row r="2959" spans="1:10" outlineLevel="2">
      <c r="A2959" s="2459" t="s">
        <v>1669</v>
      </c>
      <c r="B2959" s="2459" t="s">
        <v>1656</v>
      </c>
      <c r="C2959" s="2459" t="s">
        <v>1675</v>
      </c>
      <c r="D2959" s="2460" t="s">
        <v>1671</v>
      </c>
      <c r="E2959" s="2461" t="s">
        <v>1573</v>
      </c>
      <c r="F2959" s="2461" t="s">
        <v>1616</v>
      </c>
      <c r="G2959" s="2461" t="s">
        <v>1418</v>
      </c>
      <c r="H2959" s="2461" t="s">
        <v>1452</v>
      </c>
      <c r="I2959" s="2462">
        <v>3.9661500572344818E-3</v>
      </c>
      <c r="J2959" s="2462">
        <v>437.12676296751988</v>
      </c>
    </row>
    <row r="2960" spans="1:10" outlineLevel="2">
      <c r="A2960" s="2459" t="s">
        <v>1669</v>
      </c>
      <c r="B2960" s="2459" t="s">
        <v>1656</v>
      </c>
      <c r="C2960" s="2459" t="s">
        <v>1675</v>
      </c>
      <c r="D2960" s="2460" t="s">
        <v>1671</v>
      </c>
      <c r="E2960" s="2461" t="s">
        <v>1573</v>
      </c>
      <c r="F2960" s="2461" t="s">
        <v>1617</v>
      </c>
      <c r="G2960" s="2461" t="s">
        <v>1418</v>
      </c>
      <c r="H2960" s="2461" t="s">
        <v>1452</v>
      </c>
      <c r="I2960" s="2462">
        <v>3.1503420980802613E-5</v>
      </c>
      <c r="J2960" s="2462">
        <v>2.4195274186449036</v>
      </c>
    </row>
    <row r="2961" spans="1:10" outlineLevel="2">
      <c r="A2961" s="2459" t="s">
        <v>1669</v>
      </c>
      <c r="B2961" s="2459" t="s">
        <v>1656</v>
      </c>
      <c r="C2961" s="2459" t="s">
        <v>1675</v>
      </c>
      <c r="D2961" s="2460" t="s">
        <v>1671</v>
      </c>
      <c r="E2961" s="2461" t="s">
        <v>1573</v>
      </c>
      <c r="F2961" s="2461" t="s">
        <v>1618</v>
      </c>
      <c r="G2961" s="2461" t="s">
        <v>1418</v>
      </c>
      <c r="H2961" s="2461" t="s">
        <v>1452</v>
      </c>
      <c r="I2961" s="2462">
        <v>6.1411387664745466E-6</v>
      </c>
      <c r="J2961" s="2462">
        <v>0.50826893571689946</v>
      </c>
    </row>
    <row r="2962" spans="1:10" outlineLevel="2">
      <c r="A2962" s="2459" t="s">
        <v>1669</v>
      </c>
      <c r="B2962" s="2459" t="s">
        <v>1656</v>
      </c>
      <c r="C2962" s="2459" t="s">
        <v>1675</v>
      </c>
      <c r="D2962" s="2460" t="s">
        <v>1671</v>
      </c>
      <c r="E2962" s="2461" t="s">
        <v>1573</v>
      </c>
      <c r="F2962" s="2461" t="s">
        <v>1619</v>
      </c>
      <c r="G2962" s="2461" t="s">
        <v>1418</v>
      </c>
      <c r="H2962" s="2461" t="s">
        <v>1452</v>
      </c>
      <c r="I2962" s="2462">
        <v>4.0316523131274324E-4</v>
      </c>
      <c r="J2962" s="2462">
        <v>37.070251603198642</v>
      </c>
    </row>
    <row r="2963" spans="1:10" outlineLevel="2">
      <c r="A2963" s="2459" t="s">
        <v>1669</v>
      </c>
      <c r="B2963" s="2459" t="s">
        <v>1656</v>
      </c>
      <c r="C2963" s="2459" t="s">
        <v>1675</v>
      </c>
      <c r="D2963" s="2460" t="s">
        <v>1671</v>
      </c>
      <c r="E2963" s="2461" t="s">
        <v>1573</v>
      </c>
      <c r="F2963" s="2461" t="s">
        <v>1620</v>
      </c>
      <c r="G2963" s="2461" t="s">
        <v>1418</v>
      </c>
      <c r="H2963" s="2461" t="s">
        <v>1452</v>
      </c>
      <c r="I2963" s="2462">
        <v>8.5239440641354776E-7</v>
      </c>
      <c r="J2963" s="2462">
        <v>0.10256196608027493</v>
      </c>
    </row>
    <row r="2964" spans="1:10" outlineLevel="2">
      <c r="A2964" s="2459" t="s">
        <v>1669</v>
      </c>
      <c r="B2964" s="2459" t="s">
        <v>1656</v>
      </c>
      <c r="C2964" s="2459" t="s">
        <v>1675</v>
      </c>
      <c r="D2964" s="2460" t="s">
        <v>1671</v>
      </c>
      <c r="E2964" s="2461" t="s">
        <v>1573</v>
      </c>
      <c r="F2964" s="2461" t="s">
        <v>1621</v>
      </c>
      <c r="G2964" s="2461" t="s">
        <v>1418</v>
      </c>
      <c r="H2964" s="2461" t="s">
        <v>1452</v>
      </c>
      <c r="I2964" s="2462">
        <v>3.6287396272992366E-4</v>
      </c>
      <c r="J2964" s="2462">
        <v>34.276351271802753</v>
      </c>
    </row>
    <row r="2965" spans="1:10" outlineLevel="2">
      <c r="A2965" s="2459" t="s">
        <v>1669</v>
      </c>
      <c r="B2965" s="2459" t="s">
        <v>1656</v>
      </c>
      <c r="C2965" s="2459" t="s">
        <v>1675</v>
      </c>
      <c r="D2965" s="2460" t="s">
        <v>1671</v>
      </c>
      <c r="E2965" s="2461" t="s">
        <v>1573</v>
      </c>
      <c r="F2965" s="2461" t="s">
        <v>1622</v>
      </c>
      <c r="G2965" s="2461" t="s">
        <v>1418</v>
      </c>
      <c r="H2965" s="2461" t="s">
        <v>1452</v>
      </c>
      <c r="I2965" s="2462">
        <v>1.0729013066417582E-3</v>
      </c>
      <c r="J2965" s="2462">
        <v>95.385451682126885</v>
      </c>
    </row>
    <row r="2966" spans="1:10" outlineLevel="2">
      <c r="A2966" s="2459" t="s">
        <v>1669</v>
      </c>
      <c r="B2966" s="2459" t="s">
        <v>1656</v>
      </c>
      <c r="C2966" s="2459" t="s">
        <v>1675</v>
      </c>
      <c r="D2966" s="2460" t="s">
        <v>1671</v>
      </c>
      <c r="E2966" s="2461" t="s">
        <v>1573</v>
      </c>
      <c r="F2966" s="2461" t="s">
        <v>1623</v>
      </c>
      <c r="G2966" s="2461" t="s">
        <v>1418</v>
      </c>
      <c r="H2966" s="2461" t="s">
        <v>1452</v>
      </c>
      <c r="I2966" s="2462">
        <v>1.6271813055778626E-3</v>
      </c>
      <c r="J2966" s="2462">
        <v>70.334518444708479</v>
      </c>
    </row>
    <row r="2967" spans="1:10" outlineLevel="2">
      <c r="A2967" s="2459" t="s">
        <v>1669</v>
      </c>
      <c r="B2967" s="2459" t="s">
        <v>1656</v>
      </c>
      <c r="C2967" s="2459" t="s">
        <v>1675</v>
      </c>
      <c r="D2967" s="2460" t="s">
        <v>1671</v>
      </c>
      <c r="E2967" s="2461" t="s">
        <v>1573</v>
      </c>
      <c r="F2967" s="2461" t="s">
        <v>1624</v>
      </c>
      <c r="G2967" s="2461" t="s">
        <v>1421</v>
      </c>
      <c r="H2967" s="2461" t="s">
        <v>1454</v>
      </c>
      <c r="I2967" s="2462">
        <v>5.5723278190222157E-3</v>
      </c>
      <c r="J2967" s="2462">
        <v>203.76317732235501</v>
      </c>
    </row>
    <row r="2968" spans="1:10" outlineLevel="2">
      <c r="A2968" s="2459" t="s">
        <v>1669</v>
      </c>
      <c r="B2968" s="2459" t="s">
        <v>1656</v>
      </c>
      <c r="C2968" s="2459" t="s">
        <v>1675</v>
      </c>
      <c r="D2968" s="2460" t="s">
        <v>1671</v>
      </c>
      <c r="E2968" s="2461" t="s">
        <v>1573</v>
      </c>
      <c r="F2968" s="2461" t="s">
        <v>1625</v>
      </c>
      <c r="G2968" s="2461" t="s">
        <v>1421</v>
      </c>
      <c r="H2968" s="2461" t="s">
        <v>1454</v>
      </c>
      <c r="I2968" s="2462">
        <v>1.3141263893883569E-3</v>
      </c>
      <c r="J2968" s="2462">
        <v>48.091828485732428</v>
      </c>
    </row>
    <row r="2969" spans="1:10" outlineLevel="2">
      <c r="A2969" s="2459" t="s">
        <v>1669</v>
      </c>
      <c r="B2969" s="2459" t="s">
        <v>1656</v>
      </c>
      <c r="C2969" s="2459" t="s">
        <v>1675</v>
      </c>
      <c r="D2969" s="2460" t="s">
        <v>1671</v>
      </c>
      <c r="E2969" s="2461" t="s">
        <v>1573</v>
      </c>
      <c r="F2969" s="2461" t="s">
        <v>1626</v>
      </c>
      <c r="G2969" s="2461" t="s">
        <v>1421</v>
      </c>
      <c r="H2969" s="2461" t="s">
        <v>1454</v>
      </c>
      <c r="I2969" s="2462">
        <v>3.688200055348357E-3</v>
      </c>
      <c r="J2969" s="2462">
        <v>133.42489380630997</v>
      </c>
    </row>
    <row r="2970" spans="1:10" outlineLevel="2">
      <c r="A2970" s="2459" t="s">
        <v>1669</v>
      </c>
      <c r="B2970" s="2459" t="s">
        <v>1656</v>
      </c>
      <c r="C2970" s="2459" t="s">
        <v>1675</v>
      </c>
      <c r="D2970" s="2460" t="s">
        <v>1671</v>
      </c>
      <c r="E2970" s="2461" t="s">
        <v>1573</v>
      </c>
      <c r="F2970" s="2461" t="s">
        <v>1627</v>
      </c>
      <c r="G2970" s="2461" t="s">
        <v>1421</v>
      </c>
      <c r="H2970" s="2461" t="s">
        <v>1454</v>
      </c>
      <c r="I2970" s="2462">
        <v>3.1143781412281647E-3</v>
      </c>
      <c r="J2970" s="2462">
        <v>67.743901807068639</v>
      </c>
    </row>
    <row r="2971" spans="1:10" outlineLevel="2">
      <c r="A2971" s="2459" t="s">
        <v>1669</v>
      </c>
      <c r="B2971" s="2459" t="s">
        <v>1656</v>
      </c>
      <c r="C2971" s="2459" t="s">
        <v>1675</v>
      </c>
      <c r="D2971" s="2460" t="s">
        <v>1671</v>
      </c>
      <c r="E2971" s="2461" t="s">
        <v>1573</v>
      </c>
      <c r="F2971" s="2461" t="s">
        <v>1628</v>
      </c>
      <c r="G2971" s="2461" t="s">
        <v>1421</v>
      </c>
      <c r="H2971" s="2461" t="s">
        <v>1454</v>
      </c>
      <c r="I2971" s="2462">
        <v>1.5492279875988556E-4</v>
      </c>
      <c r="J2971" s="2462">
        <v>6.5152636130081518</v>
      </c>
    </row>
    <row r="2972" spans="1:10" outlineLevel="2">
      <c r="A2972" s="2459" t="s">
        <v>1669</v>
      </c>
      <c r="B2972" s="2459" t="s">
        <v>1656</v>
      </c>
      <c r="C2972" s="2459" t="s">
        <v>1675</v>
      </c>
      <c r="D2972" s="2460" t="s">
        <v>1671</v>
      </c>
      <c r="E2972" s="2461" t="s">
        <v>1573</v>
      </c>
      <c r="F2972" s="2461" t="s">
        <v>1629</v>
      </c>
      <c r="G2972" s="2461" t="s">
        <v>1421</v>
      </c>
      <c r="H2972" s="2461" t="s">
        <v>1454</v>
      </c>
      <c r="I2972" s="2462">
        <v>1.7922807808217102E-4</v>
      </c>
      <c r="J2972" s="2462">
        <v>5.7665300319569024</v>
      </c>
    </row>
    <row r="2973" spans="1:10" outlineLevel="2">
      <c r="A2973" s="2459" t="s">
        <v>1669</v>
      </c>
      <c r="B2973" s="2459" t="s">
        <v>1656</v>
      </c>
      <c r="C2973" s="2459" t="s">
        <v>1675</v>
      </c>
      <c r="D2973" s="2460" t="s">
        <v>1671</v>
      </c>
      <c r="E2973" s="2461" t="s">
        <v>1573</v>
      </c>
      <c r="F2973" s="2461" t="s">
        <v>1630</v>
      </c>
      <c r="G2973" s="2461" t="s">
        <v>1459</v>
      </c>
      <c r="H2973" s="2461" t="s">
        <v>1460</v>
      </c>
      <c r="I2973" s="2462">
        <v>2.2654217290741575E-3</v>
      </c>
      <c r="J2973" s="2462">
        <v>148.4709343453668</v>
      </c>
    </row>
    <row r="2974" spans="1:10" outlineLevel="2">
      <c r="A2974" s="2459" t="s">
        <v>1669</v>
      </c>
      <c r="B2974" s="2459" t="s">
        <v>1656</v>
      </c>
      <c r="C2974" s="2459" t="s">
        <v>1675</v>
      </c>
      <c r="D2974" s="2460" t="s">
        <v>1671</v>
      </c>
      <c r="E2974" s="2461" t="s">
        <v>1573</v>
      </c>
      <c r="F2974" s="2461" t="s">
        <v>1643</v>
      </c>
      <c r="G2974" s="2461" t="s">
        <v>1412</v>
      </c>
      <c r="H2974" s="2461" t="s">
        <v>1116</v>
      </c>
      <c r="I2974" s="2462">
        <v>4.6144460379188247E-3</v>
      </c>
      <c r="J2974" s="2462">
        <v>146.58617839097403</v>
      </c>
    </row>
    <row r="2975" spans="1:10" outlineLevel="2">
      <c r="A2975" s="2459" t="s">
        <v>1669</v>
      </c>
      <c r="B2975" s="2459" t="s">
        <v>1657</v>
      </c>
      <c r="C2975" s="2459" t="s">
        <v>1673</v>
      </c>
      <c r="D2975" s="2460" t="s">
        <v>1671</v>
      </c>
      <c r="E2975" s="2461" t="s">
        <v>1407</v>
      </c>
      <c r="F2975" s="2461" t="s">
        <v>1408</v>
      </c>
      <c r="G2975" s="2461" t="s">
        <v>1409</v>
      </c>
      <c r="H2975" s="2461" t="s">
        <v>1410</v>
      </c>
      <c r="I2975" s="2462">
        <v>3.5393955980395291E-2</v>
      </c>
      <c r="J2975" s="2462">
        <v>0.52065330079508465</v>
      </c>
    </row>
    <row r="2976" spans="1:10" outlineLevel="2">
      <c r="A2976" s="2459" t="s">
        <v>1669</v>
      </c>
      <c r="B2976" s="2459" t="s">
        <v>1657</v>
      </c>
      <c r="C2976" s="2459" t="s">
        <v>1673</v>
      </c>
      <c r="D2976" s="2460" t="s">
        <v>1671</v>
      </c>
      <c r="E2976" s="2461" t="s">
        <v>1407</v>
      </c>
      <c r="F2976" s="2461" t="s">
        <v>1411</v>
      </c>
      <c r="G2976" s="2461" t="s">
        <v>1412</v>
      </c>
      <c r="H2976" s="2461" t="s">
        <v>1410</v>
      </c>
      <c r="I2976" s="2462">
        <v>6.2757341043729431</v>
      </c>
      <c r="J2976" s="2462">
        <v>1019.142216190729</v>
      </c>
    </row>
    <row r="2977" spans="1:10" outlineLevel="2">
      <c r="A2977" s="2459" t="s">
        <v>1669</v>
      </c>
      <c r="B2977" s="2459" t="s">
        <v>1657</v>
      </c>
      <c r="C2977" s="2459" t="s">
        <v>1673</v>
      </c>
      <c r="D2977" s="2460" t="s">
        <v>1671</v>
      </c>
      <c r="E2977" s="2461" t="s">
        <v>1407</v>
      </c>
      <c r="F2977" s="2461" t="s">
        <v>1413</v>
      </c>
      <c r="G2977" s="2461" t="s">
        <v>1412</v>
      </c>
      <c r="H2977" s="2461" t="s">
        <v>1410</v>
      </c>
      <c r="I2977" s="2462">
        <v>5.0965207388724816E-3</v>
      </c>
      <c r="J2977" s="2462">
        <v>0.86339445080254973</v>
      </c>
    </row>
    <row r="2978" spans="1:10" outlineLevel="2">
      <c r="A2978" s="2459" t="s">
        <v>1669</v>
      </c>
      <c r="B2978" s="2459" t="s">
        <v>1657</v>
      </c>
      <c r="C2978" s="2459" t="s">
        <v>1673</v>
      </c>
      <c r="D2978" s="2460" t="s">
        <v>1671</v>
      </c>
      <c r="E2978" s="2461" t="s">
        <v>1407</v>
      </c>
      <c r="F2978" s="2461" t="s">
        <v>1414</v>
      </c>
      <c r="G2978" s="2461" t="s">
        <v>1412</v>
      </c>
      <c r="H2978" s="2461" t="s">
        <v>1410</v>
      </c>
      <c r="I2978" s="2462">
        <v>2.561136493601057E-3</v>
      </c>
      <c r="J2978" s="2462">
        <v>0.47049102725586445</v>
      </c>
    </row>
    <row r="2979" spans="1:10" outlineLevel="2">
      <c r="A2979" s="2459" t="s">
        <v>1669</v>
      </c>
      <c r="B2979" s="2459" t="s">
        <v>1657</v>
      </c>
      <c r="C2979" s="2459" t="s">
        <v>1673</v>
      </c>
      <c r="D2979" s="2460" t="s">
        <v>1671</v>
      </c>
      <c r="E2979" s="2461" t="s">
        <v>1407</v>
      </c>
      <c r="F2979" s="2461" t="s">
        <v>1415</v>
      </c>
      <c r="G2979" s="2461" t="s">
        <v>1412</v>
      </c>
      <c r="H2979" s="2461" t="s">
        <v>1410</v>
      </c>
      <c r="I2979" s="2462">
        <v>3.8363787641221309E-2</v>
      </c>
      <c r="J2979" s="2462">
        <v>6.1110102598596026</v>
      </c>
    </row>
    <row r="2980" spans="1:10" outlineLevel="2">
      <c r="A2980" s="2459" t="s">
        <v>1669</v>
      </c>
      <c r="B2980" s="2459" t="s">
        <v>1657</v>
      </c>
      <c r="C2980" s="2459" t="s">
        <v>1673</v>
      </c>
      <c r="D2980" s="2460" t="s">
        <v>1671</v>
      </c>
      <c r="E2980" s="2461" t="s">
        <v>1407</v>
      </c>
      <c r="F2980" s="2461" t="s">
        <v>1416</v>
      </c>
      <c r="G2980" s="2461" t="s">
        <v>1412</v>
      </c>
      <c r="H2980" s="2461" t="s">
        <v>1410</v>
      </c>
      <c r="I2980" s="2462">
        <v>2.3442695145920078E-2</v>
      </c>
      <c r="J2980" s="2462">
        <v>5.7667075494643356</v>
      </c>
    </row>
    <row r="2981" spans="1:10" outlineLevel="2">
      <c r="A2981" s="2459" t="s">
        <v>1669</v>
      </c>
      <c r="B2981" s="2459" t="s">
        <v>1657</v>
      </c>
      <c r="C2981" s="2459" t="s">
        <v>1673</v>
      </c>
      <c r="D2981" s="2460" t="s">
        <v>1671</v>
      </c>
      <c r="E2981" s="2461" t="s">
        <v>1407</v>
      </c>
      <c r="F2981" s="2461" t="s">
        <v>1417</v>
      </c>
      <c r="G2981" s="2461" t="s">
        <v>1418</v>
      </c>
      <c r="H2981" s="2461" t="s">
        <v>1410</v>
      </c>
      <c r="I2981" s="2462">
        <v>4.177432566215473E-3</v>
      </c>
      <c r="J2981" s="2462">
        <v>5.5488457838324241E-2</v>
      </c>
    </row>
    <row r="2982" spans="1:10" outlineLevel="2">
      <c r="A2982" s="2459" t="s">
        <v>1669</v>
      </c>
      <c r="B2982" s="2459" t="s">
        <v>1657</v>
      </c>
      <c r="C2982" s="2459" t="s">
        <v>1673</v>
      </c>
      <c r="D2982" s="2460" t="s">
        <v>1671</v>
      </c>
      <c r="E2982" s="2461" t="s">
        <v>1407</v>
      </c>
      <c r="F2982" s="2461" t="s">
        <v>1419</v>
      </c>
      <c r="G2982" s="2461" t="s">
        <v>1418</v>
      </c>
      <c r="H2982" s="2461" t="s">
        <v>1410</v>
      </c>
      <c r="I2982" s="2462">
        <v>3.1008401856613708E-2</v>
      </c>
      <c r="J2982" s="2462">
        <v>6.0221311463616551</v>
      </c>
    </row>
    <row r="2983" spans="1:10" outlineLevel="2">
      <c r="A2983" s="2459" t="s">
        <v>1669</v>
      </c>
      <c r="B2983" s="2459" t="s">
        <v>1657</v>
      </c>
      <c r="C2983" s="2459" t="s">
        <v>1673</v>
      </c>
      <c r="D2983" s="2460" t="s">
        <v>1671</v>
      </c>
      <c r="E2983" s="2461" t="s">
        <v>1407</v>
      </c>
      <c r="F2983" s="2461" t="s">
        <v>1420</v>
      </c>
      <c r="G2983" s="2461" t="s">
        <v>1421</v>
      </c>
      <c r="H2983" s="2461" t="s">
        <v>1410</v>
      </c>
      <c r="I2983" s="2462">
        <v>8.8263315568186549</v>
      </c>
      <c r="J2983" s="2462">
        <v>229.066788554439</v>
      </c>
    </row>
    <row r="2984" spans="1:10" outlineLevel="2">
      <c r="A2984" s="2459" t="s">
        <v>1669</v>
      </c>
      <c r="B2984" s="2459" t="s">
        <v>1657</v>
      </c>
      <c r="C2984" s="2459" t="s">
        <v>1673</v>
      </c>
      <c r="D2984" s="2460" t="s">
        <v>1671</v>
      </c>
      <c r="E2984" s="2461" t="s">
        <v>1407</v>
      </c>
      <c r="F2984" s="2461" t="s">
        <v>1422</v>
      </c>
      <c r="G2984" s="2461" t="s">
        <v>1421</v>
      </c>
      <c r="H2984" s="2461" t="s">
        <v>1410</v>
      </c>
      <c r="I2984" s="2462">
        <v>0.26690699668065987</v>
      </c>
      <c r="J2984" s="2462">
        <v>10.936041167794995</v>
      </c>
    </row>
    <row r="2985" spans="1:10" outlineLevel="2">
      <c r="A2985" s="2459" t="s">
        <v>1669</v>
      </c>
      <c r="B2985" s="2459" t="s">
        <v>1657</v>
      </c>
      <c r="C2985" s="2459" t="s">
        <v>1673</v>
      </c>
      <c r="D2985" s="2460" t="s">
        <v>1671</v>
      </c>
      <c r="E2985" s="2461" t="s">
        <v>1407</v>
      </c>
      <c r="F2985" s="2461" t="s">
        <v>1423</v>
      </c>
      <c r="G2985" s="2461" t="s">
        <v>1421</v>
      </c>
      <c r="H2985" s="2461" t="s">
        <v>1410</v>
      </c>
      <c r="I2985" s="2462">
        <v>0.13873173857785373</v>
      </c>
      <c r="J2985" s="2462">
        <v>15.987248926530507</v>
      </c>
    </row>
    <row r="2986" spans="1:10" outlineLevel="2">
      <c r="A2986" s="2459" t="s">
        <v>1669</v>
      </c>
      <c r="B2986" s="2459" t="s">
        <v>1657</v>
      </c>
      <c r="C2986" s="2459" t="s">
        <v>1673</v>
      </c>
      <c r="D2986" s="2460" t="s">
        <v>1671</v>
      </c>
      <c r="E2986" s="2461" t="s">
        <v>1407</v>
      </c>
      <c r="F2986" s="2461" t="s">
        <v>1424</v>
      </c>
      <c r="G2986" s="2461" t="s">
        <v>1421</v>
      </c>
      <c r="H2986" s="2461" t="s">
        <v>1410</v>
      </c>
      <c r="I2986" s="2462">
        <v>2.7129713777583957</v>
      </c>
      <c r="J2986" s="2462">
        <v>567.73114710235882</v>
      </c>
    </row>
    <row r="2987" spans="1:10" outlineLevel="2">
      <c r="A2987" s="2459" t="s">
        <v>1669</v>
      </c>
      <c r="B2987" s="2459" t="s">
        <v>1657</v>
      </c>
      <c r="C2987" s="2459" t="s">
        <v>1673</v>
      </c>
      <c r="D2987" s="2460" t="s">
        <v>1671</v>
      </c>
      <c r="E2987" s="2461" t="s">
        <v>213</v>
      </c>
      <c r="F2987" s="2461" t="s">
        <v>1425</v>
      </c>
      <c r="G2987" s="2461" t="s">
        <v>1426</v>
      </c>
      <c r="H2987" s="2461" t="s">
        <v>1427</v>
      </c>
      <c r="I2987" s="2462">
        <v>1.2541844371136988</v>
      </c>
      <c r="J2987" s="2462">
        <v>360.36771856418108</v>
      </c>
    </row>
    <row r="2988" spans="1:10" outlineLevel="2">
      <c r="A2988" s="2459" t="s">
        <v>1669</v>
      </c>
      <c r="B2988" s="2459" t="s">
        <v>1657</v>
      </c>
      <c r="C2988" s="2459" t="s">
        <v>1673</v>
      </c>
      <c r="D2988" s="2460" t="s">
        <v>1671</v>
      </c>
      <c r="E2988" s="2461" t="s">
        <v>213</v>
      </c>
      <c r="F2988" s="2461" t="s">
        <v>1428</v>
      </c>
      <c r="G2988" s="2461" t="s">
        <v>1426</v>
      </c>
      <c r="H2988" s="2461" t="s">
        <v>1427</v>
      </c>
      <c r="I2988" s="2462">
        <v>0.38310397222494075</v>
      </c>
      <c r="J2988" s="2462">
        <v>154.76357178554861</v>
      </c>
    </row>
    <row r="2989" spans="1:10" outlineLevel="2">
      <c r="A2989" s="2459" t="s">
        <v>1669</v>
      </c>
      <c r="B2989" s="2459" t="s">
        <v>1657</v>
      </c>
      <c r="C2989" s="2459" t="s">
        <v>1673</v>
      </c>
      <c r="D2989" s="2460" t="s">
        <v>1671</v>
      </c>
      <c r="E2989" s="2461" t="s">
        <v>213</v>
      </c>
      <c r="F2989" s="2461" t="s">
        <v>1429</v>
      </c>
      <c r="G2989" s="2461" t="s">
        <v>1426</v>
      </c>
      <c r="H2989" s="2461" t="s">
        <v>1427</v>
      </c>
      <c r="I2989" s="2462">
        <v>0.17437131520028734</v>
      </c>
      <c r="J2989" s="2462">
        <v>224.2545008937845</v>
      </c>
    </row>
    <row r="2990" spans="1:10" outlineLevel="2">
      <c r="A2990" s="2459" t="s">
        <v>1669</v>
      </c>
      <c r="B2990" s="2459" t="s">
        <v>1657</v>
      </c>
      <c r="C2990" s="2459" t="s">
        <v>1673</v>
      </c>
      <c r="D2990" s="2460" t="s">
        <v>1671</v>
      </c>
      <c r="E2990" s="2461" t="s">
        <v>213</v>
      </c>
      <c r="F2990" s="2461" t="s">
        <v>1430</v>
      </c>
      <c r="G2990" s="2461" t="s">
        <v>1409</v>
      </c>
      <c r="H2990" s="2461" t="s">
        <v>1070</v>
      </c>
      <c r="I2990" s="2462">
        <v>0.10940455941487583</v>
      </c>
      <c r="J2990" s="2462">
        <v>67.883377552985294</v>
      </c>
    </row>
    <row r="2991" spans="1:10" outlineLevel="2">
      <c r="A2991" s="2459" t="s">
        <v>1669</v>
      </c>
      <c r="B2991" s="2459" t="s">
        <v>1657</v>
      </c>
      <c r="C2991" s="2459" t="s">
        <v>1673</v>
      </c>
      <c r="D2991" s="2460" t="s">
        <v>1671</v>
      </c>
      <c r="E2991" s="2461" t="s">
        <v>213</v>
      </c>
      <c r="F2991" s="2461" t="s">
        <v>1431</v>
      </c>
      <c r="G2991" s="2461" t="s">
        <v>1409</v>
      </c>
      <c r="H2991" s="2461" t="s">
        <v>1070</v>
      </c>
      <c r="I2991" s="2462">
        <v>9.0794246180821159E-3</v>
      </c>
      <c r="J2991" s="2462">
        <v>4.3972237977217201</v>
      </c>
    </row>
    <row r="2992" spans="1:10" outlineLevel="2">
      <c r="A2992" s="2459" t="s">
        <v>1669</v>
      </c>
      <c r="B2992" s="2459" t="s">
        <v>1657</v>
      </c>
      <c r="C2992" s="2459" t="s">
        <v>1673</v>
      </c>
      <c r="D2992" s="2460" t="s">
        <v>1671</v>
      </c>
      <c r="E2992" s="2461" t="s">
        <v>213</v>
      </c>
      <c r="F2992" s="2461" t="s">
        <v>1432</v>
      </c>
      <c r="G2992" s="2461" t="s">
        <v>1409</v>
      </c>
      <c r="H2992" s="2461" t="s">
        <v>1070</v>
      </c>
      <c r="I2992" s="2462">
        <v>1.100307810294914E-2</v>
      </c>
      <c r="J2992" s="2462">
        <v>5.2559310518750886</v>
      </c>
    </row>
    <row r="2993" spans="1:10" outlineLevel="2">
      <c r="A2993" s="2459" t="s">
        <v>1669</v>
      </c>
      <c r="B2993" s="2459" t="s">
        <v>1657</v>
      </c>
      <c r="C2993" s="2459" t="s">
        <v>1673</v>
      </c>
      <c r="D2993" s="2460" t="s">
        <v>1671</v>
      </c>
      <c r="E2993" s="2461" t="s">
        <v>213</v>
      </c>
      <c r="F2993" s="2461" t="s">
        <v>1433</v>
      </c>
      <c r="G2993" s="2461" t="s">
        <v>1409</v>
      </c>
      <c r="H2993" s="2461" t="s">
        <v>1070</v>
      </c>
      <c r="I2993" s="2462">
        <v>8.1372493630389758E-5</v>
      </c>
      <c r="J2993" s="2462">
        <v>3.6417954709615667E-2</v>
      </c>
    </row>
    <row r="2994" spans="1:10" outlineLevel="2">
      <c r="A2994" s="2459" t="s">
        <v>1669</v>
      </c>
      <c r="B2994" s="2459" t="s">
        <v>1657</v>
      </c>
      <c r="C2994" s="2459" t="s">
        <v>1673</v>
      </c>
      <c r="D2994" s="2460" t="s">
        <v>1671</v>
      </c>
      <c r="E2994" s="2461" t="s">
        <v>213</v>
      </c>
      <c r="F2994" s="2461" t="s">
        <v>1434</v>
      </c>
      <c r="G2994" s="2461" t="s">
        <v>1409</v>
      </c>
      <c r="H2994" s="2461" t="s">
        <v>1070</v>
      </c>
      <c r="I2994" s="2462">
        <v>0.31365137688221562</v>
      </c>
      <c r="J2994" s="2462">
        <v>175.13793695099571</v>
      </c>
    </row>
    <row r="2995" spans="1:10" outlineLevel="2">
      <c r="A2995" s="2459" t="s">
        <v>1669</v>
      </c>
      <c r="B2995" s="2459" t="s">
        <v>1657</v>
      </c>
      <c r="C2995" s="2459" t="s">
        <v>1673</v>
      </c>
      <c r="D2995" s="2460" t="s">
        <v>1671</v>
      </c>
      <c r="E2995" s="2461" t="s">
        <v>213</v>
      </c>
      <c r="F2995" s="2461" t="s">
        <v>1435</v>
      </c>
      <c r="G2995" s="2461" t="s">
        <v>1409</v>
      </c>
      <c r="H2995" s="2461" t="s">
        <v>1070</v>
      </c>
      <c r="I2995" s="2462">
        <v>2.2933168364524612E-3</v>
      </c>
      <c r="J2995" s="2462">
        <v>1.0263662910697195</v>
      </c>
    </row>
    <row r="2996" spans="1:10" outlineLevel="2">
      <c r="A2996" s="2459" t="s">
        <v>1669</v>
      </c>
      <c r="B2996" s="2459" t="s">
        <v>1657</v>
      </c>
      <c r="C2996" s="2459" t="s">
        <v>1673</v>
      </c>
      <c r="D2996" s="2460" t="s">
        <v>1671</v>
      </c>
      <c r="E2996" s="2461" t="s">
        <v>213</v>
      </c>
      <c r="F2996" s="2461" t="s">
        <v>1436</v>
      </c>
      <c r="G2996" s="2461" t="s">
        <v>1412</v>
      </c>
      <c r="H2996" s="2461" t="s">
        <v>1116</v>
      </c>
      <c r="I2996" s="2462">
        <v>6.2155019512909341E-3</v>
      </c>
      <c r="J2996" s="2462">
        <v>2.7817196755926323</v>
      </c>
    </row>
    <row r="2997" spans="1:10" outlineLevel="2">
      <c r="A2997" s="2459" t="s">
        <v>1669</v>
      </c>
      <c r="B2997" s="2459" t="s">
        <v>1657</v>
      </c>
      <c r="C2997" s="2459" t="s">
        <v>1673</v>
      </c>
      <c r="D2997" s="2460" t="s">
        <v>1671</v>
      </c>
      <c r="E2997" s="2461" t="s">
        <v>213</v>
      </c>
      <c r="F2997" s="2461" t="s">
        <v>1437</v>
      </c>
      <c r="G2997" s="2461" t="s">
        <v>1412</v>
      </c>
      <c r="H2997" s="2461" t="s">
        <v>1116</v>
      </c>
      <c r="I2997" s="2462">
        <v>4.7561743165287518E-4</v>
      </c>
      <c r="J2997" s="2462">
        <v>0.21286109718169055</v>
      </c>
    </row>
    <row r="2998" spans="1:10" outlineLevel="2">
      <c r="A2998" s="2459" t="s">
        <v>1669</v>
      </c>
      <c r="B2998" s="2459" t="s">
        <v>1657</v>
      </c>
      <c r="C2998" s="2459" t="s">
        <v>1673</v>
      </c>
      <c r="D2998" s="2460" t="s">
        <v>1671</v>
      </c>
      <c r="E2998" s="2461" t="s">
        <v>213</v>
      </c>
      <c r="F2998" s="2461" t="s">
        <v>1438</v>
      </c>
      <c r="G2998" s="2461" t="s">
        <v>1439</v>
      </c>
      <c r="H2998" s="2461" t="s">
        <v>1440</v>
      </c>
      <c r="I2998" s="2462">
        <v>5.4757824788264714E-2</v>
      </c>
      <c r="J2998" s="2462">
        <v>29.988997419044328</v>
      </c>
    </row>
    <row r="2999" spans="1:10" outlineLevel="2">
      <c r="A2999" s="2459" t="s">
        <v>1669</v>
      </c>
      <c r="B2999" s="2459" t="s">
        <v>1657</v>
      </c>
      <c r="C2999" s="2459" t="s">
        <v>1673</v>
      </c>
      <c r="D2999" s="2460" t="s">
        <v>1671</v>
      </c>
      <c r="E2999" s="2461" t="s">
        <v>213</v>
      </c>
      <c r="F2999" s="2461" t="s">
        <v>1441</v>
      </c>
      <c r="G2999" s="2461" t="s">
        <v>1439</v>
      </c>
      <c r="H2999" s="2461" t="s">
        <v>1440</v>
      </c>
      <c r="I2999" s="2462">
        <v>0.7606970282606379</v>
      </c>
      <c r="J2999" s="2462">
        <v>408.83324757962242</v>
      </c>
    </row>
    <row r="3000" spans="1:10" outlineLevel="2">
      <c r="A3000" s="2459" t="s">
        <v>1669</v>
      </c>
      <c r="B3000" s="2459" t="s">
        <v>1657</v>
      </c>
      <c r="C3000" s="2459" t="s">
        <v>1673</v>
      </c>
      <c r="D3000" s="2460" t="s">
        <v>1671</v>
      </c>
      <c r="E3000" s="2461" t="s">
        <v>213</v>
      </c>
      <c r="F3000" s="2461" t="s">
        <v>1442</v>
      </c>
      <c r="G3000" s="2461" t="s">
        <v>1439</v>
      </c>
      <c r="H3000" s="2461" t="s">
        <v>1440</v>
      </c>
      <c r="I3000" s="2462">
        <v>0.77069014165559957</v>
      </c>
      <c r="J3000" s="2462">
        <v>400.40980041953384</v>
      </c>
    </row>
    <row r="3001" spans="1:10" outlineLevel="2">
      <c r="A3001" s="2459" t="s">
        <v>1669</v>
      </c>
      <c r="B3001" s="2459" t="s">
        <v>1657</v>
      </c>
      <c r="C3001" s="2459" t="s">
        <v>1673</v>
      </c>
      <c r="D3001" s="2460" t="s">
        <v>1671</v>
      </c>
      <c r="E3001" s="2461" t="s">
        <v>213</v>
      </c>
      <c r="F3001" s="2461" t="s">
        <v>1443</v>
      </c>
      <c r="G3001" s="2461" t="s">
        <v>1439</v>
      </c>
      <c r="H3001" s="2461" t="s">
        <v>1440</v>
      </c>
      <c r="I3001" s="2462">
        <v>7.1928234893980303</v>
      </c>
      <c r="J3001" s="2462">
        <v>3937.3775033488223</v>
      </c>
    </row>
    <row r="3002" spans="1:10" outlineLevel="2">
      <c r="A3002" s="2459" t="s">
        <v>1669</v>
      </c>
      <c r="B3002" s="2459" t="s">
        <v>1657</v>
      </c>
      <c r="C3002" s="2459" t="s">
        <v>1673</v>
      </c>
      <c r="D3002" s="2460" t="s">
        <v>1671</v>
      </c>
      <c r="E3002" s="2461" t="s">
        <v>213</v>
      </c>
      <c r="F3002" s="2461" t="s">
        <v>1444</v>
      </c>
      <c r="G3002" s="2461" t="s">
        <v>1439</v>
      </c>
      <c r="H3002" s="2461" t="s">
        <v>1440</v>
      </c>
      <c r="I3002" s="2462">
        <v>0.94674898959484388</v>
      </c>
      <c r="J3002" s="2462">
        <v>556.08225385712876</v>
      </c>
    </row>
    <row r="3003" spans="1:10" outlineLevel="2">
      <c r="A3003" s="2459" t="s">
        <v>1669</v>
      </c>
      <c r="B3003" s="2459" t="s">
        <v>1657</v>
      </c>
      <c r="C3003" s="2459" t="s">
        <v>1673</v>
      </c>
      <c r="D3003" s="2460" t="s">
        <v>1671</v>
      </c>
      <c r="E3003" s="2461" t="s">
        <v>213</v>
      </c>
      <c r="F3003" s="2461" t="s">
        <v>1445</v>
      </c>
      <c r="G3003" s="2461" t="s">
        <v>1439</v>
      </c>
      <c r="H3003" s="2461" t="s">
        <v>1440</v>
      </c>
      <c r="I3003" s="2462">
        <v>6.8061125520823627</v>
      </c>
      <c r="J3003" s="2462">
        <v>3440.7414660840486</v>
      </c>
    </row>
    <row r="3004" spans="1:10" outlineLevel="2">
      <c r="A3004" s="2459" t="s">
        <v>1669</v>
      </c>
      <c r="B3004" s="2459" t="s">
        <v>1657</v>
      </c>
      <c r="C3004" s="2459" t="s">
        <v>1673</v>
      </c>
      <c r="D3004" s="2460" t="s">
        <v>1671</v>
      </c>
      <c r="E3004" s="2461" t="s">
        <v>213</v>
      </c>
      <c r="F3004" s="2461" t="s">
        <v>1446</v>
      </c>
      <c r="G3004" s="2461" t="s">
        <v>1439</v>
      </c>
      <c r="H3004" s="2461" t="s">
        <v>1440</v>
      </c>
      <c r="I3004" s="2462">
        <v>0.66731192247752358</v>
      </c>
      <c r="J3004" s="2462">
        <v>357.89315154815534</v>
      </c>
    </row>
    <row r="3005" spans="1:10" outlineLevel="2">
      <c r="A3005" s="2459" t="s">
        <v>1669</v>
      </c>
      <c r="B3005" s="2459" t="s">
        <v>1657</v>
      </c>
      <c r="C3005" s="2459" t="s">
        <v>1673</v>
      </c>
      <c r="D3005" s="2460" t="s">
        <v>1671</v>
      </c>
      <c r="E3005" s="2461" t="s">
        <v>213</v>
      </c>
      <c r="F3005" s="2461" t="s">
        <v>1447</v>
      </c>
      <c r="G3005" s="2461" t="s">
        <v>1439</v>
      </c>
      <c r="H3005" s="2461" t="s">
        <v>1440</v>
      </c>
      <c r="I3005" s="2462">
        <v>6.0070292261713432</v>
      </c>
      <c r="J3005" s="2462">
        <v>3212.828735961637</v>
      </c>
    </row>
    <row r="3006" spans="1:10" outlineLevel="2">
      <c r="A3006" s="2459" t="s">
        <v>1669</v>
      </c>
      <c r="B3006" s="2459" t="s">
        <v>1657</v>
      </c>
      <c r="C3006" s="2459" t="s">
        <v>1673</v>
      </c>
      <c r="D3006" s="2460" t="s">
        <v>1671</v>
      </c>
      <c r="E3006" s="2461" t="s">
        <v>213</v>
      </c>
      <c r="F3006" s="2461" t="s">
        <v>1448</v>
      </c>
      <c r="G3006" s="2461" t="s">
        <v>1439</v>
      </c>
      <c r="H3006" s="2461" t="s">
        <v>1440</v>
      </c>
      <c r="I3006" s="2462">
        <v>1.2094334468364782</v>
      </c>
      <c r="J3006" s="2462">
        <v>177.07698719532266</v>
      </c>
    </row>
    <row r="3007" spans="1:10" outlineLevel="2">
      <c r="A3007" s="2459" t="s">
        <v>1669</v>
      </c>
      <c r="B3007" s="2459" t="s">
        <v>1657</v>
      </c>
      <c r="C3007" s="2459" t="s">
        <v>1673</v>
      </c>
      <c r="D3007" s="2460" t="s">
        <v>1671</v>
      </c>
      <c r="E3007" s="2461" t="s">
        <v>213</v>
      </c>
      <c r="F3007" s="2461" t="s">
        <v>1449</v>
      </c>
      <c r="G3007" s="2461" t="s">
        <v>1439</v>
      </c>
      <c r="H3007" s="2461" t="s">
        <v>1440</v>
      </c>
      <c r="I3007" s="2462">
        <v>7.9901016548684627</v>
      </c>
      <c r="J3007" s="2462">
        <v>1169.8239800587671</v>
      </c>
    </row>
    <row r="3008" spans="1:10" outlineLevel="2">
      <c r="A3008" s="2459" t="s">
        <v>1669</v>
      </c>
      <c r="B3008" s="2459" t="s">
        <v>1657</v>
      </c>
      <c r="C3008" s="2459" t="s">
        <v>1673</v>
      </c>
      <c r="D3008" s="2460" t="s">
        <v>1671</v>
      </c>
      <c r="E3008" s="2461" t="s">
        <v>213</v>
      </c>
      <c r="F3008" s="2461" t="s">
        <v>1450</v>
      </c>
      <c r="G3008" s="2461" t="s">
        <v>1439</v>
      </c>
      <c r="H3008" s="2461" t="s">
        <v>1440</v>
      </c>
      <c r="I3008" s="2462">
        <v>3.4357841195226226E-3</v>
      </c>
      <c r="J3008" s="2462">
        <v>1.7143913232434831</v>
      </c>
    </row>
    <row r="3009" spans="1:10" outlineLevel="2">
      <c r="A3009" s="2459" t="s">
        <v>1669</v>
      </c>
      <c r="B3009" s="2459" t="s">
        <v>1657</v>
      </c>
      <c r="C3009" s="2459" t="s">
        <v>1673</v>
      </c>
      <c r="D3009" s="2460" t="s">
        <v>1671</v>
      </c>
      <c r="E3009" s="2461" t="s">
        <v>213</v>
      </c>
      <c r="F3009" s="2461" t="s">
        <v>1451</v>
      </c>
      <c r="G3009" s="2461" t="s">
        <v>1418</v>
      </c>
      <c r="H3009" s="2461" t="s">
        <v>1452</v>
      </c>
      <c r="I3009" s="2462">
        <v>5.1878108207433014E-4</v>
      </c>
      <c r="J3009" s="2462">
        <v>0.31548257255979673</v>
      </c>
    </row>
    <row r="3010" spans="1:10" outlineLevel="2">
      <c r="A3010" s="2459" t="s">
        <v>1669</v>
      </c>
      <c r="B3010" s="2459" t="s">
        <v>1657</v>
      </c>
      <c r="C3010" s="2459" t="s">
        <v>1673</v>
      </c>
      <c r="D3010" s="2460" t="s">
        <v>1671</v>
      </c>
      <c r="E3010" s="2461" t="s">
        <v>213</v>
      </c>
      <c r="F3010" s="2461" t="s">
        <v>1453</v>
      </c>
      <c r="G3010" s="2461" t="s">
        <v>1421</v>
      </c>
      <c r="H3010" s="2461" t="s">
        <v>1454</v>
      </c>
      <c r="I3010" s="2462">
        <v>7.7784177352502204E-2</v>
      </c>
      <c r="J3010" s="2462">
        <v>38.51168588109234</v>
      </c>
    </row>
    <row r="3011" spans="1:10" outlineLevel="2">
      <c r="A3011" s="2459" t="s">
        <v>1669</v>
      </c>
      <c r="B3011" s="2459" t="s">
        <v>1657</v>
      </c>
      <c r="C3011" s="2459" t="s">
        <v>1673</v>
      </c>
      <c r="D3011" s="2460" t="s">
        <v>1671</v>
      </c>
      <c r="E3011" s="2461" t="s">
        <v>213</v>
      </c>
      <c r="F3011" s="2461" t="s">
        <v>1455</v>
      </c>
      <c r="G3011" s="2461" t="s">
        <v>1421</v>
      </c>
      <c r="H3011" s="2461" t="s">
        <v>1454</v>
      </c>
      <c r="I3011" s="2462">
        <v>0.4963867797524249</v>
      </c>
      <c r="J3011" s="2462">
        <v>256.9163375341185</v>
      </c>
    </row>
    <row r="3012" spans="1:10" outlineLevel="2">
      <c r="A3012" s="2459" t="s">
        <v>1669</v>
      </c>
      <c r="B3012" s="2459" t="s">
        <v>1657</v>
      </c>
      <c r="C3012" s="2459" t="s">
        <v>1673</v>
      </c>
      <c r="D3012" s="2460" t="s">
        <v>1671</v>
      </c>
      <c r="E3012" s="2461" t="s">
        <v>213</v>
      </c>
      <c r="F3012" s="2461" t="s">
        <v>1456</v>
      </c>
      <c r="G3012" s="2461" t="s">
        <v>1421</v>
      </c>
      <c r="H3012" s="2461" t="s">
        <v>1454</v>
      </c>
      <c r="I3012" s="2462">
        <v>1.9909994450067662E-4</v>
      </c>
      <c r="J3012" s="2462">
        <v>8.9106617367290863E-2</v>
      </c>
    </row>
    <row r="3013" spans="1:10" outlineLevel="2">
      <c r="A3013" s="2459" t="s">
        <v>1669</v>
      </c>
      <c r="B3013" s="2459" t="s">
        <v>1657</v>
      </c>
      <c r="C3013" s="2459" t="s">
        <v>1673</v>
      </c>
      <c r="D3013" s="2460" t="s">
        <v>1671</v>
      </c>
      <c r="E3013" s="2461" t="s">
        <v>213</v>
      </c>
      <c r="F3013" s="2461" t="s">
        <v>1457</v>
      </c>
      <c r="G3013" s="2461" t="s">
        <v>1421</v>
      </c>
      <c r="H3013" s="2461" t="s">
        <v>1454</v>
      </c>
      <c r="I3013" s="2462">
        <v>3.4729365228541018E-3</v>
      </c>
      <c r="J3013" s="2462">
        <v>1.5542993137802277</v>
      </c>
    </row>
    <row r="3014" spans="1:10" outlineLevel="2">
      <c r="A3014" s="2459" t="s">
        <v>1669</v>
      </c>
      <c r="B3014" s="2459" t="s">
        <v>1657</v>
      </c>
      <c r="C3014" s="2459" t="s">
        <v>1673</v>
      </c>
      <c r="D3014" s="2460" t="s">
        <v>1671</v>
      </c>
      <c r="E3014" s="2461" t="s">
        <v>213</v>
      </c>
      <c r="F3014" s="2461" t="s">
        <v>1458</v>
      </c>
      <c r="G3014" s="2461" t="s">
        <v>1459</v>
      </c>
      <c r="H3014" s="2461" t="s">
        <v>1460</v>
      </c>
      <c r="I3014" s="2462">
        <v>2.9219641630124026E-3</v>
      </c>
      <c r="J3014" s="2462">
        <v>1.6869317628762364</v>
      </c>
    </row>
    <row r="3015" spans="1:10" outlineLevel="2">
      <c r="A3015" s="2459" t="s">
        <v>1669</v>
      </c>
      <c r="B3015" s="2459" t="s">
        <v>1657</v>
      </c>
      <c r="C3015" s="2459" t="s">
        <v>1673</v>
      </c>
      <c r="D3015" s="2460" t="s">
        <v>1671</v>
      </c>
      <c r="E3015" s="2461" t="s">
        <v>213</v>
      </c>
      <c r="F3015" s="2461" t="s">
        <v>1461</v>
      </c>
      <c r="G3015" s="2461" t="s">
        <v>1426</v>
      </c>
      <c r="H3015" s="2461" t="s">
        <v>1427</v>
      </c>
      <c r="I3015" s="2462">
        <v>0.2377102159417869</v>
      </c>
      <c r="J3015" s="2462">
        <v>168.06823628326225</v>
      </c>
    </row>
    <row r="3016" spans="1:10" outlineLevel="2">
      <c r="A3016" s="2459" t="s">
        <v>1669</v>
      </c>
      <c r="B3016" s="2459" t="s">
        <v>1657</v>
      </c>
      <c r="C3016" s="2459" t="s">
        <v>1673</v>
      </c>
      <c r="D3016" s="2460" t="s">
        <v>1671</v>
      </c>
      <c r="E3016" s="2461" t="s">
        <v>213</v>
      </c>
      <c r="F3016" s="2461" t="s">
        <v>1462</v>
      </c>
      <c r="G3016" s="2461" t="s">
        <v>1426</v>
      </c>
      <c r="H3016" s="2461" t="s">
        <v>1427</v>
      </c>
      <c r="I3016" s="2462">
        <v>1.7516958071047171</v>
      </c>
      <c r="J3016" s="2462">
        <v>1597.7882596465981</v>
      </c>
    </row>
    <row r="3017" spans="1:10" outlineLevel="2">
      <c r="A3017" s="2459" t="s">
        <v>1669</v>
      </c>
      <c r="B3017" s="2459" t="s">
        <v>1657</v>
      </c>
      <c r="C3017" s="2459" t="s">
        <v>1673</v>
      </c>
      <c r="D3017" s="2460" t="s">
        <v>1671</v>
      </c>
      <c r="E3017" s="2461" t="s">
        <v>213</v>
      </c>
      <c r="F3017" s="2461" t="s">
        <v>1463</v>
      </c>
      <c r="G3017" s="2461" t="s">
        <v>1426</v>
      </c>
      <c r="H3017" s="2461" t="s">
        <v>1427</v>
      </c>
      <c r="I3017" s="2462">
        <v>1.5768312335675556</v>
      </c>
      <c r="J3017" s="2462">
        <v>2095.1337416265715</v>
      </c>
    </row>
    <row r="3018" spans="1:10" outlineLevel="2">
      <c r="A3018" s="2459" t="s">
        <v>1669</v>
      </c>
      <c r="B3018" s="2459" t="s">
        <v>1657</v>
      </c>
      <c r="C3018" s="2459" t="s">
        <v>1673</v>
      </c>
      <c r="D3018" s="2460" t="s">
        <v>1671</v>
      </c>
      <c r="E3018" s="2461" t="s">
        <v>213</v>
      </c>
      <c r="F3018" s="2461" t="s">
        <v>1464</v>
      </c>
      <c r="G3018" s="2461" t="s">
        <v>1426</v>
      </c>
      <c r="H3018" s="2461" t="s">
        <v>1427</v>
      </c>
      <c r="I3018" s="2462">
        <v>0.23537197833317969</v>
      </c>
      <c r="J3018" s="2462">
        <v>214.30408742885419</v>
      </c>
    </row>
    <row r="3019" spans="1:10" outlineLevel="2">
      <c r="A3019" s="2459" t="s">
        <v>1669</v>
      </c>
      <c r="B3019" s="2459" t="s">
        <v>1657</v>
      </c>
      <c r="C3019" s="2459" t="s">
        <v>1673</v>
      </c>
      <c r="D3019" s="2460" t="s">
        <v>1671</v>
      </c>
      <c r="E3019" s="2461" t="s">
        <v>213</v>
      </c>
      <c r="F3019" s="2461" t="s">
        <v>1465</v>
      </c>
      <c r="G3019" s="2461" t="s">
        <v>1409</v>
      </c>
      <c r="H3019" s="2461" t="s">
        <v>1070</v>
      </c>
      <c r="I3019" s="2462">
        <v>3.6946465259461533E-2</v>
      </c>
      <c r="J3019" s="2462">
        <v>60.175534584969469</v>
      </c>
    </row>
    <row r="3020" spans="1:10" outlineLevel="2">
      <c r="A3020" s="2459" t="s">
        <v>1669</v>
      </c>
      <c r="B3020" s="2459" t="s">
        <v>1657</v>
      </c>
      <c r="C3020" s="2459" t="s">
        <v>1673</v>
      </c>
      <c r="D3020" s="2460" t="s">
        <v>1671</v>
      </c>
      <c r="E3020" s="2461" t="s">
        <v>213</v>
      </c>
      <c r="F3020" s="2461" t="s">
        <v>1466</v>
      </c>
      <c r="G3020" s="2461" t="s">
        <v>1409</v>
      </c>
      <c r="H3020" s="2461" t="s">
        <v>1070</v>
      </c>
      <c r="I3020" s="2462">
        <v>2.9523534797255228E-4</v>
      </c>
      <c r="J3020" s="2462">
        <v>0.4491580289322914</v>
      </c>
    </row>
    <row r="3021" spans="1:10" outlineLevel="2">
      <c r="A3021" s="2459" t="s">
        <v>1669</v>
      </c>
      <c r="B3021" s="2459" t="s">
        <v>1657</v>
      </c>
      <c r="C3021" s="2459" t="s">
        <v>1673</v>
      </c>
      <c r="D3021" s="2460" t="s">
        <v>1671</v>
      </c>
      <c r="E3021" s="2461" t="s">
        <v>213</v>
      </c>
      <c r="F3021" s="2461" t="s">
        <v>1467</v>
      </c>
      <c r="G3021" s="2461" t="s">
        <v>1409</v>
      </c>
      <c r="H3021" s="2461" t="s">
        <v>1070</v>
      </c>
      <c r="I3021" s="2462">
        <v>7.9827095867199355E-2</v>
      </c>
      <c r="J3021" s="2462">
        <v>113.04706960160439</v>
      </c>
    </row>
    <row r="3022" spans="1:10" outlineLevel="2">
      <c r="A3022" s="2459" t="s">
        <v>1669</v>
      </c>
      <c r="B3022" s="2459" t="s">
        <v>1657</v>
      </c>
      <c r="C3022" s="2459" t="s">
        <v>1673</v>
      </c>
      <c r="D3022" s="2460" t="s">
        <v>1671</v>
      </c>
      <c r="E3022" s="2461" t="s">
        <v>213</v>
      </c>
      <c r="F3022" s="2461" t="s">
        <v>1468</v>
      </c>
      <c r="G3022" s="2461" t="s">
        <v>1409</v>
      </c>
      <c r="H3022" s="2461" t="s">
        <v>1070</v>
      </c>
      <c r="I3022" s="2462">
        <v>6.5141630458418129E-2</v>
      </c>
      <c r="J3022" s="2462">
        <v>106.43191036441712</v>
      </c>
    </row>
    <row r="3023" spans="1:10" outlineLevel="2">
      <c r="A3023" s="2459" t="s">
        <v>1669</v>
      </c>
      <c r="B3023" s="2459" t="s">
        <v>1657</v>
      </c>
      <c r="C3023" s="2459" t="s">
        <v>1673</v>
      </c>
      <c r="D3023" s="2460" t="s">
        <v>1671</v>
      </c>
      <c r="E3023" s="2461" t="s">
        <v>213</v>
      </c>
      <c r="F3023" s="2461" t="s">
        <v>1469</v>
      </c>
      <c r="G3023" s="2461" t="s">
        <v>1409</v>
      </c>
      <c r="H3023" s="2461" t="s">
        <v>1070</v>
      </c>
      <c r="I3023" s="2462">
        <v>0.14567781467108495</v>
      </c>
      <c r="J3023" s="2462">
        <v>212.40533588798345</v>
      </c>
    </row>
    <row r="3024" spans="1:10" outlineLevel="2">
      <c r="A3024" s="2459" t="s">
        <v>1669</v>
      </c>
      <c r="B3024" s="2459" t="s">
        <v>1657</v>
      </c>
      <c r="C3024" s="2459" t="s">
        <v>1673</v>
      </c>
      <c r="D3024" s="2460" t="s">
        <v>1671</v>
      </c>
      <c r="E3024" s="2461" t="s">
        <v>213</v>
      </c>
      <c r="F3024" s="2461" t="s">
        <v>1470</v>
      </c>
      <c r="G3024" s="2461" t="s">
        <v>1409</v>
      </c>
      <c r="H3024" s="2461" t="s">
        <v>1070</v>
      </c>
      <c r="I3024" s="2462">
        <v>6.3198482521363453E-2</v>
      </c>
      <c r="J3024" s="2462">
        <v>89.438365604564865</v>
      </c>
    </row>
    <row r="3025" spans="1:10" outlineLevel="2">
      <c r="A3025" s="2459" t="s">
        <v>1669</v>
      </c>
      <c r="B3025" s="2459" t="s">
        <v>1657</v>
      </c>
      <c r="C3025" s="2459" t="s">
        <v>1673</v>
      </c>
      <c r="D3025" s="2460" t="s">
        <v>1671</v>
      </c>
      <c r="E3025" s="2461" t="s">
        <v>213</v>
      </c>
      <c r="F3025" s="2461" t="s">
        <v>1471</v>
      </c>
      <c r="G3025" s="2461" t="s">
        <v>1409</v>
      </c>
      <c r="H3025" s="2461" t="s">
        <v>1070</v>
      </c>
      <c r="I3025" s="2462">
        <v>3.4418975886008544E-3</v>
      </c>
      <c r="J3025" s="2462">
        <v>4.6613618941614519</v>
      </c>
    </row>
    <row r="3026" spans="1:10" outlineLevel="2">
      <c r="A3026" s="2459" t="s">
        <v>1669</v>
      </c>
      <c r="B3026" s="2459" t="s">
        <v>1657</v>
      </c>
      <c r="C3026" s="2459" t="s">
        <v>1673</v>
      </c>
      <c r="D3026" s="2460" t="s">
        <v>1671</v>
      </c>
      <c r="E3026" s="2461" t="s">
        <v>213</v>
      </c>
      <c r="F3026" s="2461" t="s">
        <v>1472</v>
      </c>
      <c r="G3026" s="2461" t="s">
        <v>1409</v>
      </c>
      <c r="H3026" s="2461" t="s">
        <v>1070</v>
      </c>
      <c r="I3026" s="2462">
        <v>0.11977630117801508</v>
      </c>
      <c r="J3026" s="2462">
        <v>187.16703657184419</v>
      </c>
    </row>
    <row r="3027" spans="1:10" outlineLevel="2">
      <c r="A3027" s="2459" t="s">
        <v>1669</v>
      </c>
      <c r="B3027" s="2459" t="s">
        <v>1657</v>
      </c>
      <c r="C3027" s="2459" t="s">
        <v>1673</v>
      </c>
      <c r="D3027" s="2460" t="s">
        <v>1671</v>
      </c>
      <c r="E3027" s="2461" t="s">
        <v>213</v>
      </c>
      <c r="F3027" s="2461" t="s">
        <v>1473</v>
      </c>
      <c r="G3027" s="2461" t="s">
        <v>1409</v>
      </c>
      <c r="H3027" s="2461" t="s">
        <v>1070</v>
      </c>
      <c r="I3027" s="2462">
        <v>5.708944122438743E-2</v>
      </c>
      <c r="J3027" s="2462">
        <v>69.416892935754262</v>
      </c>
    </row>
    <row r="3028" spans="1:10" outlineLevel="2">
      <c r="A3028" s="2459" t="s">
        <v>1669</v>
      </c>
      <c r="B3028" s="2459" t="s">
        <v>1657</v>
      </c>
      <c r="C3028" s="2459" t="s">
        <v>1673</v>
      </c>
      <c r="D3028" s="2460" t="s">
        <v>1671</v>
      </c>
      <c r="E3028" s="2461" t="s">
        <v>213</v>
      </c>
      <c r="F3028" s="2461" t="s">
        <v>1474</v>
      </c>
      <c r="G3028" s="2461" t="s">
        <v>1409</v>
      </c>
      <c r="H3028" s="2461" t="s">
        <v>1070</v>
      </c>
      <c r="I3028" s="2462">
        <v>0.26983580241840077</v>
      </c>
      <c r="J3028" s="2462">
        <v>390.01518632402571</v>
      </c>
    </row>
    <row r="3029" spans="1:10" outlineLevel="2">
      <c r="A3029" s="2459" t="s">
        <v>1669</v>
      </c>
      <c r="B3029" s="2459" t="s">
        <v>1657</v>
      </c>
      <c r="C3029" s="2459" t="s">
        <v>1673</v>
      </c>
      <c r="D3029" s="2460" t="s">
        <v>1671</v>
      </c>
      <c r="E3029" s="2461" t="s">
        <v>213</v>
      </c>
      <c r="F3029" s="2461" t="s">
        <v>1475</v>
      </c>
      <c r="G3029" s="2461" t="s">
        <v>1409</v>
      </c>
      <c r="H3029" s="2461" t="s">
        <v>1070</v>
      </c>
      <c r="I3029" s="2462">
        <v>0.1367851908160167</v>
      </c>
      <c r="J3029" s="2462">
        <v>187.29602369582975</v>
      </c>
    </row>
    <row r="3030" spans="1:10" outlineLevel="2">
      <c r="A3030" s="2459" t="s">
        <v>1669</v>
      </c>
      <c r="B3030" s="2459" t="s">
        <v>1657</v>
      </c>
      <c r="C3030" s="2459" t="s">
        <v>1673</v>
      </c>
      <c r="D3030" s="2460" t="s">
        <v>1671</v>
      </c>
      <c r="E3030" s="2461" t="s">
        <v>213</v>
      </c>
      <c r="F3030" s="2461" t="s">
        <v>1476</v>
      </c>
      <c r="G3030" s="2461" t="s">
        <v>1409</v>
      </c>
      <c r="H3030" s="2461" t="s">
        <v>1070</v>
      </c>
      <c r="I3030" s="2462">
        <v>1.0811111624767165E-2</v>
      </c>
      <c r="J3030" s="2462">
        <v>15.086451985666777</v>
      </c>
    </row>
    <row r="3031" spans="1:10" outlineLevel="2">
      <c r="A3031" s="2459" t="s">
        <v>1669</v>
      </c>
      <c r="B3031" s="2459" t="s">
        <v>1657</v>
      </c>
      <c r="C3031" s="2459" t="s">
        <v>1673</v>
      </c>
      <c r="D3031" s="2460" t="s">
        <v>1671</v>
      </c>
      <c r="E3031" s="2461" t="s">
        <v>213</v>
      </c>
      <c r="F3031" s="2461" t="s">
        <v>1477</v>
      </c>
      <c r="G3031" s="2461" t="s">
        <v>1409</v>
      </c>
      <c r="H3031" s="2461" t="s">
        <v>1070</v>
      </c>
      <c r="I3031" s="2462">
        <v>1.7753746251833451E-2</v>
      </c>
      <c r="J3031" s="2462">
        <v>25.333929116255081</v>
      </c>
    </row>
    <row r="3032" spans="1:10" outlineLevel="2">
      <c r="A3032" s="2459" t="s">
        <v>1669</v>
      </c>
      <c r="B3032" s="2459" t="s">
        <v>1657</v>
      </c>
      <c r="C3032" s="2459" t="s">
        <v>1673</v>
      </c>
      <c r="D3032" s="2460" t="s">
        <v>1671</v>
      </c>
      <c r="E3032" s="2461" t="s">
        <v>213</v>
      </c>
      <c r="F3032" s="2461" t="s">
        <v>1478</v>
      </c>
      <c r="G3032" s="2461" t="s">
        <v>1409</v>
      </c>
      <c r="H3032" s="2461" t="s">
        <v>1070</v>
      </c>
      <c r="I3032" s="2462">
        <v>7.7719231554748431E-3</v>
      </c>
      <c r="J3032" s="2462">
        <v>22.637944741774973</v>
      </c>
    </row>
    <row r="3033" spans="1:10" outlineLevel="2">
      <c r="A3033" s="2459" t="s">
        <v>1669</v>
      </c>
      <c r="B3033" s="2459" t="s">
        <v>1657</v>
      </c>
      <c r="C3033" s="2459" t="s">
        <v>1673</v>
      </c>
      <c r="D3033" s="2460" t="s">
        <v>1671</v>
      </c>
      <c r="E3033" s="2461" t="s">
        <v>213</v>
      </c>
      <c r="F3033" s="2461" t="s">
        <v>1479</v>
      </c>
      <c r="G3033" s="2461" t="s">
        <v>1409</v>
      </c>
      <c r="H3033" s="2461" t="s">
        <v>1070</v>
      </c>
      <c r="I3033" s="2462">
        <v>6.2559992772957106E-3</v>
      </c>
      <c r="J3033" s="2462">
        <v>53.693299028906928</v>
      </c>
    </row>
    <row r="3034" spans="1:10" outlineLevel="2">
      <c r="A3034" s="2459" t="s">
        <v>1669</v>
      </c>
      <c r="B3034" s="2459" t="s">
        <v>1657</v>
      </c>
      <c r="C3034" s="2459" t="s">
        <v>1673</v>
      </c>
      <c r="D3034" s="2460" t="s">
        <v>1671</v>
      </c>
      <c r="E3034" s="2461" t="s">
        <v>213</v>
      </c>
      <c r="F3034" s="2461" t="s">
        <v>1480</v>
      </c>
      <c r="G3034" s="2461" t="s">
        <v>1409</v>
      </c>
      <c r="H3034" s="2461" t="s">
        <v>1070</v>
      </c>
      <c r="I3034" s="2462">
        <v>8.5134243591679523E-2</v>
      </c>
      <c r="J3034" s="2462">
        <v>128.02777169655391</v>
      </c>
    </row>
    <row r="3035" spans="1:10" outlineLevel="2">
      <c r="A3035" s="2459" t="s">
        <v>1669</v>
      </c>
      <c r="B3035" s="2459" t="s">
        <v>1657</v>
      </c>
      <c r="C3035" s="2459" t="s">
        <v>1673</v>
      </c>
      <c r="D3035" s="2460" t="s">
        <v>1671</v>
      </c>
      <c r="E3035" s="2461" t="s">
        <v>213</v>
      </c>
      <c r="F3035" s="2461" t="s">
        <v>1481</v>
      </c>
      <c r="G3035" s="2461" t="s">
        <v>1409</v>
      </c>
      <c r="H3035" s="2461" t="s">
        <v>1070</v>
      </c>
      <c r="I3035" s="2462">
        <v>6.076928984223539E-2</v>
      </c>
      <c r="J3035" s="2462">
        <v>89.230276367846642</v>
      </c>
    </row>
    <row r="3036" spans="1:10" outlineLevel="2">
      <c r="A3036" s="2459" t="s">
        <v>1669</v>
      </c>
      <c r="B3036" s="2459" t="s">
        <v>1657</v>
      </c>
      <c r="C3036" s="2459" t="s">
        <v>1673</v>
      </c>
      <c r="D3036" s="2460" t="s">
        <v>1671</v>
      </c>
      <c r="E3036" s="2461" t="s">
        <v>213</v>
      </c>
      <c r="F3036" s="2461" t="s">
        <v>1482</v>
      </c>
      <c r="G3036" s="2461" t="s">
        <v>1409</v>
      </c>
      <c r="H3036" s="2461" t="s">
        <v>1070</v>
      </c>
      <c r="I3036" s="2462">
        <v>2.3872062153326611E-2</v>
      </c>
      <c r="J3036" s="2462">
        <v>29.237581817482656</v>
      </c>
    </row>
    <row r="3037" spans="1:10" outlineLevel="2">
      <c r="A3037" s="2459" t="s">
        <v>1669</v>
      </c>
      <c r="B3037" s="2459" t="s">
        <v>1657</v>
      </c>
      <c r="C3037" s="2459" t="s">
        <v>1673</v>
      </c>
      <c r="D3037" s="2460" t="s">
        <v>1671</v>
      </c>
      <c r="E3037" s="2461" t="s">
        <v>213</v>
      </c>
      <c r="F3037" s="2461" t="s">
        <v>1483</v>
      </c>
      <c r="G3037" s="2461" t="s">
        <v>1409</v>
      </c>
      <c r="H3037" s="2461" t="s">
        <v>1070</v>
      </c>
      <c r="I3037" s="2462">
        <v>1.9862871541394926E-2</v>
      </c>
      <c r="J3037" s="2462">
        <v>21.363960448684512</v>
      </c>
    </row>
    <row r="3038" spans="1:10" outlineLevel="2">
      <c r="A3038" s="2459" t="s">
        <v>1669</v>
      </c>
      <c r="B3038" s="2459" t="s">
        <v>1657</v>
      </c>
      <c r="C3038" s="2459" t="s">
        <v>1673</v>
      </c>
      <c r="D3038" s="2460" t="s">
        <v>1671</v>
      </c>
      <c r="E3038" s="2461" t="s">
        <v>213</v>
      </c>
      <c r="F3038" s="2461" t="s">
        <v>1484</v>
      </c>
      <c r="G3038" s="2461" t="s">
        <v>1412</v>
      </c>
      <c r="H3038" s="2461" t="s">
        <v>1116</v>
      </c>
      <c r="I3038" s="2462">
        <v>0.15403674128652306</v>
      </c>
      <c r="J3038" s="2462">
        <v>308.33963086067882</v>
      </c>
    </row>
    <row r="3039" spans="1:10" outlineLevel="2">
      <c r="A3039" s="2459" t="s">
        <v>1669</v>
      </c>
      <c r="B3039" s="2459" t="s">
        <v>1657</v>
      </c>
      <c r="C3039" s="2459" t="s">
        <v>1673</v>
      </c>
      <c r="D3039" s="2460" t="s">
        <v>1671</v>
      </c>
      <c r="E3039" s="2461" t="s">
        <v>213</v>
      </c>
      <c r="F3039" s="2461" t="s">
        <v>1485</v>
      </c>
      <c r="G3039" s="2461" t="s">
        <v>1412</v>
      </c>
      <c r="H3039" s="2461" t="s">
        <v>1116</v>
      </c>
      <c r="I3039" s="2462">
        <v>0.11068342878602298</v>
      </c>
      <c r="J3039" s="2462">
        <v>1166.9112537672763</v>
      </c>
    </row>
    <row r="3040" spans="1:10" outlineLevel="2">
      <c r="A3040" s="2459" t="s">
        <v>1669</v>
      </c>
      <c r="B3040" s="2459" t="s">
        <v>1657</v>
      </c>
      <c r="C3040" s="2459" t="s">
        <v>1673</v>
      </c>
      <c r="D3040" s="2460" t="s">
        <v>1671</v>
      </c>
      <c r="E3040" s="2461" t="s">
        <v>213</v>
      </c>
      <c r="F3040" s="2461" t="s">
        <v>1486</v>
      </c>
      <c r="G3040" s="2461" t="s">
        <v>1412</v>
      </c>
      <c r="H3040" s="2461" t="s">
        <v>1116</v>
      </c>
      <c r="I3040" s="2462">
        <v>9.1849716201066273E-2</v>
      </c>
      <c r="J3040" s="2462">
        <v>250.74819450267029</v>
      </c>
    </row>
    <row r="3041" spans="1:10" outlineLevel="2">
      <c r="A3041" s="2459" t="s">
        <v>1669</v>
      </c>
      <c r="B3041" s="2459" t="s">
        <v>1657</v>
      </c>
      <c r="C3041" s="2459" t="s">
        <v>1673</v>
      </c>
      <c r="D3041" s="2460" t="s">
        <v>1671</v>
      </c>
      <c r="E3041" s="2461" t="s">
        <v>213</v>
      </c>
      <c r="F3041" s="2461" t="s">
        <v>1487</v>
      </c>
      <c r="G3041" s="2461" t="s">
        <v>1412</v>
      </c>
      <c r="H3041" s="2461" t="s">
        <v>1116</v>
      </c>
      <c r="I3041" s="2462">
        <v>0.35330795307124091</v>
      </c>
      <c r="J3041" s="2462">
        <v>470.9738150942099</v>
      </c>
    </row>
    <row r="3042" spans="1:10" outlineLevel="2">
      <c r="A3042" s="2459" t="s">
        <v>1669</v>
      </c>
      <c r="B3042" s="2459" t="s">
        <v>1657</v>
      </c>
      <c r="C3042" s="2459" t="s">
        <v>1673</v>
      </c>
      <c r="D3042" s="2460" t="s">
        <v>1671</v>
      </c>
      <c r="E3042" s="2461" t="s">
        <v>213</v>
      </c>
      <c r="F3042" s="2461" t="s">
        <v>1488</v>
      </c>
      <c r="G3042" s="2461" t="s">
        <v>1412</v>
      </c>
      <c r="H3042" s="2461" t="s">
        <v>1116</v>
      </c>
      <c r="I3042" s="2462">
        <v>9.9663147249199734E-3</v>
      </c>
      <c r="J3042" s="2462">
        <v>21.610295269176635</v>
      </c>
    </row>
    <row r="3043" spans="1:10" outlineLevel="2">
      <c r="A3043" s="2459" t="s">
        <v>1669</v>
      </c>
      <c r="B3043" s="2459" t="s">
        <v>1657</v>
      </c>
      <c r="C3043" s="2459" t="s">
        <v>1673</v>
      </c>
      <c r="D3043" s="2460" t="s">
        <v>1671</v>
      </c>
      <c r="E3043" s="2461" t="s">
        <v>213</v>
      </c>
      <c r="F3043" s="2461" t="s">
        <v>1489</v>
      </c>
      <c r="G3043" s="2461" t="s">
        <v>1412</v>
      </c>
      <c r="H3043" s="2461" t="s">
        <v>1116</v>
      </c>
      <c r="I3043" s="2462">
        <v>2.0029512600859292E-2</v>
      </c>
      <c r="J3043" s="2462">
        <v>29.693393457820093</v>
      </c>
    </row>
    <row r="3044" spans="1:10" outlineLevel="2">
      <c r="A3044" s="2459" t="s">
        <v>1669</v>
      </c>
      <c r="B3044" s="2459" t="s">
        <v>1657</v>
      </c>
      <c r="C3044" s="2459" t="s">
        <v>1673</v>
      </c>
      <c r="D3044" s="2460" t="s">
        <v>1671</v>
      </c>
      <c r="E3044" s="2461" t="s">
        <v>213</v>
      </c>
      <c r="F3044" s="2461" t="s">
        <v>1490</v>
      </c>
      <c r="G3044" s="2461" t="s">
        <v>1412</v>
      </c>
      <c r="H3044" s="2461" t="s">
        <v>1116</v>
      </c>
      <c r="I3044" s="2462">
        <v>7.2570487871493174E-3</v>
      </c>
      <c r="J3044" s="2462">
        <v>103.05636666384622</v>
      </c>
    </row>
    <row r="3045" spans="1:10" outlineLevel="2">
      <c r="A3045" s="2459" t="s">
        <v>1669</v>
      </c>
      <c r="B3045" s="2459" t="s">
        <v>1657</v>
      </c>
      <c r="C3045" s="2459" t="s">
        <v>1673</v>
      </c>
      <c r="D3045" s="2460" t="s">
        <v>1671</v>
      </c>
      <c r="E3045" s="2461" t="s">
        <v>213</v>
      </c>
      <c r="F3045" s="2461" t="s">
        <v>1491</v>
      </c>
      <c r="G3045" s="2461" t="s">
        <v>1439</v>
      </c>
      <c r="H3045" s="2461" t="s">
        <v>1440</v>
      </c>
      <c r="I3045" s="2462">
        <v>4.7354902427704575</v>
      </c>
      <c r="J3045" s="2462">
        <v>5058.3562405411531</v>
      </c>
    </row>
    <row r="3046" spans="1:10" outlineLevel="2">
      <c r="A3046" s="2459" t="s">
        <v>1669</v>
      </c>
      <c r="B3046" s="2459" t="s">
        <v>1657</v>
      </c>
      <c r="C3046" s="2459" t="s">
        <v>1673</v>
      </c>
      <c r="D3046" s="2460" t="s">
        <v>1671</v>
      </c>
      <c r="E3046" s="2461" t="s">
        <v>213</v>
      </c>
      <c r="F3046" s="2461" t="s">
        <v>1492</v>
      </c>
      <c r="G3046" s="2461" t="s">
        <v>1439</v>
      </c>
      <c r="H3046" s="2461" t="s">
        <v>1440</v>
      </c>
      <c r="I3046" s="2462">
        <v>7.4218342321182771</v>
      </c>
      <c r="J3046" s="2462">
        <v>10057.658021720523</v>
      </c>
    </row>
    <row r="3047" spans="1:10" outlineLevel="2">
      <c r="A3047" s="2459" t="s">
        <v>1669</v>
      </c>
      <c r="B3047" s="2459" t="s">
        <v>1657</v>
      </c>
      <c r="C3047" s="2459" t="s">
        <v>1673</v>
      </c>
      <c r="D3047" s="2460" t="s">
        <v>1671</v>
      </c>
      <c r="E3047" s="2461" t="s">
        <v>213</v>
      </c>
      <c r="F3047" s="2461" t="s">
        <v>1493</v>
      </c>
      <c r="G3047" s="2461" t="s">
        <v>1439</v>
      </c>
      <c r="H3047" s="2461" t="s">
        <v>1440</v>
      </c>
      <c r="I3047" s="2462">
        <v>0.40765323974054846</v>
      </c>
      <c r="J3047" s="2462">
        <v>435.28028934667498</v>
      </c>
    </row>
    <row r="3048" spans="1:10" outlineLevel="2">
      <c r="A3048" s="2459" t="s">
        <v>1669</v>
      </c>
      <c r="B3048" s="2459" t="s">
        <v>1657</v>
      </c>
      <c r="C3048" s="2459" t="s">
        <v>1673</v>
      </c>
      <c r="D3048" s="2460" t="s">
        <v>1671</v>
      </c>
      <c r="E3048" s="2461" t="s">
        <v>213</v>
      </c>
      <c r="F3048" s="2461" t="s">
        <v>1494</v>
      </c>
      <c r="G3048" s="2461" t="s">
        <v>1439</v>
      </c>
      <c r="H3048" s="2461" t="s">
        <v>1440</v>
      </c>
      <c r="I3048" s="2462">
        <v>4.7297236148637571</v>
      </c>
      <c r="J3048" s="2462">
        <v>5965.836495533068</v>
      </c>
    </row>
    <row r="3049" spans="1:10" outlineLevel="2">
      <c r="A3049" s="2459" t="s">
        <v>1669</v>
      </c>
      <c r="B3049" s="2459" t="s">
        <v>1657</v>
      </c>
      <c r="C3049" s="2459" t="s">
        <v>1673</v>
      </c>
      <c r="D3049" s="2460" t="s">
        <v>1671</v>
      </c>
      <c r="E3049" s="2461" t="s">
        <v>213</v>
      </c>
      <c r="F3049" s="2461" t="s">
        <v>1495</v>
      </c>
      <c r="G3049" s="2461" t="s">
        <v>1439</v>
      </c>
      <c r="H3049" s="2461" t="s">
        <v>1440</v>
      </c>
      <c r="I3049" s="2462">
        <v>2.2207151011345516E-2</v>
      </c>
      <c r="J3049" s="2462">
        <v>28.117977888124919</v>
      </c>
    </row>
    <row r="3050" spans="1:10" outlineLevel="2">
      <c r="A3050" s="2459" t="s">
        <v>1669</v>
      </c>
      <c r="B3050" s="2459" t="s">
        <v>1657</v>
      </c>
      <c r="C3050" s="2459" t="s">
        <v>1673</v>
      </c>
      <c r="D3050" s="2460" t="s">
        <v>1671</v>
      </c>
      <c r="E3050" s="2461" t="s">
        <v>213</v>
      </c>
      <c r="F3050" s="2461" t="s">
        <v>1496</v>
      </c>
      <c r="G3050" s="2461" t="s">
        <v>1439</v>
      </c>
      <c r="H3050" s="2461" t="s">
        <v>1440</v>
      </c>
      <c r="I3050" s="2462">
        <v>0.16477434145093467</v>
      </c>
      <c r="J3050" s="2462">
        <v>232.96057805223694</v>
      </c>
    </row>
    <row r="3051" spans="1:10" outlineLevel="2">
      <c r="A3051" s="2459" t="s">
        <v>1669</v>
      </c>
      <c r="B3051" s="2459" t="s">
        <v>1657</v>
      </c>
      <c r="C3051" s="2459" t="s">
        <v>1673</v>
      </c>
      <c r="D3051" s="2460" t="s">
        <v>1671</v>
      </c>
      <c r="E3051" s="2461" t="s">
        <v>213</v>
      </c>
      <c r="F3051" s="2461" t="s">
        <v>1497</v>
      </c>
      <c r="G3051" s="2461" t="s">
        <v>1439</v>
      </c>
      <c r="H3051" s="2461" t="s">
        <v>1440</v>
      </c>
      <c r="I3051" s="2462">
        <v>4.2294159727088977E-2</v>
      </c>
      <c r="J3051" s="2462">
        <v>53.642762184868147</v>
      </c>
    </row>
    <row r="3052" spans="1:10" outlineLevel="2">
      <c r="A3052" s="2459" t="s">
        <v>1669</v>
      </c>
      <c r="B3052" s="2459" t="s">
        <v>1657</v>
      </c>
      <c r="C3052" s="2459" t="s">
        <v>1673</v>
      </c>
      <c r="D3052" s="2460" t="s">
        <v>1671</v>
      </c>
      <c r="E3052" s="2461" t="s">
        <v>213</v>
      </c>
      <c r="F3052" s="2461" t="s">
        <v>1498</v>
      </c>
      <c r="G3052" s="2461" t="s">
        <v>1439</v>
      </c>
      <c r="H3052" s="2461" t="s">
        <v>1440</v>
      </c>
      <c r="I3052" s="2462">
        <v>5.6312525560175937</v>
      </c>
      <c r="J3052" s="2462">
        <v>9559.4453017225987</v>
      </c>
    </row>
    <row r="3053" spans="1:10" outlineLevel="2">
      <c r="A3053" s="2459" t="s">
        <v>1669</v>
      </c>
      <c r="B3053" s="2459" t="s">
        <v>1657</v>
      </c>
      <c r="C3053" s="2459" t="s">
        <v>1673</v>
      </c>
      <c r="D3053" s="2460" t="s">
        <v>1671</v>
      </c>
      <c r="E3053" s="2461" t="s">
        <v>213</v>
      </c>
      <c r="F3053" s="2461" t="s">
        <v>1499</v>
      </c>
      <c r="G3053" s="2461" t="s">
        <v>1439</v>
      </c>
      <c r="H3053" s="2461" t="s">
        <v>1440</v>
      </c>
      <c r="I3053" s="2462">
        <v>1.0776280005334919</v>
      </c>
      <c r="J3053" s="2462">
        <v>572.47890224553169</v>
      </c>
    </row>
    <row r="3054" spans="1:10" outlineLevel="2">
      <c r="A3054" s="2459" t="s">
        <v>1669</v>
      </c>
      <c r="B3054" s="2459" t="s">
        <v>1657</v>
      </c>
      <c r="C3054" s="2459" t="s">
        <v>1673</v>
      </c>
      <c r="D3054" s="2460" t="s">
        <v>1671</v>
      </c>
      <c r="E3054" s="2461" t="s">
        <v>213</v>
      </c>
      <c r="F3054" s="2461" t="s">
        <v>1500</v>
      </c>
      <c r="G3054" s="2461" t="s">
        <v>1439</v>
      </c>
      <c r="H3054" s="2461" t="s">
        <v>1440</v>
      </c>
      <c r="I3054" s="2462">
        <v>7.1198868470623138</v>
      </c>
      <c r="J3054" s="2462">
        <v>3781.9243053183668</v>
      </c>
    </row>
    <row r="3055" spans="1:10" outlineLevel="2">
      <c r="A3055" s="2459" t="s">
        <v>1669</v>
      </c>
      <c r="B3055" s="2459" t="s">
        <v>1657</v>
      </c>
      <c r="C3055" s="2459" t="s">
        <v>1673</v>
      </c>
      <c r="D3055" s="2460" t="s">
        <v>1671</v>
      </c>
      <c r="E3055" s="2461" t="s">
        <v>213</v>
      </c>
      <c r="F3055" s="2461" t="s">
        <v>1501</v>
      </c>
      <c r="G3055" s="2461" t="s">
        <v>1439</v>
      </c>
      <c r="H3055" s="2461" t="s">
        <v>1440</v>
      </c>
      <c r="I3055" s="2462">
        <v>0.70559352727321412</v>
      </c>
      <c r="J3055" s="2462">
        <v>1027.3680400034705</v>
      </c>
    </row>
    <row r="3056" spans="1:10" outlineLevel="2">
      <c r="A3056" s="2459" t="s">
        <v>1669</v>
      </c>
      <c r="B3056" s="2459" t="s">
        <v>1657</v>
      </c>
      <c r="C3056" s="2459" t="s">
        <v>1673</v>
      </c>
      <c r="D3056" s="2460" t="s">
        <v>1671</v>
      </c>
      <c r="E3056" s="2461" t="s">
        <v>213</v>
      </c>
      <c r="F3056" s="2461" t="s">
        <v>1502</v>
      </c>
      <c r="G3056" s="2461" t="s">
        <v>1439</v>
      </c>
      <c r="H3056" s="2461" t="s">
        <v>1440</v>
      </c>
      <c r="I3056" s="2462">
        <v>0.8475754930184447</v>
      </c>
      <c r="J3056" s="2462">
        <v>1277.8208972908469</v>
      </c>
    </row>
    <row r="3057" spans="1:10" outlineLevel="2">
      <c r="A3057" s="2459" t="s">
        <v>1669</v>
      </c>
      <c r="B3057" s="2459" t="s">
        <v>1657</v>
      </c>
      <c r="C3057" s="2459" t="s">
        <v>1673</v>
      </c>
      <c r="D3057" s="2460" t="s">
        <v>1671</v>
      </c>
      <c r="E3057" s="2461" t="s">
        <v>213</v>
      </c>
      <c r="F3057" s="2461" t="s">
        <v>1503</v>
      </c>
      <c r="G3057" s="2461" t="s">
        <v>1439</v>
      </c>
      <c r="H3057" s="2461" t="s">
        <v>1440</v>
      </c>
      <c r="I3057" s="2462">
        <v>1.1182403955451792</v>
      </c>
      <c r="J3057" s="2462">
        <v>1446.3674507069204</v>
      </c>
    </row>
    <row r="3058" spans="1:10" outlineLevel="2">
      <c r="A3058" s="2459" t="s">
        <v>1669</v>
      </c>
      <c r="B3058" s="2459" t="s">
        <v>1657</v>
      </c>
      <c r="C3058" s="2459" t="s">
        <v>1673</v>
      </c>
      <c r="D3058" s="2460" t="s">
        <v>1671</v>
      </c>
      <c r="E3058" s="2461" t="s">
        <v>213</v>
      </c>
      <c r="F3058" s="2461" t="s">
        <v>1504</v>
      </c>
      <c r="G3058" s="2461" t="s">
        <v>1439</v>
      </c>
      <c r="H3058" s="2461" t="s">
        <v>1440</v>
      </c>
      <c r="I3058" s="2462">
        <v>0.57059973055727575</v>
      </c>
      <c r="J3058" s="2462">
        <v>686.72658223250357</v>
      </c>
    </row>
    <row r="3059" spans="1:10" outlineLevel="2">
      <c r="A3059" s="2459" t="s">
        <v>1669</v>
      </c>
      <c r="B3059" s="2459" t="s">
        <v>1657</v>
      </c>
      <c r="C3059" s="2459" t="s">
        <v>1673</v>
      </c>
      <c r="D3059" s="2460" t="s">
        <v>1671</v>
      </c>
      <c r="E3059" s="2461" t="s">
        <v>213</v>
      </c>
      <c r="F3059" s="2461" t="s">
        <v>1505</v>
      </c>
      <c r="G3059" s="2461" t="s">
        <v>1439</v>
      </c>
      <c r="H3059" s="2461" t="s">
        <v>1440</v>
      </c>
      <c r="I3059" s="2462">
        <v>9.4364237714056642</v>
      </c>
      <c r="J3059" s="2462">
        <v>13771.032149780156</v>
      </c>
    </row>
    <row r="3060" spans="1:10" outlineLevel="2">
      <c r="A3060" s="2459" t="s">
        <v>1669</v>
      </c>
      <c r="B3060" s="2459" t="s">
        <v>1657</v>
      </c>
      <c r="C3060" s="2459" t="s">
        <v>1673</v>
      </c>
      <c r="D3060" s="2460" t="s">
        <v>1671</v>
      </c>
      <c r="E3060" s="2461" t="s">
        <v>213</v>
      </c>
      <c r="F3060" s="2461" t="s">
        <v>1506</v>
      </c>
      <c r="G3060" s="2461" t="s">
        <v>1439</v>
      </c>
      <c r="H3060" s="2461" t="s">
        <v>1440</v>
      </c>
      <c r="I3060" s="2462">
        <v>11.515989776330048</v>
      </c>
      <c r="J3060" s="2462">
        <v>17365.641813643364</v>
      </c>
    </row>
    <row r="3061" spans="1:10" outlineLevel="2">
      <c r="A3061" s="2459" t="s">
        <v>1669</v>
      </c>
      <c r="B3061" s="2459" t="s">
        <v>1657</v>
      </c>
      <c r="C3061" s="2459" t="s">
        <v>1673</v>
      </c>
      <c r="D3061" s="2460" t="s">
        <v>1671</v>
      </c>
      <c r="E3061" s="2461" t="s">
        <v>213</v>
      </c>
      <c r="F3061" s="2461" t="s">
        <v>1507</v>
      </c>
      <c r="G3061" s="2461" t="s">
        <v>1439</v>
      </c>
      <c r="H3061" s="2461" t="s">
        <v>1440</v>
      </c>
      <c r="I3061" s="2462">
        <v>1.2886155700119335</v>
      </c>
      <c r="J3061" s="2462">
        <v>2899.6079735798021</v>
      </c>
    </row>
    <row r="3062" spans="1:10" outlineLevel="2">
      <c r="A3062" s="2459" t="s">
        <v>1669</v>
      </c>
      <c r="B3062" s="2459" t="s">
        <v>1657</v>
      </c>
      <c r="C3062" s="2459" t="s">
        <v>1673</v>
      </c>
      <c r="D3062" s="2460" t="s">
        <v>1671</v>
      </c>
      <c r="E3062" s="2461" t="s">
        <v>213</v>
      </c>
      <c r="F3062" s="2461" t="s">
        <v>1508</v>
      </c>
      <c r="G3062" s="2461" t="s">
        <v>1439</v>
      </c>
      <c r="H3062" s="2461" t="s">
        <v>1440</v>
      </c>
      <c r="I3062" s="2462">
        <v>35.469813352019287</v>
      </c>
      <c r="J3062" s="2462">
        <v>56057.393144222428</v>
      </c>
    </row>
    <row r="3063" spans="1:10" outlineLevel="2">
      <c r="A3063" s="2459" t="s">
        <v>1669</v>
      </c>
      <c r="B3063" s="2459" t="s">
        <v>1657</v>
      </c>
      <c r="C3063" s="2459" t="s">
        <v>1673</v>
      </c>
      <c r="D3063" s="2460" t="s">
        <v>1671</v>
      </c>
      <c r="E3063" s="2461" t="s">
        <v>213</v>
      </c>
      <c r="F3063" s="2461" t="s">
        <v>1509</v>
      </c>
      <c r="G3063" s="2461" t="s">
        <v>1439</v>
      </c>
      <c r="H3063" s="2461" t="s">
        <v>1440</v>
      </c>
      <c r="I3063" s="2462">
        <v>0.42959992261289726</v>
      </c>
      <c r="J3063" s="2462">
        <v>489.51093444551492</v>
      </c>
    </row>
    <row r="3064" spans="1:10" outlineLevel="2">
      <c r="A3064" s="2459" t="s">
        <v>1669</v>
      </c>
      <c r="B3064" s="2459" t="s">
        <v>1657</v>
      </c>
      <c r="C3064" s="2459" t="s">
        <v>1673</v>
      </c>
      <c r="D3064" s="2460" t="s">
        <v>1671</v>
      </c>
      <c r="E3064" s="2461" t="s">
        <v>213</v>
      </c>
      <c r="F3064" s="2461" t="s">
        <v>1510</v>
      </c>
      <c r="G3064" s="2461" t="s">
        <v>1439</v>
      </c>
      <c r="H3064" s="2461" t="s">
        <v>1440</v>
      </c>
      <c r="I3064" s="2462">
        <v>1.4884605665453625</v>
      </c>
      <c r="J3064" s="2462">
        <v>1722.5503707659877</v>
      </c>
    </row>
    <row r="3065" spans="1:10" outlineLevel="2">
      <c r="A3065" s="2459" t="s">
        <v>1669</v>
      </c>
      <c r="B3065" s="2459" t="s">
        <v>1657</v>
      </c>
      <c r="C3065" s="2459" t="s">
        <v>1673</v>
      </c>
      <c r="D3065" s="2460" t="s">
        <v>1671</v>
      </c>
      <c r="E3065" s="2461" t="s">
        <v>213</v>
      </c>
      <c r="F3065" s="2461" t="s">
        <v>1511</v>
      </c>
      <c r="G3065" s="2461" t="s">
        <v>1418</v>
      </c>
      <c r="H3065" s="2461" t="s">
        <v>1452</v>
      </c>
      <c r="I3065" s="2462">
        <v>5.2107669371259365E-4</v>
      </c>
      <c r="J3065" s="2462">
        <v>0.76743673139052537</v>
      </c>
    </row>
    <row r="3066" spans="1:10" outlineLevel="2">
      <c r="A3066" s="2459" t="s">
        <v>1669</v>
      </c>
      <c r="B3066" s="2459" t="s">
        <v>1657</v>
      </c>
      <c r="C3066" s="2459" t="s">
        <v>1673</v>
      </c>
      <c r="D3066" s="2460" t="s">
        <v>1671</v>
      </c>
      <c r="E3066" s="2461" t="s">
        <v>213</v>
      </c>
      <c r="F3066" s="2461" t="s">
        <v>1512</v>
      </c>
      <c r="G3066" s="2461" t="s">
        <v>1418</v>
      </c>
      <c r="H3066" s="2461" t="s">
        <v>1452</v>
      </c>
      <c r="I3066" s="2462">
        <v>6.818721431812656E-4</v>
      </c>
      <c r="J3066" s="2462">
        <v>2.9697036199408533</v>
      </c>
    </row>
    <row r="3067" spans="1:10" outlineLevel="2">
      <c r="A3067" s="2459" t="s">
        <v>1669</v>
      </c>
      <c r="B3067" s="2459" t="s">
        <v>1657</v>
      </c>
      <c r="C3067" s="2459" t="s">
        <v>1673</v>
      </c>
      <c r="D3067" s="2460" t="s">
        <v>1671</v>
      </c>
      <c r="E3067" s="2461" t="s">
        <v>213</v>
      </c>
      <c r="F3067" s="2461" t="s">
        <v>1513</v>
      </c>
      <c r="G3067" s="2461" t="s">
        <v>1418</v>
      </c>
      <c r="H3067" s="2461" t="s">
        <v>1452</v>
      </c>
      <c r="I3067" s="2462">
        <v>2.542187910635075E-5</v>
      </c>
      <c r="J3067" s="2462">
        <v>2.3822178877788848E-2</v>
      </c>
    </row>
    <row r="3068" spans="1:10" outlineLevel="2">
      <c r="A3068" s="2459" t="s">
        <v>1669</v>
      </c>
      <c r="B3068" s="2459" t="s">
        <v>1657</v>
      </c>
      <c r="C3068" s="2459" t="s">
        <v>1673</v>
      </c>
      <c r="D3068" s="2460" t="s">
        <v>1671</v>
      </c>
      <c r="E3068" s="2461" t="s">
        <v>213</v>
      </c>
      <c r="F3068" s="2461" t="s">
        <v>1514</v>
      </c>
      <c r="G3068" s="2461" t="s">
        <v>1418</v>
      </c>
      <c r="H3068" s="2461" t="s">
        <v>1452</v>
      </c>
      <c r="I3068" s="2462">
        <v>2.2803012070478786E-3</v>
      </c>
      <c r="J3068" s="2462">
        <v>2.1325549499983643</v>
      </c>
    </row>
    <row r="3069" spans="1:10" outlineLevel="2">
      <c r="A3069" s="2459" t="s">
        <v>1669</v>
      </c>
      <c r="B3069" s="2459" t="s">
        <v>1657</v>
      </c>
      <c r="C3069" s="2459" t="s">
        <v>1673</v>
      </c>
      <c r="D3069" s="2460" t="s">
        <v>1671</v>
      </c>
      <c r="E3069" s="2461" t="s">
        <v>213</v>
      </c>
      <c r="F3069" s="2461" t="s">
        <v>1515</v>
      </c>
      <c r="G3069" s="2461" t="s">
        <v>1418</v>
      </c>
      <c r="H3069" s="2461" t="s">
        <v>1452</v>
      </c>
      <c r="I3069" s="2462">
        <v>4.3840197346740401E-4</v>
      </c>
      <c r="J3069" s="2462">
        <v>0.63094956575740047</v>
      </c>
    </row>
    <row r="3070" spans="1:10" outlineLevel="2">
      <c r="A3070" s="2459" t="s">
        <v>1669</v>
      </c>
      <c r="B3070" s="2459" t="s">
        <v>1657</v>
      </c>
      <c r="C3070" s="2459" t="s">
        <v>1673</v>
      </c>
      <c r="D3070" s="2460" t="s">
        <v>1671</v>
      </c>
      <c r="E3070" s="2461" t="s">
        <v>213</v>
      </c>
      <c r="F3070" s="2461" t="s">
        <v>1516</v>
      </c>
      <c r="G3070" s="2461" t="s">
        <v>1418</v>
      </c>
      <c r="H3070" s="2461" t="s">
        <v>1452</v>
      </c>
      <c r="I3070" s="2462">
        <v>6.2641410143635529E-3</v>
      </c>
      <c r="J3070" s="2462">
        <v>6.9908864060491442</v>
      </c>
    </row>
    <row r="3071" spans="1:10" outlineLevel="2">
      <c r="A3071" s="2459" t="s">
        <v>1669</v>
      </c>
      <c r="B3071" s="2459" t="s">
        <v>1657</v>
      </c>
      <c r="C3071" s="2459" t="s">
        <v>1673</v>
      </c>
      <c r="D3071" s="2460" t="s">
        <v>1671</v>
      </c>
      <c r="E3071" s="2461" t="s">
        <v>213</v>
      </c>
      <c r="F3071" s="2461" t="s">
        <v>1517</v>
      </c>
      <c r="G3071" s="2461" t="s">
        <v>1418</v>
      </c>
      <c r="H3071" s="2461" t="s">
        <v>1452</v>
      </c>
      <c r="I3071" s="2462">
        <v>3.2065816469536414E-2</v>
      </c>
      <c r="J3071" s="2462">
        <v>15.672851899732175</v>
      </c>
    </row>
    <row r="3072" spans="1:10" outlineLevel="2">
      <c r="A3072" s="2459" t="s">
        <v>1669</v>
      </c>
      <c r="B3072" s="2459" t="s">
        <v>1657</v>
      </c>
      <c r="C3072" s="2459" t="s">
        <v>1673</v>
      </c>
      <c r="D3072" s="2460" t="s">
        <v>1671</v>
      </c>
      <c r="E3072" s="2461" t="s">
        <v>213</v>
      </c>
      <c r="F3072" s="2461" t="s">
        <v>1518</v>
      </c>
      <c r="G3072" s="2461" t="s">
        <v>1418</v>
      </c>
      <c r="H3072" s="2461" t="s">
        <v>1452</v>
      </c>
      <c r="I3072" s="2462">
        <v>3.6112962183368325E-3</v>
      </c>
      <c r="J3072" s="2462">
        <v>3.3773113309452083</v>
      </c>
    </row>
    <row r="3073" spans="1:10" outlineLevel="2">
      <c r="A3073" s="2459" t="s">
        <v>1669</v>
      </c>
      <c r="B3073" s="2459" t="s">
        <v>1657</v>
      </c>
      <c r="C3073" s="2459" t="s">
        <v>1673</v>
      </c>
      <c r="D3073" s="2460" t="s">
        <v>1671</v>
      </c>
      <c r="E3073" s="2461" t="s">
        <v>213</v>
      </c>
      <c r="F3073" s="2461" t="s">
        <v>1519</v>
      </c>
      <c r="G3073" s="2461" t="s">
        <v>1418</v>
      </c>
      <c r="H3073" s="2461" t="s">
        <v>1452</v>
      </c>
      <c r="I3073" s="2462">
        <v>4.7412945793911098E-3</v>
      </c>
      <c r="J3073" s="2462">
        <v>4.8195448661480764</v>
      </c>
    </row>
    <row r="3074" spans="1:10" outlineLevel="2">
      <c r="A3074" s="2459" t="s">
        <v>1669</v>
      </c>
      <c r="B3074" s="2459" t="s">
        <v>1657</v>
      </c>
      <c r="C3074" s="2459" t="s">
        <v>1673</v>
      </c>
      <c r="D3074" s="2460" t="s">
        <v>1671</v>
      </c>
      <c r="E3074" s="2461" t="s">
        <v>213</v>
      </c>
      <c r="F3074" s="2461" t="s">
        <v>1520</v>
      </c>
      <c r="G3074" s="2461" t="s">
        <v>1418</v>
      </c>
      <c r="H3074" s="2461" t="s">
        <v>1452</v>
      </c>
      <c r="I3074" s="2462">
        <v>5.6819028663135536E-4</v>
      </c>
      <c r="J3074" s="2462">
        <v>5.1506763517207474</v>
      </c>
    </row>
    <row r="3075" spans="1:10" outlineLevel="2">
      <c r="A3075" s="2459" t="s">
        <v>1669</v>
      </c>
      <c r="B3075" s="2459" t="s">
        <v>1657</v>
      </c>
      <c r="C3075" s="2459" t="s">
        <v>1673</v>
      </c>
      <c r="D3075" s="2460" t="s">
        <v>1671</v>
      </c>
      <c r="E3075" s="2461" t="s">
        <v>213</v>
      </c>
      <c r="F3075" s="2461" t="s">
        <v>1521</v>
      </c>
      <c r="G3075" s="2461" t="s">
        <v>1421</v>
      </c>
      <c r="H3075" s="2461" t="s">
        <v>1454</v>
      </c>
      <c r="I3075" s="2462">
        <v>5.725263964709705</v>
      </c>
      <c r="J3075" s="2462">
        <v>7924.253049493951</v>
      </c>
    </row>
    <row r="3076" spans="1:10" outlineLevel="2">
      <c r="A3076" s="2459" t="s">
        <v>1669</v>
      </c>
      <c r="B3076" s="2459" t="s">
        <v>1657</v>
      </c>
      <c r="C3076" s="2459" t="s">
        <v>1673</v>
      </c>
      <c r="D3076" s="2460" t="s">
        <v>1671</v>
      </c>
      <c r="E3076" s="2461" t="s">
        <v>213</v>
      </c>
      <c r="F3076" s="2461" t="s">
        <v>1522</v>
      </c>
      <c r="G3076" s="2461" t="s">
        <v>1421</v>
      </c>
      <c r="H3076" s="2461" t="s">
        <v>1454</v>
      </c>
      <c r="I3076" s="2462">
        <v>1.3447604491165486</v>
      </c>
      <c r="J3076" s="2462">
        <v>1982.5772193208998</v>
      </c>
    </row>
    <row r="3077" spans="1:10" outlineLevel="2">
      <c r="A3077" s="2459" t="s">
        <v>1669</v>
      </c>
      <c r="B3077" s="2459" t="s">
        <v>1657</v>
      </c>
      <c r="C3077" s="2459" t="s">
        <v>1673</v>
      </c>
      <c r="D3077" s="2460" t="s">
        <v>1671</v>
      </c>
      <c r="E3077" s="2461" t="s">
        <v>213</v>
      </c>
      <c r="F3077" s="2461" t="s">
        <v>1523</v>
      </c>
      <c r="G3077" s="2461" t="s">
        <v>1421</v>
      </c>
      <c r="H3077" s="2461" t="s">
        <v>1454</v>
      </c>
      <c r="I3077" s="2462">
        <v>0.62037186997092608</v>
      </c>
      <c r="J3077" s="2462">
        <v>1048.3212757573656</v>
      </c>
    </row>
    <row r="3078" spans="1:10" outlineLevel="2">
      <c r="A3078" s="2459" t="s">
        <v>1669</v>
      </c>
      <c r="B3078" s="2459" t="s">
        <v>1657</v>
      </c>
      <c r="C3078" s="2459" t="s">
        <v>1673</v>
      </c>
      <c r="D3078" s="2460" t="s">
        <v>1671</v>
      </c>
      <c r="E3078" s="2461" t="s">
        <v>213</v>
      </c>
      <c r="F3078" s="2461" t="s">
        <v>1524</v>
      </c>
      <c r="G3078" s="2461" t="s">
        <v>1421</v>
      </c>
      <c r="H3078" s="2461" t="s">
        <v>1454</v>
      </c>
      <c r="I3078" s="2462">
        <v>1.4294835713165646</v>
      </c>
      <c r="J3078" s="2462">
        <v>2253.6074453451188</v>
      </c>
    </row>
    <row r="3079" spans="1:10" outlineLevel="2">
      <c r="A3079" s="2459" t="s">
        <v>1669</v>
      </c>
      <c r="B3079" s="2459" t="s">
        <v>1657</v>
      </c>
      <c r="C3079" s="2459" t="s">
        <v>1673</v>
      </c>
      <c r="D3079" s="2460" t="s">
        <v>1671</v>
      </c>
      <c r="E3079" s="2461" t="s">
        <v>213</v>
      </c>
      <c r="F3079" s="2461" t="s">
        <v>1525</v>
      </c>
      <c r="G3079" s="2461" t="s">
        <v>1421</v>
      </c>
      <c r="H3079" s="2461" t="s">
        <v>1454</v>
      </c>
      <c r="I3079" s="2462">
        <v>2.5182640183015184</v>
      </c>
      <c r="J3079" s="2462">
        <v>3560.6395389561576</v>
      </c>
    </row>
    <row r="3080" spans="1:10" outlineLevel="2">
      <c r="A3080" s="2459" t="s">
        <v>1669</v>
      </c>
      <c r="B3080" s="2459" t="s">
        <v>1657</v>
      </c>
      <c r="C3080" s="2459" t="s">
        <v>1673</v>
      </c>
      <c r="D3080" s="2460" t="s">
        <v>1671</v>
      </c>
      <c r="E3080" s="2461" t="s">
        <v>213</v>
      </c>
      <c r="F3080" s="2461" t="s">
        <v>1526</v>
      </c>
      <c r="G3080" s="2461" t="s">
        <v>1421</v>
      </c>
      <c r="H3080" s="2461" t="s">
        <v>1454</v>
      </c>
      <c r="I3080" s="2462">
        <v>0.11666442872049043</v>
      </c>
      <c r="J3080" s="2462">
        <v>167.05939841135864</v>
      </c>
    </row>
    <row r="3081" spans="1:10" outlineLevel="2">
      <c r="A3081" s="2459" t="s">
        <v>1669</v>
      </c>
      <c r="B3081" s="2459" t="s">
        <v>1657</v>
      </c>
      <c r="C3081" s="2459" t="s">
        <v>1673</v>
      </c>
      <c r="D3081" s="2460" t="s">
        <v>1671</v>
      </c>
      <c r="E3081" s="2461" t="s">
        <v>213</v>
      </c>
      <c r="F3081" s="2461" t="s">
        <v>1527</v>
      </c>
      <c r="G3081" s="2461" t="s">
        <v>1459</v>
      </c>
      <c r="H3081" s="2461" t="s">
        <v>1460</v>
      </c>
      <c r="I3081" s="2462">
        <v>3.901971024061058E-3</v>
      </c>
      <c r="J3081" s="2462">
        <v>4.0652462462038947</v>
      </c>
    </row>
    <row r="3082" spans="1:10" outlineLevel="2">
      <c r="A3082" s="2459" t="s">
        <v>1669</v>
      </c>
      <c r="B3082" s="2459" t="s">
        <v>1657</v>
      </c>
      <c r="C3082" s="2459" t="s">
        <v>1673</v>
      </c>
      <c r="D3082" s="2460" t="s">
        <v>1671</v>
      </c>
      <c r="E3082" s="2461" t="s">
        <v>213</v>
      </c>
      <c r="F3082" s="2461" t="s">
        <v>1528</v>
      </c>
      <c r="G3082" s="2461" t="s">
        <v>1459</v>
      </c>
      <c r="H3082" s="2461" t="s">
        <v>1460</v>
      </c>
      <c r="I3082" s="2462">
        <v>3.3965007621726673E-5</v>
      </c>
      <c r="J3082" s="2462">
        <v>4.332594848396544E-2</v>
      </c>
    </row>
    <row r="3083" spans="1:10" outlineLevel="2">
      <c r="A3083" s="2459" t="s">
        <v>1669</v>
      </c>
      <c r="B3083" s="2459" t="s">
        <v>1657</v>
      </c>
      <c r="C3083" s="2459" t="s">
        <v>1673</v>
      </c>
      <c r="D3083" s="2460" t="s">
        <v>1671</v>
      </c>
      <c r="E3083" s="2461" t="s">
        <v>213</v>
      </c>
      <c r="F3083" s="2461" t="s">
        <v>1529</v>
      </c>
      <c r="G3083" s="2461" t="s">
        <v>1530</v>
      </c>
      <c r="H3083" s="2461" t="s">
        <v>1531</v>
      </c>
      <c r="I3083" s="2462">
        <v>1.6503743815423515</v>
      </c>
      <c r="J3083" s="2462">
        <v>1404.1692433282624</v>
      </c>
    </row>
    <row r="3084" spans="1:10" outlineLevel="2">
      <c r="A3084" s="2459" t="s">
        <v>1669</v>
      </c>
      <c r="B3084" s="2459" t="s">
        <v>1657</v>
      </c>
      <c r="C3084" s="2459" t="s">
        <v>1673</v>
      </c>
      <c r="D3084" s="2460" t="s">
        <v>1671</v>
      </c>
      <c r="E3084" s="2461" t="s">
        <v>213</v>
      </c>
      <c r="F3084" s="2461" t="s">
        <v>1532</v>
      </c>
      <c r="G3084" s="2461" t="s">
        <v>1530</v>
      </c>
      <c r="H3084" s="2461" t="s">
        <v>1531</v>
      </c>
      <c r="I3084" s="2462">
        <v>0.69466343253019913</v>
      </c>
      <c r="J3084" s="2462">
        <v>592.62454323712689</v>
      </c>
    </row>
    <row r="3085" spans="1:10" outlineLevel="2">
      <c r="A3085" s="2459" t="s">
        <v>1669</v>
      </c>
      <c r="B3085" s="2459" t="s">
        <v>1657</v>
      </c>
      <c r="C3085" s="2459" t="s">
        <v>1673</v>
      </c>
      <c r="D3085" s="2460" t="s">
        <v>1671</v>
      </c>
      <c r="E3085" s="2461" t="s">
        <v>213</v>
      </c>
      <c r="F3085" s="2461" t="s">
        <v>1533</v>
      </c>
      <c r="G3085" s="2461" t="s">
        <v>1534</v>
      </c>
      <c r="H3085" s="2461" t="s">
        <v>1531</v>
      </c>
      <c r="I3085" s="2462">
        <v>0.26059749068195837</v>
      </c>
      <c r="J3085" s="2462">
        <v>437.76097110309502</v>
      </c>
    </row>
    <row r="3086" spans="1:10" outlineLevel="2">
      <c r="A3086" s="2459" t="s">
        <v>1669</v>
      </c>
      <c r="B3086" s="2459" t="s">
        <v>1657</v>
      </c>
      <c r="C3086" s="2459" t="s">
        <v>1673</v>
      </c>
      <c r="D3086" s="2460" t="s">
        <v>1671</v>
      </c>
      <c r="E3086" s="2461" t="s">
        <v>213</v>
      </c>
      <c r="F3086" s="2461" t="s">
        <v>1535</v>
      </c>
      <c r="G3086" s="2461" t="s">
        <v>1536</v>
      </c>
      <c r="H3086" s="2461" t="s">
        <v>1537</v>
      </c>
      <c r="I3086" s="2462">
        <v>7.6161048684279323E-3</v>
      </c>
      <c r="J3086" s="2462">
        <v>11.333669981335994</v>
      </c>
    </row>
    <row r="3087" spans="1:10" outlineLevel="2">
      <c r="A3087" s="2459" t="s">
        <v>1669</v>
      </c>
      <c r="B3087" s="2459" t="s">
        <v>1657</v>
      </c>
      <c r="C3087" s="2459" t="s">
        <v>1673</v>
      </c>
      <c r="D3087" s="2460" t="s">
        <v>1671</v>
      </c>
      <c r="E3087" s="2461" t="s">
        <v>1538</v>
      </c>
      <c r="F3087" s="2461" t="s">
        <v>1539</v>
      </c>
      <c r="G3087" s="2461" t="s">
        <v>1426</v>
      </c>
      <c r="H3087" s="2461" t="s">
        <v>1540</v>
      </c>
      <c r="I3087" s="2462">
        <v>7.6906171678728383E-3</v>
      </c>
      <c r="J3087" s="2462">
        <v>14.727907196786809</v>
      </c>
    </row>
    <row r="3088" spans="1:10" outlineLevel="2">
      <c r="A3088" s="2459" t="s">
        <v>1669</v>
      </c>
      <c r="B3088" s="2459" t="s">
        <v>1657</v>
      </c>
      <c r="C3088" s="2459" t="s">
        <v>1673</v>
      </c>
      <c r="D3088" s="2460" t="s">
        <v>1671</v>
      </c>
      <c r="E3088" s="2461" t="s">
        <v>1538</v>
      </c>
      <c r="F3088" s="2461" t="s">
        <v>1541</v>
      </c>
      <c r="G3088" s="2461" t="s">
        <v>1409</v>
      </c>
      <c r="H3088" s="2461" t="s">
        <v>1540</v>
      </c>
      <c r="I3088" s="2462">
        <v>1.8959130556578379E-3</v>
      </c>
      <c r="J3088" s="2462">
        <v>8.8254684477826846</v>
      </c>
    </row>
    <row r="3089" spans="1:10" outlineLevel="2">
      <c r="A3089" s="2459" t="s">
        <v>1669</v>
      </c>
      <c r="B3089" s="2459" t="s">
        <v>1657</v>
      </c>
      <c r="C3089" s="2459" t="s">
        <v>1673</v>
      </c>
      <c r="D3089" s="2460" t="s">
        <v>1671</v>
      </c>
      <c r="E3089" s="2461" t="s">
        <v>1538</v>
      </c>
      <c r="F3089" s="2461" t="s">
        <v>1542</v>
      </c>
      <c r="G3089" s="2461" t="s">
        <v>1409</v>
      </c>
      <c r="H3089" s="2461" t="s">
        <v>1540</v>
      </c>
      <c r="I3089" s="2462">
        <v>1.0168389454947014E-3</v>
      </c>
      <c r="J3089" s="2462">
        <v>14.759275001354126</v>
      </c>
    </row>
    <row r="3090" spans="1:10" outlineLevel="2">
      <c r="A3090" s="2459" t="s">
        <v>1669</v>
      </c>
      <c r="B3090" s="2459" t="s">
        <v>1657</v>
      </c>
      <c r="C3090" s="2459" t="s">
        <v>1673</v>
      </c>
      <c r="D3090" s="2460" t="s">
        <v>1671</v>
      </c>
      <c r="E3090" s="2461" t="s">
        <v>1538</v>
      </c>
      <c r="F3090" s="2461" t="s">
        <v>1543</v>
      </c>
      <c r="G3090" s="2461" t="s">
        <v>1409</v>
      </c>
      <c r="H3090" s="2461" t="s">
        <v>1540</v>
      </c>
      <c r="I3090" s="2462">
        <v>1.5076222492276449E-3</v>
      </c>
      <c r="J3090" s="2462">
        <v>2.6064749218567189</v>
      </c>
    </row>
    <row r="3091" spans="1:10" outlineLevel="2">
      <c r="A3091" s="2459" t="s">
        <v>1669</v>
      </c>
      <c r="B3091" s="2459" t="s">
        <v>1657</v>
      </c>
      <c r="C3091" s="2459" t="s">
        <v>1673</v>
      </c>
      <c r="D3091" s="2460" t="s">
        <v>1671</v>
      </c>
      <c r="E3091" s="2461" t="s">
        <v>1538</v>
      </c>
      <c r="F3091" s="2461" t="s">
        <v>1544</v>
      </c>
      <c r="G3091" s="2461" t="s">
        <v>1409</v>
      </c>
      <c r="H3091" s="2461" t="s">
        <v>1540</v>
      </c>
      <c r="I3091" s="2462">
        <v>2.7601420570163909E-4</v>
      </c>
      <c r="J3091" s="2462">
        <v>1.5110920927137133</v>
      </c>
    </row>
    <row r="3092" spans="1:10" outlineLevel="2">
      <c r="A3092" s="2459" t="s">
        <v>1669</v>
      </c>
      <c r="B3092" s="2459" t="s">
        <v>1657</v>
      </c>
      <c r="C3092" s="2459" t="s">
        <v>1673</v>
      </c>
      <c r="D3092" s="2460" t="s">
        <v>1671</v>
      </c>
      <c r="E3092" s="2461" t="s">
        <v>1538</v>
      </c>
      <c r="F3092" s="2461" t="s">
        <v>1545</v>
      </c>
      <c r="G3092" s="2461" t="s">
        <v>1409</v>
      </c>
      <c r="H3092" s="2461" t="s">
        <v>1540</v>
      </c>
      <c r="I3092" s="2462">
        <v>6.1091501596572699E-3</v>
      </c>
      <c r="J3092" s="2462">
        <v>27.293764354570996</v>
      </c>
    </row>
    <row r="3093" spans="1:10" outlineLevel="2">
      <c r="A3093" s="2459" t="s">
        <v>1669</v>
      </c>
      <c r="B3093" s="2459" t="s">
        <v>1657</v>
      </c>
      <c r="C3093" s="2459" t="s">
        <v>1673</v>
      </c>
      <c r="D3093" s="2460" t="s">
        <v>1671</v>
      </c>
      <c r="E3093" s="2461" t="s">
        <v>1538</v>
      </c>
      <c r="F3093" s="2461" t="s">
        <v>1546</v>
      </c>
      <c r="G3093" s="2461" t="s">
        <v>1409</v>
      </c>
      <c r="H3093" s="2461" t="s">
        <v>1540</v>
      </c>
      <c r="I3093" s="2462">
        <v>1.1685708658535271E-2</v>
      </c>
      <c r="J3093" s="2462">
        <v>13.709079650555404</v>
      </c>
    </row>
    <row r="3094" spans="1:10" outlineLevel="2">
      <c r="A3094" s="2459" t="s">
        <v>1669</v>
      </c>
      <c r="B3094" s="2459" t="s">
        <v>1657</v>
      </c>
      <c r="C3094" s="2459" t="s">
        <v>1673</v>
      </c>
      <c r="D3094" s="2460" t="s">
        <v>1671</v>
      </c>
      <c r="E3094" s="2461" t="s">
        <v>1538</v>
      </c>
      <c r="F3094" s="2461" t="s">
        <v>1547</v>
      </c>
      <c r="G3094" s="2461" t="s">
        <v>1409</v>
      </c>
      <c r="H3094" s="2461" t="s">
        <v>1540</v>
      </c>
      <c r="I3094" s="2462">
        <v>1.2692216193862656E-3</v>
      </c>
      <c r="J3094" s="2462">
        <v>25.251758974180557</v>
      </c>
    </row>
    <row r="3095" spans="1:10" outlineLevel="2">
      <c r="A3095" s="2459" t="s">
        <v>1669</v>
      </c>
      <c r="B3095" s="2459" t="s">
        <v>1657</v>
      </c>
      <c r="C3095" s="2459" t="s">
        <v>1673</v>
      </c>
      <c r="D3095" s="2460" t="s">
        <v>1671</v>
      </c>
      <c r="E3095" s="2461" t="s">
        <v>1538</v>
      </c>
      <c r="F3095" s="2461" t="s">
        <v>1548</v>
      </c>
      <c r="G3095" s="2461" t="s">
        <v>1409</v>
      </c>
      <c r="H3095" s="2461" t="s">
        <v>1540</v>
      </c>
      <c r="I3095" s="2462">
        <v>5.8907801877665445E-3</v>
      </c>
      <c r="J3095" s="2462">
        <v>10.289265888448698</v>
      </c>
    </row>
    <row r="3096" spans="1:10" outlineLevel="2">
      <c r="A3096" s="2459" t="s">
        <v>1669</v>
      </c>
      <c r="B3096" s="2459" t="s">
        <v>1657</v>
      </c>
      <c r="C3096" s="2459" t="s">
        <v>1673</v>
      </c>
      <c r="D3096" s="2460" t="s">
        <v>1671</v>
      </c>
      <c r="E3096" s="2461" t="s">
        <v>1538</v>
      </c>
      <c r="F3096" s="2461" t="s">
        <v>1549</v>
      </c>
      <c r="G3096" s="2461" t="s">
        <v>1409</v>
      </c>
      <c r="H3096" s="2461" t="s">
        <v>1540</v>
      </c>
      <c r="I3096" s="2462">
        <v>8.8060415292987926E-4</v>
      </c>
      <c r="J3096" s="2462">
        <v>1.6864110263665244</v>
      </c>
    </row>
    <row r="3097" spans="1:10" outlineLevel="2">
      <c r="A3097" s="2459" t="s">
        <v>1669</v>
      </c>
      <c r="B3097" s="2459" t="s">
        <v>1657</v>
      </c>
      <c r="C3097" s="2459" t="s">
        <v>1673</v>
      </c>
      <c r="D3097" s="2460" t="s">
        <v>1671</v>
      </c>
      <c r="E3097" s="2461" t="s">
        <v>1538</v>
      </c>
      <c r="F3097" s="2461" t="s">
        <v>1550</v>
      </c>
      <c r="G3097" s="2461" t="s">
        <v>1409</v>
      </c>
      <c r="H3097" s="2461" t="s">
        <v>1540</v>
      </c>
      <c r="I3097" s="2462">
        <v>4.8261601294547389E-3</v>
      </c>
      <c r="J3097" s="2462">
        <v>17.535735692965059</v>
      </c>
    </row>
    <row r="3098" spans="1:10" outlineLevel="2">
      <c r="A3098" s="2459" t="s">
        <v>1669</v>
      </c>
      <c r="B3098" s="2459" t="s">
        <v>1657</v>
      </c>
      <c r="C3098" s="2459" t="s">
        <v>1673</v>
      </c>
      <c r="D3098" s="2460" t="s">
        <v>1671</v>
      </c>
      <c r="E3098" s="2461" t="s">
        <v>1538</v>
      </c>
      <c r="F3098" s="2461" t="s">
        <v>1551</v>
      </c>
      <c r="G3098" s="2461" t="s">
        <v>1409</v>
      </c>
      <c r="H3098" s="2461" t="s">
        <v>1540</v>
      </c>
      <c r="I3098" s="2462">
        <v>3.9759701294099521E-3</v>
      </c>
      <c r="J3098" s="2462">
        <v>42.344956783769113</v>
      </c>
    </row>
    <row r="3099" spans="1:10" outlineLevel="2">
      <c r="A3099" s="2459" t="s">
        <v>1669</v>
      </c>
      <c r="B3099" s="2459" t="s">
        <v>1657</v>
      </c>
      <c r="C3099" s="2459" t="s">
        <v>1673</v>
      </c>
      <c r="D3099" s="2460" t="s">
        <v>1671</v>
      </c>
      <c r="E3099" s="2461" t="s">
        <v>1538</v>
      </c>
      <c r="F3099" s="2461" t="s">
        <v>1552</v>
      </c>
      <c r="G3099" s="2461" t="s">
        <v>1409</v>
      </c>
      <c r="H3099" s="2461" t="s">
        <v>1540</v>
      </c>
      <c r="I3099" s="2462">
        <v>2.7976715317329408E-4</v>
      </c>
      <c r="J3099" s="2462">
        <v>4.4552420633330492</v>
      </c>
    </row>
    <row r="3100" spans="1:10" outlineLevel="2">
      <c r="A3100" s="2459" t="s">
        <v>1669</v>
      </c>
      <c r="B3100" s="2459" t="s">
        <v>1657</v>
      </c>
      <c r="C3100" s="2459" t="s">
        <v>1673</v>
      </c>
      <c r="D3100" s="2460" t="s">
        <v>1671</v>
      </c>
      <c r="E3100" s="2461" t="s">
        <v>1538</v>
      </c>
      <c r="F3100" s="2461" t="s">
        <v>1553</v>
      </c>
      <c r="G3100" s="2461" t="s">
        <v>1409</v>
      </c>
      <c r="H3100" s="2461" t="s">
        <v>1540</v>
      </c>
      <c r="I3100" s="2462">
        <v>2.0747447603980732E-2</v>
      </c>
      <c r="J3100" s="2462">
        <v>38.142189603004006</v>
      </c>
    </row>
    <row r="3101" spans="1:10" outlineLevel="2">
      <c r="A3101" s="2459" t="s">
        <v>1669</v>
      </c>
      <c r="B3101" s="2459" t="s">
        <v>1657</v>
      </c>
      <c r="C3101" s="2459" t="s">
        <v>1673</v>
      </c>
      <c r="D3101" s="2460" t="s">
        <v>1671</v>
      </c>
      <c r="E3101" s="2461" t="s">
        <v>1538</v>
      </c>
      <c r="F3101" s="2461" t="s">
        <v>1554</v>
      </c>
      <c r="G3101" s="2461" t="s">
        <v>1409</v>
      </c>
      <c r="H3101" s="2461" t="s">
        <v>1540</v>
      </c>
      <c r="I3101" s="2462">
        <v>1.1564605377187762E-2</v>
      </c>
      <c r="J3101" s="2462">
        <v>16.007216353970858</v>
      </c>
    </row>
    <row r="3102" spans="1:10" outlineLevel="2">
      <c r="A3102" s="2459" t="s">
        <v>1669</v>
      </c>
      <c r="B3102" s="2459" t="s">
        <v>1657</v>
      </c>
      <c r="C3102" s="2459" t="s">
        <v>1673</v>
      </c>
      <c r="D3102" s="2460" t="s">
        <v>1671</v>
      </c>
      <c r="E3102" s="2461" t="s">
        <v>1538</v>
      </c>
      <c r="F3102" s="2461" t="s">
        <v>1555</v>
      </c>
      <c r="G3102" s="2461" t="s">
        <v>1412</v>
      </c>
      <c r="H3102" s="2461" t="s">
        <v>1540</v>
      </c>
      <c r="I3102" s="2462">
        <v>5.4229305776657771E-2</v>
      </c>
      <c r="J3102" s="2462">
        <v>166.93898677591184</v>
      </c>
    </row>
    <row r="3103" spans="1:10" outlineLevel="2">
      <c r="A3103" s="2459" t="s">
        <v>1669</v>
      </c>
      <c r="B3103" s="2459" t="s">
        <v>1657</v>
      </c>
      <c r="C3103" s="2459" t="s">
        <v>1673</v>
      </c>
      <c r="D3103" s="2460" t="s">
        <v>1671</v>
      </c>
      <c r="E3103" s="2461" t="s">
        <v>1538</v>
      </c>
      <c r="F3103" s="2461" t="s">
        <v>1556</v>
      </c>
      <c r="G3103" s="2461" t="s">
        <v>1412</v>
      </c>
      <c r="H3103" s="2461" t="s">
        <v>1540</v>
      </c>
      <c r="I3103" s="2462">
        <v>1.0781152148699822</v>
      </c>
      <c r="J3103" s="2462">
        <v>15184.929720119646</v>
      </c>
    </row>
    <row r="3104" spans="1:10" outlineLevel="2">
      <c r="A3104" s="2459" t="s">
        <v>1669</v>
      </c>
      <c r="B3104" s="2459" t="s">
        <v>1657</v>
      </c>
      <c r="C3104" s="2459" t="s">
        <v>1673</v>
      </c>
      <c r="D3104" s="2460" t="s">
        <v>1671</v>
      </c>
      <c r="E3104" s="2461" t="s">
        <v>1538</v>
      </c>
      <c r="F3104" s="2461" t="s">
        <v>1557</v>
      </c>
      <c r="G3104" s="2461" t="s">
        <v>1412</v>
      </c>
      <c r="H3104" s="2461" t="s">
        <v>1540</v>
      </c>
      <c r="I3104" s="2462">
        <v>6.4185629290066382E-3</v>
      </c>
      <c r="J3104" s="2462">
        <v>113.12189901474079</v>
      </c>
    </row>
    <row r="3105" spans="1:10" outlineLevel="2">
      <c r="A3105" s="2459" t="s">
        <v>1669</v>
      </c>
      <c r="B3105" s="2459" t="s">
        <v>1657</v>
      </c>
      <c r="C3105" s="2459" t="s">
        <v>1673</v>
      </c>
      <c r="D3105" s="2460" t="s">
        <v>1671</v>
      </c>
      <c r="E3105" s="2461" t="s">
        <v>1538</v>
      </c>
      <c r="F3105" s="2461" t="s">
        <v>1558</v>
      </c>
      <c r="G3105" s="2461" t="s">
        <v>1412</v>
      </c>
      <c r="H3105" s="2461" t="s">
        <v>1540</v>
      </c>
      <c r="I3105" s="2462">
        <v>2.1471361464981448E-3</v>
      </c>
      <c r="J3105" s="2462">
        <v>35.682676185321938</v>
      </c>
    </row>
    <row r="3106" spans="1:10" outlineLevel="2">
      <c r="A3106" s="2459" t="s">
        <v>1669</v>
      </c>
      <c r="B3106" s="2459" t="s">
        <v>1657</v>
      </c>
      <c r="C3106" s="2459" t="s">
        <v>1673</v>
      </c>
      <c r="D3106" s="2460" t="s">
        <v>1671</v>
      </c>
      <c r="E3106" s="2461" t="s">
        <v>1538</v>
      </c>
      <c r="F3106" s="2461" t="s">
        <v>1559</v>
      </c>
      <c r="G3106" s="2461" t="s">
        <v>1412</v>
      </c>
      <c r="H3106" s="2461" t="s">
        <v>1540</v>
      </c>
      <c r="I3106" s="2462">
        <v>2.2926080280753964E-3</v>
      </c>
      <c r="J3106" s="2462">
        <v>8.812553462060789</v>
      </c>
    </row>
    <row r="3107" spans="1:10" outlineLevel="2">
      <c r="A3107" s="2459" t="s">
        <v>1669</v>
      </c>
      <c r="B3107" s="2459" t="s">
        <v>1657</v>
      </c>
      <c r="C3107" s="2459" t="s">
        <v>1673</v>
      </c>
      <c r="D3107" s="2460" t="s">
        <v>1671</v>
      </c>
      <c r="E3107" s="2461" t="s">
        <v>1538</v>
      </c>
      <c r="F3107" s="2461" t="s">
        <v>1560</v>
      </c>
      <c r="G3107" s="2461" t="s">
        <v>1412</v>
      </c>
      <c r="H3107" s="2461" t="s">
        <v>1540</v>
      </c>
      <c r="I3107" s="2462">
        <v>3.2179577309932061E-3</v>
      </c>
      <c r="J3107" s="2462">
        <v>70.084253663729342</v>
      </c>
    </row>
    <row r="3108" spans="1:10" outlineLevel="2">
      <c r="A3108" s="2459" t="s">
        <v>1669</v>
      </c>
      <c r="B3108" s="2459" t="s">
        <v>1657</v>
      </c>
      <c r="C3108" s="2459" t="s">
        <v>1673</v>
      </c>
      <c r="D3108" s="2460" t="s">
        <v>1671</v>
      </c>
      <c r="E3108" s="2461" t="s">
        <v>1538</v>
      </c>
      <c r="F3108" s="2461" t="s">
        <v>1561</v>
      </c>
      <c r="G3108" s="2461" t="s">
        <v>1439</v>
      </c>
      <c r="H3108" s="2461" t="s">
        <v>1540</v>
      </c>
      <c r="I3108" s="2462">
        <v>6.3065828494314233E-2</v>
      </c>
      <c r="J3108" s="2462">
        <v>955.71844235321248</v>
      </c>
    </row>
    <row r="3109" spans="1:10" outlineLevel="2">
      <c r="A3109" s="2459" t="s">
        <v>1669</v>
      </c>
      <c r="B3109" s="2459" t="s">
        <v>1657</v>
      </c>
      <c r="C3109" s="2459" t="s">
        <v>1673</v>
      </c>
      <c r="D3109" s="2460" t="s">
        <v>1671</v>
      </c>
      <c r="E3109" s="2461" t="s">
        <v>1538</v>
      </c>
      <c r="F3109" s="2461" t="s">
        <v>1562</v>
      </c>
      <c r="G3109" s="2461" t="s">
        <v>1418</v>
      </c>
      <c r="H3109" s="2461" t="s">
        <v>1540</v>
      </c>
      <c r="I3109" s="2462">
        <v>2.4162645602037101E-5</v>
      </c>
      <c r="J3109" s="2462">
        <v>3.0446919007766467E-2</v>
      </c>
    </row>
    <row r="3110" spans="1:10" outlineLevel="2">
      <c r="A3110" s="2459" t="s">
        <v>1669</v>
      </c>
      <c r="B3110" s="2459" t="s">
        <v>1657</v>
      </c>
      <c r="C3110" s="2459" t="s">
        <v>1673</v>
      </c>
      <c r="D3110" s="2460" t="s">
        <v>1671</v>
      </c>
      <c r="E3110" s="2461" t="s">
        <v>1538</v>
      </c>
      <c r="F3110" s="2461" t="s">
        <v>1563</v>
      </c>
      <c r="G3110" s="2461" t="s">
        <v>1418</v>
      </c>
      <c r="H3110" s="2461" t="s">
        <v>1540</v>
      </c>
      <c r="I3110" s="2462">
        <v>3.5009459750927423E-6</v>
      </c>
      <c r="J3110" s="2462">
        <v>5.9302021238301882E-2</v>
      </c>
    </row>
    <row r="3111" spans="1:10" outlineLevel="2">
      <c r="A3111" s="2459" t="s">
        <v>1669</v>
      </c>
      <c r="B3111" s="2459" t="s">
        <v>1657</v>
      </c>
      <c r="C3111" s="2459" t="s">
        <v>1673</v>
      </c>
      <c r="D3111" s="2460" t="s">
        <v>1671</v>
      </c>
      <c r="E3111" s="2461" t="s">
        <v>1538</v>
      </c>
      <c r="F3111" s="2461" t="s">
        <v>1564</v>
      </c>
      <c r="G3111" s="2461" t="s">
        <v>1421</v>
      </c>
      <c r="H3111" s="2461" t="s">
        <v>1540</v>
      </c>
      <c r="I3111" s="2462">
        <v>0.31015270243467941</v>
      </c>
      <c r="J3111" s="2462">
        <v>761.52492520412761</v>
      </c>
    </row>
    <row r="3112" spans="1:10" outlineLevel="2">
      <c r="A3112" s="2459" t="s">
        <v>1669</v>
      </c>
      <c r="B3112" s="2459" t="s">
        <v>1657</v>
      </c>
      <c r="C3112" s="2459" t="s">
        <v>1673</v>
      </c>
      <c r="D3112" s="2460" t="s">
        <v>1671</v>
      </c>
      <c r="E3112" s="2461" t="s">
        <v>1538</v>
      </c>
      <c r="F3112" s="2461" t="s">
        <v>1565</v>
      </c>
      <c r="G3112" s="2461" t="s">
        <v>1421</v>
      </c>
      <c r="H3112" s="2461" t="s">
        <v>1540</v>
      </c>
      <c r="I3112" s="2462">
        <v>3.6494517223980297E-2</v>
      </c>
      <c r="J3112" s="2462">
        <v>166.68821099444966</v>
      </c>
    </row>
    <row r="3113" spans="1:10" outlineLevel="2">
      <c r="A3113" s="2459" t="s">
        <v>1669</v>
      </c>
      <c r="B3113" s="2459" t="s">
        <v>1657</v>
      </c>
      <c r="C3113" s="2459" t="s">
        <v>1673</v>
      </c>
      <c r="D3113" s="2460" t="s">
        <v>1671</v>
      </c>
      <c r="E3113" s="2461" t="s">
        <v>1538</v>
      </c>
      <c r="F3113" s="2461" t="s">
        <v>1566</v>
      </c>
      <c r="G3113" s="2461" t="s">
        <v>1421</v>
      </c>
      <c r="H3113" s="2461" t="s">
        <v>1540</v>
      </c>
      <c r="I3113" s="2462">
        <v>1.902856456032153E-2</v>
      </c>
      <c r="J3113" s="2462">
        <v>194.6374980694286</v>
      </c>
    </row>
    <row r="3114" spans="1:10" outlineLevel="2">
      <c r="A3114" s="2459" t="s">
        <v>1669</v>
      </c>
      <c r="B3114" s="2459" t="s">
        <v>1657</v>
      </c>
      <c r="C3114" s="2459" t="s">
        <v>1673</v>
      </c>
      <c r="D3114" s="2460" t="s">
        <v>1671</v>
      </c>
      <c r="E3114" s="2461" t="s">
        <v>1538</v>
      </c>
      <c r="F3114" s="2461" t="s">
        <v>1567</v>
      </c>
      <c r="G3114" s="2461" t="s">
        <v>1421</v>
      </c>
      <c r="H3114" s="2461" t="s">
        <v>1540</v>
      </c>
      <c r="I3114" s="2462">
        <v>3.1501668536162611E-2</v>
      </c>
      <c r="J3114" s="2462">
        <v>241.90598448150701</v>
      </c>
    </row>
    <row r="3115" spans="1:10" outlineLevel="2">
      <c r="A3115" s="2459" t="s">
        <v>1669</v>
      </c>
      <c r="B3115" s="2459" t="s">
        <v>1657</v>
      </c>
      <c r="C3115" s="2459" t="s">
        <v>1673</v>
      </c>
      <c r="D3115" s="2460" t="s">
        <v>1671</v>
      </c>
      <c r="E3115" s="2461" t="s">
        <v>1538</v>
      </c>
      <c r="F3115" s="2461" t="s">
        <v>1568</v>
      </c>
      <c r="G3115" s="2461" t="s">
        <v>1421</v>
      </c>
      <c r="H3115" s="2461" t="s">
        <v>1540</v>
      </c>
      <c r="I3115" s="2462">
        <v>1.0904667810554213E-3</v>
      </c>
      <c r="J3115" s="2462">
        <v>3.2900547128803233</v>
      </c>
    </row>
    <row r="3116" spans="1:10" outlineLevel="2">
      <c r="A3116" s="2459" t="s">
        <v>1669</v>
      </c>
      <c r="B3116" s="2459" t="s">
        <v>1657</v>
      </c>
      <c r="C3116" s="2459" t="s">
        <v>1673</v>
      </c>
      <c r="D3116" s="2460" t="s">
        <v>1671</v>
      </c>
      <c r="E3116" s="2461" t="s">
        <v>1538</v>
      </c>
      <c r="F3116" s="2461" t="s">
        <v>1569</v>
      </c>
      <c r="G3116" s="2461" t="s">
        <v>1421</v>
      </c>
      <c r="H3116" s="2461" t="s">
        <v>1540</v>
      </c>
      <c r="I3116" s="2462">
        <v>2.5849296226884385E-4</v>
      </c>
      <c r="J3116" s="2462">
        <v>2.9870855783278021</v>
      </c>
    </row>
    <row r="3117" spans="1:10" outlineLevel="2">
      <c r="A3117" s="2459" t="s">
        <v>1669</v>
      </c>
      <c r="B3117" s="2459" t="s">
        <v>1657</v>
      </c>
      <c r="C3117" s="2459" t="s">
        <v>1673</v>
      </c>
      <c r="D3117" s="2460" t="s">
        <v>1671</v>
      </c>
      <c r="E3117" s="2461" t="s">
        <v>1538</v>
      </c>
      <c r="F3117" s="2461" t="s">
        <v>1570</v>
      </c>
      <c r="G3117" s="2461" t="s">
        <v>899</v>
      </c>
      <c r="H3117" s="2461" t="s">
        <v>1540</v>
      </c>
      <c r="I3117" s="2462">
        <v>7.9632563816784099E-5</v>
      </c>
      <c r="J3117" s="2462">
        <v>0.34403963084086397</v>
      </c>
    </row>
    <row r="3118" spans="1:10" outlineLevel="2">
      <c r="A3118" s="2459" t="s">
        <v>1669</v>
      </c>
      <c r="B3118" s="2459" t="s">
        <v>1657</v>
      </c>
      <c r="C3118" s="2459" t="s">
        <v>1673</v>
      </c>
      <c r="D3118" s="2460" t="s">
        <v>1671</v>
      </c>
      <c r="E3118" s="2461" t="s">
        <v>1400</v>
      </c>
      <c r="F3118" s="2461" t="s">
        <v>1571</v>
      </c>
      <c r="G3118" s="2461" t="s">
        <v>215</v>
      </c>
      <c r="H3118" s="2461" t="s">
        <v>1531</v>
      </c>
      <c r="I3118" s="2462">
        <v>9.2422232512719988E-3</v>
      </c>
      <c r="J3118" s="2462">
        <v>332.63488935380212</v>
      </c>
    </row>
    <row r="3119" spans="1:10" outlineLevel="2">
      <c r="A3119" s="2459" t="s">
        <v>1669</v>
      </c>
      <c r="B3119" s="2459" t="s">
        <v>1657</v>
      </c>
      <c r="C3119" s="2459" t="s">
        <v>1673</v>
      </c>
      <c r="D3119" s="2460" t="s">
        <v>1671</v>
      </c>
      <c r="E3119" s="2461" t="s">
        <v>1400</v>
      </c>
      <c r="F3119" s="2461" t="s">
        <v>1572</v>
      </c>
      <c r="G3119" s="2461" t="s">
        <v>215</v>
      </c>
      <c r="H3119" s="2461" t="s">
        <v>1531</v>
      </c>
      <c r="I3119" s="2462">
        <v>1.4647147284871376E-4</v>
      </c>
      <c r="J3119" s="2462">
        <v>2.7784810356334688</v>
      </c>
    </row>
    <row r="3120" spans="1:10" outlineLevel="2">
      <c r="A3120" s="2459" t="s">
        <v>1669</v>
      </c>
      <c r="B3120" s="2459" t="s">
        <v>1657</v>
      </c>
      <c r="C3120" s="2459" t="s">
        <v>1673</v>
      </c>
      <c r="D3120" s="2460" t="s">
        <v>1671</v>
      </c>
      <c r="E3120" s="2461" t="s">
        <v>1573</v>
      </c>
      <c r="F3120" s="2461" t="s">
        <v>1574</v>
      </c>
      <c r="G3120" s="2461" t="s">
        <v>1426</v>
      </c>
      <c r="H3120" s="2461" t="s">
        <v>1427</v>
      </c>
      <c r="I3120" s="2462">
        <v>9.3234536935000965E-3</v>
      </c>
      <c r="J3120" s="2462">
        <v>230.48893820305247</v>
      </c>
    </row>
    <row r="3121" spans="1:10" outlineLevel="2">
      <c r="A3121" s="2459" t="s">
        <v>1669</v>
      </c>
      <c r="B3121" s="2459" t="s">
        <v>1657</v>
      </c>
      <c r="C3121" s="2459" t="s">
        <v>1673</v>
      </c>
      <c r="D3121" s="2460" t="s">
        <v>1671</v>
      </c>
      <c r="E3121" s="2461" t="s">
        <v>1573</v>
      </c>
      <c r="F3121" s="2461" t="s">
        <v>1575</v>
      </c>
      <c r="G3121" s="2461" t="s">
        <v>1409</v>
      </c>
      <c r="H3121" s="2461" t="s">
        <v>1070</v>
      </c>
      <c r="I3121" s="2462">
        <v>1.8098649725157664E-2</v>
      </c>
      <c r="J3121" s="2462">
        <v>1055.5210171078895</v>
      </c>
    </row>
    <row r="3122" spans="1:10" outlineLevel="2">
      <c r="A3122" s="2459" t="s">
        <v>1669</v>
      </c>
      <c r="B3122" s="2459" t="s">
        <v>1657</v>
      </c>
      <c r="C3122" s="2459" t="s">
        <v>1673</v>
      </c>
      <c r="D3122" s="2460" t="s">
        <v>1671</v>
      </c>
      <c r="E3122" s="2461" t="s">
        <v>1573</v>
      </c>
      <c r="F3122" s="2461" t="s">
        <v>1576</v>
      </c>
      <c r="G3122" s="2461" t="s">
        <v>1409</v>
      </c>
      <c r="H3122" s="2461" t="s">
        <v>1070</v>
      </c>
      <c r="I3122" s="2462">
        <v>1.5561748075799872E-4</v>
      </c>
      <c r="J3122" s="2462">
        <v>1.7188931846174103</v>
      </c>
    </row>
    <row r="3123" spans="1:10" outlineLevel="2">
      <c r="A3123" s="2459" t="s">
        <v>1669</v>
      </c>
      <c r="B3123" s="2459" t="s">
        <v>1657</v>
      </c>
      <c r="C3123" s="2459" t="s">
        <v>1673</v>
      </c>
      <c r="D3123" s="2460" t="s">
        <v>1671</v>
      </c>
      <c r="E3123" s="2461" t="s">
        <v>1573</v>
      </c>
      <c r="F3123" s="2461" t="s">
        <v>1577</v>
      </c>
      <c r="G3123" s="2461" t="s">
        <v>1409</v>
      </c>
      <c r="H3123" s="2461" t="s">
        <v>1070</v>
      </c>
      <c r="I3123" s="2462">
        <v>2.2568548622357723E-3</v>
      </c>
      <c r="J3123" s="2462">
        <v>28.314858325614356</v>
      </c>
    </row>
    <row r="3124" spans="1:10" outlineLevel="2">
      <c r="A3124" s="2459" t="s">
        <v>1669</v>
      </c>
      <c r="B3124" s="2459" t="s">
        <v>1657</v>
      </c>
      <c r="C3124" s="2459" t="s">
        <v>1673</v>
      </c>
      <c r="D3124" s="2460" t="s">
        <v>1671</v>
      </c>
      <c r="E3124" s="2461" t="s">
        <v>1573</v>
      </c>
      <c r="F3124" s="2461" t="s">
        <v>1578</v>
      </c>
      <c r="G3124" s="2461" t="s">
        <v>1409</v>
      </c>
      <c r="H3124" s="2461" t="s">
        <v>1070</v>
      </c>
      <c r="I3124" s="2462">
        <v>5.1537627916695271E-2</v>
      </c>
      <c r="J3124" s="2462">
        <v>2642.1283346409759</v>
      </c>
    </row>
    <row r="3125" spans="1:10" outlineLevel="2">
      <c r="A3125" s="2459" t="s">
        <v>1669</v>
      </c>
      <c r="B3125" s="2459" t="s">
        <v>1657</v>
      </c>
      <c r="C3125" s="2459" t="s">
        <v>1673</v>
      </c>
      <c r="D3125" s="2460" t="s">
        <v>1671</v>
      </c>
      <c r="E3125" s="2461" t="s">
        <v>1573</v>
      </c>
      <c r="F3125" s="2461" t="s">
        <v>1579</v>
      </c>
      <c r="G3125" s="2461" t="s">
        <v>1409</v>
      </c>
      <c r="H3125" s="2461" t="s">
        <v>1070</v>
      </c>
      <c r="I3125" s="2462">
        <v>3.9123617787913748E-2</v>
      </c>
      <c r="J3125" s="2462">
        <v>2874.8150449029322</v>
      </c>
    </row>
    <row r="3126" spans="1:10" outlineLevel="2">
      <c r="A3126" s="2459" t="s">
        <v>1669</v>
      </c>
      <c r="B3126" s="2459" t="s">
        <v>1657</v>
      </c>
      <c r="C3126" s="2459" t="s">
        <v>1673</v>
      </c>
      <c r="D3126" s="2460" t="s">
        <v>1671</v>
      </c>
      <c r="E3126" s="2461" t="s">
        <v>1573</v>
      </c>
      <c r="F3126" s="2461" t="s">
        <v>1580</v>
      </c>
      <c r="G3126" s="2461" t="s">
        <v>1409</v>
      </c>
      <c r="H3126" s="2461" t="s">
        <v>1070</v>
      </c>
      <c r="I3126" s="2462">
        <v>4.4201505634832742E-3</v>
      </c>
      <c r="J3126" s="2462">
        <v>158.74189000179672</v>
      </c>
    </row>
    <row r="3127" spans="1:10" outlineLevel="2">
      <c r="A3127" s="2459" t="s">
        <v>1669</v>
      </c>
      <c r="B3127" s="2459" t="s">
        <v>1657</v>
      </c>
      <c r="C3127" s="2459" t="s">
        <v>1673</v>
      </c>
      <c r="D3127" s="2460" t="s">
        <v>1671</v>
      </c>
      <c r="E3127" s="2461" t="s">
        <v>1573</v>
      </c>
      <c r="F3127" s="2461" t="s">
        <v>1581</v>
      </c>
      <c r="G3127" s="2461" t="s">
        <v>1409</v>
      </c>
      <c r="H3127" s="2461" t="s">
        <v>1070</v>
      </c>
      <c r="I3127" s="2462">
        <v>2.3510380151836523E-3</v>
      </c>
      <c r="J3127" s="2462">
        <v>108.09639163896722</v>
      </c>
    </row>
    <row r="3128" spans="1:10" outlineLevel="2">
      <c r="A3128" s="2459" t="s">
        <v>1669</v>
      </c>
      <c r="B3128" s="2459" t="s">
        <v>1657</v>
      </c>
      <c r="C3128" s="2459" t="s">
        <v>1673</v>
      </c>
      <c r="D3128" s="2460" t="s">
        <v>1671</v>
      </c>
      <c r="E3128" s="2461" t="s">
        <v>1573</v>
      </c>
      <c r="F3128" s="2461" t="s">
        <v>1582</v>
      </c>
      <c r="G3128" s="2461" t="s">
        <v>1409</v>
      </c>
      <c r="H3128" s="2461" t="s">
        <v>1070</v>
      </c>
      <c r="I3128" s="2462">
        <v>1.249567498661115E-2</v>
      </c>
      <c r="J3128" s="2462">
        <v>296.84309742760109</v>
      </c>
    </row>
    <row r="3129" spans="1:10" outlineLevel="2">
      <c r="A3129" s="2459" t="s">
        <v>1669</v>
      </c>
      <c r="B3129" s="2459" t="s">
        <v>1657</v>
      </c>
      <c r="C3129" s="2459" t="s">
        <v>1673</v>
      </c>
      <c r="D3129" s="2460" t="s">
        <v>1671</v>
      </c>
      <c r="E3129" s="2461" t="s">
        <v>1573</v>
      </c>
      <c r="F3129" s="2461" t="s">
        <v>1583</v>
      </c>
      <c r="G3129" s="2461" t="s">
        <v>1409</v>
      </c>
      <c r="H3129" s="2461" t="s">
        <v>1070</v>
      </c>
      <c r="I3129" s="2462">
        <v>3.5821529434770433E-2</v>
      </c>
      <c r="J3129" s="2462">
        <v>1270.2702317159574</v>
      </c>
    </row>
    <row r="3130" spans="1:10" outlineLevel="2">
      <c r="A3130" s="2459" t="s">
        <v>1669</v>
      </c>
      <c r="B3130" s="2459" t="s">
        <v>1657</v>
      </c>
      <c r="C3130" s="2459" t="s">
        <v>1673</v>
      </c>
      <c r="D3130" s="2460" t="s">
        <v>1671</v>
      </c>
      <c r="E3130" s="2461" t="s">
        <v>1573</v>
      </c>
      <c r="F3130" s="2461" t="s">
        <v>1584</v>
      </c>
      <c r="G3130" s="2461" t="s">
        <v>1409</v>
      </c>
      <c r="H3130" s="2461" t="s">
        <v>1070</v>
      </c>
      <c r="I3130" s="2462">
        <v>2.5324638875685462E-2</v>
      </c>
      <c r="J3130" s="2462">
        <v>1394.6780400249866</v>
      </c>
    </row>
    <row r="3131" spans="1:10" outlineLevel="2">
      <c r="A3131" s="2459" t="s">
        <v>1669</v>
      </c>
      <c r="B3131" s="2459" t="s">
        <v>1657</v>
      </c>
      <c r="C3131" s="2459" t="s">
        <v>1673</v>
      </c>
      <c r="D3131" s="2460" t="s">
        <v>1671</v>
      </c>
      <c r="E3131" s="2461" t="s">
        <v>1573</v>
      </c>
      <c r="F3131" s="2461" t="s">
        <v>1585</v>
      </c>
      <c r="G3131" s="2461" t="s">
        <v>1409</v>
      </c>
      <c r="H3131" s="2461" t="s">
        <v>1070</v>
      </c>
      <c r="I3131" s="2462">
        <v>0.13884143384553504</v>
      </c>
      <c r="J3131" s="2462">
        <v>10709.001239914822</v>
      </c>
    </row>
    <row r="3132" spans="1:10" outlineLevel="2">
      <c r="A3132" s="2459" t="s">
        <v>1669</v>
      </c>
      <c r="B3132" s="2459" t="s">
        <v>1657</v>
      </c>
      <c r="C3132" s="2459" t="s">
        <v>1673</v>
      </c>
      <c r="D3132" s="2460" t="s">
        <v>1671</v>
      </c>
      <c r="E3132" s="2461" t="s">
        <v>1573</v>
      </c>
      <c r="F3132" s="2461" t="s">
        <v>1586</v>
      </c>
      <c r="G3132" s="2461" t="s">
        <v>1409</v>
      </c>
      <c r="H3132" s="2461" t="s">
        <v>1070</v>
      </c>
      <c r="I3132" s="2462">
        <v>2.9366008966296006E-3</v>
      </c>
      <c r="J3132" s="2462">
        <v>89.046625759310515</v>
      </c>
    </row>
    <row r="3133" spans="1:10" outlineLevel="2">
      <c r="A3133" s="2459" t="s">
        <v>1669</v>
      </c>
      <c r="B3133" s="2459" t="s">
        <v>1657</v>
      </c>
      <c r="C3133" s="2459" t="s">
        <v>1673</v>
      </c>
      <c r="D3133" s="2460" t="s">
        <v>1671</v>
      </c>
      <c r="E3133" s="2461" t="s">
        <v>1573</v>
      </c>
      <c r="F3133" s="2461" t="s">
        <v>1587</v>
      </c>
      <c r="G3133" s="2461" t="s">
        <v>1409</v>
      </c>
      <c r="H3133" s="2461" t="s">
        <v>1070</v>
      </c>
      <c r="I3133" s="2462">
        <v>1.1564655660104919E-3</v>
      </c>
      <c r="J3133" s="2462">
        <v>54.523439530473368</v>
      </c>
    </row>
    <row r="3134" spans="1:10" outlineLevel="2">
      <c r="A3134" s="2459" t="s">
        <v>1669</v>
      </c>
      <c r="B3134" s="2459" t="s">
        <v>1657</v>
      </c>
      <c r="C3134" s="2459" t="s">
        <v>1673</v>
      </c>
      <c r="D3134" s="2460" t="s">
        <v>1671</v>
      </c>
      <c r="E3134" s="2461" t="s">
        <v>1573</v>
      </c>
      <c r="F3134" s="2461" t="s">
        <v>1588</v>
      </c>
      <c r="G3134" s="2461" t="s">
        <v>1409</v>
      </c>
      <c r="H3134" s="2461" t="s">
        <v>1070</v>
      </c>
      <c r="I3134" s="2462">
        <v>4.0969952307804876E-2</v>
      </c>
      <c r="J3134" s="2462">
        <v>2447.8031943136175</v>
      </c>
    </row>
    <row r="3135" spans="1:10" outlineLevel="2">
      <c r="A3135" s="2459" t="s">
        <v>1669</v>
      </c>
      <c r="B3135" s="2459" t="s">
        <v>1657</v>
      </c>
      <c r="C3135" s="2459" t="s">
        <v>1673</v>
      </c>
      <c r="D3135" s="2460" t="s">
        <v>1671</v>
      </c>
      <c r="E3135" s="2461" t="s">
        <v>1573</v>
      </c>
      <c r="F3135" s="2461" t="s">
        <v>1589</v>
      </c>
      <c r="G3135" s="2461" t="s">
        <v>1409</v>
      </c>
      <c r="H3135" s="2461" t="s">
        <v>1070</v>
      </c>
      <c r="I3135" s="2462">
        <v>3.5222438414986276E-2</v>
      </c>
      <c r="J3135" s="2462">
        <v>2664.465401302386</v>
      </c>
    </row>
    <row r="3136" spans="1:10" outlineLevel="2">
      <c r="A3136" s="2459" t="s">
        <v>1669</v>
      </c>
      <c r="B3136" s="2459" t="s">
        <v>1657</v>
      </c>
      <c r="C3136" s="2459" t="s">
        <v>1673</v>
      </c>
      <c r="D3136" s="2460" t="s">
        <v>1671</v>
      </c>
      <c r="E3136" s="2461" t="s">
        <v>1573</v>
      </c>
      <c r="F3136" s="2461" t="s">
        <v>1590</v>
      </c>
      <c r="G3136" s="2461" t="s">
        <v>1409</v>
      </c>
      <c r="H3136" s="2461" t="s">
        <v>1070</v>
      </c>
      <c r="I3136" s="2462">
        <v>0.1286004826618786</v>
      </c>
      <c r="J3136" s="2462">
        <v>9165.3833182763592</v>
      </c>
    </row>
    <row r="3137" spans="1:10" outlineLevel="2">
      <c r="A3137" s="2459" t="s">
        <v>1669</v>
      </c>
      <c r="B3137" s="2459" t="s">
        <v>1657</v>
      </c>
      <c r="C3137" s="2459" t="s">
        <v>1673</v>
      </c>
      <c r="D3137" s="2460" t="s">
        <v>1671</v>
      </c>
      <c r="E3137" s="2461" t="s">
        <v>1573</v>
      </c>
      <c r="F3137" s="2461" t="s">
        <v>1591</v>
      </c>
      <c r="G3137" s="2461" t="s">
        <v>1409</v>
      </c>
      <c r="H3137" s="2461" t="s">
        <v>1070</v>
      </c>
      <c r="I3137" s="2462">
        <v>8.8522257321483333E-3</v>
      </c>
      <c r="J3137" s="2462">
        <v>430.97241252127503</v>
      </c>
    </row>
    <row r="3138" spans="1:10" outlineLevel="2">
      <c r="A3138" s="2459" t="s">
        <v>1669</v>
      </c>
      <c r="B3138" s="2459" t="s">
        <v>1657</v>
      </c>
      <c r="C3138" s="2459" t="s">
        <v>1673</v>
      </c>
      <c r="D3138" s="2460" t="s">
        <v>1671</v>
      </c>
      <c r="E3138" s="2461" t="s">
        <v>1573</v>
      </c>
      <c r="F3138" s="2461" t="s">
        <v>1592</v>
      </c>
      <c r="G3138" s="2461" t="s">
        <v>1409</v>
      </c>
      <c r="H3138" s="2461" t="s">
        <v>1070</v>
      </c>
      <c r="I3138" s="2462">
        <v>7.4435854460639064E-2</v>
      </c>
      <c r="J3138" s="2462">
        <v>3428.1532978238888</v>
      </c>
    </row>
    <row r="3139" spans="1:10" outlineLevel="2">
      <c r="A3139" s="2459" t="s">
        <v>1669</v>
      </c>
      <c r="B3139" s="2459" t="s">
        <v>1657</v>
      </c>
      <c r="C3139" s="2459" t="s">
        <v>1673</v>
      </c>
      <c r="D3139" s="2460" t="s">
        <v>1671</v>
      </c>
      <c r="E3139" s="2461" t="s">
        <v>1573</v>
      </c>
      <c r="F3139" s="2461" t="s">
        <v>1593</v>
      </c>
      <c r="G3139" s="2461" t="s">
        <v>1409</v>
      </c>
      <c r="H3139" s="2461" t="s">
        <v>1070</v>
      </c>
      <c r="I3139" s="2462">
        <v>0.18186965364051361</v>
      </c>
      <c r="J3139" s="2462">
        <v>11655.065623880275</v>
      </c>
    </row>
    <row r="3140" spans="1:10" outlineLevel="2">
      <c r="A3140" s="2459" t="s">
        <v>1669</v>
      </c>
      <c r="B3140" s="2459" t="s">
        <v>1657</v>
      </c>
      <c r="C3140" s="2459" t="s">
        <v>1673</v>
      </c>
      <c r="D3140" s="2460" t="s">
        <v>1671</v>
      </c>
      <c r="E3140" s="2461" t="s">
        <v>1573</v>
      </c>
      <c r="F3140" s="2461" t="s">
        <v>1594</v>
      </c>
      <c r="G3140" s="2461" t="s">
        <v>1409</v>
      </c>
      <c r="H3140" s="2461" t="s">
        <v>1070</v>
      </c>
      <c r="I3140" s="2462">
        <v>0.39833935309172153</v>
      </c>
      <c r="J3140" s="2462">
        <v>7818.9570710324242</v>
      </c>
    </row>
    <row r="3141" spans="1:10" outlineLevel="2">
      <c r="A3141" s="2459" t="s">
        <v>1669</v>
      </c>
      <c r="B3141" s="2459" t="s">
        <v>1657</v>
      </c>
      <c r="C3141" s="2459" t="s">
        <v>1673</v>
      </c>
      <c r="D3141" s="2460" t="s">
        <v>1671</v>
      </c>
      <c r="E3141" s="2461" t="s">
        <v>1573</v>
      </c>
      <c r="F3141" s="2461" t="s">
        <v>1595</v>
      </c>
      <c r="G3141" s="2461" t="s">
        <v>1409</v>
      </c>
      <c r="H3141" s="2461" t="s">
        <v>1070</v>
      </c>
      <c r="I3141" s="2462">
        <v>0.14645987300042349</v>
      </c>
      <c r="J3141" s="2462">
        <v>10661.920590182797</v>
      </c>
    </row>
    <row r="3142" spans="1:10" outlineLevel="2">
      <c r="A3142" s="2459" t="s">
        <v>1669</v>
      </c>
      <c r="B3142" s="2459" t="s">
        <v>1657</v>
      </c>
      <c r="C3142" s="2459" t="s">
        <v>1673</v>
      </c>
      <c r="D3142" s="2460" t="s">
        <v>1671</v>
      </c>
      <c r="E3142" s="2461" t="s">
        <v>1573</v>
      </c>
      <c r="F3142" s="2461" t="s">
        <v>1596</v>
      </c>
      <c r="G3142" s="2461" t="s">
        <v>1409</v>
      </c>
      <c r="H3142" s="2461" t="s">
        <v>1070</v>
      </c>
      <c r="I3142" s="2462">
        <v>0.26667496619324077</v>
      </c>
      <c r="J3142" s="2462">
        <v>6137.4815084868824</v>
      </c>
    </row>
    <row r="3143" spans="1:10" outlineLevel="2">
      <c r="A3143" s="2459" t="s">
        <v>1669</v>
      </c>
      <c r="B3143" s="2459" t="s">
        <v>1657</v>
      </c>
      <c r="C3143" s="2459" t="s">
        <v>1673</v>
      </c>
      <c r="D3143" s="2460" t="s">
        <v>1671</v>
      </c>
      <c r="E3143" s="2461" t="s">
        <v>1573</v>
      </c>
      <c r="F3143" s="2461" t="s">
        <v>1597</v>
      </c>
      <c r="G3143" s="2461" t="s">
        <v>1409</v>
      </c>
      <c r="H3143" s="2461" t="s">
        <v>1070</v>
      </c>
      <c r="I3143" s="2462">
        <v>1.5654338700731383E-2</v>
      </c>
      <c r="J3143" s="2462">
        <v>1144.037342078816</v>
      </c>
    </row>
    <row r="3144" spans="1:10" outlineLevel="2">
      <c r="A3144" s="2459" t="s">
        <v>1669</v>
      </c>
      <c r="B3144" s="2459" t="s">
        <v>1657</v>
      </c>
      <c r="C3144" s="2459" t="s">
        <v>1673</v>
      </c>
      <c r="D3144" s="2460" t="s">
        <v>1671</v>
      </c>
      <c r="E3144" s="2461" t="s">
        <v>1573</v>
      </c>
      <c r="F3144" s="2461" t="s">
        <v>1598</v>
      </c>
      <c r="G3144" s="2461" t="s">
        <v>1409</v>
      </c>
      <c r="H3144" s="2461" t="s">
        <v>1070</v>
      </c>
      <c r="I3144" s="2462">
        <v>8.130734149391155E-4</v>
      </c>
      <c r="J3144" s="2462">
        <v>18.769445911469365</v>
      </c>
    </row>
    <row r="3145" spans="1:10" outlineLevel="2">
      <c r="A3145" s="2459" t="s">
        <v>1669</v>
      </c>
      <c r="B3145" s="2459" t="s">
        <v>1657</v>
      </c>
      <c r="C3145" s="2459" t="s">
        <v>1673</v>
      </c>
      <c r="D3145" s="2460" t="s">
        <v>1671</v>
      </c>
      <c r="E3145" s="2461" t="s">
        <v>1573</v>
      </c>
      <c r="F3145" s="2461" t="s">
        <v>1599</v>
      </c>
      <c r="G3145" s="2461" t="s">
        <v>1409</v>
      </c>
      <c r="H3145" s="2461" t="s">
        <v>1070</v>
      </c>
      <c r="I3145" s="2462">
        <v>2.2197647202075267E-2</v>
      </c>
      <c r="J3145" s="2462">
        <v>1193.3431031545442</v>
      </c>
    </row>
    <row r="3146" spans="1:10" outlineLevel="2">
      <c r="A3146" s="2459" t="s">
        <v>1669</v>
      </c>
      <c r="B3146" s="2459" t="s">
        <v>1657</v>
      </c>
      <c r="C3146" s="2459" t="s">
        <v>1673</v>
      </c>
      <c r="D3146" s="2460" t="s">
        <v>1671</v>
      </c>
      <c r="E3146" s="2461" t="s">
        <v>1573</v>
      </c>
      <c r="F3146" s="2461" t="s">
        <v>1600</v>
      </c>
      <c r="G3146" s="2461" t="s">
        <v>1412</v>
      </c>
      <c r="H3146" s="2461" t="s">
        <v>1116</v>
      </c>
      <c r="I3146" s="2462">
        <v>1.128329490163211E-2</v>
      </c>
      <c r="J3146" s="2462">
        <v>272.97291825900976</v>
      </c>
    </row>
    <row r="3147" spans="1:10" outlineLevel="2">
      <c r="A3147" s="2459" t="s">
        <v>1669</v>
      </c>
      <c r="B3147" s="2459" t="s">
        <v>1657</v>
      </c>
      <c r="C3147" s="2459" t="s">
        <v>1673</v>
      </c>
      <c r="D3147" s="2460" t="s">
        <v>1671</v>
      </c>
      <c r="E3147" s="2461" t="s">
        <v>1573</v>
      </c>
      <c r="F3147" s="2461" t="s">
        <v>1601</v>
      </c>
      <c r="G3147" s="2461" t="s">
        <v>1412</v>
      </c>
      <c r="H3147" s="2461" t="s">
        <v>1116</v>
      </c>
      <c r="I3147" s="2462">
        <v>5.6152791705494594E-2</v>
      </c>
      <c r="J3147" s="2462">
        <v>3960.1809501867065</v>
      </c>
    </row>
    <row r="3148" spans="1:10" outlineLevel="2">
      <c r="A3148" s="2459" t="s">
        <v>1669</v>
      </c>
      <c r="B3148" s="2459" t="s">
        <v>1657</v>
      </c>
      <c r="C3148" s="2459" t="s">
        <v>1673</v>
      </c>
      <c r="D3148" s="2460" t="s">
        <v>1671</v>
      </c>
      <c r="E3148" s="2461" t="s">
        <v>1573</v>
      </c>
      <c r="F3148" s="2461" t="s">
        <v>1602</v>
      </c>
      <c r="G3148" s="2461" t="s">
        <v>1412</v>
      </c>
      <c r="H3148" s="2461" t="s">
        <v>1116</v>
      </c>
      <c r="I3148" s="2462">
        <v>3.2986803067590227E-2</v>
      </c>
      <c r="J3148" s="2462">
        <v>1729.7257548781479</v>
      </c>
    </row>
    <row r="3149" spans="1:10" outlineLevel="2">
      <c r="A3149" s="2459" t="s">
        <v>1669</v>
      </c>
      <c r="B3149" s="2459" t="s">
        <v>1657</v>
      </c>
      <c r="C3149" s="2459" t="s">
        <v>1673</v>
      </c>
      <c r="D3149" s="2460" t="s">
        <v>1671</v>
      </c>
      <c r="E3149" s="2461" t="s">
        <v>1573</v>
      </c>
      <c r="F3149" s="2461" t="s">
        <v>1603</v>
      </c>
      <c r="G3149" s="2461" t="s">
        <v>1412</v>
      </c>
      <c r="H3149" s="2461" t="s">
        <v>1116</v>
      </c>
      <c r="I3149" s="2462">
        <v>3.9045710913328861E-2</v>
      </c>
      <c r="J3149" s="2462">
        <v>1754.0093526198004</v>
      </c>
    </row>
    <row r="3150" spans="1:10" outlineLevel="2">
      <c r="A3150" s="2459" t="s">
        <v>1669</v>
      </c>
      <c r="B3150" s="2459" t="s">
        <v>1657</v>
      </c>
      <c r="C3150" s="2459" t="s">
        <v>1673</v>
      </c>
      <c r="D3150" s="2460" t="s">
        <v>1671</v>
      </c>
      <c r="E3150" s="2461" t="s">
        <v>1573</v>
      </c>
      <c r="F3150" s="2461" t="s">
        <v>1604</v>
      </c>
      <c r="G3150" s="2461" t="s">
        <v>1412</v>
      </c>
      <c r="H3150" s="2461" t="s">
        <v>1116</v>
      </c>
      <c r="I3150" s="2462">
        <v>2.4729779288168029E-3</v>
      </c>
      <c r="J3150" s="2462">
        <v>67.645425790350217</v>
      </c>
    </row>
    <row r="3151" spans="1:10" outlineLevel="2">
      <c r="A3151" s="2459" t="s">
        <v>1669</v>
      </c>
      <c r="B3151" s="2459" t="s">
        <v>1657</v>
      </c>
      <c r="C3151" s="2459" t="s">
        <v>1673</v>
      </c>
      <c r="D3151" s="2460" t="s">
        <v>1671</v>
      </c>
      <c r="E3151" s="2461" t="s">
        <v>1573</v>
      </c>
      <c r="F3151" s="2461" t="s">
        <v>1605</v>
      </c>
      <c r="G3151" s="2461" t="s">
        <v>1412</v>
      </c>
      <c r="H3151" s="2461" t="s">
        <v>1116</v>
      </c>
      <c r="I3151" s="2462">
        <v>0.48533230364111429</v>
      </c>
      <c r="J3151" s="2462">
        <v>15951.115440468559</v>
      </c>
    </row>
    <row r="3152" spans="1:10" outlineLevel="2">
      <c r="A3152" s="2459" t="s">
        <v>1669</v>
      </c>
      <c r="B3152" s="2459" t="s">
        <v>1657</v>
      </c>
      <c r="C3152" s="2459" t="s">
        <v>1673</v>
      </c>
      <c r="D3152" s="2460" t="s">
        <v>1671</v>
      </c>
      <c r="E3152" s="2461" t="s">
        <v>1573</v>
      </c>
      <c r="F3152" s="2461" t="s">
        <v>1606</v>
      </c>
      <c r="G3152" s="2461" t="s">
        <v>1412</v>
      </c>
      <c r="H3152" s="2461" t="s">
        <v>1116</v>
      </c>
      <c r="I3152" s="2462">
        <v>3.0788816656114448E-2</v>
      </c>
      <c r="J3152" s="2462">
        <v>2495.9597156394261</v>
      </c>
    </row>
    <row r="3153" spans="1:10" outlineLevel="2">
      <c r="A3153" s="2459" t="s">
        <v>1669</v>
      </c>
      <c r="B3153" s="2459" t="s">
        <v>1657</v>
      </c>
      <c r="C3153" s="2459" t="s">
        <v>1673</v>
      </c>
      <c r="D3153" s="2460" t="s">
        <v>1671</v>
      </c>
      <c r="E3153" s="2461" t="s">
        <v>1573</v>
      </c>
      <c r="F3153" s="2461" t="s">
        <v>1607</v>
      </c>
      <c r="G3153" s="2461" t="s">
        <v>1439</v>
      </c>
      <c r="H3153" s="2461" t="s">
        <v>1440</v>
      </c>
      <c r="I3153" s="2462">
        <v>4.4771802303681176E-5</v>
      </c>
      <c r="J3153" s="2462">
        <v>1.122155299648097</v>
      </c>
    </row>
    <row r="3154" spans="1:10" outlineLevel="2">
      <c r="A3154" s="2459" t="s">
        <v>1669</v>
      </c>
      <c r="B3154" s="2459" t="s">
        <v>1657</v>
      </c>
      <c r="C3154" s="2459" t="s">
        <v>1673</v>
      </c>
      <c r="D3154" s="2460" t="s">
        <v>1671</v>
      </c>
      <c r="E3154" s="2461" t="s">
        <v>1573</v>
      </c>
      <c r="F3154" s="2461" t="s">
        <v>1608</v>
      </c>
      <c r="G3154" s="2461" t="s">
        <v>1439</v>
      </c>
      <c r="H3154" s="2461" t="s">
        <v>1440</v>
      </c>
      <c r="I3154" s="2462">
        <v>5.2620182844057561E-3</v>
      </c>
      <c r="J3154" s="2462">
        <v>294.75665444937567</v>
      </c>
    </row>
    <row r="3155" spans="1:10" outlineLevel="2">
      <c r="A3155" s="2459" t="s">
        <v>1669</v>
      </c>
      <c r="B3155" s="2459" t="s">
        <v>1657</v>
      </c>
      <c r="C3155" s="2459" t="s">
        <v>1673</v>
      </c>
      <c r="D3155" s="2460" t="s">
        <v>1671</v>
      </c>
      <c r="E3155" s="2461" t="s">
        <v>1573</v>
      </c>
      <c r="F3155" s="2461" t="s">
        <v>1609</v>
      </c>
      <c r="G3155" s="2461" t="s">
        <v>1439</v>
      </c>
      <c r="H3155" s="2461" t="s">
        <v>1440</v>
      </c>
      <c r="I3155" s="2462">
        <v>0.35408420390102402</v>
      </c>
      <c r="J3155" s="2462">
        <v>7866.0326044661315</v>
      </c>
    </row>
    <row r="3156" spans="1:10" outlineLevel="2">
      <c r="A3156" s="2459" t="s">
        <v>1669</v>
      </c>
      <c r="B3156" s="2459" t="s">
        <v>1657</v>
      </c>
      <c r="C3156" s="2459" t="s">
        <v>1673</v>
      </c>
      <c r="D3156" s="2460" t="s">
        <v>1671</v>
      </c>
      <c r="E3156" s="2461" t="s">
        <v>1573</v>
      </c>
      <c r="F3156" s="2461" t="s">
        <v>1610</v>
      </c>
      <c r="G3156" s="2461" t="s">
        <v>1439</v>
      </c>
      <c r="H3156" s="2461" t="s">
        <v>1440</v>
      </c>
      <c r="I3156" s="2462">
        <v>9.3117844193037619E-2</v>
      </c>
      <c r="J3156" s="2462">
        <v>1623.799649598833</v>
      </c>
    </row>
    <row r="3157" spans="1:10" outlineLevel="2">
      <c r="A3157" s="2459" t="s">
        <v>1669</v>
      </c>
      <c r="B3157" s="2459" t="s">
        <v>1657</v>
      </c>
      <c r="C3157" s="2459" t="s">
        <v>1673</v>
      </c>
      <c r="D3157" s="2460" t="s">
        <v>1671</v>
      </c>
      <c r="E3157" s="2461" t="s">
        <v>1573</v>
      </c>
      <c r="F3157" s="2461" t="s">
        <v>1611</v>
      </c>
      <c r="G3157" s="2461" t="s">
        <v>1439</v>
      </c>
      <c r="H3157" s="2461" t="s">
        <v>1440</v>
      </c>
      <c r="I3157" s="2462">
        <v>0.22009409456699333</v>
      </c>
      <c r="J3157" s="2462">
        <v>10722.969621958462</v>
      </c>
    </row>
    <row r="3158" spans="1:10" outlineLevel="2">
      <c r="A3158" s="2459" t="s">
        <v>1669</v>
      </c>
      <c r="B3158" s="2459" t="s">
        <v>1657</v>
      </c>
      <c r="C3158" s="2459" t="s">
        <v>1673</v>
      </c>
      <c r="D3158" s="2460" t="s">
        <v>1671</v>
      </c>
      <c r="E3158" s="2461" t="s">
        <v>1573</v>
      </c>
      <c r="F3158" s="2461" t="s">
        <v>1612</v>
      </c>
      <c r="G3158" s="2461" t="s">
        <v>1439</v>
      </c>
      <c r="H3158" s="2461" t="s">
        <v>1440</v>
      </c>
      <c r="I3158" s="2462">
        <v>3.7745198625914925E-2</v>
      </c>
      <c r="J3158" s="2462">
        <v>1263.4357494907467</v>
      </c>
    </row>
    <row r="3159" spans="1:10" outlineLevel="2">
      <c r="A3159" s="2459" t="s">
        <v>1669</v>
      </c>
      <c r="B3159" s="2459" t="s">
        <v>1657</v>
      </c>
      <c r="C3159" s="2459" t="s">
        <v>1673</v>
      </c>
      <c r="D3159" s="2460" t="s">
        <v>1671</v>
      </c>
      <c r="E3159" s="2461" t="s">
        <v>1573</v>
      </c>
      <c r="F3159" s="2461" t="s">
        <v>1613</v>
      </c>
      <c r="G3159" s="2461" t="s">
        <v>1439</v>
      </c>
      <c r="H3159" s="2461" t="s">
        <v>1440</v>
      </c>
      <c r="I3159" s="2462">
        <v>1.0612010115399228E-3</v>
      </c>
      <c r="J3159" s="2462">
        <v>32.081405871843408</v>
      </c>
    </row>
    <row r="3160" spans="1:10" outlineLevel="2">
      <c r="A3160" s="2459" t="s">
        <v>1669</v>
      </c>
      <c r="B3160" s="2459" t="s">
        <v>1657</v>
      </c>
      <c r="C3160" s="2459" t="s">
        <v>1673</v>
      </c>
      <c r="D3160" s="2460" t="s">
        <v>1671</v>
      </c>
      <c r="E3160" s="2461" t="s">
        <v>1573</v>
      </c>
      <c r="F3160" s="2461" t="s">
        <v>1614</v>
      </c>
      <c r="G3160" s="2461" t="s">
        <v>1418</v>
      </c>
      <c r="H3160" s="2461" t="s">
        <v>1452</v>
      </c>
      <c r="I3160" s="2462">
        <v>6.9521651951528032E-6</v>
      </c>
      <c r="J3160" s="2462">
        <v>5.9422956792680802E-2</v>
      </c>
    </row>
    <row r="3161" spans="1:10" outlineLevel="2">
      <c r="A3161" s="2459" t="s">
        <v>1669</v>
      </c>
      <c r="B3161" s="2459" t="s">
        <v>1657</v>
      </c>
      <c r="C3161" s="2459" t="s">
        <v>1673</v>
      </c>
      <c r="D3161" s="2460" t="s">
        <v>1671</v>
      </c>
      <c r="E3161" s="2461" t="s">
        <v>1573</v>
      </c>
      <c r="F3161" s="2461" t="s">
        <v>1615</v>
      </c>
      <c r="G3161" s="2461" t="s">
        <v>1418</v>
      </c>
      <c r="H3161" s="2461" t="s">
        <v>1452</v>
      </c>
      <c r="I3161" s="2462">
        <v>4.2053825991118669E-2</v>
      </c>
      <c r="J3161" s="2462">
        <v>2467.3715136260125</v>
      </c>
    </row>
    <row r="3162" spans="1:10" outlineLevel="2">
      <c r="A3162" s="2459" t="s">
        <v>1669</v>
      </c>
      <c r="B3162" s="2459" t="s">
        <v>1657</v>
      </c>
      <c r="C3162" s="2459" t="s">
        <v>1673</v>
      </c>
      <c r="D3162" s="2460" t="s">
        <v>1671</v>
      </c>
      <c r="E3162" s="2461" t="s">
        <v>1573</v>
      </c>
      <c r="F3162" s="2461" t="s">
        <v>1616</v>
      </c>
      <c r="G3162" s="2461" t="s">
        <v>1418</v>
      </c>
      <c r="H3162" s="2461" t="s">
        <v>1452</v>
      </c>
      <c r="I3162" s="2462">
        <v>2.0071873049639631E-3</v>
      </c>
      <c r="J3162" s="2462">
        <v>221.22086749603591</v>
      </c>
    </row>
    <row r="3163" spans="1:10" outlineLevel="2">
      <c r="A3163" s="2459" t="s">
        <v>1669</v>
      </c>
      <c r="B3163" s="2459" t="s">
        <v>1657</v>
      </c>
      <c r="C3163" s="2459" t="s">
        <v>1673</v>
      </c>
      <c r="D3163" s="2460" t="s">
        <v>1671</v>
      </c>
      <c r="E3163" s="2461" t="s">
        <v>1573</v>
      </c>
      <c r="F3163" s="2461" t="s">
        <v>1617</v>
      </c>
      <c r="G3163" s="2461" t="s">
        <v>1418</v>
      </c>
      <c r="H3163" s="2461" t="s">
        <v>1452</v>
      </c>
      <c r="I3163" s="2462">
        <v>1.5943232529656411E-5</v>
      </c>
      <c r="J3163" s="2462">
        <v>1.2244730130377606</v>
      </c>
    </row>
    <row r="3164" spans="1:10" outlineLevel="2">
      <c r="A3164" s="2459" t="s">
        <v>1669</v>
      </c>
      <c r="B3164" s="2459" t="s">
        <v>1657</v>
      </c>
      <c r="C3164" s="2459" t="s">
        <v>1673</v>
      </c>
      <c r="D3164" s="2460" t="s">
        <v>1671</v>
      </c>
      <c r="E3164" s="2461" t="s">
        <v>1573</v>
      </c>
      <c r="F3164" s="2461" t="s">
        <v>1618</v>
      </c>
      <c r="G3164" s="2461" t="s">
        <v>1418</v>
      </c>
      <c r="H3164" s="2461" t="s">
        <v>1452</v>
      </c>
      <c r="I3164" s="2462">
        <v>3.1079045307301204E-6</v>
      </c>
      <c r="J3164" s="2462">
        <v>0.25722439550407628</v>
      </c>
    </row>
    <row r="3165" spans="1:10" outlineLevel="2">
      <c r="A3165" s="2459" t="s">
        <v>1669</v>
      </c>
      <c r="B3165" s="2459" t="s">
        <v>1657</v>
      </c>
      <c r="C3165" s="2459" t="s">
        <v>1673</v>
      </c>
      <c r="D3165" s="2460" t="s">
        <v>1671</v>
      </c>
      <c r="E3165" s="2461" t="s">
        <v>1573</v>
      </c>
      <c r="F3165" s="2461" t="s">
        <v>1619</v>
      </c>
      <c r="G3165" s="2461" t="s">
        <v>1418</v>
      </c>
      <c r="H3165" s="2461" t="s">
        <v>1452</v>
      </c>
      <c r="I3165" s="2462">
        <v>2.0403364622735296E-4</v>
      </c>
      <c r="J3165" s="2462">
        <v>18.760493347415032</v>
      </c>
    </row>
    <row r="3166" spans="1:10" outlineLevel="2">
      <c r="A3166" s="2459" t="s">
        <v>1669</v>
      </c>
      <c r="B3166" s="2459" t="s">
        <v>1657</v>
      </c>
      <c r="C3166" s="2459" t="s">
        <v>1673</v>
      </c>
      <c r="D3166" s="2460" t="s">
        <v>1671</v>
      </c>
      <c r="E3166" s="2461" t="s">
        <v>1573</v>
      </c>
      <c r="F3166" s="2461" t="s">
        <v>1620</v>
      </c>
      <c r="G3166" s="2461" t="s">
        <v>1418</v>
      </c>
      <c r="H3166" s="2461" t="s">
        <v>1452</v>
      </c>
      <c r="I3166" s="2462">
        <v>4.313793930659258E-7</v>
      </c>
      <c r="J3166" s="2462">
        <v>5.1904496364726958E-2</v>
      </c>
    </row>
    <row r="3167" spans="1:10" outlineLevel="2">
      <c r="A3167" s="2459" t="s">
        <v>1669</v>
      </c>
      <c r="B3167" s="2459" t="s">
        <v>1657</v>
      </c>
      <c r="C3167" s="2459" t="s">
        <v>1673</v>
      </c>
      <c r="D3167" s="2460" t="s">
        <v>1671</v>
      </c>
      <c r="E3167" s="2461" t="s">
        <v>1573</v>
      </c>
      <c r="F3167" s="2461" t="s">
        <v>1621</v>
      </c>
      <c r="G3167" s="2461" t="s">
        <v>1418</v>
      </c>
      <c r="H3167" s="2461" t="s">
        <v>1452</v>
      </c>
      <c r="I3167" s="2462">
        <v>1.8364305717965664E-4</v>
      </c>
      <c r="J3167" s="2462">
        <v>17.346557086578926</v>
      </c>
    </row>
    <row r="3168" spans="1:10" outlineLevel="2">
      <c r="A3168" s="2459" t="s">
        <v>1669</v>
      </c>
      <c r="B3168" s="2459" t="s">
        <v>1657</v>
      </c>
      <c r="C3168" s="2459" t="s">
        <v>1673</v>
      </c>
      <c r="D3168" s="2460" t="s">
        <v>1671</v>
      </c>
      <c r="E3168" s="2461" t="s">
        <v>1573</v>
      </c>
      <c r="F3168" s="2461" t="s">
        <v>1622</v>
      </c>
      <c r="G3168" s="2461" t="s">
        <v>1418</v>
      </c>
      <c r="H3168" s="2461" t="s">
        <v>1452</v>
      </c>
      <c r="I3168" s="2462">
        <v>5.4297328311837844E-4</v>
      </c>
      <c r="J3168" s="2462">
        <v>48.272616251376043</v>
      </c>
    </row>
    <row r="3169" spans="1:10" outlineLevel="2">
      <c r="A3169" s="2459" t="s">
        <v>1669</v>
      </c>
      <c r="B3169" s="2459" t="s">
        <v>1657</v>
      </c>
      <c r="C3169" s="2459" t="s">
        <v>1673</v>
      </c>
      <c r="D3169" s="2460" t="s">
        <v>1671</v>
      </c>
      <c r="E3169" s="2461" t="s">
        <v>1573</v>
      </c>
      <c r="F3169" s="2461" t="s">
        <v>1623</v>
      </c>
      <c r="G3169" s="2461" t="s">
        <v>1418</v>
      </c>
      <c r="H3169" s="2461" t="s">
        <v>1452</v>
      </c>
      <c r="I3169" s="2462">
        <v>8.2348343764655709E-4</v>
      </c>
      <c r="J3169" s="2462">
        <v>35.594859500057652</v>
      </c>
    </row>
    <row r="3170" spans="1:10" outlineLevel="2">
      <c r="A3170" s="2459" t="s">
        <v>1669</v>
      </c>
      <c r="B3170" s="2459" t="s">
        <v>1657</v>
      </c>
      <c r="C3170" s="2459" t="s">
        <v>1673</v>
      </c>
      <c r="D3170" s="2460" t="s">
        <v>1671</v>
      </c>
      <c r="E3170" s="2461" t="s">
        <v>1573</v>
      </c>
      <c r="F3170" s="2461" t="s">
        <v>1624</v>
      </c>
      <c r="G3170" s="2461" t="s">
        <v>1421</v>
      </c>
      <c r="H3170" s="2461" t="s">
        <v>1454</v>
      </c>
      <c r="I3170" s="2462">
        <v>0.15836197172530131</v>
      </c>
      <c r="J3170" s="2462">
        <v>5790.8175792188167</v>
      </c>
    </row>
    <row r="3171" spans="1:10" outlineLevel="2">
      <c r="A3171" s="2459" t="s">
        <v>1669</v>
      </c>
      <c r="B3171" s="2459" t="s">
        <v>1657</v>
      </c>
      <c r="C3171" s="2459" t="s">
        <v>1673</v>
      </c>
      <c r="D3171" s="2460" t="s">
        <v>1671</v>
      </c>
      <c r="E3171" s="2461" t="s">
        <v>1573</v>
      </c>
      <c r="F3171" s="2461" t="s">
        <v>1625</v>
      </c>
      <c r="G3171" s="2461" t="s">
        <v>1421</v>
      </c>
      <c r="H3171" s="2461" t="s">
        <v>1454</v>
      </c>
      <c r="I3171" s="2462">
        <v>3.7346622484413061E-2</v>
      </c>
      <c r="J3171" s="2462">
        <v>1366.7385792248795</v>
      </c>
    </row>
    <row r="3172" spans="1:10" outlineLevel="2">
      <c r="A3172" s="2459" t="s">
        <v>1669</v>
      </c>
      <c r="B3172" s="2459" t="s">
        <v>1657</v>
      </c>
      <c r="C3172" s="2459" t="s">
        <v>1673</v>
      </c>
      <c r="D3172" s="2460" t="s">
        <v>1671</v>
      </c>
      <c r="E3172" s="2461" t="s">
        <v>1573</v>
      </c>
      <c r="F3172" s="2461" t="s">
        <v>1626</v>
      </c>
      <c r="G3172" s="2461" t="s">
        <v>1421</v>
      </c>
      <c r="H3172" s="2461" t="s">
        <v>1454</v>
      </c>
      <c r="I3172" s="2462">
        <v>0.10481628274995428</v>
      </c>
      <c r="J3172" s="2462">
        <v>3791.8491599067211</v>
      </c>
    </row>
    <row r="3173" spans="1:10" outlineLevel="2">
      <c r="A3173" s="2459" t="s">
        <v>1669</v>
      </c>
      <c r="B3173" s="2459" t="s">
        <v>1657</v>
      </c>
      <c r="C3173" s="2459" t="s">
        <v>1673</v>
      </c>
      <c r="D3173" s="2460" t="s">
        <v>1671</v>
      </c>
      <c r="E3173" s="2461" t="s">
        <v>1573</v>
      </c>
      <c r="F3173" s="2461" t="s">
        <v>1627</v>
      </c>
      <c r="G3173" s="2461" t="s">
        <v>1421</v>
      </c>
      <c r="H3173" s="2461" t="s">
        <v>1454</v>
      </c>
      <c r="I3173" s="2462">
        <v>8.8508593663727569E-2</v>
      </c>
      <c r="J3173" s="2462">
        <v>1925.2378485679487</v>
      </c>
    </row>
    <row r="3174" spans="1:10" outlineLevel="2">
      <c r="A3174" s="2459" t="s">
        <v>1669</v>
      </c>
      <c r="B3174" s="2459" t="s">
        <v>1657</v>
      </c>
      <c r="C3174" s="2459" t="s">
        <v>1673</v>
      </c>
      <c r="D3174" s="2460" t="s">
        <v>1671</v>
      </c>
      <c r="E3174" s="2461" t="s">
        <v>1573</v>
      </c>
      <c r="F3174" s="2461" t="s">
        <v>1628</v>
      </c>
      <c r="G3174" s="2461" t="s">
        <v>1421</v>
      </c>
      <c r="H3174" s="2461" t="s">
        <v>1454</v>
      </c>
      <c r="I3174" s="2462">
        <v>4.4028065605107901E-3</v>
      </c>
      <c r="J3174" s="2462">
        <v>185.15958518344112</v>
      </c>
    </row>
    <row r="3175" spans="1:10" outlineLevel="2">
      <c r="A3175" s="2459" t="s">
        <v>1669</v>
      </c>
      <c r="B3175" s="2459" t="s">
        <v>1657</v>
      </c>
      <c r="C3175" s="2459" t="s">
        <v>1673</v>
      </c>
      <c r="D3175" s="2460" t="s">
        <v>1671</v>
      </c>
      <c r="E3175" s="2461" t="s">
        <v>1573</v>
      </c>
      <c r="F3175" s="2461" t="s">
        <v>1629</v>
      </c>
      <c r="G3175" s="2461" t="s">
        <v>1421</v>
      </c>
      <c r="H3175" s="2461" t="s">
        <v>1454</v>
      </c>
      <c r="I3175" s="2462">
        <v>5.0935448279832499E-3</v>
      </c>
      <c r="J3175" s="2462">
        <v>163.8810727313155</v>
      </c>
    </row>
    <row r="3176" spans="1:10" outlineLevel="2">
      <c r="A3176" s="2459" t="s">
        <v>1669</v>
      </c>
      <c r="B3176" s="2459" t="s">
        <v>1657</v>
      </c>
      <c r="C3176" s="2459" t="s">
        <v>1673</v>
      </c>
      <c r="D3176" s="2460" t="s">
        <v>1671</v>
      </c>
      <c r="E3176" s="2461" t="s">
        <v>1573</v>
      </c>
      <c r="F3176" s="2461" t="s">
        <v>1630</v>
      </c>
      <c r="G3176" s="2461" t="s">
        <v>1459</v>
      </c>
      <c r="H3176" s="2461" t="s">
        <v>1460</v>
      </c>
      <c r="I3176" s="2462">
        <v>1.4163327927611054E-3</v>
      </c>
      <c r="J3176" s="2462">
        <v>92.823418399590793</v>
      </c>
    </row>
    <row r="3177" spans="1:10" outlineLevel="2">
      <c r="A3177" s="2459" t="s">
        <v>1669</v>
      </c>
      <c r="B3177" s="2459" t="s">
        <v>1657</v>
      </c>
      <c r="C3177" s="2459" t="s">
        <v>1673</v>
      </c>
      <c r="D3177" s="2460" t="s">
        <v>1671</v>
      </c>
      <c r="E3177" s="2461" t="s">
        <v>1573</v>
      </c>
      <c r="F3177" s="2461" t="s">
        <v>1633</v>
      </c>
      <c r="G3177" s="2461" t="s">
        <v>215</v>
      </c>
      <c r="H3177" s="2461" t="s">
        <v>1537</v>
      </c>
      <c r="I3177" s="2462">
        <v>8.6014984218840823E-3</v>
      </c>
      <c r="J3177" s="2462">
        <v>191.76326814632404</v>
      </c>
    </row>
    <row r="3178" spans="1:10" outlineLevel="2">
      <c r="A3178" s="2459" t="s">
        <v>1669</v>
      </c>
      <c r="B3178" s="2459" t="s">
        <v>1657</v>
      </c>
      <c r="C3178" s="2459" t="s">
        <v>1673</v>
      </c>
      <c r="D3178" s="2460" t="s">
        <v>1676</v>
      </c>
      <c r="E3178" s="2461" t="s">
        <v>213</v>
      </c>
      <c r="F3178" s="2461" t="s">
        <v>1635</v>
      </c>
      <c r="G3178" s="2461" t="s">
        <v>1636</v>
      </c>
      <c r="H3178" s="2461" t="s">
        <v>1637</v>
      </c>
      <c r="I3178" s="2462">
        <v>6.3704189524584434E-5</v>
      </c>
      <c r="J3178" s="2462">
        <v>0.21510154564917389</v>
      </c>
    </row>
    <row r="3179" spans="1:10" outlineLevel="2">
      <c r="A3179" s="2459" t="s">
        <v>1669</v>
      </c>
      <c r="B3179" s="2459" t="s">
        <v>1657</v>
      </c>
      <c r="C3179" s="2459" t="s">
        <v>1673</v>
      </c>
      <c r="D3179" s="2460" t="s">
        <v>1676</v>
      </c>
      <c r="E3179" s="2461" t="s">
        <v>1538</v>
      </c>
      <c r="F3179" s="2461" t="s">
        <v>1638</v>
      </c>
      <c r="G3179" s="2461" t="s">
        <v>1636</v>
      </c>
      <c r="H3179" s="2461" t="s">
        <v>1540</v>
      </c>
      <c r="I3179" s="2462">
        <v>7.1608866500840544E-6</v>
      </c>
      <c r="J3179" s="2462">
        <v>0.1200194969554535</v>
      </c>
    </row>
    <row r="3180" spans="1:10" outlineLevel="2">
      <c r="A3180" s="2459" t="s">
        <v>1669</v>
      </c>
      <c r="B3180" s="2459" t="s">
        <v>1657</v>
      </c>
      <c r="C3180" s="2459" t="s">
        <v>1673</v>
      </c>
      <c r="D3180" s="2460" t="s">
        <v>1676</v>
      </c>
      <c r="E3180" s="2461" t="s">
        <v>1573</v>
      </c>
      <c r="F3180" s="2461" t="s">
        <v>1639</v>
      </c>
      <c r="G3180" s="2461" t="s">
        <v>1636</v>
      </c>
      <c r="H3180" s="2461" t="s">
        <v>1637</v>
      </c>
      <c r="I3180" s="2462">
        <v>1.2465328485595503E-4</v>
      </c>
      <c r="J3180" s="2462">
        <v>6.6385298852315184</v>
      </c>
    </row>
    <row r="3181" spans="1:10" outlineLevel="2">
      <c r="A3181" s="2459" t="s">
        <v>1669</v>
      </c>
      <c r="B3181" s="2459" t="s">
        <v>1658</v>
      </c>
      <c r="C3181" s="2459" t="s">
        <v>1673</v>
      </c>
      <c r="D3181" s="2460" t="s">
        <v>1671</v>
      </c>
      <c r="E3181" s="2461" t="s">
        <v>1407</v>
      </c>
      <c r="F3181" s="2461" t="s">
        <v>1408</v>
      </c>
      <c r="G3181" s="2461" t="s">
        <v>1409</v>
      </c>
      <c r="H3181" s="2461" t="s">
        <v>1410</v>
      </c>
      <c r="I3181" s="2462">
        <v>4.0421014173807529E-2</v>
      </c>
      <c r="J3181" s="2462">
        <v>0.59460235688248997</v>
      </c>
    </row>
    <row r="3182" spans="1:10" outlineLevel="2">
      <c r="A3182" s="2459" t="s">
        <v>1669</v>
      </c>
      <c r="B3182" s="2459" t="s">
        <v>1658</v>
      </c>
      <c r="C3182" s="2459" t="s">
        <v>1673</v>
      </c>
      <c r="D3182" s="2460" t="s">
        <v>1671</v>
      </c>
      <c r="E3182" s="2461" t="s">
        <v>1407</v>
      </c>
      <c r="F3182" s="2461" t="s">
        <v>1411</v>
      </c>
      <c r="G3182" s="2461" t="s">
        <v>1412</v>
      </c>
      <c r="H3182" s="2461" t="s">
        <v>1410</v>
      </c>
      <c r="I3182" s="2462">
        <v>4.6078162052739682</v>
      </c>
      <c r="J3182" s="2462">
        <v>748.28181100962297</v>
      </c>
    </row>
    <row r="3183" spans="1:10" outlineLevel="2">
      <c r="A3183" s="2459" t="s">
        <v>1669</v>
      </c>
      <c r="B3183" s="2459" t="s">
        <v>1658</v>
      </c>
      <c r="C3183" s="2459" t="s">
        <v>1673</v>
      </c>
      <c r="D3183" s="2460" t="s">
        <v>1671</v>
      </c>
      <c r="E3183" s="2461" t="s">
        <v>1407</v>
      </c>
      <c r="F3183" s="2461" t="s">
        <v>1413</v>
      </c>
      <c r="G3183" s="2461" t="s">
        <v>1412</v>
      </c>
      <c r="H3183" s="2461" t="s">
        <v>1410</v>
      </c>
      <c r="I3183" s="2462">
        <v>3.7420033356480452E-3</v>
      </c>
      <c r="J3183" s="2462">
        <v>0.63392703716829113</v>
      </c>
    </row>
    <row r="3184" spans="1:10" outlineLevel="2">
      <c r="A3184" s="2459" t="s">
        <v>1669</v>
      </c>
      <c r="B3184" s="2459" t="s">
        <v>1658</v>
      </c>
      <c r="C3184" s="2459" t="s">
        <v>1673</v>
      </c>
      <c r="D3184" s="2460" t="s">
        <v>1671</v>
      </c>
      <c r="E3184" s="2461" t="s">
        <v>1407</v>
      </c>
      <c r="F3184" s="2461" t="s">
        <v>1414</v>
      </c>
      <c r="G3184" s="2461" t="s">
        <v>1412</v>
      </c>
      <c r="H3184" s="2461" t="s">
        <v>1410</v>
      </c>
      <c r="I3184" s="2462">
        <v>1.8804548888329928E-3</v>
      </c>
      <c r="J3184" s="2462">
        <v>0.34544714325722609</v>
      </c>
    </row>
    <row r="3185" spans="1:10" outlineLevel="2">
      <c r="A3185" s="2459" t="s">
        <v>1669</v>
      </c>
      <c r="B3185" s="2459" t="s">
        <v>1658</v>
      </c>
      <c r="C3185" s="2459" t="s">
        <v>1673</v>
      </c>
      <c r="D3185" s="2460" t="s">
        <v>1671</v>
      </c>
      <c r="E3185" s="2461" t="s">
        <v>1407</v>
      </c>
      <c r="F3185" s="2461" t="s">
        <v>1415</v>
      </c>
      <c r="G3185" s="2461" t="s">
        <v>1412</v>
      </c>
      <c r="H3185" s="2461" t="s">
        <v>1410</v>
      </c>
      <c r="I3185" s="2462">
        <v>3.5048588247905132E-2</v>
      </c>
      <c r="J3185" s="2462">
        <v>5.5829291038696107</v>
      </c>
    </row>
    <row r="3186" spans="1:10" outlineLevel="2">
      <c r="A3186" s="2459" t="s">
        <v>1669</v>
      </c>
      <c r="B3186" s="2459" t="s">
        <v>1658</v>
      </c>
      <c r="C3186" s="2459" t="s">
        <v>1673</v>
      </c>
      <c r="D3186" s="2460" t="s">
        <v>1671</v>
      </c>
      <c r="E3186" s="2461" t="s">
        <v>1407</v>
      </c>
      <c r="F3186" s="2461" t="s">
        <v>1416</v>
      </c>
      <c r="G3186" s="2461" t="s">
        <v>1412</v>
      </c>
      <c r="H3186" s="2461" t="s">
        <v>1410</v>
      </c>
      <c r="I3186" s="2462">
        <v>1.7212262873829404E-2</v>
      </c>
      <c r="J3186" s="2462">
        <v>4.2340689619043301</v>
      </c>
    </row>
    <row r="3187" spans="1:10" outlineLevel="2">
      <c r="A3187" s="2459" t="s">
        <v>1669</v>
      </c>
      <c r="B3187" s="2459" t="s">
        <v>1658</v>
      </c>
      <c r="C3187" s="2459" t="s">
        <v>1673</v>
      </c>
      <c r="D3187" s="2460" t="s">
        <v>1671</v>
      </c>
      <c r="E3187" s="2461" t="s">
        <v>1407</v>
      </c>
      <c r="F3187" s="2461" t="s">
        <v>1417</v>
      </c>
      <c r="G3187" s="2461" t="s">
        <v>1418</v>
      </c>
      <c r="H3187" s="2461" t="s">
        <v>1410</v>
      </c>
      <c r="I3187" s="2462">
        <v>1.6332856882179808E-3</v>
      </c>
      <c r="J3187" s="2462">
        <v>2.1694786379843893E-2</v>
      </c>
    </row>
    <row r="3188" spans="1:10" outlineLevel="2">
      <c r="A3188" s="2459" t="s">
        <v>1669</v>
      </c>
      <c r="B3188" s="2459" t="s">
        <v>1658</v>
      </c>
      <c r="C3188" s="2459" t="s">
        <v>1673</v>
      </c>
      <c r="D3188" s="2460" t="s">
        <v>1671</v>
      </c>
      <c r="E3188" s="2461" t="s">
        <v>1407</v>
      </c>
      <c r="F3188" s="2461" t="s">
        <v>1419</v>
      </c>
      <c r="G3188" s="2461" t="s">
        <v>1418</v>
      </c>
      <c r="H3188" s="2461" t="s">
        <v>1410</v>
      </c>
      <c r="I3188" s="2462">
        <v>1.2123619174310776E-2</v>
      </c>
      <c r="J3188" s="2462">
        <v>2.3545234634240324</v>
      </c>
    </row>
    <row r="3189" spans="1:10" outlineLevel="2">
      <c r="A3189" s="2459" t="s">
        <v>1669</v>
      </c>
      <c r="B3189" s="2459" t="s">
        <v>1658</v>
      </c>
      <c r="C3189" s="2459" t="s">
        <v>1673</v>
      </c>
      <c r="D3189" s="2460" t="s">
        <v>1671</v>
      </c>
      <c r="E3189" s="2461" t="s">
        <v>1407</v>
      </c>
      <c r="F3189" s="2461" t="s">
        <v>1420</v>
      </c>
      <c r="G3189" s="2461" t="s">
        <v>1421</v>
      </c>
      <c r="H3189" s="2461" t="s">
        <v>1410</v>
      </c>
      <c r="I3189" s="2462">
        <v>6.7424761315235706</v>
      </c>
      <c r="J3189" s="2462">
        <v>174.9852192274478</v>
      </c>
    </row>
    <row r="3190" spans="1:10" outlineLevel="2">
      <c r="A3190" s="2459" t="s">
        <v>1669</v>
      </c>
      <c r="B3190" s="2459" t="s">
        <v>1658</v>
      </c>
      <c r="C3190" s="2459" t="s">
        <v>1673</v>
      </c>
      <c r="D3190" s="2460" t="s">
        <v>1671</v>
      </c>
      <c r="E3190" s="2461" t="s">
        <v>1407</v>
      </c>
      <c r="F3190" s="2461" t="s">
        <v>1422</v>
      </c>
      <c r="G3190" s="2461" t="s">
        <v>1421</v>
      </c>
      <c r="H3190" s="2461" t="s">
        <v>1410</v>
      </c>
      <c r="I3190" s="2462">
        <v>0.2038915353353257</v>
      </c>
      <c r="J3190" s="2462">
        <v>8.3540925007024711</v>
      </c>
    </row>
    <row r="3191" spans="1:10" outlineLevel="2">
      <c r="A3191" s="2459" t="s">
        <v>1669</v>
      </c>
      <c r="B3191" s="2459" t="s">
        <v>1658</v>
      </c>
      <c r="C3191" s="2459" t="s">
        <v>1673</v>
      </c>
      <c r="D3191" s="2460" t="s">
        <v>1671</v>
      </c>
      <c r="E3191" s="2461" t="s">
        <v>1407</v>
      </c>
      <c r="F3191" s="2461" t="s">
        <v>1423</v>
      </c>
      <c r="G3191" s="2461" t="s">
        <v>1421</v>
      </c>
      <c r="H3191" s="2461" t="s">
        <v>1410</v>
      </c>
      <c r="I3191" s="2462">
        <v>0.1059778371571541</v>
      </c>
      <c r="J3191" s="2462">
        <v>12.212731635004973</v>
      </c>
    </row>
    <row r="3192" spans="1:10" outlineLevel="2">
      <c r="A3192" s="2459" t="s">
        <v>1669</v>
      </c>
      <c r="B3192" s="2459" t="s">
        <v>1658</v>
      </c>
      <c r="C3192" s="2459" t="s">
        <v>1673</v>
      </c>
      <c r="D3192" s="2460" t="s">
        <v>1671</v>
      </c>
      <c r="E3192" s="2461" t="s">
        <v>1407</v>
      </c>
      <c r="F3192" s="2461" t="s">
        <v>1424</v>
      </c>
      <c r="G3192" s="2461" t="s">
        <v>1421</v>
      </c>
      <c r="H3192" s="2461" t="s">
        <v>1410</v>
      </c>
      <c r="I3192" s="2462">
        <v>2.0724531550694261</v>
      </c>
      <c r="J3192" s="2462">
        <v>433.69274428507572</v>
      </c>
    </row>
    <row r="3193" spans="1:10" outlineLevel="2">
      <c r="A3193" s="2459" t="s">
        <v>1669</v>
      </c>
      <c r="B3193" s="2459" t="s">
        <v>1658</v>
      </c>
      <c r="C3193" s="2459" t="s">
        <v>1673</v>
      </c>
      <c r="D3193" s="2460" t="s">
        <v>1671</v>
      </c>
      <c r="E3193" s="2461" t="s">
        <v>213</v>
      </c>
      <c r="F3193" s="2461" t="s">
        <v>1425</v>
      </c>
      <c r="G3193" s="2461" t="s">
        <v>1426</v>
      </c>
      <c r="H3193" s="2461" t="s">
        <v>1427</v>
      </c>
      <c r="I3193" s="2462">
        <v>0.62709222247279706</v>
      </c>
      <c r="J3193" s="2462">
        <v>180.18387379956295</v>
      </c>
    </row>
    <row r="3194" spans="1:10" outlineLevel="2">
      <c r="A3194" s="2459" t="s">
        <v>1669</v>
      </c>
      <c r="B3194" s="2459" t="s">
        <v>1658</v>
      </c>
      <c r="C3194" s="2459" t="s">
        <v>1673</v>
      </c>
      <c r="D3194" s="2460" t="s">
        <v>1671</v>
      </c>
      <c r="E3194" s="2461" t="s">
        <v>213</v>
      </c>
      <c r="F3194" s="2461" t="s">
        <v>1428</v>
      </c>
      <c r="G3194" s="2461" t="s">
        <v>1426</v>
      </c>
      <c r="H3194" s="2461" t="s">
        <v>1427</v>
      </c>
      <c r="I3194" s="2462">
        <v>0.19155200138827844</v>
      </c>
      <c r="J3194" s="2462">
        <v>77.381798849913579</v>
      </c>
    </row>
    <row r="3195" spans="1:10" outlineLevel="2">
      <c r="A3195" s="2459" t="s">
        <v>1669</v>
      </c>
      <c r="B3195" s="2459" t="s">
        <v>1658</v>
      </c>
      <c r="C3195" s="2459" t="s">
        <v>1673</v>
      </c>
      <c r="D3195" s="2460" t="s">
        <v>1671</v>
      </c>
      <c r="E3195" s="2461" t="s">
        <v>213</v>
      </c>
      <c r="F3195" s="2461" t="s">
        <v>1429</v>
      </c>
      <c r="G3195" s="2461" t="s">
        <v>1426</v>
      </c>
      <c r="H3195" s="2461" t="s">
        <v>1427</v>
      </c>
      <c r="I3195" s="2462">
        <v>8.7185679491838947E-2</v>
      </c>
      <c r="J3195" s="2462">
        <v>112.12724707176623</v>
      </c>
    </row>
    <row r="3196" spans="1:10" outlineLevel="2">
      <c r="A3196" s="2459" t="s">
        <v>1669</v>
      </c>
      <c r="B3196" s="2459" t="s">
        <v>1658</v>
      </c>
      <c r="C3196" s="2459" t="s">
        <v>1673</v>
      </c>
      <c r="D3196" s="2460" t="s">
        <v>1671</v>
      </c>
      <c r="E3196" s="2461" t="s">
        <v>213</v>
      </c>
      <c r="F3196" s="2461" t="s">
        <v>1430</v>
      </c>
      <c r="G3196" s="2461" t="s">
        <v>1409</v>
      </c>
      <c r="H3196" s="2461" t="s">
        <v>1070</v>
      </c>
      <c r="I3196" s="2462">
        <v>0.12494357960790509</v>
      </c>
      <c r="J3196" s="2462">
        <v>77.524990973999266</v>
      </c>
    </row>
    <row r="3197" spans="1:10" outlineLevel="2">
      <c r="A3197" s="2459" t="s">
        <v>1669</v>
      </c>
      <c r="B3197" s="2459" t="s">
        <v>1658</v>
      </c>
      <c r="C3197" s="2459" t="s">
        <v>1673</v>
      </c>
      <c r="D3197" s="2460" t="s">
        <v>1671</v>
      </c>
      <c r="E3197" s="2461" t="s">
        <v>213</v>
      </c>
      <c r="F3197" s="2461" t="s">
        <v>1431</v>
      </c>
      <c r="G3197" s="2461" t="s">
        <v>1409</v>
      </c>
      <c r="H3197" s="2461" t="s">
        <v>1070</v>
      </c>
      <c r="I3197" s="2462">
        <v>1.0368989171185223E-2</v>
      </c>
      <c r="J3197" s="2462">
        <v>5.0217692840118318</v>
      </c>
    </row>
    <row r="3198" spans="1:10" outlineLevel="2">
      <c r="A3198" s="2459" t="s">
        <v>1669</v>
      </c>
      <c r="B3198" s="2459" t="s">
        <v>1658</v>
      </c>
      <c r="C3198" s="2459" t="s">
        <v>1673</v>
      </c>
      <c r="D3198" s="2460" t="s">
        <v>1671</v>
      </c>
      <c r="E3198" s="2461" t="s">
        <v>213</v>
      </c>
      <c r="F3198" s="2461" t="s">
        <v>1432</v>
      </c>
      <c r="G3198" s="2461" t="s">
        <v>1409</v>
      </c>
      <c r="H3198" s="2461" t="s">
        <v>1070</v>
      </c>
      <c r="I3198" s="2462">
        <v>1.2565860100825802E-2</v>
      </c>
      <c r="J3198" s="2462">
        <v>6.0024387973027062</v>
      </c>
    </row>
    <row r="3199" spans="1:10" outlineLevel="2">
      <c r="A3199" s="2459" t="s">
        <v>1669</v>
      </c>
      <c r="B3199" s="2459" t="s">
        <v>1658</v>
      </c>
      <c r="C3199" s="2459" t="s">
        <v>1673</v>
      </c>
      <c r="D3199" s="2460" t="s">
        <v>1671</v>
      </c>
      <c r="E3199" s="2461" t="s">
        <v>213</v>
      </c>
      <c r="F3199" s="2461" t="s">
        <v>1433</v>
      </c>
      <c r="G3199" s="2461" t="s">
        <v>1409</v>
      </c>
      <c r="H3199" s="2461" t="s">
        <v>1070</v>
      </c>
      <c r="I3199" s="2462">
        <v>9.2929901590481625E-5</v>
      </c>
      <c r="J3199" s="2462">
        <v>4.1590460286357073E-2</v>
      </c>
    </row>
    <row r="3200" spans="1:10" outlineLevel="2">
      <c r="A3200" s="2459" t="s">
        <v>1669</v>
      </c>
      <c r="B3200" s="2459" t="s">
        <v>1658</v>
      </c>
      <c r="C3200" s="2459" t="s">
        <v>1673</v>
      </c>
      <c r="D3200" s="2460" t="s">
        <v>1671</v>
      </c>
      <c r="E3200" s="2461" t="s">
        <v>213</v>
      </c>
      <c r="F3200" s="2461" t="s">
        <v>1434</v>
      </c>
      <c r="G3200" s="2461" t="s">
        <v>1409</v>
      </c>
      <c r="H3200" s="2461" t="s">
        <v>1070</v>
      </c>
      <c r="I3200" s="2462">
        <v>0.35820014550586882</v>
      </c>
      <c r="J3200" s="2462">
        <v>200.01305134523619</v>
      </c>
    </row>
    <row r="3201" spans="1:10" outlineLevel="2">
      <c r="A3201" s="2459" t="s">
        <v>1669</v>
      </c>
      <c r="B3201" s="2459" t="s">
        <v>1658</v>
      </c>
      <c r="C3201" s="2459" t="s">
        <v>1673</v>
      </c>
      <c r="D3201" s="2460" t="s">
        <v>1671</v>
      </c>
      <c r="E3201" s="2461" t="s">
        <v>213</v>
      </c>
      <c r="F3201" s="2461" t="s">
        <v>1435</v>
      </c>
      <c r="G3201" s="2461" t="s">
        <v>1409</v>
      </c>
      <c r="H3201" s="2461" t="s">
        <v>1070</v>
      </c>
      <c r="I3201" s="2462">
        <v>2.6190426262960166E-3</v>
      </c>
      <c r="J3201" s="2462">
        <v>1.1721424297892087</v>
      </c>
    </row>
    <row r="3202" spans="1:10" outlineLevel="2">
      <c r="A3202" s="2459" t="s">
        <v>1669</v>
      </c>
      <c r="B3202" s="2459" t="s">
        <v>1658</v>
      </c>
      <c r="C3202" s="2459" t="s">
        <v>1673</v>
      </c>
      <c r="D3202" s="2460" t="s">
        <v>1671</v>
      </c>
      <c r="E3202" s="2461" t="s">
        <v>213</v>
      </c>
      <c r="F3202" s="2461" t="s">
        <v>1436</v>
      </c>
      <c r="G3202" s="2461" t="s">
        <v>1412</v>
      </c>
      <c r="H3202" s="2461" t="s">
        <v>1116</v>
      </c>
      <c r="I3202" s="2462">
        <v>4.5635771235632127E-3</v>
      </c>
      <c r="J3202" s="2462">
        <v>2.04241324617163</v>
      </c>
    </row>
    <row r="3203" spans="1:10" outlineLevel="2">
      <c r="A3203" s="2459" t="s">
        <v>1669</v>
      </c>
      <c r="B3203" s="2459" t="s">
        <v>1658</v>
      </c>
      <c r="C3203" s="2459" t="s">
        <v>1673</v>
      </c>
      <c r="D3203" s="2460" t="s">
        <v>1671</v>
      </c>
      <c r="E3203" s="2461" t="s">
        <v>213</v>
      </c>
      <c r="F3203" s="2461" t="s">
        <v>1437</v>
      </c>
      <c r="G3203" s="2461" t="s">
        <v>1412</v>
      </c>
      <c r="H3203" s="2461" t="s">
        <v>1116</v>
      </c>
      <c r="I3203" s="2462">
        <v>3.4921105823403547E-4</v>
      </c>
      <c r="J3203" s="2462">
        <v>0.15628824602946673</v>
      </c>
    </row>
    <row r="3204" spans="1:10" outlineLevel="2">
      <c r="A3204" s="2459" t="s">
        <v>1669</v>
      </c>
      <c r="B3204" s="2459" t="s">
        <v>1658</v>
      </c>
      <c r="C3204" s="2459" t="s">
        <v>1673</v>
      </c>
      <c r="D3204" s="2460" t="s">
        <v>1671</v>
      </c>
      <c r="E3204" s="2461" t="s">
        <v>213</v>
      </c>
      <c r="F3204" s="2461" t="s">
        <v>1438</v>
      </c>
      <c r="G3204" s="2461" t="s">
        <v>1439</v>
      </c>
      <c r="H3204" s="2461" t="s">
        <v>1440</v>
      </c>
      <c r="I3204" s="2462">
        <v>4.9018181259429951E-2</v>
      </c>
      <c r="J3204" s="2462">
        <v>26.845602933752108</v>
      </c>
    </row>
    <row r="3205" spans="1:10" outlineLevel="2">
      <c r="A3205" s="2459" t="s">
        <v>1669</v>
      </c>
      <c r="B3205" s="2459" t="s">
        <v>1658</v>
      </c>
      <c r="C3205" s="2459" t="s">
        <v>1673</v>
      </c>
      <c r="D3205" s="2460" t="s">
        <v>1671</v>
      </c>
      <c r="E3205" s="2461" t="s">
        <v>213</v>
      </c>
      <c r="F3205" s="2461" t="s">
        <v>1441</v>
      </c>
      <c r="G3205" s="2461" t="s">
        <v>1439</v>
      </c>
      <c r="H3205" s="2461" t="s">
        <v>1440</v>
      </c>
      <c r="I3205" s="2462">
        <v>0.37166364609464481</v>
      </c>
      <c r="J3205" s="2462">
        <v>199.74894150745948</v>
      </c>
    </row>
    <row r="3206" spans="1:10" outlineLevel="2">
      <c r="A3206" s="2459" t="s">
        <v>1669</v>
      </c>
      <c r="B3206" s="2459" t="s">
        <v>1658</v>
      </c>
      <c r="C3206" s="2459" t="s">
        <v>1673</v>
      </c>
      <c r="D3206" s="2460" t="s">
        <v>1671</v>
      </c>
      <c r="E3206" s="2461" t="s">
        <v>213</v>
      </c>
      <c r="F3206" s="2461" t="s">
        <v>1442</v>
      </c>
      <c r="G3206" s="2461" t="s">
        <v>1439</v>
      </c>
      <c r="H3206" s="2461" t="s">
        <v>1440</v>
      </c>
      <c r="I3206" s="2462">
        <v>0.68990767738809189</v>
      </c>
      <c r="J3206" s="2462">
        <v>358.43912456176008</v>
      </c>
    </row>
    <row r="3207" spans="1:10" outlineLevel="2">
      <c r="A3207" s="2459" t="s">
        <v>1669</v>
      </c>
      <c r="B3207" s="2459" t="s">
        <v>1658</v>
      </c>
      <c r="C3207" s="2459" t="s">
        <v>1673</v>
      </c>
      <c r="D3207" s="2460" t="s">
        <v>1671</v>
      </c>
      <c r="E3207" s="2461" t="s">
        <v>213</v>
      </c>
      <c r="F3207" s="2461" t="s">
        <v>1443</v>
      </c>
      <c r="G3207" s="2461" t="s">
        <v>1439</v>
      </c>
      <c r="H3207" s="2461" t="s">
        <v>1440</v>
      </c>
      <c r="I3207" s="2462">
        <v>3.5142946350636772</v>
      </c>
      <c r="J3207" s="2462">
        <v>1923.7360761396228</v>
      </c>
    </row>
    <row r="3208" spans="1:10" outlineLevel="2">
      <c r="A3208" s="2459" t="s">
        <v>1669</v>
      </c>
      <c r="B3208" s="2459" t="s">
        <v>1658</v>
      </c>
      <c r="C3208" s="2459" t="s">
        <v>1673</v>
      </c>
      <c r="D3208" s="2460" t="s">
        <v>1671</v>
      </c>
      <c r="E3208" s="2461" t="s">
        <v>213</v>
      </c>
      <c r="F3208" s="2461" t="s">
        <v>1444</v>
      </c>
      <c r="G3208" s="2461" t="s">
        <v>1439</v>
      </c>
      <c r="H3208" s="2461" t="s">
        <v>1440</v>
      </c>
      <c r="I3208" s="2462">
        <v>0.84751218538789308</v>
      </c>
      <c r="J3208" s="2462">
        <v>497.79469013808409</v>
      </c>
    </row>
    <row r="3209" spans="1:10" outlineLevel="2">
      <c r="A3209" s="2459" t="s">
        <v>1669</v>
      </c>
      <c r="B3209" s="2459" t="s">
        <v>1658</v>
      </c>
      <c r="C3209" s="2459" t="s">
        <v>1673</v>
      </c>
      <c r="D3209" s="2460" t="s">
        <v>1671</v>
      </c>
      <c r="E3209" s="2461" t="s">
        <v>213</v>
      </c>
      <c r="F3209" s="2461" t="s">
        <v>1445</v>
      </c>
      <c r="G3209" s="2461" t="s">
        <v>1439</v>
      </c>
      <c r="H3209" s="2461" t="s">
        <v>1440</v>
      </c>
      <c r="I3209" s="2462">
        <v>3.3253498071282555</v>
      </c>
      <c r="J3209" s="2462">
        <v>1681.0877181163255</v>
      </c>
    </row>
    <row r="3210" spans="1:10" outlineLevel="2">
      <c r="A3210" s="2459" t="s">
        <v>1669</v>
      </c>
      <c r="B3210" s="2459" t="s">
        <v>1658</v>
      </c>
      <c r="C3210" s="2459" t="s">
        <v>1673</v>
      </c>
      <c r="D3210" s="2460" t="s">
        <v>1671</v>
      </c>
      <c r="E3210" s="2461" t="s">
        <v>213</v>
      </c>
      <c r="F3210" s="2461" t="s">
        <v>1446</v>
      </c>
      <c r="G3210" s="2461" t="s">
        <v>1439</v>
      </c>
      <c r="H3210" s="2461" t="s">
        <v>1440</v>
      </c>
      <c r="I3210" s="2462">
        <v>0.59736544512582312</v>
      </c>
      <c r="J3210" s="2462">
        <v>320.37947491488313</v>
      </c>
    </row>
    <row r="3211" spans="1:10" outlineLevel="2">
      <c r="A3211" s="2459" t="s">
        <v>1669</v>
      </c>
      <c r="B3211" s="2459" t="s">
        <v>1658</v>
      </c>
      <c r="C3211" s="2459" t="s">
        <v>1673</v>
      </c>
      <c r="D3211" s="2460" t="s">
        <v>1671</v>
      </c>
      <c r="E3211" s="2461" t="s">
        <v>213</v>
      </c>
      <c r="F3211" s="2461" t="s">
        <v>1447</v>
      </c>
      <c r="G3211" s="2461" t="s">
        <v>1439</v>
      </c>
      <c r="H3211" s="2461" t="s">
        <v>1440</v>
      </c>
      <c r="I3211" s="2462">
        <v>2.9349301803997911</v>
      </c>
      <c r="J3211" s="2462">
        <v>1569.7338412543197</v>
      </c>
    </row>
    <row r="3212" spans="1:10" outlineLevel="2">
      <c r="A3212" s="2459" t="s">
        <v>1669</v>
      </c>
      <c r="B3212" s="2459" t="s">
        <v>1658</v>
      </c>
      <c r="C3212" s="2459" t="s">
        <v>1673</v>
      </c>
      <c r="D3212" s="2460" t="s">
        <v>1671</v>
      </c>
      <c r="E3212" s="2461" t="s">
        <v>213</v>
      </c>
      <c r="F3212" s="2461" t="s">
        <v>1448</v>
      </c>
      <c r="G3212" s="2461" t="s">
        <v>1439</v>
      </c>
      <c r="H3212" s="2461" t="s">
        <v>1440</v>
      </c>
      <c r="I3212" s="2462">
        <v>1.0826628591674288</v>
      </c>
      <c r="J3212" s="2462">
        <v>158.51607012906067</v>
      </c>
    </row>
    <row r="3213" spans="1:10" outlineLevel="2">
      <c r="A3213" s="2459" t="s">
        <v>1669</v>
      </c>
      <c r="B3213" s="2459" t="s">
        <v>1658</v>
      </c>
      <c r="C3213" s="2459" t="s">
        <v>1673</v>
      </c>
      <c r="D3213" s="2460" t="s">
        <v>1671</v>
      </c>
      <c r="E3213" s="2461" t="s">
        <v>213</v>
      </c>
      <c r="F3213" s="2461" t="s">
        <v>1449</v>
      </c>
      <c r="G3213" s="2461" t="s">
        <v>1439</v>
      </c>
      <c r="H3213" s="2461" t="s">
        <v>1440</v>
      </c>
      <c r="I3213" s="2462">
        <v>3.9038277237081318</v>
      </c>
      <c r="J3213" s="2462">
        <v>571.55587933274307</v>
      </c>
    </row>
    <row r="3214" spans="1:10" outlineLevel="2">
      <c r="A3214" s="2459" t="s">
        <v>1669</v>
      </c>
      <c r="B3214" s="2459" t="s">
        <v>1658</v>
      </c>
      <c r="C3214" s="2459" t="s">
        <v>1673</v>
      </c>
      <c r="D3214" s="2460" t="s">
        <v>1671</v>
      </c>
      <c r="E3214" s="2461" t="s">
        <v>213</v>
      </c>
      <c r="F3214" s="2461" t="s">
        <v>1450</v>
      </c>
      <c r="G3214" s="2461" t="s">
        <v>1439</v>
      </c>
      <c r="H3214" s="2461" t="s">
        <v>1440</v>
      </c>
      <c r="I3214" s="2462">
        <v>1.6786659639267875E-3</v>
      </c>
      <c r="J3214" s="2462">
        <v>0.8376220702666054</v>
      </c>
    </row>
    <row r="3215" spans="1:10" outlineLevel="2">
      <c r="A3215" s="2459" t="s">
        <v>1669</v>
      </c>
      <c r="B3215" s="2459" t="s">
        <v>1658</v>
      </c>
      <c r="C3215" s="2459" t="s">
        <v>1673</v>
      </c>
      <c r="D3215" s="2460" t="s">
        <v>1671</v>
      </c>
      <c r="E3215" s="2461" t="s">
        <v>213</v>
      </c>
      <c r="F3215" s="2461" t="s">
        <v>1451</v>
      </c>
      <c r="G3215" s="2461" t="s">
        <v>1418</v>
      </c>
      <c r="H3215" s="2461" t="s">
        <v>1452</v>
      </c>
      <c r="I3215" s="2462">
        <v>2.0283219051801766E-4</v>
      </c>
      <c r="J3215" s="2462">
        <v>0.12334691001427793</v>
      </c>
    </row>
    <row r="3216" spans="1:10" outlineLevel="2">
      <c r="A3216" s="2459" t="s">
        <v>1669</v>
      </c>
      <c r="B3216" s="2459" t="s">
        <v>1658</v>
      </c>
      <c r="C3216" s="2459" t="s">
        <v>1673</v>
      </c>
      <c r="D3216" s="2460" t="s">
        <v>1671</v>
      </c>
      <c r="E3216" s="2461" t="s">
        <v>213</v>
      </c>
      <c r="F3216" s="2461" t="s">
        <v>1453</v>
      </c>
      <c r="G3216" s="2461" t="s">
        <v>1421</v>
      </c>
      <c r="H3216" s="2461" t="s">
        <v>1454</v>
      </c>
      <c r="I3216" s="2462">
        <v>5.9419720828212834E-2</v>
      </c>
      <c r="J3216" s="2462">
        <v>29.419277820254649</v>
      </c>
    </row>
    <row r="3217" spans="1:10" outlineLevel="2">
      <c r="A3217" s="2459" t="s">
        <v>1669</v>
      </c>
      <c r="B3217" s="2459" t="s">
        <v>1658</v>
      </c>
      <c r="C3217" s="2459" t="s">
        <v>1673</v>
      </c>
      <c r="D3217" s="2460" t="s">
        <v>1671</v>
      </c>
      <c r="E3217" s="2461" t="s">
        <v>213</v>
      </c>
      <c r="F3217" s="2461" t="s">
        <v>1455</v>
      </c>
      <c r="G3217" s="2461" t="s">
        <v>1421</v>
      </c>
      <c r="H3217" s="2461" t="s">
        <v>1454</v>
      </c>
      <c r="I3217" s="2462">
        <v>0.37919207417084022</v>
      </c>
      <c r="J3217" s="2462">
        <v>196.25952287027459</v>
      </c>
    </row>
    <row r="3218" spans="1:10" outlineLevel="2">
      <c r="A3218" s="2459" t="s">
        <v>1669</v>
      </c>
      <c r="B3218" s="2459" t="s">
        <v>1658</v>
      </c>
      <c r="C3218" s="2459" t="s">
        <v>1673</v>
      </c>
      <c r="D3218" s="2460" t="s">
        <v>1671</v>
      </c>
      <c r="E3218" s="2461" t="s">
        <v>213</v>
      </c>
      <c r="F3218" s="2461" t="s">
        <v>1456</v>
      </c>
      <c r="G3218" s="2461" t="s">
        <v>1421</v>
      </c>
      <c r="H3218" s="2461" t="s">
        <v>1454</v>
      </c>
      <c r="I3218" s="2462">
        <v>1.5209342268485392E-4</v>
      </c>
      <c r="J3218" s="2462">
        <v>6.8068918352513941E-2</v>
      </c>
    </row>
    <row r="3219" spans="1:10" outlineLevel="2">
      <c r="A3219" s="2459" t="s">
        <v>1669</v>
      </c>
      <c r="B3219" s="2459" t="s">
        <v>1658</v>
      </c>
      <c r="C3219" s="2459" t="s">
        <v>1673</v>
      </c>
      <c r="D3219" s="2460" t="s">
        <v>1671</v>
      </c>
      <c r="E3219" s="2461" t="s">
        <v>213</v>
      </c>
      <c r="F3219" s="2461" t="s">
        <v>1457</v>
      </c>
      <c r="G3219" s="2461" t="s">
        <v>1421</v>
      </c>
      <c r="H3219" s="2461" t="s">
        <v>1454</v>
      </c>
      <c r="I3219" s="2462">
        <v>2.6529918461452012E-3</v>
      </c>
      <c r="J3219" s="2462">
        <v>1.1873359964100711</v>
      </c>
    </row>
    <row r="3220" spans="1:10" outlineLevel="2">
      <c r="A3220" s="2459" t="s">
        <v>1669</v>
      </c>
      <c r="B3220" s="2459" t="s">
        <v>1658</v>
      </c>
      <c r="C3220" s="2459" t="s">
        <v>1673</v>
      </c>
      <c r="D3220" s="2460" t="s">
        <v>1671</v>
      </c>
      <c r="E3220" s="2461" t="s">
        <v>213</v>
      </c>
      <c r="F3220" s="2461" t="s">
        <v>1458</v>
      </c>
      <c r="G3220" s="2461" t="s">
        <v>1459</v>
      </c>
      <c r="H3220" s="2461" t="s">
        <v>1460</v>
      </c>
      <c r="I3220" s="2462">
        <v>1.1109827775143187E-2</v>
      </c>
      <c r="J3220" s="2462">
        <v>6.4140215156131264</v>
      </c>
    </row>
    <row r="3221" spans="1:10" outlineLevel="2">
      <c r="A3221" s="2459" t="s">
        <v>1669</v>
      </c>
      <c r="B3221" s="2459" t="s">
        <v>1658</v>
      </c>
      <c r="C3221" s="2459" t="s">
        <v>1673</v>
      </c>
      <c r="D3221" s="2460" t="s">
        <v>1671</v>
      </c>
      <c r="E3221" s="2461" t="s">
        <v>213</v>
      </c>
      <c r="F3221" s="2461" t="s">
        <v>1461</v>
      </c>
      <c r="G3221" s="2461" t="s">
        <v>1426</v>
      </c>
      <c r="H3221" s="2461" t="s">
        <v>1427</v>
      </c>
      <c r="I3221" s="2462">
        <v>0.11870668141833</v>
      </c>
      <c r="J3221" s="2462">
        <v>84.034096854422884</v>
      </c>
    </row>
    <row r="3222" spans="1:10" outlineLevel="2">
      <c r="A3222" s="2459" t="s">
        <v>1669</v>
      </c>
      <c r="B3222" s="2459" t="s">
        <v>1658</v>
      </c>
      <c r="C3222" s="2459" t="s">
        <v>1673</v>
      </c>
      <c r="D3222" s="2460" t="s">
        <v>1671</v>
      </c>
      <c r="E3222" s="2461" t="s">
        <v>213</v>
      </c>
      <c r="F3222" s="2461" t="s">
        <v>1462</v>
      </c>
      <c r="G3222" s="2461" t="s">
        <v>1426</v>
      </c>
      <c r="H3222" s="2461" t="s">
        <v>1427</v>
      </c>
      <c r="I3222" s="2462">
        <v>0.87476425804253521</v>
      </c>
      <c r="J3222" s="2462">
        <v>798.89408669602778</v>
      </c>
    </row>
    <row r="3223" spans="1:10" outlineLevel="2">
      <c r="A3223" s="2459" t="s">
        <v>1669</v>
      </c>
      <c r="B3223" s="2459" t="s">
        <v>1658</v>
      </c>
      <c r="C3223" s="2459" t="s">
        <v>1673</v>
      </c>
      <c r="D3223" s="2460" t="s">
        <v>1671</v>
      </c>
      <c r="E3223" s="2461" t="s">
        <v>213</v>
      </c>
      <c r="F3223" s="2461" t="s">
        <v>1463</v>
      </c>
      <c r="G3223" s="2461" t="s">
        <v>1426</v>
      </c>
      <c r="H3223" s="2461" t="s">
        <v>1427</v>
      </c>
      <c r="I3223" s="2462">
        <v>0.68470854707126971</v>
      </c>
      <c r="J3223" s="2462">
        <v>910.92780826942851</v>
      </c>
    </row>
    <row r="3224" spans="1:10" outlineLevel="2">
      <c r="A3224" s="2459" t="s">
        <v>1669</v>
      </c>
      <c r="B3224" s="2459" t="s">
        <v>1658</v>
      </c>
      <c r="C3224" s="2459" t="s">
        <v>1673</v>
      </c>
      <c r="D3224" s="2460" t="s">
        <v>1671</v>
      </c>
      <c r="E3224" s="2461" t="s">
        <v>213</v>
      </c>
      <c r="F3224" s="2461" t="s">
        <v>1464</v>
      </c>
      <c r="G3224" s="2461" t="s">
        <v>1426</v>
      </c>
      <c r="H3224" s="2461" t="s">
        <v>1427</v>
      </c>
      <c r="I3224" s="2462">
        <v>0.11754870245975885</v>
      </c>
      <c r="J3224" s="2462">
        <v>107.15204737313532</v>
      </c>
    </row>
    <row r="3225" spans="1:10" outlineLevel="2">
      <c r="A3225" s="2459" t="s">
        <v>1669</v>
      </c>
      <c r="B3225" s="2459" t="s">
        <v>1658</v>
      </c>
      <c r="C3225" s="2459" t="s">
        <v>1673</v>
      </c>
      <c r="D3225" s="2460" t="s">
        <v>1671</v>
      </c>
      <c r="E3225" s="2461" t="s">
        <v>213</v>
      </c>
      <c r="F3225" s="2461" t="s">
        <v>1465</v>
      </c>
      <c r="G3225" s="2461" t="s">
        <v>1409</v>
      </c>
      <c r="H3225" s="2461" t="s">
        <v>1070</v>
      </c>
      <c r="I3225" s="2462">
        <v>4.2116781756041305E-2</v>
      </c>
      <c r="J3225" s="2462">
        <v>68.722359630132431</v>
      </c>
    </row>
    <row r="3226" spans="1:10" outlineLevel="2">
      <c r="A3226" s="2459" t="s">
        <v>1669</v>
      </c>
      <c r="B3226" s="2459" t="s">
        <v>1658</v>
      </c>
      <c r="C3226" s="2459" t="s">
        <v>1673</v>
      </c>
      <c r="D3226" s="2460" t="s">
        <v>1671</v>
      </c>
      <c r="E3226" s="2461" t="s">
        <v>213</v>
      </c>
      <c r="F3226" s="2461" t="s">
        <v>1466</v>
      </c>
      <c r="G3226" s="2461" t="s">
        <v>1409</v>
      </c>
      <c r="H3226" s="2461" t="s">
        <v>1070</v>
      </c>
      <c r="I3226" s="2462">
        <v>3.3654169086019678E-4</v>
      </c>
      <c r="J3226" s="2462">
        <v>0.51295251959083155</v>
      </c>
    </row>
    <row r="3227" spans="1:10" outlineLevel="2">
      <c r="A3227" s="2459" t="s">
        <v>1669</v>
      </c>
      <c r="B3227" s="2459" t="s">
        <v>1658</v>
      </c>
      <c r="C3227" s="2459" t="s">
        <v>1673</v>
      </c>
      <c r="D3227" s="2460" t="s">
        <v>1671</v>
      </c>
      <c r="E3227" s="2461" t="s">
        <v>213</v>
      </c>
      <c r="F3227" s="2461" t="s">
        <v>1467</v>
      </c>
      <c r="G3227" s="2461" t="s">
        <v>1409</v>
      </c>
      <c r="H3227" s="2461" t="s">
        <v>1070</v>
      </c>
      <c r="I3227" s="2462">
        <v>9.0995658838820201E-2</v>
      </c>
      <c r="J3227" s="2462">
        <v>129.10329614266738</v>
      </c>
    </row>
    <row r="3228" spans="1:10" outlineLevel="2">
      <c r="A3228" s="2459" t="s">
        <v>1669</v>
      </c>
      <c r="B3228" s="2459" t="s">
        <v>1658</v>
      </c>
      <c r="C3228" s="2459" t="s">
        <v>1673</v>
      </c>
      <c r="D3228" s="2460" t="s">
        <v>1671</v>
      </c>
      <c r="E3228" s="2461" t="s">
        <v>213</v>
      </c>
      <c r="F3228" s="2461" t="s">
        <v>1468</v>
      </c>
      <c r="G3228" s="2461" t="s">
        <v>1409</v>
      </c>
      <c r="H3228" s="2461" t="s">
        <v>1070</v>
      </c>
      <c r="I3228" s="2462">
        <v>7.4255672123082261E-2</v>
      </c>
      <c r="J3228" s="2462">
        <v>121.54859169357562</v>
      </c>
    </row>
    <row r="3229" spans="1:10" outlineLevel="2">
      <c r="A3229" s="2459" t="s">
        <v>1669</v>
      </c>
      <c r="B3229" s="2459" t="s">
        <v>1658</v>
      </c>
      <c r="C3229" s="2459" t="s">
        <v>1673</v>
      </c>
      <c r="D3229" s="2460" t="s">
        <v>1671</v>
      </c>
      <c r="E3229" s="2461" t="s">
        <v>213</v>
      </c>
      <c r="F3229" s="2461" t="s">
        <v>1469</v>
      </c>
      <c r="G3229" s="2461" t="s">
        <v>1409</v>
      </c>
      <c r="H3229" s="2461" t="s">
        <v>1070</v>
      </c>
      <c r="I3229" s="2462">
        <v>0.16606072376270045</v>
      </c>
      <c r="J3229" s="2462">
        <v>242.5735922657588</v>
      </c>
    </row>
    <row r="3230" spans="1:10" outlineLevel="2">
      <c r="A3230" s="2459" t="s">
        <v>1669</v>
      </c>
      <c r="B3230" s="2459" t="s">
        <v>1658</v>
      </c>
      <c r="C3230" s="2459" t="s">
        <v>1673</v>
      </c>
      <c r="D3230" s="2460" t="s">
        <v>1671</v>
      </c>
      <c r="E3230" s="2461" t="s">
        <v>213</v>
      </c>
      <c r="F3230" s="2461" t="s">
        <v>1470</v>
      </c>
      <c r="G3230" s="2461" t="s">
        <v>1409</v>
      </c>
      <c r="H3230" s="2461" t="s">
        <v>1070</v>
      </c>
      <c r="I3230" s="2462">
        <v>7.2040710385078643E-2</v>
      </c>
      <c r="J3230" s="2462">
        <v>102.14142807898169</v>
      </c>
    </row>
    <row r="3231" spans="1:10" outlineLevel="2">
      <c r="A3231" s="2459" t="s">
        <v>1669</v>
      </c>
      <c r="B3231" s="2459" t="s">
        <v>1658</v>
      </c>
      <c r="C3231" s="2459" t="s">
        <v>1673</v>
      </c>
      <c r="D3231" s="2460" t="s">
        <v>1671</v>
      </c>
      <c r="E3231" s="2461" t="s">
        <v>213</v>
      </c>
      <c r="F3231" s="2461" t="s">
        <v>1471</v>
      </c>
      <c r="G3231" s="2461" t="s">
        <v>1409</v>
      </c>
      <c r="H3231" s="2461" t="s">
        <v>1070</v>
      </c>
      <c r="I3231" s="2462">
        <v>3.9234535582305923E-3</v>
      </c>
      <c r="J3231" s="2462">
        <v>5.3234229580705392</v>
      </c>
    </row>
    <row r="3232" spans="1:10" outlineLevel="2">
      <c r="A3232" s="2459" t="s">
        <v>1669</v>
      </c>
      <c r="B3232" s="2459" t="s">
        <v>1658</v>
      </c>
      <c r="C3232" s="2459" t="s">
        <v>1673</v>
      </c>
      <c r="D3232" s="2460" t="s">
        <v>1671</v>
      </c>
      <c r="E3232" s="2461" t="s">
        <v>213</v>
      </c>
      <c r="F3232" s="2461" t="s">
        <v>1472</v>
      </c>
      <c r="G3232" s="2461" t="s">
        <v>1409</v>
      </c>
      <c r="H3232" s="2461" t="s">
        <v>1070</v>
      </c>
      <c r="I3232" s="2462">
        <v>0.13653796367419599</v>
      </c>
      <c r="J3232" s="2462">
        <v>213.7506351116981</v>
      </c>
    </row>
    <row r="3233" spans="1:10" outlineLevel="2">
      <c r="A3233" s="2459" t="s">
        <v>1669</v>
      </c>
      <c r="B3233" s="2459" t="s">
        <v>1658</v>
      </c>
      <c r="C3233" s="2459" t="s">
        <v>1673</v>
      </c>
      <c r="D3233" s="2460" t="s">
        <v>1671</v>
      </c>
      <c r="E3233" s="2461" t="s">
        <v>213</v>
      </c>
      <c r="F3233" s="2461" t="s">
        <v>1473</v>
      </c>
      <c r="G3233" s="2461" t="s">
        <v>1409</v>
      </c>
      <c r="H3233" s="2461" t="s">
        <v>1070</v>
      </c>
      <c r="I3233" s="2462">
        <v>6.5087823994687322E-2</v>
      </c>
      <c r="J3233" s="2462">
        <v>79.276276485670195</v>
      </c>
    </row>
    <row r="3234" spans="1:10" outlineLevel="2">
      <c r="A3234" s="2459" t="s">
        <v>1669</v>
      </c>
      <c r="B3234" s="2459" t="s">
        <v>1658</v>
      </c>
      <c r="C3234" s="2459" t="s">
        <v>1673</v>
      </c>
      <c r="D3234" s="2460" t="s">
        <v>1671</v>
      </c>
      <c r="E3234" s="2461" t="s">
        <v>213</v>
      </c>
      <c r="F3234" s="2461" t="s">
        <v>1474</v>
      </c>
      <c r="G3234" s="2461" t="s">
        <v>1409</v>
      </c>
      <c r="H3234" s="2461" t="s">
        <v>1070</v>
      </c>
      <c r="I3234" s="2462">
        <v>0.30758843417946169</v>
      </c>
      <c r="J3234" s="2462">
        <v>445.40958606717317</v>
      </c>
    </row>
    <row r="3235" spans="1:10" outlineLevel="2">
      <c r="A3235" s="2459" t="s">
        <v>1669</v>
      </c>
      <c r="B3235" s="2459" t="s">
        <v>1658</v>
      </c>
      <c r="C3235" s="2459" t="s">
        <v>1673</v>
      </c>
      <c r="D3235" s="2460" t="s">
        <v>1671</v>
      </c>
      <c r="E3235" s="2461" t="s">
        <v>213</v>
      </c>
      <c r="F3235" s="2461" t="s">
        <v>1475</v>
      </c>
      <c r="G3235" s="2461" t="s">
        <v>1409</v>
      </c>
      <c r="H3235" s="2461" t="s">
        <v>1070</v>
      </c>
      <c r="I3235" s="2462">
        <v>0.15592367466601106</v>
      </c>
      <c r="J3235" s="2462">
        <v>213.89797641422132</v>
      </c>
    </row>
    <row r="3236" spans="1:10" outlineLevel="2">
      <c r="A3236" s="2459" t="s">
        <v>1669</v>
      </c>
      <c r="B3236" s="2459" t="s">
        <v>1658</v>
      </c>
      <c r="C3236" s="2459" t="s">
        <v>1673</v>
      </c>
      <c r="D3236" s="2460" t="s">
        <v>1671</v>
      </c>
      <c r="E3236" s="2461" t="s">
        <v>213</v>
      </c>
      <c r="F3236" s="2461" t="s">
        <v>1476</v>
      </c>
      <c r="G3236" s="2461" t="s">
        <v>1409</v>
      </c>
      <c r="H3236" s="2461" t="s">
        <v>1070</v>
      </c>
      <c r="I3236" s="2462">
        <v>1.2328482480222579E-2</v>
      </c>
      <c r="J3236" s="2462">
        <v>17.229206621089126</v>
      </c>
    </row>
    <row r="3237" spans="1:10" outlineLevel="2">
      <c r="A3237" s="2459" t="s">
        <v>1669</v>
      </c>
      <c r="B3237" s="2459" t="s">
        <v>1658</v>
      </c>
      <c r="C3237" s="2459" t="s">
        <v>1673</v>
      </c>
      <c r="D3237" s="2460" t="s">
        <v>1671</v>
      </c>
      <c r="E3237" s="2461" t="s">
        <v>213</v>
      </c>
      <c r="F3237" s="2461" t="s">
        <v>1477</v>
      </c>
      <c r="G3237" s="2461" t="s">
        <v>1409</v>
      </c>
      <c r="H3237" s="2461" t="s">
        <v>1070</v>
      </c>
      <c r="I3237" s="2462">
        <v>2.0238353513230823E-2</v>
      </c>
      <c r="J3237" s="2462">
        <v>28.932152051070791</v>
      </c>
    </row>
    <row r="3238" spans="1:10" outlineLevel="2">
      <c r="A3238" s="2459" t="s">
        <v>1669</v>
      </c>
      <c r="B3238" s="2459" t="s">
        <v>1658</v>
      </c>
      <c r="C3238" s="2459" t="s">
        <v>1673</v>
      </c>
      <c r="D3238" s="2460" t="s">
        <v>1671</v>
      </c>
      <c r="E3238" s="2461" t="s">
        <v>213</v>
      </c>
      <c r="F3238" s="2461" t="s">
        <v>1478</v>
      </c>
      <c r="G3238" s="2461" t="s">
        <v>1409</v>
      </c>
      <c r="H3238" s="2461" t="s">
        <v>1070</v>
      </c>
      <c r="I3238" s="2462">
        <v>8.8624759995288797E-3</v>
      </c>
      <c r="J3238" s="2462">
        <v>25.853242626840316</v>
      </c>
    </row>
    <row r="3239" spans="1:10" outlineLevel="2">
      <c r="A3239" s="2459" t="s">
        <v>1669</v>
      </c>
      <c r="B3239" s="2459" t="s">
        <v>1658</v>
      </c>
      <c r="C3239" s="2459" t="s">
        <v>1673</v>
      </c>
      <c r="D3239" s="2460" t="s">
        <v>1671</v>
      </c>
      <c r="E3239" s="2461" t="s">
        <v>213</v>
      </c>
      <c r="F3239" s="2461" t="s">
        <v>1479</v>
      </c>
      <c r="G3239" s="2461" t="s">
        <v>1409</v>
      </c>
      <c r="H3239" s="2461" t="s">
        <v>1070</v>
      </c>
      <c r="I3239" s="2462">
        <v>7.1323741673118045E-3</v>
      </c>
      <c r="J3239" s="2462">
        <v>61.319439191862429</v>
      </c>
    </row>
    <row r="3240" spans="1:10" outlineLevel="2">
      <c r="A3240" s="2459" t="s">
        <v>1669</v>
      </c>
      <c r="B3240" s="2459" t="s">
        <v>1658</v>
      </c>
      <c r="C3240" s="2459" t="s">
        <v>1673</v>
      </c>
      <c r="D3240" s="2460" t="s">
        <v>1671</v>
      </c>
      <c r="E3240" s="2461" t="s">
        <v>213</v>
      </c>
      <c r="F3240" s="2461" t="s">
        <v>1480</v>
      </c>
      <c r="G3240" s="2461" t="s">
        <v>1409</v>
      </c>
      <c r="H3240" s="2461" t="s">
        <v>1070</v>
      </c>
      <c r="I3240" s="2462">
        <v>9.7045383464105683E-2</v>
      </c>
      <c r="J3240" s="2462">
        <v>146.21171806173251</v>
      </c>
    </row>
    <row r="3241" spans="1:10" outlineLevel="2">
      <c r="A3241" s="2459" t="s">
        <v>1669</v>
      </c>
      <c r="B3241" s="2459" t="s">
        <v>1658</v>
      </c>
      <c r="C3241" s="2459" t="s">
        <v>1673</v>
      </c>
      <c r="D3241" s="2460" t="s">
        <v>1671</v>
      </c>
      <c r="E3241" s="2461" t="s">
        <v>213</v>
      </c>
      <c r="F3241" s="2461" t="s">
        <v>1481</v>
      </c>
      <c r="G3241" s="2461" t="s">
        <v>1409</v>
      </c>
      <c r="H3241" s="2461" t="s">
        <v>1070</v>
      </c>
      <c r="I3241" s="2462">
        <v>6.9288921338977877E-2</v>
      </c>
      <c r="J3241" s="2462">
        <v>101.9037814801743</v>
      </c>
    </row>
    <row r="3242" spans="1:10" outlineLevel="2">
      <c r="A3242" s="2459" t="s">
        <v>1669</v>
      </c>
      <c r="B3242" s="2459" t="s">
        <v>1658</v>
      </c>
      <c r="C3242" s="2459" t="s">
        <v>1673</v>
      </c>
      <c r="D3242" s="2460" t="s">
        <v>1671</v>
      </c>
      <c r="E3242" s="2461" t="s">
        <v>213</v>
      </c>
      <c r="F3242" s="2461" t="s">
        <v>1482</v>
      </c>
      <c r="G3242" s="2461" t="s">
        <v>1409</v>
      </c>
      <c r="H3242" s="2461" t="s">
        <v>1070</v>
      </c>
      <c r="I3242" s="2462">
        <v>2.721323973949109E-2</v>
      </c>
      <c r="J3242" s="2462">
        <v>33.390237733802671</v>
      </c>
    </row>
    <row r="3243" spans="1:10" outlineLevel="2">
      <c r="A3243" s="2459" t="s">
        <v>1669</v>
      </c>
      <c r="B3243" s="2459" t="s">
        <v>1658</v>
      </c>
      <c r="C3243" s="2459" t="s">
        <v>1673</v>
      </c>
      <c r="D3243" s="2460" t="s">
        <v>1671</v>
      </c>
      <c r="E3243" s="2461" t="s">
        <v>213</v>
      </c>
      <c r="F3243" s="2461" t="s">
        <v>1483</v>
      </c>
      <c r="G3243" s="2461" t="s">
        <v>1409</v>
      </c>
      <c r="H3243" s="2461" t="s">
        <v>1070</v>
      </c>
      <c r="I3243" s="2462">
        <v>2.2652472978905446E-2</v>
      </c>
      <c r="J3243" s="2462">
        <v>24.398319336422382</v>
      </c>
    </row>
    <row r="3244" spans="1:10" outlineLevel="2">
      <c r="A3244" s="2459" t="s">
        <v>1669</v>
      </c>
      <c r="B3244" s="2459" t="s">
        <v>1658</v>
      </c>
      <c r="C3244" s="2459" t="s">
        <v>1673</v>
      </c>
      <c r="D3244" s="2460" t="s">
        <v>1671</v>
      </c>
      <c r="E3244" s="2461" t="s">
        <v>213</v>
      </c>
      <c r="F3244" s="2461" t="s">
        <v>1484</v>
      </c>
      <c r="G3244" s="2461" t="s">
        <v>1412</v>
      </c>
      <c r="H3244" s="2461" t="s">
        <v>1116</v>
      </c>
      <c r="I3244" s="2462">
        <v>0.11289465475440687</v>
      </c>
      <c r="J3244" s="2462">
        <v>226.3912285059412</v>
      </c>
    </row>
    <row r="3245" spans="1:10" outlineLevel="2">
      <c r="A3245" s="2459" t="s">
        <v>1669</v>
      </c>
      <c r="B3245" s="2459" t="s">
        <v>1658</v>
      </c>
      <c r="C3245" s="2459" t="s">
        <v>1673</v>
      </c>
      <c r="D3245" s="2460" t="s">
        <v>1671</v>
      </c>
      <c r="E3245" s="2461" t="s">
        <v>213</v>
      </c>
      <c r="F3245" s="2461" t="s">
        <v>1485</v>
      </c>
      <c r="G3245" s="2461" t="s">
        <v>1412</v>
      </c>
      <c r="H3245" s="2461" t="s">
        <v>1116</v>
      </c>
      <c r="I3245" s="2462">
        <v>8.1107695314213857E-2</v>
      </c>
      <c r="J3245" s="2462">
        <v>856.7778621227543</v>
      </c>
    </row>
    <row r="3246" spans="1:10" outlineLevel="2">
      <c r="A3246" s="2459" t="s">
        <v>1669</v>
      </c>
      <c r="B3246" s="2459" t="s">
        <v>1658</v>
      </c>
      <c r="C3246" s="2459" t="s">
        <v>1673</v>
      </c>
      <c r="D3246" s="2460" t="s">
        <v>1671</v>
      </c>
      <c r="E3246" s="2461" t="s">
        <v>213</v>
      </c>
      <c r="F3246" s="2461" t="s">
        <v>1486</v>
      </c>
      <c r="G3246" s="2461" t="s">
        <v>1412</v>
      </c>
      <c r="H3246" s="2461" t="s">
        <v>1116</v>
      </c>
      <c r="I3246" s="2462">
        <v>6.7299493355387666E-2</v>
      </c>
      <c r="J3246" s="2462">
        <v>184.10603415955813</v>
      </c>
    </row>
    <row r="3247" spans="1:10" outlineLevel="2">
      <c r="A3247" s="2459" t="s">
        <v>1669</v>
      </c>
      <c r="B3247" s="2459" t="s">
        <v>1658</v>
      </c>
      <c r="C3247" s="2459" t="s">
        <v>1673</v>
      </c>
      <c r="D3247" s="2460" t="s">
        <v>1671</v>
      </c>
      <c r="E3247" s="2461" t="s">
        <v>213</v>
      </c>
      <c r="F3247" s="2461" t="s">
        <v>1487</v>
      </c>
      <c r="G3247" s="2461" t="s">
        <v>1412</v>
      </c>
      <c r="H3247" s="2461" t="s">
        <v>1116</v>
      </c>
      <c r="I3247" s="2462">
        <v>0.25887198464673195</v>
      </c>
      <c r="J3247" s="2462">
        <v>345.80170539969845</v>
      </c>
    </row>
    <row r="3248" spans="1:10" outlineLevel="2">
      <c r="A3248" s="2459" t="s">
        <v>1669</v>
      </c>
      <c r="B3248" s="2459" t="s">
        <v>1658</v>
      </c>
      <c r="C3248" s="2459" t="s">
        <v>1673</v>
      </c>
      <c r="D3248" s="2460" t="s">
        <v>1671</v>
      </c>
      <c r="E3248" s="2461" t="s">
        <v>213</v>
      </c>
      <c r="F3248" s="2461" t="s">
        <v>1488</v>
      </c>
      <c r="G3248" s="2461" t="s">
        <v>1412</v>
      </c>
      <c r="H3248" s="2461" t="s">
        <v>1116</v>
      </c>
      <c r="I3248" s="2462">
        <v>7.3036864758195992E-3</v>
      </c>
      <c r="J3248" s="2462">
        <v>15.866859336603847</v>
      </c>
    </row>
    <row r="3249" spans="1:10" outlineLevel="2">
      <c r="A3249" s="2459" t="s">
        <v>1669</v>
      </c>
      <c r="B3249" s="2459" t="s">
        <v>1658</v>
      </c>
      <c r="C3249" s="2459" t="s">
        <v>1673</v>
      </c>
      <c r="D3249" s="2460" t="s">
        <v>1671</v>
      </c>
      <c r="E3249" s="2461" t="s">
        <v>213</v>
      </c>
      <c r="F3249" s="2461" t="s">
        <v>1489</v>
      </c>
      <c r="G3249" s="2461" t="s">
        <v>1412</v>
      </c>
      <c r="H3249" s="2461" t="s">
        <v>1116</v>
      </c>
      <c r="I3249" s="2462">
        <v>1.8260837774015454E-2</v>
      </c>
      <c r="J3249" s="2462">
        <v>27.127500443708655</v>
      </c>
    </row>
    <row r="3250" spans="1:10" outlineLevel="2">
      <c r="A3250" s="2459" t="s">
        <v>1669</v>
      </c>
      <c r="B3250" s="2459" t="s">
        <v>1658</v>
      </c>
      <c r="C3250" s="2459" t="s">
        <v>1673</v>
      </c>
      <c r="D3250" s="2460" t="s">
        <v>1671</v>
      </c>
      <c r="E3250" s="2461" t="s">
        <v>213</v>
      </c>
      <c r="F3250" s="2461" t="s">
        <v>1490</v>
      </c>
      <c r="G3250" s="2461" t="s">
        <v>1412</v>
      </c>
      <c r="H3250" s="2461" t="s">
        <v>1116</v>
      </c>
      <c r="I3250" s="2462">
        <v>5.3173002255923543E-3</v>
      </c>
      <c r="J3250" s="2462">
        <v>75.666742771537614</v>
      </c>
    </row>
    <row r="3251" spans="1:10" outlineLevel="2">
      <c r="A3251" s="2459" t="s">
        <v>1669</v>
      </c>
      <c r="B3251" s="2459" t="s">
        <v>1658</v>
      </c>
      <c r="C3251" s="2459" t="s">
        <v>1673</v>
      </c>
      <c r="D3251" s="2460" t="s">
        <v>1671</v>
      </c>
      <c r="E3251" s="2461" t="s">
        <v>213</v>
      </c>
      <c r="F3251" s="2461" t="s">
        <v>1491</v>
      </c>
      <c r="G3251" s="2461" t="s">
        <v>1439</v>
      </c>
      <c r="H3251" s="2461" t="s">
        <v>1440</v>
      </c>
      <c r="I3251" s="2462">
        <v>4.2336107316465847</v>
      </c>
      <c r="J3251" s="2462">
        <v>4528.1478416476193</v>
      </c>
    </row>
    <row r="3252" spans="1:10" outlineLevel="2">
      <c r="A3252" s="2459" t="s">
        <v>1669</v>
      </c>
      <c r="B3252" s="2459" t="s">
        <v>1658</v>
      </c>
      <c r="C3252" s="2459" t="s">
        <v>1673</v>
      </c>
      <c r="D3252" s="2460" t="s">
        <v>1671</v>
      </c>
      <c r="E3252" s="2461" t="s">
        <v>213</v>
      </c>
      <c r="F3252" s="2461" t="s">
        <v>1492</v>
      </c>
      <c r="G3252" s="2461" t="s">
        <v>1439</v>
      </c>
      <c r="H3252" s="2461" t="s">
        <v>1440</v>
      </c>
      <c r="I3252" s="2462">
        <v>3.6214654393145604</v>
      </c>
      <c r="J3252" s="2462">
        <v>4913.9994630457186</v>
      </c>
    </row>
    <row r="3253" spans="1:10" outlineLevel="2">
      <c r="A3253" s="2459" t="s">
        <v>1669</v>
      </c>
      <c r="B3253" s="2459" t="s">
        <v>1658</v>
      </c>
      <c r="C3253" s="2459" t="s">
        <v>1673</v>
      </c>
      <c r="D3253" s="2460" t="s">
        <v>1671</v>
      </c>
      <c r="E3253" s="2461" t="s">
        <v>213</v>
      </c>
      <c r="F3253" s="2461" t="s">
        <v>1493</v>
      </c>
      <c r="G3253" s="2461" t="s">
        <v>1439</v>
      </c>
      <c r="H3253" s="2461" t="s">
        <v>1440</v>
      </c>
      <c r="I3253" s="2462">
        <v>0.36444896559891271</v>
      </c>
      <c r="J3253" s="2462">
        <v>389.65495325599829</v>
      </c>
    </row>
    <row r="3254" spans="1:10" outlineLevel="2">
      <c r="A3254" s="2459" t="s">
        <v>1669</v>
      </c>
      <c r="B3254" s="2459" t="s">
        <v>1658</v>
      </c>
      <c r="C3254" s="2459" t="s">
        <v>1673</v>
      </c>
      <c r="D3254" s="2460" t="s">
        <v>1671</v>
      </c>
      <c r="E3254" s="2461" t="s">
        <v>213</v>
      </c>
      <c r="F3254" s="2461" t="s">
        <v>1494</v>
      </c>
      <c r="G3254" s="2461" t="s">
        <v>1439</v>
      </c>
      <c r="H3254" s="2461" t="s">
        <v>1440</v>
      </c>
      <c r="I3254" s="2462">
        <v>2.3078564876358341</v>
      </c>
      <c r="J3254" s="2462">
        <v>2914.8057481102383</v>
      </c>
    </row>
    <row r="3255" spans="1:10" outlineLevel="2">
      <c r="A3255" s="2459" t="s">
        <v>1669</v>
      </c>
      <c r="B3255" s="2459" t="s">
        <v>1658</v>
      </c>
      <c r="C3255" s="2459" t="s">
        <v>1673</v>
      </c>
      <c r="D3255" s="2460" t="s">
        <v>1671</v>
      </c>
      <c r="E3255" s="2461" t="s">
        <v>213</v>
      </c>
      <c r="F3255" s="2461" t="s">
        <v>1495</v>
      </c>
      <c r="G3255" s="2461" t="s">
        <v>1439</v>
      </c>
      <c r="H3255" s="2461" t="s">
        <v>1440</v>
      </c>
      <c r="I3255" s="2462">
        <v>1.9853577619936232E-2</v>
      </c>
      <c r="J3255" s="2462">
        <v>25.170706376403917</v>
      </c>
    </row>
    <row r="3256" spans="1:10" outlineLevel="2">
      <c r="A3256" s="2459" t="s">
        <v>1669</v>
      </c>
      <c r="B3256" s="2459" t="s">
        <v>1658</v>
      </c>
      <c r="C3256" s="2459" t="s">
        <v>1673</v>
      </c>
      <c r="D3256" s="2460" t="s">
        <v>1671</v>
      </c>
      <c r="E3256" s="2461" t="s">
        <v>213</v>
      </c>
      <c r="F3256" s="2461" t="s">
        <v>1496</v>
      </c>
      <c r="G3256" s="2461" t="s">
        <v>1439</v>
      </c>
      <c r="H3256" s="2461" t="s">
        <v>1440</v>
      </c>
      <c r="I3256" s="2462">
        <v>8.0401193969453805E-2</v>
      </c>
      <c r="J3256" s="2462">
        <v>113.8205414291874</v>
      </c>
    </row>
    <row r="3257" spans="1:10" outlineLevel="2">
      <c r="A3257" s="2459" t="s">
        <v>1669</v>
      </c>
      <c r="B3257" s="2459" t="s">
        <v>1658</v>
      </c>
      <c r="C3257" s="2459" t="s">
        <v>1673</v>
      </c>
      <c r="D3257" s="2460" t="s">
        <v>1671</v>
      </c>
      <c r="E3257" s="2461" t="s">
        <v>213</v>
      </c>
      <c r="F3257" s="2461" t="s">
        <v>1497</v>
      </c>
      <c r="G3257" s="2461" t="s">
        <v>1439</v>
      </c>
      <c r="H3257" s="2461" t="s">
        <v>1440</v>
      </c>
      <c r="I3257" s="2462">
        <v>3.7811705935520405E-2</v>
      </c>
      <c r="J3257" s="2462">
        <v>48.020023239844029</v>
      </c>
    </row>
    <row r="3258" spans="1:10" outlineLevel="2">
      <c r="A3258" s="2459" t="s">
        <v>1669</v>
      </c>
      <c r="B3258" s="2459" t="s">
        <v>1658</v>
      </c>
      <c r="C3258" s="2459" t="s">
        <v>1673</v>
      </c>
      <c r="D3258" s="2460" t="s">
        <v>1671</v>
      </c>
      <c r="E3258" s="2461" t="s">
        <v>213</v>
      </c>
      <c r="F3258" s="2461" t="s">
        <v>1498</v>
      </c>
      <c r="G3258" s="2461" t="s">
        <v>1439</v>
      </c>
      <c r="H3258" s="2461" t="s">
        <v>1440</v>
      </c>
      <c r="I3258" s="2462">
        <v>2.7477889472700379</v>
      </c>
      <c r="J3258" s="2462">
        <v>4670.5834903357509</v>
      </c>
    </row>
    <row r="3259" spans="1:10" outlineLevel="2">
      <c r="A3259" s="2459" t="s">
        <v>1669</v>
      </c>
      <c r="B3259" s="2459" t="s">
        <v>1658</v>
      </c>
      <c r="C3259" s="2459" t="s">
        <v>1673</v>
      </c>
      <c r="D3259" s="2460" t="s">
        <v>1671</v>
      </c>
      <c r="E3259" s="2461" t="s">
        <v>213</v>
      </c>
      <c r="F3259" s="2461" t="s">
        <v>1499</v>
      </c>
      <c r="G3259" s="2461" t="s">
        <v>1439</v>
      </c>
      <c r="H3259" s="2461" t="s">
        <v>1440</v>
      </c>
      <c r="I3259" s="2462">
        <v>0.96160283039125372</v>
      </c>
      <c r="J3259" s="2462">
        <v>512.47270349398843</v>
      </c>
    </row>
    <row r="3260" spans="1:10" outlineLevel="2">
      <c r="A3260" s="2459" t="s">
        <v>1669</v>
      </c>
      <c r="B3260" s="2459" t="s">
        <v>1658</v>
      </c>
      <c r="C3260" s="2459" t="s">
        <v>1673</v>
      </c>
      <c r="D3260" s="2460" t="s">
        <v>1671</v>
      </c>
      <c r="E3260" s="2461" t="s">
        <v>213</v>
      </c>
      <c r="F3260" s="2461" t="s">
        <v>1500</v>
      </c>
      <c r="G3260" s="2461" t="s">
        <v>1439</v>
      </c>
      <c r="H3260" s="2461" t="s">
        <v>1440</v>
      </c>
      <c r="I3260" s="2462">
        <v>3.4675842211205028</v>
      </c>
      <c r="J3260" s="2462">
        <v>1847.7828822369033</v>
      </c>
    </row>
    <row r="3261" spans="1:10" outlineLevel="2">
      <c r="A3261" s="2459" t="s">
        <v>1669</v>
      </c>
      <c r="B3261" s="2459" t="s">
        <v>1658</v>
      </c>
      <c r="C3261" s="2459" t="s">
        <v>1673</v>
      </c>
      <c r="D3261" s="2460" t="s">
        <v>1671</v>
      </c>
      <c r="E3261" s="2461" t="s">
        <v>213</v>
      </c>
      <c r="F3261" s="2461" t="s">
        <v>1501</v>
      </c>
      <c r="G3261" s="2461" t="s">
        <v>1439</v>
      </c>
      <c r="H3261" s="2461" t="s">
        <v>1440</v>
      </c>
      <c r="I3261" s="2462">
        <v>0.63081304745047206</v>
      </c>
      <c r="J3261" s="2462">
        <v>919.68106403199931</v>
      </c>
    </row>
    <row r="3262" spans="1:10" outlineLevel="2">
      <c r="A3262" s="2459" t="s">
        <v>1669</v>
      </c>
      <c r="B3262" s="2459" t="s">
        <v>1658</v>
      </c>
      <c r="C3262" s="2459" t="s">
        <v>1673</v>
      </c>
      <c r="D3262" s="2460" t="s">
        <v>1671</v>
      </c>
      <c r="E3262" s="2461" t="s">
        <v>213</v>
      </c>
      <c r="F3262" s="2461" t="s">
        <v>1502</v>
      </c>
      <c r="G3262" s="2461" t="s">
        <v>1439</v>
      </c>
      <c r="H3262" s="2461" t="s">
        <v>1440</v>
      </c>
      <c r="I3262" s="2462">
        <v>0.41357219667463363</v>
      </c>
      <c r="J3262" s="2462">
        <v>624.32162127045945</v>
      </c>
    </row>
    <row r="3263" spans="1:10" outlineLevel="2">
      <c r="A3263" s="2459" t="s">
        <v>1669</v>
      </c>
      <c r="B3263" s="2459" t="s">
        <v>1658</v>
      </c>
      <c r="C3263" s="2459" t="s">
        <v>1673</v>
      </c>
      <c r="D3263" s="2460" t="s">
        <v>1671</v>
      </c>
      <c r="E3263" s="2461" t="s">
        <v>213</v>
      </c>
      <c r="F3263" s="2461" t="s">
        <v>1503</v>
      </c>
      <c r="G3263" s="2461" t="s">
        <v>1439</v>
      </c>
      <c r="H3263" s="2461" t="s">
        <v>1440</v>
      </c>
      <c r="I3263" s="2462">
        <v>0.54564442623980403</v>
      </c>
      <c r="J3263" s="2462">
        <v>706.67057237028871</v>
      </c>
    </row>
    <row r="3264" spans="1:10" outlineLevel="2">
      <c r="A3264" s="2459" t="s">
        <v>1669</v>
      </c>
      <c r="B3264" s="2459" t="s">
        <v>1658</v>
      </c>
      <c r="C3264" s="2459" t="s">
        <v>1673</v>
      </c>
      <c r="D3264" s="2460" t="s">
        <v>1671</v>
      </c>
      <c r="E3264" s="2461" t="s">
        <v>213</v>
      </c>
      <c r="F3264" s="2461" t="s">
        <v>1504</v>
      </c>
      <c r="G3264" s="2461" t="s">
        <v>1439</v>
      </c>
      <c r="H3264" s="2461" t="s">
        <v>1440</v>
      </c>
      <c r="I3264" s="2462">
        <v>0.27842267500947482</v>
      </c>
      <c r="J3264" s="2462">
        <v>335.52284662109992</v>
      </c>
    </row>
    <row r="3265" spans="1:10" outlineLevel="2">
      <c r="A3265" s="2459" t="s">
        <v>1669</v>
      </c>
      <c r="B3265" s="2459" t="s">
        <v>1658</v>
      </c>
      <c r="C3265" s="2459" t="s">
        <v>1673</v>
      </c>
      <c r="D3265" s="2460" t="s">
        <v>1671</v>
      </c>
      <c r="E3265" s="2461" t="s">
        <v>213</v>
      </c>
      <c r="F3265" s="2461" t="s">
        <v>1505</v>
      </c>
      <c r="G3265" s="2461" t="s">
        <v>1439</v>
      </c>
      <c r="H3265" s="2461" t="s">
        <v>1440</v>
      </c>
      <c r="I3265" s="2462">
        <v>8.4363235124729634</v>
      </c>
      <c r="J3265" s="2462">
        <v>12327.576221289202</v>
      </c>
    </row>
    <row r="3266" spans="1:10" outlineLevel="2">
      <c r="A3266" s="2459" t="s">
        <v>1669</v>
      </c>
      <c r="B3266" s="2459" t="s">
        <v>1658</v>
      </c>
      <c r="C3266" s="2459" t="s">
        <v>1673</v>
      </c>
      <c r="D3266" s="2460" t="s">
        <v>1671</v>
      </c>
      <c r="E3266" s="2461" t="s">
        <v>213</v>
      </c>
      <c r="F3266" s="2461" t="s">
        <v>1506</v>
      </c>
      <c r="G3266" s="2461" t="s">
        <v>1439</v>
      </c>
      <c r="H3266" s="2461" t="s">
        <v>1440</v>
      </c>
      <c r="I3266" s="2462">
        <v>5.6191976221545792</v>
      </c>
      <c r="J3266" s="2462">
        <v>8484.5560664479581</v>
      </c>
    </row>
    <row r="3267" spans="1:10" outlineLevel="2">
      <c r="A3267" s="2459" t="s">
        <v>1669</v>
      </c>
      <c r="B3267" s="2459" t="s">
        <v>1658</v>
      </c>
      <c r="C3267" s="2459" t="s">
        <v>1673</v>
      </c>
      <c r="D3267" s="2460" t="s">
        <v>1671</v>
      </c>
      <c r="E3267" s="2461" t="s">
        <v>213</v>
      </c>
      <c r="F3267" s="2461" t="s">
        <v>1507</v>
      </c>
      <c r="G3267" s="2461" t="s">
        <v>1439</v>
      </c>
      <c r="H3267" s="2461" t="s">
        <v>1440</v>
      </c>
      <c r="I3267" s="2462">
        <v>0.62877950202510835</v>
      </c>
      <c r="J3267" s="2462">
        <v>1416.6984406685256</v>
      </c>
    </row>
    <row r="3268" spans="1:10" outlineLevel="2">
      <c r="A3268" s="2459" t="s">
        <v>1669</v>
      </c>
      <c r="B3268" s="2459" t="s">
        <v>1658</v>
      </c>
      <c r="C3268" s="2459" t="s">
        <v>1673</v>
      </c>
      <c r="D3268" s="2460" t="s">
        <v>1671</v>
      </c>
      <c r="E3268" s="2461" t="s">
        <v>213</v>
      </c>
      <c r="F3268" s="2461" t="s">
        <v>1508</v>
      </c>
      <c r="G3268" s="2461" t="s">
        <v>1439</v>
      </c>
      <c r="H3268" s="2461" t="s">
        <v>1440</v>
      </c>
      <c r="I3268" s="2462">
        <v>17.307403564370581</v>
      </c>
      <c r="J3268" s="2462">
        <v>27388.688869990041</v>
      </c>
    </row>
    <row r="3269" spans="1:10" outlineLevel="2">
      <c r="A3269" s="2459" t="s">
        <v>1669</v>
      </c>
      <c r="B3269" s="2459" t="s">
        <v>1658</v>
      </c>
      <c r="C3269" s="2459" t="s">
        <v>1673</v>
      </c>
      <c r="D3269" s="2460" t="s">
        <v>1671</v>
      </c>
      <c r="E3269" s="2461" t="s">
        <v>213</v>
      </c>
      <c r="F3269" s="2461" t="s">
        <v>1509</v>
      </c>
      <c r="G3269" s="2461" t="s">
        <v>1439</v>
      </c>
      <c r="H3269" s="2461" t="s">
        <v>1440</v>
      </c>
      <c r="I3269" s="2462">
        <v>0.38407007864575116</v>
      </c>
      <c r="J3269" s="2462">
        <v>438.20124903010418</v>
      </c>
    </row>
    <row r="3270" spans="1:10" outlineLevel="2">
      <c r="A3270" s="2459" t="s">
        <v>1669</v>
      </c>
      <c r="B3270" s="2459" t="s">
        <v>1658</v>
      </c>
      <c r="C3270" s="2459" t="s">
        <v>1673</v>
      </c>
      <c r="D3270" s="2460" t="s">
        <v>1671</v>
      </c>
      <c r="E3270" s="2461" t="s">
        <v>213</v>
      </c>
      <c r="F3270" s="2461" t="s">
        <v>1510</v>
      </c>
      <c r="G3270" s="2461" t="s">
        <v>1439</v>
      </c>
      <c r="H3270" s="2461" t="s">
        <v>1440</v>
      </c>
      <c r="I3270" s="2462">
        <v>0.72629152575724254</v>
      </c>
      <c r="J3270" s="2462">
        <v>841.60868288473819</v>
      </c>
    </row>
    <row r="3271" spans="1:10" outlineLevel="2">
      <c r="A3271" s="2459" t="s">
        <v>1669</v>
      </c>
      <c r="B3271" s="2459" t="s">
        <v>1658</v>
      </c>
      <c r="C3271" s="2459" t="s">
        <v>1673</v>
      </c>
      <c r="D3271" s="2460" t="s">
        <v>1671</v>
      </c>
      <c r="E3271" s="2461" t="s">
        <v>213</v>
      </c>
      <c r="F3271" s="2461" t="s">
        <v>1511</v>
      </c>
      <c r="G3271" s="2461" t="s">
        <v>1418</v>
      </c>
      <c r="H3271" s="2461" t="s">
        <v>1452</v>
      </c>
      <c r="I3271" s="2462">
        <v>2.0346476293620834E-4</v>
      </c>
      <c r="J3271" s="2462">
        <v>0.30005116941727167</v>
      </c>
    </row>
    <row r="3272" spans="1:10" outlineLevel="2">
      <c r="A3272" s="2459" t="s">
        <v>1669</v>
      </c>
      <c r="B3272" s="2459" t="s">
        <v>1658</v>
      </c>
      <c r="C3272" s="2459" t="s">
        <v>1673</v>
      </c>
      <c r="D3272" s="2460" t="s">
        <v>1671</v>
      </c>
      <c r="E3272" s="2461" t="s">
        <v>213</v>
      </c>
      <c r="F3272" s="2461" t="s">
        <v>1512</v>
      </c>
      <c r="G3272" s="2461" t="s">
        <v>1418</v>
      </c>
      <c r="H3272" s="2461" t="s">
        <v>1452</v>
      </c>
      <c r="I3272" s="2462">
        <v>2.6626064251456807E-4</v>
      </c>
      <c r="J3272" s="2462">
        <v>1.1610904316582435</v>
      </c>
    </row>
    <row r="3273" spans="1:10" outlineLevel="2">
      <c r="A3273" s="2459" t="s">
        <v>1669</v>
      </c>
      <c r="B3273" s="2459" t="s">
        <v>1658</v>
      </c>
      <c r="C3273" s="2459" t="s">
        <v>1673</v>
      </c>
      <c r="D3273" s="2460" t="s">
        <v>1671</v>
      </c>
      <c r="E3273" s="2461" t="s">
        <v>213</v>
      </c>
      <c r="F3273" s="2461" t="s">
        <v>1513</v>
      </c>
      <c r="G3273" s="2461" t="s">
        <v>1418</v>
      </c>
      <c r="H3273" s="2461" t="s">
        <v>1452</v>
      </c>
      <c r="I3273" s="2462">
        <v>9.9300283912975101E-6</v>
      </c>
      <c r="J3273" s="2462">
        <v>9.3139586919334435E-3</v>
      </c>
    </row>
    <row r="3274" spans="1:10" outlineLevel="2">
      <c r="A3274" s="2459" t="s">
        <v>1669</v>
      </c>
      <c r="B3274" s="2459" t="s">
        <v>1658</v>
      </c>
      <c r="C3274" s="2459" t="s">
        <v>1673</v>
      </c>
      <c r="D3274" s="2460" t="s">
        <v>1671</v>
      </c>
      <c r="E3274" s="2461" t="s">
        <v>213</v>
      </c>
      <c r="F3274" s="2461" t="s">
        <v>1514</v>
      </c>
      <c r="G3274" s="2461" t="s">
        <v>1418</v>
      </c>
      <c r="H3274" s="2461" t="s">
        <v>1452</v>
      </c>
      <c r="I3274" s="2462">
        <v>8.9070766545624666E-4</v>
      </c>
      <c r="J3274" s="2462">
        <v>0.83378299577823545</v>
      </c>
    </row>
    <row r="3275" spans="1:10" outlineLevel="2">
      <c r="A3275" s="2459" t="s">
        <v>1669</v>
      </c>
      <c r="B3275" s="2459" t="s">
        <v>1658</v>
      </c>
      <c r="C3275" s="2459" t="s">
        <v>1673</v>
      </c>
      <c r="D3275" s="2460" t="s">
        <v>1671</v>
      </c>
      <c r="E3275" s="2461" t="s">
        <v>213</v>
      </c>
      <c r="F3275" s="2461" t="s">
        <v>1515</v>
      </c>
      <c r="G3275" s="2461" t="s">
        <v>1418</v>
      </c>
      <c r="H3275" s="2461" t="s">
        <v>1452</v>
      </c>
      <c r="I3275" s="2462">
        <v>1.7118280894680752E-4</v>
      </c>
      <c r="J3275" s="2462">
        <v>0.24668772217625207</v>
      </c>
    </row>
    <row r="3276" spans="1:10" outlineLevel="2">
      <c r="A3276" s="2459" t="s">
        <v>1669</v>
      </c>
      <c r="B3276" s="2459" t="s">
        <v>1658</v>
      </c>
      <c r="C3276" s="2459" t="s">
        <v>1673</v>
      </c>
      <c r="D3276" s="2460" t="s">
        <v>1671</v>
      </c>
      <c r="E3276" s="2461" t="s">
        <v>213</v>
      </c>
      <c r="F3276" s="2461" t="s">
        <v>1516</v>
      </c>
      <c r="G3276" s="2461" t="s">
        <v>1418</v>
      </c>
      <c r="H3276" s="2461" t="s">
        <v>1452</v>
      </c>
      <c r="I3276" s="2462">
        <v>2.4463069370181238E-3</v>
      </c>
      <c r="J3276" s="2462">
        <v>2.7332861939412467</v>
      </c>
    </row>
    <row r="3277" spans="1:10" outlineLevel="2">
      <c r="A3277" s="2459" t="s">
        <v>1669</v>
      </c>
      <c r="B3277" s="2459" t="s">
        <v>1658</v>
      </c>
      <c r="C3277" s="2459" t="s">
        <v>1673</v>
      </c>
      <c r="D3277" s="2460" t="s">
        <v>1671</v>
      </c>
      <c r="E3277" s="2461" t="s">
        <v>213</v>
      </c>
      <c r="F3277" s="2461" t="s">
        <v>1517</v>
      </c>
      <c r="G3277" s="2461" t="s">
        <v>1418</v>
      </c>
      <c r="H3277" s="2461" t="s">
        <v>1452</v>
      </c>
      <c r="I3277" s="2462">
        <v>1.2524116981904846E-2</v>
      </c>
      <c r="J3277" s="2462">
        <v>6.127748159012647</v>
      </c>
    </row>
    <row r="3278" spans="1:10" outlineLevel="2">
      <c r="A3278" s="2459" t="s">
        <v>1669</v>
      </c>
      <c r="B3278" s="2459" t="s">
        <v>1658</v>
      </c>
      <c r="C3278" s="2459" t="s">
        <v>1673</v>
      </c>
      <c r="D3278" s="2460" t="s">
        <v>1671</v>
      </c>
      <c r="E3278" s="2461" t="s">
        <v>213</v>
      </c>
      <c r="F3278" s="2461" t="s">
        <v>1518</v>
      </c>
      <c r="G3278" s="2461" t="s">
        <v>1418</v>
      </c>
      <c r="H3278" s="2461" t="s">
        <v>1452</v>
      </c>
      <c r="I3278" s="2462">
        <v>1.4106068937396069E-3</v>
      </c>
      <c r="J3278" s="2462">
        <v>1.3204561531960906</v>
      </c>
    </row>
    <row r="3279" spans="1:10" outlineLevel="2">
      <c r="A3279" s="2459" t="s">
        <v>1669</v>
      </c>
      <c r="B3279" s="2459" t="s">
        <v>1658</v>
      </c>
      <c r="C3279" s="2459" t="s">
        <v>1673</v>
      </c>
      <c r="D3279" s="2460" t="s">
        <v>1671</v>
      </c>
      <c r="E3279" s="2461" t="s">
        <v>213</v>
      </c>
      <c r="F3279" s="2461" t="s">
        <v>1519</v>
      </c>
      <c r="G3279" s="2461" t="s">
        <v>1418</v>
      </c>
      <c r="H3279" s="2461" t="s">
        <v>1452</v>
      </c>
      <c r="I3279" s="2462">
        <v>1.8518742154920464E-3</v>
      </c>
      <c r="J3279" s="2462">
        <v>1.8843382866129199</v>
      </c>
    </row>
    <row r="3280" spans="1:10" outlineLevel="2">
      <c r="A3280" s="2459" t="s">
        <v>1669</v>
      </c>
      <c r="B3280" s="2459" t="s">
        <v>1658</v>
      </c>
      <c r="C3280" s="2459" t="s">
        <v>1673</v>
      </c>
      <c r="D3280" s="2460" t="s">
        <v>1671</v>
      </c>
      <c r="E3280" s="2461" t="s">
        <v>213</v>
      </c>
      <c r="F3280" s="2461" t="s">
        <v>1520</v>
      </c>
      <c r="G3280" s="2461" t="s">
        <v>1418</v>
      </c>
      <c r="H3280" s="2461" t="s">
        <v>1452</v>
      </c>
      <c r="I3280" s="2462">
        <v>2.2186120638689093E-4</v>
      </c>
      <c r="J3280" s="2462">
        <v>2.0138036466373221</v>
      </c>
    </row>
    <row r="3281" spans="1:10" outlineLevel="2">
      <c r="A3281" s="2459" t="s">
        <v>1669</v>
      </c>
      <c r="B3281" s="2459" t="s">
        <v>1658</v>
      </c>
      <c r="C3281" s="2459" t="s">
        <v>1673</v>
      </c>
      <c r="D3281" s="2460" t="s">
        <v>1671</v>
      </c>
      <c r="E3281" s="2461" t="s">
        <v>213</v>
      </c>
      <c r="F3281" s="2461" t="s">
        <v>1521</v>
      </c>
      <c r="G3281" s="2461" t="s">
        <v>1421</v>
      </c>
      <c r="H3281" s="2461" t="s">
        <v>1454</v>
      </c>
      <c r="I3281" s="2462">
        <v>4.3645109594388112</v>
      </c>
      <c r="J3281" s="2462">
        <v>6053.3721341466817</v>
      </c>
    </row>
    <row r="3282" spans="1:10" outlineLevel="2">
      <c r="A3282" s="2459" t="s">
        <v>1669</v>
      </c>
      <c r="B3282" s="2459" t="s">
        <v>1658</v>
      </c>
      <c r="C3282" s="2459" t="s">
        <v>1673</v>
      </c>
      <c r="D3282" s="2460" t="s">
        <v>1671</v>
      </c>
      <c r="E3282" s="2461" t="s">
        <v>213</v>
      </c>
      <c r="F3282" s="2461" t="s">
        <v>1522</v>
      </c>
      <c r="G3282" s="2461" t="s">
        <v>1421</v>
      </c>
      <c r="H3282" s="2461" t="s">
        <v>1454</v>
      </c>
      <c r="I3282" s="2462">
        <v>1.0251677487083231</v>
      </c>
      <c r="J3282" s="2462">
        <v>1514.4997719112964</v>
      </c>
    </row>
    <row r="3283" spans="1:10" outlineLevel="2">
      <c r="A3283" s="2459" t="s">
        <v>1669</v>
      </c>
      <c r="B3283" s="2459" t="s">
        <v>1658</v>
      </c>
      <c r="C3283" s="2459" t="s">
        <v>1673</v>
      </c>
      <c r="D3283" s="2460" t="s">
        <v>1671</v>
      </c>
      <c r="E3283" s="2461" t="s">
        <v>213</v>
      </c>
      <c r="F3283" s="2461" t="s">
        <v>1523</v>
      </c>
      <c r="G3283" s="2461" t="s">
        <v>1421</v>
      </c>
      <c r="H3283" s="2461" t="s">
        <v>1454</v>
      </c>
      <c r="I3283" s="2462">
        <v>0.47293262778600031</v>
      </c>
      <c r="J3283" s="2462">
        <v>800.81740916246247</v>
      </c>
    </row>
    <row r="3284" spans="1:10" outlineLevel="2">
      <c r="A3284" s="2459" t="s">
        <v>1669</v>
      </c>
      <c r="B3284" s="2459" t="s">
        <v>1658</v>
      </c>
      <c r="C3284" s="2459" t="s">
        <v>1673</v>
      </c>
      <c r="D3284" s="2460" t="s">
        <v>1671</v>
      </c>
      <c r="E3284" s="2461" t="s">
        <v>213</v>
      </c>
      <c r="F3284" s="2461" t="s">
        <v>1524</v>
      </c>
      <c r="G3284" s="2461" t="s">
        <v>1421</v>
      </c>
      <c r="H3284" s="2461" t="s">
        <v>1454</v>
      </c>
      <c r="I3284" s="2462">
        <v>1.0897417168709256</v>
      </c>
      <c r="J3284" s="2462">
        <v>1721.5418735261908</v>
      </c>
    </row>
    <row r="3285" spans="1:10" outlineLevel="2">
      <c r="A3285" s="2459" t="s">
        <v>1669</v>
      </c>
      <c r="B3285" s="2459" t="s">
        <v>1658</v>
      </c>
      <c r="C3285" s="2459" t="s">
        <v>1673</v>
      </c>
      <c r="D3285" s="2460" t="s">
        <v>1671</v>
      </c>
      <c r="E3285" s="2461" t="s">
        <v>213</v>
      </c>
      <c r="F3285" s="2461" t="s">
        <v>1525</v>
      </c>
      <c r="G3285" s="2461" t="s">
        <v>1421</v>
      </c>
      <c r="H3285" s="2461" t="s">
        <v>1454</v>
      </c>
      <c r="I3285" s="2462">
        <v>1.9197351939803404</v>
      </c>
      <c r="J3285" s="2462">
        <v>2719.9891811510483</v>
      </c>
    </row>
    <row r="3286" spans="1:10" outlineLevel="2">
      <c r="A3286" s="2459" t="s">
        <v>1669</v>
      </c>
      <c r="B3286" s="2459" t="s">
        <v>1658</v>
      </c>
      <c r="C3286" s="2459" t="s">
        <v>1673</v>
      </c>
      <c r="D3286" s="2460" t="s">
        <v>1671</v>
      </c>
      <c r="E3286" s="2461" t="s">
        <v>213</v>
      </c>
      <c r="F3286" s="2461" t="s">
        <v>1526</v>
      </c>
      <c r="G3286" s="2461" t="s">
        <v>1421</v>
      </c>
      <c r="H3286" s="2461" t="s">
        <v>1454</v>
      </c>
      <c r="I3286" s="2462">
        <v>8.893627816042883E-2</v>
      </c>
      <c r="J3286" s="2462">
        <v>127.61743982191871</v>
      </c>
    </row>
    <row r="3287" spans="1:10" outlineLevel="2">
      <c r="A3287" s="2459" t="s">
        <v>1669</v>
      </c>
      <c r="B3287" s="2459" t="s">
        <v>1658</v>
      </c>
      <c r="C3287" s="2459" t="s">
        <v>1673</v>
      </c>
      <c r="D3287" s="2460" t="s">
        <v>1671</v>
      </c>
      <c r="E3287" s="2461" t="s">
        <v>213</v>
      </c>
      <c r="F3287" s="2461" t="s">
        <v>1527</v>
      </c>
      <c r="G3287" s="2461" t="s">
        <v>1459</v>
      </c>
      <c r="H3287" s="2461" t="s">
        <v>1460</v>
      </c>
      <c r="I3287" s="2462">
        <v>1.4805492171276115E-2</v>
      </c>
      <c r="J3287" s="2462">
        <v>15.456806142515241</v>
      </c>
    </row>
    <row r="3288" spans="1:10" outlineLevel="2">
      <c r="A3288" s="2459" t="s">
        <v>1669</v>
      </c>
      <c r="B3288" s="2459" t="s">
        <v>1658</v>
      </c>
      <c r="C3288" s="2459" t="s">
        <v>1673</v>
      </c>
      <c r="D3288" s="2460" t="s">
        <v>1671</v>
      </c>
      <c r="E3288" s="2461" t="s">
        <v>213</v>
      </c>
      <c r="F3288" s="2461" t="s">
        <v>1528</v>
      </c>
      <c r="G3288" s="2461" t="s">
        <v>1459</v>
      </c>
      <c r="H3288" s="2461" t="s">
        <v>1460</v>
      </c>
      <c r="I3288" s="2462">
        <v>1.2887412708698749E-4</v>
      </c>
      <c r="J3288" s="2462">
        <v>0.16473294769248353</v>
      </c>
    </row>
    <row r="3289" spans="1:10" outlineLevel="2">
      <c r="A3289" s="2459" t="s">
        <v>1669</v>
      </c>
      <c r="B3289" s="2459" t="s">
        <v>1658</v>
      </c>
      <c r="C3289" s="2459" t="s">
        <v>1673</v>
      </c>
      <c r="D3289" s="2460" t="s">
        <v>1671</v>
      </c>
      <c r="E3289" s="2461" t="s">
        <v>213</v>
      </c>
      <c r="F3289" s="2461" t="s">
        <v>1529</v>
      </c>
      <c r="G3289" s="2461" t="s">
        <v>1530</v>
      </c>
      <c r="H3289" s="2461" t="s">
        <v>1531</v>
      </c>
      <c r="I3289" s="2462">
        <v>1.8704241817668945</v>
      </c>
      <c r="J3289" s="2462">
        <v>1591.3917221515674</v>
      </c>
    </row>
    <row r="3290" spans="1:10" outlineLevel="2">
      <c r="A3290" s="2459" t="s">
        <v>1669</v>
      </c>
      <c r="B3290" s="2459" t="s">
        <v>1658</v>
      </c>
      <c r="C3290" s="2459" t="s">
        <v>1673</v>
      </c>
      <c r="D3290" s="2460" t="s">
        <v>1671</v>
      </c>
      <c r="E3290" s="2461" t="s">
        <v>213</v>
      </c>
      <c r="F3290" s="2461" t="s">
        <v>1532</v>
      </c>
      <c r="G3290" s="2461" t="s">
        <v>1530</v>
      </c>
      <c r="H3290" s="2461" t="s">
        <v>1531</v>
      </c>
      <c r="I3290" s="2462">
        <v>0.78728518545384452</v>
      </c>
      <c r="J3290" s="2462">
        <v>671.64109222652564</v>
      </c>
    </row>
    <row r="3291" spans="1:10" outlineLevel="2">
      <c r="A3291" s="2459" t="s">
        <v>1669</v>
      </c>
      <c r="B3291" s="2459" t="s">
        <v>1658</v>
      </c>
      <c r="C3291" s="2459" t="s">
        <v>1673</v>
      </c>
      <c r="D3291" s="2460" t="s">
        <v>1671</v>
      </c>
      <c r="E3291" s="2461" t="s">
        <v>213</v>
      </c>
      <c r="F3291" s="2461" t="s">
        <v>1533</v>
      </c>
      <c r="G3291" s="2461" t="s">
        <v>1534</v>
      </c>
      <c r="H3291" s="2461" t="s">
        <v>1531</v>
      </c>
      <c r="I3291" s="2462">
        <v>0.29520362146911899</v>
      </c>
      <c r="J3291" s="2462">
        <v>496.12908374540103</v>
      </c>
    </row>
    <row r="3292" spans="1:10" outlineLevel="2">
      <c r="A3292" s="2459" t="s">
        <v>1669</v>
      </c>
      <c r="B3292" s="2459" t="s">
        <v>1658</v>
      </c>
      <c r="C3292" s="2459" t="s">
        <v>1673</v>
      </c>
      <c r="D3292" s="2460" t="s">
        <v>1671</v>
      </c>
      <c r="E3292" s="2461" t="s">
        <v>213</v>
      </c>
      <c r="F3292" s="2461" t="s">
        <v>1535</v>
      </c>
      <c r="G3292" s="2461" t="s">
        <v>1536</v>
      </c>
      <c r="H3292" s="2461" t="s">
        <v>1537</v>
      </c>
      <c r="I3292" s="2462">
        <v>4.9734159972396434E-3</v>
      </c>
      <c r="J3292" s="2462">
        <v>7.4163310660349193</v>
      </c>
    </row>
    <row r="3293" spans="1:10" outlineLevel="2">
      <c r="A3293" s="2459" t="s">
        <v>1669</v>
      </c>
      <c r="B3293" s="2459" t="s">
        <v>1658</v>
      </c>
      <c r="C3293" s="2459" t="s">
        <v>1673</v>
      </c>
      <c r="D3293" s="2460" t="s">
        <v>1671</v>
      </c>
      <c r="E3293" s="2461" t="s">
        <v>1538</v>
      </c>
      <c r="F3293" s="2461" t="s">
        <v>1539</v>
      </c>
      <c r="G3293" s="2461" t="s">
        <v>1426</v>
      </c>
      <c r="H3293" s="2461" t="s">
        <v>1540</v>
      </c>
      <c r="I3293" s="2462">
        <v>3.8453088531034021E-3</v>
      </c>
      <c r="J3293" s="2462">
        <v>7.3639532715053111</v>
      </c>
    </row>
    <row r="3294" spans="1:10" outlineLevel="2">
      <c r="A3294" s="2459" t="s">
        <v>1669</v>
      </c>
      <c r="B3294" s="2459" t="s">
        <v>1658</v>
      </c>
      <c r="C3294" s="2459" t="s">
        <v>1673</v>
      </c>
      <c r="D3294" s="2460" t="s">
        <v>1671</v>
      </c>
      <c r="E3294" s="2461" t="s">
        <v>1538</v>
      </c>
      <c r="F3294" s="2461" t="s">
        <v>1541</v>
      </c>
      <c r="G3294" s="2461" t="s">
        <v>1409</v>
      </c>
      <c r="H3294" s="2461" t="s">
        <v>1540</v>
      </c>
      <c r="I3294" s="2462">
        <v>2.1651920273612311E-3</v>
      </c>
      <c r="J3294" s="2462">
        <v>10.078961176587544</v>
      </c>
    </row>
    <row r="3295" spans="1:10" outlineLevel="2">
      <c r="A3295" s="2459" t="s">
        <v>1669</v>
      </c>
      <c r="B3295" s="2459" t="s">
        <v>1658</v>
      </c>
      <c r="C3295" s="2459" t="s">
        <v>1673</v>
      </c>
      <c r="D3295" s="2460" t="s">
        <v>1671</v>
      </c>
      <c r="E3295" s="2461" t="s">
        <v>1538</v>
      </c>
      <c r="F3295" s="2461" t="s">
        <v>1542</v>
      </c>
      <c r="G3295" s="2461" t="s">
        <v>1409</v>
      </c>
      <c r="H3295" s="2461" t="s">
        <v>1540</v>
      </c>
      <c r="I3295" s="2462">
        <v>1.1612621461060664E-3</v>
      </c>
      <c r="J3295" s="2462">
        <v>16.855562326662849</v>
      </c>
    </row>
    <row r="3296" spans="1:10" outlineLevel="2">
      <c r="A3296" s="2459" t="s">
        <v>1669</v>
      </c>
      <c r="B3296" s="2459" t="s">
        <v>1658</v>
      </c>
      <c r="C3296" s="2459" t="s">
        <v>1673</v>
      </c>
      <c r="D3296" s="2460" t="s">
        <v>1671</v>
      </c>
      <c r="E3296" s="2461" t="s">
        <v>1538</v>
      </c>
      <c r="F3296" s="2461" t="s">
        <v>1543</v>
      </c>
      <c r="G3296" s="2461" t="s">
        <v>1409</v>
      </c>
      <c r="H3296" s="2461" t="s">
        <v>1540</v>
      </c>
      <c r="I3296" s="2462">
        <v>1.7217522908900881E-3</v>
      </c>
      <c r="J3296" s="2462">
        <v>2.9766764098727205</v>
      </c>
    </row>
    <row r="3297" spans="1:10" outlineLevel="2">
      <c r="A3297" s="2459" t="s">
        <v>1669</v>
      </c>
      <c r="B3297" s="2459" t="s">
        <v>1658</v>
      </c>
      <c r="C3297" s="2459" t="s">
        <v>1673</v>
      </c>
      <c r="D3297" s="2460" t="s">
        <v>1671</v>
      </c>
      <c r="E3297" s="2461" t="s">
        <v>1538</v>
      </c>
      <c r="F3297" s="2461" t="s">
        <v>1544</v>
      </c>
      <c r="G3297" s="2461" t="s">
        <v>1409</v>
      </c>
      <c r="H3297" s="2461" t="s">
        <v>1540</v>
      </c>
      <c r="I3297" s="2462">
        <v>3.1521690519324339E-4</v>
      </c>
      <c r="J3297" s="2462">
        <v>1.7257146136544137</v>
      </c>
    </row>
    <row r="3298" spans="1:10" outlineLevel="2">
      <c r="A3298" s="2459" t="s">
        <v>1669</v>
      </c>
      <c r="B3298" s="2459" t="s">
        <v>1658</v>
      </c>
      <c r="C3298" s="2459" t="s">
        <v>1673</v>
      </c>
      <c r="D3298" s="2460" t="s">
        <v>1671</v>
      </c>
      <c r="E3298" s="2461" t="s">
        <v>1538</v>
      </c>
      <c r="F3298" s="2461" t="s">
        <v>1545</v>
      </c>
      <c r="G3298" s="2461" t="s">
        <v>1409</v>
      </c>
      <c r="H3298" s="2461" t="s">
        <v>1540</v>
      </c>
      <c r="I3298" s="2462">
        <v>6.9768422252470021E-3</v>
      </c>
      <c r="J3298" s="2462">
        <v>31.170336428697979</v>
      </c>
    </row>
    <row r="3299" spans="1:10" outlineLevel="2">
      <c r="A3299" s="2459" t="s">
        <v>1669</v>
      </c>
      <c r="B3299" s="2459" t="s">
        <v>1658</v>
      </c>
      <c r="C3299" s="2459" t="s">
        <v>1673</v>
      </c>
      <c r="D3299" s="2460" t="s">
        <v>1671</v>
      </c>
      <c r="E3299" s="2461" t="s">
        <v>1538</v>
      </c>
      <c r="F3299" s="2461" t="s">
        <v>1546</v>
      </c>
      <c r="G3299" s="2461" t="s">
        <v>1409</v>
      </c>
      <c r="H3299" s="2461" t="s">
        <v>1540</v>
      </c>
      <c r="I3299" s="2462">
        <v>1.3345449830497957E-2</v>
      </c>
      <c r="J3299" s="2462">
        <v>15.656200157677999</v>
      </c>
    </row>
    <row r="3300" spans="1:10" outlineLevel="2">
      <c r="A3300" s="2459" t="s">
        <v>1669</v>
      </c>
      <c r="B3300" s="2459" t="s">
        <v>1658</v>
      </c>
      <c r="C3300" s="2459" t="s">
        <v>1673</v>
      </c>
      <c r="D3300" s="2460" t="s">
        <v>1671</v>
      </c>
      <c r="E3300" s="2461" t="s">
        <v>1538</v>
      </c>
      <c r="F3300" s="2461" t="s">
        <v>1547</v>
      </c>
      <c r="G3300" s="2461" t="s">
        <v>1409</v>
      </c>
      <c r="H3300" s="2461" t="s">
        <v>1540</v>
      </c>
      <c r="I3300" s="2462">
        <v>1.449491421775403E-3</v>
      </c>
      <c r="J3300" s="2462">
        <v>28.8383006107236</v>
      </c>
    </row>
    <row r="3301" spans="1:10" outlineLevel="2">
      <c r="A3301" s="2459" t="s">
        <v>1669</v>
      </c>
      <c r="B3301" s="2459" t="s">
        <v>1658</v>
      </c>
      <c r="C3301" s="2459" t="s">
        <v>1673</v>
      </c>
      <c r="D3301" s="2460" t="s">
        <v>1671</v>
      </c>
      <c r="E3301" s="2461" t="s">
        <v>1538</v>
      </c>
      <c r="F3301" s="2461" t="s">
        <v>1548</v>
      </c>
      <c r="G3301" s="2461" t="s">
        <v>1409</v>
      </c>
      <c r="H3301" s="2461" t="s">
        <v>1540</v>
      </c>
      <c r="I3301" s="2462">
        <v>6.7274602591750783E-3</v>
      </c>
      <c r="J3301" s="2462">
        <v>11.750666525613372</v>
      </c>
    </row>
    <row r="3302" spans="1:10" outlineLevel="2">
      <c r="A3302" s="2459" t="s">
        <v>1669</v>
      </c>
      <c r="B3302" s="2459" t="s">
        <v>1658</v>
      </c>
      <c r="C3302" s="2459" t="s">
        <v>1673</v>
      </c>
      <c r="D3302" s="2460" t="s">
        <v>1671</v>
      </c>
      <c r="E3302" s="2461" t="s">
        <v>1538</v>
      </c>
      <c r="F3302" s="2461" t="s">
        <v>1549</v>
      </c>
      <c r="G3302" s="2461" t="s">
        <v>1409</v>
      </c>
      <c r="H3302" s="2461" t="s">
        <v>1540</v>
      </c>
      <c r="I3302" s="2462">
        <v>1.005678115109256E-3</v>
      </c>
      <c r="J3302" s="2462">
        <v>1.9259342183556143</v>
      </c>
    </row>
    <row r="3303" spans="1:10" outlineLevel="2">
      <c r="A3303" s="2459" t="s">
        <v>1669</v>
      </c>
      <c r="B3303" s="2459" t="s">
        <v>1658</v>
      </c>
      <c r="C3303" s="2459" t="s">
        <v>1673</v>
      </c>
      <c r="D3303" s="2460" t="s">
        <v>1671</v>
      </c>
      <c r="E3303" s="2461" t="s">
        <v>1538</v>
      </c>
      <c r="F3303" s="2461" t="s">
        <v>1550</v>
      </c>
      <c r="G3303" s="2461" t="s">
        <v>1409</v>
      </c>
      <c r="H3303" s="2461" t="s">
        <v>1540</v>
      </c>
      <c r="I3303" s="2462">
        <v>5.5116241383886396E-3</v>
      </c>
      <c r="J3303" s="2462">
        <v>20.026356152701844</v>
      </c>
    </row>
    <row r="3304" spans="1:10" outlineLevel="2">
      <c r="A3304" s="2459" t="s">
        <v>1669</v>
      </c>
      <c r="B3304" s="2459" t="s">
        <v>1658</v>
      </c>
      <c r="C3304" s="2459" t="s">
        <v>1673</v>
      </c>
      <c r="D3304" s="2460" t="s">
        <v>1671</v>
      </c>
      <c r="E3304" s="2461" t="s">
        <v>1538</v>
      </c>
      <c r="F3304" s="2461" t="s">
        <v>1551</v>
      </c>
      <c r="G3304" s="2461" t="s">
        <v>1409</v>
      </c>
      <c r="H3304" s="2461" t="s">
        <v>1540</v>
      </c>
      <c r="I3304" s="2462">
        <v>4.5406827632154638E-3</v>
      </c>
      <c r="J3304" s="2462">
        <v>48.359266241996266</v>
      </c>
    </row>
    <row r="3305" spans="1:10" outlineLevel="2">
      <c r="A3305" s="2459" t="s">
        <v>1669</v>
      </c>
      <c r="B3305" s="2459" t="s">
        <v>1658</v>
      </c>
      <c r="C3305" s="2459" t="s">
        <v>1673</v>
      </c>
      <c r="D3305" s="2460" t="s">
        <v>1671</v>
      </c>
      <c r="E3305" s="2461" t="s">
        <v>1538</v>
      </c>
      <c r="F3305" s="2461" t="s">
        <v>1552</v>
      </c>
      <c r="G3305" s="2461" t="s">
        <v>1409</v>
      </c>
      <c r="H3305" s="2461" t="s">
        <v>1540</v>
      </c>
      <c r="I3305" s="2462">
        <v>3.195029336251648E-4</v>
      </c>
      <c r="J3305" s="2462">
        <v>5.088027292743492</v>
      </c>
    </row>
    <row r="3306" spans="1:10" outlineLevel="2">
      <c r="A3306" s="2459" t="s">
        <v>1669</v>
      </c>
      <c r="B3306" s="2459" t="s">
        <v>1658</v>
      </c>
      <c r="C3306" s="2459" t="s">
        <v>1673</v>
      </c>
      <c r="D3306" s="2460" t="s">
        <v>1671</v>
      </c>
      <c r="E3306" s="2461" t="s">
        <v>1538</v>
      </c>
      <c r="F3306" s="2461" t="s">
        <v>1553</v>
      </c>
      <c r="G3306" s="2461" t="s">
        <v>1409</v>
      </c>
      <c r="H3306" s="2461" t="s">
        <v>1540</v>
      </c>
      <c r="I3306" s="2462">
        <v>2.369424100479698E-2</v>
      </c>
      <c r="J3306" s="2462">
        <v>43.559578506693775</v>
      </c>
    </row>
    <row r="3307" spans="1:10" outlineLevel="2">
      <c r="A3307" s="2459" t="s">
        <v>1669</v>
      </c>
      <c r="B3307" s="2459" t="s">
        <v>1658</v>
      </c>
      <c r="C3307" s="2459" t="s">
        <v>1673</v>
      </c>
      <c r="D3307" s="2460" t="s">
        <v>1671</v>
      </c>
      <c r="E3307" s="2461" t="s">
        <v>1538</v>
      </c>
      <c r="F3307" s="2461" t="s">
        <v>1554</v>
      </c>
      <c r="G3307" s="2461" t="s">
        <v>1409</v>
      </c>
      <c r="H3307" s="2461" t="s">
        <v>1540</v>
      </c>
      <c r="I3307" s="2462">
        <v>1.3207143132083618E-2</v>
      </c>
      <c r="J3307" s="2462">
        <v>18.280746875664065</v>
      </c>
    </row>
    <row r="3308" spans="1:10" outlineLevel="2">
      <c r="A3308" s="2459" t="s">
        <v>1669</v>
      </c>
      <c r="B3308" s="2459" t="s">
        <v>1658</v>
      </c>
      <c r="C3308" s="2459" t="s">
        <v>1673</v>
      </c>
      <c r="D3308" s="2460" t="s">
        <v>1671</v>
      </c>
      <c r="E3308" s="2461" t="s">
        <v>1538</v>
      </c>
      <c r="F3308" s="2461" t="s">
        <v>1555</v>
      </c>
      <c r="G3308" s="2461" t="s">
        <v>1412</v>
      </c>
      <c r="H3308" s="2461" t="s">
        <v>1540</v>
      </c>
      <c r="I3308" s="2462">
        <v>3.9816634905568825E-2</v>
      </c>
      <c r="J3308" s="2462">
        <v>122.57110787670054</v>
      </c>
    </row>
    <row r="3309" spans="1:10" outlineLevel="2">
      <c r="A3309" s="2459" t="s">
        <v>1669</v>
      </c>
      <c r="B3309" s="2459" t="s">
        <v>1658</v>
      </c>
      <c r="C3309" s="2459" t="s">
        <v>1673</v>
      </c>
      <c r="D3309" s="2460" t="s">
        <v>1671</v>
      </c>
      <c r="E3309" s="2461" t="s">
        <v>1538</v>
      </c>
      <c r="F3309" s="2461" t="s">
        <v>1556</v>
      </c>
      <c r="G3309" s="2461" t="s">
        <v>1412</v>
      </c>
      <c r="H3309" s="2461" t="s">
        <v>1540</v>
      </c>
      <c r="I3309" s="2462">
        <v>0.79158131794062603</v>
      </c>
      <c r="J3309" s="2462">
        <v>11149.179175641562</v>
      </c>
    </row>
    <row r="3310" spans="1:10" outlineLevel="2">
      <c r="A3310" s="2459" t="s">
        <v>1669</v>
      </c>
      <c r="B3310" s="2459" t="s">
        <v>1658</v>
      </c>
      <c r="C3310" s="2459" t="s">
        <v>1673</v>
      </c>
      <c r="D3310" s="2460" t="s">
        <v>1671</v>
      </c>
      <c r="E3310" s="2461" t="s">
        <v>1538</v>
      </c>
      <c r="F3310" s="2461" t="s">
        <v>1557</v>
      </c>
      <c r="G3310" s="2461" t="s">
        <v>1412</v>
      </c>
      <c r="H3310" s="2461" t="s">
        <v>1540</v>
      </c>
      <c r="I3310" s="2462">
        <v>4.7126822471245371E-3</v>
      </c>
      <c r="J3310" s="2462">
        <v>83.057099282358308</v>
      </c>
    </row>
    <row r="3311" spans="1:10" outlineLevel="2">
      <c r="A3311" s="2459" t="s">
        <v>1669</v>
      </c>
      <c r="B3311" s="2459" t="s">
        <v>1658</v>
      </c>
      <c r="C3311" s="2459" t="s">
        <v>1673</v>
      </c>
      <c r="D3311" s="2460" t="s">
        <v>1671</v>
      </c>
      <c r="E3311" s="2461" t="s">
        <v>1538</v>
      </c>
      <c r="F3311" s="2461" t="s">
        <v>1558</v>
      </c>
      <c r="G3311" s="2461" t="s">
        <v>1412</v>
      </c>
      <c r="H3311" s="2461" t="s">
        <v>1540</v>
      </c>
      <c r="I3311" s="2462">
        <v>1.5764852336072718E-3</v>
      </c>
      <c r="J3311" s="2462">
        <v>26.199175900046868</v>
      </c>
    </row>
    <row r="3312" spans="1:10" outlineLevel="2">
      <c r="A3312" s="2459" t="s">
        <v>1669</v>
      </c>
      <c r="B3312" s="2459" t="s">
        <v>1658</v>
      </c>
      <c r="C3312" s="2459" t="s">
        <v>1673</v>
      </c>
      <c r="D3312" s="2460" t="s">
        <v>1671</v>
      </c>
      <c r="E3312" s="2461" t="s">
        <v>1538</v>
      </c>
      <c r="F3312" s="2461" t="s">
        <v>1559</v>
      </c>
      <c r="G3312" s="2461" t="s">
        <v>1412</v>
      </c>
      <c r="H3312" s="2461" t="s">
        <v>1540</v>
      </c>
      <c r="I3312" s="2462">
        <v>1.683294385375159E-3</v>
      </c>
      <c r="J3312" s="2462">
        <v>6.4704157028655844</v>
      </c>
    </row>
    <row r="3313" spans="1:10" outlineLevel="2">
      <c r="A3313" s="2459" t="s">
        <v>1669</v>
      </c>
      <c r="B3313" s="2459" t="s">
        <v>1658</v>
      </c>
      <c r="C3313" s="2459" t="s">
        <v>1673</v>
      </c>
      <c r="D3313" s="2460" t="s">
        <v>1671</v>
      </c>
      <c r="E3313" s="2461" t="s">
        <v>1538</v>
      </c>
      <c r="F3313" s="2461" t="s">
        <v>1560</v>
      </c>
      <c r="G3313" s="2461" t="s">
        <v>1412</v>
      </c>
      <c r="H3313" s="2461" t="s">
        <v>1540</v>
      </c>
      <c r="I3313" s="2462">
        <v>2.3627115960233214E-3</v>
      </c>
      <c r="J3313" s="2462">
        <v>51.457757332062684</v>
      </c>
    </row>
    <row r="3314" spans="1:10" outlineLevel="2">
      <c r="A3314" s="2459" t="s">
        <v>1669</v>
      </c>
      <c r="B3314" s="2459" t="s">
        <v>1658</v>
      </c>
      <c r="C3314" s="2459" t="s">
        <v>1673</v>
      </c>
      <c r="D3314" s="2460" t="s">
        <v>1671</v>
      </c>
      <c r="E3314" s="2461" t="s">
        <v>1538</v>
      </c>
      <c r="F3314" s="2461" t="s">
        <v>1561</v>
      </c>
      <c r="G3314" s="2461" t="s">
        <v>1439</v>
      </c>
      <c r="H3314" s="2461" t="s">
        <v>1540</v>
      </c>
      <c r="I3314" s="2462">
        <v>3.0812886628780612E-2</v>
      </c>
      <c r="J3314" s="2462">
        <v>466.94773262753358</v>
      </c>
    </row>
    <row r="3315" spans="1:10" outlineLevel="2">
      <c r="A3315" s="2459" t="s">
        <v>1669</v>
      </c>
      <c r="B3315" s="2459" t="s">
        <v>1658</v>
      </c>
      <c r="C3315" s="2459" t="s">
        <v>1673</v>
      </c>
      <c r="D3315" s="2460" t="s">
        <v>1671</v>
      </c>
      <c r="E3315" s="2461" t="s">
        <v>1538</v>
      </c>
      <c r="F3315" s="2461" t="s">
        <v>1562</v>
      </c>
      <c r="G3315" s="2461" t="s">
        <v>1418</v>
      </c>
      <c r="H3315" s="2461" t="s">
        <v>1540</v>
      </c>
      <c r="I3315" s="2462">
        <v>9.4470740712992392E-6</v>
      </c>
      <c r="J3315" s="2462">
        <v>1.1904090181210868E-2</v>
      </c>
    </row>
    <row r="3316" spans="1:10" outlineLevel="2">
      <c r="A3316" s="2459" t="s">
        <v>1669</v>
      </c>
      <c r="B3316" s="2459" t="s">
        <v>1658</v>
      </c>
      <c r="C3316" s="2459" t="s">
        <v>1673</v>
      </c>
      <c r="D3316" s="2460" t="s">
        <v>1671</v>
      </c>
      <c r="E3316" s="2461" t="s">
        <v>1538</v>
      </c>
      <c r="F3316" s="2461" t="s">
        <v>1563</v>
      </c>
      <c r="G3316" s="2461" t="s">
        <v>1418</v>
      </c>
      <c r="H3316" s="2461" t="s">
        <v>1540</v>
      </c>
      <c r="I3316" s="2462">
        <v>1.368793864303409E-6</v>
      </c>
      <c r="J3316" s="2462">
        <v>2.3185810531209168E-2</v>
      </c>
    </row>
    <row r="3317" spans="1:10" outlineLevel="2">
      <c r="A3317" s="2459" t="s">
        <v>1669</v>
      </c>
      <c r="B3317" s="2459" t="s">
        <v>1658</v>
      </c>
      <c r="C3317" s="2459" t="s">
        <v>1673</v>
      </c>
      <c r="D3317" s="2460" t="s">
        <v>1671</v>
      </c>
      <c r="E3317" s="2461" t="s">
        <v>1538</v>
      </c>
      <c r="F3317" s="2461" t="s">
        <v>1564</v>
      </c>
      <c r="G3317" s="2461" t="s">
        <v>1421</v>
      </c>
      <c r="H3317" s="2461" t="s">
        <v>1540</v>
      </c>
      <c r="I3317" s="2462">
        <v>0.23692711073482423</v>
      </c>
      <c r="J3317" s="2462">
        <v>581.7322555226275</v>
      </c>
    </row>
    <row r="3318" spans="1:10" outlineLevel="2">
      <c r="A3318" s="2459" t="s">
        <v>1669</v>
      </c>
      <c r="B3318" s="2459" t="s">
        <v>1658</v>
      </c>
      <c r="C3318" s="2459" t="s">
        <v>1673</v>
      </c>
      <c r="D3318" s="2460" t="s">
        <v>1671</v>
      </c>
      <c r="E3318" s="2461" t="s">
        <v>1538</v>
      </c>
      <c r="F3318" s="2461" t="s">
        <v>1565</v>
      </c>
      <c r="G3318" s="2461" t="s">
        <v>1421</v>
      </c>
      <c r="H3318" s="2461" t="s">
        <v>1540</v>
      </c>
      <c r="I3318" s="2462">
        <v>2.7878331165279633E-2</v>
      </c>
      <c r="J3318" s="2462">
        <v>127.33391081909554</v>
      </c>
    </row>
    <row r="3319" spans="1:10" outlineLevel="2">
      <c r="A3319" s="2459" t="s">
        <v>1669</v>
      </c>
      <c r="B3319" s="2459" t="s">
        <v>1658</v>
      </c>
      <c r="C3319" s="2459" t="s">
        <v>1673</v>
      </c>
      <c r="D3319" s="2460" t="s">
        <v>1671</v>
      </c>
      <c r="E3319" s="2461" t="s">
        <v>1538</v>
      </c>
      <c r="F3319" s="2461" t="s">
        <v>1566</v>
      </c>
      <c r="G3319" s="2461" t="s">
        <v>1421</v>
      </c>
      <c r="H3319" s="2461" t="s">
        <v>1540</v>
      </c>
      <c r="I3319" s="2462">
        <v>1.4536013143459313E-2</v>
      </c>
      <c r="J3319" s="2462">
        <v>148.68449092661629</v>
      </c>
    </row>
    <row r="3320" spans="1:10" outlineLevel="2">
      <c r="A3320" s="2459" t="s">
        <v>1669</v>
      </c>
      <c r="B3320" s="2459" t="s">
        <v>1658</v>
      </c>
      <c r="C3320" s="2459" t="s">
        <v>1673</v>
      </c>
      <c r="D3320" s="2460" t="s">
        <v>1671</v>
      </c>
      <c r="E3320" s="2461" t="s">
        <v>1538</v>
      </c>
      <c r="F3320" s="2461" t="s">
        <v>1567</v>
      </c>
      <c r="G3320" s="2461" t="s">
        <v>1421</v>
      </c>
      <c r="H3320" s="2461" t="s">
        <v>1540</v>
      </c>
      <c r="I3320" s="2462">
        <v>2.4064285223289614E-2</v>
      </c>
      <c r="J3320" s="2462">
        <v>184.79309514446061</v>
      </c>
    </row>
    <row r="3321" spans="1:10" outlineLevel="2">
      <c r="A3321" s="2459" t="s">
        <v>1669</v>
      </c>
      <c r="B3321" s="2459" t="s">
        <v>1658</v>
      </c>
      <c r="C3321" s="2459" t="s">
        <v>1673</v>
      </c>
      <c r="D3321" s="2460" t="s">
        <v>1671</v>
      </c>
      <c r="E3321" s="2461" t="s">
        <v>1538</v>
      </c>
      <c r="F3321" s="2461" t="s">
        <v>1568</v>
      </c>
      <c r="G3321" s="2461" t="s">
        <v>1421</v>
      </c>
      <c r="H3321" s="2461" t="s">
        <v>1540</v>
      </c>
      <c r="I3321" s="2462">
        <v>8.330127464432045E-4</v>
      </c>
      <c r="J3321" s="2462">
        <v>2.5132885830245173</v>
      </c>
    </row>
    <row r="3322" spans="1:10" outlineLevel="2">
      <c r="A3322" s="2459" t="s">
        <v>1669</v>
      </c>
      <c r="B3322" s="2459" t="s">
        <v>1658</v>
      </c>
      <c r="C3322" s="2459" t="s">
        <v>1673</v>
      </c>
      <c r="D3322" s="2460" t="s">
        <v>1671</v>
      </c>
      <c r="E3322" s="2461" t="s">
        <v>1538</v>
      </c>
      <c r="F3322" s="2461" t="s">
        <v>1569</v>
      </c>
      <c r="G3322" s="2461" t="s">
        <v>1421</v>
      </c>
      <c r="H3322" s="2461" t="s">
        <v>1540</v>
      </c>
      <c r="I3322" s="2462">
        <v>1.9746393303512148E-4</v>
      </c>
      <c r="J3322" s="2462">
        <v>2.2818484446276028</v>
      </c>
    </row>
    <row r="3323" spans="1:10" outlineLevel="2">
      <c r="A3323" s="2459" t="s">
        <v>1669</v>
      </c>
      <c r="B3323" s="2459" t="s">
        <v>1658</v>
      </c>
      <c r="C3323" s="2459" t="s">
        <v>1673</v>
      </c>
      <c r="D3323" s="2460" t="s">
        <v>1671</v>
      </c>
      <c r="E3323" s="2461" t="s">
        <v>1538</v>
      </c>
      <c r="F3323" s="2461" t="s">
        <v>1570</v>
      </c>
      <c r="G3323" s="2461" t="s">
        <v>899</v>
      </c>
      <c r="H3323" s="2461" t="s">
        <v>1540</v>
      </c>
      <c r="I3323" s="2462">
        <v>5.2108561541975784E-5</v>
      </c>
      <c r="J3323" s="2462">
        <v>0.22512690163507282</v>
      </c>
    </row>
    <row r="3324" spans="1:10" outlineLevel="2">
      <c r="A3324" s="2459" t="s">
        <v>1669</v>
      </c>
      <c r="B3324" s="2459" t="s">
        <v>1658</v>
      </c>
      <c r="C3324" s="2459" t="s">
        <v>1673</v>
      </c>
      <c r="D3324" s="2460" t="s">
        <v>1671</v>
      </c>
      <c r="E3324" s="2461" t="s">
        <v>1400</v>
      </c>
      <c r="F3324" s="2461" t="s">
        <v>1571</v>
      </c>
      <c r="G3324" s="2461" t="s">
        <v>215</v>
      </c>
      <c r="H3324" s="2461" t="s">
        <v>1531</v>
      </c>
      <c r="I3324" s="2462">
        <v>1.0474520284465319E-2</v>
      </c>
      <c r="J3324" s="2462">
        <v>376.98621215710091</v>
      </c>
    </row>
    <row r="3325" spans="1:10" outlineLevel="2">
      <c r="A3325" s="2459" t="s">
        <v>1669</v>
      </c>
      <c r="B3325" s="2459" t="s">
        <v>1658</v>
      </c>
      <c r="C3325" s="2459" t="s">
        <v>1673</v>
      </c>
      <c r="D3325" s="2460" t="s">
        <v>1671</v>
      </c>
      <c r="E3325" s="2461" t="s">
        <v>1400</v>
      </c>
      <c r="F3325" s="2461" t="s">
        <v>1572</v>
      </c>
      <c r="G3325" s="2461" t="s">
        <v>215</v>
      </c>
      <c r="H3325" s="2461" t="s">
        <v>1531</v>
      </c>
      <c r="I3325" s="2462">
        <v>1.6600102798310153E-4</v>
      </c>
      <c r="J3325" s="2462">
        <v>3.1489455094637435</v>
      </c>
    </row>
    <row r="3326" spans="1:10" outlineLevel="2">
      <c r="A3326" s="2459" t="s">
        <v>1669</v>
      </c>
      <c r="B3326" s="2459" t="s">
        <v>1658</v>
      </c>
      <c r="C3326" s="2459" t="s">
        <v>1673</v>
      </c>
      <c r="D3326" s="2460" t="s">
        <v>1671</v>
      </c>
      <c r="E3326" s="2461" t="s">
        <v>1573</v>
      </c>
      <c r="F3326" s="2461" t="s">
        <v>1574</v>
      </c>
      <c r="G3326" s="2461" t="s">
        <v>1426</v>
      </c>
      <c r="H3326" s="2461" t="s">
        <v>1427</v>
      </c>
      <c r="I3326" s="2462">
        <v>4.661726690934313E-3</v>
      </c>
      <c r="J3326" s="2462">
        <v>115.24447296446014</v>
      </c>
    </row>
    <row r="3327" spans="1:10" outlineLevel="2">
      <c r="A3327" s="2459" t="s">
        <v>1669</v>
      </c>
      <c r="B3327" s="2459" t="s">
        <v>1658</v>
      </c>
      <c r="C3327" s="2459" t="s">
        <v>1673</v>
      </c>
      <c r="D3327" s="2460" t="s">
        <v>1671</v>
      </c>
      <c r="E3327" s="2461" t="s">
        <v>1573</v>
      </c>
      <c r="F3327" s="2461" t="s">
        <v>1575</v>
      </c>
      <c r="G3327" s="2461" t="s">
        <v>1409</v>
      </c>
      <c r="H3327" s="2461" t="s">
        <v>1070</v>
      </c>
      <c r="I3327" s="2462">
        <v>2.0669226395940543E-2</v>
      </c>
      <c r="J3327" s="2462">
        <v>1205.4381683771578</v>
      </c>
    </row>
    <row r="3328" spans="1:10" outlineLevel="2">
      <c r="A3328" s="2459" t="s">
        <v>1669</v>
      </c>
      <c r="B3328" s="2459" t="s">
        <v>1658</v>
      </c>
      <c r="C3328" s="2459" t="s">
        <v>1673</v>
      </c>
      <c r="D3328" s="2460" t="s">
        <v>1671</v>
      </c>
      <c r="E3328" s="2461" t="s">
        <v>1573</v>
      </c>
      <c r="F3328" s="2461" t="s">
        <v>1576</v>
      </c>
      <c r="G3328" s="2461" t="s">
        <v>1409</v>
      </c>
      <c r="H3328" s="2461" t="s">
        <v>1070</v>
      </c>
      <c r="I3328" s="2462">
        <v>1.7771999482184164E-4</v>
      </c>
      <c r="J3328" s="2462">
        <v>1.9630295028929581</v>
      </c>
    </row>
    <row r="3329" spans="1:10" outlineLevel="2">
      <c r="A3329" s="2459" t="s">
        <v>1669</v>
      </c>
      <c r="B3329" s="2459" t="s">
        <v>1658</v>
      </c>
      <c r="C3329" s="2459" t="s">
        <v>1673</v>
      </c>
      <c r="D3329" s="2460" t="s">
        <v>1671</v>
      </c>
      <c r="E3329" s="2461" t="s">
        <v>1573</v>
      </c>
      <c r="F3329" s="2461" t="s">
        <v>1577</v>
      </c>
      <c r="G3329" s="2461" t="s">
        <v>1409</v>
      </c>
      <c r="H3329" s="2461" t="s">
        <v>1070</v>
      </c>
      <c r="I3329" s="2462">
        <v>2.577399039773031E-3</v>
      </c>
      <c r="J3329" s="2462">
        <v>32.33646130613792</v>
      </c>
    </row>
    <row r="3330" spans="1:10" outlineLevel="2">
      <c r="A3330" s="2459" t="s">
        <v>1669</v>
      </c>
      <c r="B3330" s="2459" t="s">
        <v>1658</v>
      </c>
      <c r="C3330" s="2459" t="s">
        <v>1673</v>
      </c>
      <c r="D3330" s="2460" t="s">
        <v>1671</v>
      </c>
      <c r="E3330" s="2461" t="s">
        <v>1573</v>
      </c>
      <c r="F3330" s="2461" t="s">
        <v>1578</v>
      </c>
      <c r="G3330" s="2461" t="s">
        <v>1409</v>
      </c>
      <c r="H3330" s="2461" t="s">
        <v>1070</v>
      </c>
      <c r="I3330" s="2462">
        <v>5.8857589114780236E-2</v>
      </c>
      <c r="J3330" s="2462">
        <v>3017.3939213117992</v>
      </c>
    </row>
    <row r="3331" spans="1:10" outlineLevel="2">
      <c r="A3331" s="2459" t="s">
        <v>1669</v>
      </c>
      <c r="B3331" s="2459" t="s">
        <v>1658</v>
      </c>
      <c r="C3331" s="2459" t="s">
        <v>1673</v>
      </c>
      <c r="D3331" s="2460" t="s">
        <v>1671</v>
      </c>
      <c r="E3331" s="2461" t="s">
        <v>1573</v>
      </c>
      <c r="F3331" s="2461" t="s">
        <v>1579</v>
      </c>
      <c r="G3331" s="2461" t="s">
        <v>1409</v>
      </c>
      <c r="H3331" s="2461" t="s">
        <v>1070</v>
      </c>
      <c r="I3331" s="2462">
        <v>4.4680397623232899E-2</v>
      </c>
      <c r="J3331" s="2462">
        <v>3283.1292813950108</v>
      </c>
    </row>
    <row r="3332" spans="1:10" outlineLevel="2">
      <c r="A3332" s="2459" t="s">
        <v>1669</v>
      </c>
      <c r="B3332" s="2459" t="s">
        <v>1658</v>
      </c>
      <c r="C3332" s="2459" t="s">
        <v>1673</v>
      </c>
      <c r="D3332" s="2460" t="s">
        <v>1671</v>
      </c>
      <c r="E3332" s="2461" t="s">
        <v>1573</v>
      </c>
      <c r="F3332" s="2461" t="s">
        <v>1580</v>
      </c>
      <c r="G3332" s="2461" t="s">
        <v>1409</v>
      </c>
      <c r="H3332" s="2461" t="s">
        <v>1070</v>
      </c>
      <c r="I3332" s="2462">
        <v>5.0479508440640667E-3</v>
      </c>
      <c r="J3332" s="2462">
        <v>181.28823374791133</v>
      </c>
    </row>
    <row r="3333" spans="1:10" outlineLevel="2">
      <c r="A3333" s="2459" t="s">
        <v>1669</v>
      </c>
      <c r="B3333" s="2459" t="s">
        <v>1658</v>
      </c>
      <c r="C3333" s="2459" t="s">
        <v>1673</v>
      </c>
      <c r="D3333" s="2460" t="s">
        <v>1671</v>
      </c>
      <c r="E3333" s="2461" t="s">
        <v>1573</v>
      </c>
      <c r="F3333" s="2461" t="s">
        <v>1581</v>
      </c>
      <c r="G3333" s="2461" t="s">
        <v>1409</v>
      </c>
      <c r="H3333" s="2461" t="s">
        <v>1070</v>
      </c>
      <c r="I3333" s="2462">
        <v>2.684959139219927E-3</v>
      </c>
      <c r="J3333" s="2462">
        <v>123.44947301963178</v>
      </c>
    </row>
    <row r="3334" spans="1:10" outlineLevel="2">
      <c r="A3334" s="2459" t="s">
        <v>1669</v>
      </c>
      <c r="B3334" s="2459" t="s">
        <v>1658</v>
      </c>
      <c r="C3334" s="2459" t="s">
        <v>1673</v>
      </c>
      <c r="D3334" s="2460" t="s">
        <v>1671</v>
      </c>
      <c r="E3334" s="2461" t="s">
        <v>1573</v>
      </c>
      <c r="F3334" s="2461" t="s">
        <v>1582</v>
      </c>
      <c r="G3334" s="2461" t="s">
        <v>1409</v>
      </c>
      <c r="H3334" s="2461" t="s">
        <v>1070</v>
      </c>
      <c r="I3334" s="2462">
        <v>1.427045584075911E-2</v>
      </c>
      <c r="J3334" s="2462">
        <v>339.0042017775138</v>
      </c>
    </row>
    <row r="3335" spans="1:10" outlineLevel="2">
      <c r="A3335" s="2459" t="s">
        <v>1669</v>
      </c>
      <c r="B3335" s="2459" t="s">
        <v>1658</v>
      </c>
      <c r="C3335" s="2459" t="s">
        <v>1673</v>
      </c>
      <c r="D3335" s="2460" t="s">
        <v>1671</v>
      </c>
      <c r="E3335" s="2461" t="s">
        <v>1573</v>
      </c>
      <c r="F3335" s="2461" t="s">
        <v>1583</v>
      </c>
      <c r="G3335" s="2461" t="s">
        <v>1409</v>
      </c>
      <c r="H3335" s="2461" t="s">
        <v>1070</v>
      </c>
      <c r="I3335" s="2462">
        <v>4.0909315449333371E-2</v>
      </c>
      <c r="J3335" s="2462">
        <v>1450.6887094634128</v>
      </c>
    </row>
    <row r="3336" spans="1:10" outlineLevel="2">
      <c r="A3336" s="2459" t="s">
        <v>1669</v>
      </c>
      <c r="B3336" s="2459" t="s">
        <v>1658</v>
      </c>
      <c r="C3336" s="2459" t="s">
        <v>1673</v>
      </c>
      <c r="D3336" s="2460" t="s">
        <v>1671</v>
      </c>
      <c r="E3336" s="2461" t="s">
        <v>1573</v>
      </c>
      <c r="F3336" s="2461" t="s">
        <v>1584</v>
      </c>
      <c r="G3336" s="2461" t="s">
        <v>1409</v>
      </c>
      <c r="H3336" s="2461" t="s">
        <v>1070</v>
      </c>
      <c r="I3336" s="2462">
        <v>2.8921536035794882E-2</v>
      </c>
      <c r="J3336" s="2462">
        <v>1592.7663173333212</v>
      </c>
    </row>
    <row r="3337" spans="1:10" outlineLevel="2">
      <c r="A3337" s="2459" t="s">
        <v>1669</v>
      </c>
      <c r="B3337" s="2459" t="s">
        <v>1658</v>
      </c>
      <c r="C3337" s="2459" t="s">
        <v>1673</v>
      </c>
      <c r="D3337" s="2460" t="s">
        <v>1671</v>
      </c>
      <c r="E3337" s="2461" t="s">
        <v>1573</v>
      </c>
      <c r="F3337" s="2461" t="s">
        <v>1585</v>
      </c>
      <c r="G3337" s="2461" t="s">
        <v>1409</v>
      </c>
      <c r="H3337" s="2461" t="s">
        <v>1070</v>
      </c>
      <c r="I3337" s="2462">
        <v>0.15856127726695926</v>
      </c>
      <c r="J3337" s="2462">
        <v>12230.017813690542</v>
      </c>
    </row>
    <row r="3338" spans="1:10" outlineLevel="2">
      <c r="A3338" s="2459" t="s">
        <v>1669</v>
      </c>
      <c r="B3338" s="2459" t="s">
        <v>1658</v>
      </c>
      <c r="C3338" s="2459" t="s">
        <v>1673</v>
      </c>
      <c r="D3338" s="2460" t="s">
        <v>1671</v>
      </c>
      <c r="E3338" s="2461" t="s">
        <v>1573</v>
      </c>
      <c r="F3338" s="2461" t="s">
        <v>1586</v>
      </c>
      <c r="G3338" s="2461" t="s">
        <v>1409</v>
      </c>
      <c r="H3338" s="2461" t="s">
        <v>1070</v>
      </c>
      <c r="I3338" s="2462">
        <v>3.3536912822181098E-3</v>
      </c>
      <c r="J3338" s="2462">
        <v>101.69405284369708</v>
      </c>
    </row>
    <row r="3339" spans="1:10" outlineLevel="2">
      <c r="A3339" s="2459" t="s">
        <v>1669</v>
      </c>
      <c r="B3339" s="2459" t="s">
        <v>1658</v>
      </c>
      <c r="C3339" s="2459" t="s">
        <v>1673</v>
      </c>
      <c r="D3339" s="2460" t="s">
        <v>1671</v>
      </c>
      <c r="E3339" s="2461" t="s">
        <v>1573</v>
      </c>
      <c r="F3339" s="2461" t="s">
        <v>1587</v>
      </c>
      <c r="G3339" s="2461" t="s">
        <v>1409</v>
      </c>
      <c r="H3339" s="2461" t="s">
        <v>1070</v>
      </c>
      <c r="I3339" s="2462">
        <v>1.3207200578740346E-3</v>
      </c>
      <c r="J3339" s="2462">
        <v>62.267487075074122</v>
      </c>
    </row>
    <row r="3340" spans="1:10" outlineLevel="2">
      <c r="A3340" s="2459" t="s">
        <v>1669</v>
      </c>
      <c r="B3340" s="2459" t="s">
        <v>1658</v>
      </c>
      <c r="C3340" s="2459" t="s">
        <v>1673</v>
      </c>
      <c r="D3340" s="2460" t="s">
        <v>1671</v>
      </c>
      <c r="E3340" s="2461" t="s">
        <v>1573</v>
      </c>
      <c r="F3340" s="2461" t="s">
        <v>1588</v>
      </c>
      <c r="G3340" s="2461" t="s">
        <v>1409</v>
      </c>
      <c r="H3340" s="2461" t="s">
        <v>1070</v>
      </c>
      <c r="I3340" s="2462">
        <v>4.6788977294353377E-2</v>
      </c>
      <c r="J3340" s="2462">
        <v>2795.4678806445081</v>
      </c>
    </row>
    <row r="3341" spans="1:10" outlineLevel="2">
      <c r="A3341" s="2459" t="s">
        <v>1669</v>
      </c>
      <c r="B3341" s="2459" t="s">
        <v>1658</v>
      </c>
      <c r="C3341" s="2459" t="s">
        <v>1673</v>
      </c>
      <c r="D3341" s="2460" t="s">
        <v>1671</v>
      </c>
      <c r="E3341" s="2461" t="s">
        <v>1573</v>
      </c>
      <c r="F3341" s="2461" t="s">
        <v>1589</v>
      </c>
      <c r="G3341" s="2461" t="s">
        <v>1409</v>
      </c>
      <c r="H3341" s="2461" t="s">
        <v>1070</v>
      </c>
      <c r="I3341" s="2462">
        <v>4.0225141413094148E-2</v>
      </c>
      <c r="J3341" s="2462">
        <v>3042.9033716348563</v>
      </c>
    </row>
    <row r="3342" spans="1:10" outlineLevel="2">
      <c r="A3342" s="2459" t="s">
        <v>1669</v>
      </c>
      <c r="B3342" s="2459" t="s">
        <v>1658</v>
      </c>
      <c r="C3342" s="2459" t="s">
        <v>1673</v>
      </c>
      <c r="D3342" s="2460" t="s">
        <v>1671</v>
      </c>
      <c r="E3342" s="2461" t="s">
        <v>1573</v>
      </c>
      <c r="F3342" s="2461" t="s">
        <v>1590</v>
      </c>
      <c r="G3342" s="2461" t="s">
        <v>1409</v>
      </c>
      <c r="H3342" s="2461" t="s">
        <v>1070</v>
      </c>
      <c r="I3342" s="2462">
        <v>0.14686578013908005</v>
      </c>
      <c r="J3342" s="2462">
        <v>10467.156609340782</v>
      </c>
    </row>
    <row r="3343" spans="1:10" outlineLevel="2">
      <c r="A3343" s="2459" t="s">
        <v>1669</v>
      </c>
      <c r="B3343" s="2459" t="s">
        <v>1658</v>
      </c>
      <c r="C3343" s="2459" t="s">
        <v>1673</v>
      </c>
      <c r="D3343" s="2460" t="s">
        <v>1671</v>
      </c>
      <c r="E3343" s="2461" t="s">
        <v>1573</v>
      </c>
      <c r="F3343" s="2461" t="s">
        <v>1591</v>
      </c>
      <c r="G3343" s="2461" t="s">
        <v>1409</v>
      </c>
      <c r="H3343" s="2461" t="s">
        <v>1070</v>
      </c>
      <c r="I3343" s="2462">
        <v>1.0109523203885619E-2</v>
      </c>
      <c r="J3343" s="2462">
        <v>492.18411045220432</v>
      </c>
    </row>
    <row r="3344" spans="1:10" outlineLevel="2">
      <c r="A3344" s="2459" t="s">
        <v>1669</v>
      </c>
      <c r="B3344" s="2459" t="s">
        <v>1658</v>
      </c>
      <c r="C3344" s="2459" t="s">
        <v>1673</v>
      </c>
      <c r="D3344" s="2460" t="s">
        <v>1671</v>
      </c>
      <c r="E3344" s="2461" t="s">
        <v>1573</v>
      </c>
      <c r="F3344" s="2461" t="s">
        <v>1592</v>
      </c>
      <c r="G3344" s="2461" t="s">
        <v>1409</v>
      </c>
      <c r="H3344" s="2461" t="s">
        <v>1070</v>
      </c>
      <c r="I3344" s="2462">
        <v>8.5008120731142875E-2</v>
      </c>
      <c r="J3344" s="2462">
        <v>3915.0589625645885</v>
      </c>
    </row>
    <row r="3345" spans="1:10" outlineLevel="2">
      <c r="A3345" s="2459" t="s">
        <v>1669</v>
      </c>
      <c r="B3345" s="2459" t="s">
        <v>1658</v>
      </c>
      <c r="C3345" s="2459" t="s">
        <v>1673</v>
      </c>
      <c r="D3345" s="2460" t="s">
        <v>1671</v>
      </c>
      <c r="E3345" s="2461" t="s">
        <v>1573</v>
      </c>
      <c r="F3345" s="2461" t="s">
        <v>1593</v>
      </c>
      <c r="G3345" s="2461" t="s">
        <v>1409</v>
      </c>
      <c r="H3345" s="2461" t="s">
        <v>1070</v>
      </c>
      <c r="I3345" s="2462">
        <v>0.20770087745529414</v>
      </c>
      <c r="J3345" s="2462">
        <v>13310.454312003909</v>
      </c>
    </row>
    <row r="3346" spans="1:10" outlineLevel="2">
      <c r="A3346" s="2459" t="s">
        <v>1669</v>
      </c>
      <c r="B3346" s="2459" t="s">
        <v>1658</v>
      </c>
      <c r="C3346" s="2459" t="s">
        <v>1673</v>
      </c>
      <c r="D3346" s="2460" t="s">
        <v>1671</v>
      </c>
      <c r="E3346" s="2461" t="s">
        <v>1573</v>
      </c>
      <c r="F3346" s="2461" t="s">
        <v>1594</v>
      </c>
      <c r="G3346" s="2461" t="s">
        <v>1409</v>
      </c>
      <c r="H3346" s="2461" t="s">
        <v>1070</v>
      </c>
      <c r="I3346" s="2462">
        <v>0.45491617600648837</v>
      </c>
      <c r="J3346" s="2462">
        <v>8929.4950628664046</v>
      </c>
    </row>
    <row r="3347" spans="1:10" outlineLevel="2">
      <c r="A3347" s="2459" t="s">
        <v>1669</v>
      </c>
      <c r="B3347" s="2459" t="s">
        <v>1658</v>
      </c>
      <c r="C3347" s="2459" t="s">
        <v>1673</v>
      </c>
      <c r="D3347" s="2460" t="s">
        <v>1671</v>
      </c>
      <c r="E3347" s="2461" t="s">
        <v>1573</v>
      </c>
      <c r="F3347" s="2461" t="s">
        <v>1595</v>
      </c>
      <c r="G3347" s="2461" t="s">
        <v>1409</v>
      </c>
      <c r="H3347" s="2461" t="s">
        <v>1070</v>
      </c>
      <c r="I3347" s="2462">
        <v>0.16726179897988003</v>
      </c>
      <c r="J3347" s="2462">
        <v>12176.250676895699</v>
      </c>
    </row>
    <row r="3348" spans="1:10" outlineLevel="2">
      <c r="A3348" s="2459" t="s">
        <v>1669</v>
      </c>
      <c r="B3348" s="2459" t="s">
        <v>1658</v>
      </c>
      <c r="C3348" s="2459" t="s">
        <v>1673</v>
      </c>
      <c r="D3348" s="2460" t="s">
        <v>1671</v>
      </c>
      <c r="E3348" s="2461" t="s">
        <v>1573</v>
      </c>
      <c r="F3348" s="2461" t="s">
        <v>1596</v>
      </c>
      <c r="G3348" s="2461" t="s">
        <v>1409</v>
      </c>
      <c r="H3348" s="2461" t="s">
        <v>1070</v>
      </c>
      <c r="I3348" s="2462">
        <v>0.30455121962454412</v>
      </c>
      <c r="J3348" s="2462">
        <v>7009.1992576214507</v>
      </c>
    </row>
    <row r="3349" spans="1:10" outlineLevel="2">
      <c r="A3349" s="2459" t="s">
        <v>1669</v>
      </c>
      <c r="B3349" s="2459" t="s">
        <v>1658</v>
      </c>
      <c r="C3349" s="2459" t="s">
        <v>1673</v>
      </c>
      <c r="D3349" s="2460" t="s">
        <v>1671</v>
      </c>
      <c r="E3349" s="2461" t="s">
        <v>1573</v>
      </c>
      <c r="F3349" s="2461" t="s">
        <v>1597</v>
      </c>
      <c r="G3349" s="2461" t="s">
        <v>1409</v>
      </c>
      <c r="H3349" s="2461" t="s">
        <v>1070</v>
      </c>
      <c r="I3349" s="2462">
        <v>1.7877750842673765E-2</v>
      </c>
      <c r="J3349" s="2462">
        <v>1306.526697669133</v>
      </c>
    </row>
    <row r="3350" spans="1:10" outlineLevel="2">
      <c r="A3350" s="2459" t="s">
        <v>1669</v>
      </c>
      <c r="B3350" s="2459" t="s">
        <v>1658</v>
      </c>
      <c r="C3350" s="2459" t="s">
        <v>1673</v>
      </c>
      <c r="D3350" s="2460" t="s">
        <v>1671</v>
      </c>
      <c r="E3350" s="2461" t="s">
        <v>1573</v>
      </c>
      <c r="F3350" s="2461" t="s">
        <v>1598</v>
      </c>
      <c r="G3350" s="2461" t="s">
        <v>1409</v>
      </c>
      <c r="H3350" s="2461" t="s">
        <v>1070</v>
      </c>
      <c r="I3350" s="2462">
        <v>9.2855538282623107E-4</v>
      </c>
      <c r="J3350" s="2462">
        <v>21.435298555809947</v>
      </c>
    </row>
    <row r="3351" spans="1:10" outlineLevel="2">
      <c r="A3351" s="2459" t="s">
        <v>1669</v>
      </c>
      <c r="B3351" s="2459" t="s">
        <v>1658</v>
      </c>
      <c r="C3351" s="2459" t="s">
        <v>1673</v>
      </c>
      <c r="D3351" s="2460" t="s">
        <v>1671</v>
      </c>
      <c r="E3351" s="2461" t="s">
        <v>1573</v>
      </c>
      <c r="F3351" s="2461" t="s">
        <v>1599</v>
      </c>
      <c r="G3351" s="2461" t="s">
        <v>1409</v>
      </c>
      <c r="H3351" s="2461" t="s">
        <v>1070</v>
      </c>
      <c r="I3351" s="2462">
        <v>2.5350413615266534E-2</v>
      </c>
      <c r="J3351" s="2462">
        <v>1362.8356749963496</v>
      </c>
    </row>
    <row r="3352" spans="1:10" outlineLevel="2">
      <c r="A3352" s="2459" t="s">
        <v>1669</v>
      </c>
      <c r="B3352" s="2459" t="s">
        <v>1658</v>
      </c>
      <c r="C3352" s="2459" t="s">
        <v>1673</v>
      </c>
      <c r="D3352" s="2460" t="s">
        <v>1671</v>
      </c>
      <c r="E3352" s="2461" t="s">
        <v>1573</v>
      </c>
      <c r="F3352" s="2461" t="s">
        <v>1600</v>
      </c>
      <c r="G3352" s="2461" t="s">
        <v>1412</v>
      </c>
      <c r="H3352" s="2461" t="s">
        <v>1116</v>
      </c>
      <c r="I3352" s="2462">
        <v>8.2844958164279194E-3</v>
      </c>
      <c r="J3352" s="2462">
        <v>200.42405566578685</v>
      </c>
    </row>
    <row r="3353" spans="1:10" outlineLevel="2">
      <c r="A3353" s="2459" t="s">
        <v>1669</v>
      </c>
      <c r="B3353" s="2459" t="s">
        <v>1658</v>
      </c>
      <c r="C3353" s="2459" t="s">
        <v>1673</v>
      </c>
      <c r="D3353" s="2460" t="s">
        <v>1671</v>
      </c>
      <c r="E3353" s="2461" t="s">
        <v>1573</v>
      </c>
      <c r="F3353" s="2461" t="s">
        <v>1601</v>
      </c>
      <c r="G3353" s="2461" t="s">
        <v>1412</v>
      </c>
      <c r="H3353" s="2461" t="s">
        <v>1116</v>
      </c>
      <c r="I3353" s="2462">
        <v>4.1228896895067847E-2</v>
      </c>
      <c r="J3353" s="2462">
        <v>2907.6714755497574</v>
      </c>
    </row>
    <row r="3354" spans="1:10" outlineLevel="2">
      <c r="A3354" s="2459" t="s">
        <v>1669</v>
      </c>
      <c r="B3354" s="2459" t="s">
        <v>1658</v>
      </c>
      <c r="C3354" s="2459" t="s">
        <v>1673</v>
      </c>
      <c r="D3354" s="2460" t="s">
        <v>1671</v>
      </c>
      <c r="E3354" s="2461" t="s">
        <v>1573</v>
      </c>
      <c r="F3354" s="2461" t="s">
        <v>1602</v>
      </c>
      <c r="G3354" s="2461" t="s">
        <v>1412</v>
      </c>
      <c r="H3354" s="2461" t="s">
        <v>1116</v>
      </c>
      <c r="I3354" s="2462">
        <v>2.4219802176995323E-2</v>
      </c>
      <c r="J3354" s="2462">
        <v>1270.0108905491418</v>
      </c>
    </row>
    <row r="3355" spans="1:10" outlineLevel="2">
      <c r="A3355" s="2459" t="s">
        <v>1669</v>
      </c>
      <c r="B3355" s="2459" t="s">
        <v>1658</v>
      </c>
      <c r="C3355" s="2459" t="s">
        <v>1673</v>
      </c>
      <c r="D3355" s="2460" t="s">
        <v>1671</v>
      </c>
      <c r="E3355" s="2461" t="s">
        <v>1573</v>
      </c>
      <c r="F3355" s="2461" t="s">
        <v>1603</v>
      </c>
      <c r="G3355" s="2461" t="s">
        <v>1412</v>
      </c>
      <c r="H3355" s="2461" t="s">
        <v>1116</v>
      </c>
      <c r="I3355" s="2462">
        <v>2.8668398870149058E-2</v>
      </c>
      <c r="J3355" s="2462">
        <v>1287.8409515211226</v>
      </c>
    </row>
    <row r="3356" spans="1:10" outlineLevel="2">
      <c r="A3356" s="2459" t="s">
        <v>1669</v>
      </c>
      <c r="B3356" s="2459" t="s">
        <v>1658</v>
      </c>
      <c r="C3356" s="2459" t="s">
        <v>1673</v>
      </c>
      <c r="D3356" s="2460" t="s">
        <v>1671</v>
      </c>
      <c r="E3356" s="2461" t="s">
        <v>1573</v>
      </c>
      <c r="F3356" s="2461" t="s">
        <v>1604</v>
      </c>
      <c r="G3356" s="2461" t="s">
        <v>1412</v>
      </c>
      <c r="H3356" s="2461" t="s">
        <v>1116</v>
      </c>
      <c r="I3356" s="2462">
        <v>1.8157261361988835E-3</v>
      </c>
      <c r="J3356" s="2462">
        <v>49.667092467994102</v>
      </c>
    </row>
    <row r="3357" spans="1:10" outlineLevel="2">
      <c r="A3357" s="2459" t="s">
        <v>1669</v>
      </c>
      <c r="B3357" s="2459" t="s">
        <v>1658</v>
      </c>
      <c r="C3357" s="2459" t="s">
        <v>1673</v>
      </c>
      <c r="D3357" s="2460" t="s">
        <v>1671</v>
      </c>
      <c r="E3357" s="2461" t="s">
        <v>1573</v>
      </c>
      <c r="F3357" s="2461" t="s">
        <v>1605</v>
      </c>
      <c r="G3357" s="2461" t="s">
        <v>1412</v>
      </c>
      <c r="H3357" s="2461" t="s">
        <v>1116</v>
      </c>
      <c r="I3357" s="2462">
        <v>0.4433925741527398</v>
      </c>
      <c r="J3357" s="2462">
        <v>14572.708207685037</v>
      </c>
    </row>
    <row r="3358" spans="1:10" outlineLevel="2">
      <c r="A3358" s="2459" t="s">
        <v>1669</v>
      </c>
      <c r="B3358" s="2459" t="s">
        <v>1658</v>
      </c>
      <c r="C3358" s="2459" t="s">
        <v>1673</v>
      </c>
      <c r="D3358" s="2460" t="s">
        <v>1671</v>
      </c>
      <c r="E3358" s="2461" t="s">
        <v>1573</v>
      </c>
      <c r="F3358" s="2461" t="s">
        <v>1606</v>
      </c>
      <c r="G3358" s="2461" t="s">
        <v>1412</v>
      </c>
      <c r="H3358" s="2461" t="s">
        <v>1116</v>
      </c>
      <c r="I3358" s="2462">
        <v>2.2605983132303786E-2</v>
      </c>
      <c r="J3358" s="2462">
        <v>1832.6008778489522</v>
      </c>
    </row>
    <row r="3359" spans="1:10" outlineLevel="2">
      <c r="A3359" s="2459" t="s">
        <v>1669</v>
      </c>
      <c r="B3359" s="2459" t="s">
        <v>1658</v>
      </c>
      <c r="C3359" s="2459" t="s">
        <v>1673</v>
      </c>
      <c r="D3359" s="2460" t="s">
        <v>1671</v>
      </c>
      <c r="E3359" s="2461" t="s">
        <v>1573</v>
      </c>
      <c r="F3359" s="2461" t="s">
        <v>1607</v>
      </c>
      <c r="G3359" s="2461" t="s">
        <v>1439</v>
      </c>
      <c r="H3359" s="2461" t="s">
        <v>1440</v>
      </c>
      <c r="I3359" s="2462">
        <v>2.1874745473526013E-5</v>
      </c>
      <c r="J3359" s="2462">
        <v>0.54826595767202002</v>
      </c>
    </row>
    <row r="3360" spans="1:10" outlineLevel="2">
      <c r="A3360" s="2459" t="s">
        <v>1669</v>
      </c>
      <c r="B3360" s="2459" t="s">
        <v>1658</v>
      </c>
      <c r="C3360" s="2459" t="s">
        <v>1673</v>
      </c>
      <c r="D3360" s="2460" t="s">
        <v>1671</v>
      </c>
      <c r="E3360" s="2461" t="s">
        <v>1573</v>
      </c>
      <c r="F3360" s="2461" t="s">
        <v>1608</v>
      </c>
      <c r="G3360" s="2461" t="s">
        <v>1439</v>
      </c>
      <c r="H3360" s="2461" t="s">
        <v>1440</v>
      </c>
      <c r="I3360" s="2462">
        <v>2.5709314052120777E-3</v>
      </c>
      <c r="J3360" s="2462">
        <v>144.01308827184971</v>
      </c>
    </row>
    <row r="3361" spans="1:10" outlineLevel="2">
      <c r="A3361" s="2459" t="s">
        <v>1669</v>
      </c>
      <c r="B3361" s="2459" t="s">
        <v>1658</v>
      </c>
      <c r="C3361" s="2459" t="s">
        <v>1673</v>
      </c>
      <c r="D3361" s="2460" t="s">
        <v>1671</v>
      </c>
      <c r="E3361" s="2461" t="s">
        <v>1573</v>
      </c>
      <c r="F3361" s="2461" t="s">
        <v>1609</v>
      </c>
      <c r="G3361" s="2461" t="s">
        <v>1439</v>
      </c>
      <c r="H3361" s="2461" t="s">
        <v>1440</v>
      </c>
      <c r="I3361" s="2462">
        <v>0.17299953833880502</v>
      </c>
      <c r="J3361" s="2462">
        <v>3843.209087090001</v>
      </c>
    </row>
    <row r="3362" spans="1:10" outlineLevel="2">
      <c r="A3362" s="2459" t="s">
        <v>1669</v>
      </c>
      <c r="B3362" s="2459" t="s">
        <v>1658</v>
      </c>
      <c r="C3362" s="2459" t="s">
        <v>1673</v>
      </c>
      <c r="D3362" s="2460" t="s">
        <v>1671</v>
      </c>
      <c r="E3362" s="2461" t="s">
        <v>1573</v>
      </c>
      <c r="F3362" s="2461" t="s">
        <v>1610</v>
      </c>
      <c r="G3362" s="2461" t="s">
        <v>1439</v>
      </c>
      <c r="H3362" s="2461" t="s">
        <v>1440</v>
      </c>
      <c r="I3362" s="2462">
        <v>4.5495804213696547E-2</v>
      </c>
      <c r="J3362" s="2462">
        <v>793.36057275754456</v>
      </c>
    </row>
    <row r="3363" spans="1:10" outlineLevel="2">
      <c r="A3363" s="2459" t="s">
        <v>1669</v>
      </c>
      <c r="B3363" s="2459" t="s">
        <v>1658</v>
      </c>
      <c r="C3363" s="2459" t="s">
        <v>1673</v>
      </c>
      <c r="D3363" s="2460" t="s">
        <v>1671</v>
      </c>
      <c r="E3363" s="2461" t="s">
        <v>1573</v>
      </c>
      <c r="F3363" s="2461" t="s">
        <v>1611</v>
      </c>
      <c r="G3363" s="2461" t="s">
        <v>1439</v>
      </c>
      <c r="H3363" s="2461" t="s">
        <v>1440</v>
      </c>
      <c r="I3363" s="2462">
        <v>0.10753424354178728</v>
      </c>
      <c r="J3363" s="2462">
        <v>5239.0600754318039</v>
      </c>
    </row>
    <row r="3364" spans="1:10" outlineLevel="2">
      <c r="A3364" s="2459" t="s">
        <v>1669</v>
      </c>
      <c r="B3364" s="2459" t="s">
        <v>1658</v>
      </c>
      <c r="C3364" s="2459" t="s">
        <v>1673</v>
      </c>
      <c r="D3364" s="2460" t="s">
        <v>1671</v>
      </c>
      <c r="E3364" s="2461" t="s">
        <v>1573</v>
      </c>
      <c r="F3364" s="2461" t="s">
        <v>1612</v>
      </c>
      <c r="G3364" s="2461" t="s">
        <v>1439</v>
      </c>
      <c r="H3364" s="2461" t="s">
        <v>1440</v>
      </c>
      <c r="I3364" s="2462">
        <v>1.8441661540207772E-2</v>
      </c>
      <c r="J3364" s="2462">
        <v>617.29321980759175</v>
      </c>
    </row>
    <row r="3365" spans="1:10" outlineLevel="2">
      <c r="A3365" s="2459" t="s">
        <v>1669</v>
      </c>
      <c r="B3365" s="2459" t="s">
        <v>1658</v>
      </c>
      <c r="C3365" s="2459" t="s">
        <v>1673</v>
      </c>
      <c r="D3365" s="2460" t="s">
        <v>1671</v>
      </c>
      <c r="E3365" s="2461" t="s">
        <v>1573</v>
      </c>
      <c r="F3365" s="2461" t="s">
        <v>1613</v>
      </c>
      <c r="G3365" s="2461" t="s">
        <v>1439</v>
      </c>
      <c r="H3365" s="2461" t="s">
        <v>1440</v>
      </c>
      <c r="I3365" s="2462">
        <v>5.1848486836203629E-4</v>
      </c>
      <c r="J3365" s="2462">
        <v>15.67442807049434</v>
      </c>
    </row>
    <row r="3366" spans="1:10" outlineLevel="2">
      <c r="A3366" s="2459" t="s">
        <v>1669</v>
      </c>
      <c r="B3366" s="2459" t="s">
        <v>1658</v>
      </c>
      <c r="C3366" s="2459" t="s">
        <v>1673</v>
      </c>
      <c r="D3366" s="2460" t="s">
        <v>1671</v>
      </c>
      <c r="E3366" s="2461" t="s">
        <v>1573</v>
      </c>
      <c r="F3366" s="2461" t="s">
        <v>1614</v>
      </c>
      <c r="G3366" s="2461" t="s">
        <v>1418</v>
      </c>
      <c r="H3366" s="2461" t="s">
        <v>1452</v>
      </c>
      <c r="I3366" s="2462">
        <v>2.7181468712076181E-6</v>
      </c>
      <c r="J3366" s="2462">
        <v>2.3233102382798403E-2</v>
      </c>
    </row>
    <row r="3367" spans="1:10" outlineLevel="2">
      <c r="A3367" s="2459" t="s">
        <v>1669</v>
      </c>
      <c r="B3367" s="2459" t="s">
        <v>1658</v>
      </c>
      <c r="C3367" s="2459" t="s">
        <v>1673</v>
      </c>
      <c r="D3367" s="2460" t="s">
        <v>1671</v>
      </c>
      <c r="E3367" s="2461" t="s">
        <v>1573</v>
      </c>
      <c r="F3367" s="2461" t="s">
        <v>1615</v>
      </c>
      <c r="G3367" s="2461" t="s">
        <v>1418</v>
      </c>
      <c r="H3367" s="2461" t="s">
        <v>1452</v>
      </c>
      <c r="I3367" s="2462">
        <v>1.6442143726419004E-2</v>
      </c>
      <c r="J3367" s="2462">
        <v>964.68899999480834</v>
      </c>
    </row>
    <row r="3368" spans="1:10" outlineLevel="2">
      <c r="A3368" s="2459" t="s">
        <v>1669</v>
      </c>
      <c r="B3368" s="2459" t="s">
        <v>1658</v>
      </c>
      <c r="C3368" s="2459" t="s">
        <v>1673</v>
      </c>
      <c r="D3368" s="2460" t="s">
        <v>1671</v>
      </c>
      <c r="E3368" s="2461" t="s">
        <v>1573</v>
      </c>
      <c r="F3368" s="2461" t="s">
        <v>1616</v>
      </c>
      <c r="G3368" s="2461" t="s">
        <v>1418</v>
      </c>
      <c r="H3368" s="2461" t="s">
        <v>1452</v>
      </c>
      <c r="I3368" s="2462">
        <v>7.8476687132683002E-4</v>
      </c>
      <c r="J3368" s="2462">
        <v>86.492603009928771</v>
      </c>
    </row>
    <row r="3369" spans="1:10" outlineLevel="2">
      <c r="A3369" s="2459" t="s">
        <v>1669</v>
      </c>
      <c r="B3369" s="2459" t="s">
        <v>1658</v>
      </c>
      <c r="C3369" s="2459" t="s">
        <v>1673</v>
      </c>
      <c r="D3369" s="2460" t="s">
        <v>1671</v>
      </c>
      <c r="E3369" s="2461" t="s">
        <v>1573</v>
      </c>
      <c r="F3369" s="2461" t="s">
        <v>1617</v>
      </c>
      <c r="G3369" s="2461" t="s">
        <v>1418</v>
      </c>
      <c r="H3369" s="2461" t="s">
        <v>1452</v>
      </c>
      <c r="I3369" s="2462">
        <v>6.2334603006937277E-6</v>
      </c>
      <c r="J3369" s="2462">
        <v>0.4787425960519649</v>
      </c>
    </row>
    <row r="3370" spans="1:10" outlineLevel="2">
      <c r="A3370" s="2459" t="s">
        <v>1669</v>
      </c>
      <c r="B3370" s="2459" t="s">
        <v>1658</v>
      </c>
      <c r="C3370" s="2459" t="s">
        <v>1673</v>
      </c>
      <c r="D3370" s="2460" t="s">
        <v>1671</v>
      </c>
      <c r="E3370" s="2461" t="s">
        <v>1573</v>
      </c>
      <c r="F3370" s="2461" t="s">
        <v>1618</v>
      </c>
      <c r="G3370" s="2461" t="s">
        <v>1418</v>
      </c>
      <c r="H3370" s="2461" t="s">
        <v>1452</v>
      </c>
      <c r="I3370" s="2462">
        <v>1.215123574678435E-6</v>
      </c>
      <c r="J3370" s="2462">
        <v>0.10056921115812419</v>
      </c>
    </row>
    <row r="3371" spans="1:10" outlineLevel="2">
      <c r="A3371" s="2459" t="s">
        <v>1669</v>
      </c>
      <c r="B3371" s="2459" t="s">
        <v>1658</v>
      </c>
      <c r="C3371" s="2459" t="s">
        <v>1673</v>
      </c>
      <c r="D3371" s="2460" t="s">
        <v>1671</v>
      </c>
      <c r="E3371" s="2461" t="s">
        <v>1573</v>
      </c>
      <c r="F3371" s="2461" t="s">
        <v>1619</v>
      </c>
      <c r="G3371" s="2461" t="s">
        <v>1418</v>
      </c>
      <c r="H3371" s="2461" t="s">
        <v>1452</v>
      </c>
      <c r="I3371" s="2462">
        <v>7.9772743929402192E-5</v>
      </c>
      <c r="J3371" s="2462">
        <v>7.3349488733939552</v>
      </c>
    </row>
    <row r="3372" spans="1:10" outlineLevel="2">
      <c r="A3372" s="2459" t="s">
        <v>1669</v>
      </c>
      <c r="B3372" s="2459" t="s">
        <v>1658</v>
      </c>
      <c r="C3372" s="2459" t="s">
        <v>1673</v>
      </c>
      <c r="D3372" s="2460" t="s">
        <v>1671</v>
      </c>
      <c r="E3372" s="2461" t="s">
        <v>1573</v>
      </c>
      <c r="F3372" s="2461" t="s">
        <v>1620</v>
      </c>
      <c r="G3372" s="2461" t="s">
        <v>1418</v>
      </c>
      <c r="H3372" s="2461" t="s">
        <v>1452</v>
      </c>
      <c r="I3372" s="2462">
        <v>1.6866000580549408E-7</v>
      </c>
      <c r="J3372" s="2462">
        <v>2.0293545891846697E-2</v>
      </c>
    </row>
    <row r="3373" spans="1:10" outlineLevel="2">
      <c r="A3373" s="2459" t="s">
        <v>1669</v>
      </c>
      <c r="B3373" s="2459" t="s">
        <v>1658</v>
      </c>
      <c r="C3373" s="2459" t="s">
        <v>1673</v>
      </c>
      <c r="D3373" s="2460" t="s">
        <v>1671</v>
      </c>
      <c r="E3373" s="2461" t="s">
        <v>1573</v>
      </c>
      <c r="F3373" s="2461" t="s">
        <v>1621</v>
      </c>
      <c r="G3373" s="2461" t="s">
        <v>1418</v>
      </c>
      <c r="H3373" s="2461" t="s">
        <v>1452</v>
      </c>
      <c r="I3373" s="2462">
        <v>7.1800463129908335E-5</v>
      </c>
      <c r="J3373" s="2462">
        <v>6.7821313773496383</v>
      </c>
    </row>
    <row r="3374" spans="1:10" outlineLevel="2">
      <c r="A3374" s="2459" t="s">
        <v>1669</v>
      </c>
      <c r="B3374" s="2459" t="s">
        <v>1658</v>
      </c>
      <c r="C3374" s="2459" t="s">
        <v>1673</v>
      </c>
      <c r="D3374" s="2460" t="s">
        <v>1671</v>
      </c>
      <c r="E3374" s="2461" t="s">
        <v>1573</v>
      </c>
      <c r="F3374" s="2461" t="s">
        <v>1622</v>
      </c>
      <c r="G3374" s="2461" t="s">
        <v>1418</v>
      </c>
      <c r="H3374" s="2461" t="s">
        <v>1452</v>
      </c>
      <c r="I3374" s="2462">
        <v>2.1229088209226066E-4</v>
      </c>
      <c r="J3374" s="2462">
        <v>18.873551338101088</v>
      </c>
    </row>
    <row r="3375" spans="1:10" outlineLevel="2">
      <c r="A3375" s="2459" t="s">
        <v>1669</v>
      </c>
      <c r="B3375" s="2459" t="s">
        <v>1658</v>
      </c>
      <c r="C3375" s="2459" t="s">
        <v>1673</v>
      </c>
      <c r="D3375" s="2460" t="s">
        <v>1671</v>
      </c>
      <c r="E3375" s="2461" t="s">
        <v>1573</v>
      </c>
      <c r="F3375" s="2461" t="s">
        <v>1623</v>
      </c>
      <c r="G3375" s="2461" t="s">
        <v>1418</v>
      </c>
      <c r="H3375" s="2461" t="s">
        <v>1452</v>
      </c>
      <c r="I3375" s="2462">
        <v>3.2196424818101073E-4</v>
      </c>
      <c r="J3375" s="2462">
        <v>13.916822027603068</v>
      </c>
    </row>
    <row r="3376" spans="1:10" outlineLevel="2">
      <c r="A3376" s="2459" t="s">
        <v>1669</v>
      </c>
      <c r="B3376" s="2459" t="s">
        <v>1658</v>
      </c>
      <c r="C3376" s="2459" t="s">
        <v>1673</v>
      </c>
      <c r="D3376" s="2460" t="s">
        <v>1671</v>
      </c>
      <c r="E3376" s="2461" t="s">
        <v>1573</v>
      </c>
      <c r="F3376" s="2461" t="s">
        <v>1624</v>
      </c>
      <c r="G3376" s="2461" t="s">
        <v>1421</v>
      </c>
      <c r="H3376" s="2461" t="s">
        <v>1454</v>
      </c>
      <c r="I3376" s="2462">
        <v>0.12097344802712569</v>
      </c>
      <c r="J3376" s="2462">
        <v>4423.6328641650562</v>
      </c>
    </row>
    <row r="3377" spans="1:10" outlineLevel="2">
      <c r="A3377" s="2459" t="s">
        <v>1669</v>
      </c>
      <c r="B3377" s="2459" t="s">
        <v>1658</v>
      </c>
      <c r="C3377" s="2459" t="s">
        <v>1673</v>
      </c>
      <c r="D3377" s="2460" t="s">
        <v>1671</v>
      </c>
      <c r="E3377" s="2461" t="s">
        <v>1573</v>
      </c>
      <c r="F3377" s="2461" t="s">
        <v>1625</v>
      </c>
      <c r="G3377" s="2461" t="s">
        <v>1421</v>
      </c>
      <c r="H3377" s="2461" t="s">
        <v>1454</v>
      </c>
      <c r="I3377" s="2462">
        <v>2.8529264411119578E-2</v>
      </c>
      <c r="J3377" s="2462">
        <v>1044.0578695766369</v>
      </c>
    </row>
    <row r="3378" spans="1:10" outlineLevel="2">
      <c r="A3378" s="2459" t="s">
        <v>1669</v>
      </c>
      <c r="B3378" s="2459" t="s">
        <v>1658</v>
      </c>
      <c r="C3378" s="2459" t="s">
        <v>1673</v>
      </c>
      <c r="D3378" s="2460" t="s">
        <v>1671</v>
      </c>
      <c r="E3378" s="2461" t="s">
        <v>1573</v>
      </c>
      <c r="F3378" s="2461" t="s">
        <v>1626</v>
      </c>
      <c r="G3378" s="2461" t="s">
        <v>1421</v>
      </c>
      <c r="H3378" s="2461" t="s">
        <v>1454</v>
      </c>
      <c r="I3378" s="2462">
        <v>8.0069600574505864E-2</v>
      </c>
      <c r="J3378" s="2462">
        <v>2896.6116037203419</v>
      </c>
    </row>
    <row r="3379" spans="1:10" outlineLevel="2">
      <c r="A3379" s="2459" t="s">
        <v>1669</v>
      </c>
      <c r="B3379" s="2459" t="s">
        <v>1658</v>
      </c>
      <c r="C3379" s="2459" t="s">
        <v>1673</v>
      </c>
      <c r="D3379" s="2460" t="s">
        <v>1671</v>
      </c>
      <c r="E3379" s="2461" t="s">
        <v>1573</v>
      </c>
      <c r="F3379" s="2461" t="s">
        <v>1627</v>
      </c>
      <c r="G3379" s="2461" t="s">
        <v>1421</v>
      </c>
      <c r="H3379" s="2461" t="s">
        <v>1454</v>
      </c>
      <c r="I3379" s="2462">
        <v>6.761213832886398E-2</v>
      </c>
      <c r="J3379" s="2462">
        <v>1470.6982502277976</v>
      </c>
    </row>
    <row r="3380" spans="1:10" outlineLevel="2">
      <c r="A3380" s="2459" t="s">
        <v>1669</v>
      </c>
      <c r="B3380" s="2459" t="s">
        <v>1658</v>
      </c>
      <c r="C3380" s="2459" t="s">
        <v>1673</v>
      </c>
      <c r="D3380" s="2460" t="s">
        <v>1671</v>
      </c>
      <c r="E3380" s="2461" t="s">
        <v>1573</v>
      </c>
      <c r="F3380" s="2461" t="s">
        <v>1628</v>
      </c>
      <c r="G3380" s="2461" t="s">
        <v>1421</v>
      </c>
      <c r="H3380" s="2461" t="s">
        <v>1454</v>
      </c>
      <c r="I3380" s="2462">
        <v>3.3633239187655711E-3</v>
      </c>
      <c r="J3380" s="2462">
        <v>141.44427648794269</v>
      </c>
    </row>
    <row r="3381" spans="1:10" outlineLevel="2">
      <c r="A3381" s="2459" t="s">
        <v>1669</v>
      </c>
      <c r="B3381" s="2459" t="s">
        <v>1658</v>
      </c>
      <c r="C3381" s="2459" t="s">
        <v>1673</v>
      </c>
      <c r="D3381" s="2460" t="s">
        <v>1671</v>
      </c>
      <c r="E3381" s="2461" t="s">
        <v>1573</v>
      </c>
      <c r="F3381" s="2461" t="s">
        <v>1629</v>
      </c>
      <c r="G3381" s="2461" t="s">
        <v>1421</v>
      </c>
      <c r="H3381" s="2461" t="s">
        <v>1454</v>
      </c>
      <c r="I3381" s="2462">
        <v>3.8909832368062714E-3</v>
      </c>
      <c r="J3381" s="2462">
        <v>125.18950853180179</v>
      </c>
    </row>
    <row r="3382" spans="1:10" outlineLevel="2">
      <c r="A3382" s="2459" t="s">
        <v>1669</v>
      </c>
      <c r="B3382" s="2459" t="s">
        <v>1658</v>
      </c>
      <c r="C3382" s="2459" t="s">
        <v>1673</v>
      </c>
      <c r="D3382" s="2460" t="s">
        <v>1671</v>
      </c>
      <c r="E3382" s="2461" t="s">
        <v>1573</v>
      </c>
      <c r="F3382" s="2461" t="s">
        <v>1630</v>
      </c>
      <c r="G3382" s="2461" t="s">
        <v>1459</v>
      </c>
      <c r="H3382" s="2461" t="s">
        <v>1460</v>
      </c>
      <c r="I3382" s="2462">
        <v>5.3851538140553138E-3</v>
      </c>
      <c r="J3382" s="2462">
        <v>352.9316025644622</v>
      </c>
    </row>
    <row r="3383" spans="1:10" outlineLevel="2">
      <c r="A3383" s="2459" t="s">
        <v>1669</v>
      </c>
      <c r="B3383" s="2459" t="s">
        <v>1658</v>
      </c>
      <c r="C3383" s="2459" t="s">
        <v>1673</v>
      </c>
      <c r="D3383" s="2460" t="s">
        <v>1671</v>
      </c>
      <c r="E3383" s="2461" t="s">
        <v>1573</v>
      </c>
      <c r="F3383" s="2461" t="s">
        <v>1633</v>
      </c>
      <c r="G3383" s="2461" t="s">
        <v>215</v>
      </c>
      <c r="H3383" s="2461" t="s">
        <v>1537</v>
      </c>
      <c r="I3383" s="2462">
        <v>5.6284990776409851E-3</v>
      </c>
      <c r="J3383" s="2462">
        <v>125.48274096433998</v>
      </c>
    </row>
    <row r="3384" spans="1:10" outlineLevel="2">
      <c r="A3384" s="2459" t="s">
        <v>1669</v>
      </c>
      <c r="B3384" s="2459" t="s">
        <v>1658</v>
      </c>
      <c r="C3384" s="2459" t="s">
        <v>1673</v>
      </c>
      <c r="D3384" s="2460" t="s">
        <v>1676</v>
      </c>
      <c r="E3384" s="2461" t="s">
        <v>213</v>
      </c>
      <c r="F3384" s="2461" t="s">
        <v>1635</v>
      </c>
      <c r="G3384" s="2461" t="s">
        <v>1636</v>
      </c>
      <c r="H3384" s="2461" t="s">
        <v>1637</v>
      </c>
      <c r="I3384" s="2462">
        <v>4.1776511924603131E-6</v>
      </c>
      <c r="J3384" s="2462">
        <v>1.4135248323356317E-2</v>
      </c>
    </row>
    <row r="3385" spans="1:10" outlineLevel="2">
      <c r="A3385" s="2459" t="s">
        <v>1669</v>
      </c>
      <c r="B3385" s="2459" t="s">
        <v>1658</v>
      </c>
      <c r="C3385" s="2459" t="s">
        <v>1673</v>
      </c>
      <c r="D3385" s="2460" t="s">
        <v>1676</v>
      </c>
      <c r="E3385" s="2461" t="s">
        <v>1538</v>
      </c>
      <c r="F3385" s="2461" t="s">
        <v>1638</v>
      </c>
      <c r="G3385" s="2461" t="s">
        <v>1636</v>
      </c>
      <c r="H3385" s="2461" t="s">
        <v>1540</v>
      </c>
      <c r="I3385" s="2462">
        <v>4.7057225346231728E-7</v>
      </c>
      <c r="J3385" s="2462">
        <v>7.8869956956905147E-3</v>
      </c>
    </row>
    <row r="3386" spans="1:10" outlineLevel="2">
      <c r="A3386" s="2459" t="s">
        <v>1669</v>
      </c>
      <c r="B3386" s="2459" t="s">
        <v>1658</v>
      </c>
      <c r="C3386" s="2459" t="s">
        <v>1673</v>
      </c>
      <c r="D3386" s="2460" t="s">
        <v>1676</v>
      </c>
      <c r="E3386" s="2461" t="s">
        <v>1573</v>
      </c>
      <c r="F3386" s="2461" t="s">
        <v>1639</v>
      </c>
      <c r="G3386" s="2461" t="s">
        <v>1636</v>
      </c>
      <c r="H3386" s="2461" t="s">
        <v>1637</v>
      </c>
      <c r="I3386" s="2462">
        <v>8.1915036435705775E-6</v>
      </c>
      <c r="J3386" s="2462">
        <v>0.4362462693591197</v>
      </c>
    </row>
    <row r="3387" spans="1:10" outlineLevel="2">
      <c r="A3387" s="2459" t="s">
        <v>1669</v>
      </c>
      <c r="B3387" s="2459" t="s">
        <v>1659</v>
      </c>
      <c r="C3387" s="2459" t="s">
        <v>1675</v>
      </c>
      <c r="D3387" s="2460" t="s">
        <v>1671</v>
      </c>
      <c r="E3387" s="2461" t="s">
        <v>1407</v>
      </c>
      <c r="F3387" s="2461" t="s">
        <v>1408</v>
      </c>
      <c r="G3387" s="2461" t="s">
        <v>1409</v>
      </c>
      <c r="H3387" s="2461" t="s">
        <v>1410</v>
      </c>
      <c r="I3387" s="2462">
        <v>2.3637201812688577E-3</v>
      </c>
      <c r="J3387" s="2462">
        <v>3.4770855830917109E-2</v>
      </c>
    </row>
    <row r="3388" spans="1:10" outlineLevel="2">
      <c r="A3388" s="2459" t="s">
        <v>1669</v>
      </c>
      <c r="B3388" s="2459" t="s">
        <v>1659</v>
      </c>
      <c r="C3388" s="2459" t="s">
        <v>1675</v>
      </c>
      <c r="D3388" s="2460" t="s">
        <v>1671</v>
      </c>
      <c r="E3388" s="2461" t="s">
        <v>1407</v>
      </c>
      <c r="F3388" s="2461" t="s">
        <v>1411</v>
      </c>
      <c r="G3388" s="2461" t="s">
        <v>1412</v>
      </c>
      <c r="H3388" s="2461" t="s">
        <v>1410</v>
      </c>
      <c r="I3388" s="2462">
        <v>0.37742906979421681</v>
      </c>
      <c r="J3388" s="2462">
        <v>61.292222782684277</v>
      </c>
    </row>
    <row r="3389" spans="1:10" outlineLevel="2">
      <c r="A3389" s="2459" t="s">
        <v>1669</v>
      </c>
      <c r="B3389" s="2459" t="s">
        <v>1659</v>
      </c>
      <c r="C3389" s="2459" t="s">
        <v>1675</v>
      </c>
      <c r="D3389" s="2460" t="s">
        <v>1671</v>
      </c>
      <c r="E3389" s="2461" t="s">
        <v>1407</v>
      </c>
      <c r="F3389" s="2461" t="s">
        <v>1413</v>
      </c>
      <c r="G3389" s="2461" t="s">
        <v>1412</v>
      </c>
      <c r="H3389" s="2461" t="s">
        <v>1410</v>
      </c>
      <c r="I3389" s="2462">
        <v>3.0650974664164413E-4</v>
      </c>
      <c r="J3389" s="2462">
        <v>5.1925363055538777E-2</v>
      </c>
    </row>
    <row r="3390" spans="1:10" outlineLevel="2">
      <c r="A3390" s="2459" t="s">
        <v>1669</v>
      </c>
      <c r="B3390" s="2459" t="s">
        <v>1659</v>
      </c>
      <c r="C3390" s="2459" t="s">
        <v>1675</v>
      </c>
      <c r="D3390" s="2460" t="s">
        <v>1671</v>
      </c>
      <c r="E3390" s="2461" t="s">
        <v>1407</v>
      </c>
      <c r="F3390" s="2461" t="s">
        <v>1414</v>
      </c>
      <c r="G3390" s="2461" t="s">
        <v>1412</v>
      </c>
      <c r="H3390" s="2461" t="s">
        <v>1410</v>
      </c>
      <c r="I3390" s="2462">
        <v>1.5402920304719098E-4</v>
      </c>
      <c r="J3390" s="2462">
        <v>2.8295790924451565E-2</v>
      </c>
    </row>
    <row r="3391" spans="1:10" outlineLevel="2">
      <c r="A3391" s="2459" t="s">
        <v>1669</v>
      </c>
      <c r="B3391" s="2459" t="s">
        <v>1659</v>
      </c>
      <c r="C3391" s="2459" t="s">
        <v>1675</v>
      </c>
      <c r="D3391" s="2460" t="s">
        <v>1671</v>
      </c>
      <c r="E3391" s="2461" t="s">
        <v>1407</v>
      </c>
      <c r="F3391" s="2461" t="s">
        <v>1415</v>
      </c>
      <c r="G3391" s="2461" t="s">
        <v>1412</v>
      </c>
      <c r="H3391" s="2461" t="s">
        <v>1410</v>
      </c>
      <c r="I3391" s="2462">
        <v>1.8155571243558442E-3</v>
      </c>
      <c r="J3391" s="2462">
        <v>0.28920193600925248</v>
      </c>
    </row>
    <row r="3392" spans="1:10" outlineLevel="2">
      <c r="A3392" s="2459" t="s">
        <v>1669</v>
      </c>
      <c r="B3392" s="2459" t="s">
        <v>1659</v>
      </c>
      <c r="C3392" s="2459" t="s">
        <v>1675</v>
      </c>
      <c r="D3392" s="2460" t="s">
        <v>1671</v>
      </c>
      <c r="E3392" s="2461" t="s">
        <v>1407</v>
      </c>
      <c r="F3392" s="2461" t="s">
        <v>1416</v>
      </c>
      <c r="G3392" s="2461" t="s">
        <v>1412</v>
      </c>
      <c r="H3392" s="2461" t="s">
        <v>1410</v>
      </c>
      <c r="I3392" s="2462">
        <v>1.409866592927511E-3</v>
      </c>
      <c r="J3392" s="2462">
        <v>0.34681524097452415</v>
      </c>
    </row>
    <row r="3393" spans="1:10" outlineLevel="2">
      <c r="A3393" s="2459" t="s">
        <v>1669</v>
      </c>
      <c r="B3393" s="2459" t="s">
        <v>1659</v>
      </c>
      <c r="C3393" s="2459" t="s">
        <v>1675</v>
      </c>
      <c r="D3393" s="2460" t="s">
        <v>1671</v>
      </c>
      <c r="E3393" s="2461" t="s">
        <v>1407</v>
      </c>
      <c r="F3393" s="2461" t="s">
        <v>1417</v>
      </c>
      <c r="G3393" s="2461" t="s">
        <v>1418</v>
      </c>
      <c r="H3393" s="2461" t="s">
        <v>1410</v>
      </c>
      <c r="I3393" s="2462">
        <v>1.1773828221483403E-2</v>
      </c>
      <c r="J3393" s="2462">
        <v>0.15639068858105998</v>
      </c>
    </row>
    <row r="3394" spans="1:10" outlineLevel="2">
      <c r="A3394" s="2459" t="s">
        <v>1669</v>
      </c>
      <c r="B3394" s="2459" t="s">
        <v>1659</v>
      </c>
      <c r="C3394" s="2459" t="s">
        <v>1675</v>
      </c>
      <c r="D3394" s="2460" t="s">
        <v>1671</v>
      </c>
      <c r="E3394" s="2461" t="s">
        <v>1407</v>
      </c>
      <c r="F3394" s="2461" t="s">
        <v>1419</v>
      </c>
      <c r="G3394" s="2461" t="s">
        <v>1418</v>
      </c>
      <c r="H3394" s="2461" t="s">
        <v>1410</v>
      </c>
      <c r="I3394" s="2462">
        <v>8.7395227621383437E-2</v>
      </c>
      <c r="J3394" s="2462">
        <v>16.972997220858684</v>
      </c>
    </row>
    <row r="3395" spans="1:10" outlineLevel="2">
      <c r="A3395" s="2459" t="s">
        <v>1669</v>
      </c>
      <c r="B3395" s="2459" t="s">
        <v>1659</v>
      </c>
      <c r="C3395" s="2459" t="s">
        <v>1675</v>
      </c>
      <c r="D3395" s="2460" t="s">
        <v>1671</v>
      </c>
      <c r="E3395" s="2461" t="s">
        <v>1407</v>
      </c>
      <c r="F3395" s="2461" t="s">
        <v>1420</v>
      </c>
      <c r="G3395" s="2461" t="s">
        <v>1421</v>
      </c>
      <c r="H3395" s="2461" t="s">
        <v>1410</v>
      </c>
      <c r="I3395" s="2462">
        <v>0.79146450375537936</v>
      </c>
      <c r="J3395" s="2462">
        <v>20.540607681628622</v>
      </c>
    </row>
    <row r="3396" spans="1:10" outlineLevel="2">
      <c r="A3396" s="2459" t="s">
        <v>1669</v>
      </c>
      <c r="B3396" s="2459" t="s">
        <v>1659</v>
      </c>
      <c r="C3396" s="2459" t="s">
        <v>1675</v>
      </c>
      <c r="D3396" s="2460" t="s">
        <v>1671</v>
      </c>
      <c r="E3396" s="2461" t="s">
        <v>1407</v>
      </c>
      <c r="F3396" s="2461" t="s">
        <v>1422</v>
      </c>
      <c r="G3396" s="2461" t="s">
        <v>1421</v>
      </c>
      <c r="H3396" s="2461" t="s">
        <v>1410</v>
      </c>
      <c r="I3396" s="2462">
        <v>2.3933773940085681E-2</v>
      </c>
      <c r="J3396" s="2462">
        <v>0.98064377409739234</v>
      </c>
    </row>
    <row r="3397" spans="1:10" outlineLevel="2">
      <c r="A3397" s="2459" t="s">
        <v>1669</v>
      </c>
      <c r="B3397" s="2459" t="s">
        <v>1659</v>
      </c>
      <c r="C3397" s="2459" t="s">
        <v>1675</v>
      </c>
      <c r="D3397" s="2460" t="s">
        <v>1671</v>
      </c>
      <c r="E3397" s="2461" t="s">
        <v>1407</v>
      </c>
      <c r="F3397" s="2461" t="s">
        <v>1423</v>
      </c>
      <c r="G3397" s="2461" t="s">
        <v>1421</v>
      </c>
      <c r="H3397" s="2461" t="s">
        <v>1410</v>
      </c>
      <c r="I3397" s="2462">
        <v>1.2440196027833198E-2</v>
      </c>
      <c r="J3397" s="2462">
        <v>1.4335899255528206</v>
      </c>
    </row>
    <row r="3398" spans="1:10" outlineLevel="2">
      <c r="A3398" s="2459" t="s">
        <v>1669</v>
      </c>
      <c r="B3398" s="2459" t="s">
        <v>1659</v>
      </c>
      <c r="C3398" s="2459" t="s">
        <v>1675</v>
      </c>
      <c r="D3398" s="2460" t="s">
        <v>1671</v>
      </c>
      <c r="E3398" s="2461" t="s">
        <v>1407</v>
      </c>
      <c r="F3398" s="2461" t="s">
        <v>1424</v>
      </c>
      <c r="G3398" s="2461" t="s">
        <v>1421</v>
      </c>
      <c r="H3398" s="2461" t="s">
        <v>1410</v>
      </c>
      <c r="I3398" s="2462">
        <v>0.24327450881450177</v>
      </c>
      <c r="J3398" s="2462">
        <v>50.908913675273752</v>
      </c>
    </row>
    <row r="3399" spans="1:10" outlineLevel="2">
      <c r="A3399" s="2459" t="s">
        <v>1669</v>
      </c>
      <c r="B3399" s="2459" t="s">
        <v>1659</v>
      </c>
      <c r="C3399" s="2459" t="s">
        <v>1675</v>
      </c>
      <c r="D3399" s="2460" t="s">
        <v>1671</v>
      </c>
      <c r="E3399" s="2461" t="s">
        <v>213</v>
      </c>
      <c r="F3399" s="2461" t="s">
        <v>1425</v>
      </c>
      <c r="G3399" s="2461" t="s">
        <v>1426</v>
      </c>
      <c r="H3399" s="2461" t="s">
        <v>1427</v>
      </c>
      <c r="I3399" s="2462">
        <v>0.4180615518394642</v>
      </c>
      <c r="J3399" s="2462">
        <v>120.12258423272182</v>
      </c>
    </row>
    <row r="3400" spans="1:10" outlineLevel="2">
      <c r="A3400" s="2459" t="s">
        <v>1669</v>
      </c>
      <c r="B3400" s="2459" t="s">
        <v>1659</v>
      </c>
      <c r="C3400" s="2459" t="s">
        <v>1675</v>
      </c>
      <c r="D3400" s="2460" t="s">
        <v>1671</v>
      </c>
      <c r="E3400" s="2461" t="s">
        <v>213</v>
      </c>
      <c r="F3400" s="2461" t="s">
        <v>1428</v>
      </c>
      <c r="G3400" s="2461" t="s">
        <v>1426</v>
      </c>
      <c r="H3400" s="2461" t="s">
        <v>1427</v>
      </c>
      <c r="I3400" s="2462">
        <v>0.12770134327772839</v>
      </c>
      <c r="J3400" s="2462">
        <v>51.58785491717655</v>
      </c>
    </row>
    <row r="3401" spans="1:10" outlineLevel="2">
      <c r="A3401" s="2459" t="s">
        <v>1669</v>
      </c>
      <c r="B3401" s="2459" t="s">
        <v>1659</v>
      </c>
      <c r="C3401" s="2459" t="s">
        <v>1675</v>
      </c>
      <c r="D3401" s="2460" t="s">
        <v>1671</v>
      </c>
      <c r="E3401" s="2461" t="s">
        <v>213</v>
      </c>
      <c r="F3401" s="2461" t="s">
        <v>1429</v>
      </c>
      <c r="G3401" s="2461" t="s">
        <v>1426</v>
      </c>
      <c r="H3401" s="2461" t="s">
        <v>1427</v>
      </c>
      <c r="I3401" s="2462">
        <v>5.8123756045513716E-2</v>
      </c>
      <c r="J3401" s="2462">
        <v>74.751498975467868</v>
      </c>
    </row>
    <row r="3402" spans="1:10" outlineLevel="2">
      <c r="A3402" s="2459" t="s">
        <v>1669</v>
      </c>
      <c r="B3402" s="2459" t="s">
        <v>1659</v>
      </c>
      <c r="C3402" s="2459" t="s">
        <v>1675</v>
      </c>
      <c r="D3402" s="2460" t="s">
        <v>1671</v>
      </c>
      <c r="E3402" s="2461" t="s">
        <v>213</v>
      </c>
      <c r="F3402" s="2461" t="s">
        <v>1430</v>
      </c>
      <c r="G3402" s="2461" t="s">
        <v>1409</v>
      </c>
      <c r="H3402" s="2461" t="s">
        <v>1070</v>
      </c>
      <c r="I3402" s="2462">
        <v>7.3063836260276425E-3</v>
      </c>
      <c r="J3402" s="2462">
        <v>4.5334662055289776</v>
      </c>
    </row>
    <row r="3403" spans="1:10" outlineLevel="2">
      <c r="A3403" s="2459" t="s">
        <v>1669</v>
      </c>
      <c r="B3403" s="2459" t="s">
        <v>1659</v>
      </c>
      <c r="C3403" s="2459" t="s">
        <v>1675</v>
      </c>
      <c r="D3403" s="2460" t="s">
        <v>1671</v>
      </c>
      <c r="E3403" s="2461" t="s">
        <v>213</v>
      </c>
      <c r="F3403" s="2461" t="s">
        <v>1431</v>
      </c>
      <c r="G3403" s="2461" t="s">
        <v>1409</v>
      </c>
      <c r="H3403" s="2461" t="s">
        <v>1070</v>
      </c>
      <c r="I3403" s="2462">
        <v>6.0635268242644977E-4</v>
      </c>
      <c r="J3403" s="2462">
        <v>0.29366052044759627</v>
      </c>
    </row>
    <row r="3404" spans="1:10" outlineLevel="2">
      <c r="A3404" s="2459" t="s">
        <v>1669</v>
      </c>
      <c r="B3404" s="2459" t="s">
        <v>1659</v>
      </c>
      <c r="C3404" s="2459" t="s">
        <v>1675</v>
      </c>
      <c r="D3404" s="2460" t="s">
        <v>1671</v>
      </c>
      <c r="E3404" s="2461" t="s">
        <v>213</v>
      </c>
      <c r="F3404" s="2461" t="s">
        <v>1432</v>
      </c>
      <c r="G3404" s="2461" t="s">
        <v>1409</v>
      </c>
      <c r="H3404" s="2461" t="s">
        <v>1070</v>
      </c>
      <c r="I3404" s="2462">
        <v>7.3481991310541154E-4</v>
      </c>
      <c r="J3404" s="2462">
        <v>0.35100754372818832</v>
      </c>
    </row>
    <row r="3405" spans="1:10" outlineLevel="2">
      <c r="A3405" s="2459" t="s">
        <v>1669</v>
      </c>
      <c r="B3405" s="2459" t="s">
        <v>1659</v>
      </c>
      <c r="C3405" s="2459" t="s">
        <v>1675</v>
      </c>
      <c r="D3405" s="2460" t="s">
        <v>1671</v>
      </c>
      <c r="E3405" s="2461" t="s">
        <v>213</v>
      </c>
      <c r="F3405" s="2461" t="s">
        <v>1433</v>
      </c>
      <c r="G3405" s="2461" t="s">
        <v>1409</v>
      </c>
      <c r="H3405" s="2461" t="s">
        <v>1070</v>
      </c>
      <c r="I3405" s="2462">
        <v>5.4343146262308335E-6</v>
      </c>
      <c r="J3405" s="2462">
        <v>2.4321053117756664E-3</v>
      </c>
    </row>
    <row r="3406" spans="1:10" outlineLevel="2">
      <c r="A3406" s="2459" t="s">
        <v>1669</v>
      </c>
      <c r="B3406" s="2459" t="s">
        <v>1659</v>
      </c>
      <c r="C3406" s="2459" t="s">
        <v>1675</v>
      </c>
      <c r="D3406" s="2460" t="s">
        <v>1671</v>
      </c>
      <c r="E3406" s="2461" t="s">
        <v>213</v>
      </c>
      <c r="F3406" s="2461" t="s">
        <v>1434</v>
      </c>
      <c r="G3406" s="2461" t="s">
        <v>1409</v>
      </c>
      <c r="H3406" s="2461" t="s">
        <v>1070</v>
      </c>
      <c r="I3406" s="2462">
        <v>2.0946629494444553E-2</v>
      </c>
      <c r="J3406" s="2462">
        <v>11.696265446881188</v>
      </c>
    </row>
    <row r="3407" spans="1:10" outlineLevel="2">
      <c r="A3407" s="2459" t="s">
        <v>1669</v>
      </c>
      <c r="B3407" s="2459" t="s">
        <v>1659</v>
      </c>
      <c r="C3407" s="2459" t="s">
        <v>1675</v>
      </c>
      <c r="D3407" s="2460" t="s">
        <v>1671</v>
      </c>
      <c r="E3407" s="2461" t="s">
        <v>213</v>
      </c>
      <c r="F3407" s="2461" t="s">
        <v>1435</v>
      </c>
      <c r="G3407" s="2461" t="s">
        <v>1409</v>
      </c>
      <c r="H3407" s="2461" t="s">
        <v>1070</v>
      </c>
      <c r="I3407" s="2462">
        <v>1.5315498488100918E-4</v>
      </c>
      <c r="J3407" s="2462">
        <v>6.8543958012772702E-2</v>
      </c>
    </row>
    <row r="3408" spans="1:10" outlineLevel="2">
      <c r="A3408" s="2459" t="s">
        <v>1669</v>
      </c>
      <c r="B3408" s="2459" t="s">
        <v>1659</v>
      </c>
      <c r="C3408" s="2459" t="s">
        <v>1675</v>
      </c>
      <c r="D3408" s="2460" t="s">
        <v>1671</v>
      </c>
      <c r="E3408" s="2461" t="s">
        <v>213</v>
      </c>
      <c r="F3408" s="2461" t="s">
        <v>1436</v>
      </c>
      <c r="G3408" s="2461" t="s">
        <v>1412</v>
      </c>
      <c r="H3408" s="2461" t="s">
        <v>1116</v>
      </c>
      <c r="I3408" s="2462">
        <v>3.7380565756920298E-4</v>
      </c>
      <c r="J3408" s="2462">
        <v>0.1672953973876472</v>
      </c>
    </row>
    <row r="3409" spans="1:10" outlineLevel="2">
      <c r="A3409" s="2459" t="s">
        <v>1669</v>
      </c>
      <c r="B3409" s="2459" t="s">
        <v>1659</v>
      </c>
      <c r="C3409" s="2459" t="s">
        <v>1675</v>
      </c>
      <c r="D3409" s="2460" t="s">
        <v>1671</v>
      </c>
      <c r="E3409" s="2461" t="s">
        <v>213</v>
      </c>
      <c r="F3409" s="2461" t="s">
        <v>1437</v>
      </c>
      <c r="G3409" s="2461" t="s">
        <v>1412</v>
      </c>
      <c r="H3409" s="2461" t="s">
        <v>1116</v>
      </c>
      <c r="I3409" s="2462">
        <v>2.8604112144978978E-5</v>
      </c>
      <c r="J3409" s="2462">
        <v>1.2801669592167149E-2</v>
      </c>
    </row>
    <row r="3410" spans="1:10" outlineLevel="2">
      <c r="A3410" s="2459" t="s">
        <v>1669</v>
      </c>
      <c r="B3410" s="2459" t="s">
        <v>1659</v>
      </c>
      <c r="C3410" s="2459" t="s">
        <v>1675</v>
      </c>
      <c r="D3410" s="2460" t="s">
        <v>1671</v>
      </c>
      <c r="E3410" s="2461" t="s">
        <v>213</v>
      </c>
      <c r="F3410" s="2461" t="s">
        <v>1438</v>
      </c>
      <c r="G3410" s="2461" t="s">
        <v>1439</v>
      </c>
      <c r="H3410" s="2461" t="s">
        <v>1440</v>
      </c>
      <c r="I3410" s="2462">
        <v>2.7835720138006869E-3</v>
      </c>
      <c r="J3410" s="2462">
        <v>1.524467900715774</v>
      </c>
    </row>
    <row r="3411" spans="1:10" outlineLevel="2">
      <c r="A3411" s="2459" t="s">
        <v>1669</v>
      </c>
      <c r="B3411" s="2459" t="s">
        <v>1659</v>
      </c>
      <c r="C3411" s="2459" t="s">
        <v>1675</v>
      </c>
      <c r="D3411" s="2460" t="s">
        <v>1671</v>
      </c>
      <c r="E3411" s="2461" t="s">
        <v>213</v>
      </c>
      <c r="F3411" s="2461" t="s">
        <v>1441</v>
      </c>
      <c r="G3411" s="2461" t="s">
        <v>1439</v>
      </c>
      <c r="H3411" s="2461" t="s">
        <v>1440</v>
      </c>
      <c r="I3411" s="2462">
        <v>2.4266697461398486E-2</v>
      </c>
      <c r="J3411" s="2462">
        <v>13.042024794596674</v>
      </c>
    </row>
    <row r="3412" spans="1:10" outlineLevel="2">
      <c r="A3412" s="2459" t="s">
        <v>1669</v>
      </c>
      <c r="B3412" s="2459" t="s">
        <v>1659</v>
      </c>
      <c r="C3412" s="2459" t="s">
        <v>1675</v>
      </c>
      <c r="D3412" s="2460" t="s">
        <v>1671</v>
      </c>
      <c r="E3412" s="2461" t="s">
        <v>213</v>
      </c>
      <c r="F3412" s="2461" t="s">
        <v>1442</v>
      </c>
      <c r="G3412" s="2461" t="s">
        <v>1439</v>
      </c>
      <c r="H3412" s="2461" t="s">
        <v>1440</v>
      </c>
      <c r="I3412" s="2462">
        <v>3.917746033986616E-2</v>
      </c>
      <c r="J3412" s="2462">
        <v>20.354518162309667</v>
      </c>
    </row>
    <row r="3413" spans="1:10" outlineLevel="2">
      <c r="A3413" s="2459" t="s">
        <v>1669</v>
      </c>
      <c r="B3413" s="2459" t="s">
        <v>1659</v>
      </c>
      <c r="C3413" s="2459" t="s">
        <v>1675</v>
      </c>
      <c r="D3413" s="2460" t="s">
        <v>1671</v>
      </c>
      <c r="E3413" s="2461" t="s">
        <v>213</v>
      </c>
      <c r="F3413" s="2461" t="s">
        <v>1443</v>
      </c>
      <c r="G3413" s="2461" t="s">
        <v>1439</v>
      </c>
      <c r="H3413" s="2461" t="s">
        <v>1440</v>
      </c>
      <c r="I3413" s="2462">
        <v>0.22945551871868367</v>
      </c>
      <c r="J3413" s="2462">
        <v>125.60479784656566</v>
      </c>
    </row>
    <row r="3414" spans="1:10" outlineLevel="2">
      <c r="A3414" s="2459" t="s">
        <v>1669</v>
      </c>
      <c r="B3414" s="2459" t="s">
        <v>1659</v>
      </c>
      <c r="C3414" s="2459" t="s">
        <v>1675</v>
      </c>
      <c r="D3414" s="2460" t="s">
        <v>1671</v>
      </c>
      <c r="E3414" s="2461" t="s">
        <v>213</v>
      </c>
      <c r="F3414" s="2461" t="s">
        <v>1444</v>
      </c>
      <c r="G3414" s="2461" t="s">
        <v>1439</v>
      </c>
      <c r="H3414" s="2461" t="s">
        <v>1440</v>
      </c>
      <c r="I3414" s="2462">
        <v>4.8127255757440549E-2</v>
      </c>
      <c r="J3414" s="2462">
        <v>28.268020435844367</v>
      </c>
    </row>
    <row r="3415" spans="1:10" outlineLevel="2">
      <c r="A3415" s="2459" t="s">
        <v>1669</v>
      </c>
      <c r="B3415" s="2459" t="s">
        <v>1659</v>
      </c>
      <c r="C3415" s="2459" t="s">
        <v>1675</v>
      </c>
      <c r="D3415" s="2460" t="s">
        <v>1671</v>
      </c>
      <c r="E3415" s="2461" t="s">
        <v>213</v>
      </c>
      <c r="F3415" s="2461" t="s">
        <v>1445</v>
      </c>
      <c r="G3415" s="2461" t="s">
        <v>1439</v>
      </c>
      <c r="H3415" s="2461" t="s">
        <v>1440</v>
      </c>
      <c r="I3415" s="2462">
        <v>0.21711904094081316</v>
      </c>
      <c r="J3415" s="2462">
        <v>109.76174040364108</v>
      </c>
    </row>
    <row r="3416" spans="1:10" outlineLevel="2">
      <c r="A3416" s="2459" t="s">
        <v>1669</v>
      </c>
      <c r="B3416" s="2459" t="s">
        <v>1659</v>
      </c>
      <c r="C3416" s="2459" t="s">
        <v>1675</v>
      </c>
      <c r="D3416" s="2460" t="s">
        <v>1671</v>
      </c>
      <c r="E3416" s="2461" t="s">
        <v>213</v>
      </c>
      <c r="F3416" s="2461" t="s">
        <v>1446</v>
      </c>
      <c r="G3416" s="2461" t="s">
        <v>1439</v>
      </c>
      <c r="H3416" s="2461" t="s">
        <v>1440</v>
      </c>
      <c r="I3416" s="2462">
        <v>3.3922300641860914E-2</v>
      </c>
      <c r="J3416" s="2462">
        <v>18.193234094548774</v>
      </c>
    </row>
    <row r="3417" spans="1:10" outlineLevel="2">
      <c r="A3417" s="2459" t="s">
        <v>1669</v>
      </c>
      <c r="B3417" s="2459" t="s">
        <v>1659</v>
      </c>
      <c r="C3417" s="2459" t="s">
        <v>1675</v>
      </c>
      <c r="D3417" s="2460" t="s">
        <v>1671</v>
      </c>
      <c r="E3417" s="2461" t="s">
        <v>213</v>
      </c>
      <c r="F3417" s="2461" t="s">
        <v>1447</v>
      </c>
      <c r="G3417" s="2461" t="s">
        <v>1439</v>
      </c>
      <c r="H3417" s="2461" t="s">
        <v>1440</v>
      </c>
      <c r="I3417" s="2462">
        <v>0.19162779474868569</v>
      </c>
      <c r="J3417" s="2462">
        <v>102.49121053107706</v>
      </c>
    </row>
    <row r="3418" spans="1:10" outlineLevel="2">
      <c r="A3418" s="2459" t="s">
        <v>1669</v>
      </c>
      <c r="B3418" s="2459" t="s">
        <v>1659</v>
      </c>
      <c r="C3418" s="2459" t="s">
        <v>1675</v>
      </c>
      <c r="D3418" s="2460" t="s">
        <v>1671</v>
      </c>
      <c r="E3418" s="2461" t="s">
        <v>213</v>
      </c>
      <c r="F3418" s="2461" t="s">
        <v>1450</v>
      </c>
      <c r="G3418" s="2461" t="s">
        <v>1439</v>
      </c>
      <c r="H3418" s="2461" t="s">
        <v>1440</v>
      </c>
      <c r="I3418" s="2462">
        <v>1.0960359354687657E-4</v>
      </c>
      <c r="J3418" s="2462">
        <v>5.4690114413711778E-2</v>
      </c>
    </row>
    <row r="3419" spans="1:10" outlineLevel="2">
      <c r="A3419" s="2459" t="s">
        <v>1669</v>
      </c>
      <c r="B3419" s="2459" t="s">
        <v>1659</v>
      </c>
      <c r="C3419" s="2459" t="s">
        <v>1675</v>
      </c>
      <c r="D3419" s="2460" t="s">
        <v>1671</v>
      </c>
      <c r="E3419" s="2461" t="s">
        <v>213</v>
      </c>
      <c r="F3419" s="2461" t="s">
        <v>1451</v>
      </c>
      <c r="G3419" s="2461" t="s">
        <v>1418</v>
      </c>
      <c r="H3419" s="2461" t="s">
        <v>1452</v>
      </c>
      <c r="I3419" s="2462">
        <v>1.4621522560050815E-3</v>
      </c>
      <c r="J3419" s="2462">
        <v>0.88916776450723667</v>
      </c>
    </row>
    <row r="3420" spans="1:10" outlineLevel="2">
      <c r="A3420" s="2459" t="s">
        <v>1669</v>
      </c>
      <c r="B3420" s="2459" t="s">
        <v>1659</v>
      </c>
      <c r="C3420" s="2459" t="s">
        <v>1675</v>
      </c>
      <c r="D3420" s="2460" t="s">
        <v>1671</v>
      </c>
      <c r="E3420" s="2461" t="s">
        <v>213</v>
      </c>
      <c r="F3420" s="2461" t="s">
        <v>1453</v>
      </c>
      <c r="G3420" s="2461" t="s">
        <v>1421</v>
      </c>
      <c r="H3420" s="2461" t="s">
        <v>1454</v>
      </c>
      <c r="I3420" s="2462">
        <v>6.9749700790556176E-3</v>
      </c>
      <c r="J3420" s="2462">
        <v>3.4533754415473528</v>
      </c>
    </row>
    <row r="3421" spans="1:10" outlineLevel="2">
      <c r="A3421" s="2459" t="s">
        <v>1669</v>
      </c>
      <c r="B3421" s="2459" t="s">
        <v>1659</v>
      </c>
      <c r="C3421" s="2459" t="s">
        <v>1675</v>
      </c>
      <c r="D3421" s="2460" t="s">
        <v>1671</v>
      </c>
      <c r="E3421" s="2461" t="s">
        <v>213</v>
      </c>
      <c r="F3421" s="2461" t="s">
        <v>1455</v>
      </c>
      <c r="G3421" s="2461" t="s">
        <v>1421</v>
      </c>
      <c r="H3421" s="2461" t="s">
        <v>1454</v>
      </c>
      <c r="I3421" s="2462">
        <v>4.4511448031233108E-2</v>
      </c>
      <c r="J3421" s="2462">
        <v>23.037890836065539</v>
      </c>
    </row>
    <row r="3422" spans="1:10" outlineLevel="2">
      <c r="A3422" s="2459" t="s">
        <v>1669</v>
      </c>
      <c r="B3422" s="2459" t="s">
        <v>1659</v>
      </c>
      <c r="C3422" s="2459" t="s">
        <v>1675</v>
      </c>
      <c r="D3422" s="2460" t="s">
        <v>1671</v>
      </c>
      <c r="E3422" s="2461" t="s">
        <v>213</v>
      </c>
      <c r="F3422" s="2461" t="s">
        <v>1456</v>
      </c>
      <c r="G3422" s="2461" t="s">
        <v>1421</v>
      </c>
      <c r="H3422" s="2461" t="s">
        <v>1454</v>
      </c>
      <c r="I3422" s="2462">
        <v>1.7853483328454574E-5</v>
      </c>
      <c r="J3422" s="2462">
        <v>7.9902565759135038E-3</v>
      </c>
    </row>
    <row r="3423" spans="1:10" outlineLevel="2">
      <c r="A3423" s="2459" t="s">
        <v>1669</v>
      </c>
      <c r="B3423" s="2459" t="s">
        <v>1659</v>
      </c>
      <c r="C3423" s="2459" t="s">
        <v>1675</v>
      </c>
      <c r="D3423" s="2460" t="s">
        <v>1671</v>
      </c>
      <c r="E3423" s="2461" t="s">
        <v>213</v>
      </c>
      <c r="F3423" s="2461" t="s">
        <v>1457</v>
      </c>
      <c r="G3423" s="2461" t="s">
        <v>1421</v>
      </c>
      <c r="H3423" s="2461" t="s">
        <v>1454</v>
      </c>
      <c r="I3423" s="2462">
        <v>3.1142089941647958E-4</v>
      </c>
      <c r="J3423" s="2462">
        <v>0.13937539098950816</v>
      </c>
    </row>
    <row r="3424" spans="1:10" outlineLevel="2">
      <c r="A3424" s="2459" t="s">
        <v>1669</v>
      </c>
      <c r="B3424" s="2459" t="s">
        <v>1659</v>
      </c>
      <c r="C3424" s="2459" t="s">
        <v>1675</v>
      </c>
      <c r="D3424" s="2460" t="s">
        <v>1671</v>
      </c>
      <c r="E3424" s="2461" t="s">
        <v>213</v>
      </c>
      <c r="F3424" s="2461" t="s">
        <v>1458</v>
      </c>
      <c r="G3424" s="2461" t="s">
        <v>1459</v>
      </c>
      <c r="H3424" s="2461" t="s">
        <v>1460</v>
      </c>
      <c r="I3424" s="2462">
        <v>7.6063023659498855E-3</v>
      </c>
      <c r="J3424" s="2462">
        <v>4.391345746233041</v>
      </c>
    </row>
    <row r="3425" spans="1:10" outlineLevel="2">
      <c r="A3425" s="2459" t="s">
        <v>1669</v>
      </c>
      <c r="B3425" s="2459" t="s">
        <v>1659</v>
      </c>
      <c r="C3425" s="2459" t="s">
        <v>1675</v>
      </c>
      <c r="D3425" s="2460" t="s">
        <v>1671</v>
      </c>
      <c r="E3425" s="2461" t="s">
        <v>213</v>
      </c>
      <c r="F3425" s="2461" t="s">
        <v>1461</v>
      </c>
      <c r="G3425" s="2461" t="s">
        <v>1426</v>
      </c>
      <c r="H3425" s="2461" t="s">
        <v>1427</v>
      </c>
      <c r="I3425" s="2462">
        <v>7.9104554427726265E-2</v>
      </c>
      <c r="J3425" s="2462">
        <v>56.022741164136818</v>
      </c>
    </row>
    <row r="3426" spans="1:10" outlineLevel="2">
      <c r="A3426" s="2459" t="s">
        <v>1669</v>
      </c>
      <c r="B3426" s="2459" t="s">
        <v>1659</v>
      </c>
      <c r="C3426" s="2459" t="s">
        <v>1675</v>
      </c>
      <c r="D3426" s="2460" t="s">
        <v>1671</v>
      </c>
      <c r="E3426" s="2461" t="s">
        <v>213</v>
      </c>
      <c r="F3426" s="2461" t="s">
        <v>1462</v>
      </c>
      <c r="G3426" s="2461" t="s">
        <v>1426</v>
      </c>
      <c r="H3426" s="2461" t="s">
        <v>1427</v>
      </c>
      <c r="I3426" s="2462">
        <v>0.58293341169696922</v>
      </c>
      <c r="J3426" s="2462">
        <v>532.5960606575253</v>
      </c>
    </row>
    <row r="3427" spans="1:10" outlineLevel="2">
      <c r="A3427" s="2459" t="s">
        <v>1669</v>
      </c>
      <c r="B3427" s="2459" t="s">
        <v>1659</v>
      </c>
      <c r="C3427" s="2459" t="s">
        <v>1675</v>
      </c>
      <c r="D3427" s="2460" t="s">
        <v>1671</v>
      </c>
      <c r="E3427" s="2461" t="s">
        <v>213</v>
      </c>
      <c r="F3427" s="2461" t="s">
        <v>1463</v>
      </c>
      <c r="G3427" s="2461" t="s">
        <v>1426</v>
      </c>
      <c r="H3427" s="2461" t="s">
        <v>1427</v>
      </c>
      <c r="I3427" s="2462">
        <v>0.13688312542341316</v>
      </c>
      <c r="J3427" s="2462">
        <v>182.18545927328904</v>
      </c>
    </row>
    <row r="3428" spans="1:10" outlineLevel="2">
      <c r="A3428" s="2459" t="s">
        <v>1669</v>
      </c>
      <c r="B3428" s="2459" t="s">
        <v>1659</v>
      </c>
      <c r="C3428" s="2459" t="s">
        <v>1675</v>
      </c>
      <c r="D3428" s="2460" t="s">
        <v>1671</v>
      </c>
      <c r="E3428" s="2461" t="s">
        <v>213</v>
      </c>
      <c r="F3428" s="2461" t="s">
        <v>1464</v>
      </c>
      <c r="G3428" s="2461" t="s">
        <v>1426</v>
      </c>
      <c r="H3428" s="2461" t="s">
        <v>1427</v>
      </c>
      <c r="I3428" s="2462">
        <v>7.8335040611138385E-2</v>
      </c>
      <c r="J3428" s="2462">
        <v>71.434688271111</v>
      </c>
    </row>
    <row r="3429" spans="1:10" outlineLevel="2">
      <c r="A3429" s="2459" t="s">
        <v>1669</v>
      </c>
      <c r="B3429" s="2459" t="s">
        <v>1659</v>
      </c>
      <c r="C3429" s="2459" t="s">
        <v>1675</v>
      </c>
      <c r="D3429" s="2460" t="s">
        <v>1671</v>
      </c>
      <c r="E3429" s="2461" t="s">
        <v>213</v>
      </c>
      <c r="F3429" s="2461" t="s">
        <v>1465</v>
      </c>
      <c r="G3429" s="2461" t="s">
        <v>1409</v>
      </c>
      <c r="H3429" s="2461" t="s">
        <v>1070</v>
      </c>
      <c r="I3429" s="2462">
        <v>2.4615967806287729E-3</v>
      </c>
      <c r="J3429" s="2462">
        <v>4.0187127127595579</v>
      </c>
    </row>
    <row r="3430" spans="1:10" outlineLevel="2">
      <c r="A3430" s="2459" t="s">
        <v>1669</v>
      </c>
      <c r="B3430" s="2459" t="s">
        <v>1659</v>
      </c>
      <c r="C3430" s="2459" t="s">
        <v>1675</v>
      </c>
      <c r="D3430" s="2460" t="s">
        <v>1671</v>
      </c>
      <c r="E3430" s="2461" t="s">
        <v>213</v>
      </c>
      <c r="F3430" s="2461" t="s">
        <v>1466</v>
      </c>
      <c r="G3430" s="2461" t="s">
        <v>1409</v>
      </c>
      <c r="H3430" s="2461" t="s">
        <v>1070</v>
      </c>
      <c r="I3430" s="2462">
        <v>1.9669657212825456E-5</v>
      </c>
      <c r="J3430" s="2462">
        <v>2.9996192429718793E-2</v>
      </c>
    </row>
    <row r="3431" spans="1:10" outlineLevel="2">
      <c r="A3431" s="2459" t="s">
        <v>1669</v>
      </c>
      <c r="B3431" s="2459" t="s">
        <v>1659</v>
      </c>
      <c r="C3431" s="2459" t="s">
        <v>1675</v>
      </c>
      <c r="D3431" s="2460" t="s">
        <v>1671</v>
      </c>
      <c r="E3431" s="2461" t="s">
        <v>213</v>
      </c>
      <c r="F3431" s="2461" t="s">
        <v>1467</v>
      </c>
      <c r="G3431" s="2461" t="s">
        <v>1409</v>
      </c>
      <c r="H3431" s="2461" t="s">
        <v>1070</v>
      </c>
      <c r="I3431" s="2462">
        <v>5.3183717923726932E-3</v>
      </c>
      <c r="J3431" s="2462">
        <v>7.5496379319212572</v>
      </c>
    </row>
    <row r="3432" spans="1:10" outlineLevel="2">
      <c r="A3432" s="2459" t="s">
        <v>1669</v>
      </c>
      <c r="B3432" s="2459" t="s">
        <v>1659</v>
      </c>
      <c r="C3432" s="2459" t="s">
        <v>1675</v>
      </c>
      <c r="D3432" s="2460" t="s">
        <v>1671</v>
      </c>
      <c r="E3432" s="2461" t="s">
        <v>213</v>
      </c>
      <c r="F3432" s="2461" t="s">
        <v>1468</v>
      </c>
      <c r="G3432" s="2461" t="s">
        <v>1409</v>
      </c>
      <c r="H3432" s="2461" t="s">
        <v>1070</v>
      </c>
      <c r="I3432" s="2462">
        <v>4.3399838150781451E-3</v>
      </c>
      <c r="J3432" s="2462">
        <v>7.1078597482571286</v>
      </c>
    </row>
    <row r="3433" spans="1:10" outlineLevel="2">
      <c r="A3433" s="2459" t="s">
        <v>1669</v>
      </c>
      <c r="B3433" s="2459" t="s">
        <v>1659</v>
      </c>
      <c r="C3433" s="2459" t="s">
        <v>1675</v>
      </c>
      <c r="D3433" s="2460" t="s">
        <v>1671</v>
      </c>
      <c r="E3433" s="2461" t="s">
        <v>213</v>
      </c>
      <c r="F3433" s="2461" t="s">
        <v>1469</v>
      </c>
      <c r="G3433" s="2461" t="s">
        <v>1409</v>
      </c>
      <c r="H3433" s="2461" t="s">
        <v>1070</v>
      </c>
      <c r="I3433" s="2462">
        <v>9.7056786901125285E-3</v>
      </c>
      <c r="J3433" s="2462">
        <v>14.185098078578076</v>
      </c>
    </row>
    <row r="3434" spans="1:10" outlineLevel="2">
      <c r="A3434" s="2459" t="s">
        <v>1669</v>
      </c>
      <c r="B3434" s="2459" t="s">
        <v>1659</v>
      </c>
      <c r="C3434" s="2459" t="s">
        <v>1675</v>
      </c>
      <c r="D3434" s="2460" t="s">
        <v>1671</v>
      </c>
      <c r="E3434" s="2461" t="s">
        <v>213</v>
      </c>
      <c r="F3434" s="2461" t="s">
        <v>1470</v>
      </c>
      <c r="G3434" s="2461" t="s">
        <v>1409</v>
      </c>
      <c r="H3434" s="2461" t="s">
        <v>1070</v>
      </c>
      <c r="I3434" s="2462">
        <v>4.2105258729455489E-3</v>
      </c>
      <c r="J3434" s="2462">
        <v>5.9729757603403053</v>
      </c>
    </row>
    <row r="3435" spans="1:10" outlineLevel="2">
      <c r="A3435" s="2459" t="s">
        <v>1669</v>
      </c>
      <c r="B3435" s="2459" t="s">
        <v>1659</v>
      </c>
      <c r="C3435" s="2459" t="s">
        <v>1675</v>
      </c>
      <c r="D3435" s="2460" t="s">
        <v>1671</v>
      </c>
      <c r="E3435" s="2461" t="s">
        <v>213</v>
      </c>
      <c r="F3435" s="2461" t="s">
        <v>1471</v>
      </c>
      <c r="G3435" s="2461" t="s">
        <v>1409</v>
      </c>
      <c r="H3435" s="2461" t="s">
        <v>1070</v>
      </c>
      <c r="I3435" s="2462">
        <v>2.293117288179159E-4</v>
      </c>
      <c r="J3435" s="2462">
        <v>0.31130047026225866</v>
      </c>
    </row>
    <row r="3436" spans="1:10" outlineLevel="2">
      <c r="A3436" s="2459" t="s">
        <v>1669</v>
      </c>
      <c r="B3436" s="2459" t="s">
        <v>1659</v>
      </c>
      <c r="C3436" s="2459" t="s">
        <v>1675</v>
      </c>
      <c r="D3436" s="2460" t="s">
        <v>1671</v>
      </c>
      <c r="E3436" s="2461" t="s">
        <v>213</v>
      </c>
      <c r="F3436" s="2461" t="s">
        <v>1472</v>
      </c>
      <c r="G3436" s="2461" t="s">
        <v>1409</v>
      </c>
      <c r="H3436" s="2461" t="s">
        <v>1070</v>
      </c>
      <c r="I3436" s="2462">
        <v>7.9802208015734705E-3</v>
      </c>
      <c r="J3436" s="2462">
        <v>12.499602563944132</v>
      </c>
    </row>
    <row r="3437" spans="1:10" outlineLevel="2">
      <c r="A3437" s="2459" t="s">
        <v>1669</v>
      </c>
      <c r="B3437" s="2459" t="s">
        <v>1659</v>
      </c>
      <c r="C3437" s="2459" t="s">
        <v>1675</v>
      </c>
      <c r="D3437" s="2460" t="s">
        <v>1671</v>
      </c>
      <c r="E3437" s="2461" t="s">
        <v>213</v>
      </c>
      <c r="F3437" s="2461" t="s">
        <v>1473</v>
      </c>
      <c r="G3437" s="2461" t="s">
        <v>1409</v>
      </c>
      <c r="H3437" s="2461" t="s">
        <v>1070</v>
      </c>
      <c r="I3437" s="2462">
        <v>3.8043371202764026E-3</v>
      </c>
      <c r="J3437" s="2462">
        <v>4.6358780651287201</v>
      </c>
    </row>
    <row r="3438" spans="1:10" outlineLevel="2">
      <c r="A3438" s="2459" t="s">
        <v>1669</v>
      </c>
      <c r="B3438" s="2459" t="s">
        <v>1659</v>
      </c>
      <c r="C3438" s="2459" t="s">
        <v>1675</v>
      </c>
      <c r="D3438" s="2460" t="s">
        <v>1671</v>
      </c>
      <c r="E3438" s="2461" t="s">
        <v>213</v>
      </c>
      <c r="F3438" s="2461" t="s">
        <v>1474</v>
      </c>
      <c r="G3438" s="2461" t="s">
        <v>1409</v>
      </c>
      <c r="H3438" s="2461" t="s">
        <v>1070</v>
      </c>
      <c r="I3438" s="2462">
        <v>1.797745325925797E-2</v>
      </c>
      <c r="J3438" s="2462">
        <v>26.046434613257897</v>
      </c>
    </row>
    <row r="3439" spans="1:10" outlineLevel="2">
      <c r="A3439" s="2459" t="s">
        <v>1669</v>
      </c>
      <c r="B3439" s="2459" t="s">
        <v>1659</v>
      </c>
      <c r="C3439" s="2459" t="s">
        <v>1675</v>
      </c>
      <c r="D3439" s="2460" t="s">
        <v>1671</v>
      </c>
      <c r="E3439" s="2461" t="s">
        <v>213</v>
      </c>
      <c r="F3439" s="2461" t="s">
        <v>1475</v>
      </c>
      <c r="G3439" s="2461" t="s">
        <v>1409</v>
      </c>
      <c r="H3439" s="2461" t="s">
        <v>1070</v>
      </c>
      <c r="I3439" s="2462">
        <v>9.1132003148890334E-3</v>
      </c>
      <c r="J3439" s="2462">
        <v>12.508218456263066</v>
      </c>
    </row>
    <row r="3440" spans="1:10" outlineLevel="2">
      <c r="A3440" s="2459" t="s">
        <v>1669</v>
      </c>
      <c r="B3440" s="2459" t="s">
        <v>1659</v>
      </c>
      <c r="C3440" s="2459" t="s">
        <v>1675</v>
      </c>
      <c r="D3440" s="2460" t="s">
        <v>1671</v>
      </c>
      <c r="E3440" s="2461" t="s">
        <v>213</v>
      </c>
      <c r="F3440" s="2461" t="s">
        <v>1476</v>
      </c>
      <c r="G3440" s="2461" t="s">
        <v>1409</v>
      </c>
      <c r="H3440" s="2461" t="s">
        <v>1070</v>
      </c>
      <c r="I3440" s="2462">
        <v>7.2063618534433859E-4</v>
      </c>
      <c r="J3440" s="2462">
        <v>1.0075208475801891</v>
      </c>
    </row>
    <row r="3441" spans="1:10" outlineLevel="2">
      <c r="A3441" s="2459" t="s">
        <v>1669</v>
      </c>
      <c r="B3441" s="2459" t="s">
        <v>1659</v>
      </c>
      <c r="C3441" s="2459" t="s">
        <v>1675</v>
      </c>
      <c r="D3441" s="2460" t="s">
        <v>1671</v>
      </c>
      <c r="E3441" s="2461" t="s">
        <v>213</v>
      </c>
      <c r="F3441" s="2461" t="s">
        <v>1477</v>
      </c>
      <c r="G3441" s="2461" t="s">
        <v>1409</v>
      </c>
      <c r="H3441" s="2461" t="s">
        <v>1070</v>
      </c>
      <c r="I3441" s="2462">
        <v>1.1828710775444997E-3</v>
      </c>
      <c r="J3441" s="2462">
        <v>1.6918796212619969</v>
      </c>
    </row>
    <row r="3442" spans="1:10" outlineLevel="2">
      <c r="A3442" s="2459" t="s">
        <v>1669</v>
      </c>
      <c r="B3442" s="2459" t="s">
        <v>1659</v>
      </c>
      <c r="C3442" s="2459" t="s">
        <v>1675</v>
      </c>
      <c r="D3442" s="2460" t="s">
        <v>1671</v>
      </c>
      <c r="E3442" s="2461" t="s">
        <v>213</v>
      </c>
      <c r="F3442" s="2461" t="s">
        <v>1478</v>
      </c>
      <c r="G3442" s="2461" t="s">
        <v>1409</v>
      </c>
      <c r="H3442" s="2461" t="s">
        <v>1070</v>
      </c>
      <c r="I3442" s="2462">
        <v>5.1803340214892938E-4</v>
      </c>
      <c r="J3442" s="2462">
        <v>1.5118331341301086</v>
      </c>
    </row>
    <row r="3443" spans="1:10" outlineLevel="2">
      <c r="A3443" s="2459" t="s">
        <v>1669</v>
      </c>
      <c r="B3443" s="2459" t="s">
        <v>1659</v>
      </c>
      <c r="C3443" s="2459" t="s">
        <v>1675</v>
      </c>
      <c r="D3443" s="2460" t="s">
        <v>1671</v>
      </c>
      <c r="E3443" s="2461" t="s">
        <v>213</v>
      </c>
      <c r="F3443" s="2461" t="s">
        <v>1479</v>
      </c>
      <c r="G3443" s="2461" t="s">
        <v>1409</v>
      </c>
      <c r="H3443" s="2461" t="s">
        <v>1070</v>
      </c>
      <c r="I3443" s="2462">
        <v>4.1688039387325119E-4</v>
      </c>
      <c r="J3443" s="2462">
        <v>3.5858067805558744</v>
      </c>
    </row>
    <row r="3444" spans="1:10" outlineLevel="2">
      <c r="A3444" s="2459" t="s">
        <v>1669</v>
      </c>
      <c r="B3444" s="2459" t="s">
        <v>1659</v>
      </c>
      <c r="C3444" s="2459" t="s">
        <v>1675</v>
      </c>
      <c r="D3444" s="2460" t="s">
        <v>1671</v>
      </c>
      <c r="E3444" s="2461" t="s">
        <v>213</v>
      </c>
      <c r="F3444" s="2461" t="s">
        <v>1480</v>
      </c>
      <c r="G3444" s="2461" t="s">
        <v>1409</v>
      </c>
      <c r="H3444" s="2461" t="s">
        <v>1070</v>
      </c>
      <c r="I3444" s="2462">
        <v>5.671955364698212E-3</v>
      </c>
      <c r="J3444" s="2462">
        <v>8.5501003994622131</v>
      </c>
    </row>
    <row r="3445" spans="1:10" outlineLevel="2">
      <c r="A3445" s="2459" t="s">
        <v>1669</v>
      </c>
      <c r="B3445" s="2459" t="s">
        <v>1659</v>
      </c>
      <c r="C3445" s="2459" t="s">
        <v>1675</v>
      </c>
      <c r="D3445" s="2460" t="s">
        <v>1671</v>
      </c>
      <c r="E3445" s="2461" t="s">
        <v>213</v>
      </c>
      <c r="F3445" s="2461" t="s">
        <v>1481</v>
      </c>
      <c r="G3445" s="2461" t="s">
        <v>1409</v>
      </c>
      <c r="H3445" s="2461" t="s">
        <v>1070</v>
      </c>
      <c r="I3445" s="2462">
        <v>4.049982036890637E-3</v>
      </c>
      <c r="J3445" s="2462">
        <v>5.9590793051056918</v>
      </c>
    </row>
    <row r="3446" spans="1:10" outlineLevel="2">
      <c r="A3446" s="2459" t="s">
        <v>1669</v>
      </c>
      <c r="B3446" s="2459" t="s">
        <v>1659</v>
      </c>
      <c r="C3446" s="2459" t="s">
        <v>1675</v>
      </c>
      <c r="D3446" s="2460" t="s">
        <v>1671</v>
      </c>
      <c r="E3446" s="2461" t="s">
        <v>213</v>
      </c>
      <c r="F3446" s="2461" t="s">
        <v>1482</v>
      </c>
      <c r="G3446" s="2461" t="s">
        <v>1409</v>
      </c>
      <c r="H3446" s="2461" t="s">
        <v>1070</v>
      </c>
      <c r="I3446" s="2462">
        <v>1.5905383064236977E-3</v>
      </c>
      <c r="J3446" s="2462">
        <v>1.9525777292797253</v>
      </c>
    </row>
    <row r="3447" spans="1:10" outlineLevel="2">
      <c r="A3447" s="2459" t="s">
        <v>1669</v>
      </c>
      <c r="B3447" s="2459" t="s">
        <v>1659</v>
      </c>
      <c r="C3447" s="2459" t="s">
        <v>1675</v>
      </c>
      <c r="D3447" s="2460" t="s">
        <v>1671</v>
      </c>
      <c r="E3447" s="2461" t="s">
        <v>213</v>
      </c>
      <c r="F3447" s="2461" t="s">
        <v>1483</v>
      </c>
      <c r="G3447" s="2461" t="s">
        <v>1409</v>
      </c>
      <c r="H3447" s="2461" t="s">
        <v>1070</v>
      </c>
      <c r="I3447" s="2462">
        <v>1.3241343925771913E-3</v>
      </c>
      <c r="J3447" s="2462">
        <v>1.4267527875677897</v>
      </c>
    </row>
    <row r="3448" spans="1:10" outlineLevel="2">
      <c r="A3448" s="2459" t="s">
        <v>1669</v>
      </c>
      <c r="B3448" s="2459" t="s">
        <v>1659</v>
      </c>
      <c r="C3448" s="2459" t="s">
        <v>1675</v>
      </c>
      <c r="D3448" s="2460" t="s">
        <v>1671</v>
      </c>
      <c r="E3448" s="2461" t="s">
        <v>213</v>
      </c>
      <c r="F3448" s="2461" t="s">
        <v>1484</v>
      </c>
      <c r="G3448" s="2461" t="s">
        <v>1412</v>
      </c>
      <c r="H3448" s="2461" t="s">
        <v>1116</v>
      </c>
      <c r="I3448" s="2462">
        <v>9.2428296080874599E-3</v>
      </c>
      <c r="J3448" s="2462">
        <v>18.543844146493281</v>
      </c>
    </row>
    <row r="3449" spans="1:10" outlineLevel="2">
      <c r="A3449" s="2459" t="s">
        <v>1669</v>
      </c>
      <c r="B3449" s="2459" t="s">
        <v>1659</v>
      </c>
      <c r="C3449" s="2459" t="s">
        <v>1675</v>
      </c>
      <c r="D3449" s="2460" t="s">
        <v>1671</v>
      </c>
      <c r="E3449" s="2461" t="s">
        <v>213</v>
      </c>
      <c r="F3449" s="2461" t="s">
        <v>1485</v>
      </c>
      <c r="G3449" s="2461" t="s">
        <v>1412</v>
      </c>
      <c r="H3449" s="2461" t="s">
        <v>1116</v>
      </c>
      <c r="I3449" s="2462">
        <v>6.6401057185657966E-3</v>
      </c>
      <c r="J3449" s="2462">
        <v>70.179183499825129</v>
      </c>
    </row>
    <row r="3450" spans="1:10" outlineLevel="2">
      <c r="A3450" s="2459" t="s">
        <v>1669</v>
      </c>
      <c r="B3450" s="2459" t="s">
        <v>1659</v>
      </c>
      <c r="C3450" s="2459" t="s">
        <v>1675</v>
      </c>
      <c r="D3450" s="2460" t="s">
        <v>1671</v>
      </c>
      <c r="E3450" s="2461" t="s">
        <v>213</v>
      </c>
      <c r="F3450" s="2461" t="s">
        <v>1486</v>
      </c>
      <c r="G3450" s="2461" t="s">
        <v>1412</v>
      </c>
      <c r="H3450" s="2461" t="s">
        <v>1116</v>
      </c>
      <c r="I3450" s="2462">
        <v>5.5095058305387832E-3</v>
      </c>
      <c r="J3450" s="2462">
        <v>15.080237695277685</v>
      </c>
    </row>
    <row r="3451" spans="1:10" outlineLevel="2">
      <c r="A3451" s="2459" t="s">
        <v>1669</v>
      </c>
      <c r="B3451" s="2459" t="s">
        <v>1659</v>
      </c>
      <c r="C3451" s="2459" t="s">
        <v>1675</v>
      </c>
      <c r="D3451" s="2460" t="s">
        <v>1671</v>
      </c>
      <c r="E3451" s="2461" t="s">
        <v>213</v>
      </c>
      <c r="F3451" s="2461" t="s">
        <v>1487</v>
      </c>
      <c r="G3451" s="2461" t="s">
        <v>1412</v>
      </c>
      <c r="H3451" s="2461" t="s">
        <v>1116</v>
      </c>
      <c r="I3451" s="2462">
        <v>2.1192637174458361E-2</v>
      </c>
      <c r="J3451" s="2462">
        <v>28.324821737778656</v>
      </c>
    </row>
    <row r="3452" spans="1:10" outlineLevel="2">
      <c r="A3452" s="2459" t="s">
        <v>1669</v>
      </c>
      <c r="B3452" s="2459" t="s">
        <v>1659</v>
      </c>
      <c r="C3452" s="2459" t="s">
        <v>1675</v>
      </c>
      <c r="D3452" s="2460" t="s">
        <v>1671</v>
      </c>
      <c r="E3452" s="2461" t="s">
        <v>213</v>
      </c>
      <c r="F3452" s="2461" t="s">
        <v>1488</v>
      </c>
      <c r="G3452" s="2461" t="s">
        <v>1412</v>
      </c>
      <c r="H3452" s="2461" t="s">
        <v>1116</v>
      </c>
      <c r="I3452" s="2462">
        <v>5.9794680857776206E-4</v>
      </c>
      <c r="J3452" s="2462">
        <v>1.2996639034085666</v>
      </c>
    </row>
    <row r="3453" spans="1:10" outlineLevel="2">
      <c r="A3453" s="2459" t="s">
        <v>1669</v>
      </c>
      <c r="B3453" s="2459" t="s">
        <v>1659</v>
      </c>
      <c r="C3453" s="2459" t="s">
        <v>1675</v>
      </c>
      <c r="D3453" s="2460" t="s">
        <v>1671</v>
      </c>
      <c r="E3453" s="2461" t="s">
        <v>213</v>
      </c>
      <c r="F3453" s="2461" t="s">
        <v>1489</v>
      </c>
      <c r="G3453" s="2461" t="s">
        <v>1412</v>
      </c>
      <c r="H3453" s="2461" t="s">
        <v>1116</v>
      </c>
      <c r="I3453" s="2462">
        <v>9.4540924424386203E-4</v>
      </c>
      <c r="J3453" s="2462">
        <v>1.405232011679407</v>
      </c>
    </row>
    <row r="3454" spans="1:10" outlineLevel="2">
      <c r="A3454" s="2459" t="s">
        <v>1669</v>
      </c>
      <c r="B3454" s="2459" t="s">
        <v>1659</v>
      </c>
      <c r="C3454" s="2459" t="s">
        <v>1675</v>
      </c>
      <c r="D3454" s="2460" t="s">
        <v>1671</v>
      </c>
      <c r="E3454" s="2461" t="s">
        <v>213</v>
      </c>
      <c r="F3454" s="2461" t="s">
        <v>1490</v>
      </c>
      <c r="G3454" s="2461" t="s">
        <v>1412</v>
      </c>
      <c r="H3454" s="2461" t="s">
        <v>1116</v>
      </c>
      <c r="I3454" s="2462">
        <v>4.3530256107738793E-4</v>
      </c>
      <c r="J3454" s="2462">
        <v>6.1979108461854224</v>
      </c>
    </row>
    <row r="3455" spans="1:10" outlineLevel="2">
      <c r="A3455" s="2459" t="s">
        <v>1669</v>
      </c>
      <c r="B3455" s="2459" t="s">
        <v>1659</v>
      </c>
      <c r="C3455" s="2459" t="s">
        <v>1675</v>
      </c>
      <c r="D3455" s="2460" t="s">
        <v>1671</v>
      </c>
      <c r="E3455" s="2461" t="s">
        <v>213</v>
      </c>
      <c r="F3455" s="2461" t="s">
        <v>1491</v>
      </c>
      <c r="G3455" s="2461" t="s">
        <v>1439</v>
      </c>
      <c r="H3455" s="2461" t="s">
        <v>1440</v>
      </c>
      <c r="I3455" s="2462">
        <v>0.24031251674410692</v>
      </c>
      <c r="J3455" s="2462">
        <v>257.1377033141103</v>
      </c>
    </row>
    <row r="3456" spans="1:10" outlineLevel="2">
      <c r="A3456" s="2459" t="s">
        <v>1669</v>
      </c>
      <c r="B3456" s="2459" t="s">
        <v>1659</v>
      </c>
      <c r="C3456" s="2459" t="s">
        <v>1675</v>
      </c>
      <c r="D3456" s="2460" t="s">
        <v>1671</v>
      </c>
      <c r="E3456" s="2461" t="s">
        <v>213</v>
      </c>
      <c r="F3456" s="2461" t="s">
        <v>1492</v>
      </c>
      <c r="G3456" s="2461" t="s">
        <v>1439</v>
      </c>
      <c r="H3456" s="2461" t="s">
        <v>1440</v>
      </c>
      <c r="I3456" s="2462">
        <v>0.23635519471334104</v>
      </c>
      <c r="J3456" s="2462">
        <v>320.84535938975176</v>
      </c>
    </row>
    <row r="3457" spans="1:10" outlineLevel="2">
      <c r="A3457" s="2459" t="s">
        <v>1669</v>
      </c>
      <c r="B3457" s="2459" t="s">
        <v>1659</v>
      </c>
      <c r="C3457" s="2459" t="s">
        <v>1675</v>
      </c>
      <c r="D3457" s="2460" t="s">
        <v>1671</v>
      </c>
      <c r="E3457" s="2461" t="s">
        <v>213</v>
      </c>
      <c r="F3457" s="2461" t="s">
        <v>1493</v>
      </c>
      <c r="G3457" s="2461" t="s">
        <v>1439</v>
      </c>
      <c r="H3457" s="2461" t="s">
        <v>1440</v>
      </c>
      <c r="I3457" s="2462">
        <v>2.068722722302474E-2</v>
      </c>
      <c r="J3457" s="2462">
        <v>22.1271447195615</v>
      </c>
    </row>
    <row r="3458" spans="1:10" outlineLevel="2">
      <c r="A3458" s="2459" t="s">
        <v>1669</v>
      </c>
      <c r="B3458" s="2459" t="s">
        <v>1659</v>
      </c>
      <c r="C3458" s="2459" t="s">
        <v>1675</v>
      </c>
      <c r="D3458" s="2460" t="s">
        <v>1671</v>
      </c>
      <c r="E3458" s="2461" t="s">
        <v>213</v>
      </c>
      <c r="F3458" s="2461" t="s">
        <v>1494</v>
      </c>
      <c r="G3458" s="2461" t="s">
        <v>1439</v>
      </c>
      <c r="H3458" s="2461" t="s">
        <v>1440</v>
      </c>
      <c r="I3458" s="2462">
        <v>0.15062249048016674</v>
      </c>
      <c r="J3458" s="2462">
        <v>190.31376640865389</v>
      </c>
    </row>
    <row r="3459" spans="1:10" outlineLevel="2">
      <c r="A3459" s="2459" t="s">
        <v>1669</v>
      </c>
      <c r="B3459" s="2459" t="s">
        <v>1659</v>
      </c>
      <c r="C3459" s="2459" t="s">
        <v>1675</v>
      </c>
      <c r="D3459" s="2460" t="s">
        <v>1671</v>
      </c>
      <c r="E3459" s="2461" t="s">
        <v>213</v>
      </c>
      <c r="F3459" s="2461" t="s">
        <v>1495</v>
      </c>
      <c r="G3459" s="2461" t="s">
        <v>1439</v>
      </c>
      <c r="H3459" s="2461" t="s">
        <v>1440</v>
      </c>
      <c r="I3459" s="2462">
        <v>1.126949159988716E-3</v>
      </c>
      <c r="J3459" s="2462">
        <v>1.4293564107406964</v>
      </c>
    </row>
    <row r="3460" spans="1:10" outlineLevel="2">
      <c r="A3460" s="2459" t="s">
        <v>1669</v>
      </c>
      <c r="B3460" s="2459" t="s">
        <v>1659</v>
      </c>
      <c r="C3460" s="2459" t="s">
        <v>1675</v>
      </c>
      <c r="D3460" s="2460" t="s">
        <v>1671</v>
      </c>
      <c r="E3460" s="2461" t="s">
        <v>213</v>
      </c>
      <c r="F3460" s="2461" t="s">
        <v>1496</v>
      </c>
      <c r="G3460" s="2461" t="s">
        <v>1439</v>
      </c>
      <c r="H3460" s="2461" t="s">
        <v>1440</v>
      </c>
      <c r="I3460" s="2462">
        <v>5.2473904021520757E-3</v>
      </c>
      <c r="J3460" s="2462">
        <v>7.4315818384513008</v>
      </c>
    </row>
    <row r="3461" spans="1:10" outlineLevel="2">
      <c r="A3461" s="2459" t="s">
        <v>1669</v>
      </c>
      <c r="B3461" s="2459" t="s">
        <v>1659</v>
      </c>
      <c r="C3461" s="2459" t="s">
        <v>1675</v>
      </c>
      <c r="D3461" s="2460" t="s">
        <v>1671</v>
      </c>
      <c r="E3461" s="2461" t="s">
        <v>213</v>
      </c>
      <c r="F3461" s="2461" t="s">
        <v>1497</v>
      </c>
      <c r="G3461" s="2461" t="s">
        <v>1439</v>
      </c>
      <c r="H3461" s="2461" t="s">
        <v>1440</v>
      </c>
      <c r="I3461" s="2462">
        <v>2.1463071177601177E-3</v>
      </c>
      <c r="J3461" s="2462">
        <v>2.7268892259600919</v>
      </c>
    </row>
    <row r="3462" spans="1:10" outlineLevel="2">
      <c r="A3462" s="2459" t="s">
        <v>1669</v>
      </c>
      <c r="B3462" s="2459" t="s">
        <v>1659</v>
      </c>
      <c r="C3462" s="2459" t="s">
        <v>1675</v>
      </c>
      <c r="D3462" s="2460" t="s">
        <v>1671</v>
      </c>
      <c r="E3462" s="2461" t="s">
        <v>213</v>
      </c>
      <c r="F3462" s="2461" t="s">
        <v>1498</v>
      </c>
      <c r="G3462" s="2461" t="s">
        <v>1439</v>
      </c>
      <c r="H3462" s="2461" t="s">
        <v>1440</v>
      </c>
      <c r="I3462" s="2462">
        <v>0.17933538656300532</v>
      </c>
      <c r="J3462" s="2462">
        <v>304.95212150632494</v>
      </c>
    </row>
    <row r="3463" spans="1:10" outlineLevel="2">
      <c r="A3463" s="2459" t="s">
        <v>1669</v>
      </c>
      <c r="B3463" s="2459" t="s">
        <v>1659</v>
      </c>
      <c r="C3463" s="2459" t="s">
        <v>1675</v>
      </c>
      <c r="D3463" s="2460" t="s">
        <v>1671</v>
      </c>
      <c r="E3463" s="2461" t="s">
        <v>213</v>
      </c>
      <c r="F3463" s="2461" t="s">
        <v>1501</v>
      </c>
      <c r="G3463" s="2461" t="s">
        <v>1439</v>
      </c>
      <c r="H3463" s="2461" t="s">
        <v>1440</v>
      </c>
      <c r="I3463" s="2462">
        <v>3.5806850358627809E-2</v>
      </c>
      <c r="J3463" s="2462">
        <v>52.225483799937344</v>
      </c>
    </row>
    <row r="3464" spans="1:10" outlineLevel="2">
      <c r="A3464" s="2459" t="s">
        <v>1669</v>
      </c>
      <c r="B3464" s="2459" t="s">
        <v>1659</v>
      </c>
      <c r="C3464" s="2459" t="s">
        <v>1675</v>
      </c>
      <c r="D3464" s="2460" t="s">
        <v>1671</v>
      </c>
      <c r="E3464" s="2461" t="s">
        <v>213</v>
      </c>
      <c r="F3464" s="2461" t="s">
        <v>1502</v>
      </c>
      <c r="G3464" s="2461" t="s">
        <v>1439</v>
      </c>
      <c r="H3464" s="2461" t="s">
        <v>1440</v>
      </c>
      <c r="I3464" s="2462">
        <v>2.6991839605456192E-2</v>
      </c>
      <c r="J3464" s="2462">
        <v>40.763257084659777</v>
      </c>
    </row>
    <row r="3465" spans="1:10" outlineLevel="2">
      <c r="A3465" s="2459" t="s">
        <v>1669</v>
      </c>
      <c r="B3465" s="2459" t="s">
        <v>1659</v>
      </c>
      <c r="C3465" s="2459" t="s">
        <v>1675</v>
      </c>
      <c r="D3465" s="2460" t="s">
        <v>1671</v>
      </c>
      <c r="E3465" s="2461" t="s">
        <v>213</v>
      </c>
      <c r="F3465" s="2461" t="s">
        <v>1503</v>
      </c>
      <c r="G3465" s="2461" t="s">
        <v>1439</v>
      </c>
      <c r="H3465" s="2461" t="s">
        <v>1440</v>
      </c>
      <c r="I3465" s="2462">
        <v>3.5611573567763954E-2</v>
      </c>
      <c r="J3465" s="2462">
        <v>46.139987752476387</v>
      </c>
    </row>
    <row r="3466" spans="1:10" outlineLevel="2">
      <c r="A3466" s="2459" t="s">
        <v>1669</v>
      </c>
      <c r="B3466" s="2459" t="s">
        <v>1659</v>
      </c>
      <c r="C3466" s="2459" t="s">
        <v>1675</v>
      </c>
      <c r="D3466" s="2460" t="s">
        <v>1671</v>
      </c>
      <c r="E3466" s="2461" t="s">
        <v>213</v>
      </c>
      <c r="F3466" s="2461" t="s">
        <v>1504</v>
      </c>
      <c r="G3466" s="2461" t="s">
        <v>1439</v>
      </c>
      <c r="H3466" s="2461" t="s">
        <v>1440</v>
      </c>
      <c r="I3466" s="2462">
        <v>1.817128379435376E-2</v>
      </c>
      <c r="J3466" s="2462">
        <v>21.906993564126349</v>
      </c>
    </row>
    <row r="3467" spans="1:10" outlineLevel="2">
      <c r="A3467" s="2459" t="s">
        <v>1669</v>
      </c>
      <c r="B3467" s="2459" t="s">
        <v>1659</v>
      </c>
      <c r="C3467" s="2459" t="s">
        <v>1675</v>
      </c>
      <c r="D3467" s="2460" t="s">
        <v>1671</v>
      </c>
      <c r="E3467" s="2461" t="s">
        <v>213</v>
      </c>
      <c r="F3467" s="2461" t="s">
        <v>1505</v>
      </c>
      <c r="G3467" s="2461" t="s">
        <v>1439</v>
      </c>
      <c r="H3467" s="2461" t="s">
        <v>1440</v>
      </c>
      <c r="I3467" s="2462">
        <v>0.4788713017100048</v>
      </c>
      <c r="J3467" s="2462">
        <v>700.04016650390679</v>
      </c>
    </row>
    <row r="3468" spans="1:10" outlineLevel="2">
      <c r="A3468" s="2459" t="s">
        <v>1669</v>
      </c>
      <c r="B3468" s="2459" t="s">
        <v>1659</v>
      </c>
      <c r="C3468" s="2459" t="s">
        <v>1675</v>
      </c>
      <c r="D3468" s="2460" t="s">
        <v>1671</v>
      </c>
      <c r="E3468" s="2461" t="s">
        <v>213</v>
      </c>
      <c r="F3468" s="2461" t="s">
        <v>1506</v>
      </c>
      <c r="G3468" s="2461" t="s">
        <v>1439</v>
      </c>
      <c r="H3468" s="2461" t="s">
        <v>1440</v>
      </c>
      <c r="I3468" s="2462">
        <v>0.36673746097189541</v>
      </c>
      <c r="J3468" s="2462">
        <v>553.97428223059012</v>
      </c>
    </row>
    <row r="3469" spans="1:10" outlineLevel="2">
      <c r="A3469" s="2459" t="s">
        <v>1669</v>
      </c>
      <c r="B3469" s="2459" t="s">
        <v>1659</v>
      </c>
      <c r="C3469" s="2459" t="s">
        <v>1675</v>
      </c>
      <c r="D3469" s="2460" t="s">
        <v>1671</v>
      </c>
      <c r="E3469" s="2461" t="s">
        <v>213</v>
      </c>
      <c r="F3469" s="2461" t="s">
        <v>1507</v>
      </c>
      <c r="G3469" s="2461" t="s">
        <v>1439</v>
      </c>
      <c r="H3469" s="2461" t="s">
        <v>1440</v>
      </c>
      <c r="I3469" s="2462">
        <v>4.1037382459981432E-2</v>
      </c>
      <c r="J3469" s="2462">
        <v>92.499233107584686</v>
      </c>
    </row>
    <row r="3470" spans="1:10" outlineLevel="2">
      <c r="A3470" s="2459" t="s">
        <v>1669</v>
      </c>
      <c r="B3470" s="2459" t="s">
        <v>1659</v>
      </c>
      <c r="C3470" s="2459" t="s">
        <v>1675</v>
      </c>
      <c r="D3470" s="2460" t="s">
        <v>1671</v>
      </c>
      <c r="E3470" s="2461" t="s">
        <v>213</v>
      </c>
      <c r="F3470" s="2461" t="s">
        <v>1508</v>
      </c>
      <c r="G3470" s="2461" t="s">
        <v>1439</v>
      </c>
      <c r="H3470" s="2461" t="s">
        <v>1440</v>
      </c>
      <c r="I3470" s="2462">
        <v>1.1295693975842209</v>
      </c>
      <c r="J3470" s="2462">
        <v>1788.2648169724698</v>
      </c>
    </row>
    <row r="3471" spans="1:10" outlineLevel="2">
      <c r="A3471" s="2459" t="s">
        <v>1669</v>
      </c>
      <c r="B3471" s="2459" t="s">
        <v>1659</v>
      </c>
      <c r="C3471" s="2459" t="s">
        <v>1675</v>
      </c>
      <c r="D3471" s="2460" t="s">
        <v>1671</v>
      </c>
      <c r="E3471" s="2461" t="s">
        <v>213</v>
      </c>
      <c r="F3471" s="2461" t="s">
        <v>1509</v>
      </c>
      <c r="G3471" s="2461" t="s">
        <v>1439</v>
      </c>
      <c r="H3471" s="2461" t="s">
        <v>1440</v>
      </c>
      <c r="I3471" s="2462">
        <v>2.1800983576964684E-2</v>
      </c>
      <c r="J3471" s="2462">
        <v>24.883919828894314</v>
      </c>
    </row>
    <row r="3472" spans="1:10" outlineLevel="2">
      <c r="A3472" s="2459" t="s">
        <v>1669</v>
      </c>
      <c r="B3472" s="2459" t="s">
        <v>1659</v>
      </c>
      <c r="C3472" s="2459" t="s">
        <v>1675</v>
      </c>
      <c r="D3472" s="2460" t="s">
        <v>1671</v>
      </c>
      <c r="E3472" s="2461" t="s">
        <v>213</v>
      </c>
      <c r="F3472" s="2461" t="s">
        <v>1510</v>
      </c>
      <c r="G3472" s="2461" t="s">
        <v>1439</v>
      </c>
      <c r="H3472" s="2461" t="s">
        <v>1440</v>
      </c>
      <c r="I3472" s="2462">
        <v>4.7401513556662535E-2</v>
      </c>
      <c r="J3472" s="2462">
        <v>54.950398654669534</v>
      </c>
    </row>
    <row r="3473" spans="1:10" outlineLevel="2">
      <c r="A3473" s="2459" t="s">
        <v>1669</v>
      </c>
      <c r="B3473" s="2459" t="s">
        <v>1659</v>
      </c>
      <c r="C3473" s="2459" t="s">
        <v>1675</v>
      </c>
      <c r="D3473" s="2460" t="s">
        <v>1671</v>
      </c>
      <c r="E3473" s="2461" t="s">
        <v>213</v>
      </c>
      <c r="F3473" s="2461" t="s">
        <v>1511</v>
      </c>
      <c r="G3473" s="2461" t="s">
        <v>1418</v>
      </c>
      <c r="H3473" s="2461" t="s">
        <v>1452</v>
      </c>
      <c r="I3473" s="2462">
        <v>1.466104834854786E-3</v>
      </c>
      <c r="J3473" s="2462">
        <v>2.1629726903807356</v>
      </c>
    </row>
    <row r="3474" spans="1:10" outlineLevel="2">
      <c r="A3474" s="2459" t="s">
        <v>1669</v>
      </c>
      <c r="B3474" s="2459" t="s">
        <v>1659</v>
      </c>
      <c r="C3474" s="2459" t="s">
        <v>1675</v>
      </c>
      <c r="D3474" s="2460" t="s">
        <v>1671</v>
      </c>
      <c r="E3474" s="2461" t="s">
        <v>213</v>
      </c>
      <c r="F3474" s="2461" t="s">
        <v>1512</v>
      </c>
      <c r="G3474" s="2461" t="s">
        <v>1418</v>
      </c>
      <c r="H3474" s="2461" t="s">
        <v>1452</v>
      </c>
      <c r="I3474" s="2462">
        <v>1.9186167226500704E-3</v>
      </c>
      <c r="J3474" s="2462">
        <v>8.3699239454885053</v>
      </c>
    </row>
    <row r="3475" spans="1:10" outlineLevel="2">
      <c r="A3475" s="2459" t="s">
        <v>1669</v>
      </c>
      <c r="B3475" s="2459" t="s">
        <v>1659</v>
      </c>
      <c r="C3475" s="2459" t="s">
        <v>1675</v>
      </c>
      <c r="D3475" s="2460" t="s">
        <v>1671</v>
      </c>
      <c r="E3475" s="2461" t="s">
        <v>213</v>
      </c>
      <c r="F3475" s="2461" t="s">
        <v>1513</v>
      </c>
      <c r="G3475" s="2461" t="s">
        <v>1418</v>
      </c>
      <c r="H3475" s="2461" t="s">
        <v>1452</v>
      </c>
      <c r="I3475" s="2462">
        <v>7.1560896559407349E-5</v>
      </c>
      <c r="J3475" s="2462">
        <v>6.7141313998828292E-2</v>
      </c>
    </row>
    <row r="3476" spans="1:10" outlineLevel="2">
      <c r="A3476" s="2459" t="s">
        <v>1669</v>
      </c>
      <c r="B3476" s="2459" t="s">
        <v>1659</v>
      </c>
      <c r="C3476" s="2459" t="s">
        <v>1675</v>
      </c>
      <c r="D3476" s="2460" t="s">
        <v>1671</v>
      </c>
      <c r="E3476" s="2461" t="s">
        <v>213</v>
      </c>
      <c r="F3476" s="2461" t="s">
        <v>1514</v>
      </c>
      <c r="G3476" s="2461" t="s">
        <v>1418</v>
      </c>
      <c r="H3476" s="2461" t="s">
        <v>1452</v>
      </c>
      <c r="I3476" s="2462">
        <v>6.4188972255812054E-3</v>
      </c>
      <c r="J3476" s="2462">
        <v>6.0104714939308339</v>
      </c>
    </row>
    <row r="3477" spans="1:10" outlineLevel="2">
      <c r="A3477" s="2459" t="s">
        <v>1669</v>
      </c>
      <c r="B3477" s="2459" t="s">
        <v>1659</v>
      </c>
      <c r="C3477" s="2459" t="s">
        <v>1675</v>
      </c>
      <c r="D3477" s="2460" t="s">
        <v>1671</v>
      </c>
      <c r="E3477" s="2461" t="s">
        <v>213</v>
      </c>
      <c r="F3477" s="2461" t="s">
        <v>1515</v>
      </c>
      <c r="G3477" s="2461" t="s">
        <v>1418</v>
      </c>
      <c r="H3477" s="2461" t="s">
        <v>1452</v>
      </c>
      <c r="I3477" s="2462">
        <v>1.2334912352091E-3</v>
      </c>
      <c r="J3477" s="2462">
        <v>1.778291529296927</v>
      </c>
    </row>
    <row r="3478" spans="1:10" outlineLevel="2">
      <c r="A3478" s="2459" t="s">
        <v>1669</v>
      </c>
      <c r="B3478" s="2459" t="s">
        <v>1659</v>
      </c>
      <c r="C3478" s="2459" t="s">
        <v>1675</v>
      </c>
      <c r="D3478" s="2460" t="s">
        <v>1671</v>
      </c>
      <c r="E3478" s="2461" t="s">
        <v>213</v>
      </c>
      <c r="F3478" s="2461" t="s">
        <v>1516</v>
      </c>
      <c r="G3478" s="2461" t="s">
        <v>1418</v>
      </c>
      <c r="H3478" s="2461" t="s">
        <v>1452</v>
      </c>
      <c r="I3478" s="2462">
        <v>1.762814003271021E-2</v>
      </c>
      <c r="J3478" s="2462">
        <v>19.703375135257183</v>
      </c>
    </row>
    <row r="3479" spans="1:10" outlineLevel="2">
      <c r="A3479" s="2459" t="s">
        <v>1669</v>
      </c>
      <c r="B3479" s="2459" t="s">
        <v>1659</v>
      </c>
      <c r="C3479" s="2459" t="s">
        <v>1675</v>
      </c>
      <c r="D3479" s="2460" t="s">
        <v>1671</v>
      </c>
      <c r="E3479" s="2461" t="s">
        <v>213</v>
      </c>
      <c r="F3479" s="2461" t="s">
        <v>1517</v>
      </c>
      <c r="G3479" s="2461" t="s">
        <v>1418</v>
      </c>
      <c r="H3479" s="2461" t="s">
        <v>1452</v>
      </c>
      <c r="I3479" s="2462">
        <v>9.0252730875050494E-2</v>
      </c>
      <c r="J3479" s="2462">
        <v>44.172939610844054</v>
      </c>
    </row>
    <row r="3480" spans="1:10" outlineLevel="2">
      <c r="A3480" s="2459" t="s">
        <v>1669</v>
      </c>
      <c r="B3480" s="2459" t="s">
        <v>1659</v>
      </c>
      <c r="C3480" s="2459" t="s">
        <v>1675</v>
      </c>
      <c r="D3480" s="2460" t="s">
        <v>1671</v>
      </c>
      <c r="E3480" s="2461" t="s">
        <v>213</v>
      </c>
      <c r="F3480" s="2461" t="s">
        <v>1518</v>
      </c>
      <c r="G3480" s="2461" t="s">
        <v>1418</v>
      </c>
      <c r="H3480" s="2461" t="s">
        <v>1452</v>
      </c>
      <c r="I3480" s="2462">
        <v>1.0165558395398745E-2</v>
      </c>
      <c r="J3480" s="2462">
        <v>9.5187387194593764</v>
      </c>
    </row>
    <row r="3481" spans="1:10" outlineLevel="2">
      <c r="A3481" s="2459" t="s">
        <v>1669</v>
      </c>
      <c r="B3481" s="2459" t="s">
        <v>1659</v>
      </c>
      <c r="C3481" s="2459" t="s">
        <v>1675</v>
      </c>
      <c r="D3481" s="2460" t="s">
        <v>1671</v>
      </c>
      <c r="E3481" s="2461" t="s">
        <v>213</v>
      </c>
      <c r="F3481" s="2461" t="s">
        <v>1519</v>
      </c>
      <c r="G3481" s="2461" t="s">
        <v>1418</v>
      </c>
      <c r="H3481" s="2461" t="s">
        <v>1452</v>
      </c>
      <c r="I3481" s="2462">
        <v>1.3345281710157416E-2</v>
      </c>
      <c r="J3481" s="2462">
        <v>13.583584871292565</v>
      </c>
    </row>
    <row r="3482" spans="1:10" outlineLevel="2">
      <c r="A3482" s="2459" t="s">
        <v>1669</v>
      </c>
      <c r="B3482" s="2459" t="s">
        <v>1659</v>
      </c>
      <c r="C3482" s="2459" t="s">
        <v>1675</v>
      </c>
      <c r="D3482" s="2460" t="s">
        <v>1671</v>
      </c>
      <c r="E3482" s="2461" t="s">
        <v>213</v>
      </c>
      <c r="F3482" s="2461" t="s">
        <v>1520</v>
      </c>
      <c r="G3482" s="2461" t="s">
        <v>1418</v>
      </c>
      <c r="H3482" s="2461" t="s">
        <v>1452</v>
      </c>
      <c r="I3482" s="2462">
        <v>1.5986642633205085E-3</v>
      </c>
      <c r="J3482" s="2462">
        <v>14.516860772051814</v>
      </c>
    </row>
    <row r="3483" spans="1:10" outlineLevel="2">
      <c r="A3483" s="2459" t="s">
        <v>1669</v>
      </c>
      <c r="B3483" s="2459" t="s">
        <v>1659</v>
      </c>
      <c r="C3483" s="2459" t="s">
        <v>1675</v>
      </c>
      <c r="D3483" s="2460" t="s">
        <v>1671</v>
      </c>
      <c r="E3483" s="2461" t="s">
        <v>213</v>
      </c>
      <c r="F3483" s="2461" t="s">
        <v>1521</v>
      </c>
      <c r="G3483" s="2461" t="s">
        <v>1421</v>
      </c>
      <c r="H3483" s="2461" t="s">
        <v>1454</v>
      </c>
      <c r="I3483" s="2462">
        <v>0.51204415632579048</v>
      </c>
      <c r="J3483" s="2462">
        <v>710.57436485339076</v>
      </c>
    </row>
    <row r="3484" spans="1:10" outlineLevel="2">
      <c r="A3484" s="2459" t="s">
        <v>1669</v>
      </c>
      <c r="B3484" s="2459" t="s">
        <v>1659</v>
      </c>
      <c r="C3484" s="2459" t="s">
        <v>1675</v>
      </c>
      <c r="D3484" s="2460" t="s">
        <v>1671</v>
      </c>
      <c r="E3484" s="2461" t="s">
        <v>213</v>
      </c>
      <c r="F3484" s="2461" t="s">
        <v>1522</v>
      </c>
      <c r="G3484" s="2461" t="s">
        <v>1421</v>
      </c>
      <c r="H3484" s="2461" t="s">
        <v>1454</v>
      </c>
      <c r="I3484" s="2462">
        <v>0.12027333970220298</v>
      </c>
      <c r="J3484" s="2462">
        <v>177.77932231853916</v>
      </c>
    </row>
    <row r="3485" spans="1:10" outlineLevel="2">
      <c r="A3485" s="2459" t="s">
        <v>1669</v>
      </c>
      <c r="B3485" s="2459" t="s">
        <v>1659</v>
      </c>
      <c r="C3485" s="2459" t="s">
        <v>1675</v>
      </c>
      <c r="D3485" s="2460" t="s">
        <v>1671</v>
      </c>
      <c r="E3485" s="2461" t="s">
        <v>213</v>
      </c>
      <c r="F3485" s="2461" t="s">
        <v>1523</v>
      </c>
      <c r="G3485" s="2461" t="s">
        <v>1421</v>
      </c>
      <c r="H3485" s="2461" t="s">
        <v>1454</v>
      </c>
      <c r="I3485" s="2462">
        <v>5.5484667298186921E-2</v>
      </c>
      <c r="J3485" s="2462">
        <v>94.00381248499707</v>
      </c>
    </row>
    <row r="3486" spans="1:10" outlineLevel="2">
      <c r="A3486" s="2459" t="s">
        <v>1669</v>
      </c>
      <c r="B3486" s="2459" t="s">
        <v>1659</v>
      </c>
      <c r="C3486" s="2459" t="s">
        <v>1675</v>
      </c>
      <c r="D3486" s="2460" t="s">
        <v>1671</v>
      </c>
      <c r="E3486" s="2461" t="s">
        <v>213</v>
      </c>
      <c r="F3486" s="2461" t="s">
        <v>1524</v>
      </c>
      <c r="G3486" s="2461" t="s">
        <v>1421</v>
      </c>
      <c r="H3486" s="2461" t="s">
        <v>1454</v>
      </c>
      <c r="I3486" s="2462">
        <v>0.12784884602852292</v>
      </c>
      <c r="J3486" s="2462">
        <v>202.08283205725249</v>
      </c>
    </row>
    <row r="3487" spans="1:10" outlineLevel="2">
      <c r="A3487" s="2459" t="s">
        <v>1669</v>
      </c>
      <c r="B3487" s="2459" t="s">
        <v>1659</v>
      </c>
      <c r="C3487" s="2459" t="s">
        <v>1675</v>
      </c>
      <c r="D3487" s="2460" t="s">
        <v>1671</v>
      </c>
      <c r="E3487" s="2461" t="s">
        <v>213</v>
      </c>
      <c r="F3487" s="2461" t="s">
        <v>1525</v>
      </c>
      <c r="G3487" s="2461" t="s">
        <v>1421</v>
      </c>
      <c r="H3487" s="2461" t="s">
        <v>1454</v>
      </c>
      <c r="I3487" s="2462">
        <v>0.22522324096998911</v>
      </c>
      <c r="J3487" s="2462">
        <v>319.28548623533766</v>
      </c>
    </row>
    <row r="3488" spans="1:10" outlineLevel="2">
      <c r="A3488" s="2459" t="s">
        <v>1669</v>
      </c>
      <c r="B3488" s="2459" t="s">
        <v>1659</v>
      </c>
      <c r="C3488" s="2459" t="s">
        <v>1675</v>
      </c>
      <c r="D3488" s="2460" t="s">
        <v>1671</v>
      </c>
      <c r="E3488" s="2461" t="s">
        <v>213</v>
      </c>
      <c r="F3488" s="2461" t="s">
        <v>1526</v>
      </c>
      <c r="G3488" s="2461" t="s">
        <v>1421</v>
      </c>
      <c r="H3488" s="2461" t="s">
        <v>1454</v>
      </c>
      <c r="I3488" s="2462">
        <v>1.0434000516815967E-2</v>
      </c>
      <c r="J3488" s="2462">
        <v>14.980350272738686</v>
      </c>
    </row>
    <row r="3489" spans="1:10" outlineLevel="2">
      <c r="A3489" s="2459" t="s">
        <v>1669</v>
      </c>
      <c r="B3489" s="2459" t="s">
        <v>1659</v>
      </c>
      <c r="C3489" s="2459" t="s">
        <v>1675</v>
      </c>
      <c r="D3489" s="2460" t="s">
        <v>1671</v>
      </c>
      <c r="E3489" s="2461" t="s">
        <v>213</v>
      </c>
      <c r="F3489" s="2461" t="s">
        <v>1527</v>
      </c>
      <c r="G3489" s="2461" t="s">
        <v>1459</v>
      </c>
      <c r="H3489" s="2461" t="s">
        <v>1460</v>
      </c>
      <c r="I3489" s="2462">
        <v>1.0130964108440294E-2</v>
      </c>
      <c r="J3489" s="2462">
        <v>10.582452988325464</v>
      </c>
    </row>
    <row r="3490" spans="1:10" outlineLevel="2">
      <c r="A3490" s="2459" t="s">
        <v>1669</v>
      </c>
      <c r="B3490" s="2459" t="s">
        <v>1659</v>
      </c>
      <c r="C3490" s="2459" t="s">
        <v>1675</v>
      </c>
      <c r="D3490" s="2460" t="s">
        <v>1671</v>
      </c>
      <c r="E3490" s="2461" t="s">
        <v>213</v>
      </c>
      <c r="F3490" s="2461" t="s">
        <v>1528</v>
      </c>
      <c r="G3490" s="2461" t="s">
        <v>1459</v>
      </c>
      <c r="H3490" s="2461" t="s">
        <v>1460</v>
      </c>
      <c r="I3490" s="2462">
        <v>8.8184500631441381E-5</v>
      </c>
      <c r="J3490" s="2462">
        <v>0.11278409600124176</v>
      </c>
    </row>
    <row r="3491" spans="1:10" outlineLevel="2">
      <c r="A3491" s="2459" t="s">
        <v>1669</v>
      </c>
      <c r="B3491" s="2459" t="s">
        <v>1659</v>
      </c>
      <c r="C3491" s="2459" t="s">
        <v>1675</v>
      </c>
      <c r="D3491" s="2460" t="s">
        <v>1671</v>
      </c>
      <c r="E3491" s="2461" t="s">
        <v>213</v>
      </c>
      <c r="F3491" s="2461" t="s">
        <v>1529</v>
      </c>
      <c r="G3491" s="2461" t="s">
        <v>1530</v>
      </c>
      <c r="H3491" s="2461" t="s">
        <v>1531</v>
      </c>
      <c r="I3491" s="2462">
        <v>5.1711729207868373</v>
      </c>
      <c r="J3491" s="2462">
        <v>4399.7296097988019</v>
      </c>
    </row>
    <row r="3492" spans="1:10" outlineLevel="2">
      <c r="A3492" s="2459" t="s">
        <v>1669</v>
      </c>
      <c r="B3492" s="2459" t="s">
        <v>1659</v>
      </c>
      <c r="C3492" s="2459" t="s">
        <v>1675</v>
      </c>
      <c r="D3492" s="2460" t="s">
        <v>1671</v>
      </c>
      <c r="E3492" s="2461" t="s">
        <v>213</v>
      </c>
      <c r="F3492" s="2461" t="s">
        <v>1532</v>
      </c>
      <c r="G3492" s="2461" t="s">
        <v>1530</v>
      </c>
      <c r="H3492" s="2461" t="s">
        <v>1531</v>
      </c>
      <c r="I3492" s="2462">
        <v>2.1766119820442209</v>
      </c>
      <c r="J3492" s="2462">
        <v>1856.8901622288713</v>
      </c>
    </row>
    <row r="3493" spans="1:10" outlineLevel="2">
      <c r="A3493" s="2459" t="s">
        <v>1669</v>
      </c>
      <c r="B3493" s="2459" t="s">
        <v>1659</v>
      </c>
      <c r="C3493" s="2459" t="s">
        <v>1675</v>
      </c>
      <c r="D3493" s="2460" t="s">
        <v>1671</v>
      </c>
      <c r="E3493" s="2461" t="s">
        <v>213</v>
      </c>
      <c r="F3493" s="2461" t="s">
        <v>1533</v>
      </c>
      <c r="G3493" s="2461" t="s">
        <v>1534</v>
      </c>
      <c r="H3493" s="2461" t="s">
        <v>1531</v>
      </c>
      <c r="I3493" s="2462">
        <v>2.1786219636005608</v>
      </c>
      <c r="J3493" s="2462">
        <v>3662.6003882810951</v>
      </c>
    </row>
    <row r="3494" spans="1:10" outlineLevel="2">
      <c r="A3494" s="2459" t="s">
        <v>1669</v>
      </c>
      <c r="B3494" s="2459" t="s">
        <v>1659</v>
      </c>
      <c r="C3494" s="2459" t="s">
        <v>1675</v>
      </c>
      <c r="D3494" s="2460" t="s">
        <v>1671</v>
      </c>
      <c r="E3494" s="2461" t="s">
        <v>1538</v>
      </c>
      <c r="F3494" s="2461" t="s">
        <v>1539</v>
      </c>
      <c r="G3494" s="2461" t="s">
        <v>1426</v>
      </c>
      <c r="H3494" s="2461" t="s">
        <v>1540</v>
      </c>
      <c r="I3494" s="2462">
        <v>2.5635391213453726E-3</v>
      </c>
      <c r="J3494" s="2462">
        <v>4.9093023139256751</v>
      </c>
    </row>
    <row r="3495" spans="1:10" outlineLevel="2">
      <c r="A3495" s="2459" t="s">
        <v>1669</v>
      </c>
      <c r="B3495" s="2459" t="s">
        <v>1659</v>
      </c>
      <c r="C3495" s="2459" t="s">
        <v>1675</v>
      </c>
      <c r="D3495" s="2460" t="s">
        <v>1671</v>
      </c>
      <c r="E3495" s="2461" t="s">
        <v>1538</v>
      </c>
      <c r="F3495" s="2461" t="s">
        <v>1541</v>
      </c>
      <c r="G3495" s="2461" t="s">
        <v>1409</v>
      </c>
      <c r="H3495" s="2461" t="s">
        <v>1540</v>
      </c>
      <c r="I3495" s="2462">
        <v>1.2661503688886941E-4</v>
      </c>
      <c r="J3495" s="2462">
        <v>0.58939245966865716</v>
      </c>
    </row>
    <row r="3496" spans="1:10" outlineLevel="2">
      <c r="A3496" s="2459" t="s">
        <v>1669</v>
      </c>
      <c r="B3496" s="2459" t="s">
        <v>1659</v>
      </c>
      <c r="C3496" s="2459" t="s">
        <v>1675</v>
      </c>
      <c r="D3496" s="2460" t="s">
        <v>1671</v>
      </c>
      <c r="E3496" s="2461" t="s">
        <v>1538</v>
      </c>
      <c r="F3496" s="2461" t="s">
        <v>1542</v>
      </c>
      <c r="G3496" s="2461" t="s">
        <v>1409</v>
      </c>
      <c r="H3496" s="2461" t="s">
        <v>1540</v>
      </c>
      <c r="I3496" s="2462">
        <v>6.790770839111008E-5</v>
      </c>
      <c r="J3496" s="2462">
        <v>0.98567097778288415</v>
      </c>
    </row>
    <row r="3497" spans="1:10" outlineLevel="2">
      <c r="A3497" s="2459" t="s">
        <v>1669</v>
      </c>
      <c r="B3497" s="2459" t="s">
        <v>1659</v>
      </c>
      <c r="C3497" s="2459" t="s">
        <v>1675</v>
      </c>
      <c r="D3497" s="2460" t="s">
        <v>1671</v>
      </c>
      <c r="E3497" s="2461" t="s">
        <v>1538</v>
      </c>
      <c r="F3497" s="2461" t="s">
        <v>1543</v>
      </c>
      <c r="G3497" s="2461" t="s">
        <v>1409</v>
      </c>
      <c r="H3497" s="2461" t="s">
        <v>1540</v>
      </c>
      <c r="I3497" s="2462">
        <v>1.0068379433074998E-4</v>
      </c>
      <c r="J3497" s="2462">
        <v>0.17406857160740308</v>
      </c>
    </row>
    <row r="3498" spans="1:10" outlineLevel="2">
      <c r="A3498" s="2459" t="s">
        <v>1669</v>
      </c>
      <c r="B3498" s="2459" t="s">
        <v>1659</v>
      </c>
      <c r="C3498" s="2459" t="s">
        <v>1675</v>
      </c>
      <c r="D3498" s="2460" t="s">
        <v>1671</v>
      </c>
      <c r="E3498" s="2461" t="s">
        <v>1538</v>
      </c>
      <c r="F3498" s="2461" t="s">
        <v>1544</v>
      </c>
      <c r="G3498" s="2461" t="s">
        <v>1409</v>
      </c>
      <c r="H3498" s="2461" t="s">
        <v>1540</v>
      </c>
      <c r="I3498" s="2462">
        <v>1.8433100826478295E-5</v>
      </c>
      <c r="J3498" s="2462">
        <v>0.10091550376193788</v>
      </c>
    </row>
    <row r="3499" spans="1:10" outlineLevel="2">
      <c r="A3499" s="2459" t="s">
        <v>1669</v>
      </c>
      <c r="B3499" s="2459" t="s">
        <v>1659</v>
      </c>
      <c r="C3499" s="2459" t="s">
        <v>1675</v>
      </c>
      <c r="D3499" s="2460" t="s">
        <v>1671</v>
      </c>
      <c r="E3499" s="2461" t="s">
        <v>1538</v>
      </c>
      <c r="F3499" s="2461" t="s">
        <v>1545</v>
      </c>
      <c r="G3499" s="2461" t="s">
        <v>1409</v>
      </c>
      <c r="H3499" s="2461" t="s">
        <v>1540</v>
      </c>
      <c r="I3499" s="2462">
        <v>4.0798830155670444E-4</v>
      </c>
      <c r="J3499" s="2462">
        <v>1.8227632865511949</v>
      </c>
    </row>
    <row r="3500" spans="1:10" outlineLevel="2">
      <c r="A3500" s="2459" t="s">
        <v>1669</v>
      </c>
      <c r="B3500" s="2459" t="s">
        <v>1659</v>
      </c>
      <c r="C3500" s="2459" t="s">
        <v>1675</v>
      </c>
      <c r="D3500" s="2460" t="s">
        <v>1671</v>
      </c>
      <c r="E3500" s="2461" t="s">
        <v>1538</v>
      </c>
      <c r="F3500" s="2461" t="s">
        <v>1546</v>
      </c>
      <c r="G3500" s="2461" t="s">
        <v>1409</v>
      </c>
      <c r="H3500" s="2461" t="s">
        <v>1540</v>
      </c>
      <c r="I3500" s="2462">
        <v>7.8040864512088262E-4</v>
      </c>
      <c r="J3500" s="2462">
        <v>0.91553538163063708</v>
      </c>
    </row>
    <row r="3501" spans="1:10" outlineLevel="2">
      <c r="A3501" s="2459" t="s">
        <v>1669</v>
      </c>
      <c r="B3501" s="2459" t="s">
        <v>1659</v>
      </c>
      <c r="C3501" s="2459" t="s">
        <v>1675</v>
      </c>
      <c r="D3501" s="2460" t="s">
        <v>1671</v>
      </c>
      <c r="E3501" s="2461" t="s">
        <v>1538</v>
      </c>
      <c r="F3501" s="2461" t="s">
        <v>1547</v>
      </c>
      <c r="G3501" s="2461" t="s">
        <v>1409</v>
      </c>
      <c r="H3501" s="2461" t="s">
        <v>1540</v>
      </c>
      <c r="I3501" s="2462">
        <v>8.4762628181763225E-5</v>
      </c>
      <c r="J3501" s="2462">
        <v>1.6863920864548934</v>
      </c>
    </row>
    <row r="3502" spans="1:10" outlineLevel="2">
      <c r="A3502" s="2459" t="s">
        <v>1669</v>
      </c>
      <c r="B3502" s="2459" t="s">
        <v>1659</v>
      </c>
      <c r="C3502" s="2459" t="s">
        <v>1675</v>
      </c>
      <c r="D3502" s="2460" t="s">
        <v>1671</v>
      </c>
      <c r="E3502" s="2461" t="s">
        <v>1538</v>
      </c>
      <c r="F3502" s="2461" t="s">
        <v>1548</v>
      </c>
      <c r="G3502" s="2461" t="s">
        <v>1409</v>
      </c>
      <c r="H3502" s="2461" t="s">
        <v>1540</v>
      </c>
      <c r="I3502" s="2462">
        <v>3.9340506203686874E-4</v>
      </c>
      <c r="J3502" s="2462">
        <v>0.68714956008085548</v>
      </c>
    </row>
    <row r="3503" spans="1:10" outlineLevel="2">
      <c r="A3503" s="2459" t="s">
        <v>1669</v>
      </c>
      <c r="B3503" s="2459" t="s">
        <v>1659</v>
      </c>
      <c r="C3503" s="2459" t="s">
        <v>1675</v>
      </c>
      <c r="D3503" s="2460" t="s">
        <v>1671</v>
      </c>
      <c r="E3503" s="2461" t="s">
        <v>1538</v>
      </c>
      <c r="F3503" s="2461" t="s">
        <v>1549</v>
      </c>
      <c r="G3503" s="2461" t="s">
        <v>1409</v>
      </c>
      <c r="H3503" s="2461" t="s">
        <v>1540</v>
      </c>
      <c r="I3503" s="2462">
        <v>5.8809514976281886E-5</v>
      </c>
      <c r="J3503" s="2462">
        <v>0.112623819335418</v>
      </c>
    </row>
    <row r="3504" spans="1:10" outlineLevel="2">
      <c r="A3504" s="2459" t="s">
        <v>1669</v>
      </c>
      <c r="B3504" s="2459" t="s">
        <v>1659</v>
      </c>
      <c r="C3504" s="2459" t="s">
        <v>1675</v>
      </c>
      <c r="D3504" s="2460" t="s">
        <v>1671</v>
      </c>
      <c r="E3504" s="2461" t="s">
        <v>1538</v>
      </c>
      <c r="F3504" s="2461" t="s">
        <v>1550</v>
      </c>
      <c r="G3504" s="2461" t="s">
        <v>1409</v>
      </c>
      <c r="H3504" s="2461" t="s">
        <v>1540</v>
      </c>
      <c r="I3504" s="2462">
        <v>3.2230609328830667E-4</v>
      </c>
      <c r="J3504" s="2462">
        <v>1.171091692190837</v>
      </c>
    </row>
    <row r="3505" spans="1:10" outlineLevel="2">
      <c r="A3505" s="2459" t="s">
        <v>1669</v>
      </c>
      <c r="B3505" s="2459" t="s">
        <v>1659</v>
      </c>
      <c r="C3505" s="2459" t="s">
        <v>1675</v>
      </c>
      <c r="D3505" s="2460" t="s">
        <v>1671</v>
      </c>
      <c r="E3505" s="2461" t="s">
        <v>1538</v>
      </c>
      <c r="F3505" s="2461" t="s">
        <v>1551</v>
      </c>
      <c r="G3505" s="2461" t="s">
        <v>1409</v>
      </c>
      <c r="H3505" s="2461" t="s">
        <v>1540</v>
      </c>
      <c r="I3505" s="2462">
        <v>2.6552781872575136E-4</v>
      </c>
      <c r="J3505" s="2462">
        <v>2.8279289771147504</v>
      </c>
    </row>
    <row r="3506" spans="1:10" outlineLevel="2">
      <c r="A3506" s="2459" t="s">
        <v>1669</v>
      </c>
      <c r="B3506" s="2459" t="s">
        <v>1659</v>
      </c>
      <c r="C3506" s="2459" t="s">
        <v>1675</v>
      </c>
      <c r="D3506" s="2460" t="s">
        <v>1671</v>
      </c>
      <c r="E3506" s="2461" t="s">
        <v>1538</v>
      </c>
      <c r="F3506" s="2461" t="s">
        <v>1552</v>
      </c>
      <c r="G3506" s="2461" t="s">
        <v>1409</v>
      </c>
      <c r="H3506" s="2461" t="s">
        <v>1540</v>
      </c>
      <c r="I3506" s="2462">
        <v>1.8683738305424424E-5</v>
      </c>
      <c r="J3506" s="2462">
        <v>0.29753514472799547</v>
      </c>
    </row>
    <row r="3507" spans="1:10" outlineLevel="2">
      <c r="A3507" s="2459" t="s">
        <v>1669</v>
      </c>
      <c r="B3507" s="2459" t="s">
        <v>1659</v>
      </c>
      <c r="C3507" s="2459" t="s">
        <v>1675</v>
      </c>
      <c r="D3507" s="2460" t="s">
        <v>1671</v>
      </c>
      <c r="E3507" s="2461" t="s">
        <v>1538</v>
      </c>
      <c r="F3507" s="2461" t="s">
        <v>1553</v>
      </c>
      <c r="G3507" s="2461" t="s">
        <v>1409</v>
      </c>
      <c r="H3507" s="2461" t="s">
        <v>1540</v>
      </c>
      <c r="I3507" s="2462">
        <v>1.3855802271229118E-3</v>
      </c>
      <c r="J3507" s="2462">
        <v>2.547255360719745</v>
      </c>
    </row>
    <row r="3508" spans="1:10" outlineLevel="2">
      <c r="A3508" s="2459" t="s">
        <v>1669</v>
      </c>
      <c r="B3508" s="2459" t="s">
        <v>1659</v>
      </c>
      <c r="C3508" s="2459" t="s">
        <v>1675</v>
      </c>
      <c r="D3508" s="2460" t="s">
        <v>1671</v>
      </c>
      <c r="E3508" s="2461" t="s">
        <v>1538</v>
      </c>
      <c r="F3508" s="2461" t="s">
        <v>1554</v>
      </c>
      <c r="G3508" s="2461" t="s">
        <v>1409</v>
      </c>
      <c r="H3508" s="2461" t="s">
        <v>1540</v>
      </c>
      <c r="I3508" s="2462">
        <v>7.7232067914873666E-4</v>
      </c>
      <c r="J3508" s="2462">
        <v>1.0690124032130504</v>
      </c>
    </row>
    <row r="3509" spans="1:10" outlineLevel="2">
      <c r="A3509" s="2459" t="s">
        <v>1669</v>
      </c>
      <c r="B3509" s="2459" t="s">
        <v>1659</v>
      </c>
      <c r="C3509" s="2459" t="s">
        <v>1675</v>
      </c>
      <c r="D3509" s="2460" t="s">
        <v>1671</v>
      </c>
      <c r="E3509" s="2461" t="s">
        <v>1538</v>
      </c>
      <c r="F3509" s="2461" t="s">
        <v>1555</v>
      </c>
      <c r="G3509" s="2461" t="s">
        <v>1412</v>
      </c>
      <c r="H3509" s="2461" t="s">
        <v>1540</v>
      </c>
      <c r="I3509" s="2462">
        <v>3.2614052090043743E-3</v>
      </c>
      <c r="J3509" s="2462">
        <v>10.039875319503343</v>
      </c>
    </row>
    <row r="3510" spans="1:10" outlineLevel="2">
      <c r="A3510" s="2459" t="s">
        <v>1669</v>
      </c>
      <c r="B3510" s="2459" t="s">
        <v>1659</v>
      </c>
      <c r="C3510" s="2459" t="s">
        <v>1675</v>
      </c>
      <c r="D3510" s="2460" t="s">
        <v>1671</v>
      </c>
      <c r="E3510" s="2461" t="s">
        <v>1538</v>
      </c>
      <c r="F3510" s="2461" t="s">
        <v>1556</v>
      </c>
      <c r="G3510" s="2461" t="s">
        <v>1412</v>
      </c>
      <c r="H3510" s="2461" t="s">
        <v>1540</v>
      </c>
      <c r="I3510" s="2462">
        <v>6.4838902603198134E-2</v>
      </c>
      <c r="J3510" s="2462">
        <v>913.23664063710999</v>
      </c>
    </row>
    <row r="3511" spans="1:10" outlineLevel="2">
      <c r="A3511" s="2459" t="s">
        <v>1669</v>
      </c>
      <c r="B3511" s="2459" t="s">
        <v>1659</v>
      </c>
      <c r="C3511" s="2459" t="s">
        <v>1675</v>
      </c>
      <c r="D3511" s="2460" t="s">
        <v>1671</v>
      </c>
      <c r="E3511" s="2461" t="s">
        <v>1538</v>
      </c>
      <c r="F3511" s="2461" t="s">
        <v>1557</v>
      </c>
      <c r="G3511" s="2461" t="s">
        <v>1412</v>
      </c>
      <c r="H3511" s="2461" t="s">
        <v>1540</v>
      </c>
      <c r="I3511" s="2462">
        <v>3.8601877081079113E-4</v>
      </c>
      <c r="J3511" s="2462">
        <v>6.8032606327207112</v>
      </c>
    </row>
    <row r="3512" spans="1:10" outlineLevel="2">
      <c r="A3512" s="2459" t="s">
        <v>1669</v>
      </c>
      <c r="B3512" s="2459" t="s">
        <v>1659</v>
      </c>
      <c r="C3512" s="2459" t="s">
        <v>1675</v>
      </c>
      <c r="D3512" s="2460" t="s">
        <v>1671</v>
      </c>
      <c r="E3512" s="2461" t="s">
        <v>1538</v>
      </c>
      <c r="F3512" s="2461" t="s">
        <v>1558</v>
      </c>
      <c r="G3512" s="2461" t="s">
        <v>1412</v>
      </c>
      <c r="H3512" s="2461" t="s">
        <v>1540</v>
      </c>
      <c r="I3512" s="2462">
        <v>1.2913088897730681E-4</v>
      </c>
      <c r="J3512" s="2462">
        <v>2.145991484320533</v>
      </c>
    </row>
    <row r="3513" spans="1:10" outlineLevel="2">
      <c r="A3513" s="2459" t="s">
        <v>1669</v>
      </c>
      <c r="B3513" s="2459" t="s">
        <v>1659</v>
      </c>
      <c r="C3513" s="2459" t="s">
        <v>1675</v>
      </c>
      <c r="D3513" s="2460" t="s">
        <v>1671</v>
      </c>
      <c r="E3513" s="2461" t="s">
        <v>1538</v>
      </c>
      <c r="F3513" s="2461" t="s">
        <v>1559</v>
      </c>
      <c r="G3513" s="2461" t="s">
        <v>1412</v>
      </c>
      <c r="H3513" s="2461" t="s">
        <v>1540</v>
      </c>
      <c r="I3513" s="2462">
        <v>1.3787965373256758E-4</v>
      </c>
      <c r="J3513" s="2462">
        <v>0.52999578081907917</v>
      </c>
    </row>
    <row r="3514" spans="1:10" outlineLevel="2">
      <c r="A3514" s="2459" t="s">
        <v>1669</v>
      </c>
      <c r="B3514" s="2459" t="s">
        <v>1659</v>
      </c>
      <c r="C3514" s="2459" t="s">
        <v>1675</v>
      </c>
      <c r="D3514" s="2460" t="s">
        <v>1671</v>
      </c>
      <c r="E3514" s="2461" t="s">
        <v>1538</v>
      </c>
      <c r="F3514" s="2461" t="s">
        <v>1560</v>
      </c>
      <c r="G3514" s="2461" t="s">
        <v>1412</v>
      </c>
      <c r="H3514" s="2461" t="s">
        <v>1540</v>
      </c>
      <c r="I3514" s="2462">
        <v>1.9353120492972384E-4</v>
      </c>
      <c r="J3514" s="2462">
        <v>4.2149313709641421</v>
      </c>
    </row>
    <row r="3515" spans="1:10" outlineLevel="2">
      <c r="A3515" s="2459" t="s">
        <v>1669</v>
      </c>
      <c r="B3515" s="2459" t="s">
        <v>1659</v>
      </c>
      <c r="C3515" s="2459" t="s">
        <v>1675</v>
      </c>
      <c r="D3515" s="2460" t="s">
        <v>1671</v>
      </c>
      <c r="E3515" s="2461" t="s">
        <v>1538</v>
      </c>
      <c r="F3515" s="2461" t="s">
        <v>1561</v>
      </c>
      <c r="G3515" s="2461" t="s">
        <v>1439</v>
      </c>
      <c r="H3515" s="2461" t="s">
        <v>1540</v>
      </c>
      <c r="I3515" s="2462">
        <v>2.0118381285111437E-3</v>
      </c>
      <c r="J3515" s="2462">
        <v>30.487996785839563</v>
      </c>
    </row>
    <row r="3516" spans="1:10" outlineLevel="2">
      <c r="A3516" s="2459" t="s">
        <v>1669</v>
      </c>
      <c r="B3516" s="2459" t="s">
        <v>1659</v>
      </c>
      <c r="C3516" s="2459" t="s">
        <v>1675</v>
      </c>
      <c r="D3516" s="2460" t="s">
        <v>1671</v>
      </c>
      <c r="E3516" s="2461" t="s">
        <v>1538</v>
      </c>
      <c r="F3516" s="2461" t="s">
        <v>1562</v>
      </c>
      <c r="G3516" s="2461" t="s">
        <v>1418</v>
      </c>
      <c r="H3516" s="2461" t="s">
        <v>1540</v>
      </c>
      <c r="I3516" s="2462">
        <v>6.8100905221631704E-5</v>
      </c>
      <c r="J3516" s="2462">
        <v>8.5812725485189437E-2</v>
      </c>
    </row>
    <row r="3517" spans="1:10" outlineLevel="2">
      <c r="A3517" s="2459" t="s">
        <v>1669</v>
      </c>
      <c r="B3517" s="2459" t="s">
        <v>1659</v>
      </c>
      <c r="C3517" s="2459" t="s">
        <v>1675</v>
      </c>
      <c r="D3517" s="2460" t="s">
        <v>1671</v>
      </c>
      <c r="E3517" s="2461" t="s">
        <v>1538</v>
      </c>
      <c r="F3517" s="2461" t="s">
        <v>1563</v>
      </c>
      <c r="G3517" s="2461" t="s">
        <v>1418</v>
      </c>
      <c r="H3517" s="2461" t="s">
        <v>1540</v>
      </c>
      <c r="I3517" s="2462">
        <v>9.8671962398753329E-6</v>
      </c>
      <c r="J3517" s="2462">
        <v>0.16713906466020925</v>
      </c>
    </row>
    <row r="3518" spans="1:10" outlineLevel="2">
      <c r="A3518" s="2459" t="s">
        <v>1669</v>
      </c>
      <c r="B3518" s="2459" t="s">
        <v>1659</v>
      </c>
      <c r="C3518" s="2459" t="s">
        <v>1675</v>
      </c>
      <c r="D3518" s="2460" t="s">
        <v>1671</v>
      </c>
      <c r="E3518" s="2461" t="s">
        <v>1538</v>
      </c>
      <c r="F3518" s="2461" t="s">
        <v>1564</v>
      </c>
      <c r="G3518" s="2461" t="s">
        <v>1421</v>
      </c>
      <c r="H3518" s="2461" t="s">
        <v>1540</v>
      </c>
      <c r="I3518" s="2462">
        <v>2.7811656520039998E-2</v>
      </c>
      <c r="J3518" s="2462">
        <v>68.286565618990281</v>
      </c>
    </row>
    <row r="3519" spans="1:10" outlineLevel="2">
      <c r="A3519" s="2459" t="s">
        <v>1669</v>
      </c>
      <c r="B3519" s="2459" t="s">
        <v>1659</v>
      </c>
      <c r="C3519" s="2459" t="s">
        <v>1675</v>
      </c>
      <c r="D3519" s="2460" t="s">
        <v>1671</v>
      </c>
      <c r="E3519" s="2461" t="s">
        <v>1538</v>
      </c>
      <c r="F3519" s="2461" t="s">
        <v>1565</v>
      </c>
      <c r="G3519" s="2461" t="s">
        <v>1421</v>
      </c>
      <c r="H3519" s="2461" t="s">
        <v>1540</v>
      </c>
      <c r="I3519" s="2462">
        <v>3.2724939417316172E-3</v>
      </c>
      <c r="J3519" s="2462">
        <v>14.947068107681709</v>
      </c>
    </row>
    <row r="3520" spans="1:10" outlineLevel="2">
      <c r="A3520" s="2459" t="s">
        <v>1669</v>
      </c>
      <c r="B3520" s="2459" t="s">
        <v>1659</v>
      </c>
      <c r="C3520" s="2459" t="s">
        <v>1675</v>
      </c>
      <c r="D3520" s="2460" t="s">
        <v>1671</v>
      </c>
      <c r="E3520" s="2461" t="s">
        <v>1538</v>
      </c>
      <c r="F3520" s="2461" t="s">
        <v>1566</v>
      </c>
      <c r="G3520" s="2461" t="s">
        <v>1421</v>
      </c>
      <c r="H3520" s="2461" t="s">
        <v>1540</v>
      </c>
      <c r="I3520" s="2462">
        <v>1.7063070003778633E-3</v>
      </c>
      <c r="J3520" s="2462">
        <v>17.453303592826103</v>
      </c>
    </row>
    <row r="3521" spans="1:10" outlineLevel="2">
      <c r="A3521" s="2459" t="s">
        <v>1669</v>
      </c>
      <c r="B3521" s="2459" t="s">
        <v>1659</v>
      </c>
      <c r="C3521" s="2459" t="s">
        <v>1675</v>
      </c>
      <c r="D3521" s="2460" t="s">
        <v>1671</v>
      </c>
      <c r="E3521" s="2461" t="s">
        <v>1538</v>
      </c>
      <c r="F3521" s="2461" t="s">
        <v>1567</v>
      </c>
      <c r="G3521" s="2461" t="s">
        <v>1421</v>
      </c>
      <c r="H3521" s="2461" t="s">
        <v>1540</v>
      </c>
      <c r="I3521" s="2462">
        <v>2.8247812830135876E-3</v>
      </c>
      <c r="J3521" s="2462">
        <v>21.691904362807076</v>
      </c>
    </row>
    <row r="3522" spans="1:10" outlineLevel="2">
      <c r="A3522" s="2459" t="s">
        <v>1669</v>
      </c>
      <c r="B3522" s="2459" t="s">
        <v>1659</v>
      </c>
      <c r="C3522" s="2459" t="s">
        <v>1675</v>
      </c>
      <c r="D3522" s="2460" t="s">
        <v>1671</v>
      </c>
      <c r="E3522" s="2461" t="s">
        <v>1538</v>
      </c>
      <c r="F3522" s="2461" t="s">
        <v>1568</v>
      </c>
      <c r="G3522" s="2461" t="s">
        <v>1421</v>
      </c>
      <c r="H3522" s="2461" t="s">
        <v>1540</v>
      </c>
      <c r="I3522" s="2462">
        <v>9.7783056834870302E-5</v>
      </c>
      <c r="J3522" s="2462">
        <v>0.29502194268954268</v>
      </c>
    </row>
    <row r="3523" spans="1:10" outlineLevel="2">
      <c r="A3523" s="2459" t="s">
        <v>1669</v>
      </c>
      <c r="B3523" s="2459" t="s">
        <v>1659</v>
      </c>
      <c r="C3523" s="2459" t="s">
        <v>1675</v>
      </c>
      <c r="D3523" s="2460" t="s">
        <v>1671</v>
      </c>
      <c r="E3523" s="2461" t="s">
        <v>1538</v>
      </c>
      <c r="F3523" s="2461" t="s">
        <v>1569</v>
      </c>
      <c r="G3523" s="2461" t="s">
        <v>1421</v>
      </c>
      <c r="H3523" s="2461" t="s">
        <v>1540</v>
      </c>
      <c r="I3523" s="2462">
        <v>2.3179284307248574E-5</v>
      </c>
      <c r="J3523" s="2462">
        <v>0.26785446661033913</v>
      </c>
    </row>
    <row r="3524" spans="1:10" outlineLevel="2">
      <c r="A3524" s="2459" t="s">
        <v>1669</v>
      </c>
      <c r="B3524" s="2459" t="s">
        <v>1659</v>
      </c>
      <c r="C3524" s="2459" t="s">
        <v>1675</v>
      </c>
      <c r="D3524" s="2460" t="s">
        <v>1671</v>
      </c>
      <c r="E3524" s="2461" t="s">
        <v>1400</v>
      </c>
      <c r="F3524" s="2461" t="s">
        <v>1571</v>
      </c>
      <c r="G3524" s="2461" t="s">
        <v>215</v>
      </c>
      <c r="H3524" s="2461" t="s">
        <v>1531</v>
      </c>
      <c r="I3524" s="2462">
        <v>7.7326611018448649E-2</v>
      </c>
      <c r="J3524" s="2462">
        <v>2783.0453017959585</v>
      </c>
    </row>
    <row r="3525" spans="1:10" outlineLevel="2">
      <c r="A3525" s="2459" t="s">
        <v>1669</v>
      </c>
      <c r="B3525" s="2459" t="s">
        <v>1659</v>
      </c>
      <c r="C3525" s="2459" t="s">
        <v>1675</v>
      </c>
      <c r="D3525" s="2460" t="s">
        <v>1671</v>
      </c>
      <c r="E3525" s="2461" t="s">
        <v>1400</v>
      </c>
      <c r="F3525" s="2461" t="s">
        <v>1572</v>
      </c>
      <c r="G3525" s="2461" t="s">
        <v>215</v>
      </c>
      <c r="H3525" s="2461" t="s">
        <v>1531</v>
      </c>
      <c r="I3525" s="2462">
        <v>4.5894401694362432E-4</v>
      </c>
      <c r="J3525" s="2462">
        <v>8.7059074298208774</v>
      </c>
    </row>
    <row r="3526" spans="1:10" outlineLevel="2">
      <c r="A3526" s="2459" t="s">
        <v>1669</v>
      </c>
      <c r="B3526" s="2459" t="s">
        <v>1659</v>
      </c>
      <c r="C3526" s="2459" t="s">
        <v>1675</v>
      </c>
      <c r="D3526" s="2460" t="s">
        <v>1671</v>
      </c>
      <c r="E3526" s="2461" t="s">
        <v>1573</v>
      </c>
      <c r="F3526" s="2461" t="s">
        <v>1574</v>
      </c>
      <c r="G3526" s="2461" t="s">
        <v>1426</v>
      </c>
      <c r="H3526" s="2461" t="s">
        <v>1427</v>
      </c>
      <c r="I3526" s="2462">
        <v>3.1078180471169987E-3</v>
      </c>
      <c r="J3526" s="2462">
        <v>76.829652485673108</v>
      </c>
    </row>
    <row r="3527" spans="1:10" outlineLevel="2">
      <c r="A3527" s="2459" t="s">
        <v>1669</v>
      </c>
      <c r="B3527" s="2459" t="s">
        <v>1659</v>
      </c>
      <c r="C3527" s="2459" t="s">
        <v>1675</v>
      </c>
      <c r="D3527" s="2460" t="s">
        <v>1671</v>
      </c>
      <c r="E3527" s="2461" t="s">
        <v>1573</v>
      </c>
      <c r="F3527" s="2461" t="s">
        <v>1575</v>
      </c>
      <c r="G3527" s="2461" t="s">
        <v>1409</v>
      </c>
      <c r="H3527" s="2461" t="s">
        <v>1070</v>
      </c>
      <c r="I3527" s="2462">
        <v>1.2086847288888388E-3</v>
      </c>
      <c r="J3527" s="2462">
        <v>70.491016534338485</v>
      </c>
    </row>
    <row r="3528" spans="1:10" outlineLevel="2">
      <c r="A3528" s="2459" t="s">
        <v>1669</v>
      </c>
      <c r="B3528" s="2459" t="s">
        <v>1659</v>
      </c>
      <c r="C3528" s="2459" t="s">
        <v>1675</v>
      </c>
      <c r="D3528" s="2460" t="s">
        <v>1671</v>
      </c>
      <c r="E3528" s="2461" t="s">
        <v>1573</v>
      </c>
      <c r="F3528" s="2461" t="s">
        <v>1576</v>
      </c>
      <c r="G3528" s="2461" t="s">
        <v>1409</v>
      </c>
      <c r="H3528" s="2461" t="s">
        <v>1070</v>
      </c>
      <c r="I3528" s="2462">
        <v>1.0392631455870548E-5</v>
      </c>
      <c r="J3528" s="2462">
        <v>0.11479308875046855</v>
      </c>
    </row>
    <row r="3529" spans="1:10" outlineLevel="2">
      <c r="A3529" s="2459" t="s">
        <v>1669</v>
      </c>
      <c r="B3529" s="2459" t="s">
        <v>1659</v>
      </c>
      <c r="C3529" s="2459" t="s">
        <v>1675</v>
      </c>
      <c r="D3529" s="2460" t="s">
        <v>1671</v>
      </c>
      <c r="E3529" s="2461" t="s">
        <v>1573</v>
      </c>
      <c r="F3529" s="2461" t="s">
        <v>1577</v>
      </c>
      <c r="G3529" s="2461" t="s">
        <v>1409</v>
      </c>
      <c r="H3529" s="2461" t="s">
        <v>1070</v>
      </c>
      <c r="I3529" s="2462">
        <v>1.5071987657051179E-4</v>
      </c>
      <c r="J3529" s="2462">
        <v>1.8909553578838016</v>
      </c>
    </row>
    <row r="3530" spans="1:10" outlineLevel="2">
      <c r="A3530" s="2459" t="s">
        <v>1669</v>
      </c>
      <c r="B3530" s="2459" t="s">
        <v>1659</v>
      </c>
      <c r="C3530" s="2459" t="s">
        <v>1675</v>
      </c>
      <c r="D3530" s="2460" t="s">
        <v>1671</v>
      </c>
      <c r="E3530" s="2461" t="s">
        <v>1573</v>
      </c>
      <c r="F3530" s="2461" t="s">
        <v>1578</v>
      </c>
      <c r="G3530" s="2461" t="s">
        <v>1409</v>
      </c>
      <c r="H3530" s="2461" t="s">
        <v>1070</v>
      </c>
      <c r="I3530" s="2462">
        <v>3.4418451509183124E-3</v>
      </c>
      <c r="J3530" s="2462">
        <v>176.44965355481881</v>
      </c>
    </row>
    <row r="3531" spans="1:10" outlineLevel="2">
      <c r="A3531" s="2459" t="s">
        <v>1669</v>
      </c>
      <c r="B3531" s="2459" t="s">
        <v>1659</v>
      </c>
      <c r="C3531" s="2459" t="s">
        <v>1675</v>
      </c>
      <c r="D3531" s="2460" t="s">
        <v>1671</v>
      </c>
      <c r="E3531" s="2461" t="s">
        <v>1573</v>
      </c>
      <c r="F3531" s="2461" t="s">
        <v>1579</v>
      </c>
      <c r="G3531" s="2461" t="s">
        <v>1409</v>
      </c>
      <c r="H3531" s="2461" t="s">
        <v>1070</v>
      </c>
      <c r="I3531" s="2462">
        <v>2.6127985535233907E-3</v>
      </c>
      <c r="J3531" s="2462">
        <v>191.9892088378034</v>
      </c>
    </row>
    <row r="3532" spans="1:10" outlineLevel="2">
      <c r="A3532" s="2459" t="s">
        <v>1669</v>
      </c>
      <c r="B3532" s="2459" t="s">
        <v>1659</v>
      </c>
      <c r="C3532" s="2459" t="s">
        <v>1675</v>
      </c>
      <c r="D3532" s="2460" t="s">
        <v>1671</v>
      </c>
      <c r="E3532" s="2461" t="s">
        <v>1573</v>
      </c>
      <c r="F3532" s="2461" t="s">
        <v>1580</v>
      </c>
      <c r="G3532" s="2461" t="s">
        <v>1409</v>
      </c>
      <c r="H3532" s="2461" t="s">
        <v>1070</v>
      </c>
      <c r="I3532" s="2462">
        <v>2.9519152473722002E-4</v>
      </c>
      <c r="J3532" s="2462">
        <v>10.60128338106289</v>
      </c>
    </row>
    <row r="3533" spans="1:10" outlineLevel="2">
      <c r="A3533" s="2459" t="s">
        <v>1669</v>
      </c>
      <c r="B3533" s="2459" t="s">
        <v>1659</v>
      </c>
      <c r="C3533" s="2459" t="s">
        <v>1675</v>
      </c>
      <c r="D3533" s="2460" t="s">
        <v>1671</v>
      </c>
      <c r="E3533" s="2461" t="s">
        <v>1573</v>
      </c>
      <c r="F3533" s="2461" t="s">
        <v>1581</v>
      </c>
      <c r="G3533" s="2461" t="s">
        <v>1409</v>
      </c>
      <c r="H3533" s="2461" t="s">
        <v>1070</v>
      </c>
      <c r="I3533" s="2462">
        <v>1.5700970027718788E-4</v>
      </c>
      <c r="J3533" s="2462">
        <v>7.2190164545586262</v>
      </c>
    </row>
    <row r="3534" spans="1:10" outlineLevel="2">
      <c r="A3534" s="2459" t="s">
        <v>1669</v>
      </c>
      <c r="B3534" s="2459" t="s">
        <v>1659</v>
      </c>
      <c r="C3534" s="2459" t="s">
        <v>1675</v>
      </c>
      <c r="D3534" s="2460" t="s">
        <v>1671</v>
      </c>
      <c r="E3534" s="2461" t="s">
        <v>1573</v>
      </c>
      <c r="F3534" s="2461" t="s">
        <v>1582</v>
      </c>
      <c r="G3534" s="2461" t="s">
        <v>1409</v>
      </c>
      <c r="H3534" s="2461" t="s">
        <v>1070</v>
      </c>
      <c r="I3534" s="2462">
        <v>8.345003253363327E-4</v>
      </c>
      <c r="J3534" s="2462">
        <v>19.82411712970536</v>
      </c>
    </row>
    <row r="3535" spans="1:10" outlineLevel="2">
      <c r="A3535" s="2459" t="s">
        <v>1669</v>
      </c>
      <c r="B3535" s="2459" t="s">
        <v>1659</v>
      </c>
      <c r="C3535" s="2459" t="s">
        <v>1675</v>
      </c>
      <c r="D3535" s="2460" t="s">
        <v>1671</v>
      </c>
      <c r="E3535" s="2461" t="s">
        <v>1573</v>
      </c>
      <c r="F3535" s="2461" t="s">
        <v>1583</v>
      </c>
      <c r="G3535" s="2461" t="s">
        <v>1409</v>
      </c>
      <c r="H3535" s="2461" t="s">
        <v>1070</v>
      </c>
      <c r="I3535" s="2462">
        <v>2.3922741234392668E-3</v>
      </c>
      <c r="J3535" s="2462">
        <v>84.832651542958089</v>
      </c>
    </row>
    <row r="3536" spans="1:10" outlineLevel="2">
      <c r="A3536" s="2459" t="s">
        <v>1669</v>
      </c>
      <c r="B3536" s="2459" t="s">
        <v>1659</v>
      </c>
      <c r="C3536" s="2459" t="s">
        <v>1675</v>
      </c>
      <c r="D3536" s="2460" t="s">
        <v>1671</v>
      </c>
      <c r="E3536" s="2461" t="s">
        <v>1573</v>
      </c>
      <c r="F3536" s="2461" t="s">
        <v>1584</v>
      </c>
      <c r="G3536" s="2461" t="s">
        <v>1409</v>
      </c>
      <c r="H3536" s="2461" t="s">
        <v>1070</v>
      </c>
      <c r="I3536" s="2462">
        <v>1.691259476376006E-3</v>
      </c>
      <c r="J3536" s="2462">
        <v>93.140989677436536</v>
      </c>
    </row>
    <row r="3537" spans="1:10" outlineLevel="2">
      <c r="A3537" s="2459" t="s">
        <v>1669</v>
      </c>
      <c r="B3537" s="2459" t="s">
        <v>1659</v>
      </c>
      <c r="C3537" s="2459" t="s">
        <v>1675</v>
      </c>
      <c r="D3537" s="2460" t="s">
        <v>1671</v>
      </c>
      <c r="E3537" s="2461" t="s">
        <v>1573</v>
      </c>
      <c r="F3537" s="2461" t="s">
        <v>1585</v>
      </c>
      <c r="G3537" s="2461" t="s">
        <v>1409</v>
      </c>
      <c r="H3537" s="2461" t="s">
        <v>1070</v>
      </c>
      <c r="I3537" s="2462">
        <v>9.2722686779600199E-3</v>
      </c>
      <c r="J3537" s="2462">
        <v>715.18087995559995</v>
      </c>
    </row>
    <row r="3538" spans="1:10" outlineLevel="2">
      <c r="A3538" s="2459" t="s">
        <v>1669</v>
      </c>
      <c r="B3538" s="2459" t="s">
        <v>1659</v>
      </c>
      <c r="C3538" s="2459" t="s">
        <v>1675</v>
      </c>
      <c r="D3538" s="2460" t="s">
        <v>1671</v>
      </c>
      <c r="E3538" s="2461" t="s">
        <v>1573</v>
      </c>
      <c r="F3538" s="2461" t="s">
        <v>1586</v>
      </c>
      <c r="G3538" s="2461" t="s">
        <v>1409</v>
      </c>
      <c r="H3538" s="2461" t="s">
        <v>1070</v>
      </c>
      <c r="I3538" s="2462">
        <v>1.9611544537866075E-4</v>
      </c>
      <c r="J3538" s="2462">
        <v>5.9468139626776253</v>
      </c>
    </row>
    <row r="3539" spans="1:10" outlineLevel="2">
      <c r="A3539" s="2459" t="s">
        <v>1669</v>
      </c>
      <c r="B3539" s="2459" t="s">
        <v>1659</v>
      </c>
      <c r="C3539" s="2459" t="s">
        <v>1675</v>
      </c>
      <c r="D3539" s="2460" t="s">
        <v>1671</v>
      </c>
      <c r="E3539" s="2461" t="s">
        <v>1573</v>
      </c>
      <c r="F3539" s="2461" t="s">
        <v>1587</v>
      </c>
      <c r="G3539" s="2461" t="s">
        <v>1409</v>
      </c>
      <c r="H3539" s="2461" t="s">
        <v>1070</v>
      </c>
      <c r="I3539" s="2462">
        <v>7.7232416505862238E-5</v>
      </c>
      <c r="J3539" s="2462">
        <v>3.6412468928729429</v>
      </c>
    </row>
    <row r="3540" spans="1:10" outlineLevel="2">
      <c r="A3540" s="2459" t="s">
        <v>1669</v>
      </c>
      <c r="B3540" s="2459" t="s">
        <v>1659</v>
      </c>
      <c r="C3540" s="2459" t="s">
        <v>1675</v>
      </c>
      <c r="D3540" s="2460" t="s">
        <v>1671</v>
      </c>
      <c r="E3540" s="2461" t="s">
        <v>1573</v>
      </c>
      <c r="F3540" s="2461" t="s">
        <v>1588</v>
      </c>
      <c r="G3540" s="2461" t="s">
        <v>1409</v>
      </c>
      <c r="H3540" s="2461" t="s">
        <v>1070</v>
      </c>
      <c r="I3540" s="2462">
        <v>2.7361021819882654E-3</v>
      </c>
      <c r="J3540" s="2462">
        <v>163.4720025328368</v>
      </c>
    </row>
    <row r="3541" spans="1:10" outlineLevel="2">
      <c r="A3541" s="2459" t="s">
        <v>1669</v>
      </c>
      <c r="B3541" s="2459" t="s">
        <v>1659</v>
      </c>
      <c r="C3541" s="2459" t="s">
        <v>1675</v>
      </c>
      <c r="D3541" s="2460" t="s">
        <v>1671</v>
      </c>
      <c r="E3541" s="2461" t="s">
        <v>1573</v>
      </c>
      <c r="F3541" s="2461" t="s">
        <v>1589</v>
      </c>
      <c r="G3541" s="2461" t="s">
        <v>1409</v>
      </c>
      <c r="H3541" s="2461" t="s">
        <v>1070</v>
      </c>
      <c r="I3541" s="2462">
        <v>2.3522653075141071E-3</v>
      </c>
      <c r="J3541" s="2462">
        <v>177.94139422271346</v>
      </c>
    </row>
    <row r="3542" spans="1:10" outlineLevel="2">
      <c r="A3542" s="2459" t="s">
        <v>1669</v>
      </c>
      <c r="B3542" s="2459" t="s">
        <v>1659</v>
      </c>
      <c r="C3542" s="2459" t="s">
        <v>1675</v>
      </c>
      <c r="D3542" s="2460" t="s">
        <v>1671</v>
      </c>
      <c r="E3542" s="2461" t="s">
        <v>1573</v>
      </c>
      <c r="F3542" s="2461" t="s">
        <v>1590</v>
      </c>
      <c r="G3542" s="2461" t="s">
        <v>1409</v>
      </c>
      <c r="H3542" s="2461" t="s">
        <v>1070</v>
      </c>
      <c r="I3542" s="2462">
        <v>8.5883441184718412E-3</v>
      </c>
      <c r="J3542" s="2462">
        <v>612.09318273016129</v>
      </c>
    </row>
    <row r="3543" spans="1:10" outlineLevel="2">
      <c r="A3543" s="2459" t="s">
        <v>1669</v>
      </c>
      <c r="B3543" s="2459" t="s">
        <v>1659</v>
      </c>
      <c r="C3543" s="2459" t="s">
        <v>1675</v>
      </c>
      <c r="D3543" s="2460" t="s">
        <v>1671</v>
      </c>
      <c r="E3543" s="2461" t="s">
        <v>1573</v>
      </c>
      <c r="F3543" s="2461" t="s">
        <v>1591</v>
      </c>
      <c r="G3543" s="2461" t="s">
        <v>1409</v>
      </c>
      <c r="H3543" s="2461" t="s">
        <v>1070</v>
      </c>
      <c r="I3543" s="2462">
        <v>5.9117951164058119E-4</v>
      </c>
      <c r="J3543" s="2462">
        <v>28.781694113475957</v>
      </c>
    </row>
    <row r="3544" spans="1:10" outlineLevel="2">
      <c r="A3544" s="2459" t="s">
        <v>1669</v>
      </c>
      <c r="B3544" s="2459" t="s">
        <v>1659</v>
      </c>
      <c r="C3544" s="2459" t="s">
        <v>1675</v>
      </c>
      <c r="D3544" s="2460" t="s">
        <v>1671</v>
      </c>
      <c r="E3544" s="2461" t="s">
        <v>1573</v>
      </c>
      <c r="F3544" s="2461" t="s">
        <v>1592</v>
      </c>
      <c r="G3544" s="2461" t="s">
        <v>1409</v>
      </c>
      <c r="H3544" s="2461" t="s">
        <v>1070</v>
      </c>
      <c r="I3544" s="2462">
        <v>4.9710606195964265E-3</v>
      </c>
      <c r="J3544" s="2462">
        <v>228.94285945225894</v>
      </c>
    </row>
    <row r="3545" spans="1:10" outlineLevel="2">
      <c r="A3545" s="2459" t="s">
        <v>1669</v>
      </c>
      <c r="B3545" s="2459" t="s">
        <v>1659</v>
      </c>
      <c r="C3545" s="2459" t="s">
        <v>1675</v>
      </c>
      <c r="D3545" s="2460" t="s">
        <v>1671</v>
      </c>
      <c r="E3545" s="2461" t="s">
        <v>1573</v>
      </c>
      <c r="F3545" s="2461" t="s">
        <v>1593</v>
      </c>
      <c r="G3545" s="2461" t="s">
        <v>1409</v>
      </c>
      <c r="H3545" s="2461" t="s">
        <v>1070</v>
      </c>
      <c r="I3545" s="2462">
        <v>1.2145827159292058E-2</v>
      </c>
      <c r="J3545" s="2462">
        <v>778.36208812087591</v>
      </c>
    </row>
    <row r="3546" spans="1:10" outlineLevel="2">
      <c r="A3546" s="2459" t="s">
        <v>1669</v>
      </c>
      <c r="B3546" s="2459" t="s">
        <v>1659</v>
      </c>
      <c r="C3546" s="2459" t="s">
        <v>1675</v>
      </c>
      <c r="D3546" s="2460" t="s">
        <v>1671</v>
      </c>
      <c r="E3546" s="2461" t="s">
        <v>1573</v>
      </c>
      <c r="F3546" s="2461" t="s">
        <v>1594</v>
      </c>
      <c r="G3546" s="2461" t="s">
        <v>1409</v>
      </c>
      <c r="H3546" s="2461" t="s">
        <v>1070</v>
      </c>
      <c r="I3546" s="2462">
        <v>2.6602351724217072E-2</v>
      </c>
      <c r="J3546" s="2462">
        <v>522.1745618950124</v>
      </c>
    </row>
    <row r="3547" spans="1:10" outlineLevel="2">
      <c r="A3547" s="2459" t="s">
        <v>1669</v>
      </c>
      <c r="B3547" s="2459" t="s">
        <v>1659</v>
      </c>
      <c r="C3547" s="2459" t="s">
        <v>1675</v>
      </c>
      <c r="D3547" s="2460" t="s">
        <v>1671</v>
      </c>
      <c r="E3547" s="2461" t="s">
        <v>1573</v>
      </c>
      <c r="F3547" s="2461" t="s">
        <v>1595</v>
      </c>
      <c r="G3547" s="2461" t="s">
        <v>1409</v>
      </c>
      <c r="H3547" s="2461" t="s">
        <v>1070</v>
      </c>
      <c r="I3547" s="2462">
        <v>9.7810527102160406E-3</v>
      </c>
      <c r="J3547" s="2462">
        <v>712.03666581013852</v>
      </c>
    </row>
    <row r="3548" spans="1:10" outlineLevel="2">
      <c r="A3548" s="2459" t="s">
        <v>1669</v>
      </c>
      <c r="B3548" s="2459" t="s">
        <v>1659</v>
      </c>
      <c r="C3548" s="2459" t="s">
        <v>1675</v>
      </c>
      <c r="D3548" s="2460" t="s">
        <v>1671</v>
      </c>
      <c r="E3548" s="2461" t="s">
        <v>1573</v>
      </c>
      <c r="F3548" s="2461" t="s">
        <v>1596</v>
      </c>
      <c r="G3548" s="2461" t="s">
        <v>1409</v>
      </c>
      <c r="H3548" s="2461" t="s">
        <v>1070</v>
      </c>
      <c r="I3548" s="2462">
        <v>1.7809393640367821E-2</v>
      </c>
      <c r="J3548" s="2462">
        <v>409.88035513054518</v>
      </c>
    </row>
    <row r="3549" spans="1:10" outlineLevel="2">
      <c r="A3549" s="2459" t="s">
        <v>1669</v>
      </c>
      <c r="B3549" s="2459" t="s">
        <v>1659</v>
      </c>
      <c r="C3549" s="2459" t="s">
        <v>1675</v>
      </c>
      <c r="D3549" s="2460" t="s">
        <v>1671</v>
      </c>
      <c r="E3549" s="2461" t="s">
        <v>1573</v>
      </c>
      <c r="F3549" s="2461" t="s">
        <v>1597</v>
      </c>
      <c r="G3549" s="2461" t="s">
        <v>1409</v>
      </c>
      <c r="H3549" s="2461" t="s">
        <v>1070</v>
      </c>
      <c r="I3549" s="2462">
        <v>1.0454460683939086E-3</v>
      </c>
      <c r="J3549" s="2462">
        <v>76.4024214094825</v>
      </c>
    </row>
    <row r="3550" spans="1:10" outlineLevel="2">
      <c r="A3550" s="2459" t="s">
        <v>1669</v>
      </c>
      <c r="B3550" s="2459" t="s">
        <v>1659</v>
      </c>
      <c r="C3550" s="2459" t="s">
        <v>1675</v>
      </c>
      <c r="D3550" s="2460" t="s">
        <v>1671</v>
      </c>
      <c r="E3550" s="2461" t="s">
        <v>1573</v>
      </c>
      <c r="F3550" s="2461" t="s">
        <v>1598</v>
      </c>
      <c r="G3550" s="2461" t="s">
        <v>1409</v>
      </c>
      <c r="H3550" s="2461" t="s">
        <v>1070</v>
      </c>
      <c r="I3550" s="2462">
        <v>5.4299593841491758E-5</v>
      </c>
      <c r="J3550" s="2462">
        <v>1.2534827622491176</v>
      </c>
    </row>
    <row r="3551" spans="1:10" outlineLevel="2">
      <c r="A3551" s="2459" t="s">
        <v>1669</v>
      </c>
      <c r="B3551" s="2459" t="s">
        <v>1659</v>
      </c>
      <c r="C3551" s="2459" t="s">
        <v>1675</v>
      </c>
      <c r="D3551" s="2460" t="s">
        <v>1671</v>
      </c>
      <c r="E3551" s="2461" t="s">
        <v>1573</v>
      </c>
      <c r="F3551" s="2461" t="s">
        <v>1599</v>
      </c>
      <c r="G3551" s="2461" t="s">
        <v>1409</v>
      </c>
      <c r="H3551" s="2461" t="s">
        <v>1070</v>
      </c>
      <c r="I3551" s="2462">
        <v>1.4824286669829906E-3</v>
      </c>
      <c r="J3551" s="2462">
        <v>79.695223332345847</v>
      </c>
    </row>
    <row r="3552" spans="1:10" outlineLevel="2">
      <c r="A3552" s="2459" t="s">
        <v>1669</v>
      </c>
      <c r="B3552" s="2459" t="s">
        <v>1659</v>
      </c>
      <c r="C3552" s="2459" t="s">
        <v>1675</v>
      </c>
      <c r="D3552" s="2460" t="s">
        <v>1671</v>
      </c>
      <c r="E3552" s="2461" t="s">
        <v>1573</v>
      </c>
      <c r="F3552" s="2461" t="s">
        <v>1600</v>
      </c>
      <c r="G3552" s="2461" t="s">
        <v>1412</v>
      </c>
      <c r="H3552" s="2461" t="s">
        <v>1116</v>
      </c>
      <c r="I3552" s="2462">
        <v>6.7858812391581559E-4</v>
      </c>
      <c r="J3552" s="2462">
        <v>16.416858350969868</v>
      </c>
    </row>
    <row r="3553" spans="1:10" outlineLevel="2">
      <c r="A3553" s="2459" t="s">
        <v>1669</v>
      </c>
      <c r="B3553" s="2459" t="s">
        <v>1659</v>
      </c>
      <c r="C3553" s="2459" t="s">
        <v>1675</v>
      </c>
      <c r="D3553" s="2460" t="s">
        <v>1671</v>
      </c>
      <c r="E3553" s="2461" t="s">
        <v>1573</v>
      </c>
      <c r="F3553" s="2461" t="s">
        <v>1601</v>
      </c>
      <c r="G3553" s="2461" t="s">
        <v>1412</v>
      </c>
      <c r="H3553" s="2461" t="s">
        <v>1116</v>
      </c>
      <c r="I3553" s="2462">
        <v>3.3770850392117954E-3</v>
      </c>
      <c r="J3553" s="2462">
        <v>238.16920499610066</v>
      </c>
    </row>
    <row r="3554" spans="1:10" outlineLevel="2">
      <c r="A3554" s="2459" t="s">
        <v>1669</v>
      </c>
      <c r="B3554" s="2459" t="s">
        <v>1659</v>
      </c>
      <c r="C3554" s="2459" t="s">
        <v>1675</v>
      </c>
      <c r="D3554" s="2460" t="s">
        <v>1671</v>
      </c>
      <c r="E3554" s="2461" t="s">
        <v>1573</v>
      </c>
      <c r="F3554" s="2461" t="s">
        <v>1602</v>
      </c>
      <c r="G3554" s="2461" t="s">
        <v>1412</v>
      </c>
      <c r="H3554" s="2461" t="s">
        <v>1116</v>
      </c>
      <c r="I3554" s="2462">
        <v>1.9838591787865335E-3</v>
      </c>
      <c r="J3554" s="2462">
        <v>104.02740308594265</v>
      </c>
    </row>
    <row r="3555" spans="1:10" outlineLevel="2">
      <c r="A3555" s="2459" t="s">
        <v>1669</v>
      </c>
      <c r="B3555" s="2459" t="s">
        <v>1659</v>
      </c>
      <c r="C3555" s="2459" t="s">
        <v>1675</v>
      </c>
      <c r="D3555" s="2460" t="s">
        <v>1671</v>
      </c>
      <c r="E3555" s="2461" t="s">
        <v>1573</v>
      </c>
      <c r="F3555" s="2461" t="s">
        <v>1603</v>
      </c>
      <c r="G3555" s="2461" t="s">
        <v>1412</v>
      </c>
      <c r="H3555" s="2461" t="s">
        <v>1116</v>
      </c>
      <c r="I3555" s="2462">
        <v>2.3482466789775582E-3</v>
      </c>
      <c r="J3555" s="2462">
        <v>105.48783944479719</v>
      </c>
    </row>
    <row r="3556" spans="1:10" outlineLevel="2">
      <c r="A3556" s="2459" t="s">
        <v>1669</v>
      </c>
      <c r="B3556" s="2459" t="s">
        <v>1659</v>
      </c>
      <c r="C3556" s="2459" t="s">
        <v>1675</v>
      </c>
      <c r="D3556" s="2460" t="s">
        <v>1671</v>
      </c>
      <c r="E3556" s="2461" t="s">
        <v>1573</v>
      </c>
      <c r="F3556" s="2461" t="s">
        <v>1604</v>
      </c>
      <c r="G3556" s="2461" t="s">
        <v>1412</v>
      </c>
      <c r="H3556" s="2461" t="s">
        <v>1116</v>
      </c>
      <c r="I3556" s="2462">
        <v>1.4872724689734979E-4</v>
      </c>
      <c r="J3556" s="2462">
        <v>4.0682616401757556</v>
      </c>
    </row>
    <row r="3557" spans="1:10" outlineLevel="2">
      <c r="A3557" s="2459" t="s">
        <v>1669</v>
      </c>
      <c r="B3557" s="2459" t="s">
        <v>1659</v>
      </c>
      <c r="C3557" s="2459" t="s">
        <v>1675</v>
      </c>
      <c r="D3557" s="2460" t="s">
        <v>1671</v>
      </c>
      <c r="E3557" s="2461" t="s">
        <v>1573</v>
      </c>
      <c r="F3557" s="2461" t="s">
        <v>1605</v>
      </c>
      <c r="G3557" s="2461" t="s">
        <v>1412</v>
      </c>
      <c r="H3557" s="2461" t="s">
        <v>1116</v>
      </c>
      <c r="I3557" s="2462">
        <v>2.2968238494033771E-2</v>
      </c>
      <c r="J3557" s="2462">
        <v>754.88286552568798</v>
      </c>
    </row>
    <row r="3558" spans="1:10" outlineLevel="2">
      <c r="A3558" s="2459" t="s">
        <v>1669</v>
      </c>
      <c r="B3558" s="2459" t="s">
        <v>1659</v>
      </c>
      <c r="C3558" s="2459" t="s">
        <v>1675</v>
      </c>
      <c r="D3558" s="2460" t="s">
        <v>1671</v>
      </c>
      <c r="E3558" s="2461" t="s">
        <v>1573</v>
      </c>
      <c r="F3558" s="2461" t="s">
        <v>1606</v>
      </c>
      <c r="G3558" s="2461" t="s">
        <v>1412</v>
      </c>
      <c r="H3558" s="2461" t="s">
        <v>1116</v>
      </c>
      <c r="I3558" s="2462">
        <v>1.8516694445436972E-3</v>
      </c>
      <c r="J3558" s="2462">
        <v>150.10944504992764</v>
      </c>
    </row>
    <row r="3559" spans="1:10" outlineLevel="2">
      <c r="A3559" s="2459" t="s">
        <v>1669</v>
      </c>
      <c r="B3559" s="2459" t="s">
        <v>1659</v>
      </c>
      <c r="C3559" s="2459" t="s">
        <v>1675</v>
      </c>
      <c r="D3559" s="2460" t="s">
        <v>1671</v>
      </c>
      <c r="E3559" s="2461" t="s">
        <v>1573</v>
      </c>
      <c r="F3559" s="2461" t="s">
        <v>1607</v>
      </c>
      <c r="G3559" s="2461" t="s">
        <v>1439</v>
      </c>
      <c r="H3559" s="2461" t="s">
        <v>1440</v>
      </c>
      <c r="I3559" s="2462">
        <v>1.4282475943470275E-6</v>
      </c>
      <c r="J3559" s="2462">
        <v>3.5797431437713433E-2</v>
      </c>
    </row>
    <row r="3560" spans="1:10" outlineLevel="2">
      <c r="A3560" s="2459" t="s">
        <v>1669</v>
      </c>
      <c r="B3560" s="2459" t="s">
        <v>1659</v>
      </c>
      <c r="C3560" s="2459" t="s">
        <v>1675</v>
      </c>
      <c r="D3560" s="2460" t="s">
        <v>1671</v>
      </c>
      <c r="E3560" s="2461" t="s">
        <v>1573</v>
      </c>
      <c r="F3560" s="2461" t="s">
        <v>1609</v>
      </c>
      <c r="G3560" s="2461" t="s">
        <v>1439</v>
      </c>
      <c r="H3560" s="2461" t="s">
        <v>1440</v>
      </c>
      <c r="I3560" s="2462">
        <v>1.1295502926292361E-2</v>
      </c>
      <c r="J3560" s="2462">
        <v>250.93118709899517</v>
      </c>
    </row>
    <row r="3561" spans="1:10" outlineLevel="2">
      <c r="A3561" s="2459" t="s">
        <v>1669</v>
      </c>
      <c r="B3561" s="2459" t="s">
        <v>1659</v>
      </c>
      <c r="C3561" s="2459" t="s">
        <v>1675</v>
      </c>
      <c r="D3561" s="2460" t="s">
        <v>1671</v>
      </c>
      <c r="E3561" s="2461" t="s">
        <v>1573</v>
      </c>
      <c r="F3561" s="2461" t="s">
        <v>1610</v>
      </c>
      <c r="G3561" s="2461" t="s">
        <v>1439</v>
      </c>
      <c r="H3561" s="2461" t="s">
        <v>1440</v>
      </c>
      <c r="I3561" s="2462">
        <v>2.9705165205286843E-3</v>
      </c>
      <c r="J3561" s="2462">
        <v>51.80018872814918</v>
      </c>
    </row>
    <row r="3562" spans="1:10" outlineLevel="2">
      <c r="A3562" s="2459" t="s">
        <v>1669</v>
      </c>
      <c r="B3562" s="2459" t="s">
        <v>1659</v>
      </c>
      <c r="C3562" s="2459" t="s">
        <v>1675</v>
      </c>
      <c r="D3562" s="2460" t="s">
        <v>1671</v>
      </c>
      <c r="E3562" s="2461" t="s">
        <v>1573</v>
      </c>
      <c r="F3562" s="2461" t="s">
        <v>1611</v>
      </c>
      <c r="G3562" s="2461" t="s">
        <v>1439</v>
      </c>
      <c r="H3562" s="2461" t="s">
        <v>1440</v>
      </c>
      <c r="I3562" s="2462">
        <v>7.0211358088931022E-3</v>
      </c>
      <c r="J3562" s="2462">
        <v>342.06921785906349</v>
      </c>
    </row>
    <row r="3563" spans="1:10" outlineLevel="2">
      <c r="A3563" s="2459" t="s">
        <v>1669</v>
      </c>
      <c r="B3563" s="2459" t="s">
        <v>1659</v>
      </c>
      <c r="C3563" s="2459" t="s">
        <v>1675</v>
      </c>
      <c r="D3563" s="2460" t="s">
        <v>1671</v>
      </c>
      <c r="E3563" s="2461" t="s">
        <v>1573</v>
      </c>
      <c r="F3563" s="2461" t="s">
        <v>1612</v>
      </c>
      <c r="G3563" s="2461" t="s">
        <v>1439</v>
      </c>
      <c r="H3563" s="2461" t="s">
        <v>1440</v>
      </c>
      <c r="I3563" s="2462">
        <v>1.2040947226674046E-3</v>
      </c>
      <c r="J3563" s="2462">
        <v>40.304365898884299</v>
      </c>
    </row>
    <row r="3564" spans="1:10" outlineLevel="2">
      <c r="A3564" s="2459" t="s">
        <v>1669</v>
      </c>
      <c r="B3564" s="2459" t="s">
        <v>1659</v>
      </c>
      <c r="C3564" s="2459" t="s">
        <v>1675</v>
      </c>
      <c r="D3564" s="2460" t="s">
        <v>1671</v>
      </c>
      <c r="E3564" s="2461" t="s">
        <v>1573</v>
      </c>
      <c r="F3564" s="2461" t="s">
        <v>1613</v>
      </c>
      <c r="G3564" s="2461" t="s">
        <v>1439</v>
      </c>
      <c r="H3564" s="2461" t="s">
        <v>1440</v>
      </c>
      <c r="I3564" s="2462">
        <v>3.3852959958499417E-5</v>
      </c>
      <c r="J3564" s="2462">
        <v>1.0234163219410004</v>
      </c>
    </row>
    <row r="3565" spans="1:10" outlineLevel="2">
      <c r="A3565" s="2459" t="s">
        <v>1669</v>
      </c>
      <c r="B3565" s="2459" t="s">
        <v>1659</v>
      </c>
      <c r="C3565" s="2459" t="s">
        <v>1675</v>
      </c>
      <c r="D3565" s="2460" t="s">
        <v>1671</v>
      </c>
      <c r="E3565" s="2461" t="s">
        <v>1573</v>
      </c>
      <c r="F3565" s="2461" t="s">
        <v>1614</v>
      </c>
      <c r="G3565" s="2461" t="s">
        <v>1418</v>
      </c>
      <c r="H3565" s="2461" t="s">
        <v>1452</v>
      </c>
      <c r="I3565" s="2462">
        <v>1.9594244561150359E-5</v>
      </c>
      <c r="J3565" s="2462">
        <v>0.16747988975135586</v>
      </c>
    </row>
    <row r="3566" spans="1:10" outlineLevel="2">
      <c r="A3566" s="2459" t="s">
        <v>1669</v>
      </c>
      <c r="B3566" s="2459" t="s">
        <v>1659</v>
      </c>
      <c r="C3566" s="2459" t="s">
        <v>1675</v>
      </c>
      <c r="D3566" s="2460" t="s">
        <v>1671</v>
      </c>
      <c r="E3566" s="2461" t="s">
        <v>1573</v>
      </c>
      <c r="F3566" s="2461" t="s">
        <v>1615</v>
      </c>
      <c r="G3566" s="2461" t="s">
        <v>1418</v>
      </c>
      <c r="H3566" s="2461" t="s">
        <v>1452</v>
      </c>
      <c r="I3566" s="2462">
        <v>0.11852607008931033</v>
      </c>
      <c r="J3566" s="2462">
        <v>6954.1291414802654</v>
      </c>
    </row>
    <row r="3567" spans="1:10" outlineLevel="2">
      <c r="A3567" s="2459" t="s">
        <v>1669</v>
      </c>
      <c r="B3567" s="2459" t="s">
        <v>1659</v>
      </c>
      <c r="C3567" s="2459" t="s">
        <v>1675</v>
      </c>
      <c r="D3567" s="2460" t="s">
        <v>1671</v>
      </c>
      <c r="E3567" s="2461" t="s">
        <v>1573</v>
      </c>
      <c r="F3567" s="2461" t="s">
        <v>1616</v>
      </c>
      <c r="G3567" s="2461" t="s">
        <v>1418</v>
      </c>
      <c r="H3567" s="2461" t="s">
        <v>1452</v>
      </c>
      <c r="I3567" s="2462">
        <v>5.6571306132116739E-3</v>
      </c>
      <c r="J3567" s="2462">
        <v>623.49700378644388</v>
      </c>
    </row>
    <row r="3568" spans="1:10" outlineLevel="2">
      <c r="A3568" s="2459" t="s">
        <v>1669</v>
      </c>
      <c r="B3568" s="2459" t="s">
        <v>1659</v>
      </c>
      <c r="C3568" s="2459" t="s">
        <v>1675</v>
      </c>
      <c r="D3568" s="2460" t="s">
        <v>1671</v>
      </c>
      <c r="E3568" s="2461" t="s">
        <v>1573</v>
      </c>
      <c r="F3568" s="2461" t="s">
        <v>1617</v>
      </c>
      <c r="G3568" s="2461" t="s">
        <v>1418</v>
      </c>
      <c r="H3568" s="2461" t="s">
        <v>1452</v>
      </c>
      <c r="I3568" s="2462">
        <v>4.4934997271648373E-5</v>
      </c>
      <c r="J3568" s="2462">
        <v>3.4511005417912983</v>
      </c>
    </row>
    <row r="3569" spans="1:10" outlineLevel="2">
      <c r="A3569" s="2459" t="s">
        <v>1669</v>
      </c>
      <c r="B3569" s="2459" t="s">
        <v>1659</v>
      </c>
      <c r="C3569" s="2459" t="s">
        <v>1675</v>
      </c>
      <c r="D3569" s="2460" t="s">
        <v>1671</v>
      </c>
      <c r="E3569" s="2461" t="s">
        <v>1573</v>
      </c>
      <c r="F3569" s="2461" t="s">
        <v>1618</v>
      </c>
      <c r="G3569" s="2461" t="s">
        <v>1418</v>
      </c>
      <c r="H3569" s="2461" t="s">
        <v>1452</v>
      </c>
      <c r="I3569" s="2462">
        <v>8.75943808120028E-6</v>
      </c>
      <c r="J3569" s="2462">
        <v>0.72497091732413066</v>
      </c>
    </row>
    <row r="3570" spans="1:10" outlineLevel="2">
      <c r="A3570" s="2459" t="s">
        <v>1669</v>
      </c>
      <c r="B3570" s="2459" t="s">
        <v>1659</v>
      </c>
      <c r="C3570" s="2459" t="s">
        <v>1675</v>
      </c>
      <c r="D3570" s="2460" t="s">
        <v>1671</v>
      </c>
      <c r="E3570" s="2461" t="s">
        <v>1573</v>
      </c>
      <c r="F3570" s="2461" t="s">
        <v>1619</v>
      </c>
      <c r="G3570" s="2461" t="s">
        <v>1418</v>
      </c>
      <c r="H3570" s="2461" t="s">
        <v>1452</v>
      </c>
      <c r="I3570" s="2462">
        <v>5.7505597167817574E-4</v>
      </c>
      <c r="J3570" s="2462">
        <v>52.875274005611686</v>
      </c>
    </row>
    <row r="3571" spans="1:10" outlineLevel="2">
      <c r="A3571" s="2459" t="s">
        <v>1669</v>
      </c>
      <c r="B3571" s="2459" t="s">
        <v>1659</v>
      </c>
      <c r="C3571" s="2459" t="s">
        <v>1675</v>
      </c>
      <c r="D3571" s="2460" t="s">
        <v>1671</v>
      </c>
      <c r="E3571" s="2461" t="s">
        <v>1573</v>
      </c>
      <c r="F3571" s="2461" t="s">
        <v>1620</v>
      </c>
      <c r="G3571" s="2461" t="s">
        <v>1418</v>
      </c>
      <c r="H3571" s="2461" t="s">
        <v>1452</v>
      </c>
      <c r="I3571" s="2462">
        <v>1.2158152706018618E-6</v>
      </c>
      <c r="J3571" s="2462">
        <v>0.14628960276743561</v>
      </c>
    </row>
    <row r="3572" spans="1:10" outlineLevel="2">
      <c r="A3572" s="2459" t="s">
        <v>1669</v>
      </c>
      <c r="B3572" s="2459" t="s">
        <v>1659</v>
      </c>
      <c r="C3572" s="2459" t="s">
        <v>1675</v>
      </c>
      <c r="D3572" s="2460" t="s">
        <v>1671</v>
      </c>
      <c r="E3572" s="2461" t="s">
        <v>1573</v>
      </c>
      <c r="F3572" s="2461" t="s">
        <v>1621</v>
      </c>
      <c r="G3572" s="2461" t="s">
        <v>1418</v>
      </c>
      <c r="H3572" s="2461" t="s">
        <v>1452</v>
      </c>
      <c r="I3572" s="2462">
        <v>5.1758648464041471E-4</v>
      </c>
      <c r="J3572" s="2462">
        <v>48.890189212768526</v>
      </c>
    </row>
    <row r="3573" spans="1:10" outlineLevel="2">
      <c r="A3573" s="2459" t="s">
        <v>1669</v>
      </c>
      <c r="B3573" s="2459" t="s">
        <v>1659</v>
      </c>
      <c r="C3573" s="2459" t="s">
        <v>1675</v>
      </c>
      <c r="D3573" s="2460" t="s">
        <v>1671</v>
      </c>
      <c r="E3573" s="2461" t="s">
        <v>1573</v>
      </c>
      <c r="F3573" s="2461" t="s">
        <v>1622</v>
      </c>
      <c r="G3573" s="2461" t="s">
        <v>1418</v>
      </c>
      <c r="H3573" s="2461" t="s">
        <v>1452</v>
      </c>
      <c r="I3573" s="2462">
        <v>1.5303360415834684E-3</v>
      </c>
      <c r="J3573" s="2462">
        <v>136.0533362531929</v>
      </c>
    </row>
    <row r="3574" spans="1:10" outlineLevel="2">
      <c r="A3574" s="2459" t="s">
        <v>1669</v>
      </c>
      <c r="B3574" s="2459" t="s">
        <v>1659</v>
      </c>
      <c r="C3574" s="2459" t="s">
        <v>1675</v>
      </c>
      <c r="D3574" s="2460" t="s">
        <v>1671</v>
      </c>
      <c r="E3574" s="2461" t="s">
        <v>1573</v>
      </c>
      <c r="F3574" s="2461" t="s">
        <v>1623</v>
      </c>
      <c r="G3574" s="2461" t="s">
        <v>1418</v>
      </c>
      <c r="H3574" s="2461" t="s">
        <v>1452</v>
      </c>
      <c r="I3574" s="2462">
        <v>2.3209360078278295E-3</v>
      </c>
      <c r="J3574" s="2462">
        <v>100.32185487459796</v>
      </c>
    </row>
    <row r="3575" spans="1:10" outlineLevel="2">
      <c r="A3575" s="2459" t="s">
        <v>1669</v>
      </c>
      <c r="B3575" s="2459" t="s">
        <v>1659</v>
      </c>
      <c r="C3575" s="2459" t="s">
        <v>1675</v>
      </c>
      <c r="D3575" s="2460" t="s">
        <v>1671</v>
      </c>
      <c r="E3575" s="2461" t="s">
        <v>1573</v>
      </c>
      <c r="F3575" s="2461" t="s">
        <v>1624</v>
      </c>
      <c r="G3575" s="2461" t="s">
        <v>1421</v>
      </c>
      <c r="H3575" s="2461" t="s">
        <v>1454</v>
      </c>
      <c r="I3575" s="2462">
        <v>1.4200447333387647E-2</v>
      </c>
      <c r="J3575" s="2462">
        <v>519.26740714887228</v>
      </c>
    </row>
    <row r="3576" spans="1:10" outlineLevel="2">
      <c r="A3576" s="2459" t="s">
        <v>1669</v>
      </c>
      <c r="B3576" s="2459" t="s">
        <v>1659</v>
      </c>
      <c r="C3576" s="2459" t="s">
        <v>1675</v>
      </c>
      <c r="D3576" s="2460" t="s">
        <v>1671</v>
      </c>
      <c r="E3576" s="2461" t="s">
        <v>1573</v>
      </c>
      <c r="F3576" s="2461" t="s">
        <v>1625</v>
      </c>
      <c r="G3576" s="2461" t="s">
        <v>1421</v>
      </c>
      <c r="H3576" s="2461" t="s">
        <v>1454</v>
      </c>
      <c r="I3576" s="2462">
        <v>3.3489019014408313E-3</v>
      </c>
      <c r="J3576" s="2462">
        <v>122.55658401584975</v>
      </c>
    </row>
    <row r="3577" spans="1:10" outlineLevel="2">
      <c r="A3577" s="2459" t="s">
        <v>1669</v>
      </c>
      <c r="B3577" s="2459" t="s">
        <v>1659</v>
      </c>
      <c r="C3577" s="2459" t="s">
        <v>1675</v>
      </c>
      <c r="D3577" s="2460" t="s">
        <v>1671</v>
      </c>
      <c r="E3577" s="2461" t="s">
        <v>1573</v>
      </c>
      <c r="F3577" s="2461" t="s">
        <v>1626</v>
      </c>
      <c r="G3577" s="2461" t="s">
        <v>1421</v>
      </c>
      <c r="H3577" s="2461" t="s">
        <v>1454</v>
      </c>
      <c r="I3577" s="2462">
        <v>9.3989621157254243E-3</v>
      </c>
      <c r="J3577" s="2462">
        <v>340.01835170568393</v>
      </c>
    </row>
    <row r="3578" spans="1:10" outlineLevel="2">
      <c r="A3578" s="2459" t="s">
        <v>1669</v>
      </c>
      <c r="B3578" s="2459" t="s">
        <v>1659</v>
      </c>
      <c r="C3578" s="2459" t="s">
        <v>1675</v>
      </c>
      <c r="D3578" s="2460" t="s">
        <v>1671</v>
      </c>
      <c r="E3578" s="2461" t="s">
        <v>1573</v>
      </c>
      <c r="F3578" s="2461" t="s">
        <v>1627</v>
      </c>
      <c r="G3578" s="2461" t="s">
        <v>1421</v>
      </c>
      <c r="H3578" s="2461" t="s">
        <v>1454</v>
      </c>
      <c r="I3578" s="2462">
        <v>7.9366401997223723E-3</v>
      </c>
      <c r="J3578" s="2462">
        <v>172.63766934884009</v>
      </c>
    </row>
    <row r="3579" spans="1:10" outlineLevel="2">
      <c r="A3579" s="2459" t="s">
        <v>1669</v>
      </c>
      <c r="B3579" s="2459" t="s">
        <v>1659</v>
      </c>
      <c r="C3579" s="2459" t="s">
        <v>1675</v>
      </c>
      <c r="D3579" s="2460" t="s">
        <v>1671</v>
      </c>
      <c r="E3579" s="2461" t="s">
        <v>1573</v>
      </c>
      <c r="F3579" s="2461" t="s">
        <v>1628</v>
      </c>
      <c r="G3579" s="2461" t="s">
        <v>1421</v>
      </c>
      <c r="H3579" s="2461" t="s">
        <v>1454</v>
      </c>
      <c r="I3579" s="2462">
        <v>3.9480333273958929E-4</v>
      </c>
      <c r="J3579" s="2462">
        <v>16.603412064724392</v>
      </c>
    </row>
    <row r="3580" spans="1:10" outlineLevel="2">
      <c r="A3580" s="2459" t="s">
        <v>1669</v>
      </c>
      <c r="B3580" s="2459" t="s">
        <v>1659</v>
      </c>
      <c r="C3580" s="2459" t="s">
        <v>1675</v>
      </c>
      <c r="D3580" s="2460" t="s">
        <v>1671</v>
      </c>
      <c r="E3580" s="2461" t="s">
        <v>1573</v>
      </c>
      <c r="F3580" s="2461" t="s">
        <v>1629</v>
      </c>
      <c r="G3580" s="2461" t="s">
        <v>1421</v>
      </c>
      <c r="H3580" s="2461" t="s">
        <v>1454</v>
      </c>
      <c r="I3580" s="2462">
        <v>4.5674242000886265E-4</v>
      </c>
      <c r="J3580" s="2462">
        <v>14.695354088279142</v>
      </c>
    </row>
    <row r="3581" spans="1:10" outlineLevel="2">
      <c r="A3581" s="2459" t="s">
        <v>1669</v>
      </c>
      <c r="B3581" s="2459" t="s">
        <v>1659</v>
      </c>
      <c r="C3581" s="2459" t="s">
        <v>1675</v>
      </c>
      <c r="D3581" s="2460" t="s">
        <v>1671</v>
      </c>
      <c r="E3581" s="2461" t="s">
        <v>1573</v>
      </c>
      <c r="F3581" s="2461" t="s">
        <v>1630</v>
      </c>
      <c r="G3581" s="2461" t="s">
        <v>1459</v>
      </c>
      <c r="H3581" s="2461" t="s">
        <v>1460</v>
      </c>
      <c r="I3581" s="2462">
        <v>3.6869283321616614E-3</v>
      </c>
      <c r="J3581" s="2462">
        <v>241.63355927953526</v>
      </c>
    </row>
    <row r="3582" spans="1:10" outlineLevel="2">
      <c r="A3582" s="2459" t="s">
        <v>1669</v>
      </c>
      <c r="B3582" s="2459" t="s">
        <v>1659</v>
      </c>
      <c r="C3582" s="2459" t="s">
        <v>1675</v>
      </c>
      <c r="D3582" s="2460" t="s">
        <v>1676</v>
      </c>
      <c r="E3582" s="2461" t="s">
        <v>213</v>
      </c>
      <c r="F3582" s="2461" t="s">
        <v>1635</v>
      </c>
      <c r="G3582" s="2461" t="s">
        <v>1636</v>
      </c>
      <c r="H3582" s="2461" t="s">
        <v>1637</v>
      </c>
      <c r="I3582" s="2462">
        <v>6.7168663537043005E-6</v>
      </c>
      <c r="J3582" s="2462">
        <v>2.2739317589586434E-2</v>
      </c>
    </row>
    <row r="3583" spans="1:10" outlineLevel="2">
      <c r="A3583" s="2459" t="s">
        <v>1669</v>
      </c>
      <c r="B3583" s="2459" t="s">
        <v>1659</v>
      </c>
      <c r="C3583" s="2459" t="s">
        <v>1675</v>
      </c>
      <c r="D3583" s="2460" t="s">
        <v>1676</v>
      </c>
      <c r="E3583" s="2461" t="s">
        <v>1538</v>
      </c>
      <c r="F3583" s="2461" t="s">
        <v>1638</v>
      </c>
      <c r="G3583" s="2461" t="s">
        <v>1636</v>
      </c>
      <c r="H3583" s="2461" t="s">
        <v>1540</v>
      </c>
      <c r="I3583" s="2462">
        <v>7.5700773523400684E-7</v>
      </c>
      <c r="J3583" s="2462">
        <v>1.2687774768287269E-2</v>
      </c>
    </row>
    <row r="3584" spans="1:10" outlineLevel="2">
      <c r="A3584" s="2459" t="s">
        <v>1669</v>
      </c>
      <c r="B3584" s="2459" t="s">
        <v>1659</v>
      </c>
      <c r="C3584" s="2459" t="s">
        <v>1675</v>
      </c>
      <c r="D3584" s="2460" t="s">
        <v>1676</v>
      </c>
      <c r="E3584" s="2461" t="s">
        <v>1573</v>
      </c>
      <c r="F3584" s="2461" t="s">
        <v>1639</v>
      </c>
      <c r="G3584" s="2461" t="s">
        <v>1636</v>
      </c>
      <c r="H3584" s="2461" t="s">
        <v>1637</v>
      </c>
      <c r="I3584" s="2462">
        <v>1.3177630132675874E-5</v>
      </c>
      <c r="J3584" s="2462">
        <v>0.70178737856133921</v>
      </c>
    </row>
    <row r="3585" spans="1:10" outlineLevel="2">
      <c r="A3585" s="2459" t="s">
        <v>1669</v>
      </c>
      <c r="B3585" s="2459" t="s">
        <v>1660</v>
      </c>
      <c r="C3585" s="2459" t="s">
        <v>1670</v>
      </c>
      <c r="D3585" s="2460" t="s">
        <v>1671</v>
      </c>
      <c r="E3585" s="2461" t="s">
        <v>1407</v>
      </c>
      <c r="F3585" s="2461" t="s">
        <v>1408</v>
      </c>
      <c r="G3585" s="2461" t="s">
        <v>1409</v>
      </c>
      <c r="H3585" s="2461" t="s">
        <v>1410</v>
      </c>
      <c r="I3585" s="2462">
        <v>5.900312691755079E-3</v>
      </c>
      <c r="J3585" s="2462">
        <v>8.6794976448253083E-2</v>
      </c>
    </row>
    <row r="3586" spans="1:10" outlineLevel="2">
      <c r="A3586" s="2459" t="s">
        <v>1669</v>
      </c>
      <c r="B3586" s="2459" t="s">
        <v>1660</v>
      </c>
      <c r="C3586" s="2459" t="s">
        <v>1670</v>
      </c>
      <c r="D3586" s="2460" t="s">
        <v>1671</v>
      </c>
      <c r="E3586" s="2461" t="s">
        <v>1407</v>
      </c>
      <c r="F3586" s="2461" t="s">
        <v>1411</v>
      </c>
      <c r="G3586" s="2461" t="s">
        <v>1412</v>
      </c>
      <c r="H3586" s="2461" t="s">
        <v>1410</v>
      </c>
      <c r="I3586" s="2462">
        <v>0.20331477725019656</v>
      </c>
      <c r="J3586" s="2462">
        <v>33.017114425486476</v>
      </c>
    </row>
    <row r="3587" spans="1:10" outlineLevel="2">
      <c r="A3587" s="2459" t="s">
        <v>1669</v>
      </c>
      <c r="B3587" s="2459" t="s">
        <v>1660</v>
      </c>
      <c r="C3587" s="2459" t="s">
        <v>1670</v>
      </c>
      <c r="D3587" s="2460" t="s">
        <v>1671</v>
      </c>
      <c r="E3587" s="2461" t="s">
        <v>1407</v>
      </c>
      <c r="F3587" s="2461" t="s">
        <v>1413</v>
      </c>
      <c r="G3587" s="2461" t="s">
        <v>1412</v>
      </c>
      <c r="H3587" s="2461" t="s">
        <v>1410</v>
      </c>
      <c r="I3587" s="2462">
        <v>1.6511179944742903E-4</v>
      </c>
      <c r="J3587" s="2462">
        <v>2.7971333584954617E-2</v>
      </c>
    </row>
    <row r="3588" spans="1:10" outlineLevel="2">
      <c r="A3588" s="2459" t="s">
        <v>1669</v>
      </c>
      <c r="B3588" s="2459" t="s">
        <v>1660</v>
      </c>
      <c r="C3588" s="2459" t="s">
        <v>1670</v>
      </c>
      <c r="D3588" s="2460" t="s">
        <v>1671</v>
      </c>
      <c r="E3588" s="2461" t="s">
        <v>1407</v>
      </c>
      <c r="F3588" s="2461" t="s">
        <v>1414</v>
      </c>
      <c r="G3588" s="2461" t="s">
        <v>1412</v>
      </c>
      <c r="H3588" s="2461" t="s">
        <v>1410</v>
      </c>
      <c r="I3588" s="2462">
        <v>8.2973060518410629E-5</v>
      </c>
      <c r="J3588" s="2462">
        <v>1.5242477545801606E-2</v>
      </c>
    </row>
    <row r="3589" spans="1:10" outlineLevel="2">
      <c r="A3589" s="2459" t="s">
        <v>1669</v>
      </c>
      <c r="B3589" s="2459" t="s">
        <v>1660</v>
      </c>
      <c r="C3589" s="2459" t="s">
        <v>1670</v>
      </c>
      <c r="D3589" s="2460" t="s">
        <v>1671</v>
      </c>
      <c r="E3589" s="2461" t="s">
        <v>1407</v>
      </c>
      <c r="F3589" s="2461" t="s">
        <v>1415</v>
      </c>
      <c r="G3589" s="2461" t="s">
        <v>1412</v>
      </c>
      <c r="H3589" s="2461" t="s">
        <v>1410</v>
      </c>
      <c r="I3589" s="2462">
        <v>3.8089185349484312E-3</v>
      </c>
      <c r="J3589" s="2462">
        <v>0.60672620369778674</v>
      </c>
    </row>
    <row r="3590" spans="1:10" outlineLevel="2">
      <c r="A3590" s="2459" t="s">
        <v>1669</v>
      </c>
      <c r="B3590" s="2459" t="s">
        <v>1660</v>
      </c>
      <c r="C3590" s="2459" t="s">
        <v>1670</v>
      </c>
      <c r="D3590" s="2460" t="s">
        <v>1671</v>
      </c>
      <c r="E3590" s="2461" t="s">
        <v>1407</v>
      </c>
      <c r="F3590" s="2461" t="s">
        <v>1416</v>
      </c>
      <c r="G3590" s="2461" t="s">
        <v>1412</v>
      </c>
      <c r="H3590" s="2461" t="s">
        <v>1410</v>
      </c>
      <c r="I3590" s="2462">
        <v>7.5947173620246483E-4</v>
      </c>
      <c r="J3590" s="2462">
        <v>0.18682367968787031</v>
      </c>
    </row>
    <row r="3591" spans="1:10" outlineLevel="2">
      <c r="A3591" s="2459" t="s">
        <v>1669</v>
      </c>
      <c r="B3591" s="2459" t="s">
        <v>1660</v>
      </c>
      <c r="C3591" s="2459" t="s">
        <v>1670</v>
      </c>
      <c r="D3591" s="2460" t="s">
        <v>1671</v>
      </c>
      <c r="E3591" s="2461" t="s">
        <v>1407</v>
      </c>
      <c r="F3591" s="2461" t="s">
        <v>1417</v>
      </c>
      <c r="G3591" s="2461" t="s">
        <v>1418</v>
      </c>
      <c r="H3591" s="2461" t="s">
        <v>1410</v>
      </c>
      <c r="I3591" s="2462">
        <v>3.2289229275446712E-3</v>
      </c>
      <c r="J3591" s="2462">
        <v>4.2889487391146869E-2</v>
      </c>
    </row>
    <row r="3592" spans="1:10" outlineLevel="2">
      <c r="A3592" s="2459" t="s">
        <v>1669</v>
      </c>
      <c r="B3592" s="2459" t="s">
        <v>1660</v>
      </c>
      <c r="C3592" s="2459" t="s">
        <v>1670</v>
      </c>
      <c r="D3592" s="2460" t="s">
        <v>1671</v>
      </c>
      <c r="E3592" s="2461" t="s">
        <v>1407</v>
      </c>
      <c r="F3592" s="2461" t="s">
        <v>1419</v>
      </c>
      <c r="G3592" s="2461" t="s">
        <v>1418</v>
      </c>
      <c r="H3592" s="2461" t="s">
        <v>1410</v>
      </c>
      <c r="I3592" s="2462">
        <v>2.3967767127854922E-2</v>
      </c>
      <c r="J3592" s="2462">
        <v>4.6547731300225763</v>
      </c>
    </row>
    <row r="3593" spans="1:10" outlineLevel="2">
      <c r="A3593" s="2459" t="s">
        <v>1669</v>
      </c>
      <c r="B3593" s="2459" t="s">
        <v>1660</v>
      </c>
      <c r="C3593" s="2459" t="s">
        <v>1670</v>
      </c>
      <c r="D3593" s="2460" t="s">
        <v>1671</v>
      </c>
      <c r="E3593" s="2461" t="s">
        <v>1407</v>
      </c>
      <c r="F3593" s="2461" t="s">
        <v>1420</v>
      </c>
      <c r="G3593" s="2461" t="s">
        <v>1421</v>
      </c>
      <c r="H3593" s="2461" t="s">
        <v>1410</v>
      </c>
      <c r="I3593" s="2462">
        <v>0.36066741003244063</v>
      </c>
      <c r="J3593" s="2462">
        <v>9.3602778430873084</v>
      </c>
    </row>
    <row r="3594" spans="1:10" outlineLevel="2">
      <c r="A3594" s="2459" t="s">
        <v>1669</v>
      </c>
      <c r="B3594" s="2459" t="s">
        <v>1660</v>
      </c>
      <c r="C3594" s="2459" t="s">
        <v>1670</v>
      </c>
      <c r="D3594" s="2460" t="s">
        <v>1671</v>
      </c>
      <c r="E3594" s="2461" t="s">
        <v>1407</v>
      </c>
      <c r="F3594" s="2461" t="s">
        <v>1422</v>
      </c>
      <c r="G3594" s="2461" t="s">
        <v>1421</v>
      </c>
      <c r="H3594" s="2461" t="s">
        <v>1410</v>
      </c>
      <c r="I3594" s="2462">
        <v>1.0906531863519114E-2</v>
      </c>
      <c r="J3594" s="2462">
        <v>0.44687560855493991</v>
      </c>
    </row>
    <row r="3595" spans="1:10" outlineLevel="2">
      <c r="A3595" s="2459" t="s">
        <v>1669</v>
      </c>
      <c r="B3595" s="2459" t="s">
        <v>1660</v>
      </c>
      <c r="C3595" s="2459" t="s">
        <v>1670</v>
      </c>
      <c r="D3595" s="2460" t="s">
        <v>1671</v>
      </c>
      <c r="E3595" s="2461" t="s">
        <v>1407</v>
      </c>
      <c r="F3595" s="2461" t="s">
        <v>1423</v>
      </c>
      <c r="G3595" s="2461" t="s">
        <v>1421</v>
      </c>
      <c r="H3595" s="2461" t="s">
        <v>1410</v>
      </c>
      <c r="I3595" s="2462">
        <v>5.6689482742253907E-3</v>
      </c>
      <c r="J3595" s="2462">
        <v>0.6532817234719609</v>
      </c>
    </row>
    <row r="3596" spans="1:10" outlineLevel="2">
      <c r="A3596" s="2459" t="s">
        <v>1669</v>
      </c>
      <c r="B3596" s="2459" t="s">
        <v>1660</v>
      </c>
      <c r="C3596" s="2459" t="s">
        <v>1670</v>
      </c>
      <c r="D3596" s="2460" t="s">
        <v>1671</v>
      </c>
      <c r="E3596" s="2461" t="s">
        <v>1407</v>
      </c>
      <c r="F3596" s="2461" t="s">
        <v>1424</v>
      </c>
      <c r="G3596" s="2461" t="s">
        <v>1421</v>
      </c>
      <c r="H3596" s="2461" t="s">
        <v>1410</v>
      </c>
      <c r="I3596" s="2462">
        <v>0.11085917314687235</v>
      </c>
      <c r="J3596" s="2462">
        <v>23.198992526769079</v>
      </c>
    </row>
    <row r="3597" spans="1:10" outlineLevel="2">
      <c r="A3597" s="2459" t="s">
        <v>1669</v>
      </c>
      <c r="B3597" s="2459" t="s">
        <v>1660</v>
      </c>
      <c r="C3597" s="2459" t="s">
        <v>1670</v>
      </c>
      <c r="D3597" s="2460" t="s">
        <v>1671</v>
      </c>
      <c r="E3597" s="2461" t="s">
        <v>213</v>
      </c>
      <c r="F3597" s="2461" t="s">
        <v>1425</v>
      </c>
      <c r="G3597" s="2461" t="s">
        <v>1426</v>
      </c>
      <c r="H3597" s="2461" t="s">
        <v>1427</v>
      </c>
      <c r="I3597" s="2462">
        <v>0.41806155183946436</v>
      </c>
      <c r="J3597" s="2462">
        <v>120.12258423272181</v>
      </c>
    </row>
    <row r="3598" spans="1:10" outlineLevel="2">
      <c r="A3598" s="2459" t="s">
        <v>1669</v>
      </c>
      <c r="B3598" s="2459" t="s">
        <v>1660</v>
      </c>
      <c r="C3598" s="2459" t="s">
        <v>1670</v>
      </c>
      <c r="D3598" s="2460" t="s">
        <v>1671</v>
      </c>
      <c r="E3598" s="2461" t="s">
        <v>213</v>
      </c>
      <c r="F3598" s="2461" t="s">
        <v>1428</v>
      </c>
      <c r="G3598" s="2461" t="s">
        <v>1426</v>
      </c>
      <c r="H3598" s="2461" t="s">
        <v>1427</v>
      </c>
      <c r="I3598" s="2462">
        <v>0.12770134327772839</v>
      </c>
      <c r="J3598" s="2462">
        <v>51.587854917176536</v>
      </c>
    </row>
    <row r="3599" spans="1:10" outlineLevel="2">
      <c r="A3599" s="2459" t="s">
        <v>1669</v>
      </c>
      <c r="B3599" s="2459" t="s">
        <v>1660</v>
      </c>
      <c r="C3599" s="2459" t="s">
        <v>1670</v>
      </c>
      <c r="D3599" s="2460" t="s">
        <v>1671</v>
      </c>
      <c r="E3599" s="2461" t="s">
        <v>213</v>
      </c>
      <c r="F3599" s="2461" t="s">
        <v>1429</v>
      </c>
      <c r="G3599" s="2461" t="s">
        <v>1426</v>
      </c>
      <c r="H3599" s="2461" t="s">
        <v>1427</v>
      </c>
      <c r="I3599" s="2462">
        <v>5.8123756045513696E-2</v>
      </c>
      <c r="J3599" s="2462">
        <v>74.751498975467854</v>
      </c>
    </row>
    <row r="3600" spans="1:10" outlineLevel="2">
      <c r="A3600" s="2459" t="s">
        <v>1669</v>
      </c>
      <c r="B3600" s="2459" t="s">
        <v>1660</v>
      </c>
      <c r="C3600" s="2459" t="s">
        <v>1670</v>
      </c>
      <c r="D3600" s="2460" t="s">
        <v>1671</v>
      </c>
      <c r="E3600" s="2461" t="s">
        <v>213</v>
      </c>
      <c r="F3600" s="2461" t="s">
        <v>1430</v>
      </c>
      <c r="G3600" s="2461" t="s">
        <v>1409</v>
      </c>
      <c r="H3600" s="2461" t="s">
        <v>1070</v>
      </c>
      <c r="I3600" s="2462">
        <v>1.8238184537885525E-2</v>
      </c>
      <c r="J3600" s="2462">
        <v>11.316427909423329</v>
      </c>
    </row>
    <row r="3601" spans="1:10" outlineLevel="2">
      <c r="A3601" s="2459" t="s">
        <v>1669</v>
      </c>
      <c r="B3601" s="2459" t="s">
        <v>1660</v>
      </c>
      <c r="C3601" s="2459" t="s">
        <v>1670</v>
      </c>
      <c r="D3601" s="2460" t="s">
        <v>1671</v>
      </c>
      <c r="E3601" s="2461" t="s">
        <v>213</v>
      </c>
      <c r="F3601" s="2461" t="s">
        <v>1431</v>
      </c>
      <c r="G3601" s="2461" t="s">
        <v>1409</v>
      </c>
      <c r="H3601" s="2461" t="s">
        <v>1070</v>
      </c>
      <c r="I3601" s="2462">
        <v>1.5135778845208792E-3</v>
      </c>
      <c r="J3601" s="2462">
        <v>0.73303498772354825</v>
      </c>
    </row>
    <row r="3602" spans="1:10" outlineLevel="2">
      <c r="A3602" s="2459" t="s">
        <v>1669</v>
      </c>
      <c r="B3602" s="2459" t="s">
        <v>1660</v>
      </c>
      <c r="C3602" s="2459" t="s">
        <v>1670</v>
      </c>
      <c r="D3602" s="2460" t="s">
        <v>1671</v>
      </c>
      <c r="E3602" s="2461" t="s">
        <v>213</v>
      </c>
      <c r="F3602" s="2461" t="s">
        <v>1432</v>
      </c>
      <c r="G3602" s="2461" t="s">
        <v>1409</v>
      </c>
      <c r="H3602" s="2461" t="s">
        <v>1070</v>
      </c>
      <c r="I3602" s="2462">
        <v>1.8342567640108004E-3</v>
      </c>
      <c r="J3602" s="2462">
        <v>0.87618519080111079</v>
      </c>
    </row>
    <row r="3603" spans="1:10" outlineLevel="2">
      <c r="A3603" s="2459" t="s">
        <v>1669</v>
      </c>
      <c r="B3603" s="2459" t="s">
        <v>1660</v>
      </c>
      <c r="C3603" s="2459" t="s">
        <v>1670</v>
      </c>
      <c r="D3603" s="2460" t="s">
        <v>1671</v>
      </c>
      <c r="E3603" s="2461" t="s">
        <v>213</v>
      </c>
      <c r="F3603" s="2461" t="s">
        <v>1433</v>
      </c>
      <c r="G3603" s="2461" t="s">
        <v>1409</v>
      </c>
      <c r="H3603" s="2461" t="s">
        <v>1070</v>
      </c>
      <c r="I3603" s="2462">
        <v>1.3565124990354678E-5</v>
      </c>
      <c r="J3603" s="2462">
        <v>6.0710208747937651E-3</v>
      </c>
    </row>
    <row r="3604" spans="1:10" outlineLevel="2">
      <c r="A3604" s="2459" t="s">
        <v>1669</v>
      </c>
      <c r="B3604" s="2459" t="s">
        <v>1660</v>
      </c>
      <c r="C3604" s="2459" t="s">
        <v>1670</v>
      </c>
      <c r="D3604" s="2460" t="s">
        <v>1671</v>
      </c>
      <c r="E3604" s="2461" t="s">
        <v>213</v>
      </c>
      <c r="F3604" s="2461" t="s">
        <v>1434</v>
      </c>
      <c r="G3604" s="2461" t="s">
        <v>1409</v>
      </c>
      <c r="H3604" s="2461" t="s">
        <v>1070</v>
      </c>
      <c r="I3604" s="2462">
        <v>5.2286945043196774E-2</v>
      </c>
      <c r="J3604" s="2462">
        <v>29.196204308722283</v>
      </c>
    </row>
    <row r="3605" spans="1:10" outlineLevel="2">
      <c r="A3605" s="2459" t="s">
        <v>1669</v>
      </c>
      <c r="B3605" s="2459" t="s">
        <v>1660</v>
      </c>
      <c r="C3605" s="2459" t="s">
        <v>1670</v>
      </c>
      <c r="D3605" s="2460" t="s">
        <v>1671</v>
      </c>
      <c r="E3605" s="2461" t="s">
        <v>213</v>
      </c>
      <c r="F3605" s="2461" t="s">
        <v>1435</v>
      </c>
      <c r="G3605" s="2461" t="s">
        <v>1409</v>
      </c>
      <c r="H3605" s="2461" t="s">
        <v>1070</v>
      </c>
      <c r="I3605" s="2462">
        <v>3.8230522215415607E-4</v>
      </c>
      <c r="J3605" s="2462">
        <v>0.17109934601278037</v>
      </c>
    </row>
    <row r="3606" spans="1:10" outlineLevel="2">
      <c r="A3606" s="2459" t="s">
        <v>1669</v>
      </c>
      <c r="B3606" s="2459" t="s">
        <v>1660</v>
      </c>
      <c r="C3606" s="2459" t="s">
        <v>1670</v>
      </c>
      <c r="D3606" s="2460" t="s">
        <v>1671</v>
      </c>
      <c r="E3606" s="2461" t="s">
        <v>213</v>
      </c>
      <c r="F3606" s="2461" t="s">
        <v>1436</v>
      </c>
      <c r="G3606" s="2461" t="s">
        <v>1412</v>
      </c>
      <c r="H3606" s="2461" t="s">
        <v>1116</v>
      </c>
      <c r="I3606" s="2462">
        <v>2.0136276087889487E-4</v>
      </c>
      <c r="J3606" s="2462">
        <v>9.0119269386180048E-2</v>
      </c>
    </row>
    <row r="3607" spans="1:10" outlineLevel="2">
      <c r="A3607" s="2459" t="s">
        <v>1669</v>
      </c>
      <c r="B3607" s="2459" t="s">
        <v>1660</v>
      </c>
      <c r="C3607" s="2459" t="s">
        <v>1670</v>
      </c>
      <c r="D3607" s="2460" t="s">
        <v>1671</v>
      </c>
      <c r="E3607" s="2461" t="s">
        <v>213</v>
      </c>
      <c r="F3607" s="2461" t="s">
        <v>1437</v>
      </c>
      <c r="G3607" s="2461" t="s">
        <v>1412</v>
      </c>
      <c r="H3607" s="2461" t="s">
        <v>1116</v>
      </c>
      <c r="I3607" s="2462">
        <v>1.5408558518171815E-5</v>
      </c>
      <c r="J3607" s="2462">
        <v>6.8960552421884411E-3</v>
      </c>
    </row>
    <row r="3608" spans="1:10" outlineLevel="2">
      <c r="A3608" s="2459" t="s">
        <v>1669</v>
      </c>
      <c r="B3608" s="2459" t="s">
        <v>1660</v>
      </c>
      <c r="C3608" s="2459" t="s">
        <v>1670</v>
      </c>
      <c r="D3608" s="2460" t="s">
        <v>1671</v>
      </c>
      <c r="E3608" s="2461" t="s">
        <v>213</v>
      </c>
      <c r="F3608" s="2461" t="s">
        <v>1438</v>
      </c>
      <c r="G3608" s="2461" t="s">
        <v>1439</v>
      </c>
      <c r="H3608" s="2461" t="s">
        <v>1440</v>
      </c>
      <c r="I3608" s="2462">
        <v>5.6867834227829692E-3</v>
      </c>
      <c r="J3608" s="2462">
        <v>3.1144578605332374</v>
      </c>
    </row>
    <row r="3609" spans="1:10" outlineLevel="2">
      <c r="A3609" s="2459" t="s">
        <v>1669</v>
      </c>
      <c r="B3609" s="2459" t="s">
        <v>1660</v>
      </c>
      <c r="C3609" s="2459" t="s">
        <v>1670</v>
      </c>
      <c r="D3609" s="2460" t="s">
        <v>1671</v>
      </c>
      <c r="E3609" s="2461" t="s">
        <v>213</v>
      </c>
      <c r="F3609" s="2461" t="s">
        <v>1441</v>
      </c>
      <c r="G3609" s="2461" t="s">
        <v>1439</v>
      </c>
      <c r="H3609" s="2461" t="s">
        <v>1440</v>
      </c>
      <c r="I3609" s="2462">
        <v>1.8647050942954126E-2</v>
      </c>
      <c r="J3609" s="2462">
        <v>10.021769400179744</v>
      </c>
    </row>
    <row r="3610" spans="1:10" outlineLevel="2">
      <c r="A3610" s="2459" t="s">
        <v>1669</v>
      </c>
      <c r="B3610" s="2459" t="s">
        <v>1660</v>
      </c>
      <c r="C3610" s="2459" t="s">
        <v>1670</v>
      </c>
      <c r="D3610" s="2460" t="s">
        <v>1671</v>
      </c>
      <c r="E3610" s="2461" t="s">
        <v>213</v>
      </c>
      <c r="F3610" s="2461" t="s">
        <v>1442</v>
      </c>
      <c r="G3610" s="2461" t="s">
        <v>1439</v>
      </c>
      <c r="H3610" s="2461" t="s">
        <v>1440</v>
      </c>
      <c r="I3610" s="2462">
        <v>8.0038718841311751E-2</v>
      </c>
      <c r="J3610" s="2462">
        <v>41.583876626912868</v>
      </c>
    </row>
    <row r="3611" spans="1:10" outlineLevel="2">
      <c r="A3611" s="2459" t="s">
        <v>1669</v>
      </c>
      <c r="B3611" s="2459" t="s">
        <v>1660</v>
      </c>
      <c r="C3611" s="2459" t="s">
        <v>1670</v>
      </c>
      <c r="D3611" s="2460" t="s">
        <v>1671</v>
      </c>
      <c r="E3611" s="2461" t="s">
        <v>213</v>
      </c>
      <c r="F3611" s="2461" t="s">
        <v>1443</v>
      </c>
      <c r="G3611" s="2461" t="s">
        <v>1439</v>
      </c>
      <c r="H3611" s="2461" t="s">
        <v>1440</v>
      </c>
      <c r="I3611" s="2462">
        <v>0.17631860830820845</v>
      </c>
      <c r="J3611" s="2462">
        <v>96.517414314892363</v>
      </c>
    </row>
    <row r="3612" spans="1:10" outlineLevel="2">
      <c r="A3612" s="2459" t="s">
        <v>1669</v>
      </c>
      <c r="B3612" s="2459" t="s">
        <v>1660</v>
      </c>
      <c r="C3612" s="2459" t="s">
        <v>1670</v>
      </c>
      <c r="D3612" s="2460" t="s">
        <v>1671</v>
      </c>
      <c r="E3612" s="2461" t="s">
        <v>213</v>
      </c>
      <c r="F3612" s="2461" t="s">
        <v>1444</v>
      </c>
      <c r="G3612" s="2461" t="s">
        <v>1439</v>
      </c>
      <c r="H3612" s="2461" t="s">
        <v>1440</v>
      </c>
      <c r="I3612" s="2462">
        <v>9.8323035660544914E-2</v>
      </c>
      <c r="J3612" s="2462">
        <v>57.751010186774408</v>
      </c>
    </row>
    <row r="3613" spans="1:10" outlineLevel="2">
      <c r="A3613" s="2459" t="s">
        <v>1669</v>
      </c>
      <c r="B3613" s="2459" t="s">
        <v>1660</v>
      </c>
      <c r="C3613" s="2459" t="s">
        <v>1670</v>
      </c>
      <c r="D3613" s="2460" t="s">
        <v>1671</v>
      </c>
      <c r="E3613" s="2461" t="s">
        <v>213</v>
      </c>
      <c r="F3613" s="2461" t="s">
        <v>1445</v>
      </c>
      <c r="G3613" s="2461" t="s">
        <v>1439</v>
      </c>
      <c r="H3613" s="2461" t="s">
        <v>1440</v>
      </c>
      <c r="I3613" s="2462">
        <v>0.16683887319974705</v>
      </c>
      <c r="J3613" s="2462">
        <v>84.343236476768126</v>
      </c>
    </row>
    <row r="3614" spans="1:10" outlineLevel="2">
      <c r="A3614" s="2459" t="s">
        <v>1669</v>
      </c>
      <c r="B3614" s="2459" t="s">
        <v>1660</v>
      </c>
      <c r="C3614" s="2459" t="s">
        <v>1670</v>
      </c>
      <c r="D3614" s="2460" t="s">
        <v>1671</v>
      </c>
      <c r="E3614" s="2461" t="s">
        <v>213</v>
      </c>
      <c r="F3614" s="2461" t="s">
        <v>1446</v>
      </c>
      <c r="G3614" s="2461" t="s">
        <v>1439</v>
      </c>
      <c r="H3614" s="2461" t="s">
        <v>1440</v>
      </c>
      <c r="I3614" s="2462">
        <v>6.9302622154015781E-2</v>
      </c>
      <c r="J3614" s="2462">
        <v>37.168409673806174</v>
      </c>
    </row>
    <row r="3615" spans="1:10" outlineLevel="2">
      <c r="A3615" s="2459" t="s">
        <v>1669</v>
      </c>
      <c r="B3615" s="2459" t="s">
        <v>1660</v>
      </c>
      <c r="C3615" s="2459" t="s">
        <v>1670</v>
      </c>
      <c r="D3615" s="2460" t="s">
        <v>1671</v>
      </c>
      <c r="E3615" s="2461" t="s">
        <v>213</v>
      </c>
      <c r="F3615" s="2461" t="s">
        <v>1447</v>
      </c>
      <c r="G3615" s="2461" t="s">
        <v>1439</v>
      </c>
      <c r="H3615" s="2461" t="s">
        <v>1440</v>
      </c>
      <c r="I3615" s="2462">
        <v>0.14725082269008838</v>
      </c>
      <c r="J3615" s="2462">
        <v>78.756427429257656</v>
      </c>
    </row>
    <row r="3616" spans="1:10" outlineLevel="2">
      <c r="A3616" s="2459" t="s">
        <v>1669</v>
      </c>
      <c r="B3616" s="2459" t="s">
        <v>1660</v>
      </c>
      <c r="C3616" s="2459" t="s">
        <v>1670</v>
      </c>
      <c r="D3616" s="2460" t="s">
        <v>1671</v>
      </c>
      <c r="E3616" s="2461" t="s">
        <v>213</v>
      </c>
      <c r="F3616" s="2461" t="s">
        <v>1448</v>
      </c>
      <c r="G3616" s="2461" t="s">
        <v>1439</v>
      </c>
      <c r="H3616" s="2461" t="s">
        <v>1440</v>
      </c>
      <c r="I3616" s="2462">
        <v>0.12560374357042481</v>
      </c>
      <c r="J3616" s="2462">
        <v>18.390038363633359</v>
      </c>
    </row>
    <row r="3617" spans="1:10" outlineLevel="2">
      <c r="A3617" s="2459" t="s">
        <v>1669</v>
      </c>
      <c r="B3617" s="2459" t="s">
        <v>1660</v>
      </c>
      <c r="C3617" s="2459" t="s">
        <v>1670</v>
      </c>
      <c r="D3617" s="2460" t="s">
        <v>1671</v>
      </c>
      <c r="E3617" s="2461" t="s">
        <v>213</v>
      </c>
      <c r="F3617" s="2461" t="s">
        <v>1449</v>
      </c>
      <c r="G3617" s="2461" t="s">
        <v>1439</v>
      </c>
      <c r="H3617" s="2461" t="s">
        <v>1440</v>
      </c>
      <c r="I3617" s="2462">
        <v>0.19586216740287085</v>
      </c>
      <c r="J3617" s="2462">
        <v>28.675995455595142</v>
      </c>
    </row>
    <row r="3618" spans="1:10" outlineLevel="2">
      <c r="A3618" s="2459" t="s">
        <v>1669</v>
      </c>
      <c r="B3618" s="2459" t="s">
        <v>1660</v>
      </c>
      <c r="C3618" s="2459" t="s">
        <v>1670</v>
      </c>
      <c r="D3618" s="2460" t="s">
        <v>1671</v>
      </c>
      <c r="E3618" s="2461" t="s">
        <v>213</v>
      </c>
      <c r="F3618" s="2461" t="s">
        <v>1450</v>
      </c>
      <c r="G3618" s="2461" t="s">
        <v>1439</v>
      </c>
      <c r="H3618" s="2461" t="s">
        <v>1440</v>
      </c>
      <c r="I3618" s="2462">
        <v>8.4221735823345186E-5</v>
      </c>
      <c r="J3618" s="2462">
        <v>4.2025022370379007E-2</v>
      </c>
    </row>
    <row r="3619" spans="1:10" outlineLevel="2">
      <c r="A3619" s="2459" t="s">
        <v>1669</v>
      </c>
      <c r="B3619" s="2459" t="s">
        <v>1660</v>
      </c>
      <c r="C3619" s="2459" t="s">
        <v>1670</v>
      </c>
      <c r="D3619" s="2460" t="s">
        <v>1671</v>
      </c>
      <c r="E3619" s="2461" t="s">
        <v>213</v>
      </c>
      <c r="F3619" s="2461" t="s">
        <v>1451</v>
      </c>
      <c r="G3619" s="2461" t="s">
        <v>1418</v>
      </c>
      <c r="H3619" s="2461" t="s">
        <v>1452</v>
      </c>
      <c r="I3619" s="2462">
        <v>4.0098899490475506E-4</v>
      </c>
      <c r="J3619" s="2462">
        <v>0.24385049166510264</v>
      </c>
    </row>
    <row r="3620" spans="1:10" outlineLevel="2">
      <c r="A3620" s="2459" t="s">
        <v>1669</v>
      </c>
      <c r="B3620" s="2459" t="s">
        <v>1660</v>
      </c>
      <c r="C3620" s="2459" t="s">
        <v>1670</v>
      </c>
      <c r="D3620" s="2460" t="s">
        <v>1671</v>
      </c>
      <c r="E3620" s="2461" t="s">
        <v>213</v>
      </c>
      <c r="F3620" s="2461" t="s">
        <v>1453</v>
      </c>
      <c r="G3620" s="2461" t="s">
        <v>1421</v>
      </c>
      <c r="H3620" s="2461" t="s">
        <v>1454</v>
      </c>
      <c r="I3620" s="2462">
        <v>3.1784701153295628E-3</v>
      </c>
      <c r="J3620" s="2462">
        <v>1.573690015580494</v>
      </c>
    </row>
    <row r="3621" spans="1:10" outlineLevel="2">
      <c r="A3621" s="2459" t="s">
        <v>1669</v>
      </c>
      <c r="B3621" s="2459" t="s">
        <v>1660</v>
      </c>
      <c r="C3621" s="2459" t="s">
        <v>1670</v>
      </c>
      <c r="D3621" s="2460" t="s">
        <v>1671</v>
      </c>
      <c r="E3621" s="2461" t="s">
        <v>213</v>
      </c>
      <c r="F3621" s="2461" t="s">
        <v>1455</v>
      </c>
      <c r="G3621" s="2461" t="s">
        <v>1421</v>
      </c>
      <c r="H3621" s="2461" t="s">
        <v>1454</v>
      </c>
      <c r="I3621" s="2462">
        <v>2.0283677807999913E-2</v>
      </c>
      <c r="J3621" s="2462">
        <v>10.498284189001629</v>
      </c>
    </row>
    <row r="3622" spans="1:10" outlineLevel="2">
      <c r="A3622" s="2459" t="s">
        <v>1669</v>
      </c>
      <c r="B3622" s="2459" t="s">
        <v>1660</v>
      </c>
      <c r="C3622" s="2459" t="s">
        <v>1670</v>
      </c>
      <c r="D3622" s="2460" t="s">
        <v>1671</v>
      </c>
      <c r="E3622" s="2461" t="s">
        <v>213</v>
      </c>
      <c r="F3622" s="2461" t="s">
        <v>1456</v>
      </c>
      <c r="G3622" s="2461" t="s">
        <v>1421</v>
      </c>
      <c r="H3622" s="2461" t="s">
        <v>1454</v>
      </c>
      <c r="I3622" s="2462">
        <v>8.1357432721847507E-6</v>
      </c>
      <c r="J3622" s="2462">
        <v>3.6411305988410126E-3</v>
      </c>
    </row>
    <row r="3623" spans="1:10" outlineLevel="2">
      <c r="A3623" s="2459" t="s">
        <v>1669</v>
      </c>
      <c r="B3623" s="2459" t="s">
        <v>1660</v>
      </c>
      <c r="C3623" s="2459" t="s">
        <v>1670</v>
      </c>
      <c r="D3623" s="2460" t="s">
        <v>1671</v>
      </c>
      <c r="E3623" s="2461" t="s">
        <v>213</v>
      </c>
      <c r="F3623" s="2461" t="s">
        <v>1457</v>
      </c>
      <c r="G3623" s="2461" t="s">
        <v>1421</v>
      </c>
      <c r="H3623" s="2461" t="s">
        <v>1454</v>
      </c>
      <c r="I3623" s="2462">
        <v>1.419133142138497E-4</v>
      </c>
      <c r="J3623" s="2462">
        <v>6.3512716759233631E-2</v>
      </c>
    </row>
    <row r="3624" spans="1:10" outlineLevel="2">
      <c r="A3624" s="2459" t="s">
        <v>1669</v>
      </c>
      <c r="B3624" s="2459" t="s">
        <v>1660</v>
      </c>
      <c r="C3624" s="2459" t="s">
        <v>1670</v>
      </c>
      <c r="D3624" s="2460" t="s">
        <v>1671</v>
      </c>
      <c r="E3624" s="2461" t="s">
        <v>213</v>
      </c>
      <c r="F3624" s="2461" t="s">
        <v>1458</v>
      </c>
      <c r="G3624" s="2461" t="s">
        <v>1459</v>
      </c>
      <c r="H3624" s="2461" t="s">
        <v>1460</v>
      </c>
      <c r="I3624" s="2462">
        <v>1.5644137161293006E-2</v>
      </c>
      <c r="J3624" s="2462">
        <v>9.0318037414872983</v>
      </c>
    </row>
    <row r="3625" spans="1:10" outlineLevel="2">
      <c r="A3625" s="2459" t="s">
        <v>1669</v>
      </c>
      <c r="B3625" s="2459" t="s">
        <v>1660</v>
      </c>
      <c r="C3625" s="2459" t="s">
        <v>1670</v>
      </c>
      <c r="D3625" s="2460" t="s">
        <v>1671</v>
      </c>
      <c r="E3625" s="2461" t="s">
        <v>213</v>
      </c>
      <c r="F3625" s="2461" t="s">
        <v>1461</v>
      </c>
      <c r="G3625" s="2461" t="s">
        <v>1426</v>
      </c>
      <c r="H3625" s="2461" t="s">
        <v>1427</v>
      </c>
      <c r="I3625" s="2462">
        <v>7.9004158015742287E-2</v>
      </c>
      <c r="J3625" s="2462">
        <v>56.022741164136811</v>
      </c>
    </row>
    <row r="3626" spans="1:10" outlineLevel="2">
      <c r="A3626" s="2459" t="s">
        <v>1669</v>
      </c>
      <c r="B3626" s="2459" t="s">
        <v>1660</v>
      </c>
      <c r="C3626" s="2459" t="s">
        <v>1670</v>
      </c>
      <c r="D3626" s="2460" t="s">
        <v>1671</v>
      </c>
      <c r="E3626" s="2461" t="s">
        <v>213</v>
      </c>
      <c r="F3626" s="2461" t="s">
        <v>1462</v>
      </c>
      <c r="G3626" s="2461" t="s">
        <v>1426</v>
      </c>
      <c r="H3626" s="2461" t="s">
        <v>1427</v>
      </c>
      <c r="I3626" s="2462">
        <v>0.58220036221644145</v>
      </c>
      <c r="J3626" s="2462">
        <v>532.59606065752519</v>
      </c>
    </row>
    <row r="3627" spans="1:10" outlineLevel="2">
      <c r="A3627" s="2459" t="s">
        <v>1669</v>
      </c>
      <c r="B3627" s="2459" t="s">
        <v>1660</v>
      </c>
      <c r="C3627" s="2459" t="s">
        <v>1670</v>
      </c>
      <c r="D3627" s="2460" t="s">
        <v>1671</v>
      </c>
      <c r="E3627" s="2461" t="s">
        <v>213</v>
      </c>
      <c r="F3627" s="2461" t="s">
        <v>1463</v>
      </c>
      <c r="G3627" s="2461" t="s">
        <v>1426</v>
      </c>
      <c r="H3627" s="2461" t="s">
        <v>1427</v>
      </c>
      <c r="I3627" s="2462">
        <v>6.8353226346834023E-2</v>
      </c>
      <c r="J3627" s="2462">
        <v>91.092781009707593</v>
      </c>
    </row>
    <row r="3628" spans="1:10" outlineLevel="2">
      <c r="A3628" s="2459" t="s">
        <v>1669</v>
      </c>
      <c r="B3628" s="2459" t="s">
        <v>1660</v>
      </c>
      <c r="C3628" s="2459" t="s">
        <v>1670</v>
      </c>
      <c r="D3628" s="2460" t="s">
        <v>1671</v>
      </c>
      <c r="E3628" s="2461" t="s">
        <v>213</v>
      </c>
      <c r="F3628" s="2461" t="s">
        <v>1464</v>
      </c>
      <c r="G3628" s="2461" t="s">
        <v>1426</v>
      </c>
      <c r="H3628" s="2461" t="s">
        <v>1427</v>
      </c>
      <c r="I3628" s="2462">
        <v>7.8242163156080444E-2</v>
      </c>
      <c r="J3628" s="2462">
        <v>71.434688271111</v>
      </c>
    </row>
    <row r="3629" spans="1:10" outlineLevel="2">
      <c r="A3629" s="2459" t="s">
        <v>1669</v>
      </c>
      <c r="B3629" s="2459" t="s">
        <v>1660</v>
      </c>
      <c r="C3629" s="2459" t="s">
        <v>1670</v>
      </c>
      <c r="D3629" s="2460" t="s">
        <v>1671</v>
      </c>
      <c r="E3629" s="2461" t="s">
        <v>213</v>
      </c>
      <c r="F3629" s="2461" t="s">
        <v>1465</v>
      </c>
      <c r="G3629" s="2461" t="s">
        <v>1409</v>
      </c>
      <c r="H3629" s="2461" t="s">
        <v>1070</v>
      </c>
      <c r="I3629" s="2462">
        <v>6.1348212957718605E-3</v>
      </c>
      <c r="J3629" s="2462">
        <v>10.031503092880012</v>
      </c>
    </row>
    <row r="3630" spans="1:10" outlineLevel="2">
      <c r="A3630" s="2459" t="s">
        <v>1669</v>
      </c>
      <c r="B3630" s="2459" t="s">
        <v>1660</v>
      </c>
      <c r="C3630" s="2459" t="s">
        <v>1670</v>
      </c>
      <c r="D3630" s="2460" t="s">
        <v>1671</v>
      </c>
      <c r="E3630" s="2461" t="s">
        <v>213</v>
      </c>
      <c r="F3630" s="2461" t="s">
        <v>1466</v>
      </c>
      <c r="G3630" s="2461" t="s">
        <v>1409</v>
      </c>
      <c r="H3630" s="2461" t="s">
        <v>1070</v>
      </c>
      <c r="I3630" s="2462">
        <v>4.9019768276612365E-5</v>
      </c>
      <c r="J3630" s="2462">
        <v>7.4876436493066453E-2</v>
      </c>
    </row>
    <row r="3631" spans="1:10" outlineLevel="2">
      <c r="A3631" s="2459" t="s">
        <v>1669</v>
      </c>
      <c r="B3631" s="2459" t="s">
        <v>1660</v>
      </c>
      <c r="C3631" s="2459" t="s">
        <v>1670</v>
      </c>
      <c r="D3631" s="2460" t="s">
        <v>1671</v>
      </c>
      <c r="E3631" s="2461" t="s">
        <v>213</v>
      </c>
      <c r="F3631" s="2461" t="s">
        <v>1467</v>
      </c>
      <c r="G3631" s="2461" t="s">
        <v>1409</v>
      </c>
      <c r="H3631" s="2461" t="s">
        <v>1070</v>
      </c>
      <c r="I3631" s="2462">
        <v>1.3254187285625938E-2</v>
      </c>
      <c r="J3631" s="2462">
        <v>18.845398020019076</v>
      </c>
    </row>
    <row r="3632" spans="1:10" outlineLevel="2">
      <c r="A3632" s="2459" t="s">
        <v>1669</v>
      </c>
      <c r="B3632" s="2459" t="s">
        <v>1660</v>
      </c>
      <c r="C3632" s="2459" t="s">
        <v>1670</v>
      </c>
      <c r="D3632" s="2460" t="s">
        <v>1671</v>
      </c>
      <c r="E3632" s="2461" t="s">
        <v>213</v>
      </c>
      <c r="F3632" s="2461" t="s">
        <v>1468</v>
      </c>
      <c r="G3632" s="2461" t="s">
        <v>1409</v>
      </c>
      <c r="H3632" s="2461" t="s">
        <v>1070</v>
      </c>
      <c r="I3632" s="2462">
        <v>1.0815904609195584E-2</v>
      </c>
      <c r="J3632" s="2462">
        <v>17.742625246643527</v>
      </c>
    </row>
    <row r="3633" spans="1:10" outlineLevel="2">
      <c r="A3633" s="2459" t="s">
        <v>1669</v>
      </c>
      <c r="B3633" s="2459" t="s">
        <v>1660</v>
      </c>
      <c r="C3633" s="2459" t="s">
        <v>1670</v>
      </c>
      <c r="D3633" s="2460" t="s">
        <v>1671</v>
      </c>
      <c r="E3633" s="2461" t="s">
        <v>213</v>
      </c>
      <c r="F3633" s="2461" t="s">
        <v>1469</v>
      </c>
      <c r="G3633" s="2461" t="s">
        <v>1409</v>
      </c>
      <c r="H3633" s="2461" t="s">
        <v>1070</v>
      </c>
      <c r="I3633" s="2462">
        <v>2.4188179159985189E-2</v>
      </c>
      <c r="J3633" s="2462">
        <v>35.408823135886799</v>
      </c>
    </row>
    <row r="3634" spans="1:10" outlineLevel="2">
      <c r="A3634" s="2459" t="s">
        <v>1669</v>
      </c>
      <c r="B3634" s="2459" t="s">
        <v>1660</v>
      </c>
      <c r="C3634" s="2459" t="s">
        <v>1670</v>
      </c>
      <c r="D3634" s="2460" t="s">
        <v>1671</v>
      </c>
      <c r="E3634" s="2461" t="s">
        <v>213</v>
      </c>
      <c r="F3634" s="2461" t="s">
        <v>1470</v>
      </c>
      <c r="G3634" s="2461" t="s">
        <v>1409</v>
      </c>
      <c r="H3634" s="2461" t="s">
        <v>1070</v>
      </c>
      <c r="I3634" s="2462">
        <v>1.049328213843434E-2</v>
      </c>
      <c r="J3634" s="2462">
        <v>14.909737461244953</v>
      </c>
    </row>
    <row r="3635" spans="1:10" outlineLevel="2">
      <c r="A3635" s="2459" t="s">
        <v>1669</v>
      </c>
      <c r="B3635" s="2459" t="s">
        <v>1660</v>
      </c>
      <c r="C3635" s="2459" t="s">
        <v>1670</v>
      </c>
      <c r="D3635" s="2460" t="s">
        <v>1671</v>
      </c>
      <c r="E3635" s="2461" t="s">
        <v>213</v>
      </c>
      <c r="F3635" s="2461" t="s">
        <v>1471</v>
      </c>
      <c r="G3635" s="2461" t="s">
        <v>1409</v>
      </c>
      <c r="H3635" s="2461" t="s">
        <v>1070</v>
      </c>
      <c r="I3635" s="2462">
        <v>5.7147968047264661E-4</v>
      </c>
      <c r="J3635" s="2462">
        <v>0.77706794800760159</v>
      </c>
    </row>
    <row r="3636" spans="1:10" outlineLevel="2">
      <c r="A3636" s="2459" t="s">
        <v>1669</v>
      </c>
      <c r="B3636" s="2459" t="s">
        <v>1660</v>
      </c>
      <c r="C3636" s="2459" t="s">
        <v>1670</v>
      </c>
      <c r="D3636" s="2460" t="s">
        <v>1671</v>
      </c>
      <c r="E3636" s="2461" t="s">
        <v>213</v>
      </c>
      <c r="F3636" s="2461" t="s">
        <v>1472</v>
      </c>
      <c r="G3636" s="2461" t="s">
        <v>1409</v>
      </c>
      <c r="H3636" s="2461" t="s">
        <v>1070</v>
      </c>
      <c r="I3636" s="2462">
        <v>1.9888398478654905E-2</v>
      </c>
      <c r="J3636" s="2462">
        <v>31.20149371614254</v>
      </c>
    </row>
    <row r="3637" spans="1:10" outlineLevel="2">
      <c r="A3637" s="2459" t="s">
        <v>1669</v>
      </c>
      <c r="B3637" s="2459" t="s">
        <v>1660</v>
      </c>
      <c r="C3637" s="2459" t="s">
        <v>1670</v>
      </c>
      <c r="D3637" s="2460" t="s">
        <v>1671</v>
      </c>
      <c r="E3637" s="2461" t="s">
        <v>213</v>
      </c>
      <c r="F3637" s="2461" t="s">
        <v>1473</v>
      </c>
      <c r="G3637" s="2461" t="s">
        <v>1409</v>
      </c>
      <c r="H3637" s="2461" t="s">
        <v>1070</v>
      </c>
      <c r="I3637" s="2462">
        <v>9.482386853793252E-3</v>
      </c>
      <c r="J3637" s="2462">
        <v>11.572073042418239</v>
      </c>
    </row>
    <row r="3638" spans="1:10" outlineLevel="2">
      <c r="A3638" s="2459" t="s">
        <v>1669</v>
      </c>
      <c r="B3638" s="2459" t="s">
        <v>1660</v>
      </c>
      <c r="C3638" s="2459" t="s">
        <v>1670</v>
      </c>
      <c r="D3638" s="2460" t="s">
        <v>1671</v>
      </c>
      <c r="E3638" s="2461" t="s">
        <v>213</v>
      </c>
      <c r="F3638" s="2461" t="s">
        <v>1474</v>
      </c>
      <c r="G3638" s="2461" t="s">
        <v>1409</v>
      </c>
      <c r="H3638" s="2461" t="s">
        <v>1070</v>
      </c>
      <c r="I3638" s="2462">
        <v>4.480252212552048E-2</v>
      </c>
      <c r="J3638" s="2462">
        <v>65.017102156673531</v>
      </c>
    </row>
    <row r="3639" spans="1:10" outlineLevel="2">
      <c r="A3639" s="2459" t="s">
        <v>1669</v>
      </c>
      <c r="B3639" s="2459" t="s">
        <v>1660</v>
      </c>
      <c r="C3639" s="2459" t="s">
        <v>1670</v>
      </c>
      <c r="D3639" s="2460" t="s">
        <v>1671</v>
      </c>
      <c r="E3639" s="2461" t="s">
        <v>213</v>
      </c>
      <c r="F3639" s="2461" t="s">
        <v>1475</v>
      </c>
      <c r="G3639" s="2461" t="s">
        <v>1409</v>
      </c>
      <c r="H3639" s="2461" t="s">
        <v>1070</v>
      </c>
      <c r="I3639" s="2462">
        <v>2.2711599007956267E-2</v>
      </c>
      <c r="J3639" s="2462">
        <v>31.222996973723678</v>
      </c>
    </row>
    <row r="3640" spans="1:10" outlineLevel="2">
      <c r="A3640" s="2459" t="s">
        <v>1669</v>
      </c>
      <c r="B3640" s="2459" t="s">
        <v>1660</v>
      </c>
      <c r="C3640" s="2459" t="s">
        <v>1670</v>
      </c>
      <c r="D3640" s="2460" t="s">
        <v>1671</v>
      </c>
      <c r="E3640" s="2461" t="s">
        <v>213</v>
      </c>
      <c r="F3640" s="2461" t="s">
        <v>1476</v>
      </c>
      <c r="G3640" s="2461" t="s">
        <v>1409</v>
      </c>
      <c r="H3640" s="2461" t="s">
        <v>1070</v>
      </c>
      <c r="I3640" s="2462">
        <v>1.7965445714324458E-3</v>
      </c>
      <c r="J3640" s="2462">
        <v>2.5149721448550268</v>
      </c>
    </row>
    <row r="3641" spans="1:10" outlineLevel="2">
      <c r="A3641" s="2459" t="s">
        <v>1669</v>
      </c>
      <c r="B3641" s="2459" t="s">
        <v>1660</v>
      </c>
      <c r="C3641" s="2459" t="s">
        <v>1670</v>
      </c>
      <c r="D3641" s="2460" t="s">
        <v>1671</v>
      </c>
      <c r="E3641" s="2461" t="s">
        <v>213</v>
      </c>
      <c r="F3641" s="2461" t="s">
        <v>1477</v>
      </c>
      <c r="G3641" s="2461" t="s">
        <v>1409</v>
      </c>
      <c r="H3641" s="2461" t="s">
        <v>1070</v>
      </c>
      <c r="I3641" s="2462">
        <v>2.9479804150187657E-3</v>
      </c>
      <c r="J3641" s="2462">
        <v>4.2232676200841155</v>
      </c>
    </row>
    <row r="3642" spans="1:10" outlineLevel="2">
      <c r="A3642" s="2459" t="s">
        <v>1669</v>
      </c>
      <c r="B3642" s="2459" t="s">
        <v>1660</v>
      </c>
      <c r="C3642" s="2459" t="s">
        <v>1670</v>
      </c>
      <c r="D3642" s="2460" t="s">
        <v>1671</v>
      </c>
      <c r="E3642" s="2461" t="s">
        <v>213</v>
      </c>
      <c r="F3642" s="2461" t="s">
        <v>1478</v>
      </c>
      <c r="G3642" s="2461" t="s">
        <v>1409</v>
      </c>
      <c r="H3642" s="2461" t="s">
        <v>1070</v>
      </c>
      <c r="I3642" s="2462">
        <v>1.2914232601620515E-3</v>
      </c>
      <c r="J3642" s="2462">
        <v>3.7738367807537743</v>
      </c>
    </row>
    <row r="3643" spans="1:10" outlineLevel="2">
      <c r="A3643" s="2459" t="s">
        <v>1669</v>
      </c>
      <c r="B3643" s="2459" t="s">
        <v>1660</v>
      </c>
      <c r="C3643" s="2459" t="s">
        <v>1670</v>
      </c>
      <c r="D3643" s="2460" t="s">
        <v>1671</v>
      </c>
      <c r="E3643" s="2461" t="s">
        <v>213</v>
      </c>
      <c r="F3643" s="2461" t="s">
        <v>1479</v>
      </c>
      <c r="G3643" s="2461" t="s">
        <v>1409</v>
      </c>
      <c r="H3643" s="2461" t="s">
        <v>1070</v>
      </c>
      <c r="I3643" s="2462">
        <v>1.0390690878267115E-3</v>
      </c>
      <c r="J3643" s="2462">
        <v>8.9508863594009309</v>
      </c>
    </row>
    <row r="3644" spans="1:10" outlineLevel="2">
      <c r="A3644" s="2459" t="s">
        <v>1669</v>
      </c>
      <c r="B3644" s="2459" t="s">
        <v>1660</v>
      </c>
      <c r="C3644" s="2459" t="s">
        <v>1670</v>
      </c>
      <c r="D3644" s="2460" t="s">
        <v>1671</v>
      </c>
      <c r="E3644" s="2461" t="s">
        <v>213</v>
      </c>
      <c r="F3644" s="2461" t="s">
        <v>1480</v>
      </c>
      <c r="G3644" s="2461" t="s">
        <v>1409</v>
      </c>
      <c r="H3644" s="2461" t="s">
        <v>1070</v>
      </c>
      <c r="I3644" s="2462">
        <v>1.4135364374398786E-2</v>
      </c>
      <c r="J3644" s="2462">
        <v>21.34275163010744</v>
      </c>
    </row>
    <row r="3645" spans="1:10" outlineLevel="2">
      <c r="A3645" s="2459" t="s">
        <v>1669</v>
      </c>
      <c r="B3645" s="2459" t="s">
        <v>1660</v>
      </c>
      <c r="C3645" s="2459" t="s">
        <v>1670</v>
      </c>
      <c r="D3645" s="2460" t="s">
        <v>1671</v>
      </c>
      <c r="E3645" s="2461" t="s">
        <v>213</v>
      </c>
      <c r="F3645" s="2461" t="s">
        <v>1481</v>
      </c>
      <c r="G3645" s="2461" t="s">
        <v>1409</v>
      </c>
      <c r="H3645" s="2461" t="s">
        <v>1070</v>
      </c>
      <c r="I3645" s="2462">
        <v>1.0095389969157459E-2</v>
      </c>
      <c r="J3645" s="2462">
        <v>14.875046119028468</v>
      </c>
    </row>
    <row r="3646" spans="1:10" outlineLevel="2">
      <c r="A3646" s="2459" t="s">
        <v>1669</v>
      </c>
      <c r="B3646" s="2459" t="s">
        <v>1660</v>
      </c>
      <c r="C3646" s="2459" t="s">
        <v>1670</v>
      </c>
      <c r="D3646" s="2460" t="s">
        <v>1671</v>
      </c>
      <c r="E3646" s="2461" t="s">
        <v>213</v>
      </c>
      <c r="F3646" s="2461" t="s">
        <v>1482</v>
      </c>
      <c r="G3646" s="2461" t="s">
        <v>1409</v>
      </c>
      <c r="H3646" s="2461" t="s">
        <v>1070</v>
      </c>
      <c r="I3646" s="2462">
        <v>3.9640214871990032E-3</v>
      </c>
      <c r="J3646" s="2462">
        <v>4.8740220622768344</v>
      </c>
    </row>
    <row r="3647" spans="1:10" outlineLevel="2">
      <c r="A3647" s="2459" t="s">
        <v>1669</v>
      </c>
      <c r="B3647" s="2459" t="s">
        <v>1660</v>
      </c>
      <c r="C3647" s="2459" t="s">
        <v>1670</v>
      </c>
      <c r="D3647" s="2460" t="s">
        <v>1671</v>
      </c>
      <c r="E3647" s="2461" t="s">
        <v>213</v>
      </c>
      <c r="F3647" s="2461" t="s">
        <v>1483</v>
      </c>
      <c r="G3647" s="2461" t="s">
        <v>1409</v>
      </c>
      <c r="H3647" s="2461" t="s">
        <v>1070</v>
      </c>
      <c r="I3647" s="2462">
        <v>3.3012936154884287E-3</v>
      </c>
      <c r="J3647" s="2462">
        <v>3.5614569721611042</v>
      </c>
    </row>
    <row r="3648" spans="1:10" outlineLevel="2">
      <c r="A3648" s="2459" t="s">
        <v>1669</v>
      </c>
      <c r="B3648" s="2459" t="s">
        <v>1660</v>
      </c>
      <c r="C3648" s="2459" t="s">
        <v>1670</v>
      </c>
      <c r="D3648" s="2460" t="s">
        <v>1671</v>
      </c>
      <c r="E3648" s="2461" t="s">
        <v>213</v>
      </c>
      <c r="F3648" s="2461" t="s">
        <v>1484</v>
      </c>
      <c r="G3648" s="2461" t="s">
        <v>1412</v>
      </c>
      <c r="H3648" s="2461" t="s">
        <v>1116</v>
      </c>
      <c r="I3648" s="2462">
        <v>4.9713766082139753E-3</v>
      </c>
      <c r="J3648" s="2462">
        <v>9.9892639173656335</v>
      </c>
    </row>
    <row r="3649" spans="1:10" outlineLevel="2">
      <c r="A3649" s="2459" t="s">
        <v>1669</v>
      </c>
      <c r="B3649" s="2459" t="s">
        <v>1660</v>
      </c>
      <c r="C3649" s="2459" t="s">
        <v>1670</v>
      </c>
      <c r="D3649" s="2460" t="s">
        <v>1671</v>
      </c>
      <c r="E3649" s="2461" t="s">
        <v>213</v>
      </c>
      <c r="F3649" s="2461" t="s">
        <v>1485</v>
      </c>
      <c r="G3649" s="2461" t="s">
        <v>1412</v>
      </c>
      <c r="H3649" s="2461" t="s">
        <v>1116</v>
      </c>
      <c r="I3649" s="2462">
        <v>3.5709815719409989E-3</v>
      </c>
      <c r="J3649" s="2462">
        <v>37.804374739201698</v>
      </c>
    </row>
    <row r="3650" spans="1:10" outlineLevel="2">
      <c r="A3650" s="2459" t="s">
        <v>1669</v>
      </c>
      <c r="B3650" s="2459" t="s">
        <v>1660</v>
      </c>
      <c r="C3650" s="2459" t="s">
        <v>1670</v>
      </c>
      <c r="D3650" s="2460" t="s">
        <v>1671</v>
      </c>
      <c r="E3650" s="2461" t="s">
        <v>213</v>
      </c>
      <c r="F3650" s="2461" t="s">
        <v>1486</v>
      </c>
      <c r="G3650" s="2461" t="s">
        <v>1412</v>
      </c>
      <c r="H3650" s="2461" t="s">
        <v>1116</v>
      </c>
      <c r="I3650" s="2462">
        <v>2.9626920223378545E-3</v>
      </c>
      <c r="J3650" s="2462">
        <v>8.1234768977563068</v>
      </c>
    </row>
    <row r="3651" spans="1:10" outlineLevel="2">
      <c r="A3651" s="2459" t="s">
        <v>1669</v>
      </c>
      <c r="B3651" s="2459" t="s">
        <v>1660</v>
      </c>
      <c r="C3651" s="2459" t="s">
        <v>1670</v>
      </c>
      <c r="D3651" s="2460" t="s">
        <v>1671</v>
      </c>
      <c r="E3651" s="2461" t="s">
        <v>213</v>
      </c>
      <c r="F3651" s="2461" t="s">
        <v>1487</v>
      </c>
      <c r="G3651" s="2461" t="s">
        <v>1412</v>
      </c>
      <c r="H3651" s="2461" t="s">
        <v>1116</v>
      </c>
      <c r="I3651" s="2462">
        <v>1.1396113443149235E-2</v>
      </c>
      <c r="J3651" s="2462">
        <v>15.258114250538398</v>
      </c>
    </row>
    <row r="3652" spans="1:10" outlineLevel="2">
      <c r="A3652" s="2459" t="s">
        <v>1669</v>
      </c>
      <c r="B3652" s="2459" t="s">
        <v>1660</v>
      </c>
      <c r="C3652" s="2459" t="s">
        <v>1670</v>
      </c>
      <c r="D3652" s="2460" t="s">
        <v>1671</v>
      </c>
      <c r="E3652" s="2461" t="s">
        <v>213</v>
      </c>
      <c r="F3652" s="2461" t="s">
        <v>1488</v>
      </c>
      <c r="G3652" s="2461" t="s">
        <v>1412</v>
      </c>
      <c r="H3652" s="2461" t="s">
        <v>1116</v>
      </c>
      <c r="I3652" s="2462">
        <v>3.2158734739197686E-4</v>
      </c>
      <c r="J3652" s="2462">
        <v>0.70010792900964824</v>
      </c>
    </row>
    <row r="3653" spans="1:10" outlineLevel="2">
      <c r="A3653" s="2459" t="s">
        <v>1669</v>
      </c>
      <c r="B3653" s="2459" t="s">
        <v>1660</v>
      </c>
      <c r="C3653" s="2459" t="s">
        <v>1670</v>
      </c>
      <c r="D3653" s="2460" t="s">
        <v>1671</v>
      </c>
      <c r="E3653" s="2461" t="s">
        <v>213</v>
      </c>
      <c r="F3653" s="2461" t="s">
        <v>1489</v>
      </c>
      <c r="G3653" s="2461" t="s">
        <v>1412</v>
      </c>
      <c r="H3653" s="2461" t="s">
        <v>1116</v>
      </c>
      <c r="I3653" s="2462">
        <v>1.9799276087248451E-3</v>
      </c>
      <c r="J3653" s="2462">
        <v>2.9480904290908763</v>
      </c>
    </row>
    <row r="3654" spans="1:10" outlineLevel="2">
      <c r="A3654" s="2459" t="s">
        <v>1669</v>
      </c>
      <c r="B3654" s="2459" t="s">
        <v>1660</v>
      </c>
      <c r="C3654" s="2459" t="s">
        <v>1670</v>
      </c>
      <c r="D3654" s="2460" t="s">
        <v>1671</v>
      </c>
      <c r="E3654" s="2461" t="s">
        <v>213</v>
      </c>
      <c r="F3654" s="2461" t="s">
        <v>1490</v>
      </c>
      <c r="G3654" s="2461" t="s">
        <v>1412</v>
      </c>
      <c r="H3654" s="2461" t="s">
        <v>1116</v>
      </c>
      <c r="I3654" s="2462">
        <v>2.3407917231131305E-4</v>
      </c>
      <c r="J3654" s="2462">
        <v>3.338712501899729</v>
      </c>
    </row>
    <row r="3655" spans="1:10" outlineLevel="2">
      <c r="A3655" s="2459" t="s">
        <v>1669</v>
      </c>
      <c r="B3655" s="2459" t="s">
        <v>1660</v>
      </c>
      <c r="C3655" s="2459" t="s">
        <v>1670</v>
      </c>
      <c r="D3655" s="2460" t="s">
        <v>1671</v>
      </c>
      <c r="E3655" s="2461" t="s">
        <v>213</v>
      </c>
      <c r="F3655" s="2461" t="s">
        <v>1491</v>
      </c>
      <c r="G3655" s="2461" t="s">
        <v>1439</v>
      </c>
      <c r="H3655" s="2461" t="s">
        <v>1440</v>
      </c>
      <c r="I3655" s="2462">
        <v>0.49035029218095849</v>
      </c>
      <c r="J3655" s="2462">
        <v>525.32726491967617</v>
      </c>
    </row>
    <row r="3656" spans="1:10" outlineLevel="2">
      <c r="A3656" s="2459" t="s">
        <v>1669</v>
      </c>
      <c r="B3656" s="2459" t="s">
        <v>1660</v>
      </c>
      <c r="C3656" s="2459" t="s">
        <v>1670</v>
      </c>
      <c r="D3656" s="2460" t="s">
        <v>1671</v>
      </c>
      <c r="E3656" s="2461" t="s">
        <v>213</v>
      </c>
      <c r="F3656" s="2461" t="s">
        <v>1492</v>
      </c>
      <c r="G3656" s="2461" t="s">
        <v>1439</v>
      </c>
      <c r="H3656" s="2461" t="s">
        <v>1440</v>
      </c>
      <c r="I3656" s="2462">
        <v>0.18139717025110522</v>
      </c>
      <c r="J3656" s="2462">
        <v>246.54426776907883</v>
      </c>
    </row>
    <row r="3657" spans="1:10" outlineLevel="2">
      <c r="A3657" s="2459" t="s">
        <v>1669</v>
      </c>
      <c r="B3657" s="2459" t="s">
        <v>1660</v>
      </c>
      <c r="C3657" s="2459" t="s">
        <v>1670</v>
      </c>
      <c r="D3657" s="2460" t="s">
        <v>1671</v>
      </c>
      <c r="E3657" s="2461" t="s">
        <v>213</v>
      </c>
      <c r="F3657" s="2461" t="s">
        <v>1493</v>
      </c>
      <c r="G3657" s="2461" t="s">
        <v>1439</v>
      </c>
      <c r="H3657" s="2461" t="s">
        <v>1440</v>
      </c>
      <c r="I3657" s="2462">
        <v>4.2211651659210724E-2</v>
      </c>
      <c r="J3657" s="2462">
        <v>45.205305571141821</v>
      </c>
    </row>
    <row r="3658" spans="1:10" outlineLevel="2">
      <c r="A3658" s="2459" t="s">
        <v>1669</v>
      </c>
      <c r="B3658" s="2459" t="s">
        <v>1660</v>
      </c>
      <c r="C3658" s="2459" t="s">
        <v>1670</v>
      </c>
      <c r="D3658" s="2460" t="s">
        <v>1671</v>
      </c>
      <c r="E3658" s="2461" t="s">
        <v>213</v>
      </c>
      <c r="F3658" s="2461" t="s">
        <v>1494</v>
      </c>
      <c r="G3658" s="2461" t="s">
        <v>1439</v>
      </c>
      <c r="H3658" s="2461" t="s">
        <v>1440</v>
      </c>
      <c r="I3658" s="2462">
        <v>0.11559923607461856</v>
      </c>
      <c r="J3658" s="2462">
        <v>146.24109148653289</v>
      </c>
    </row>
    <row r="3659" spans="1:10" outlineLevel="2">
      <c r="A3659" s="2459" t="s">
        <v>1669</v>
      </c>
      <c r="B3659" s="2459" t="s">
        <v>1660</v>
      </c>
      <c r="C3659" s="2459" t="s">
        <v>1670</v>
      </c>
      <c r="D3659" s="2460" t="s">
        <v>1671</v>
      </c>
      <c r="E3659" s="2461" t="s">
        <v>213</v>
      </c>
      <c r="F3659" s="2461" t="s">
        <v>1495</v>
      </c>
      <c r="G3659" s="2461" t="s">
        <v>1439</v>
      </c>
      <c r="H3659" s="2461" t="s">
        <v>1440</v>
      </c>
      <c r="I3659" s="2462">
        <v>2.2995053493917493E-3</v>
      </c>
      <c r="J3659" s="2462">
        <v>2.9201472634606205</v>
      </c>
    </row>
    <row r="3660" spans="1:10" outlineLevel="2">
      <c r="A3660" s="2459" t="s">
        <v>1669</v>
      </c>
      <c r="B3660" s="2459" t="s">
        <v>1660</v>
      </c>
      <c r="C3660" s="2459" t="s">
        <v>1670</v>
      </c>
      <c r="D3660" s="2460" t="s">
        <v>1671</v>
      </c>
      <c r="E3660" s="2461" t="s">
        <v>213</v>
      </c>
      <c r="F3660" s="2461" t="s">
        <v>1496</v>
      </c>
      <c r="G3660" s="2461" t="s">
        <v>1439</v>
      </c>
      <c r="H3660" s="2461" t="s">
        <v>1440</v>
      </c>
      <c r="I3660" s="2462">
        <v>4.0272518765561115E-3</v>
      </c>
      <c r="J3660" s="2462">
        <v>5.7105836800822356</v>
      </c>
    </row>
    <row r="3661" spans="1:10" outlineLevel="2">
      <c r="A3661" s="2459" t="s">
        <v>1669</v>
      </c>
      <c r="B3661" s="2459" t="s">
        <v>1660</v>
      </c>
      <c r="C3661" s="2459" t="s">
        <v>1670</v>
      </c>
      <c r="D3661" s="2460" t="s">
        <v>1671</v>
      </c>
      <c r="E3661" s="2461" t="s">
        <v>213</v>
      </c>
      <c r="F3661" s="2461" t="s">
        <v>1497</v>
      </c>
      <c r="G3661" s="2461" t="s">
        <v>1439</v>
      </c>
      <c r="H3661" s="2461" t="s">
        <v>1440</v>
      </c>
      <c r="I3661" s="2462">
        <v>4.3794735519155489E-3</v>
      </c>
      <c r="J3661" s="2462">
        <v>5.5709814115206644</v>
      </c>
    </row>
    <row r="3662" spans="1:10" outlineLevel="2">
      <c r="A3662" s="2459" t="s">
        <v>1669</v>
      </c>
      <c r="B3662" s="2459" t="s">
        <v>1660</v>
      </c>
      <c r="C3662" s="2459" t="s">
        <v>1670</v>
      </c>
      <c r="D3662" s="2460" t="s">
        <v>1671</v>
      </c>
      <c r="E3662" s="2461" t="s">
        <v>213</v>
      </c>
      <c r="F3662" s="2461" t="s">
        <v>1498</v>
      </c>
      <c r="G3662" s="2461" t="s">
        <v>1439</v>
      </c>
      <c r="H3662" s="2461" t="s">
        <v>1440</v>
      </c>
      <c r="I3662" s="2462">
        <v>0.13763740242090086</v>
      </c>
      <c r="J3662" s="2462">
        <v>234.33171092294606</v>
      </c>
    </row>
    <row r="3663" spans="1:10" outlineLevel="2">
      <c r="A3663" s="2459" t="s">
        <v>1669</v>
      </c>
      <c r="B3663" s="2459" t="s">
        <v>1660</v>
      </c>
      <c r="C3663" s="2459" t="s">
        <v>1670</v>
      </c>
      <c r="D3663" s="2460" t="s">
        <v>1671</v>
      </c>
      <c r="E3663" s="2461" t="s">
        <v>213</v>
      </c>
      <c r="F3663" s="2461" t="s">
        <v>1499</v>
      </c>
      <c r="G3663" s="2461" t="s">
        <v>1439</v>
      </c>
      <c r="H3663" s="2461" t="s">
        <v>1440</v>
      </c>
      <c r="I3663" s="2462">
        <v>0.11114135762551541</v>
      </c>
      <c r="J3663" s="2462">
        <v>59.453858742224369</v>
      </c>
    </row>
    <row r="3664" spans="1:10" outlineLevel="2">
      <c r="A3664" s="2459" t="s">
        <v>1669</v>
      </c>
      <c r="B3664" s="2459" t="s">
        <v>1660</v>
      </c>
      <c r="C3664" s="2459" t="s">
        <v>1670</v>
      </c>
      <c r="D3664" s="2460" t="s">
        <v>1671</v>
      </c>
      <c r="E3664" s="2461" t="s">
        <v>213</v>
      </c>
      <c r="F3664" s="2461" t="s">
        <v>1500</v>
      </c>
      <c r="G3664" s="2461" t="s">
        <v>1439</v>
      </c>
      <c r="H3664" s="2461" t="s">
        <v>1440</v>
      </c>
      <c r="I3664" s="2462">
        <v>0.17332339314357864</v>
      </c>
      <c r="J3664" s="2462">
        <v>92.706628436433974</v>
      </c>
    </row>
    <row r="3665" spans="1:10" outlineLevel="2">
      <c r="A3665" s="2459" t="s">
        <v>1669</v>
      </c>
      <c r="B3665" s="2459" t="s">
        <v>1660</v>
      </c>
      <c r="C3665" s="2459" t="s">
        <v>1670</v>
      </c>
      <c r="D3665" s="2460" t="s">
        <v>1671</v>
      </c>
      <c r="E3665" s="2461" t="s">
        <v>213</v>
      </c>
      <c r="F3665" s="2461" t="s">
        <v>1501</v>
      </c>
      <c r="G3665" s="2461" t="s">
        <v>1439</v>
      </c>
      <c r="H3665" s="2461" t="s">
        <v>1440</v>
      </c>
      <c r="I3665" s="2462">
        <v>7.3062794822929711E-2</v>
      </c>
      <c r="J3665" s="2462">
        <v>106.69560651544627</v>
      </c>
    </row>
    <row r="3666" spans="1:10" outlineLevel="2">
      <c r="A3666" s="2459" t="s">
        <v>1669</v>
      </c>
      <c r="B3666" s="2459" t="s">
        <v>1660</v>
      </c>
      <c r="C3666" s="2459" t="s">
        <v>1670</v>
      </c>
      <c r="D3666" s="2460" t="s">
        <v>1671</v>
      </c>
      <c r="E3666" s="2461" t="s">
        <v>213</v>
      </c>
      <c r="F3666" s="2461" t="s">
        <v>1502</v>
      </c>
      <c r="G3666" s="2461" t="s">
        <v>1439</v>
      </c>
      <c r="H3666" s="2461" t="s">
        <v>1440</v>
      </c>
      <c r="I3666" s="2462">
        <v>2.0715596659278756E-2</v>
      </c>
      <c r="J3666" s="2462">
        <v>31.323344061702922</v>
      </c>
    </row>
    <row r="3667" spans="1:10" outlineLevel="2">
      <c r="A3667" s="2459" t="s">
        <v>1669</v>
      </c>
      <c r="B3667" s="2459" t="s">
        <v>1660</v>
      </c>
      <c r="C3667" s="2459" t="s">
        <v>1670</v>
      </c>
      <c r="D3667" s="2460" t="s">
        <v>1671</v>
      </c>
      <c r="E3667" s="2461" t="s">
        <v>213</v>
      </c>
      <c r="F3667" s="2461" t="s">
        <v>1503</v>
      </c>
      <c r="G3667" s="2461" t="s">
        <v>1439</v>
      </c>
      <c r="H3667" s="2461" t="s">
        <v>1440</v>
      </c>
      <c r="I3667" s="2462">
        <v>2.7331139637116954E-2</v>
      </c>
      <c r="J3667" s="2462">
        <v>35.454950353859154</v>
      </c>
    </row>
    <row r="3668" spans="1:10" outlineLevel="2">
      <c r="A3668" s="2459" t="s">
        <v>1669</v>
      </c>
      <c r="B3668" s="2459" t="s">
        <v>1660</v>
      </c>
      <c r="C3668" s="2459" t="s">
        <v>1670</v>
      </c>
      <c r="D3668" s="2460" t="s">
        <v>1671</v>
      </c>
      <c r="E3668" s="2461" t="s">
        <v>213</v>
      </c>
      <c r="F3668" s="2461" t="s">
        <v>1504</v>
      </c>
      <c r="G3668" s="2461" t="s">
        <v>1439</v>
      </c>
      <c r="H3668" s="2461" t="s">
        <v>1440</v>
      </c>
      <c r="I3668" s="2462">
        <v>1.3946035908886215E-2</v>
      </c>
      <c r="J3668" s="2462">
        <v>16.83379560761686</v>
      </c>
    </row>
    <row r="3669" spans="1:10" outlineLevel="2">
      <c r="A3669" s="2459" t="s">
        <v>1669</v>
      </c>
      <c r="B3669" s="2459" t="s">
        <v>1660</v>
      </c>
      <c r="C3669" s="2459" t="s">
        <v>1670</v>
      </c>
      <c r="D3669" s="2460" t="s">
        <v>1671</v>
      </c>
      <c r="E3669" s="2461" t="s">
        <v>213</v>
      </c>
      <c r="F3669" s="2461" t="s">
        <v>1505</v>
      </c>
      <c r="G3669" s="2461" t="s">
        <v>1439</v>
      </c>
      <c r="H3669" s="2461" t="s">
        <v>1440</v>
      </c>
      <c r="I3669" s="2462">
        <v>0.97712218360005509</v>
      </c>
      <c r="J3669" s="2462">
        <v>1430.168171537458</v>
      </c>
    </row>
    <row r="3670" spans="1:10" outlineLevel="2">
      <c r="A3670" s="2459" t="s">
        <v>1669</v>
      </c>
      <c r="B3670" s="2459" t="s">
        <v>1660</v>
      </c>
      <c r="C3670" s="2459" t="s">
        <v>1670</v>
      </c>
      <c r="D3670" s="2460" t="s">
        <v>1671</v>
      </c>
      <c r="E3670" s="2461" t="s">
        <v>213</v>
      </c>
      <c r="F3670" s="2461" t="s">
        <v>1506</v>
      </c>
      <c r="G3670" s="2461" t="s">
        <v>1439</v>
      </c>
      <c r="H3670" s="2461" t="s">
        <v>1440</v>
      </c>
      <c r="I3670" s="2462">
        <v>0.28146258492791393</v>
      </c>
      <c r="J3670" s="2462">
        <v>425.68563923305879</v>
      </c>
    </row>
    <row r="3671" spans="1:10" outlineLevel="2">
      <c r="A3671" s="2459" t="s">
        <v>1669</v>
      </c>
      <c r="B3671" s="2459" t="s">
        <v>1660</v>
      </c>
      <c r="C3671" s="2459" t="s">
        <v>1670</v>
      </c>
      <c r="D3671" s="2460" t="s">
        <v>1671</v>
      </c>
      <c r="E3671" s="2461" t="s">
        <v>213</v>
      </c>
      <c r="F3671" s="2461" t="s">
        <v>1507</v>
      </c>
      <c r="G3671" s="2461" t="s">
        <v>1439</v>
      </c>
      <c r="H3671" s="2461" t="s">
        <v>1440</v>
      </c>
      <c r="I3671" s="2462">
        <v>3.1495348668574868E-2</v>
      </c>
      <c r="J3671" s="2462">
        <v>71.078354508990287</v>
      </c>
    </row>
    <row r="3672" spans="1:10" outlineLevel="2">
      <c r="A3672" s="2459" t="s">
        <v>1669</v>
      </c>
      <c r="B3672" s="2459" t="s">
        <v>1660</v>
      </c>
      <c r="C3672" s="2459" t="s">
        <v>1670</v>
      </c>
      <c r="D3672" s="2460" t="s">
        <v>1671</v>
      </c>
      <c r="E3672" s="2461" t="s">
        <v>213</v>
      </c>
      <c r="F3672" s="2461" t="s">
        <v>1508</v>
      </c>
      <c r="G3672" s="2461" t="s">
        <v>1439</v>
      </c>
      <c r="H3672" s="2461" t="s">
        <v>1440</v>
      </c>
      <c r="I3672" s="2462">
        <v>0.86691809503976114</v>
      </c>
      <c r="J3672" s="2462">
        <v>1374.1404582852433</v>
      </c>
    </row>
    <row r="3673" spans="1:10" outlineLevel="2">
      <c r="A3673" s="2459" t="s">
        <v>1669</v>
      </c>
      <c r="B3673" s="2459" t="s">
        <v>1660</v>
      </c>
      <c r="C3673" s="2459" t="s">
        <v>1670</v>
      </c>
      <c r="D3673" s="2460" t="s">
        <v>1671</v>
      </c>
      <c r="E3673" s="2461" t="s">
        <v>213</v>
      </c>
      <c r="F3673" s="2461" t="s">
        <v>1509</v>
      </c>
      <c r="G3673" s="2461" t="s">
        <v>1439</v>
      </c>
      <c r="H3673" s="2461" t="s">
        <v>1440</v>
      </c>
      <c r="I3673" s="2462">
        <v>4.4484259287795147E-2</v>
      </c>
      <c r="J3673" s="2462">
        <v>50.837352717596026</v>
      </c>
    </row>
    <row r="3674" spans="1:10" outlineLevel="2">
      <c r="A3674" s="2459" t="s">
        <v>1669</v>
      </c>
      <c r="B3674" s="2459" t="s">
        <v>1660</v>
      </c>
      <c r="C3674" s="2459" t="s">
        <v>1670</v>
      </c>
      <c r="D3674" s="2460" t="s">
        <v>1671</v>
      </c>
      <c r="E3674" s="2461" t="s">
        <v>213</v>
      </c>
      <c r="F3674" s="2461" t="s">
        <v>1510</v>
      </c>
      <c r="G3674" s="2461" t="s">
        <v>1439</v>
      </c>
      <c r="H3674" s="2461" t="s">
        <v>1440</v>
      </c>
      <c r="I3674" s="2462">
        <v>3.6379608155493327E-2</v>
      </c>
      <c r="J3674" s="2462">
        <v>42.22504322099963</v>
      </c>
    </row>
    <row r="3675" spans="1:10" outlineLevel="2">
      <c r="A3675" s="2459" t="s">
        <v>1669</v>
      </c>
      <c r="B3675" s="2459" t="s">
        <v>1660</v>
      </c>
      <c r="C3675" s="2459" t="s">
        <v>1670</v>
      </c>
      <c r="D3675" s="2460" t="s">
        <v>1671</v>
      </c>
      <c r="E3675" s="2461" t="s">
        <v>213</v>
      </c>
      <c r="F3675" s="2461" t="s">
        <v>1511</v>
      </c>
      <c r="G3675" s="2461" t="s">
        <v>1418</v>
      </c>
      <c r="H3675" s="2461" t="s">
        <v>1452</v>
      </c>
      <c r="I3675" s="2462">
        <v>4.0157897303797391E-4</v>
      </c>
      <c r="J3675" s="2462">
        <v>0.59318593285874421</v>
      </c>
    </row>
    <row r="3676" spans="1:10" outlineLevel="2">
      <c r="A3676" s="2459" t="s">
        <v>1669</v>
      </c>
      <c r="B3676" s="2459" t="s">
        <v>1660</v>
      </c>
      <c r="C3676" s="2459" t="s">
        <v>1670</v>
      </c>
      <c r="D3676" s="2460" t="s">
        <v>1671</v>
      </c>
      <c r="E3676" s="2461" t="s">
        <v>213</v>
      </c>
      <c r="F3676" s="2461" t="s">
        <v>1512</v>
      </c>
      <c r="G3676" s="2461" t="s">
        <v>1418</v>
      </c>
      <c r="H3676" s="2461" t="s">
        <v>1452</v>
      </c>
      <c r="I3676" s="2462">
        <v>5.255449204917904E-4</v>
      </c>
      <c r="J3676" s="2462">
        <v>2.2954160512057618</v>
      </c>
    </row>
    <row r="3677" spans="1:10" outlineLevel="2">
      <c r="A3677" s="2459" t="s">
        <v>1669</v>
      </c>
      <c r="B3677" s="2459" t="s">
        <v>1660</v>
      </c>
      <c r="C3677" s="2459" t="s">
        <v>1670</v>
      </c>
      <c r="D3677" s="2460" t="s">
        <v>1671</v>
      </c>
      <c r="E3677" s="2461" t="s">
        <v>213</v>
      </c>
      <c r="F3677" s="2461" t="s">
        <v>1513</v>
      </c>
      <c r="G3677" s="2461" t="s">
        <v>1418</v>
      </c>
      <c r="H3677" s="2461" t="s">
        <v>1452</v>
      </c>
      <c r="I3677" s="2462">
        <v>1.9607786564260336E-5</v>
      </c>
      <c r="J3677" s="2462">
        <v>1.8413219764016053E-2</v>
      </c>
    </row>
    <row r="3678" spans="1:10" outlineLevel="2">
      <c r="A3678" s="2459" t="s">
        <v>1669</v>
      </c>
      <c r="B3678" s="2459" t="s">
        <v>1660</v>
      </c>
      <c r="C3678" s="2459" t="s">
        <v>1670</v>
      </c>
      <c r="D3678" s="2460" t="s">
        <v>1671</v>
      </c>
      <c r="E3678" s="2461" t="s">
        <v>213</v>
      </c>
      <c r="F3678" s="2461" t="s">
        <v>1514</v>
      </c>
      <c r="G3678" s="2461" t="s">
        <v>1418</v>
      </c>
      <c r="H3678" s="2461" t="s">
        <v>1452</v>
      </c>
      <c r="I3678" s="2462">
        <v>1.7587866277912752E-3</v>
      </c>
      <c r="J3678" s="2462">
        <v>1.6483460635175677</v>
      </c>
    </row>
    <row r="3679" spans="1:10" outlineLevel="2">
      <c r="A3679" s="2459" t="s">
        <v>1669</v>
      </c>
      <c r="B3679" s="2459" t="s">
        <v>1660</v>
      </c>
      <c r="C3679" s="2459" t="s">
        <v>1670</v>
      </c>
      <c r="D3679" s="2460" t="s">
        <v>1671</v>
      </c>
      <c r="E3679" s="2461" t="s">
        <v>213</v>
      </c>
      <c r="F3679" s="2461" t="s">
        <v>1515</v>
      </c>
      <c r="G3679" s="2461" t="s">
        <v>1418</v>
      </c>
      <c r="H3679" s="2461" t="s">
        <v>1452</v>
      </c>
      <c r="I3679" s="2462">
        <v>3.3786390245793096E-4</v>
      </c>
      <c r="J3679" s="2462">
        <v>0.48768890139831411</v>
      </c>
    </row>
    <row r="3680" spans="1:10" outlineLevel="2">
      <c r="A3680" s="2459" t="s">
        <v>1669</v>
      </c>
      <c r="B3680" s="2459" t="s">
        <v>1660</v>
      </c>
      <c r="C3680" s="2459" t="s">
        <v>1670</v>
      </c>
      <c r="D3680" s="2460" t="s">
        <v>1671</v>
      </c>
      <c r="E3680" s="2461" t="s">
        <v>213</v>
      </c>
      <c r="F3680" s="2461" t="s">
        <v>1516</v>
      </c>
      <c r="G3680" s="2461" t="s">
        <v>1418</v>
      </c>
      <c r="H3680" s="2461" t="s">
        <v>1452</v>
      </c>
      <c r="I3680" s="2462">
        <v>4.8291515449243577E-3</v>
      </c>
      <c r="J3680" s="2462">
        <v>5.4035678629075532</v>
      </c>
    </row>
    <row r="3681" spans="1:10" outlineLevel="2">
      <c r="A3681" s="2459" t="s">
        <v>1669</v>
      </c>
      <c r="B3681" s="2459" t="s">
        <v>1660</v>
      </c>
      <c r="C3681" s="2459" t="s">
        <v>1670</v>
      </c>
      <c r="D3681" s="2460" t="s">
        <v>1671</v>
      </c>
      <c r="E3681" s="2461" t="s">
        <v>213</v>
      </c>
      <c r="F3681" s="2461" t="s">
        <v>1517</v>
      </c>
      <c r="G3681" s="2461" t="s">
        <v>1418</v>
      </c>
      <c r="H3681" s="2461" t="s">
        <v>1452</v>
      </c>
      <c r="I3681" s="2462">
        <v>2.4727324726831864E-2</v>
      </c>
      <c r="J3681" s="2462">
        <v>12.114243064285359</v>
      </c>
    </row>
    <row r="3682" spans="1:10" outlineLevel="2">
      <c r="A3682" s="2459" t="s">
        <v>1669</v>
      </c>
      <c r="B3682" s="2459" t="s">
        <v>1660</v>
      </c>
      <c r="C3682" s="2459" t="s">
        <v>1670</v>
      </c>
      <c r="D3682" s="2460" t="s">
        <v>1671</v>
      </c>
      <c r="E3682" s="2461" t="s">
        <v>213</v>
      </c>
      <c r="F3682" s="2461" t="s">
        <v>1518</v>
      </c>
      <c r="G3682" s="2461" t="s">
        <v>1418</v>
      </c>
      <c r="H3682" s="2461" t="s">
        <v>1452</v>
      </c>
      <c r="I3682" s="2462">
        <v>2.785377283828354E-3</v>
      </c>
      <c r="J3682" s="2462">
        <v>2.6104740994128024</v>
      </c>
    </row>
    <row r="3683" spans="1:10" outlineLevel="2">
      <c r="A3683" s="2459" t="s">
        <v>1669</v>
      </c>
      <c r="B3683" s="2459" t="s">
        <v>1660</v>
      </c>
      <c r="C3683" s="2459" t="s">
        <v>1670</v>
      </c>
      <c r="D3683" s="2460" t="s">
        <v>1671</v>
      </c>
      <c r="E3683" s="2461" t="s">
        <v>213</v>
      </c>
      <c r="F3683" s="2461" t="s">
        <v>1519</v>
      </c>
      <c r="G3683" s="2461" t="s">
        <v>1418</v>
      </c>
      <c r="H3683" s="2461" t="s">
        <v>1452</v>
      </c>
      <c r="I3683" s="2462">
        <v>3.6564004402390663E-3</v>
      </c>
      <c r="J3683" s="2462">
        <v>3.7252403817677617</v>
      </c>
    </row>
    <row r="3684" spans="1:10" outlineLevel="2">
      <c r="A3684" s="2459" t="s">
        <v>1669</v>
      </c>
      <c r="B3684" s="2459" t="s">
        <v>1660</v>
      </c>
      <c r="C3684" s="2459" t="s">
        <v>1670</v>
      </c>
      <c r="D3684" s="2460" t="s">
        <v>1671</v>
      </c>
      <c r="E3684" s="2461" t="s">
        <v>213</v>
      </c>
      <c r="F3684" s="2461" t="s">
        <v>1520</v>
      </c>
      <c r="G3684" s="2461" t="s">
        <v>1418</v>
      </c>
      <c r="H3684" s="2461" t="s">
        <v>1452</v>
      </c>
      <c r="I3684" s="2462">
        <v>4.3788803313593323E-4</v>
      </c>
      <c r="J3684" s="2462">
        <v>3.9811873053481781</v>
      </c>
    </row>
    <row r="3685" spans="1:10" outlineLevel="2">
      <c r="A3685" s="2459" t="s">
        <v>1669</v>
      </c>
      <c r="B3685" s="2459" t="s">
        <v>1660</v>
      </c>
      <c r="C3685" s="2459" t="s">
        <v>1670</v>
      </c>
      <c r="D3685" s="2460" t="s">
        <v>1671</v>
      </c>
      <c r="E3685" s="2461" t="s">
        <v>213</v>
      </c>
      <c r="F3685" s="2461" t="s">
        <v>1521</v>
      </c>
      <c r="G3685" s="2461" t="s">
        <v>1421</v>
      </c>
      <c r="H3685" s="2461" t="s">
        <v>1454</v>
      </c>
      <c r="I3685" s="2462">
        <v>0.23292745067926995</v>
      </c>
      <c r="J3685" s="2462">
        <v>323.80602477582107</v>
      </c>
    </row>
    <row r="3686" spans="1:10" outlineLevel="2">
      <c r="A3686" s="2459" t="s">
        <v>1669</v>
      </c>
      <c r="B3686" s="2459" t="s">
        <v>1660</v>
      </c>
      <c r="C3686" s="2459" t="s">
        <v>1670</v>
      </c>
      <c r="D3686" s="2460" t="s">
        <v>1671</v>
      </c>
      <c r="E3686" s="2461" t="s">
        <v>213</v>
      </c>
      <c r="F3686" s="2461" t="s">
        <v>1522</v>
      </c>
      <c r="G3686" s="2461" t="s">
        <v>1421</v>
      </c>
      <c r="H3686" s="2461" t="s">
        <v>1454</v>
      </c>
      <c r="I3686" s="2462">
        <v>5.4713063381966243E-2</v>
      </c>
      <c r="J3686" s="2462">
        <v>81.013371936111653</v>
      </c>
    </row>
    <row r="3687" spans="1:10" outlineLevel="2">
      <c r="A3687" s="2459" t="s">
        <v>1669</v>
      </c>
      <c r="B3687" s="2459" t="s">
        <v>1660</v>
      </c>
      <c r="C3687" s="2459" t="s">
        <v>1670</v>
      </c>
      <c r="D3687" s="2460" t="s">
        <v>1671</v>
      </c>
      <c r="E3687" s="2461" t="s">
        <v>213</v>
      </c>
      <c r="F3687" s="2461" t="s">
        <v>1523</v>
      </c>
      <c r="G3687" s="2461" t="s">
        <v>1421</v>
      </c>
      <c r="H3687" s="2461" t="s">
        <v>1454</v>
      </c>
      <c r="I3687" s="2462">
        <v>2.524016903465947E-2</v>
      </c>
      <c r="J3687" s="2462">
        <v>42.837199309794741</v>
      </c>
    </row>
    <row r="3688" spans="1:10" outlineLevel="2">
      <c r="A3688" s="2459" t="s">
        <v>1669</v>
      </c>
      <c r="B3688" s="2459" t="s">
        <v>1660</v>
      </c>
      <c r="C3688" s="2459" t="s">
        <v>1670</v>
      </c>
      <c r="D3688" s="2460" t="s">
        <v>1671</v>
      </c>
      <c r="E3688" s="2461" t="s">
        <v>213</v>
      </c>
      <c r="F3688" s="2461" t="s">
        <v>1524</v>
      </c>
      <c r="G3688" s="2461" t="s">
        <v>1421</v>
      </c>
      <c r="H3688" s="2461" t="s">
        <v>1454</v>
      </c>
      <c r="I3688" s="2462">
        <v>5.8158578516520613E-2</v>
      </c>
      <c r="J3688" s="2462">
        <v>92.088379514779845</v>
      </c>
    </row>
    <row r="3689" spans="1:10" outlineLevel="2">
      <c r="A3689" s="2459" t="s">
        <v>1669</v>
      </c>
      <c r="B3689" s="2459" t="s">
        <v>1660</v>
      </c>
      <c r="C3689" s="2459" t="s">
        <v>1670</v>
      </c>
      <c r="D3689" s="2460" t="s">
        <v>1671</v>
      </c>
      <c r="E3689" s="2461" t="s">
        <v>213</v>
      </c>
      <c r="F3689" s="2461" t="s">
        <v>1525</v>
      </c>
      <c r="G3689" s="2461" t="s">
        <v>1421</v>
      </c>
      <c r="H3689" s="2461" t="s">
        <v>1454</v>
      </c>
      <c r="I3689" s="2462">
        <v>0.10245346318794211</v>
      </c>
      <c r="J3689" s="2462">
        <v>145.49721464953342</v>
      </c>
    </row>
    <row r="3690" spans="1:10" outlineLevel="2">
      <c r="A3690" s="2459" t="s">
        <v>1669</v>
      </c>
      <c r="B3690" s="2459" t="s">
        <v>1660</v>
      </c>
      <c r="C3690" s="2459" t="s">
        <v>1670</v>
      </c>
      <c r="D3690" s="2460" t="s">
        <v>1671</v>
      </c>
      <c r="E3690" s="2461" t="s">
        <v>213</v>
      </c>
      <c r="F3690" s="2461" t="s">
        <v>1526</v>
      </c>
      <c r="G3690" s="2461" t="s">
        <v>1421</v>
      </c>
      <c r="H3690" s="2461" t="s">
        <v>1454</v>
      </c>
      <c r="I3690" s="2462">
        <v>4.7464006387210426E-3</v>
      </c>
      <c r="J3690" s="2462">
        <v>6.8264871292319365</v>
      </c>
    </row>
    <row r="3691" spans="1:10" outlineLevel="2">
      <c r="A3691" s="2459" t="s">
        <v>1669</v>
      </c>
      <c r="B3691" s="2459" t="s">
        <v>1660</v>
      </c>
      <c r="C3691" s="2459" t="s">
        <v>1670</v>
      </c>
      <c r="D3691" s="2460" t="s">
        <v>1671</v>
      </c>
      <c r="E3691" s="2461" t="s">
        <v>213</v>
      </c>
      <c r="F3691" s="2461" t="s">
        <v>1527</v>
      </c>
      <c r="G3691" s="2461" t="s">
        <v>1459</v>
      </c>
      <c r="H3691" s="2461" t="s">
        <v>1460</v>
      </c>
      <c r="I3691" s="2462">
        <v>2.0800300589940972E-2</v>
      </c>
      <c r="J3691" s="2462">
        <v>21.76522422067691</v>
      </c>
    </row>
    <row r="3692" spans="1:10" outlineLevel="2">
      <c r="A3692" s="2459" t="s">
        <v>1669</v>
      </c>
      <c r="B3692" s="2459" t="s">
        <v>1660</v>
      </c>
      <c r="C3692" s="2459" t="s">
        <v>1670</v>
      </c>
      <c r="D3692" s="2460" t="s">
        <v>1671</v>
      </c>
      <c r="E3692" s="2461" t="s">
        <v>213</v>
      </c>
      <c r="F3692" s="2461" t="s">
        <v>1528</v>
      </c>
      <c r="G3692" s="2461" t="s">
        <v>1459</v>
      </c>
      <c r="H3692" s="2461" t="s">
        <v>1460</v>
      </c>
      <c r="I3692" s="2462">
        <v>1.8105351872091044E-4</v>
      </c>
      <c r="J3692" s="2462">
        <v>0.23196598916863426</v>
      </c>
    </row>
    <row r="3693" spans="1:10" outlineLevel="2">
      <c r="A3693" s="2459" t="s">
        <v>1669</v>
      </c>
      <c r="B3693" s="2459" t="s">
        <v>1660</v>
      </c>
      <c r="C3693" s="2459" t="s">
        <v>1670</v>
      </c>
      <c r="D3693" s="2460" t="s">
        <v>1671</v>
      </c>
      <c r="E3693" s="2461" t="s">
        <v>213</v>
      </c>
      <c r="F3693" s="2461" t="s">
        <v>1529</v>
      </c>
      <c r="G3693" s="2461" t="s">
        <v>1530</v>
      </c>
      <c r="H3693" s="2461" t="s">
        <v>1531</v>
      </c>
      <c r="I3693" s="2462">
        <v>10.947481330810033</v>
      </c>
      <c r="J3693" s="2462">
        <v>9314.3215278007647</v>
      </c>
    </row>
    <row r="3694" spans="1:10" outlineLevel="2">
      <c r="A3694" s="2459" t="s">
        <v>1669</v>
      </c>
      <c r="B3694" s="2459" t="s">
        <v>1660</v>
      </c>
      <c r="C3694" s="2459" t="s">
        <v>1670</v>
      </c>
      <c r="D3694" s="2460" t="s">
        <v>1671</v>
      </c>
      <c r="E3694" s="2461" t="s">
        <v>213</v>
      </c>
      <c r="F3694" s="2461" t="s">
        <v>1532</v>
      </c>
      <c r="G3694" s="2461" t="s">
        <v>1530</v>
      </c>
      <c r="H3694" s="2461" t="s">
        <v>1531</v>
      </c>
      <c r="I3694" s="2462">
        <v>4.6079349611593674</v>
      </c>
      <c r="J3694" s="2462">
        <v>3931.0762416086309</v>
      </c>
    </row>
    <row r="3695" spans="1:10" outlineLevel="2">
      <c r="A3695" s="2459" t="s">
        <v>1669</v>
      </c>
      <c r="B3695" s="2459" t="s">
        <v>1660</v>
      </c>
      <c r="C3695" s="2459" t="s">
        <v>1670</v>
      </c>
      <c r="D3695" s="2460" t="s">
        <v>1671</v>
      </c>
      <c r="E3695" s="2461" t="s">
        <v>213</v>
      </c>
      <c r="F3695" s="2461" t="s">
        <v>1533</v>
      </c>
      <c r="G3695" s="2461" t="s">
        <v>1534</v>
      </c>
      <c r="H3695" s="2461" t="s">
        <v>1531</v>
      </c>
      <c r="I3695" s="2462">
        <v>5.6629919985409947</v>
      </c>
      <c r="J3695" s="2462">
        <v>9528.5971355876445</v>
      </c>
    </row>
    <row r="3696" spans="1:10" outlineLevel="2">
      <c r="A3696" s="2459" t="s">
        <v>1669</v>
      </c>
      <c r="B3696" s="2459" t="s">
        <v>1660</v>
      </c>
      <c r="C3696" s="2459" t="s">
        <v>1670</v>
      </c>
      <c r="D3696" s="2460" t="s">
        <v>1671</v>
      </c>
      <c r="E3696" s="2461" t="s">
        <v>1538</v>
      </c>
      <c r="F3696" s="2461" t="s">
        <v>1539</v>
      </c>
      <c r="G3696" s="2461" t="s">
        <v>1426</v>
      </c>
      <c r="H3696" s="2461" t="s">
        <v>1540</v>
      </c>
      <c r="I3696" s="2462">
        <v>2.5635391213453731E-3</v>
      </c>
      <c r="J3696" s="2462">
        <v>4.9093023139256751</v>
      </c>
    </row>
    <row r="3697" spans="1:10" outlineLevel="2">
      <c r="A3697" s="2459" t="s">
        <v>1669</v>
      </c>
      <c r="B3697" s="2459" t="s">
        <v>1660</v>
      </c>
      <c r="C3697" s="2459" t="s">
        <v>1670</v>
      </c>
      <c r="D3697" s="2460" t="s">
        <v>1671</v>
      </c>
      <c r="E3697" s="2461" t="s">
        <v>1538</v>
      </c>
      <c r="F3697" s="2461" t="s">
        <v>1541</v>
      </c>
      <c r="G3697" s="2461" t="s">
        <v>1409</v>
      </c>
      <c r="H3697" s="2461" t="s">
        <v>1540</v>
      </c>
      <c r="I3697" s="2462">
        <v>3.16056304905296E-4</v>
      </c>
      <c r="J3697" s="2462">
        <v>1.4712407688977247</v>
      </c>
    </row>
    <row r="3698" spans="1:10" outlineLevel="2">
      <c r="A3698" s="2459" t="s">
        <v>1669</v>
      </c>
      <c r="B3698" s="2459" t="s">
        <v>1660</v>
      </c>
      <c r="C3698" s="2459" t="s">
        <v>1670</v>
      </c>
      <c r="D3698" s="2460" t="s">
        <v>1671</v>
      </c>
      <c r="E3698" s="2461" t="s">
        <v>1538</v>
      </c>
      <c r="F3698" s="2461" t="s">
        <v>1542</v>
      </c>
      <c r="G3698" s="2461" t="s">
        <v>1409</v>
      </c>
      <c r="H3698" s="2461" t="s">
        <v>1540</v>
      </c>
      <c r="I3698" s="2462">
        <v>1.6951116490840728E-4</v>
      </c>
      <c r="J3698" s="2462">
        <v>2.4604304372099746</v>
      </c>
    </row>
    <row r="3699" spans="1:10" outlineLevel="2">
      <c r="A3699" s="2459" t="s">
        <v>1669</v>
      </c>
      <c r="B3699" s="2459" t="s">
        <v>1660</v>
      </c>
      <c r="C3699" s="2459" t="s">
        <v>1670</v>
      </c>
      <c r="D3699" s="2460" t="s">
        <v>1671</v>
      </c>
      <c r="E3699" s="2461" t="s">
        <v>1538</v>
      </c>
      <c r="F3699" s="2461" t="s">
        <v>1543</v>
      </c>
      <c r="G3699" s="2461" t="s">
        <v>1409</v>
      </c>
      <c r="H3699" s="2461" t="s">
        <v>1540</v>
      </c>
      <c r="I3699" s="2462">
        <v>2.5132669477160474E-4</v>
      </c>
      <c r="J3699" s="2462">
        <v>0.43450980620650725</v>
      </c>
    </row>
    <row r="3700" spans="1:10" outlineLevel="2">
      <c r="A3700" s="2459" t="s">
        <v>1669</v>
      </c>
      <c r="B3700" s="2459" t="s">
        <v>1660</v>
      </c>
      <c r="C3700" s="2459" t="s">
        <v>1670</v>
      </c>
      <c r="D3700" s="2460" t="s">
        <v>1671</v>
      </c>
      <c r="E3700" s="2461" t="s">
        <v>1538</v>
      </c>
      <c r="F3700" s="2461" t="s">
        <v>1544</v>
      </c>
      <c r="G3700" s="2461" t="s">
        <v>1409</v>
      </c>
      <c r="H3700" s="2461" t="s">
        <v>1540</v>
      </c>
      <c r="I3700" s="2462">
        <v>4.6012668972475267E-5</v>
      </c>
      <c r="J3700" s="2462">
        <v>0.25190511153120393</v>
      </c>
    </row>
    <row r="3701" spans="1:10" outlineLevel="2">
      <c r="A3701" s="2459" t="s">
        <v>1669</v>
      </c>
      <c r="B3701" s="2459" t="s">
        <v>1660</v>
      </c>
      <c r="C3701" s="2459" t="s">
        <v>1670</v>
      </c>
      <c r="D3701" s="2460" t="s">
        <v>1671</v>
      </c>
      <c r="E3701" s="2461" t="s">
        <v>1538</v>
      </c>
      <c r="F3701" s="2461" t="s">
        <v>1545</v>
      </c>
      <c r="G3701" s="2461" t="s">
        <v>1409</v>
      </c>
      <c r="H3701" s="2461" t="s">
        <v>1540</v>
      </c>
      <c r="I3701" s="2462">
        <v>1.0184201176835421E-3</v>
      </c>
      <c r="J3701" s="2462">
        <v>4.5499797328674152</v>
      </c>
    </row>
    <row r="3702" spans="1:10" outlineLevel="2">
      <c r="A3702" s="2459" t="s">
        <v>1669</v>
      </c>
      <c r="B3702" s="2459" t="s">
        <v>1660</v>
      </c>
      <c r="C3702" s="2459" t="s">
        <v>1670</v>
      </c>
      <c r="D3702" s="2460" t="s">
        <v>1671</v>
      </c>
      <c r="E3702" s="2461" t="s">
        <v>1538</v>
      </c>
      <c r="F3702" s="2461" t="s">
        <v>1546</v>
      </c>
      <c r="G3702" s="2461" t="s">
        <v>1409</v>
      </c>
      <c r="H3702" s="2461" t="s">
        <v>1540</v>
      </c>
      <c r="I3702" s="2462">
        <v>1.9480548243190694E-3</v>
      </c>
      <c r="J3702" s="2462">
        <v>2.2853582634979155</v>
      </c>
    </row>
    <row r="3703" spans="1:10" outlineLevel="2">
      <c r="A3703" s="2459" t="s">
        <v>1669</v>
      </c>
      <c r="B3703" s="2459" t="s">
        <v>1660</v>
      </c>
      <c r="C3703" s="2459" t="s">
        <v>1670</v>
      </c>
      <c r="D3703" s="2460" t="s">
        <v>1671</v>
      </c>
      <c r="E3703" s="2461" t="s">
        <v>1538</v>
      </c>
      <c r="F3703" s="2461" t="s">
        <v>1547</v>
      </c>
      <c r="G3703" s="2461" t="s">
        <v>1409</v>
      </c>
      <c r="H3703" s="2461" t="s">
        <v>1540</v>
      </c>
      <c r="I3703" s="2462">
        <v>2.1158435818582574E-4</v>
      </c>
      <c r="J3703" s="2462">
        <v>4.209569574422785</v>
      </c>
    </row>
    <row r="3704" spans="1:10" outlineLevel="2">
      <c r="A3704" s="2459" t="s">
        <v>1669</v>
      </c>
      <c r="B3704" s="2459" t="s">
        <v>1660</v>
      </c>
      <c r="C3704" s="2459" t="s">
        <v>1670</v>
      </c>
      <c r="D3704" s="2460" t="s">
        <v>1671</v>
      </c>
      <c r="E3704" s="2461" t="s">
        <v>1538</v>
      </c>
      <c r="F3704" s="2461" t="s">
        <v>1548</v>
      </c>
      <c r="G3704" s="2461" t="s">
        <v>1409</v>
      </c>
      <c r="H3704" s="2461" t="s">
        <v>1540</v>
      </c>
      <c r="I3704" s="2462">
        <v>9.8201721180707423E-4</v>
      </c>
      <c r="J3704" s="2462">
        <v>1.7152618653619094</v>
      </c>
    </row>
    <row r="3705" spans="1:10" outlineLevel="2">
      <c r="A3705" s="2459" t="s">
        <v>1669</v>
      </c>
      <c r="B3705" s="2459" t="s">
        <v>1660</v>
      </c>
      <c r="C3705" s="2459" t="s">
        <v>1670</v>
      </c>
      <c r="D3705" s="2460" t="s">
        <v>1671</v>
      </c>
      <c r="E3705" s="2461" t="s">
        <v>1538</v>
      </c>
      <c r="F3705" s="2461" t="s">
        <v>1549</v>
      </c>
      <c r="G3705" s="2461" t="s">
        <v>1409</v>
      </c>
      <c r="H3705" s="2461" t="s">
        <v>1540</v>
      </c>
      <c r="I3705" s="2462">
        <v>1.4680022233026183E-4</v>
      </c>
      <c r="J3705" s="2462">
        <v>0.28113139197601505</v>
      </c>
    </row>
    <row r="3706" spans="1:10" outlineLevel="2">
      <c r="A3706" s="2459" t="s">
        <v>1669</v>
      </c>
      <c r="B3706" s="2459" t="s">
        <v>1660</v>
      </c>
      <c r="C3706" s="2459" t="s">
        <v>1670</v>
      </c>
      <c r="D3706" s="2460" t="s">
        <v>1671</v>
      </c>
      <c r="E3706" s="2461" t="s">
        <v>1538</v>
      </c>
      <c r="F3706" s="2461" t="s">
        <v>1550</v>
      </c>
      <c r="G3706" s="2461" t="s">
        <v>1409</v>
      </c>
      <c r="H3706" s="2461" t="s">
        <v>1540</v>
      </c>
      <c r="I3706" s="2462">
        <v>8.0454040773654555E-4</v>
      </c>
      <c r="J3706" s="2462">
        <v>2.9232779615461366</v>
      </c>
    </row>
    <row r="3707" spans="1:10" outlineLevel="2">
      <c r="A3707" s="2459" t="s">
        <v>1669</v>
      </c>
      <c r="B3707" s="2459" t="s">
        <v>1660</v>
      </c>
      <c r="C3707" s="2459" t="s">
        <v>1670</v>
      </c>
      <c r="D3707" s="2460" t="s">
        <v>1671</v>
      </c>
      <c r="E3707" s="2461" t="s">
        <v>1538</v>
      </c>
      <c r="F3707" s="2461" t="s">
        <v>1551</v>
      </c>
      <c r="G3707" s="2461" t="s">
        <v>1409</v>
      </c>
      <c r="H3707" s="2461" t="s">
        <v>1540</v>
      </c>
      <c r="I3707" s="2462">
        <v>6.6281007407841029E-4</v>
      </c>
      <c r="J3707" s="2462">
        <v>7.0590745394827064</v>
      </c>
    </row>
    <row r="3708" spans="1:10" outlineLevel="2">
      <c r="A3708" s="2459" t="s">
        <v>1669</v>
      </c>
      <c r="B3708" s="2459" t="s">
        <v>1660</v>
      </c>
      <c r="C3708" s="2459" t="s">
        <v>1670</v>
      </c>
      <c r="D3708" s="2460" t="s">
        <v>1671</v>
      </c>
      <c r="E3708" s="2461" t="s">
        <v>1538</v>
      </c>
      <c r="F3708" s="2461" t="s">
        <v>1552</v>
      </c>
      <c r="G3708" s="2461" t="s">
        <v>1409</v>
      </c>
      <c r="H3708" s="2461" t="s">
        <v>1540</v>
      </c>
      <c r="I3708" s="2462">
        <v>4.6638328182646901E-5</v>
      </c>
      <c r="J3708" s="2462">
        <v>0.74270682301954838</v>
      </c>
    </row>
    <row r="3709" spans="1:10" outlineLevel="2">
      <c r="A3709" s="2459" t="s">
        <v>1669</v>
      </c>
      <c r="B3709" s="2459" t="s">
        <v>1660</v>
      </c>
      <c r="C3709" s="2459" t="s">
        <v>1670</v>
      </c>
      <c r="D3709" s="2460" t="s">
        <v>1671</v>
      </c>
      <c r="E3709" s="2461" t="s">
        <v>1538</v>
      </c>
      <c r="F3709" s="2461" t="s">
        <v>1553</v>
      </c>
      <c r="G3709" s="2461" t="s">
        <v>1409</v>
      </c>
      <c r="H3709" s="2461" t="s">
        <v>1540</v>
      </c>
      <c r="I3709" s="2462">
        <v>3.4586831624225764E-3</v>
      </c>
      <c r="J3709" s="2462">
        <v>6.3584565104670165</v>
      </c>
    </row>
    <row r="3710" spans="1:10" outlineLevel="2">
      <c r="A3710" s="2459" t="s">
        <v>1669</v>
      </c>
      <c r="B3710" s="2459" t="s">
        <v>1660</v>
      </c>
      <c r="C3710" s="2459" t="s">
        <v>1670</v>
      </c>
      <c r="D3710" s="2460" t="s">
        <v>1671</v>
      </c>
      <c r="E3710" s="2461" t="s">
        <v>1538</v>
      </c>
      <c r="F3710" s="2461" t="s">
        <v>1554</v>
      </c>
      <c r="G3710" s="2461" t="s">
        <v>1409</v>
      </c>
      <c r="H3710" s="2461" t="s">
        <v>1540</v>
      </c>
      <c r="I3710" s="2462">
        <v>1.9278662011223992E-3</v>
      </c>
      <c r="J3710" s="2462">
        <v>2.6684671470024108</v>
      </c>
    </row>
    <row r="3711" spans="1:10" outlineLevel="2">
      <c r="A3711" s="2459" t="s">
        <v>1669</v>
      </c>
      <c r="B3711" s="2459" t="s">
        <v>1660</v>
      </c>
      <c r="C3711" s="2459" t="s">
        <v>1670</v>
      </c>
      <c r="D3711" s="2460" t="s">
        <v>1671</v>
      </c>
      <c r="E3711" s="2461" t="s">
        <v>1538</v>
      </c>
      <c r="F3711" s="2461" t="s">
        <v>1555</v>
      </c>
      <c r="G3711" s="2461" t="s">
        <v>1412</v>
      </c>
      <c r="H3711" s="2461" t="s">
        <v>1540</v>
      </c>
      <c r="I3711" s="2462">
        <v>1.7568653065639984E-3</v>
      </c>
      <c r="J3711" s="2462">
        <v>5.4083165488583003</v>
      </c>
    </row>
    <row r="3712" spans="1:10" outlineLevel="2">
      <c r="A3712" s="2459" t="s">
        <v>1669</v>
      </c>
      <c r="B3712" s="2459" t="s">
        <v>1660</v>
      </c>
      <c r="C3712" s="2459" t="s">
        <v>1670</v>
      </c>
      <c r="D3712" s="2460" t="s">
        <v>1671</v>
      </c>
      <c r="E3712" s="2461" t="s">
        <v>1538</v>
      </c>
      <c r="F3712" s="2461" t="s">
        <v>1556</v>
      </c>
      <c r="G3712" s="2461" t="s">
        <v>1412</v>
      </c>
      <c r="H3712" s="2461" t="s">
        <v>1540</v>
      </c>
      <c r="I3712" s="2462">
        <v>3.4927645601907496E-2</v>
      </c>
      <c r="J3712" s="2462">
        <v>491.94550614535774</v>
      </c>
    </row>
    <row r="3713" spans="1:10" outlineLevel="2">
      <c r="A3713" s="2459" t="s">
        <v>1669</v>
      </c>
      <c r="B3713" s="2459" t="s">
        <v>1660</v>
      </c>
      <c r="C3713" s="2459" t="s">
        <v>1670</v>
      </c>
      <c r="D3713" s="2460" t="s">
        <v>1671</v>
      </c>
      <c r="E3713" s="2461" t="s">
        <v>1538</v>
      </c>
      <c r="F3713" s="2461" t="s">
        <v>1557</v>
      </c>
      <c r="G3713" s="2461" t="s">
        <v>1412</v>
      </c>
      <c r="H3713" s="2461" t="s">
        <v>1540</v>
      </c>
      <c r="I3713" s="2462">
        <v>2.0794184990315367E-4</v>
      </c>
      <c r="J3713" s="2462">
        <v>3.6648049750810578</v>
      </c>
    </row>
    <row r="3714" spans="1:10" outlineLevel="2">
      <c r="A3714" s="2459" t="s">
        <v>1669</v>
      </c>
      <c r="B3714" s="2459" t="s">
        <v>1660</v>
      </c>
      <c r="C3714" s="2459" t="s">
        <v>1670</v>
      </c>
      <c r="D3714" s="2460" t="s">
        <v>1671</v>
      </c>
      <c r="E3714" s="2461" t="s">
        <v>1538</v>
      </c>
      <c r="F3714" s="2461" t="s">
        <v>1558</v>
      </c>
      <c r="G3714" s="2461" t="s">
        <v>1412</v>
      </c>
      <c r="H3714" s="2461" t="s">
        <v>1540</v>
      </c>
      <c r="I3714" s="2462">
        <v>6.9560700639961852E-5</v>
      </c>
      <c r="J3714" s="2462">
        <v>1.1560099269986925</v>
      </c>
    </row>
    <row r="3715" spans="1:10" outlineLevel="2">
      <c r="A3715" s="2459" t="s">
        <v>1669</v>
      </c>
      <c r="B3715" s="2459" t="s">
        <v>1660</v>
      </c>
      <c r="C3715" s="2459" t="s">
        <v>1670</v>
      </c>
      <c r="D3715" s="2460" t="s">
        <v>1671</v>
      </c>
      <c r="E3715" s="2461" t="s">
        <v>1538</v>
      </c>
      <c r="F3715" s="2461" t="s">
        <v>1559</v>
      </c>
      <c r="G3715" s="2461" t="s">
        <v>1412</v>
      </c>
      <c r="H3715" s="2461" t="s">
        <v>1540</v>
      </c>
      <c r="I3715" s="2462">
        <v>7.4273537197496514E-5</v>
      </c>
      <c r="J3715" s="2462">
        <v>0.28549999719711294</v>
      </c>
    </row>
    <row r="3716" spans="1:10" outlineLevel="2">
      <c r="A3716" s="2459" t="s">
        <v>1669</v>
      </c>
      <c r="B3716" s="2459" t="s">
        <v>1660</v>
      </c>
      <c r="C3716" s="2459" t="s">
        <v>1670</v>
      </c>
      <c r="D3716" s="2460" t="s">
        <v>1671</v>
      </c>
      <c r="E3716" s="2461" t="s">
        <v>1538</v>
      </c>
      <c r="F3716" s="2461" t="s">
        <v>1560</v>
      </c>
      <c r="G3716" s="2461" t="s">
        <v>1412</v>
      </c>
      <c r="H3716" s="2461" t="s">
        <v>1540</v>
      </c>
      <c r="I3716" s="2462">
        <v>1.0425205260313325E-4</v>
      </c>
      <c r="J3716" s="2462">
        <v>2.27051658369481</v>
      </c>
    </row>
    <row r="3717" spans="1:10" outlineLevel="2">
      <c r="A3717" s="2459" t="s">
        <v>1669</v>
      </c>
      <c r="B3717" s="2459" t="s">
        <v>1660</v>
      </c>
      <c r="C3717" s="2459" t="s">
        <v>1670</v>
      </c>
      <c r="D3717" s="2460" t="s">
        <v>1671</v>
      </c>
      <c r="E3717" s="2461" t="s">
        <v>1538</v>
      </c>
      <c r="F3717" s="2461" t="s">
        <v>1561</v>
      </c>
      <c r="G3717" s="2461" t="s">
        <v>1439</v>
      </c>
      <c r="H3717" s="2461" t="s">
        <v>1540</v>
      </c>
      <c r="I3717" s="2462">
        <v>1.5459384259066925E-3</v>
      </c>
      <c r="J3717" s="2462">
        <v>23.427618509939119</v>
      </c>
    </row>
    <row r="3718" spans="1:10" outlineLevel="2">
      <c r="A3718" s="2459" t="s">
        <v>1669</v>
      </c>
      <c r="B3718" s="2459" t="s">
        <v>1660</v>
      </c>
      <c r="C3718" s="2459" t="s">
        <v>1670</v>
      </c>
      <c r="D3718" s="2460" t="s">
        <v>1671</v>
      </c>
      <c r="E3718" s="2461" t="s">
        <v>1538</v>
      </c>
      <c r="F3718" s="2461" t="s">
        <v>1562</v>
      </c>
      <c r="G3718" s="2461" t="s">
        <v>1418</v>
      </c>
      <c r="H3718" s="2461" t="s">
        <v>1540</v>
      </c>
      <c r="I3718" s="2462">
        <v>1.8676382755367808E-5</v>
      </c>
      <c r="J3718" s="2462">
        <v>2.3533776066970661E-2</v>
      </c>
    </row>
    <row r="3719" spans="1:10" outlineLevel="2">
      <c r="A3719" s="2459" t="s">
        <v>1669</v>
      </c>
      <c r="B3719" s="2459" t="s">
        <v>1660</v>
      </c>
      <c r="C3719" s="2459" t="s">
        <v>1670</v>
      </c>
      <c r="D3719" s="2460" t="s">
        <v>1671</v>
      </c>
      <c r="E3719" s="2461" t="s">
        <v>1538</v>
      </c>
      <c r="F3719" s="2461" t="s">
        <v>1563</v>
      </c>
      <c r="G3719" s="2461" t="s">
        <v>1418</v>
      </c>
      <c r="H3719" s="2461" t="s">
        <v>1540</v>
      </c>
      <c r="I3719" s="2462">
        <v>2.7060366729516971E-6</v>
      </c>
      <c r="J3719" s="2462">
        <v>4.5837178205881138E-2</v>
      </c>
    </row>
    <row r="3720" spans="1:10" outlineLevel="2">
      <c r="A3720" s="2459" t="s">
        <v>1669</v>
      </c>
      <c r="B3720" s="2459" t="s">
        <v>1660</v>
      </c>
      <c r="C3720" s="2459" t="s">
        <v>1670</v>
      </c>
      <c r="D3720" s="2460" t="s">
        <v>1671</v>
      </c>
      <c r="E3720" s="2461" t="s">
        <v>1538</v>
      </c>
      <c r="F3720" s="2461" t="s">
        <v>1564</v>
      </c>
      <c r="G3720" s="2461" t="s">
        <v>1421</v>
      </c>
      <c r="H3720" s="2461" t="s">
        <v>1540</v>
      </c>
      <c r="I3720" s="2462">
        <v>1.2673666183574161E-2</v>
      </c>
      <c r="J3720" s="2462">
        <v>31.117932194454774</v>
      </c>
    </row>
    <row r="3721" spans="1:10" outlineLevel="2">
      <c r="A3721" s="2459" t="s">
        <v>1669</v>
      </c>
      <c r="B3721" s="2459" t="s">
        <v>1660</v>
      </c>
      <c r="C3721" s="2459" t="s">
        <v>1670</v>
      </c>
      <c r="D3721" s="2460" t="s">
        <v>1671</v>
      </c>
      <c r="E3721" s="2461" t="s">
        <v>1538</v>
      </c>
      <c r="F3721" s="2461" t="s">
        <v>1565</v>
      </c>
      <c r="G3721" s="2461" t="s">
        <v>1421</v>
      </c>
      <c r="H3721" s="2461" t="s">
        <v>1540</v>
      </c>
      <c r="I3721" s="2462">
        <v>1.4912633374662093E-3</v>
      </c>
      <c r="J3721" s="2462">
        <v>6.8113226093654626</v>
      </c>
    </row>
    <row r="3722" spans="1:10" outlineLevel="2">
      <c r="A3722" s="2459" t="s">
        <v>1669</v>
      </c>
      <c r="B3722" s="2459" t="s">
        <v>1660</v>
      </c>
      <c r="C3722" s="2459" t="s">
        <v>1670</v>
      </c>
      <c r="D3722" s="2460" t="s">
        <v>1671</v>
      </c>
      <c r="E3722" s="2461" t="s">
        <v>1538</v>
      </c>
      <c r="F3722" s="2461" t="s">
        <v>1566</v>
      </c>
      <c r="G3722" s="2461" t="s">
        <v>1421</v>
      </c>
      <c r="H3722" s="2461" t="s">
        <v>1540</v>
      </c>
      <c r="I3722" s="2462">
        <v>7.7755779770066324E-4</v>
      </c>
      <c r="J3722" s="2462">
        <v>7.9534032866156421</v>
      </c>
    </row>
    <row r="3723" spans="1:10" outlineLevel="2">
      <c r="A3723" s="2459" t="s">
        <v>1669</v>
      </c>
      <c r="B3723" s="2459" t="s">
        <v>1660</v>
      </c>
      <c r="C3723" s="2459" t="s">
        <v>1670</v>
      </c>
      <c r="D3723" s="2460" t="s">
        <v>1671</v>
      </c>
      <c r="E3723" s="2461" t="s">
        <v>1538</v>
      </c>
      <c r="F3723" s="2461" t="s">
        <v>1567</v>
      </c>
      <c r="G3723" s="2461" t="s">
        <v>1421</v>
      </c>
      <c r="H3723" s="2461" t="s">
        <v>1540</v>
      </c>
      <c r="I3723" s="2462">
        <v>1.2872420616196274E-3</v>
      </c>
      <c r="J3723" s="2462">
        <v>9.8849201685150287</v>
      </c>
    </row>
    <row r="3724" spans="1:10" outlineLevel="2">
      <c r="A3724" s="2459" t="s">
        <v>1669</v>
      </c>
      <c r="B3724" s="2459" t="s">
        <v>1660</v>
      </c>
      <c r="C3724" s="2459" t="s">
        <v>1670</v>
      </c>
      <c r="D3724" s="2460" t="s">
        <v>1671</v>
      </c>
      <c r="E3724" s="2461" t="s">
        <v>1538</v>
      </c>
      <c r="F3724" s="2461" t="s">
        <v>1568</v>
      </c>
      <c r="G3724" s="2461" t="s">
        <v>1421</v>
      </c>
      <c r="H3724" s="2461" t="s">
        <v>1540</v>
      </c>
      <c r="I3724" s="2462">
        <v>4.4559367875365917E-5</v>
      </c>
      <c r="J3724" s="2462">
        <v>0.13444034870310101</v>
      </c>
    </row>
    <row r="3725" spans="1:10" outlineLevel="2">
      <c r="A3725" s="2459" t="s">
        <v>1669</v>
      </c>
      <c r="B3725" s="2459" t="s">
        <v>1660</v>
      </c>
      <c r="C3725" s="2459" t="s">
        <v>1670</v>
      </c>
      <c r="D3725" s="2460" t="s">
        <v>1671</v>
      </c>
      <c r="E3725" s="2461" t="s">
        <v>1538</v>
      </c>
      <c r="F3725" s="2461" t="s">
        <v>1569</v>
      </c>
      <c r="G3725" s="2461" t="s">
        <v>1421</v>
      </c>
      <c r="H3725" s="2461" t="s">
        <v>1540</v>
      </c>
      <c r="I3725" s="2462">
        <v>1.0562706474940445E-5</v>
      </c>
      <c r="J3725" s="2462">
        <v>0.12206024009874976</v>
      </c>
    </row>
    <row r="3726" spans="1:10" outlineLevel="2">
      <c r="A3726" s="2459" t="s">
        <v>1669</v>
      </c>
      <c r="B3726" s="2459" t="s">
        <v>1660</v>
      </c>
      <c r="C3726" s="2459" t="s">
        <v>1670</v>
      </c>
      <c r="D3726" s="2460" t="s">
        <v>1671</v>
      </c>
      <c r="E3726" s="2461" t="s">
        <v>1400</v>
      </c>
      <c r="F3726" s="2461" t="s">
        <v>1571</v>
      </c>
      <c r="G3726" s="2461" t="s">
        <v>215</v>
      </c>
      <c r="H3726" s="2461" t="s">
        <v>1531</v>
      </c>
      <c r="I3726" s="2462">
        <v>0.20117242524391055</v>
      </c>
      <c r="J3726" s="2462">
        <v>7240.3527343835831</v>
      </c>
    </row>
    <row r="3727" spans="1:10" outlineLevel="2">
      <c r="A3727" s="2459" t="s">
        <v>1669</v>
      </c>
      <c r="B3727" s="2459" t="s">
        <v>1660</v>
      </c>
      <c r="C3727" s="2459" t="s">
        <v>1670</v>
      </c>
      <c r="D3727" s="2460" t="s">
        <v>1671</v>
      </c>
      <c r="E3727" s="2461" t="s">
        <v>1400</v>
      </c>
      <c r="F3727" s="2461" t="s">
        <v>1572</v>
      </c>
      <c r="G3727" s="2461" t="s">
        <v>215</v>
      </c>
      <c r="H3727" s="2461" t="s">
        <v>1531</v>
      </c>
      <c r="I3727" s="2462">
        <v>9.715941512269447E-4</v>
      </c>
      <c r="J3727" s="2462">
        <v>18.430592353662501</v>
      </c>
    </row>
    <row r="3728" spans="1:10" outlineLevel="2">
      <c r="A3728" s="2459" t="s">
        <v>1669</v>
      </c>
      <c r="B3728" s="2459" t="s">
        <v>1660</v>
      </c>
      <c r="C3728" s="2459" t="s">
        <v>1670</v>
      </c>
      <c r="D3728" s="2460" t="s">
        <v>1671</v>
      </c>
      <c r="E3728" s="2461" t="s">
        <v>1573</v>
      </c>
      <c r="F3728" s="2461" t="s">
        <v>1574</v>
      </c>
      <c r="G3728" s="2461" t="s">
        <v>1426</v>
      </c>
      <c r="H3728" s="2461" t="s">
        <v>1427</v>
      </c>
      <c r="I3728" s="2462">
        <v>3.1078180471169991E-3</v>
      </c>
      <c r="J3728" s="2462">
        <v>76.829652485673122</v>
      </c>
    </row>
    <row r="3729" spans="1:10" outlineLevel="2">
      <c r="A3729" s="2459" t="s">
        <v>1669</v>
      </c>
      <c r="B3729" s="2459" t="s">
        <v>1660</v>
      </c>
      <c r="C3729" s="2459" t="s">
        <v>1670</v>
      </c>
      <c r="D3729" s="2460" t="s">
        <v>1671</v>
      </c>
      <c r="E3729" s="2461" t="s">
        <v>1573</v>
      </c>
      <c r="F3729" s="2461" t="s">
        <v>1575</v>
      </c>
      <c r="G3729" s="2461" t="s">
        <v>1409</v>
      </c>
      <c r="H3729" s="2461" t="s">
        <v>1070</v>
      </c>
      <c r="I3729" s="2462">
        <v>3.0171174289579691E-3</v>
      </c>
      <c r="J3729" s="2462">
        <v>175.95957249821825</v>
      </c>
    </row>
    <row r="3730" spans="1:10" outlineLevel="2">
      <c r="A3730" s="2459" t="s">
        <v>1669</v>
      </c>
      <c r="B3730" s="2459" t="s">
        <v>1660</v>
      </c>
      <c r="C3730" s="2459" t="s">
        <v>1670</v>
      </c>
      <c r="D3730" s="2460" t="s">
        <v>1671</v>
      </c>
      <c r="E3730" s="2461" t="s">
        <v>1573</v>
      </c>
      <c r="F3730" s="2461" t="s">
        <v>1576</v>
      </c>
      <c r="G3730" s="2461" t="s">
        <v>1409</v>
      </c>
      <c r="H3730" s="2461" t="s">
        <v>1070</v>
      </c>
      <c r="I3730" s="2462">
        <v>2.5942070066566308E-5</v>
      </c>
      <c r="J3730" s="2462">
        <v>0.28654638091040285</v>
      </c>
    </row>
    <row r="3731" spans="1:10" outlineLevel="2">
      <c r="A3731" s="2459" t="s">
        <v>1669</v>
      </c>
      <c r="B3731" s="2459" t="s">
        <v>1660</v>
      </c>
      <c r="C3731" s="2459" t="s">
        <v>1670</v>
      </c>
      <c r="D3731" s="2460" t="s">
        <v>1671</v>
      </c>
      <c r="E3731" s="2461" t="s">
        <v>1573</v>
      </c>
      <c r="F3731" s="2461" t="s">
        <v>1577</v>
      </c>
      <c r="G3731" s="2461" t="s">
        <v>1409</v>
      </c>
      <c r="H3731" s="2461" t="s">
        <v>1070</v>
      </c>
      <c r="I3731" s="2462">
        <v>3.7622671864606379E-4</v>
      </c>
      <c r="J3731" s="2462">
        <v>4.720200366815841</v>
      </c>
    </row>
    <row r="3732" spans="1:10" outlineLevel="2">
      <c r="A3732" s="2459" t="s">
        <v>1669</v>
      </c>
      <c r="B3732" s="2459" t="s">
        <v>1660</v>
      </c>
      <c r="C3732" s="2459" t="s">
        <v>1670</v>
      </c>
      <c r="D3732" s="2460" t="s">
        <v>1671</v>
      </c>
      <c r="E3732" s="2461" t="s">
        <v>1573</v>
      </c>
      <c r="F3732" s="2461" t="s">
        <v>1578</v>
      </c>
      <c r="G3732" s="2461" t="s">
        <v>1409</v>
      </c>
      <c r="H3732" s="2461" t="s">
        <v>1070</v>
      </c>
      <c r="I3732" s="2462">
        <v>8.5915290280782989E-3</v>
      </c>
      <c r="J3732" s="2462">
        <v>440.45341349037295</v>
      </c>
    </row>
    <row r="3733" spans="1:10" outlineLevel="2">
      <c r="A3733" s="2459" t="s">
        <v>1669</v>
      </c>
      <c r="B3733" s="2459" t="s">
        <v>1660</v>
      </c>
      <c r="C3733" s="2459" t="s">
        <v>1670</v>
      </c>
      <c r="D3733" s="2460" t="s">
        <v>1671</v>
      </c>
      <c r="E3733" s="2461" t="s">
        <v>1573</v>
      </c>
      <c r="F3733" s="2461" t="s">
        <v>1579</v>
      </c>
      <c r="G3733" s="2461" t="s">
        <v>1409</v>
      </c>
      <c r="H3733" s="2461" t="s">
        <v>1070</v>
      </c>
      <c r="I3733" s="2462">
        <v>6.5220606803052155E-3</v>
      </c>
      <c r="J3733" s="2462">
        <v>479.24318785019398</v>
      </c>
    </row>
    <row r="3734" spans="1:10" outlineLevel="2">
      <c r="A3734" s="2459" t="s">
        <v>1669</v>
      </c>
      <c r="B3734" s="2459" t="s">
        <v>1660</v>
      </c>
      <c r="C3734" s="2459" t="s">
        <v>1670</v>
      </c>
      <c r="D3734" s="2460" t="s">
        <v>1671</v>
      </c>
      <c r="E3734" s="2461" t="s">
        <v>1573</v>
      </c>
      <c r="F3734" s="2461" t="s">
        <v>1580</v>
      </c>
      <c r="G3734" s="2461" t="s">
        <v>1409</v>
      </c>
      <c r="H3734" s="2461" t="s">
        <v>1070</v>
      </c>
      <c r="I3734" s="2462">
        <v>7.3685679376499745E-4</v>
      </c>
      <c r="J3734" s="2462">
        <v>26.462912279865456</v>
      </c>
    </row>
    <row r="3735" spans="1:10" outlineLevel="2">
      <c r="A3735" s="2459" t="s">
        <v>1669</v>
      </c>
      <c r="B3735" s="2459" t="s">
        <v>1660</v>
      </c>
      <c r="C3735" s="2459" t="s">
        <v>1670</v>
      </c>
      <c r="D3735" s="2460" t="s">
        <v>1671</v>
      </c>
      <c r="E3735" s="2461" t="s">
        <v>1573</v>
      </c>
      <c r="F3735" s="2461" t="s">
        <v>1581</v>
      </c>
      <c r="G3735" s="2461" t="s">
        <v>1409</v>
      </c>
      <c r="H3735" s="2461" t="s">
        <v>1070</v>
      </c>
      <c r="I3735" s="2462">
        <v>3.9192740920999768E-4</v>
      </c>
      <c r="J3735" s="2462">
        <v>18.02010045309417</v>
      </c>
    </row>
    <row r="3736" spans="1:10" outlineLevel="2">
      <c r="A3736" s="2459" t="s">
        <v>1669</v>
      </c>
      <c r="B3736" s="2459" t="s">
        <v>1660</v>
      </c>
      <c r="C3736" s="2459" t="s">
        <v>1670</v>
      </c>
      <c r="D3736" s="2460" t="s">
        <v>1671</v>
      </c>
      <c r="E3736" s="2461" t="s">
        <v>1573</v>
      </c>
      <c r="F3736" s="2461" t="s">
        <v>1582</v>
      </c>
      <c r="G3736" s="2461" t="s">
        <v>1409</v>
      </c>
      <c r="H3736" s="2461" t="s">
        <v>1070</v>
      </c>
      <c r="I3736" s="2462">
        <v>2.0830791540833609E-3</v>
      </c>
      <c r="J3736" s="2462">
        <v>49.484934266233047</v>
      </c>
    </row>
    <row r="3737" spans="1:10" outlineLevel="2">
      <c r="A3737" s="2459" t="s">
        <v>1669</v>
      </c>
      <c r="B3737" s="2459" t="s">
        <v>1660</v>
      </c>
      <c r="C3737" s="2459" t="s">
        <v>1670</v>
      </c>
      <c r="D3737" s="2460" t="s">
        <v>1671</v>
      </c>
      <c r="E3737" s="2461" t="s">
        <v>1573</v>
      </c>
      <c r="F3737" s="2461" t="s">
        <v>1583</v>
      </c>
      <c r="G3737" s="2461" t="s">
        <v>1409</v>
      </c>
      <c r="H3737" s="2461" t="s">
        <v>1070</v>
      </c>
      <c r="I3737" s="2462">
        <v>5.9715922399018401E-3</v>
      </c>
      <c r="J3737" s="2462">
        <v>211.7591559505706</v>
      </c>
    </row>
    <row r="3738" spans="1:10" outlineLevel="2">
      <c r="A3738" s="2459" t="s">
        <v>1669</v>
      </c>
      <c r="B3738" s="2459" t="s">
        <v>1660</v>
      </c>
      <c r="C3738" s="2459" t="s">
        <v>1670</v>
      </c>
      <c r="D3738" s="2460" t="s">
        <v>1671</v>
      </c>
      <c r="E3738" s="2461" t="s">
        <v>1573</v>
      </c>
      <c r="F3738" s="2461" t="s">
        <v>1584</v>
      </c>
      <c r="G3738" s="2461" t="s">
        <v>1409</v>
      </c>
      <c r="H3738" s="2461" t="s">
        <v>1070</v>
      </c>
      <c r="I3738" s="2462">
        <v>4.2217196916034226E-3</v>
      </c>
      <c r="J3738" s="2462">
        <v>232.49842279463368</v>
      </c>
    </row>
    <row r="3739" spans="1:10" outlineLevel="2">
      <c r="A3739" s="2459" t="s">
        <v>1669</v>
      </c>
      <c r="B3739" s="2459" t="s">
        <v>1660</v>
      </c>
      <c r="C3739" s="2459" t="s">
        <v>1670</v>
      </c>
      <c r="D3739" s="2460" t="s">
        <v>1671</v>
      </c>
      <c r="E3739" s="2461" t="s">
        <v>1573</v>
      </c>
      <c r="F3739" s="2461" t="s">
        <v>1585</v>
      </c>
      <c r="G3739" s="2461" t="s">
        <v>1409</v>
      </c>
      <c r="H3739" s="2461" t="s">
        <v>1070</v>
      </c>
      <c r="I3739" s="2462">
        <v>2.314542287055564E-2</v>
      </c>
      <c r="J3739" s="2462">
        <v>1785.2335458384293</v>
      </c>
    </row>
    <row r="3740" spans="1:10" outlineLevel="2">
      <c r="A3740" s="2459" t="s">
        <v>1669</v>
      </c>
      <c r="B3740" s="2459" t="s">
        <v>1660</v>
      </c>
      <c r="C3740" s="2459" t="s">
        <v>1670</v>
      </c>
      <c r="D3740" s="2460" t="s">
        <v>1671</v>
      </c>
      <c r="E3740" s="2461" t="s">
        <v>1573</v>
      </c>
      <c r="F3740" s="2461" t="s">
        <v>1586</v>
      </c>
      <c r="G3740" s="2461" t="s">
        <v>1409</v>
      </c>
      <c r="H3740" s="2461" t="s">
        <v>1070</v>
      </c>
      <c r="I3740" s="2462">
        <v>4.8954323472864261E-4</v>
      </c>
      <c r="J3740" s="2462">
        <v>14.844428506220041</v>
      </c>
    </row>
    <row r="3741" spans="1:10" outlineLevel="2">
      <c r="A3741" s="2459" t="s">
        <v>1669</v>
      </c>
      <c r="B3741" s="2459" t="s">
        <v>1660</v>
      </c>
      <c r="C3741" s="2459" t="s">
        <v>1670</v>
      </c>
      <c r="D3741" s="2460" t="s">
        <v>1671</v>
      </c>
      <c r="E3741" s="2461" t="s">
        <v>1573</v>
      </c>
      <c r="F3741" s="2461" t="s">
        <v>1587</v>
      </c>
      <c r="G3741" s="2461" t="s">
        <v>1409</v>
      </c>
      <c r="H3741" s="2461" t="s">
        <v>1070</v>
      </c>
      <c r="I3741" s="2462">
        <v>1.9278746714475241E-4</v>
      </c>
      <c r="J3741" s="2462">
        <v>9.0892759110447017</v>
      </c>
    </row>
    <row r="3742" spans="1:10" outlineLevel="2">
      <c r="A3742" s="2459" t="s">
        <v>1669</v>
      </c>
      <c r="B3742" s="2459" t="s">
        <v>1660</v>
      </c>
      <c r="C3742" s="2459" t="s">
        <v>1670</v>
      </c>
      <c r="D3742" s="2460" t="s">
        <v>1671</v>
      </c>
      <c r="E3742" s="2461" t="s">
        <v>1573</v>
      </c>
      <c r="F3742" s="2461" t="s">
        <v>1588</v>
      </c>
      <c r="G3742" s="2461" t="s">
        <v>1409</v>
      </c>
      <c r="H3742" s="2461" t="s">
        <v>1070</v>
      </c>
      <c r="I3742" s="2462">
        <v>6.8298538700471822E-3</v>
      </c>
      <c r="J3742" s="2462">
        <v>408.05859880265444</v>
      </c>
    </row>
    <row r="3743" spans="1:10" outlineLevel="2">
      <c r="A3743" s="2459" t="s">
        <v>1669</v>
      </c>
      <c r="B3743" s="2459" t="s">
        <v>1660</v>
      </c>
      <c r="C3743" s="2459" t="s">
        <v>1670</v>
      </c>
      <c r="D3743" s="2460" t="s">
        <v>1671</v>
      </c>
      <c r="E3743" s="2461" t="s">
        <v>1573</v>
      </c>
      <c r="F3743" s="2461" t="s">
        <v>1589</v>
      </c>
      <c r="G3743" s="2461" t="s">
        <v>1409</v>
      </c>
      <c r="H3743" s="2461" t="s">
        <v>1070</v>
      </c>
      <c r="I3743" s="2462">
        <v>5.8717223325402941E-3</v>
      </c>
      <c r="J3743" s="2462">
        <v>444.17705535119109</v>
      </c>
    </row>
    <row r="3744" spans="1:10" outlineLevel="2">
      <c r="A3744" s="2459" t="s">
        <v>1669</v>
      </c>
      <c r="B3744" s="2459" t="s">
        <v>1660</v>
      </c>
      <c r="C3744" s="2459" t="s">
        <v>1670</v>
      </c>
      <c r="D3744" s="2460" t="s">
        <v>1671</v>
      </c>
      <c r="E3744" s="2461" t="s">
        <v>1573</v>
      </c>
      <c r="F3744" s="2461" t="s">
        <v>1590</v>
      </c>
      <c r="G3744" s="2461" t="s">
        <v>1409</v>
      </c>
      <c r="H3744" s="2461" t="s">
        <v>1070</v>
      </c>
      <c r="I3744" s="2462">
        <v>2.1438212747805448E-2</v>
      </c>
      <c r="J3744" s="2462">
        <v>1527.9060954205258</v>
      </c>
    </row>
    <row r="3745" spans="1:10" outlineLevel="2">
      <c r="A3745" s="2459" t="s">
        <v>1669</v>
      </c>
      <c r="B3745" s="2459" t="s">
        <v>1660</v>
      </c>
      <c r="C3745" s="2459" t="s">
        <v>1670</v>
      </c>
      <c r="D3745" s="2460" t="s">
        <v>1671</v>
      </c>
      <c r="E3745" s="2461" t="s">
        <v>1573</v>
      </c>
      <c r="F3745" s="2461" t="s">
        <v>1591</v>
      </c>
      <c r="G3745" s="2461" t="s">
        <v>1409</v>
      </c>
      <c r="H3745" s="2461" t="s">
        <v>1070</v>
      </c>
      <c r="I3745" s="2462">
        <v>1.4757018158673143E-3</v>
      </c>
      <c r="J3745" s="2462">
        <v>71.844842752228203</v>
      </c>
    </row>
    <row r="3746" spans="1:10" outlineLevel="2">
      <c r="A3746" s="2459" t="s">
        <v>1669</v>
      </c>
      <c r="B3746" s="2459" t="s">
        <v>1660</v>
      </c>
      <c r="C3746" s="2459" t="s">
        <v>1670</v>
      </c>
      <c r="D3746" s="2460" t="s">
        <v>1671</v>
      </c>
      <c r="E3746" s="2461" t="s">
        <v>1573</v>
      </c>
      <c r="F3746" s="2461" t="s">
        <v>1592</v>
      </c>
      <c r="G3746" s="2461" t="s">
        <v>1409</v>
      </c>
      <c r="H3746" s="2461" t="s">
        <v>1070</v>
      </c>
      <c r="I3746" s="2462">
        <v>1.2408757491946087E-2</v>
      </c>
      <c r="J3746" s="2462">
        <v>571.48690442445297</v>
      </c>
    </row>
    <row r="3747" spans="1:10" outlineLevel="2">
      <c r="A3747" s="2459" t="s">
        <v>1669</v>
      </c>
      <c r="B3747" s="2459" t="s">
        <v>1660</v>
      </c>
      <c r="C3747" s="2459" t="s">
        <v>1670</v>
      </c>
      <c r="D3747" s="2460" t="s">
        <v>1671</v>
      </c>
      <c r="E3747" s="2461" t="s">
        <v>1573</v>
      </c>
      <c r="F3747" s="2461" t="s">
        <v>1593</v>
      </c>
      <c r="G3747" s="2461" t="s">
        <v>1409</v>
      </c>
      <c r="H3747" s="2461" t="s">
        <v>1070</v>
      </c>
      <c r="I3747" s="2462">
        <v>3.0318398474982015E-2</v>
      </c>
      <c r="J3747" s="2462">
        <v>1942.9463142411266</v>
      </c>
    </row>
    <row r="3748" spans="1:10" outlineLevel="2">
      <c r="A3748" s="2459" t="s">
        <v>1669</v>
      </c>
      <c r="B3748" s="2459" t="s">
        <v>1660</v>
      </c>
      <c r="C3748" s="2459" t="s">
        <v>1670</v>
      </c>
      <c r="D3748" s="2460" t="s">
        <v>1671</v>
      </c>
      <c r="E3748" s="2461" t="s">
        <v>1573</v>
      </c>
      <c r="F3748" s="2461" t="s">
        <v>1594</v>
      </c>
      <c r="G3748" s="2461" t="s">
        <v>1409</v>
      </c>
      <c r="H3748" s="2461" t="s">
        <v>1070</v>
      </c>
      <c r="I3748" s="2462">
        <v>6.6404750695947201E-2</v>
      </c>
      <c r="J3748" s="2462">
        <v>1303.4514433712377</v>
      </c>
    </row>
    <row r="3749" spans="1:10" outlineLevel="2">
      <c r="A3749" s="2459" t="s">
        <v>1669</v>
      </c>
      <c r="B3749" s="2459" t="s">
        <v>1660</v>
      </c>
      <c r="C3749" s="2459" t="s">
        <v>1670</v>
      </c>
      <c r="D3749" s="2460" t="s">
        <v>1671</v>
      </c>
      <c r="E3749" s="2461" t="s">
        <v>1573</v>
      </c>
      <c r="F3749" s="2461" t="s">
        <v>1595</v>
      </c>
      <c r="G3749" s="2461" t="s">
        <v>1409</v>
      </c>
      <c r="H3749" s="2461" t="s">
        <v>1070</v>
      </c>
      <c r="I3749" s="2462">
        <v>2.4415449694097459E-2</v>
      </c>
      <c r="J3749" s="2462">
        <v>1777.3850680622518</v>
      </c>
    </row>
    <row r="3750" spans="1:10" outlineLevel="2">
      <c r="A3750" s="2459" t="s">
        <v>1669</v>
      </c>
      <c r="B3750" s="2459" t="s">
        <v>1660</v>
      </c>
      <c r="C3750" s="2459" t="s">
        <v>1670</v>
      </c>
      <c r="D3750" s="2460" t="s">
        <v>1671</v>
      </c>
      <c r="E3750" s="2461" t="s">
        <v>1573</v>
      </c>
      <c r="F3750" s="2461" t="s">
        <v>1596</v>
      </c>
      <c r="G3750" s="2461" t="s">
        <v>1409</v>
      </c>
      <c r="H3750" s="2461" t="s">
        <v>1070</v>
      </c>
      <c r="I3750" s="2462">
        <v>4.4455781549466812E-2</v>
      </c>
      <c r="J3750" s="2462">
        <v>1023.1428390538852</v>
      </c>
    </row>
    <row r="3751" spans="1:10" outlineLevel="2">
      <c r="A3751" s="2459" t="s">
        <v>1669</v>
      </c>
      <c r="B3751" s="2459" t="s">
        <v>1660</v>
      </c>
      <c r="C3751" s="2459" t="s">
        <v>1670</v>
      </c>
      <c r="D3751" s="2460" t="s">
        <v>1671</v>
      </c>
      <c r="E3751" s="2461" t="s">
        <v>1573</v>
      </c>
      <c r="F3751" s="2461" t="s">
        <v>1597</v>
      </c>
      <c r="G3751" s="2461" t="s">
        <v>1409</v>
      </c>
      <c r="H3751" s="2461" t="s">
        <v>1070</v>
      </c>
      <c r="I3751" s="2462">
        <v>2.6096407685995021E-3</v>
      </c>
      <c r="J3751" s="2462">
        <v>190.71561493740199</v>
      </c>
    </row>
    <row r="3752" spans="1:10" outlineLevel="2">
      <c r="A3752" s="2459" t="s">
        <v>1669</v>
      </c>
      <c r="B3752" s="2459" t="s">
        <v>1660</v>
      </c>
      <c r="C3752" s="2459" t="s">
        <v>1670</v>
      </c>
      <c r="D3752" s="2460" t="s">
        <v>1671</v>
      </c>
      <c r="E3752" s="2461" t="s">
        <v>1573</v>
      </c>
      <c r="F3752" s="2461" t="s">
        <v>1598</v>
      </c>
      <c r="G3752" s="2461" t="s">
        <v>1409</v>
      </c>
      <c r="H3752" s="2461" t="s">
        <v>1070</v>
      </c>
      <c r="I3752" s="2462">
        <v>1.3554257136621863E-4</v>
      </c>
      <c r="J3752" s="2462">
        <v>3.1289418872942423</v>
      </c>
    </row>
    <row r="3753" spans="1:10" outlineLevel="2">
      <c r="A3753" s="2459" t="s">
        <v>1669</v>
      </c>
      <c r="B3753" s="2459" t="s">
        <v>1660</v>
      </c>
      <c r="C3753" s="2459" t="s">
        <v>1670</v>
      </c>
      <c r="D3753" s="2460" t="s">
        <v>1671</v>
      </c>
      <c r="E3753" s="2461" t="s">
        <v>1573</v>
      </c>
      <c r="F3753" s="2461" t="s">
        <v>1599</v>
      </c>
      <c r="G3753" s="2461" t="s">
        <v>1409</v>
      </c>
      <c r="H3753" s="2461" t="s">
        <v>1070</v>
      </c>
      <c r="I3753" s="2462">
        <v>3.7004376860606592E-3</v>
      </c>
      <c r="J3753" s="2462">
        <v>198.93513486716421</v>
      </c>
    </row>
    <row r="3754" spans="1:10" outlineLevel="2">
      <c r="A3754" s="2459" t="s">
        <v>1669</v>
      </c>
      <c r="B3754" s="2459" t="s">
        <v>1660</v>
      </c>
      <c r="C3754" s="2459" t="s">
        <v>1670</v>
      </c>
      <c r="D3754" s="2460" t="s">
        <v>1671</v>
      </c>
      <c r="E3754" s="2461" t="s">
        <v>1573</v>
      </c>
      <c r="F3754" s="2461" t="s">
        <v>1600</v>
      </c>
      <c r="G3754" s="2461" t="s">
        <v>1412</v>
      </c>
      <c r="H3754" s="2461" t="s">
        <v>1116</v>
      </c>
      <c r="I3754" s="2462">
        <v>3.6554437802611506E-4</v>
      </c>
      <c r="J3754" s="2462">
        <v>8.8434926587784144</v>
      </c>
    </row>
    <row r="3755" spans="1:10" outlineLevel="2">
      <c r="A3755" s="2459" t="s">
        <v>1669</v>
      </c>
      <c r="B3755" s="2459" t="s">
        <v>1660</v>
      </c>
      <c r="C3755" s="2459" t="s">
        <v>1670</v>
      </c>
      <c r="D3755" s="2460" t="s">
        <v>1671</v>
      </c>
      <c r="E3755" s="2461" t="s">
        <v>1573</v>
      </c>
      <c r="F3755" s="2461" t="s">
        <v>1601</v>
      </c>
      <c r="G3755" s="2461" t="s">
        <v>1412</v>
      </c>
      <c r="H3755" s="2461" t="s">
        <v>1116</v>
      </c>
      <c r="I3755" s="2462">
        <v>1.8191794773118172E-3</v>
      </c>
      <c r="J3755" s="2462">
        <v>128.2978093589218</v>
      </c>
    </row>
    <row r="3756" spans="1:10" outlineLevel="2">
      <c r="A3756" s="2459" t="s">
        <v>1669</v>
      </c>
      <c r="B3756" s="2459" t="s">
        <v>1660</v>
      </c>
      <c r="C3756" s="2459" t="s">
        <v>1670</v>
      </c>
      <c r="D3756" s="2460" t="s">
        <v>1671</v>
      </c>
      <c r="E3756" s="2461" t="s">
        <v>1573</v>
      </c>
      <c r="F3756" s="2461" t="s">
        <v>1602</v>
      </c>
      <c r="G3756" s="2461" t="s">
        <v>1412</v>
      </c>
      <c r="H3756" s="2461" t="s">
        <v>1116</v>
      </c>
      <c r="I3756" s="2462">
        <v>1.0686720101293606E-3</v>
      </c>
      <c r="J3756" s="2462">
        <v>56.037856519102334</v>
      </c>
    </row>
    <row r="3757" spans="1:10" outlineLevel="2">
      <c r="A3757" s="2459" t="s">
        <v>1669</v>
      </c>
      <c r="B3757" s="2459" t="s">
        <v>1660</v>
      </c>
      <c r="C3757" s="2459" t="s">
        <v>1670</v>
      </c>
      <c r="D3757" s="2460" t="s">
        <v>1671</v>
      </c>
      <c r="E3757" s="2461" t="s">
        <v>1573</v>
      </c>
      <c r="F3757" s="2461" t="s">
        <v>1603</v>
      </c>
      <c r="G3757" s="2461" t="s">
        <v>1412</v>
      </c>
      <c r="H3757" s="2461" t="s">
        <v>1116</v>
      </c>
      <c r="I3757" s="2462">
        <v>1.2649623530512129E-3</v>
      </c>
      <c r="J3757" s="2462">
        <v>56.824570117935359</v>
      </c>
    </row>
    <row r="3758" spans="1:10" outlineLevel="2">
      <c r="A3758" s="2459" t="s">
        <v>1669</v>
      </c>
      <c r="B3758" s="2459" t="s">
        <v>1660</v>
      </c>
      <c r="C3758" s="2459" t="s">
        <v>1670</v>
      </c>
      <c r="D3758" s="2460" t="s">
        <v>1671</v>
      </c>
      <c r="E3758" s="2461" t="s">
        <v>1573</v>
      </c>
      <c r="F3758" s="2461" t="s">
        <v>1604</v>
      </c>
      <c r="G3758" s="2461" t="s">
        <v>1412</v>
      </c>
      <c r="H3758" s="2461" t="s">
        <v>1116</v>
      </c>
      <c r="I3758" s="2462">
        <v>8.0116976114532292E-5</v>
      </c>
      <c r="J3758" s="2462">
        <v>2.1915061037601684</v>
      </c>
    </row>
    <row r="3759" spans="1:10" outlineLevel="2">
      <c r="A3759" s="2459" t="s">
        <v>1669</v>
      </c>
      <c r="B3759" s="2459" t="s">
        <v>1660</v>
      </c>
      <c r="C3759" s="2459" t="s">
        <v>1670</v>
      </c>
      <c r="D3759" s="2460" t="s">
        <v>1671</v>
      </c>
      <c r="E3759" s="2461" t="s">
        <v>1573</v>
      </c>
      <c r="F3759" s="2461" t="s">
        <v>1605</v>
      </c>
      <c r="G3759" s="2461" t="s">
        <v>1412</v>
      </c>
      <c r="H3759" s="2461" t="s">
        <v>1116</v>
      </c>
      <c r="I3759" s="2462">
        <v>4.8185833819789248E-2</v>
      </c>
      <c r="J3759" s="2462">
        <v>1583.6942529602256</v>
      </c>
    </row>
    <row r="3760" spans="1:10" outlineLevel="2">
      <c r="A3760" s="2459" t="s">
        <v>1669</v>
      </c>
      <c r="B3760" s="2459" t="s">
        <v>1660</v>
      </c>
      <c r="C3760" s="2459" t="s">
        <v>1670</v>
      </c>
      <c r="D3760" s="2460" t="s">
        <v>1671</v>
      </c>
      <c r="E3760" s="2461" t="s">
        <v>1573</v>
      </c>
      <c r="F3760" s="2461" t="s">
        <v>1606</v>
      </c>
      <c r="G3760" s="2461" t="s">
        <v>1412</v>
      </c>
      <c r="H3760" s="2461" t="s">
        <v>1116</v>
      </c>
      <c r="I3760" s="2462">
        <v>9.9746412436945982E-4</v>
      </c>
      <c r="J3760" s="2462">
        <v>80.861503405096371</v>
      </c>
    </row>
    <row r="3761" spans="1:10" outlineLevel="2">
      <c r="A3761" s="2459" t="s">
        <v>1669</v>
      </c>
      <c r="B3761" s="2459" t="s">
        <v>1660</v>
      </c>
      <c r="C3761" s="2459" t="s">
        <v>1670</v>
      </c>
      <c r="D3761" s="2460" t="s">
        <v>1671</v>
      </c>
      <c r="E3761" s="2461" t="s">
        <v>1573</v>
      </c>
      <c r="F3761" s="2461" t="s">
        <v>1607</v>
      </c>
      <c r="G3761" s="2461" t="s">
        <v>1439</v>
      </c>
      <c r="H3761" s="2461" t="s">
        <v>1440</v>
      </c>
      <c r="I3761" s="2462">
        <v>1.0974957722862766E-6</v>
      </c>
      <c r="J3761" s="2462">
        <v>2.750749892813505E-2</v>
      </c>
    </row>
    <row r="3762" spans="1:10" outlineLevel="2">
      <c r="A3762" s="2459" t="s">
        <v>1669</v>
      </c>
      <c r="B3762" s="2459" t="s">
        <v>1660</v>
      </c>
      <c r="C3762" s="2459" t="s">
        <v>1670</v>
      </c>
      <c r="D3762" s="2460" t="s">
        <v>1671</v>
      </c>
      <c r="E3762" s="2461" t="s">
        <v>1573</v>
      </c>
      <c r="F3762" s="2461" t="s">
        <v>1608</v>
      </c>
      <c r="G3762" s="2461" t="s">
        <v>1439</v>
      </c>
      <c r="H3762" s="2461" t="s">
        <v>1440</v>
      </c>
      <c r="I3762" s="2462">
        <v>1.2898834477083758E-4</v>
      </c>
      <c r="J3762" s="2462">
        <v>7.2253977856642422</v>
      </c>
    </row>
    <row r="3763" spans="1:10" outlineLevel="2">
      <c r="A3763" s="2459" t="s">
        <v>1669</v>
      </c>
      <c r="B3763" s="2459" t="s">
        <v>1660</v>
      </c>
      <c r="C3763" s="2459" t="s">
        <v>1670</v>
      </c>
      <c r="D3763" s="2460" t="s">
        <v>1671</v>
      </c>
      <c r="E3763" s="2461" t="s">
        <v>1573</v>
      </c>
      <c r="F3763" s="2461" t="s">
        <v>1609</v>
      </c>
      <c r="G3763" s="2461" t="s">
        <v>1439</v>
      </c>
      <c r="H3763" s="2461" t="s">
        <v>1440</v>
      </c>
      <c r="I3763" s="2462">
        <v>8.6797014655532242E-3</v>
      </c>
      <c r="J3763" s="2462">
        <v>192.82080921700853</v>
      </c>
    </row>
    <row r="3764" spans="1:10" outlineLevel="2">
      <c r="A3764" s="2459" t="s">
        <v>1669</v>
      </c>
      <c r="B3764" s="2459" t="s">
        <v>1660</v>
      </c>
      <c r="C3764" s="2459" t="s">
        <v>1670</v>
      </c>
      <c r="D3764" s="2460" t="s">
        <v>1671</v>
      </c>
      <c r="E3764" s="2461" t="s">
        <v>1573</v>
      </c>
      <c r="F3764" s="2461" t="s">
        <v>1610</v>
      </c>
      <c r="G3764" s="2461" t="s">
        <v>1439</v>
      </c>
      <c r="H3764" s="2461" t="s">
        <v>1440</v>
      </c>
      <c r="I3764" s="2462">
        <v>2.2826070713808898E-3</v>
      </c>
      <c r="J3764" s="2462">
        <v>39.804356460336706</v>
      </c>
    </row>
    <row r="3765" spans="1:10" outlineLevel="2">
      <c r="A3765" s="2459" t="s">
        <v>1669</v>
      </c>
      <c r="B3765" s="2459" t="s">
        <v>1660</v>
      </c>
      <c r="C3765" s="2459" t="s">
        <v>1670</v>
      </c>
      <c r="D3765" s="2460" t="s">
        <v>1671</v>
      </c>
      <c r="E3765" s="2461" t="s">
        <v>1573</v>
      </c>
      <c r="F3765" s="2461" t="s">
        <v>1611</v>
      </c>
      <c r="G3765" s="2461" t="s">
        <v>1439</v>
      </c>
      <c r="H3765" s="2461" t="s">
        <v>1440</v>
      </c>
      <c r="I3765" s="2462">
        <v>5.3951894177347321E-3</v>
      </c>
      <c r="J3765" s="2462">
        <v>262.85316489939629</v>
      </c>
    </row>
    <row r="3766" spans="1:10" outlineLevel="2">
      <c r="A3766" s="2459" t="s">
        <v>1669</v>
      </c>
      <c r="B3766" s="2459" t="s">
        <v>1660</v>
      </c>
      <c r="C3766" s="2459" t="s">
        <v>1670</v>
      </c>
      <c r="D3766" s="2460" t="s">
        <v>1671</v>
      </c>
      <c r="E3766" s="2461" t="s">
        <v>1573</v>
      </c>
      <c r="F3766" s="2461" t="s">
        <v>1612</v>
      </c>
      <c r="G3766" s="2461" t="s">
        <v>1439</v>
      </c>
      <c r="H3766" s="2461" t="s">
        <v>1440</v>
      </c>
      <c r="I3766" s="2462">
        <v>9.2525174793088377E-4</v>
      </c>
      <c r="J3766" s="2462">
        <v>30.970724691866963</v>
      </c>
    </row>
    <row r="3767" spans="1:10" outlineLevel="2">
      <c r="A3767" s="2459" t="s">
        <v>1669</v>
      </c>
      <c r="B3767" s="2459" t="s">
        <v>1660</v>
      </c>
      <c r="C3767" s="2459" t="s">
        <v>1670</v>
      </c>
      <c r="D3767" s="2460" t="s">
        <v>1671</v>
      </c>
      <c r="E3767" s="2461" t="s">
        <v>1573</v>
      </c>
      <c r="F3767" s="2461" t="s">
        <v>1613</v>
      </c>
      <c r="G3767" s="2461" t="s">
        <v>1439</v>
      </c>
      <c r="H3767" s="2461" t="s">
        <v>1440</v>
      </c>
      <c r="I3767" s="2462">
        <v>2.6013325144022126E-5</v>
      </c>
      <c r="J3767" s="2462">
        <v>0.78641466468069088</v>
      </c>
    </row>
    <row r="3768" spans="1:10" outlineLevel="2">
      <c r="A3768" s="2459" t="s">
        <v>1669</v>
      </c>
      <c r="B3768" s="2459" t="s">
        <v>1660</v>
      </c>
      <c r="C3768" s="2459" t="s">
        <v>1670</v>
      </c>
      <c r="D3768" s="2460" t="s">
        <v>1671</v>
      </c>
      <c r="E3768" s="2461" t="s">
        <v>1573</v>
      </c>
      <c r="F3768" s="2461" t="s">
        <v>1614</v>
      </c>
      <c r="G3768" s="2461" t="s">
        <v>1418</v>
      </c>
      <c r="H3768" s="2461" t="s">
        <v>1452</v>
      </c>
      <c r="I3768" s="2462">
        <v>5.3736387050742676E-6</v>
      </c>
      <c r="J3768" s="2462">
        <v>4.5930651964048066E-2</v>
      </c>
    </row>
    <row r="3769" spans="1:10" outlineLevel="2">
      <c r="A3769" s="2459" t="s">
        <v>1669</v>
      </c>
      <c r="B3769" s="2459" t="s">
        <v>1660</v>
      </c>
      <c r="C3769" s="2459" t="s">
        <v>1670</v>
      </c>
      <c r="D3769" s="2460" t="s">
        <v>1671</v>
      </c>
      <c r="E3769" s="2461" t="s">
        <v>1573</v>
      </c>
      <c r="F3769" s="2461" t="s">
        <v>1615</v>
      </c>
      <c r="G3769" s="2461" t="s">
        <v>1418</v>
      </c>
      <c r="H3769" s="2461" t="s">
        <v>1452</v>
      </c>
      <c r="I3769" s="2462">
        <v>3.2505273033812274E-2</v>
      </c>
      <c r="J3769" s="2462">
        <v>1907.1407791981576</v>
      </c>
    </row>
    <row r="3770" spans="1:10" outlineLevel="2">
      <c r="A3770" s="2459" t="s">
        <v>1669</v>
      </c>
      <c r="B3770" s="2459" t="s">
        <v>1660</v>
      </c>
      <c r="C3770" s="2459" t="s">
        <v>1670</v>
      </c>
      <c r="D3770" s="2460" t="s">
        <v>1671</v>
      </c>
      <c r="E3770" s="2461" t="s">
        <v>1573</v>
      </c>
      <c r="F3770" s="2461" t="s">
        <v>1616</v>
      </c>
      <c r="G3770" s="2461" t="s">
        <v>1418</v>
      </c>
      <c r="H3770" s="2461" t="s">
        <v>1452</v>
      </c>
      <c r="I3770" s="2462">
        <v>1.5514440525615715E-3</v>
      </c>
      <c r="J3770" s="2462">
        <v>170.9914368614931</v>
      </c>
    </row>
    <row r="3771" spans="1:10" outlineLevel="2">
      <c r="A3771" s="2459" t="s">
        <v>1669</v>
      </c>
      <c r="B3771" s="2459" t="s">
        <v>1660</v>
      </c>
      <c r="C3771" s="2459" t="s">
        <v>1670</v>
      </c>
      <c r="D3771" s="2460" t="s">
        <v>1671</v>
      </c>
      <c r="E3771" s="2461" t="s">
        <v>1573</v>
      </c>
      <c r="F3771" s="2461" t="s">
        <v>1617</v>
      </c>
      <c r="G3771" s="2461" t="s">
        <v>1418</v>
      </c>
      <c r="H3771" s="2461" t="s">
        <v>1452</v>
      </c>
      <c r="I3771" s="2462">
        <v>1.232323551508661E-5</v>
      </c>
      <c r="J3771" s="2462">
        <v>0.94644957541849439</v>
      </c>
    </row>
    <row r="3772" spans="1:10" outlineLevel="2">
      <c r="A3772" s="2459" t="s">
        <v>1669</v>
      </c>
      <c r="B3772" s="2459" t="s">
        <v>1660</v>
      </c>
      <c r="C3772" s="2459" t="s">
        <v>1670</v>
      </c>
      <c r="D3772" s="2460" t="s">
        <v>1671</v>
      </c>
      <c r="E3772" s="2461" t="s">
        <v>1573</v>
      </c>
      <c r="F3772" s="2461" t="s">
        <v>1618</v>
      </c>
      <c r="G3772" s="2461" t="s">
        <v>1418</v>
      </c>
      <c r="H3772" s="2461" t="s">
        <v>1452</v>
      </c>
      <c r="I3772" s="2462">
        <v>2.4022378526736836E-6</v>
      </c>
      <c r="J3772" s="2462">
        <v>0.19882022976456665</v>
      </c>
    </row>
    <row r="3773" spans="1:10" outlineLevel="2">
      <c r="A3773" s="2459" t="s">
        <v>1669</v>
      </c>
      <c r="B3773" s="2459" t="s">
        <v>1660</v>
      </c>
      <c r="C3773" s="2459" t="s">
        <v>1670</v>
      </c>
      <c r="D3773" s="2460" t="s">
        <v>1671</v>
      </c>
      <c r="E3773" s="2461" t="s">
        <v>1573</v>
      </c>
      <c r="F3773" s="2461" t="s">
        <v>1619</v>
      </c>
      <c r="G3773" s="2461" t="s">
        <v>1418</v>
      </c>
      <c r="H3773" s="2461" t="s">
        <v>1452</v>
      </c>
      <c r="I3773" s="2462">
        <v>1.5770664437513986E-4</v>
      </c>
      <c r="J3773" s="2462">
        <v>14.500821336691763</v>
      </c>
    </row>
    <row r="3774" spans="1:10" outlineLevel="2">
      <c r="A3774" s="2459" t="s">
        <v>1669</v>
      </c>
      <c r="B3774" s="2459" t="s">
        <v>1660</v>
      </c>
      <c r="C3774" s="2459" t="s">
        <v>1670</v>
      </c>
      <c r="D3774" s="2460" t="s">
        <v>1671</v>
      </c>
      <c r="E3774" s="2461" t="s">
        <v>1573</v>
      </c>
      <c r="F3774" s="2461" t="s">
        <v>1620</v>
      </c>
      <c r="G3774" s="2461" t="s">
        <v>1418</v>
      </c>
      <c r="H3774" s="2461" t="s">
        <v>1452</v>
      </c>
      <c r="I3774" s="2462">
        <v>3.334322335796501E-7</v>
      </c>
      <c r="J3774" s="2462">
        <v>4.0119296159966455E-2</v>
      </c>
    </row>
    <row r="3775" spans="1:10" outlineLevel="2">
      <c r="A3775" s="2459" t="s">
        <v>1669</v>
      </c>
      <c r="B3775" s="2459" t="s">
        <v>1660</v>
      </c>
      <c r="C3775" s="2459" t="s">
        <v>1670</v>
      </c>
      <c r="D3775" s="2460" t="s">
        <v>1671</v>
      </c>
      <c r="E3775" s="2461" t="s">
        <v>1573</v>
      </c>
      <c r="F3775" s="2461" t="s">
        <v>1621</v>
      </c>
      <c r="G3775" s="2461" t="s">
        <v>1418</v>
      </c>
      <c r="H3775" s="2461" t="s">
        <v>1452</v>
      </c>
      <c r="I3775" s="2462">
        <v>1.4194587846081392E-4</v>
      </c>
      <c r="J3775" s="2462">
        <v>13.407925690699127</v>
      </c>
    </row>
    <row r="3776" spans="1:10" outlineLevel="2">
      <c r="A3776" s="2459" t="s">
        <v>1669</v>
      </c>
      <c r="B3776" s="2459" t="s">
        <v>1660</v>
      </c>
      <c r="C3776" s="2459" t="s">
        <v>1670</v>
      </c>
      <c r="D3776" s="2460" t="s">
        <v>1671</v>
      </c>
      <c r="E3776" s="2461" t="s">
        <v>1573</v>
      </c>
      <c r="F3776" s="2461" t="s">
        <v>1622</v>
      </c>
      <c r="G3776" s="2461" t="s">
        <v>1418</v>
      </c>
      <c r="H3776" s="2461" t="s">
        <v>1452</v>
      </c>
      <c r="I3776" s="2462">
        <v>4.1968824217953113E-4</v>
      </c>
      <c r="J3776" s="2462">
        <v>37.312048762371639</v>
      </c>
    </row>
    <row r="3777" spans="1:10" outlineLevel="2">
      <c r="A3777" s="2459" t="s">
        <v>1669</v>
      </c>
      <c r="B3777" s="2459" t="s">
        <v>1660</v>
      </c>
      <c r="C3777" s="2459" t="s">
        <v>1670</v>
      </c>
      <c r="D3777" s="2460" t="s">
        <v>1671</v>
      </c>
      <c r="E3777" s="2461" t="s">
        <v>1573</v>
      </c>
      <c r="F3777" s="2461" t="s">
        <v>1623</v>
      </c>
      <c r="G3777" s="2461" t="s">
        <v>1418</v>
      </c>
      <c r="H3777" s="2461" t="s">
        <v>1452</v>
      </c>
      <c r="I3777" s="2462">
        <v>6.3650680637480851E-4</v>
      </c>
      <c r="J3777" s="2462">
        <v>27.512850062155891</v>
      </c>
    </row>
    <row r="3778" spans="1:10" outlineLevel="2">
      <c r="A3778" s="2459" t="s">
        <v>1669</v>
      </c>
      <c r="B3778" s="2459" t="s">
        <v>1660</v>
      </c>
      <c r="C3778" s="2459" t="s">
        <v>1670</v>
      </c>
      <c r="D3778" s="2460" t="s">
        <v>1671</v>
      </c>
      <c r="E3778" s="2461" t="s">
        <v>1573</v>
      </c>
      <c r="F3778" s="2461" t="s">
        <v>1624</v>
      </c>
      <c r="G3778" s="2461" t="s">
        <v>1421</v>
      </c>
      <c r="H3778" s="2461" t="s">
        <v>1454</v>
      </c>
      <c r="I3778" s="2462">
        <v>6.4710908139215722E-3</v>
      </c>
      <c r="J3778" s="2462">
        <v>236.62817984500094</v>
      </c>
    </row>
    <row r="3779" spans="1:10" outlineLevel="2">
      <c r="A3779" s="2459" t="s">
        <v>1669</v>
      </c>
      <c r="B3779" s="2459" t="s">
        <v>1660</v>
      </c>
      <c r="C3779" s="2459" t="s">
        <v>1670</v>
      </c>
      <c r="D3779" s="2460" t="s">
        <v>1671</v>
      </c>
      <c r="E3779" s="2461" t="s">
        <v>1573</v>
      </c>
      <c r="F3779" s="2461" t="s">
        <v>1625</v>
      </c>
      <c r="G3779" s="2461" t="s">
        <v>1421</v>
      </c>
      <c r="H3779" s="2461" t="s">
        <v>1454</v>
      </c>
      <c r="I3779" s="2462">
        <v>1.5260825513147102E-3</v>
      </c>
      <c r="J3779" s="2462">
        <v>55.848568796867625</v>
      </c>
    </row>
    <row r="3780" spans="1:10" outlineLevel="2">
      <c r="A3780" s="2459" t="s">
        <v>1669</v>
      </c>
      <c r="B3780" s="2459" t="s">
        <v>1660</v>
      </c>
      <c r="C3780" s="2459" t="s">
        <v>1670</v>
      </c>
      <c r="D3780" s="2460" t="s">
        <v>1671</v>
      </c>
      <c r="E3780" s="2461" t="s">
        <v>1573</v>
      </c>
      <c r="F3780" s="2461" t="s">
        <v>1626</v>
      </c>
      <c r="G3780" s="2461" t="s">
        <v>1421</v>
      </c>
      <c r="H3780" s="2461" t="s">
        <v>1454</v>
      </c>
      <c r="I3780" s="2462">
        <v>4.2830712155730285E-3</v>
      </c>
      <c r="J3780" s="2462">
        <v>154.94501344949421</v>
      </c>
    </row>
    <row r="3781" spans="1:10" outlineLevel="2">
      <c r="A3781" s="2459" t="s">
        <v>1669</v>
      </c>
      <c r="B3781" s="2459" t="s">
        <v>1660</v>
      </c>
      <c r="C3781" s="2459" t="s">
        <v>1670</v>
      </c>
      <c r="D3781" s="2460" t="s">
        <v>1671</v>
      </c>
      <c r="E3781" s="2461" t="s">
        <v>1573</v>
      </c>
      <c r="F3781" s="2461" t="s">
        <v>1627</v>
      </c>
      <c r="G3781" s="2461" t="s">
        <v>1421</v>
      </c>
      <c r="H3781" s="2461" t="s">
        <v>1454</v>
      </c>
      <c r="I3781" s="2462">
        <v>3.6166979306159492E-3</v>
      </c>
      <c r="J3781" s="2462">
        <v>78.670334259495945</v>
      </c>
    </row>
    <row r="3782" spans="1:10" outlineLevel="2">
      <c r="A3782" s="2459" t="s">
        <v>1669</v>
      </c>
      <c r="B3782" s="2459" t="s">
        <v>1660</v>
      </c>
      <c r="C3782" s="2459" t="s">
        <v>1670</v>
      </c>
      <c r="D3782" s="2460" t="s">
        <v>1671</v>
      </c>
      <c r="E3782" s="2461" t="s">
        <v>1573</v>
      </c>
      <c r="F3782" s="2461" t="s">
        <v>1628</v>
      </c>
      <c r="G3782" s="2461" t="s">
        <v>1421</v>
      </c>
      <c r="H3782" s="2461" t="s">
        <v>1454</v>
      </c>
      <c r="I3782" s="2462">
        <v>1.799103961907851E-4</v>
      </c>
      <c r="J3782" s="2462">
        <v>7.5661125215139942</v>
      </c>
    </row>
    <row r="3783" spans="1:10" outlineLevel="2">
      <c r="A3783" s="2459" t="s">
        <v>1669</v>
      </c>
      <c r="B3783" s="2459" t="s">
        <v>1660</v>
      </c>
      <c r="C3783" s="2459" t="s">
        <v>1670</v>
      </c>
      <c r="D3783" s="2460" t="s">
        <v>1671</v>
      </c>
      <c r="E3783" s="2461" t="s">
        <v>1573</v>
      </c>
      <c r="F3783" s="2461" t="s">
        <v>1629</v>
      </c>
      <c r="G3783" s="2461" t="s">
        <v>1421</v>
      </c>
      <c r="H3783" s="2461" t="s">
        <v>1454</v>
      </c>
      <c r="I3783" s="2462">
        <v>2.0813579519203987E-4</v>
      </c>
      <c r="J3783" s="2462">
        <v>6.6966158126427322</v>
      </c>
    </row>
    <row r="3784" spans="1:10" outlineLevel="2">
      <c r="A3784" s="2459" t="s">
        <v>1669</v>
      </c>
      <c r="B3784" s="2459" t="s">
        <v>1660</v>
      </c>
      <c r="C3784" s="2459" t="s">
        <v>1670</v>
      </c>
      <c r="D3784" s="2460" t="s">
        <v>1671</v>
      </c>
      <c r="E3784" s="2461" t="s">
        <v>1573</v>
      </c>
      <c r="F3784" s="2461" t="s">
        <v>1630</v>
      </c>
      <c r="G3784" s="2461" t="s">
        <v>1459</v>
      </c>
      <c r="H3784" s="2461" t="s">
        <v>1460</v>
      </c>
      <c r="I3784" s="2462">
        <v>7.5830132284290443E-3</v>
      </c>
      <c r="J3784" s="2462">
        <v>496.97449713709472</v>
      </c>
    </row>
    <row r="3785" spans="1:10" outlineLevel="2">
      <c r="A3785" s="2459" t="s">
        <v>1669</v>
      </c>
      <c r="B3785" s="2459" t="s">
        <v>1660</v>
      </c>
      <c r="C3785" s="2459" t="s">
        <v>1670</v>
      </c>
      <c r="D3785" s="2460" t="s">
        <v>1676</v>
      </c>
      <c r="E3785" s="2461" t="s">
        <v>213</v>
      </c>
      <c r="F3785" s="2461" t="s">
        <v>1635</v>
      </c>
      <c r="G3785" s="2461" t="s">
        <v>1636</v>
      </c>
      <c r="H3785" s="2461" t="s">
        <v>1637</v>
      </c>
      <c r="I3785" s="2462">
        <v>1.4588190504058473E-5</v>
      </c>
      <c r="J3785" s="2462">
        <v>4.9473372986494381E-2</v>
      </c>
    </row>
    <row r="3786" spans="1:10" outlineLevel="2">
      <c r="A3786" s="2459" t="s">
        <v>1669</v>
      </c>
      <c r="B3786" s="2459" t="s">
        <v>1660</v>
      </c>
      <c r="C3786" s="2459" t="s">
        <v>1670</v>
      </c>
      <c r="D3786" s="2460" t="s">
        <v>1676</v>
      </c>
      <c r="E3786" s="2461" t="s">
        <v>1538</v>
      </c>
      <c r="F3786" s="2461" t="s">
        <v>1638</v>
      </c>
      <c r="G3786" s="2461" t="s">
        <v>1636</v>
      </c>
      <c r="H3786" s="2461" t="s">
        <v>1540</v>
      </c>
      <c r="I3786" s="2462">
        <v>1.6470028872473042E-6</v>
      </c>
      <c r="J3786" s="2462">
        <v>2.7604484612834362E-2</v>
      </c>
    </row>
    <row r="3787" spans="1:10" outlineLevel="2">
      <c r="A3787" s="2459" t="s">
        <v>1669</v>
      </c>
      <c r="B3787" s="2459" t="s">
        <v>1660</v>
      </c>
      <c r="C3787" s="2459" t="s">
        <v>1670</v>
      </c>
      <c r="D3787" s="2460" t="s">
        <v>1676</v>
      </c>
      <c r="E3787" s="2461" t="s">
        <v>1573</v>
      </c>
      <c r="F3787" s="2461" t="s">
        <v>1639</v>
      </c>
      <c r="G3787" s="2461" t="s">
        <v>1636</v>
      </c>
      <c r="H3787" s="2461" t="s">
        <v>1637</v>
      </c>
      <c r="I3787" s="2462">
        <v>2.8670246058931763E-5</v>
      </c>
      <c r="J3787" s="2462">
        <v>1.526861683918556</v>
      </c>
    </row>
    <row r="3788" spans="1:10" outlineLevel="2">
      <c r="A3788" s="2459" t="s">
        <v>1669</v>
      </c>
      <c r="B3788" s="2459" t="s">
        <v>1661</v>
      </c>
      <c r="C3788" s="2459" t="s">
        <v>1670</v>
      </c>
      <c r="D3788" s="2460" t="s">
        <v>1671</v>
      </c>
      <c r="E3788" s="2461" t="s">
        <v>1407</v>
      </c>
      <c r="F3788" s="2461" t="s">
        <v>1408</v>
      </c>
      <c r="G3788" s="2461" t="s">
        <v>1409</v>
      </c>
      <c r="H3788" s="2461" t="s">
        <v>1410</v>
      </c>
      <c r="I3788" s="2462">
        <v>6.6149430449590505E-4</v>
      </c>
      <c r="J3788" s="2462">
        <v>9.7307340049704732E-3</v>
      </c>
    </row>
    <row r="3789" spans="1:10" outlineLevel="2">
      <c r="A3789" s="2459" t="s">
        <v>1669</v>
      </c>
      <c r="B3789" s="2459" t="s">
        <v>1661</v>
      </c>
      <c r="C3789" s="2459" t="s">
        <v>1670</v>
      </c>
      <c r="D3789" s="2460" t="s">
        <v>1671</v>
      </c>
      <c r="E3789" s="2461" t="s">
        <v>1407</v>
      </c>
      <c r="F3789" s="2461" t="s">
        <v>1411</v>
      </c>
      <c r="G3789" s="2461" t="s">
        <v>1412</v>
      </c>
      <c r="H3789" s="2461" t="s">
        <v>1410</v>
      </c>
      <c r="I3789" s="2462">
        <v>0.13837606500632857</v>
      </c>
      <c r="J3789" s="2462">
        <v>22.471452309104549</v>
      </c>
    </row>
    <row r="3790" spans="1:10" outlineLevel="2">
      <c r="A3790" s="2459" t="s">
        <v>1669</v>
      </c>
      <c r="B3790" s="2459" t="s">
        <v>1661</v>
      </c>
      <c r="C3790" s="2459" t="s">
        <v>1670</v>
      </c>
      <c r="D3790" s="2460" t="s">
        <v>1671</v>
      </c>
      <c r="E3790" s="2461" t="s">
        <v>1407</v>
      </c>
      <c r="F3790" s="2461" t="s">
        <v>1413</v>
      </c>
      <c r="G3790" s="2461" t="s">
        <v>1412</v>
      </c>
      <c r="H3790" s="2461" t="s">
        <v>1410</v>
      </c>
      <c r="I3790" s="2462">
        <v>1.1237507553240651E-4</v>
      </c>
      <c r="J3790" s="2462">
        <v>1.9037299538612048E-2</v>
      </c>
    </row>
    <row r="3791" spans="1:10" outlineLevel="2">
      <c r="A3791" s="2459" t="s">
        <v>1669</v>
      </c>
      <c r="B3791" s="2459" t="s">
        <v>1661</v>
      </c>
      <c r="C3791" s="2459" t="s">
        <v>1670</v>
      </c>
      <c r="D3791" s="2460" t="s">
        <v>1671</v>
      </c>
      <c r="E3791" s="2461" t="s">
        <v>1407</v>
      </c>
      <c r="F3791" s="2461" t="s">
        <v>1414</v>
      </c>
      <c r="G3791" s="2461" t="s">
        <v>1412</v>
      </c>
      <c r="H3791" s="2461" t="s">
        <v>1410</v>
      </c>
      <c r="I3791" s="2462">
        <v>5.6471454734780906E-5</v>
      </c>
      <c r="J3791" s="2462">
        <v>1.0374035564322353E-2</v>
      </c>
    </row>
    <row r="3792" spans="1:10" outlineLevel="2">
      <c r="A3792" s="2459" t="s">
        <v>1669</v>
      </c>
      <c r="B3792" s="2459" t="s">
        <v>1661</v>
      </c>
      <c r="C3792" s="2459" t="s">
        <v>1670</v>
      </c>
      <c r="D3792" s="2460" t="s">
        <v>1671</v>
      </c>
      <c r="E3792" s="2461" t="s">
        <v>1407</v>
      </c>
      <c r="F3792" s="2461" t="s">
        <v>1415</v>
      </c>
      <c r="G3792" s="2461" t="s">
        <v>1412</v>
      </c>
      <c r="H3792" s="2461" t="s">
        <v>1410</v>
      </c>
      <c r="I3792" s="2462">
        <v>1.0782992131602119E-3</v>
      </c>
      <c r="J3792" s="2462">
        <v>0.17176344284555922</v>
      </c>
    </row>
    <row r="3793" spans="1:10" outlineLevel="2">
      <c r="A3793" s="2459" t="s">
        <v>1669</v>
      </c>
      <c r="B3793" s="2459" t="s">
        <v>1661</v>
      </c>
      <c r="C3793" s="2459" t="s">
        <v>1670</v>
      </c>
      <c r="D3793" s="2460" t="s">
        <v>1671</v>
      </c>
      <c r="E3793" s="2461" t="s">
        <v>1407</v>
      </c>
      <c r="F3793" s="2461" t="s">
        <v>1416</v>
      </c>
      <c r="G3793" s="2461" t="s">
        <v>1412</v>
      </c>
      <c r="H3793" s="2461" t="s">
        <v>1410</v>
      </c>
      <c r="I3793" s="2462">
        <v>5.1689691190671201E-4</v>
      </c>
      <c r="J3793" s="2462">
        <v>0.12715223379575943</v>
      </c>
    </row>
    <row r="3794" spans="1:10" outlineLevel="2">
      <c r="A3794" s="2459" t="s">
        <v>1669</v>
      </c>
      <c r="B3794" s="2459" t="s">
        <v>1661</v>
      </c>
      <c r="C3794" s="2459" t="s">
        <v>1670</v>
      </c>
      <c r="D3794" s="2460" t="s">
        <v>1671</v>
      </c>
      <c r="E3794" s="2461" t="s">
        <v>1407</v>
      </c>
      <c r="F3794" s="2461" t="s">
        <v>1417</v>
      </c>
      <c r="G3794" s="2461" t="s">
        <v>1418</v>
      </c>
      <c r="H3794" s="2461" t="s">
        <v>1410</v>
      </c>
      <c r="I3794" s="2462">
        <v>3.2911660814180614E-3</v>
      </c>
      <c r="J3794" s="2462">
        <v>4.3716257686103772E-2</v>
      </c>
    </row>
    <row r="3795" spans="1:10" outlineLevel="2">
      <c r="A3795" s="2459" t="s">
        <v>1669</v>
      </c>
      <c r="B3795" s="2459" t="s">
        <v>1661</v>
      </c>
      <c r="C3795" s="2459" t="s">
        <v>1670</v>
      </c>
      <c r="D3795" s="2460" t="s">
        <v>1671</v>
      </c>
      <c r="E3795" s="2461" t="s">
        <v>1407</v>
      </c>
      <c r="F3795" s="2461" t="s">
        <v>1419</v>
      </c>
      <c r="G3795" s="2461" t="s">
        <v>1418</v>
      </c>
      <c r="H3795" s="2461" t="s">
        <v>1410</v>
      </c>
      <c r="I3795" s="2462">
        <v>2.4429796531809222E-2</v>
      </c>
      <c r="J3795" s="2462">
        <v>4.7445023256351826</v>
      </c>
    </row>
    <row r="3796" spans="1:10" outlineLevel="2">
      <c r="A3796" s="2459" t="s">
        <v>1669</v>
      </c>
      <c r="B3796" s="2459" t="s">
        <v>1661</v>
      </c>
      <c r="C3796" s="2459" t="s">
        <v>1670</v>
      </c>
      <c r="D3796" s="2460" t="s">
        <v>1671</v>
      </c>
      <c r="E3796" s="2461" t="s">
        <v>1407</v>
      </c>
      <c r="F3796" s="2461" t="s">
        <v>1420</v>
      </c>
      <c r="G3796" s="2461" t="s">
        <v>1421</v>
      </c>
      <c r="H3796" s="2461" t="s">
        <v>1410</v>
      </c>
      <c r="I3796" s="2462">
        <v>0.15027809904774547</v>
      </c>
      <c r="J3796" s="2462">
        <v>3.9001165381717007</v>
      </c>
    </row>
    <row r="3797" spans="1:10" outlineLevel="2">
      <c r="A3797" s="2459" t="s">
        <v>1669</v>
      </c>
      <c r="B3797" s="2459" t="s">
        <v>1661</v>
      </c>
      <c r="C3797" s="2459" t="s">
        <v>1670</v>
      </c>
      <c r="D3797" s="2460" t="s">
        <v>1671</v>
      </c>
      <c r="E3797" s="2461" t="s">
        <v>1407</v>
      </c>
      <c r="F3797" s="2461" t="s">
        <v>1422</v>
      </c>
      <c r="G3797" s="2461" t="s">
        <v>1421</v>
      </c>
      <c r="H3797" s="2461" t="s">
        <v>1410</v>
      </c>
      <c r="I3797" s="2462">
        <v>4.5443873098562453E-3</v>
      </c>
      <c r="J3797" s="2462">
        <v>0.18619817849702963</v>
      </c>
    </row>
    <row r="3798" spans="1:10" outlineLevel="2">
      <c r="A3798" s="2459" t="s">
        <v>1669</v>
      </c>
      <c r="B3798" s="2459" t="s">
        <v>1661</v>
      </c>
      <c r="C3798" s="2459" t="s">
        <v>1670</v>
      </c>
      <c r="D3798" s="2460" t="s">
        <v>1671</v>
      </c>
      <c r="E3798" s="2461" t="s">
        <v>1407</v>
      </c>
      <c r="F3798" s="2461" t="s">
        <v>1423</v>
      </c>
      <c r="G3798" s="2461" t="s">
        <v>1421</v>
      </c>
      <c r="H3798" s="2461" t="s">
        <v>1410</v>
      </c>
      <c r="I3798" s="2462">
        <v>2.3620615999153964E-3</v>
      </c>
      <c r="J3798" s="2462">
        <v>0.27220061504313331</v>
      </c>
    </row>
    <row r="3799" spans="1:10" outlineLevel="2">
      <c r="A3799" s="2459" t="s">
        <v>1669</v>
      </c>
      <c r="B3799" s="2459" t="s">
        <v>1661</v>
      </c>
      <c r="C3799" s="2459" t="s">
        <v>1670</v>
      </c>
      <c r="D3799" s="2460" t="s">
        <v>1671</v>
      </c>
      <c r="E3799" s="2461" t="s">
        <v>1407</v>
      </c>
      <c r="F3799" s="2461" t="s">
        <v>1424</v>
      </c>
      <c r="G3799" s="2461" t="s">
        <v>1421</v>
      </c>
      <c r="H3799" s="2461" t="s">
        <v>1410</v>
      </c>
      <c r="I3799" s="2462">
        <v>4.6191321840221733E-2</v>
      </c>
      <c r="J3799" s="2462">
        <v>9.6662528491206476</v>
      </c>
    </row>
    <row r="3800" spans="1:10" outlineLevel="2">
      <c r="A3800" s="2459" t="s">
        <v>1669</v>
      </c>
      <c r="B3800" s="2459" t="s">
        <v>1661</v>
      </c>
      <c r="C3800" s="2459" t="s">
        <v>1670</v>
      </c>
      <c r="D3800" s="2460" t="s">
        <v>1671</v>
      </c>
      <c r="E3800" s="2461" t="s">
        <v>213</v>
      </c>
      <c r="F3800" s="2461" t="s">
        <v>1430</v>
      </c>
      <c r="G3800" s="2461" t="s">
        <v>1409</v>
      </c>
      <c r="H3800" s="2461" t="s">
        <v>1070</v>
      </c>
      <c r="I3800" s="2462">
        <v>2.0447163454145045E-3</v>
      </c>
      <c r="J3800" s="2462">
        <v>1.2687040523166047</v>
      </c>
    </row>
    <row r="3801" spans="1:10" outlineLevel="2">
      <c r="A3801" s="2459" t="s">
        <v>1669</v>
      </c>
      <c r="B3801" s="2459" t="s">
        <v>1661</v>
      </c>
      <c r="C3801" s="2459" t="s">
        <v>1670</v>
      </c>
      <c r="D3801" s="2460" t="s">
        <v>1671</v>
      </c>
      <c r="E3801" s="2461" t="s">
        <v>213</v>
      </c>
      <c r="F3801" s="2461" t="s">
        <v>1431</v>
      </c>
      <c r="G3801" s="2461" t="s">
        <v>1409</v>
      </c>
      <c r="H3801" s="2461" t="s">
        <v>1070</v>
      </c>
      <c r="I3801" s="2462">
        <v>1.696896402222643E-4</v>
      </c>
      <c r="J3801" s="2462">
        <v>8.2181785609010086E-2</v>
      </c>
    </row>
    <row r="3802" spans="1:10" outlineLevel="2">
      <c r="A3802" s="2459" t="s">
        <v>1669</v>
      </c>
      <c r="B3802" s="2459" t="s">
        <v>1661</v>
      </c>
      <c r="C3802" s="2459" t="s">
        <v>1670</v>
      </c>
      <c r="D3802" s="2460" t="s">
        <v>1671</v>
      </c>
      <c r="E3802" s="2461" t="s">
        <v>213</v>
      </c>
      <c r="F3802" s="2461" t="s">
        <v>1432</v>
      </c>
      <c r="G3802" s="2461" t="s">
        <v>1409</v>
      </c>
      <c r="H3802" s="2461" t="s">
        <v>1070</v>
      </c>
      <c r="I3802" s="2462">
        <v>2.0564168343238594E-4</v>
      </c>
      <c r="J3802" s="2462">
        <v>9.8230619122911159E-2</v>
      </c>
    </row>
    <row r="3803" spans="1:10" outlineLevel="2">
      <c r="A3803" s="2459" t="s">
        <v>1669</v>
      </c>
      <c r="B3803" s="2459" t="s">
        <v>1661</v>
      </c>
      <c r="C3803" s="2459" t="s">
        <v>1670</v>
      </c>
      <c r="D3803" s="2460" t="s">
        <v>1671</v>
      </c>
      <c r="E3803" s="2461" t="s">
        <v>213</v>
      </c>
      <c r="F3803" s="2461" t="s">
        <v>1433</v>
      </c>
      <c r="G3803" s="2461" t="s">
        <v>1409</v>
      </c>
      <c r="H3803" s="2461" t="s">
        <v>1070</v>
      </c>
      <c r="I3803" s="2462">
        <v>1.5208085722540316E-6</v>
      </c>
      <c r="J3803" s="2462">
        <v>6.8063198424047678E-4</v>
      </c>
    </row>
    <row r="3804" spans="1:10" outlineLevel="2">
      <c r="A3804" s="2459" t="s">
        <v>1669</v>
      </c>
      <c r="B3804" s="2459" t="s">
        <v>1661</v>
      </c>
      <c r="C3804" s="2459" t="s">
        <v>1670</v>
      </c>
      <c r="D3804" s="2460" t="s">
        <v>1671</v>
      </c>
      <c r="E3804" s="2461" t="s">
        <v>213</v>
      </c>
      <c r="F3804" s="2461" t="s">
        <v>1434</v>
      </c>
      <c r="G3804" s="2461" t="s">
        <v>1409</v>
      </c>
      <c r="H3804" s="2461" t="s">
        <v>1070</v>
      </c>
      <c r="I3804" s="2462">
        <v>5.8619798613478461E-3</v>
      </c>
      <c r="J3804" s="2462">
        <v>3.2732362363715062</v>
      </c>
    </row>
    <row r="3805" spans="1:10" outlineLevel="2">
      <c r="A3805" s="2459" t="s">
        <v>1669</v>
      </c>
      <c r="B3805" s="2459" t="s">
        <v>1661</v>
      </c>
      <c r="C3805" s="2459" t="s">
        <v>1670</v>
      </c>
      <c r="D3805" s="2460" t="s">
        <v>1671</v>
      </c>
      <c r="E3805" s="2461" t="s">
        <v>213</v>
      </c>
      <c r="F3805" s="2461" t="s">
        <v>1435</v>
      </c>
      <c r="G3805" s="2461" t="s">
        <v>1409</v>
      </c>
      <c r="H3805" s="2461" t="s">
        <v>1070</v>
      </c>
      <c r="I3805" s="2462">
        <v>4.2860906921685767E-5</v>
      </c>
      <c r="J3805" s="2462">
        <v>1.9182233094593441E-2</v>
      </c>
    </row>
    <row r="3806" spans="1:10" outlineLevel="2">
      <c r="A3806" s="2459" t="s">
        <v>1669</v>
      </c>
      <c r="B3806" s="2459" t="s">
        <v>1661</v>
      </c>
      <c r="C3806" s="2459" t="s">
        <v>1670</v>
      </c>
      <c r="D3806" s="2460" t="s">
        <v>1671</v>
      </c>
      <c r="E3806" s="2461" t="s">
        <v>213</v>
      </c>
      <c r="F3806" s="2461" t="s">
        <v>1436</v>
      </c>
      <c r="G3806" s="2461" t="s">
        <v>1412</v>
      </c>
      <c r="H3806" s="2461" t="s">
        <v>1116</v>
      </c>
      <c r="I3806" s="2462">
        <v>1.370476944538886E-4</v>
      </c>
      <c r="J3806" s="2462">
        <v>6.1335154336821233E-2</v>
      </c>
    </row>
    <row r="3807" spans="1:10" outlineLevel="2">
      <c r="A3807" s="2459" t="s">
        <v>1669</v>
      </c>
      <c r="B3807" s="2459" t="s">
        <v>1661</v>
      </c>
      <c r="C3807" s="2459" t="s">
        <v>1670</v>
      </c>
      <c r="D3807" s="2460" t="s">
        <v>1671</v>
      </c>
      <c r="E3807" s="2461" t="s">
        <v>213</v>
      </c>
      <c r="F3807" s="2461" t="s">
        <v>1437</v>
      </c>
      <c r="G3807" s="2461" t="s">
        <v>1412</v>
      </c>
      <c r="H3807" s="2461" t="s">
        <v>1116</v>
      </c>
      <c r="I3807" s="2462">
        <v>1.0487086693494969E-5</v>
      </c>
      <c r="J3807" s="2462">
        <v>4.6934440352370292E-3</v>
      </c>
    </row>
    <row r="3808" spans="1:10" outlineLevel="2">
      <c r="A3808" s="2459" t="s">
        <v>1669</v>
      </c>
      <c r="B3808" s="2459" t="s">
        <v>1661</v>
      </c>
      <c r="C3808" s="2459" t="s">
        <v>1670</v>
      </c>
      <c r="D3808" s="2460" t="s">
        <v>1671</v>
      </c>
      <c r="E3808" s="2461" t="s">
        <v>213</v>
      </c>
      <c r="F3808" s="2461" t="s">
        <v>1438</v>
      </c>
      <c r="G3808" s="2461" t="s">
        <v>1439</v>
      </c>
      <c r="H3808" s="2461" t="s">
        <v>1440</v>
      </c>
      <c r="I3808" s="2462">
        <v>1.5954410039733015E-3</v>
      </c>
      <c r="J3808" s="2462">
        <v>0.87376901184495082</v>
      </c>
    </row>
    <row r="3809" spans="1:10" outlineLevel="2">
      <c r="A3809" s="2459" t="s">
        <v>1669</v>
      </c>
      <c r="B3809" s="2459" t="s">
        <v>1661</v>
      </c>
      <c r="C3809" s="2459" t="s">
        <v>1670</v>
      </c>
      <c r="D3809" s="2460" t="s">
        <v>1671</v>
      </c>
      <c r="E3809" s="2461" t="s">
        <v>213</v>
      </c>
      <c r="F3809" s="2461" t="s">
        <v>1441</v>
      </c>
      <c r="G3809" s="2461" t="s">
        <v>1439</v>
      </c>
      <c r="H3809" s="2461" t="s">
        <v>1440</v>
      </c>
      <c r="I3809" s="2462">
        <v>4.1125672328866027E-2</v>
      </c>
      <c r="J3809" s="2462">
        <v>22.102796209254414</v>
      </c>
    </row>
    <row r="3810" spans="1:10" outlineLevel="2">
      <c r="A3810" s="2459" t="s">
        <v>1669</v>
      </c>
      <c r="B3810" s="2459" t="s">
        <v>1661</v>
      </c>
      <c r="C3810" s="2459" t="s">
        <v>1670</v>
      </c>
      <c r="D3810" s="2460" t="s">
        <v>1671</v>
      </c>
      <c r="E3810" s="2461" t="s">
        <v>213</v>
      </c>
      <c r="F3810" s="2461" t="s">
        <v>1442</v>
      </c>
      <c r="G3810" s="2461" t="s">
        <v>1439</v>
      </c>
      <c r="H3810" s="2461" t="s">
        <v>1440</v>
      </c>
      <c r="I3810" s="2462">
        <v>2.2455057794433162E-2</v>
      </c>
      <c r="J3810" s="2462">
        <v>11.666462715806576</v>
      </c>
    </row>
    <row r="3811" spans="1:10" outlineLevel="2">
      <c r="A3811" s="2459" t="s">
        <v>1669</v>
      </c>
      <c r="B3811" s="2459" t="s">
        <v>1661</v>
      </c>
      <c r="C3811" s="2459" t="s">
        <v>1670</v>
      </c>
      <c r="D3811" s="2460" t="s">
        <v>1671</v>
      </c>
      <c r="E3811" s="2461" t="s">
        <v>213</v>
      </c>
      <c r="F3811" s="2461" t="s">
        <v>1443</v>
      </c>
      <c r="G3811" s="2461" t="s">
        <v>1439</v>
      </c>
      <c r="H3811" s="2461" t="s">
        <v>1440</v>
      </c>
      <c r="I3811" s="2462">
        <v>0.38886673869856336</v>
      </c>
      <c r="J3811" s="2462">
        <v>212.86701463876321</v>
      </c>
    </row>
    <row r="3812" spans="1:10" outlineLevel="2">
      <c r="A3812" s="2459" t="s">
        <v>1669</v>
      </c>
      <c r="B3812" s="2459" t="s">
        <v>1661</v>
      </c>
      <c r="C3812" s="2459" t="s">
        <v>1670</v>
      </c>
      <c r="D3812" s="2460" t="s">
        <v>1671</v>
      </c>
      <c r="E3812" s="2461" t="s">
        <v>213</v>
      </c>
      <c r="F3812" s="2461" t="s">
        <v>1444</v>
      </c>
      <c r="G3812" s="2461" t="s">
        <v>1439</v>
      </c>
      <c r="H3812" s="2461" t="s">
        <v>1440</v>
      </c>
      <c r="I3812" s="2462">
        <v>2.7584783417163368E-2</v>
      </c>
      <c r="J3812" s="2462">
        <v>16.202191252071536</v>
      </c>
    </row>
    <row r="3813" spans="1:10" outlineLevel="2">
      <c r="A3813" s="2459" t="s">
        <v>1669</v>
      </c>
      <c r="B3813" s="2459" t="s">
        <v>1661</v>
      </c>
      <c r="C3813" s="2459" t="s">
        <v>1670</v>
      </c>
      <c r="D3813" s="2460" t="s">
        <v>1671</v>
      </c>
      <c r="E3813" s="2461" t="s">
        <v>213</v>
      </c>
      <c r="F3813" s="2461" t="s">
        <v>1445</v>
      </c>
      <c r="G3813" s="2461" t="s">
        <v>1439</v>
      </c>
      <c r="H3813" s="2461" t="s">
        <v>1440</v>
      </c>
      <c r="I3813" s="2462">
        <v>0.36795960152992119</v>
      </c>
      <c r="J3813" s="2462">
        <v>186.01732541867588</v>
      </c>
    </row>
    <row r="3814" spans="1:10" outlineLevel="2">
      <c r="A3814" s="2459" t="s">
        <v>1669</v>
      </c>
      <c r="B3814" s="2459" t="s">
        <v>1661</v>
      </c>
      <c r="C3814" s="2459" t="s">
        <v>1670</v>
      </c>
      <c r="D3814" s="2460" t="s">
        <v>1671</v>
      </c>
      <c r="E3814" s="2461" t="s">
        <v>213</v>
      </c>
      <c r="F3814" s="2461" t="s">
        <v>1446</v>
      </c>
      <c r="G3814" s="2461" t="s">
        <v>1439</v>
      </c>
      <c r="H3814" s="2461" t="s">
        <v>1440</v>
      </c>
      <c r="I3814" s="2462">
        <v>1.9443012523258082E-2</v>
      </c>
      <c r="J3814" s="2462">
        <v>10.427691072721515</v>
      </c>
    </row>
    <row r="3815" spans="1:10" outlineLevel="2">
      <c r="A3815" s="2459" t="s">
        <v>1669</v>
      </c>
      <c r="B3815" s="2459" t="s">
        <v>1661</v>
      </c>
      <c r="C3815" s="2459" t="s">
        <v>1670</v>
      </c>
      <c r="D3815" s="2460" t="s">
        <v>1671</v>
      </c>
      <c r="E3815" s="2461" t="s">
        <v>213</v>
      </c>
      <c r="F3815" s="2461" t="s">
        <v>1447</v>
      </c>
      <c r="G3815" s="2461" t="s">
        <v>1439</v>
      </c>
      <c r="H3815" s="2461" t="s">
        <v>1440</v>
      </c>
      <c r="I3815" s="2462">
        <v>0.32475869814083586</v>
      </c>
      <c r="J3815" s="2462">
        <v>173.69566541473503</v>
      </c>
    </row>
    <row r="3816" spans="1:10" outlineLevel="2">
      <c r="A3816" s="2459" t="s">
        <v>1669</v>
      </c>
      <c r="B3816" s="2459" t="s">
        <v>1661</v>
      </c>
      <c r="C3816" s="2459" t="s">
        <v>1670</v>
      </c>
      <c r="D3816" s="2460" t="s">
        <v>1671</v>
      </c>
      <c r="E3816" s="2461" t="s">
        <v>213</v>
      </c>
      <c r="F3816" s="2461" t="s">
        <v>1450</v>
      </c>
      <c r="G3816" s="2461" t="s">
        <v>1439</v>
      </c>
      <c r="H3816" s="2461" t="s">
        <v>1440</v>
      </c>
      <c r="I3816" s="2462">
        <v>1.8574938062820441E-4</v>
      </c>
      <c r="J3816" s="2462">
        <v>9.2685354243726578E-2</v>
      </c>
    </row>
    <row r="3817" spans="1:10" outlineLevel="2">
      <c r="A3817" s="2459" t="s">
        <v>1669</v>
      </c>
      <c r="B3817" s="2459" t="s">
        <v>1661</v>
      </c>
      <c r="C3817" s="2459" t="s">
        <v>1670</v>
      </c>
      <c r="D3817" s="2460" t="s">
        <v>1671</v>
      </c>
      <c r="E3817" s="2461" t="s">
        <v>213</v>
      </c>
      <c r="F3817" s="2461" t="s">
        <v>1451</v>
      </c>
      <c r="G3817" s="2461" t="s">
        <v>1418</v>
      </c>
      <c r="H3817" s="2461" t="s">
        <v>1452</v>
      </c>
      <c r="I3817" s="2462">
        <v>4.0871902363663447E-4</v>
      </c>
      <c r="J3817" s="2462">
        <v>0.24855113665928882</v>
      </c>
    </row>
    <row r="3818" spans="1:10" outlineLevel="2">
      <c r="A3818" s="2459" t="s">
        <v>1669</v>
      </c>
      <c r="B3818" s="2459" t="s">
        <v>1661</v>
      </c>
      <c r="C3818" s="2459" t="s">
        <v>1670</v>
      </c>
      <c r="D3818" s="2460" t="s">
        <v>1671</v>
      </c>
      <c r="E3818" s="2461" t="s">
        <v>213</v>
      </c>
      <c r="F3818" s="2461" t="s">
        <v>1453</v>
      </c>
      <c r="G3818" s="2461" t="s">
        <v>1421</v>
      </c>
      <c r="H3818" s="2461" t="s">
        <v>1454</v>
      </c>
      <c r="I3818" s="2462">
        <v>1.3243614706696858E-3</v>
      </c>
      <c r="J3818" s="2462">
        <v>0.65570435916382275</v>
      </c>
    </row>
    <row r="3819" spans="1:10" outlineLevel="2">
      <c r="A3819" s="2459" t="s">
        <v>1669</v>
      </c>
      <c r="B3819" s="2459" t="s">
        <v>1661</v>
      </c>
      <c r="C3819" s="2459" t="s">
        <v>1670</v>
      </c>
      <c r="D3819" s="2460" t="s">
        <v>1671</v>
      </c>
      <c r="E3819" s="2461" t="s">
        <v>213</v>
      </c>
      <c r="F3819" s="2461" t="s">
        <v>1455</v>
      </c>
      <c r="G3819" s="2461" t="s">
        <v>1421</v>
      </c>
      <c r="H3819" s="2461" t="s">
        <v>1454</v>
      </c>
      <c r="I3819" s="2462">
        <v>8.4515415042011929E-3</v>
      </c>
      <c r="J3819" s="2462">
        <v>4.3742860750666601</v>
      </c>
    </row>
    <row r="3820" spans="1:10" outlineLevel="2">
      <c r="A3820" s="2459" t="s">
        <v>1669</v>
      </c>
      <c r="B3820" s="2459" t="s">
        <v>1661</v>
      </c>
      <c r="C3820" s="2459" t="s">
        <v>1670</v>
      </c>
      <c r="D3820" s="2460" t="s">
        <v>1671</v>
      </c>
      <c r="E3820" s="2461" t="s">
        <v>213</v>
      </c>
      <c r="F3820" s="2461" t="s">
        <v>1456</v>
      </c>
      <c r="G3820" s="2461" t="s">
        <v>1421</v>
      </c>
      <c r="H3820" s="2461" t="s">
        <v>1454</v>
      </c>
      <c r="I3820" s="2462">
        <v>3.3899036417919232E-6</v>
      </c>
      <c r="J3820" s="2462">
        <v>1.5171365646772625E-3</v>
      </c>
    </row>
    <row r="3821" spans="1:10" outlineLevel="2">
      <c r="A3821" s="2459" t="s">
        <v>1669</v>
      </c>
      <c r="B3821" s="2459" t="s">
        <v>1661</v>
      </c>
      <c r="C3821" s="2459" t="s">
        <v>1670</v>
      </c>
      <c r="D3821" s="2460" t="s">
        <v>1671</v>
      </c>
      <c r="E3821" s="2461" t="s">
        <v>213</v>
      </c>
      <c r="F3821" s="2461" t="s">
        <v>1457</v>
      </c>
      <c r="G3821" s="2461" t="s">
        <v>1421</v>
      </c>
      <c r="H3821" s="2461" t="s">
        <v>1454</v>
      </c>
      <c r="I3821" s="2462">
        <v>5.9130556628040818E-5</v>
      </c>
      <c r="J3821" s="2462">
        <v>2.6463685897334523E-2</v>
      </c>
    </row>
    <row r="3822" spans="1:10" outlineLevel="2">
      <c r="A3822" s="2459" t="s">
        <v>1669</v>
      </c>
      <c r="B3822" s="2459" t="s">
        <v>1661</v>
      </c>
      <c r="C3822" s="2459" t="s">
        <v>1670</v>
      </c>
      <c r="D3822" s="2460" t="s">
        <v>1671</v>
      </c>
      <c r="E3822" s="2461" t="s">
        <v>213</v>
      </c>
      <c r="F3822" s="2461" t="s">
        <v>1458</v>
      </c>
      <c r="G3822" s="2461" t="s">
        <v>1459</v>
      </c>
      <c r="H3822" s="2461" t="s">
        <v>1460</v>
      </c>
      <c r="I3822" s="2462">
        <v>1.3815849019599079E-2</v>
      </c>
      <c r="J3822" s="2462">
        <v>7.9762943937759472</v>
      </c>
    </row>
    <row r="3823" spans="1:10" outlineLevel="2">
      <c r="A3823" s="2459" t="s">
        <v>1669</v>
      </c>
      <c r="B3823" s="2459" t="s">
        <v>1661</v>
      </c>
      <c r="C3823" s="2459" t="s">
        <v>1670</v>
      </c>
      <c r="D3823" s="2460" t="s">
        <v>1671</v>
      </c>
      <c r="E3823" s="2461" t="s">
        <v>213</v>
      </c>
      <c r="F3823" s="2461" t="s">
        <v>1463</v>
      </c>
      <c r="G3823" s="2461" t="s">
        <v>1426</v>
      </c>
      <c r="H3823" s="2461" t="s">
        <v>1427</v>
      </c>
      <c r="I3823" s="2462">
        <v>6.8275833644772521E-2</v>
      </c>
      <c r="J3823" s="2462">
        <v>91.092781009707593</v>
      </c>
    </row>
    <row r="3824" spans="1:10" outlineLevel="2">
      <c r="A3824" s="2459" t="s">
        <v>1669</v>
      </c>
      <c r="B3824" s="2459" t="s">
        <v>1661</v>
      </c>
      <c r="C3824" s="2459" t="s">
        <v>1670</v>
      </c>
      <c r="D3824" s="2460" t="s">
        <v>1671</v>
      </c>
      <c r="E3824" s="2461" t="s">
        <v>213</v>
      </c>
      <c r="F3824" s="2461" t="s">
        <v>1465</v>
      </c>
      <c r="G3824" s="2461" t="s">
        <v>1409</v>
      </c>
      <c r="H3824" s="2461" t="s">
        <v>1070</v>
      </c>
      <c r="I3824" s="2462">
        <v>6.8668070600830342E-4</v>
      </c>
      <c r="J3824" s="2462">
        <v>1.1246491380870014</v>
      </c>
    </row>
    <row r="3825" spans="1:10" outlineLevel="2">
      <c r="A3825" s="2459" t="s">
        <v>1669</v>
      </c>
      <c r="B3825" s="2459" t="s">
        <v>1661</v>
      </c>
      <c r="C3825" s="2459" t="s">
        <v>1670</v>
      </c>
      <c r="D3825" s="2460" t="s">
        <v>1671</v>
      </c>
      <c r="E3825" s="2461" t="s">
        <v>213</v>
      </c>
      <c r="F3825" s="2461" t="s">
        <v>1466</v>
      </c>
      <c r="G3825" s="2461" t="s">
        <v>1409</v>
      </c>
      <c r="H3825" s="2461" t="s">
        <v>1070</v>
      </c>
      <c r="I3825" s="2462">
        <v>5.4867306666658352E-6</v>
      </c>
      <c r="J3825" s="2462">
        <v>8.3945255088551975E-3</v>
      </c>
    </row>
    <row r="3826" spans="1:10" outlineLevel="2">
      <c r="A3826" s="2459" t="s">
        <v>1669</v>
      </c>
      <c r="B3826" s="2459" t="s">
        <v>1661</v>
      </c>
      <c r="C3826" s="2459" t="s">
        <v>1670</v>
      </c>
      <c r="D3826" s="2460" t="s">
        <v>1671</v>
      </c>
      <c r="E3826" s="2461" t="s">
        <v>213</v>
      </c>
      <c r="F3826" s="2461" t="s">
        <v>1467</v>
      </c>
      <c r="G3826" s="2461" t="s">
        <v>1409</v>
      </c>
      <c r="H3826" s="2461" t="s">
        <v>1070</v>
      </c>
      <c r="I3826" s="2462">
        <v>1.4835273241356579E-3</v>
      </c>
      <c r="J3826" s="2462">
        <v>2.1127895816188005</v>
      </c>
    </row>
    <row r="3827" spans="1:10" outlineLevel="2">
      <c r="A3827" s="2459" t="s">
        <v>1669</v>
      </c>
      <c r="B3827" s="2459" t="s">
        <v>1661</v>
      </c>
      <c r="C3827" s="2459" t="s">
        <v>1670</v>
      </c>
      <c r="D3827" s="2460" t="s">
        <v>1671</v>
      </c>
      <c r="E3827" s="2461" t="s">
        <v>213</v>
      </c>
      <c r="F3827" s="2461" t="s">
        <v>1468</v>
      </c>
      <c r="G3827" s="2461" t="s">
        <v>1409</v>
      </c>
      <c r="H3827" s="2461" t="s">
        <v>1070</v>
      </c>
      <c r="I3827" s="2462">
        <v>1.2106152387330166E-3</v>
      </c>
      <c r="J3827" s="2462">
        <v>1.9891558365437623</v>
      </c>
    </row>
    <row r="3828" spans="1:10" outlineLevel="2">
      <c r="A3828" s="2459" t="s">
        <v>1669</v>
      </c>
      <c r="B3828" s="2459" t="s">
        <v>1661</v>
      </c>
      <c r="C3828" s="2459" t="s">
        <v>1670</v>
      </c>
      <c r="D3828" s="2460" t="s">
        <v>1671</v>
      </c>
      <c r="E3828" s="2461" t="s">
        <v>213</v>
      </c>
      <c r="F3828" s="2461" t="s">
        <v>1469</v>
      </c>
      <c r="G3828" s="2461" t="s">
        <v>1409</v>
      </c>
      <c r="H3828" s="2461" t="s">
        <v>1070</v>
      </c>
      <c r="I3828" s="2462">
        <v>2.7073756167796913E-3</v>
      </c>
      <c r="J3828" s="2462">
        <v>3.9697436864189033</v>
      </c>
    </row>
    <row r="3829" spans="1:10" outlineLevel="2">
      <c r="A3829" s="2459" t="s">
        <v>1669</v>
      </c>
      <c r="B3829" s="2459" t="s">
        <v>1661</v>
      </c>
      <c r="C3829" s="2459" t="s">
        <v>1670</v>
      </c>
      <c r="D3829" s="2460" t="s">
        <v>1671</v>
      </c>
      <c r="E3829" s="2461" t="s">
        <v>213</v>
      </c>
      <c r="F3829" s="2461" t="s">
        <v>1470</v>
      </c>
      <c r="G3829" s="2461" t="s">
        <v>1409</v>
      </c>
      <c r="H3829" s="2461" t="s">
        <v>1070</v>
      </c>
      <c r="I3829" s="2462">
        <v>1.1745045805339131E-3</v>
      </c>
      <c r="J3829" s="2462">
        <v>1.671555695014046</v>
      </c>
    </row>
    <row r="3830" spans="1:10" outlineLevel="2">
      <c r="A3830" s="2459" t="s">
        <v>1669</v>
      </c>
      <c r="B3830" s="2459" t="s">
        <v>1661</v>
      </c>
      <c r="C3830" s="2459" t="s">
        <v>1670</v>
      </c>
      <c r="D3830" s="2460" t="s">
        <v>1671</v>
      </c>
      <c r="E3830" s="2461" t="s">
        <v>213</v>
      </c>
      <c r="F3830" s="2461" t="s">
        <v>1471</v>
      </c>
      <c r="G3830" s="2461" t="s">
        <v>1409</v>
      </c>
      <c r="H3830" s="2461" t="s">
        <v>1070</v>
      </c>
      <c r="I3830" s="2462">
        <v>6.3965121241493897E-5</v>
      </c>
      <c r="J3830" s="2462">
        <v>8.7118405163586196E-2</v>
      </c>
    </row>
    <row r="3831" spans="1:10" outlineLevel="2">
      <c r="A3831" s="2459" t="s">
        <v>1669</v>
      </c>
      <c r="B3831" s="2459" t="s">
        <v>1661</v>
      </c>
      <c r="C3831" s="2459" t="s">
        <v>1670</v>
      </c>
      <c r="D3831" s="2460" t="s">
        <v>1671</v>
      </c>
      <c r="E3831" s="2461" t="s">
        <v>213</v>
      </c>
      <c r="F3831" s="2461" t="s">
        <v>1472</v>
      </c>
      <c r="G3831" s="2461" t="s">
        <v>1409</v>
      </c>
      <c r="H3831" s="2461" t="s">
        <v>1070</v>
      </c>
      <c r="I3831" s="2462">
        <v>2.2261426335067605E-3</v>
      </c>
      <c r="J3831" s="2462">
        <v>3.4980528131040125</v>
      </c>
    </row>
    <row r="3832" spans="1:10" outlineLevel="2">
      <c r="A3832" s="2459" t="s">
        <v>1669</v>
      </c>
      <c r="B3832" s="2459" t="s">
        <v>1661</v>
      </c>
      <c r="C3832" s="2459" t="s">
        <v>1670</v>
      </c>
      <c r="D3832" s="2460" t="s">
        <v>1671</v>
      </c>
      <c r="E3832" s="2461" t="s">
        <v>213</v>
      </c>
      <c r="F3832" s="2461" t="s">
        <v>1473</v>
      </c>
      <c r="G3832" s="2461" t="s">
        <v>1409</v>
      </c>
      <c r="H3832" s="2461" t="s">
        <v>1070</v>
      </c>
      <c r="I3832" s="2462">
        <v>1.0615120206087611E-3</v>
      </c>
      <c r="J3832" s="2462">
        <v>1.2973650425787771</v>
      </c>
    </row>
    <row r="3833" spans="1:10" outlineLevel="2">
      <c r="A3833" s="2459" t="s">
        <v>1669</v>
      </c>
      <c r="B3833" s="2459" t="s">
        <v>1661</v>
      </c>
      <c r="C3833" s="2459" t="s">
        <v>1670</v>
      </c>
      <c r="D3833" s="2460" t="s">
        <v>1671</v>
      </c>
      <c r="E3833" s="2461" t="s">
        <v>213</v>
      </c>
      <c r="F3833" s="2461" t="s">
        <v>1474</v>
      </c>
      <c r="G3833" s="2461" t="s">
        <v>1409</v>
      </c>
      <c r="H3833" s="2461" t="s">
        <v>1070</v>
      </c>
      <c r="I3833" s="2462">
        <v>5.0147005091002415E-3</v>
      </c>
      <c r="J3833" s="2462">
        <v>7.289183019929836</v>
      </c>
    </row>
    <row r="3834" spans="1:10" outlineLevel="2">
      <c r="A3834" s="2459" t="s">
        <v>1669</v>
      </c>
      <c r="B3834" s="2459" t="s">
        <v>1661</v>
      </c>
      <c r="C3834" s="2459" t="s">
        <v>1670</v>
      </c>
      <c r="D3834" s="2460" t="s">
        <v>1671</v>
      </c>
      <c r="E3834" s="2461" t="s">
        <v>213</v>
      </c>
      <c r="F3834" s="2461" t="s">
        <v>1475</v>
      </c>
      <c r="G3834" s="2461" t="s">
        <v>1409</v>
      </c>
      <c r="H3834" s="2461" t="s">
        <v>1070</v>
      </c>
      <c r="I3834" s="2462">
        <v>2.5420989860648613E-3</v>
      </c>
      <c r="J3834" s="2462">
        <v>3.5004638233483609</v>
      </c>
    </row>
    <row r="3835" spans="1:10" outlineLevel="2">
      <c r="A3835" s="2459" t="s">
        <v>1669</v>
      </c>
      <c r="B3835" s="2459" t="s">
        <v>1661</v>
      </c>
      <c r="C3835" s="2459" t="s">
        <v>1670</v>
      </c>
      <c r="D3835" s="2460" t="s">
        <v>1671</v>
      </c>
      <c r="E3835" s="2461" t="s">
        <v>213</v>
      </c>
      <c r="F3835" s="2461" t="s">
        <v>1476</v>
      </c>
      <c r="G3835" s="2461" t="s">
        <v>1409</v>
      </c>
      <c r="H3835" s="2461" t="s">
        <v>1070</v>
      </c>
      <c r="I3835" s="2462">
        <v>2.0115417495035668E-4</v>
      </c>
      <c r="J3835" s="2462">
        <v>0.28195788864383409</v>
      </c>
    </row>
    <row r="3836" spans="1:10" outlineLevel="2">
      <c r="A3836" s="2459" t="s">
        <v>1669</v>
      </c>
      <c r="B3836" s="2459" t="s">
        <v>1661</v>
      </c>
      <c r="C3836" s="2459" t="s">
        <v>1670</v>
      </c>
      <c r="D3836" s="2460" t="s">
        <v>1671</v>
      </c>
      <c r="E3836" s="2461" t="s">
        <v>213</v>
      </c>
      <c r="F3836" s="2461" t="s">
        <v>1477</v>
      </c>
      <c r="G3836" s="2461" t="s">
        <v>1409</v>
      </c>
      <c r="H3836" s="2461" t="s">
        <v>1070</v>
      </c>
      <c r="I3836" s="2462">
        <v>3.2997445760019002E-4</v>
      </c>
      <c r="J3836" s="2462">
        <v>0.47347787071748965</v>
      </c>
    </row>
    <row r="3837" spans="1:10" outlineLevel="2">
      <c r="A3837" s="2459" t="s">
        <v>1669</v>
      </c>
      <c r="B3837" s="2459" t="s">
        <v>1661</v>
      </c>
      <c r="C3837" s="2459" t="s">
        <v>1670</v>
      </c>
      <c r="D3837" s="2460" t="s">
        <v>1671</v>
      </c>
      <c r="E3837" s="2461" t="s">
        <v>213</v>
      </c>
      <c r="F3837" s="2461" t="s">
        <v>1478</v>
      </c>
      <c r="G3837" s="2461" t="s">
        <v>1409</v>
      </c>
      <c r="H3837" s="2461" t="s">
        <v>1070</v>
      </c>
      <c r="I3837" s="2462">
        <v>1.4459342078546533E-4</v>
      </c>
      <c r="J3837" s="2462">
        <v>0.42309121111096953</v>
      </c>
    </row>
    <row r="3838" spans="1:10" outlineLevel="2">
      <c r="A3838" s="2459" t="s">
        <v>1669</v>
      </c>
      <c r="B3838" s="2459" t="s">
        <v>1661</v>
      </c>
      <c r="C3838" s="2459" t="s">
        <v>1670</v>
      </c>
      <c r="D3838" s="2460" t="s">
        <v>1671</v>
      </c>
      <c r="E3838" s="2461" t="s">
        <v>213</v>
      </c>
      <c r="F3838" s="2461" t="s">
        <v>1479</v>
      </c>
      <c r="G3838" s="2461" t="s">
        <v>1409</v>
      </c>
      <c r="H3838" s="2461" t="s">
        <v>1070</v>
      </c>
      <c r="I3838" s="2462">
        <v>1.1631777747813911E-4</v>
      </c>
      <c r="J3838" s="2462">
        <v>1.0034994693023864</v>
      </c>
    </row>
    <row r="3839" spans="1:10" outlineLevel="2">
      <c r="A3839" s="2459" t="s">
        <v>1669</v>
      </c>
      <c r="B3839" s="2459" t="s">
        <v>1661</v>
      </c>
      <c r="C3839" s="2459" t="s">
        <v>1670</v>
      </c>
      <c r="D3839" s="2460" t="s">
        <v>1671</v>
      </c>
      <c r="E3839" s="2461" t="s">
        <v>213</v>
      </c>
      <c r="F3839" s="2461" t="s">
        <v>1480</v>
      </c>
      <c r="G3839" s="2461" t="s">
        <v>1409</v>
      </c>
      <c r="H3839" s="2461" t="s">
        <v>1070</v>
      </c>
      <c r="I3839" s="2462">
        <v>1.5821557686372402E-3</v>
      </c>
      <c r="J3839" s="2462">
        <v>2.3927716985711642</v>
      </c>
    </row>
    <row r="3840" spans="1:10" outlineLevel="2">
      <c r="A3840" s="2459" t="s">
        <v>1669</v>
      </c>
      <c r="B3840" s="2459" t="s">
        <v>1661</v>
      </c>
      <c r="C3840" s="2459" t="s">
        <v>1670</v>
      </c>
      <c r="D3840" s="2460" t="s">
        <v>1671</v>
      </c>
      <c r="E3840" s="2461" t="s">
        <v>213</v>
      </c>
      <c r="F3840" s="2461" t="s">
        <v>1481</v>
      </c>
      <c r="G3840" s="2461" t="s">
        <v>1409</v>
      </c>
      <c r="H3840" s="2461" t="s">
        <v>1070</v>
      </c>
      <c r="I3840" s="2462">
        <v>1.1302165741183176E-3</v>
      </c>
      <c r="J3840" s="2462">
        <v>1.6676666890650247</v>
      </c>
    </row>
    <row r="3841" spans="1:10" outlineLevel="2">
      <c r="A3841" s="2459" t="s">
        <v>1669</v>
      </c>
      <c r="B3841" s="2459" t="s">
        <v>1661</v>
      </c>
      <c r="C3841" s="2459" t="s">
        <v>1670</v>
      </c>
      <c r="D3841" s="2460" t="s">
        <v>1671</v>
      </c>
      <c r="E3841" s="2461" t="s">
        <v>213</v>
      </c>
      <c r="F3841" s="2461" t="s">
        <v>1482</v>
      </c>
      <c r="G3841" s="2461" t="s">
        <v>1409</v>
      </c>
      <c r="H3841" s="2461" t="s">
        <v>1070</v>
      </c>
      <c r="I3841" s="2462">
        <v>4.437067911974328E-4</v>
      </c>
      <c r="J3841" s="2462">
        <v>0.54643495569983347</v>
      </c>
    </row>
    <row r="3842" spans="1:10" outlineLevel="2">
      <c r="A3842" s="2459" t="s">
        <v>1669</v>
      </c>
      <c r="B3842" s="2459" t="s">
        <v>1661</v>
      </c>
      <c r="C3842" s="2459" t="s">
        <v>1670</v>
      </c>
      <c r="D3842" s="2460" t="s">
        <v>1671</v>
      </c>
      <c r="E3842" s="2461" t="s">
        <v>213</v>
      </c>
      <c r="F3842" s="2461" t="s">
        <v>1483</v>
      </c>
      <c r="G3842" s="2461" t="s">
        <v>1409</v>
      </c>
      <c r="H3842" s="2461" t="s">
        <v>1070</v>
      </c>
      <c r="I3842" s="2462">
        <v>3.6966262219858924E-4</v>
      </c>
      <c r="J3842" s="2462">
        <v>0.39928118015464309</v>
      </c>
    </row>
    <row r="3843" spans="1:10" outlineLevel="2">
      <c r="A3843" s="2459" t="s">
        <v>1669</v>
      </c>
      <c r="B3843" s="2459" t="s">
        <v>1661</v>
      </c>
      <c r="C3843" s="2459" t="s">
        <v>1670</v>
      </c>
      <c r="D3843" s="2460" t="s">
        <v>1671</v>
      </c>
      <c r="E3843" s="2461" t="s">
        <v>213</v>
      </c>
      <c r="F3843" s="2461" t="s">
        <v>1484</v>
      </c>
      <c r="G3843" s="2461" t="s">
        <v>1412</v>
      </c>
      <c r="H3843" s="2461" t="s">
        <v>1116</v>
      </c>
      <c r="I3843" s="2462">
        <v>3.3782607748288978E-3</v>
      </c>
      <c r="J3843" s="2462">
        <v>6.7986944282673196</v>
      </c>
    </row>
    <row r="3844" spans="1:10" outlineLevel="2">
      <c r="A3844" s="2459" t="s">
        <v>1669</v>
      </c>
      <c r="B3844" s="2459" t="s">
        <v>1661</v>
      </c>
      <c r="C3844" s="2459" t="s">
        <v>1670</v>
      </c>
      <c r="D3844" s="2460" t="s">
        <v>1671</v>
      </c>
      <c r="E3844" s="2461" t="s">
        <v>213</v>
      </c>
      <c r="F3844" s="2461" t="s">
        <v>1485</v>
      </c>
      <c r="G3844" s="2461" t="s">
        <v>1412</v>
      </c>
      <c r="H3844" s="2461" t="s">
        <v>1116</v>
      </c>
      <c r="I3844" s="2462">
        <v>2.42629562044853E-3</v>
      </c>
      <c r="J3844" s="2462">
        <v>25.729672199881634</v>
      </c>
    </row>
    <row r="3845" spans="1:10" outlineLevel="2">
      <c r="A3845" s="2459" t="s">
        <v>1669</v>
      </c>
      <c r="B3845" s="2459" t="s">
        <v>1661</v>
      </c>
      <c r="C3845" s="2459" t="s">
        <v>1670</v>
      </c>
      <c r="D3845" s="2460" t="s">
        <v>1671</v>
      </c>
      <c r="E3845" s="2461" t="s">
        <v>213</v>
      </c>
      <c r="F3845" s="2461" t="s">
        <v>1486</v>
      </c>
      <c r="G3845" s="2461" t="s">
        <v>1412</v>
      </c>
      <c r="H3845" s="2461" t="s">
        <v>1116</v>
      </c>
      <c r="I3845" s="2462">
        <v>2.012811150342722E-3</v>
      </c>
      <c r="J3845" s="2462">
        <v>5.5288400805635005</v>
      </c>
    </row>
    <row r="3846" spans="1:10" outlineLevel="2">
      <c r="A3846" s="2459" t="s">
        <v>1669</v>
      </c>
      <c r="B3846" s="2459" t="s">
        <v>1661</v>
      </c>
      <c r="C3846" s="2459" t="s">
        <v>1670</v>
      </c>
      <c r="D3846" s="2460" t="s">
        <v>1671</v>
      </c>
      <c r="E3846" s="2461" t="s">
        <v>213</v>
      </c>
      <c r="F3846" s="2461" t="s">
        <v>1487</v>
      </c>
      <c r="G3846" s="2461" t="s">
        <v>1412</v>
      </c>
      <c r="H3846" s="2461" t="s">
        <v>1116</v>
      </c>
      <c r="I3846" s="2462">
        <v>7.7423236589259717E-3</v>
      </c>
      <c r="J3846" s="2462">
        <v>10.384686074996623</v>
      </c>
    </row>
    <row r="3847" spans="1:10" outlineLevel="2">
      <c r="A3847" s="2459" t="s">
        <v>1669</v>
      </c>
      <c r="B3847" s="2459" t="s">
        <v>1661</v>
      </c>
      <c r="C3847" s="2459" t="s">
        <v>1670</v>
      </c>
      <c r="D3847" s="2460" t="s">
        <v>1671</v>
      </c>
      <c r="E3847" s="2461" t="s">
        <v>213</v>
      </c>
      <c r="F3847" s="2461" t="s">
        <v>1488</v>
      </c>
      <c r="G3847" s="2461" t="s">
        <v>1412</v>
      </c>
      <c r="H3847" s="2461" t="s">
        <v>1116</v>
      </c>
      <c r="I3847" s="2462">
        <v>2.1851414633681964E-4</v>
      </c>
      <c r="J3847" s="2462">
        <v>0.47649353043032511</v>
      </c>
    </row>
    <row r="3848" spans="1:10" outlineLevel="2">
      <c r="A3848" s="2459" t="s">
        <v>1669</v>
      </c>
      <c r="B3848" s="2459" t="s">
        <v>1661</v>
      </c>
      <c r="C3848" s="2459" t="s">
        <v>1670</v>
      </c>
      <c r="D3848" s="2460" t="s">
        <v>1671</v>
      </c>
      <c r="E3848" s="2461" t="s">
        <v>213</v>
      </c>
      <c r="F3848" s="2461" t="s">
        <v>1489</v>
      </c>
      <c r="G3848" s="2461" t="s">
        <v>1412</v>
      </c>
      <c r="H3848" s="2461" t="s">
        <v>1116</v>
      </c>
      <c r="I3848" s="2462">
        <v>5.5951186046044026E-4</v>
      </c>
      <c r="J3848" s="2462">
        <v>0.83459971443924996</v>
      </c>
    </row>
    <row r="3849" spans="1:10" outlineLevel="2">
      <c r="A3849" s="2459" t="s">
        <v>1669</v>
      </c>
      <c r="B3849" s="2459" t="s">
        <v>1661</v>
      </c>
      <c r="C3849" s="2459" t="s">
        <v>1670</v>
      </c>
      <c r="D3849" s="2460" t="s">
        <v>1671</v>
      </c>
      <c r="E3849" s="2461" t="s">
        <v>213</v>
      </c>
      <c r="F3849" s="2461" t="s">
        <v>1490</v>
      </c>
      <c r="G3849" s="2461" t="s">
        <v>1412</v>
      </c>
      <c r="H3849" s="2461" t="s">
        <v>1116</v>
      </c>
      <c r="I3849" s="2462">
        <v>1.5902924306122738E-4</v>
      </c>
      <c r="J3849" s="2462">
        <v>2.272328933689856</v>
      </c>
    </row>
    <row r="3850" spans="1:10" outlineLevel="2">
      <c r="A3850" s="2459" t="s">
        <v>1669</v>
      </c>
      <c r="B3850" s="2459" t="s">
        <v>1661</v>
      </c>
      <c r="C3850" s="2459" t="s">
        <v>1670</v>
      </c>
      <c r="D3850" s="2460" t="s">
        <v>1671</v>
      </c>
      <c r="E3850" s="2461" t="s">
        <v>213</v>
      </c>
      <c r="F3850" s="2461" t="s">
        <v>1491</v>
      </c>
      <c r="G3850" s="2461" t="s">
        <v>1439</v>
      </c>
      <c r="H3850" s="2461" t="s">
        <v>1440</v>
      </c>
      <c r="I3850" s="2462">
        <v>0.13742233875035922</v>
      </c>
      <c r="J3850" s="2462">
        <v>147.38187427498201</v>
      </c>
    </row>
    <row r="3851" spans="1:10" outlineLevel="2">
      <c r="A3851" s="2459" t="s">
        <v>1669</v>
      </c>
      <c r="B3851" s="2459" t="s">
        <v>1661</v>
      </c>
      <c r="C3851" s="2459" t="s">
        <v>1670</v>
      </c>
      <c r="D3851" s="2460" t="s">
        <v>1671</v>
      </c>
      <c r="E3851" s="2461" t="s">
        <v>213</v>
      </c>
      <c r="F3851" s="2461" t="s">
        <v>1492</v>
      </c>
      <c r="G3851" s="2461" t="s">
        <v>1439</v>
      </c>
      <c r="H3851" s="2461" t="s">
        <v>1440</v>
      </c>
      <c r="I3851" s="2462">
        <v>0.39964106554078926</v>
      </c>
      <c r="J3851" s="2462">
        <v>543.74837618532661</v>
      </c>
    </row>
    <row r="3852" spans="1:10" outlineLevel="2">
      <c r="A3852" s="2459" t="s">
        <v>1669</v>
      </c>
      <c r="B3852" s="2459" t="s">
        <v>1661</v>
      </c>
      <c r="C3852" s="2459" t="s">
        <v>1670</v>
      </c>
      <c r="D3852" s="2460" t="s">
        <v>1671</v>
      </c>
      <c r="E3852" s="2461" t="s">
        <v>213</v>
      </c>
      <c r="F3852" s="2461" t="s">
        <v>1493</v>
      </c>
      <c r="G3852" s="2461" t="s">
        <v>1439</v>
      </c>
      <c r="H3852" s="2461" t="s">
        <v>1440</v>
      </c>
      <c r="I3852" s="2462">
        <v>1.1829958607748403E-2</v>
      </c>
      <c r="J3852" s="2462">
        <v>12.682463029745051</v>
      </c>
    </row>
    <row r="3853" spans="1:10" outlineLevel="2">
      <c r="A3853" s="2459" t="s">
        <v>1669</v>
      </c>
      <c r="B3853" s="2459" t="s">
        <v>1661</v>
      </c>
      <c r="C3853" s="2459" t="s">
        <v>1670</v>
      </c>
      <c r="D3853" s="2460" t="s">
        <v>1671</v>
      </c>
      <c r="E3853" s="2461" t="s">
        <v>213</v>
      </c>
      <c r="F3853" s="2461" t="s">
        <v>1494</v>
      </c>
      <c r="G3853" s="2461" t="s">
        <v>1439</v>
      </c>
      <c r="H3853" s="2461" t="s">
        <v>1440</v>
      </c>
      <c r="I3853" s="2462">
        <v>0.25467987082024973</v>
      </c>
      <c r="J3853" s="2462">
        <v>322.53179751029671</v>
      </c>
    </row>
    <row r="3854" spans="1:10" outlineLevel="2">
      <c r="A3854" s="2459" t="s">
        <v>1669</v>
      </c>
      <c r="B3854" s="2459" t="s">
        <v>1661</v>
      </c>
      <c r="C3854" s="2459" t="s">
        <v>1670</v>
      </c>
      <c r="D3854" s="2460" t="s">
        <v>1671</v>
      </c>
      <c r="E3854" s="2461" t="s">
        <v>213</v>
      </c>
      <c r="F3854" s="2461" t="s">
        <v>1495</v>
      </c>
      <c r="G3854" s="2461" t="s">
        <v>1439</v>
      </c>
      <c r="H3854" s="2461" t="s">
        <v>1440</v>
      </c>
      <c r="I3854" s="2462">
        <v>6.4444402962034891E-4</v>
      </c>
      <c r="J3854" s="2462">
        <v>0.81925440031359587</v>
      </c>
    </row>
    <row r="3855" spans="1:10" outlineLevel="2">
      <c r="A3855" s="2459" t="s">
        <v>1669</v>
      </c>
      <c r="B3855" s="2459" t="s">
        <v>1661</v>
      </c>
      <c r="C3855" s="2459" t="s">
        <v>1670</v>
      </c>
      <c r="D3855" s="2460" t="s">
        <v>1671</v>
      </c>
      <c r="E3855" s="2461" t="s">
        <v>213</v>
      </c>
      <c r="F3855" s="2461" t="s">
        <v>1496</v>
      </c>
      <c r="G3855" s="2461" t="s">
        <v>1439</v>
      </c>
      <c r="H3855" s="2461" t="s">
        <v>1440</v>
      </c>
      <c r="I3855" s="2462">
        <v>8.8725523207029058E-3</v>
      </c>
      <c r="J3855" s="2462">
        <v>12.594576781871874</v>
      </c>
    </row>
    <row r="3856" spans="1:10" outlineLevel="2">
      <c r="A3856" s="2459" t="s">
        <v>1669</v>
      </c>
      <c r="B3856" s="2459" t="s">
        <v>1661</v>
      </c>
      <c r="C3856" s="2459" t="s">
        <v>1670</v>
      </c>
      <c r="D3856" s="2460" t="s">
        <v>1671</v>
      </c>
      <c r="E3856" s="2461" t="s">
        <v>213</v>
      </c>
      <c r="F3856" s="2461" t="s">
        <v>1497</v>
      </c>
      <c r="G3856" s="2461" t="s">
        <v>1439</v>
      </c>
      <c r="H3856" s="2461" t="s">
        <v>1440</v>
      </c>
      <c r="I3856" s="2462">
        <v>1.2273622393439794E-3</v>
      </c>
      <c r="J3856" s="2462">
        <v>1.5629519059879524</v>
      </c>
    </row>
    <row r="3857" spans="1:10" outlineLevel="2">
      <c r="A3857" s="2459" t="s">
        <v>1669</v>
      </c>
      <c r="B3857" s="2459" t="s">
        <v>1661</v>
      </c>
      <c r="C3857" s="2459" t="s">
        <v>1670</v>
      </c>
      <c r="D3857" s="2460" t="s">
        <v>1671</v>
      </c>
      <c r="E3857" s="2461" t="s">
        <v>213</v>
      </c>
      <c r="F3857" s="2461" t="s">
        <v>1498</v>
      </c>
      <c r="G3857" s="2461" t="s">
        <v>1439</v>
      </c>
      <c r="H3857" s="2461" t="s">
        <v>1440</v>
      </c>
      <c r="I3857" s="2462">
        <v>0.30323570515573556</v>
      </c>
      <c r="J3857" s="2462">
        <v>516.81370489133587</v>
      </c>
    </row>
    <row r="3858" spans="1:10" outlineLevel="2">
      <c r="A3858" s="2459" t="s">
        <v>1669</v>
      </c>
      <c r="B3858" s="2459" t="s">
        <v>1661</v>
      </c>
      <c r="C3858" s="2459" t="s">
        <v>1670</v>
      </c>
      <c r="D3858" s="2460" t="s">
        <v>1671</v>
      </c>
      <c r="E3858" s="2461" t="s">
        <v>213</v>
      </c>
      <c r="F3858" s="2461" t="s">
        <v>1501</v>
      </c>
      <c r="G3858" s="2461" t="s">
        <v>1439</v>
      </c>
      <c r="H3858" s="2461" t="s">
        <v>1440</v>
      </c>
      <c r="I3858" s="2462">
        <v>2.0476099932922379E-2</v>
      </c>
      <c r="J3858" s="2462">
        <v>29.933712663724702</v>
      </c>
    </row>
    <row r="3859" spans="1:10" outlineLevel="2">
      <c r="A3859" s="2459" t="s">
        <v>1669</v>
      </c>
      <c r="B3859" s="2459" t="s">
        <v>1661</v>
      </c>
      <c r="C3859" s="2459" t="s">
        <v>1670</v>
      </c>
      <c r="D3859" s="2460" t="s">
        <v>1671</v>
      </c>
      <c r="E3859" s="2461" t="s">
        <v>213</v>
      </c>
      <c r="F3859" s="2461" t="s">
        <v>1502</v>
      </c>
      <c r="G3859" s="2461" t="s">
        <v>1439</v>
      </c>
      <c r="H3859" s="2461" t="s">
        <v>1440</v>
      </c>
      <c r="I3859" s="2462">
        <v>4.5639118269234669E-2</v>
      </c>
      <c r="J3859" s="2462">
        <v>69.082998090102322</v>
      </c>
    </row>
    <row r="3860" spans="1:10" outlineLevel="2">
      <c r="A3860" s="2459" t="s">
        <v>1669</v>
      </c>
      <c r="B3860" s="2459" t="s">
        <v>1661</v>
      </c>
      <c r="C3860" s="2459" t="s">
        <v>1670</v>
      </c>
      <c r="D3860" s="2460" t="s">
        <v>1671</v>
      </c>
      <c r="E3860" s="2461" t="s">
        <v>213</v>
      </c>
      <c r="F3860" s="2461" t="s">
        <v>1503</v>
      </c>
      <c r="G3860" s="2461" t="s">
        <v>1439</v>
      </c>
      <c r="H3860" s="2461" t="s">
        <v>1440</v>
      </c>
      <c r="I3860" s="2462">
        <v>6.0214166706537425E-2</v>
      </c>
      <c r="J3860" s="2462">
        <v>78.195130337521888</v>
      </c>
    </row>
    <row r="3861" spans="1:10" outlineLevel="2">
      <c r="A3861" s="2459" t="s">
        <v>1669</v>
      </c>
      <c r="B3861" s="2459" t="s">
        <v>1661</v>
      </c>
      <c r="C3861" s="2459" t="s">
        <v>1670</v>
      </c>
      <c r="D3861" s="2460" t="s">
        <v>1671</v>
      </c>
      <c r="E3861" s="2461" t="s">
        <v>213</v>
      </c>
      <c r="F3861" s="2461" t="s">
        <v>1504</v>
      </c>
      <c r="G3861" s="2461" t="s">
        <v>1439</v>
      </c>
      <c r="H3861" s="2461" t="s">
        <v>1440</v>
      </c>
      <c r="I3861" s="2462">
        <v>3.0724906345412889E-2</v>
      </c>
      <c r="J3861" s="2462">
        <v>37.126585200847636</v>
      </c>
    </row>
    <row r="3862" spans="1:10" outlineLevel="2">
      <c r="A3862" s="2459" t="s">
        <v>1669</v>
      </c>
      <c r="B3862" s="2459" t="s">
        <v>1661</v>
      </c>
      <c r="C3862" s="2459" t="s">
        <v>1670</v>
      </c>
      <c r="D3862" s="2460" t="s">
        <v>1671</v>
      </c>
      <c r="E3862" s="2461" t="s">
        <v>213</v>
      </c>
      <c r="F3862" s="2461" t="s">
        <v>1505</v>
      </c>
      <c r="G3862" s="2461" t="s">
        <v>1439</v>
      </c>
      <c r="H3862" s="2461" t="s">
        <v>1440</v>
      </c>
      <c r="I3862" s="2462">
        <v>0.27384175703077263</v>
      </c>
      <c r="J3862" s="2462">
        <v>401.23712944917759</v>
      </c>
    </row>
    <row r="3863" spans="1:10" outlineLevel="2">
      <c r="A3863" s="2459" t="s">
        <v>1669</v>
      </c>
      <c r="B3863" s="2459" t="s">
        <v>1661</v>
      </c>
      <c r="C3863" s="2459" t="s">
        <v>1670</v>
      </c>
      <c r="D3863" s="2460" t="s">
        <v>1671</v>
      </c>
      <c r="E3863" s="2461" t="s">
        <v>213</v>
      </c>
      <c r="F3863" s="2461" t="s">
        <v>1506</v>
      </c>
      <c r="G3863" s="2461" t="s">
        <v>1439</v>
      </c>
      <c r="H3863" s="2461" t="s">
        <v>1440</v>
      </c>
      <c r="I3863" s="2462">
        <v>0.62009779792102682</v>
      </c>
      <c r="J3863" s="2462">
        <v>938.8406896187031</v>
      </c>
    </row>
    <row r="3864" spans="1:10" outlineLevel="2">
      <c r="A3864" s="2459" t="s">
        <v>1669</v>
      </c>
      <c r="B3864" s="2459" t="s">
        <v>1661</v>
      </c>
      <c r="C3864" s="2459" t="s">
        <v>1670</v>
      </c>
      <c r="D3864" s="2460" t="s">
        <v>1671</v>
      </c>
      <c r="E3864" s="2461" t="s">
        <v>213</v>
      </c>
      <c r="F3864" s="2461" t="s">
        <v>1507</v>
      </c>
      <c r="G3864" s="2461" t="s">
        <v>1439</v>
      </c>
      <c r="H3864" s="2461" t="s">
        <v>1440</v>
      </c>
      <c r="I3864" s="2462">
        <v>6.9388518286911879E-2</v>
      </c>
      <c r="J3864" s="2462">
        <v>156.76182224011626</v>
      </c>
    </row>
    <row r="3865" spans="1:10" outlineLevel="2">
      <c r="A3865" s="2459" t="s">
        <v>1669</v>
      </c>
      <c r="B3865" s="2459" t="s">
        <v>1661</v>
      </c>
      <c r="C3865" s="2459" t="s">
        <v>1670</v>
      </c>
      <c r="D3865" s="2460" t="s">
        <v>1671</v>
      </c>
      <c r="E3865" s="2461" t="s">
        <v>213</v>
      </c>
      <c r="F3865" s="2461" t="s">
        <v>1508</v>
      </c>
      <c r="G3865" s="2461" t="s">
        <v>1439</v>
      </c>
      <c r="H3865" s="2461" t="s">
        <v>1440</v>
      </c>
      <c r="I3865" s="2462">
        <v>1.9099318417775475</v>
      </c>
      <c r="J3865" s="2462">
        <v>3030.6391508893598</v>
      </c>
    </row>
    <row r="3866" spans="1:10" outlineLevel="2">
      <c r="A3866" s="2459" t="s">
        <v>1669</v>
      </c>
      <c r="B3866" s="2459" t="s">
        <v>1661</v>
      </c>
      <c r="C3866" s="2459" t="s">
        <v>1670</v>
      </c>
      <c r="D3866" s="2460" t="s">
        <v>1671</v>
      </c>
      <c r="E3866" s="2461" t="s">
        <v>213</v>
      </c>
      <c r="F3866" s="2461" t="s">
        <v>1509</v>
      </c>
      <c r="G3866" s="2461" t="s">
        <v>1439</v>
      </c>
      <c r="H3866" s="2461" t="s">
        <v>1440</v>
      </c>
      <c r="I3866" s="2462">
        <v>1.246686876976515E-2</v>
      </c>
      <c r="J3866" s="2462">
        <v>14.262545208488129</v>
      </c>
    </row>
    <row r="3867" spans="1:10" outlineLevel="2">
      <c r="A3867" s="2459" t="s">
        <v>1669</v>
      </c>
      <c r="B3867" s="2459" t="s">
        <v>1661</v>
      </c>
      <c r="C3867" s="2459" t="s">
        <v>1670</v>
      </c>
      <c r="D3867" s="2460" t="s">
        <v>1671</v>
      </c>
      <c r="E3867" s="2461" t="s">
        <v>213</v>
      </c>
      <c r="F3867" s="2461" t="s">
        <v>1510</v>
      </c>
      <c r="G3867" s="2461" t="s">
        <v>1439</v>
      </c>
      <c r="H3867" s="2461" t="s">
        <v>1440</v>
      </c>
      <c r="I3867" s="2462">
        <v>8.0149035939042532E-2</v>
      </c>
      <c r="J3867" s="2462">
        <v>93.126452227804378</v>
      </c>
    </row>
    <row r="3868" spans="1:10" outlineLevel="2">
      <c r="A3868" s="2459" t="s">
        <v>1669</v>
      </c>
      <c r="B3868" s="2459" t="s">
        <v>1661</v>
      </c>
      <c r="C3868" s="2459" t="s">
        <v>1670</v>
      </c>
      <c r="D3868" s="2460" t="s">
        <v>1671</v>
      </c>
      <c r="E3868" s="2461" t="s">
        <v>213</v>
      </c>
      <c r="F3868" s="2461" t="s">
        <v>1511</v>
      </c>
      <c r="G3868" s="2461" t="s">
        <v>1418</v>
      </c>
      <c r="H3868" s="2461" t="s">
        <v>1452</v>
      </c>
      <c r="I3868" s="2462">
        <v>4.088837906258761E-4</v>
      </c>
      <c r="J3868" s="2462">
        <v>0.60462098205743731</v>
      </c>
    </row>
    <row r="3869" spans="1:10" outlineLevel="2">
      <c r="A3869" s="2459" t="s">
        <v>1669</v>
      </c>
      <c r="B3869" s="2459" t="s">
        <v>1661</v>
      </c>
      <c r="C3869" s="2459" t="s">
        <v>1670</v>
      </c>
      <c r="D3869" s="2460" t="s">
        <v>1671</v>
      </c>
      <c r="E3869" s="2461" t="s">
        <v>213</v>
      </c>
      <c r="F3869" s="2461" t="s">
        <v>1512</v>
      </c>
      <c r="G3869" s="2461" t="s">
        <v>1418</v>
      </c>
      <c r="H3869" s="2461" t="s">
        <v>1452</v>
      </c>
      <c r="I3869" s="2462">
        <v>5.3512163307806626E-4</v>
      </c>
      <c r="J3869" s="2462">
        <v>2.3396656378033072</v>
      </c>
    </row>
    <row r="3870" spans="1:10" outlineLevel="2">
      <c r="A3870" s="2459" t="s">
        <v>1669</v>
      </c>
      <c r="B3870" s="2459" t="s">
        <v>1661</v>
      </c>
      <c r="C3870" s="2459" t="s">
        <v>1670</v>
      </c>
      <c r="D3870" s="2460" t="s">
        <v>1671</v>
      </c>
      <c r="E3870" s="2461" t="s">
        <v>213</v>
      </c>
      <c r="F3870" s="2461" t="s">
        <v>1513</v>
      </c>
      <c r="G3870" s="2461" t="s">
        <v>1418</v>
      </c>
      <c r="H3870" s="2461" t="s">
        <v>1452</v>
      </c>
      <c r="I3870" s="2462">
        <v>1.997031797994559E-5</v>
      </c>
      <c r="J3870" s="2462">
        <v>1.8768170944467932E-2</v>
      </c>
    </row>
    <row r="3871" spans="1:10" outlineLevel="2">
      <c r="A3871" s="2459" t="s">
        <v>1669</v>
      </c>
      <c r="B3871" s="2459" t="s">
        <v>1661</v>
      </c>
      <c r="C3871" s="2459" t="s">
        <v>1670</v>
      </c>
      <c r="D3871" s="2460" t="s">
        <v>1671</v>
      </c>
      <c r="E3871" s="2461" t="s">
        <v>213</v>
      </c>
      <c r="F3871" s="2461" t="s">
        <v>1514</v>
      </c>
      <c r="G3871" s="2461" t="s">
        <v>1418</v>
      </c>
      <c r="H3871" s="2461" t="s">
        <v>1452</v>
      </c>
      <c r="I3871" s="2462">
        <v>1.7913058307926606E-3</v>
      </c>
      <c r="J3871" s="2462">
        <v>1.6801214322590949</v>
      </c>
    </row>
    <row r="3872" spans="1:10" outlineLevel="2">
      <c r="A3872" s="2459" t="s">
        <v>1669</v>
      </c>
      <c r="B3872" s="2459" t="s">
        <v>1661</v>
      </c>
      <c r="C3872" s="2459" t="s">
        <v>1670</v>
      </c>
      <c r="D3872" s="2460" t="s">
        <v>1671</v>
      </c>
      <c r="E3872" s="2461" t="s">
        <v>213</v>
      </c>
      <c r="F3872" s="2461" t="s">
        <v>1515</v>
      </c>
      <c r="G3872" s="2461" t="s">
        <v>1418</v>
      </c>
      <c r="H3872" s="2461" t="s">
        <v>1452</v>
      </c>
      <c r="I3872" s="2462">
        <v>3.4400974720150888E-4</v>
      </c>
      <c r="J3872" s="2462">
        <v>0.49709022380445056</v>
      </c>
    </row>
    <row r="3873" spans="1:10" outlineLevel="2">
      <c r="A3873" s="2459" t="s">
        <v>1669</v>
      </c>
      <c r="B3873" s="2459" t="s">
        <v>1661</v>
      </c>
      <c r="C3873" s="2459" t="s">
        <v>1670</v>
      </c>
      <c r="D3873" s="2460" t="s">
        <v>1671</v>
      </c>
      <c r="E3873" s="2461" t="s">
        <v>213</v>
      </c>
      <c r="F3873" s="2461" t="s">
        <v>1516</v>
      </c>
      <c r="G3873" s="2461" t="s">
        <v>1418</v>
      </c>
      <c r="H3873" s="2461" t="s">
        <v>1452</v>
      </c>
      <c r="I3873" s="2462">
        <v>4.917570532505809E-3</v>
      </c>
      <c r="J3873" s="2462">
        <v>5.5077318430747297</v>
      </c>
    </row>
    <row r="3874" spans="1:10" outlineLevel="2">
      <c r="A3874" s="2459" t="s">
        <v>1669</v>
      </c>
      <c r="B3874" s="2459" t="s">
        <v>1661</v>
      </c>
      <c r="C3874" s="2459" t="s">
        <v>1670</v>
      </c>
      <c r="D3874" s="2460" t="s">
        <v>1671</v>
      </c>
      <c r="E3874" s="2461" t="s">
        <v>213</v>
      </c>
      <c r="F3874" s="2461" t="s">
        <v>1517</v>
      </c>
      <c r="G3874" s="2461" t="s">
        <v>1418</v>
      </c>
      <c r="H3874" s="2461" t="s">
        <v>1452</v>
      </c>
      <c r="I3874" s="2462">
        <v>2.5182711247362873E-2</v>
      </c>
      <c r="J3874" s="2462">
        <v>12.347767873541672</v>
      </c>
    </row>
    <row r="3875" spans="1:10" outlineLevel="2">
      <c r="A3875" s="2459" t="s">
        <v>1669</v>
      </c>
      <c r="B3875" s="2459" t="s">
        <v>1661</v>
      </c>
      <c r="C3875" s="2459" t="s">
        <v>1670</v>
      </c>
      <c r="D3875" s="2460" t="s">
        <v>1671</v>
      </c>
      <c r="E3875" s="2461" t="s">
        <v>213</v>
      </c>
      <c r="F3875" s="2461" t="s">
        <v>1518</v>
      </c>
      <c r="G3875" s="2461" t="s">
        <v>1418</v>
      </c>
      <c r="H3875" s="2461" t="s">
        <v>1452</v>
      </c>
      <c r="I3875" s="2462">
        <v>2.8368770637993979E-3</v>
      </c>
      <c r="J3875" s="2462">
        <v>2.6607960044725574</v>
      </c>
    </row>
    <row r="3876" spans="1:10" outlineLevel="2">
      <c r="A3876" s="2459" t="s">
        <v>1669</v>
      </c>
      <c r="B3876" s="2459" t="s">
        <v>1661</v>
      </c>
      <c r="C3876" s="2459" t="s">
        <v>1670</v>
      </c>
      <c r="D3876" s="2460" t="s">
        <v>1671</v>
      </c>
      <c r="E3876" s="2461" t="s">
        <v>213</v>
      </c>
      <c r="F3876" s="2461" t="s">
        <v>1519</v>
      </c>
      <c r="G3876" s="2461" t="s">
        <v>1418</v>
      </c>
      <c r="H3876" s="2461" t="s">
        <v>1452</v>
      </c>
      <c r="I3876" s="2462">
        <v>3.7238049335263038E-3</v>
      </c>
      <c r="J3876" s="2462">
        <v>3.7970519689616209</v>
      </c>
    </row>
    <row r="3877" spans="1:10" outlineLevel="2">
      <c r="A3877" s="2459" t="s">
        <v>1669</v>
      </c>
      <c r="B3877" s="2459" t="s">
        <v>1661</v>
      </c>
      <c r="C3877" s="2459" t="s">
        <v>1670</v>
      </c>
      <c r="D3877" s="2460" t="s">
        <v>1671</v>
      </c>
      <c r="E3877" s="2461" t="s">
        <v>213</v>
      </c>
      <c r="F3877" s="2461" t="s">
        <v>1520</v>
      </c>
      <c r="G3877" s="2461" t="s">
        <v>1418</v>
      </c>
      <c r="H3877" s="2461" t="s">
        <v>1452</v>
      </c>
      <c r="I3877" s="2462">
        <v>4.4585346568900278E-4</v>
      </c>
      <c r="J3877" s="2462">
        <v>4.0579328768718215</v>
      </c>
    </row>
    <row r="3878" spans="1:10" outlineLevel="2">
      <c r="A3878" s="2459" t="s">
        <v>1669</v>
      </c>
      <c r="B3878" s="2459" t="s">
        <v>1661</v>
      </c>
      <c r="C3878" s="2459" t="s">
        <v>1670</v>
      </c>
      <c r="D3878" s="2460" t="s">
        <v>1671</v>
      </c>
      <c r="E3878" s="2461" t="s">
        <v>213</v>
      </c>
      <c r="F3878" s="2461" t="s">
        <v>1521</v>
      </c>
      <c r="G3878" s="2461" t="s">
        <v>1421</v>
      </c>
      <c r="H3878" s="2461" t="s">
        <v>1454</v>
      </c>
      <c r="I3878" s="2462">
        <v>9.6879422420078118E-2</v>
      </c>
      <c r="J3878" s="2462">
        <v>134.91916024058952</v>
      </c>
    </row>
    <row r="3879" spans="1:10" outlineLevel="2">
      <c r="A3879" s="2459" t="s">
        <v>1669</v>
      </c>
      <c r="B3879" s="2459" t="s">
        <v>1661</v>
      </c>
      <c r="C3879" s="2459" t="s">
        <v>1670</v>
      </c>
      <c r="D3879" s="2460" t="s">
        <v>1671</v>
      </c>
      <c r="E3879" s="2461" t="s">
        <v>213</v>
      </c>
      <c r="F3879" s="2461" t="s">
        <v>1522</v>
      </c>
      <c r="G3879" s="2461" t="s">
        <v>1421</v>
      </c>
      <c r="H3879" s="2461" t="s">
        <v>1454</v>
      </c>
      <c r="I3879" s="2462">
        <v>2.2756771222620171E-2</v>
      </c>
      <c r="J3879" s="2462">
        <v>33.755547692603137</v>
      </c>
    </row>
    <row r="3880" spans="1:10" outlineLevel="2">
      <c r="A3880" s="2459" t="s">
        <v>1669</v>
      </c>
      <c r="B3880" s="2459" t="s">
        <v>1661</v>
      </c>
      <c r="C3880" s="2459" t="s">
        <v>1670</v>
      </c>
      <c r="D3880" s="2460" t="s">
        <v>1671</v>
      </c>
      <c r="E3880" s="2461" t="s">
        <v>213</v>
      </c>
      <c r="F3880" s="2461" t="s">
        <v>1523</v>
      </c>
      <c r="G3880" s="2461" t="s">
        <v>1421</v>
      </c>
      <c r="H3880" s="2461" t="s">
        <v>1454</v>
      </c>
      <c r="I3880" s="2462">
        <v>1.0498062439688999E-2</v>
      </c>
      <c r="J3880" s="2462">
        <v>17.848830875795063</v>
      </c>
    </row>
    <row r="3881" spans="1:10" outlineLevel="2">
      <c r="A3881" s="2459" t="s">
        <v>1669</v>
      </c>
      <c r="B3881" s="2459" t="s">
        <v>1661</v>
      </c>
      <c r="C3881" s="2459" t="s">
        <v>1670</v>
      </c>
      <c r="D3881" s="2460" t="s">
        <v>1671</v>
      </c>
      <c r="E3881" s="2461" t="s">
        <v>213</v>
      </c>
      <c r="F3881" s="2461" t="s">
        <v>1524</v>
      </c>
      <c r="G3881" s="2461" t="s">
        <v>1421</v>
      </c>
      <c r="H3881" s="2461" t="s">
        <v>1454</v>
      </c>
      <c r="I3881" s="2462">
        <v>2.4189580377262872E-2</v>
      </c>
      <c r="J3881" s="2462">
        <v>38.370167096470858</v>
      </c>
    </row>
    <row r="3882" spans="1:10" outlineLevel="2">
      <c r="A3882" s="2459" t="s">
        <v>1669</v>
      </c>
      <c r="B3882" s="2459" t="s">
        <v>1661</v>
      </c>
      <c r="C3882" s="2459" t="s">
        <v>1670</v>
      </c>
      <c r="D3882" s="2460" t="s">
        <v>1671</v>
      </c>
      <c r="E3882" s="2461" t="s">
        <v>213</v>
      </c>
      <c r="F3882" s="2461" t="s">
        <v>1525</v>
      </c>
      <c r="G3882" s="2461" t="s">
        <v>1421</v>
      </c>
      <c r="H3882" s="2461" t="s">
        <v>1454</v>
      </c>
      <c r="I3882" s="2462">
        <v>4.2612554094222682E-2</v>
      </c>
      <c r="J3882" s="2462">
        <v>60.623839297004444</v>
      </c>
    </row>
    <row r="3883" spans="1:10" outlineLevel="2">
      <c r="A3883" s="2459" t="s">
        <v>1669</v>
      </c>
      <c r="B3883" s="2459" t="s">
        <v>1661</v>
      </c>
      <c r="C3883" s="2459" t="s">
        <v>1670</v>
      </c>
      <c r="D3883" s="2460" t="s">
        <v>1671</v>
      </c>
      <c r="E3883" s="2461" t="s">
        <v>213</v>
      </c>
      <c r="F3883" s="2461" t="s">
        <v>1526</v>
      </c>
      <c r="G3883" s="2461" t="s">
        <v>1421</v>
      </c>
      <c r="H3883" s="2461" t="s">
        <v>1454</v>
      </c>
      <c r="I3883" s="2462">
        <v>1.9741296827458319E-3</v>
      </c>
      <c r="J3883" s="2462">
        <v>2.8443708620874517</v>
      </c>
    </row>
    <row r="3884" spans="1:10" outlineLevel="2">
      <c r="A3884" s="2459" t="s">
        <v>1669</v>
      </c>
      <c r="B3884" s="2459" t="s">
        <v>1661</v>
      </c>
      <c r="C3884" s="2459" t="s">
        <v>1670</v>
      </c>
      <c r="D3884" s="2460" t="s">
        <v>1671</v>
      </c>
      <c r="E3884" s="2461" t="s">
        <v>213</v>
      </c>
      <c r="F3884" s="2461" t="s">
        <v>1527</v>
      </c>
      <c r="G3884" s="2461" t="s">
        <v>1459</v>
      </c>
      <c r="H3884" s="2461" t="s">
        <v>1460</v>
      </c>
      <c r="I3884" s="2462">
        <v>1.8336781131497115E-2</v>
      </c>
      <c r="J3884" s="2462">
        <v>19.221624105723347</v>
      </c>
    </row>
    <row r="3885" spans="1:10" outlineLevel="2">
      <c r="A3885" s="2459" t="s">
        <v>1669</v>
      </c>
      <c r="B3885" s="2459" t="s">
        <v>1661</v>
      </c>
      <c r="C3885" s="2459" t="s">
        <v>1670</v>
      </c>
      <c r="D3885" s="2460" t="s">
        <v>1671</v>
      </c>
      <c r="E3885" s="2461" t="s">
        <v>213</v>
      </c>
      <c r="F3885" s="2461" t="s">
        <v>1528</v>
      </c>
      <c r="G3885" s="2461" t="s">
        <v>1459</v>
      </c>
      <c r="H3885" s="2461" t="s">
        <v>1460</v>
      </c>
      <c r="I3885" s="2462">
        <v>1.5960860032938456E-4</v>
      </c>
      <c r="J3885" s="2462">
        <v>0.20485729666689073</v>
      </c>
    </row>
    <row r="3886" spans="1:10" outlineLevel="2">
      <c r="A3886" s="2459" t="s">
        <v>1669</v>
      </c>
      <c r="B3886" s="2459" t="s">
        <v>1661</v>
      </c>
      <c r="C3886" s="2459" t="s">
        <v>1670</v>
      </c>
      <c r="D3886" s="2460" t="s">
        <v>1671</v>
      </c>
      <c r="E3886" s="2461" t="s">
        <v>213</v>
      </c>
      <c r="F3886" s="2461" t="s">
        <v>1529</v>
      </c>
      <c r="G3886" s="2461" t="s">
        <v>1530</v>
      </c>
      <c r="H3886" s="2461" t="s">
        <v>1531</v>
      </c>
      <c r="I3886" s="2462">
        <v>8.8570097897044722</v>
      </c>
      <c r="J3886" s="2462">
        <v>7535.707549393599</v>
      </c>
    </row>
    <row r="3887" spans="1:10" outlineLevel="2">
      <c r="A3887" s="2459" t="s">
        <v>1669</v>
      </c>
      <c r="B3887" s="2459" t="s">
        <v>1661</v>
      </c>
      <c r="C3887" s="2459" t="s">
        <v>1670</v>
      </c>
      <c r="D3887" s="2460" t="s">
        <v>1671</v>
      </c>
      <c r="E3887" s="2461" t="s">
        <v>213</v>
      </c>
      <c r="F3887" s="2461" t="s">
        <v>1532</v>
      </c>
      <c r="G3887" s="2461" t="s">
        <v>1530</v>
      </c>
      <c r="H3887" s="2461" t="s">
        <v>1531</v>
      </c>
      <c r="I3887" s="2462">
        <v>3.7280261253531775</v>
      </c>
      <c r="J3887" s="2462">
        <v>3180.4190253193347</v>
      </c>
    </row>
    <row r="3888" spans="1:10" outlineLevel="2">
      <c r="A3888" s="2459" t="s">
        <v>1669</v>
      </c>
      <c r="B3888" s="2459" t="s">
        <v>1661</v>
      </c>
      <c r="C3888" s="2459" t="s">
        <v>1670</v>
      </c>
      <c r="D3888" s="2460" t="s">
        <v>1671</v>
      </c>
      <c r="E3888" s="2461" t="s">
        <v>213</v>
      </c>
      <c r="F3888" s="2461" t="s">
        <v>1533</v>
      </c>
      <c r="G3888" s="2461" t="s">
        <v>1534</v>
      </c>
      <c r="H3888" s="2461" t="s">
        <v>1531</v>
      </c>
      <c r="I3888" s="2462">
        <v>4.2385375337343465</v>
      </c>
      <c r="J3888" s="2462">
        <v>7135.5043856790835</v>
      </c>
    </row>
    <row r="3889" spans="1:10" outlineLevel="2">
      <c r="A3889" s="2459" t="s">
        <v>1669</v>
      </c>
      <c r="B3889" s="2459" t="s">
        <v>1661</v>
      </c>
      <c r="C3889" s="2459" t="s">
        <v>1670</v>
      </c>
      <c r="D3889" s="2460" t="s">
        <v>1671</v>
      </c>
      <c r="E3889" s="2461" t="s">
        <v>213</v>
      </c>
      <c r="F3889" s="2461" t="s">
        <v>1535</v>
      </c>
      <c r="G3889" s="2461" t="s">
        <v>1536</v>
      </c>
      <c r="H3889" s="2461" t="s">
        <v>1537</v>
      </c>
      <c r="I3889" s="2462">
        <v>5.8203723528100644E-5</v>
      </c>
      <c r="J3889" s="2462">
        <v>8.7148617848041038E-2</v>
      </c>
    </row>
    <row r="3890" spans="1:10" outlineLevel="2">
      <c r="A3890" s="2459" t="s">
        <v>1669</v>
      </c>
      <c r="B3890" s="2459" t="s">
        <v>1661</v>
      </c>
      <c r="C3890" s="2459" t="s">
        <v>1670</v>
      </c>
      <c r="D3890" s="2460" t="s">
        <v>1671</v>
      </c>
      <c r="E3890" s="2461" t="s">
        <v>1538</v>
      </c>
      <c r="F3890" s="2461" t="s">
        <v>1541</v>
      </c>
      <c r="G3890" s="2461" t="s">
        <v>1409</v>
      </c>
      <c r="H3890" s="2461" t="s">
        <v>1540</v>
      </c>
      <c r="I3890" s="2462">
        <v>3.5433604040322471E-5</v>
      </c>
      <c r="J3890" s="2462">
        <v>0.16494328308550449</v>
      </c>
    </row>
    <row r="3891" spans="1:10" outlineLevel="2">
      <c r="A3891" s="2459" t="s">
        <v>1669</v>
      </c>
      <c r="B3891" s="2459" t="s">
        <v>1661</v>
      </c>
      <c r="C3891" s="2459" t="s">
        <v>1670</v>
      </c>
      <c r="D3891" s="2460" t="s">
        <v>1671</v>
      </c>
      <c r="E3891" s="2461" t="s">
        <v>1538</v>
      </c>
      <c r="F3891" s="2461" t="s">
        <v>1542</v>
      </c>
      <c r="G3891" s="2461" t="s">
        <v>1409</v>
      </c>
      <c r="H3891" s="2461" t="s">
        <v>1540</v>
      </c>
      <c r="I3891" s="2462">
        <v>1.9004183497060513E-5</v>
      </c>
      <c r="J3891" s="2462">
        <v>0.2758430733047893</v>
      </c>
    </row>
    <row r="3892" spans="1:10" outlineLevel="2">
      <c r="A3892" s="2459" t="s">
        <v>1669</v>
      </c>
      <c r="B3892" s="2459" t="s">
        <v>1661</v>
      </c>
      <c r="C3892" s="2459" t="s">
        <v>1670</v>
      </c>
      <c r="D3892" s="2460" t="s">
        <v>1671</v>
      </c>
      <c r="E3892" s="2461" t="s">
        <v>1538</v>
      </c>
      <c r="F3892" s="2461" t="s">
        <v>1543</v>
      </c>
      <c r="G3892" s="2461" t="s">
        <v>1409</v>
      </c>
      <c r="H3892" s="2461" t="s">
        <v>1540</v>
      </c>
      <c r="I3892" s="2462">
        <v>2.8176667829878799E-5</v>
      </c>
      <c r="J3892" s="2462">
        <v>4.8713624916938258E-2</v>
      </c>
    </row>
    <row r="3893" spans="1:10" outlineLevel="2">
      <c r="A3893" s="2459" t="s">
        <v>1669</v>
      </c>
      <c r="B3893" s="2459" t="s">
        <v>1661</v>
      </c>
      <c r="C3893" s="2459" t="s">
        <v>1670</v>
      </c>
      <c r="D3893" s="2460" t="s">
        <v>1671</v>
      </c>
      <c r="E3893" s="2461" t="s">
        <v>1538</v>
      </c>
      <c r="F3893" s="2461" t="s">
        <v>1544</v>
      </c>
      <c r="G3893" s="2461" t="s">
        <v>1409</v>
      </c>
      <c r="H3893" s="2461" t="s">
        <v>1540</v>
      </c>
      <c r="I3893" s="2462">
        <v>5.1585593597853187E-6</v>
      </c>
      <c r="J3893" s="2462">
        <v>2.8241509718418049E-2</v>
      </c>
    </row>
    <row r="3894" spans="1:10" outlineLevel="2">
      <c r="A3894" s="2459" t="s">
        <v>1669</v>
      </c>
      <c r="B3894" s="2459" t="s">
        <v>1661</v>
      </c>
      <c r="C3894" s="2459" t="s">
        <v>1670</v>
      </c>
      <c r="D3894" s="2460" t="s">
        <v>1671</v>
      </c>
      <c r="E3894" s="2461" t="s">
        <v>1538</v>
      </c>
      <c r="F3894" s="2461" t="s">
        <v>1545</v>
      </c>
      <c r="G3894" s="2461" t="s">
        <v>1409</v>
      </c>
      <c r="H3894" s="2461" t="s">
        <v>1540</v>
      </c>
      <c r="I3894" s="2462">
        <v>1.1417683999905364E-4</v>
      </c>
      <c r="J3894" s="2462">
        <v>0.51010602653741233</v>
      </c>
    </row>
    <row r="3895" spans="1:10" outlineLevel="2">
      <c r="A3895" s="2459" t="s">
        <v>1669</v>
      </c>
      <c r="B3895" s="2459" t="s">
        <v>1661</v>
      </c>
      <c r="C3895" s="2459" t="s">
        <v>1670</v>
      </c>
      <c r="D3895" s="2460" t="s">
        <v>1671</v>
      </c>
      <c r="E3895" s="2461" t="s">
        <v>1538</v>
      </c>
      <c r="F3895" s="2461" t="s">
        <v>1546</v>
      </c>
      <c r="G3895" s="2461" t="s">
        <v>1409</v>
      </c>
      <c r="H3895" s="2461" t="s">
        <v>1540</v>
      </c>
      <c r="I3895" s="2462">
        <v>2.1839981655700198E-4</v>
      </c>
      <c r="J3895" s="2462">
        <v>0.25621542967207556</v>
      </c>
    </row>
    <row r="3896" spans="1:10" outlineLevel="2">
      <c r="A3896" s="2459" t="s">
        <v>1669</v>
      </c>
      <c r="B3896" s="2459" t="s">
        <v>1661</v>
      </c>
      <c r="C3896" s="2459" t="s">
        <v>1670</v>
      </c>
      <c r="D3896" s="2460" t="s">
        <v>1671</v>
      </c>
      <c r="E3896" s="2461" t="s">
        <v>1538</v>
      </c>
      <c r="F3896" s="2461" t="s">
        <v>1547</v>
      </c>
      <c r="G3896" s="2461" t="s">
        <v>1409</v>
      </c>
      <c r="H3896" s="2461" t="s">
        <v>1540</v>
      </c>
      <c r="I3896" s="2462">
        <v>2.3721084008461078E-5</v>
      </c>
      <c r="J3896" s="2462">
        <v>0.47194204780489135</v>
      </c>
    </row>
    <row r="3897" spans="1:10" outlineLevel="2">
      <c r="A3897" s="2459" t="s">
        <v>1669</v>
      </c>
      <c r="B3897" s="2459" t="s">
        <v>1661</v>
      </c>
      <c r="C3897" s="2459" t="s">
        <v>1670</v>
      </c>
      <c r="D3897" s="2460" t="s">
        <v>1671</v>
      </c>
      <c r="E3897" s="2461" t="s">
        <v>1538</v>
      </c>
      <c r="F3897" s="2461" t="s">
        <v>1548</v>
      </c>
      <c r="G3897" s="2461" t="s">
        <v>1409</v>
      </c>
      <c r="H3897" s="2461" t="s">
        <v>1540</v>
      </c>
      <c r="I3897" s="2462">
        <v>1.1009560947899286E-4</v>
      </c>
      <c r="J3897" s="2462">
        <v>0.1923009430987199</v>
      </c>
    </row>
    <row r="3898" spans="1:10" outlineLevel="2">
      <c r="A3898" s="2459" t="s">
        <v>1669</v>
      </c>
      <c r="B3898" s="2459" t="s">
        <v>1661</v>
      </c>
      <c r="C3898" s="2459" t="s">
        <v>1670</v>
      </c>
      <c r="D3898" s="2460" t="s">
        <v>1671</v>
      </c>
      <c r="E3898" s="2461" t="s">
        <v>1538</v>
      </c>
      <c r="F3898" s="2461" t="s">
        <v>1549</v>
      </c>
      <c r="G3898" s="2461" t="s">
        <v>1409</v>
      </c>
      <c r="H3898" s="2461" t="s">
        <v>1540</v>
      </c>
      <c r="I3898" s="2462">
        <v>1.6458025598077163E-5</v>
      </c>
      <c r="J3898" s="2462">
        <v>3.1518121044865607E-2</v>
      </c>
    </row>
    <row r="3899" spans="1:10" outlineLevel="2">
      <c r="A3899" s="2459" t="s">
        <v>1669</v>
      </c>
      <c r="B3899" s="2459" t="s">
        <v>1661</v>
      </c>
      <c r="C3899" s="2459" t="s">
        <v>1670</v>
      </c>
      <c r="D3899" s="2460" t="s">
        <v>1671</v>
      </c>
      <c r="E3899" s="2461" t="s">
        <v>1538</v>
      </c>
      <c r="F3899" s="2461" t="s">
        <v>1550</v>
      </c>
      <c r="G3899" s="2461" t="s">
        <v>1409</v>
      </c>
      <c r="H3899" s="2461" t="s">
        <v>1540</v>
      </c>
      <c r="I3899" s="2462">
        <v>9.0198373596378286E-5</v>
      </c>
      <c r="J3899" s="2462">
        <v>0.32773366117596375</v>
      </c>
    </row>
    <row r="3900" spans="1:10" outlineLevel="2">
      <c r="A3900" s="2459" t="s">
        <v>1669</v>
      </c>
      <c r="B3900" s="2459" t="s">
        <v>1661</v>
      </c>
      <c r="C3900" s="2459" t="s">
        <v>1670</v>
      </c>
      <c r="D3900" s="2460" t="s">
        <v>1671</v>
      </c>
      <c r="E3900" s="2461" t="s">
        <v>1538</v>
      </c>
      <c r="F3900" s="2461" t="s">
        <v>1551</v>
      </c>
      <c r="G3900" s="2461" t="s">
        <v>1409</v>
      </c>
      <c r="H3900" s="2461" t="s">
        <v>1540</v>
      </c>
      <c r="I3900" s="2462">
        <v>7.4308781221962643E-5</v>
      </c>
      <c r="J3900" s="2462">
        <v>0.7914047870532277</v>
      </c>
    </row>
    <row r="3901" spans="1:10" outlineLevel="2">
      <c r="A3901" s="2459" t="s">
        <v>1669</v>
      </c>
      <c r="B3901" s="2459" t="s">
        <v>1661</v>
      </c>
      <c r="C3901" s="2459" t="s">
        <v>1670</v>
      </c>
      <c r="D3901" s="2460" t="s">
        <v>1671</v>
      </c>
      <c r="E3901" s="2461" t="s">
        <v>1538</v>
      </c>
      <c r="F3901" s="2461" t="s">
        <v>1552</v>
      </c>
      <c r="G3901" s="2461" t="s">
        <v>1409</v>
      </c>
      <c r="H3901" s="2461" t="s">
        <v>1540</v>
      </c>
      <c r="I3901" s="2462">
        <v>5.2286990610676291E-6</v>
      </c>
      <c r="J3901" s="2462">
        <v>8.3266136180329423E-2</v>
      </c>
    </row>
    <row r="3902" spans="1:10" outlineLevel="2">
      <c r="A3902" s="2459" t="s">
        <v>1669</v>
      </c>
      <c r="B3902" s="2459" t="s">
        <v>1661</v>
      </c>
      <c r="C3902" s="2459" t="s">
        <v>1670</v>
      </c>
      <c r="D3902" s="2460" t="s">
        <v>1671</v>
      </c>
      <c r="E3902" s="2461" t="s">
        <v>1538</v>
      </c>
      <c r="F3902" s="2461" t="s">
        <v>1553</v>
      </c>
      <c r="G3902" s="2461" t="s">
        <v>1409</v>
      </c>
      <c r="H3902" s="2461" t="s">
        <v>1540</v>
      </c>
      <c r="I3902" s="2462">
        <v>3.8775887349624895E-4</v>
      </c>
      <c r="J3902" s="2462">
        <v>0.71285731911538364</v>
      </c>
    </row>
    <row r="3903" spans="1:10" outlineLevel="2">
      <c r="A3903" s="2459" t="s">
        <v>1669</v>
      </c>
      <c r="B3903" s="2459" t="s">
        <v>1661</v>
      </c>
      <c r="C3903" s="2459" t="s">
        <v>1670</v>
      </c>
      <c r="D3903" s="2460" t="s">
        <v>1671</v>
      </c>
      <c r="E3903" s="2461" t="s">
        <v>1538</v>
      </c>
      <c r="F3903" s="2461" t="s">
        <v>1554</v>
      </c>
      <c r="G3903" s="2461" t="s">
        <v>1409</v>
      </c>
      <c r="H3903" s="2461" t="s">
        <v>1540</v>
      </c>
      <c r="I3903" s="2462">
        <v>2.1613636417778373E-4</v>
      </c>
      <c r="J3903" s="2462">
        <v>0.29916653369088064</v>
      </c>
    </row>
    <row r="3904" spans="1:10" outlineLevel="2">
      <c r="A3904" s="2459" t="s">
        <v>1669</v>
      </c>
      <c r="B3904" s="2459" t="s">
        <v>1661</v>
      </c>
      <c r="C3904" s="2459" t="s">
        <v>1670</v>
      </c>
      <c r="D3904" s="2460" t="s">
        <v>1671</v>
      </c>
      <c r="E3904" s="2461" t="s">
        <v>1538</v>
      </c>
      <c r="F3904" s="2461" t="s">
        <v>1555</v>
      </c>
      <c r="G3904" s="2461" t="s">
        <v>1412</v>
      </c>
      <c r="H3904" s="2461" t="s">
        <v>1540</v>
      </c>
      <c r="I3904" s="2462">
        <v>1.1957225180732522E-3</v>
      </c>
      <c r="J3904" s="2462">
        <v>3.6809008023561409</v>
      </c>
    </row>
    <row r="3905" spans="1:10" outlineLevel="2">
      <c r="A3905" s="2459" t="s">
        <v>1669</v>
      </c>
      <c r="B3905" s="2459" t="s">
        <v>1661</v>
      </c>
      <c r="C3905" s="2459" t="s">
        <v>1670</v>
      </c>
      <c r="D3905" s="2460" t="s">
        <v>1671</v>
      </c>
      <c r="E3905" s="2461" t="s">
        <v>1538</v>
      </c>
      <c r="F3905" s="2461" t="s">
        <v>1556</v>
      </c>
      <c r="G3905" s="2461" t="s">
        <v>1412</v>
      </c>
      <c r="H3905" s="2461" t="s">
        <v>1540</v>
      </c>
      <c r="I3905" s="2462">
        <v>2.3771762976642938E-2</v>
      </c>
      <c r="J3905" s="2462">
        <v>334.81824544973472</v>
      </c>
    </row>
    <row r="3906" spans="1:10" outlineLevel="2">
      <c r="A3906" s="2459" t="s">
        <v>1669</v>
      </c>
      <c r="B3906" s="2459" t="s">
        <v>1661</v>
      </c>
      <c r="C3906" s="2459" t="s">
        <v>1670</v>
      </c>
      <c r="D3906" s="2460" t="s">
        <v>1671</v>
      </c>
      <c r="E3906" s="2461" t="s">
        <v>1538</v>
      </c>
      <c r="F3906" s="2461" t="s">
        <v>1557</v>
      </c>
      <c r="G3906" s="2461" t="s">
        <v>1412</v>
      </c>
      <c r="H3906" s="2461" t="s">
        <v>1540</v>
      </c>
      <c r="I3906" s="2462">
        <v>1.4152537464521363E-4</v>
      </c>
      <c r="J3906" s="2462">
        <v>2.4942665859049118</v>
      </c>
    </row>
    <row r="3907" spans="1:10" outlineLevel="2">
      <c r="A3907" s="2459" t="s">
        <v>1669</v>
      </c>
      <c r="B3907" s="2459" t="s">
        <v>1661</v>
      </c>
      <c r="C3907" s="2459" t="s">
        <v>1670</v>
      </c>
      <c r="D3907" s="2460" t="s">
        <v>1671</v>
      </c>
      <c r="E3907" s="2461" t="s">
        <v>1538</v>
      </c>
      <c r="F3907" s="2461" t="s">
        <v>1558</v>
      </c>
      <c r="G3907" s="2461" t="s">
        <v>1412</v>
      </c>
      <c r="H3907" s="2461" t="s">
        <v>1540</v>
      </c>
      <c r="I3907" s="2462">
        <v>4.734300923208499E-5</v>
      </c>
      <c r="J3907" s="2462">
        <v>0.78678089433963605</v>
      </c>
    </row>
    <row r="3908" spans="1:10" outlineLevel="2">
      <c r="A3908" s="2459" t="s">
        <v>1669</v>
      </c>
      <c r="B3908" s="2459" t="s">
        <v>1661</v>
      </c>
      <c r="C3908" s="2459" t="s">
        <v>1670</v>
      </c>
      <c r="D3908" s="2460" t="s">
        <v>1671</v>
      </c>
      <c r="E3908" s="2461" t="s">
        <v>1538</v>
      </c>
      <c r="F3908" s="2461" t="s">
        <v>1559</v>
      </c>
      <c r="G3908" s="2461" t="s">
        <v>1412</v>
      </c>
      <c r="H3908" s="2461" t="s">
        <v>1540</v>
      </c>
      <c r="I3908" s="2462">
        <v>5.0550558357524254E-5</v>
      </c>
      <c r="J3908" s="2462">
        <v>0.19431136509524932</v>
      </c>
    </row>
    <row r="3909" spans="1:10" outlineLevel="2">
      <c r="A3909" s="2459" t="s">
        <v>1669</v>
      </c>
      <c r="B3909" s="2459" t="s">
        <v>1661</v>
      </c>
      <c r="C3909" s="2459" t="s">
        <v>1670</v>
      </c>
      <c r="D3909" s="2460" t="s">
        <v>1671</v>
      </c>
      <c r="E3909" s="2461" t="s">
        <v>1538</v>
      </c>
      <c r="F3909" s="2461" t="s">
        <v>1560</v>
      </c>
      <c r="G3909" s="2461" t="s">
        <v>1412</v>
      </c>
      <c r="H3909" s="2461" t="s">
        <v>1540</v>
      </c>
      <c r="I3909" s="2462">
        <v>7.0953952304736922E-5</v>
      </c>
      <c r="J3909" s="2462">
        <v>1.545313892803325</v>
      </c>
    </row>
    <row r="3910" spans="1:10" outlineLevel="2">
      <c r="A3910" s="2459" t="s">
        <v>1669</v>
      </c>
      <c r="B3910" s="2459" t="s">
        <v>1661</v>
      </c>
      <c r="C3910" s="2459" t="s">
        <v>1670</v>
      </c>
      <c r="D3910" s="2460" t="s">
        <v>1671</v>
      </c>
      <c r="E3910" s="2461" t="s">
        <v>1538</v>
      </c>
      <c r="F3910" s="2461" t="s">
        <v>1561</v>
      </c>
      <c r="G3910" s="2461" t="s">
        <v>1439</v>
      </c>
      <c r="H3910" s="2461" t="s">
        <v>1540</v>
      </c>
      <c r="I3910" s="2462">
        <v>3.4095367176083568E-3</v>
      </c>
      <c r="J3910" s="2462">
        <v>51.669134485030469</v>
      </c>
    </row>
    <row r="3911" spans="1:10" outlineLevel="2">
      <c r="A3911" s="2459" t="s">
        <v>1669</v>
      </c>
      <c r="B3911" s="2459" t="s">
        <v>1661</v>
      </c>
      <c r="C3911" s="2459" t="s">
        <v>1670</v>
      </c>
      <c r="D3911" s="2460" t="s">
        <v>1671</v>
      </c>
      <c r="E3911" s="2461" t="s">
        <v>1538</v>
      </c>
      <c r="F3911" s="2461" t="s">
        <v>1562</v>
      </c>
      <c r="G3911" s="2461" t="s">
        <v>1418</v>
      </c>
      <c r="H3911" s="2461" t="s">
        <v>1540</v>
      </c>
      <c r="I3911" s="2462">
        <v>1.9036407973987792E-5</v>
      </c>
      <c r="J3911" s="2462">
        <v>2.3987437340184367E-2</v>
      </c>
    </row>
    <row r="3912" spans="1:10" outlineLevel="2">
      <c r="A3912" s="2459" t="s">
        <v>1669</v>
      </c>
      <c r="B3912" s="2459" t="s">
        <v>1661</v>
      </c>
      <c r="C3912" s="2459" t="s">
        <v>1670</v>
      </c>
      <c r="D3912" s="2460" t="s">
        <v>1671</v>
      </c>
      <c r="E3912" s="2461" t="s">
        <v>1538</v>
      </c>
      <c r="F3912" s="2461" t="s">
        <v>1563</v>
      </c>
      <c r="G3912" s="2461" t="s">
        <v>1418</v>
      </c>
      <c r="H3912" s="2461" t="s">
        <v>1540</v>
      </c>
      <c r="I3912" s="2462">
        <v>2.7582004296293852E-6</v>
      </c>
      <c r="J3912" s="2462">
        <v>4.6720790466608604E-2</v>
      </c>
    </row>
    <row r="3913" spans="1:10" outlineLevel="2">
      <c r="A3913" s="2459" t="s">
        <v>1669</v>
      </c>
      <c r="B3913" s="2459" t="s">
        <v>1661</v>
      </c>
      <c r="C3913" s="2459" t="s">
        <v>1670</v>
      </c>
      <c r="D3913" s="2460" t="s">
        <v>1671</v>
      </c>
      <c r="E3913" s="2461" t="s">
        <v>1538</v>
      </c>
      <c r="F3913" s="2461" t="s">
        <v>1564</v>
      </c>
      <c r="G3913" s="2461" t="s">
        <v>1421</v>
      </c>
      <c r="H3913" s="2461" t="s">
        <v>1540</v>
      </c>
      <c r="I3913" s="2462">
        <v>5.2806927153352242E-3</v>
      </c>
      <c r="J3913" s="2462">
        <v>12.965803661953871</v>
      </c>
    </row>
    <row r="3914" spans="1:10" outlineLevel="2">
      <c r="A3914" s="2459" t="s">
        <v>1669</v>
      </c>
      <c r="B3914" s="2459" t="s">
        <v>1661</v>
      </c>
      <c r="C3914" s="2459" t="s">
        <v>1670</v>
      </c>
      <c r="D3914" s="2460" t="s">
        <v>1671</v>
      </c>
      <c r="E3914" s="2461" t="s">
        <v>1538</v>
      </c>
      <c r="F3914" s="2461" t="s">
        <v>1565</v>
      </c>
      <c r="G3914" s="2461" t="s">
        <v>1421</v>
      </c>
      <c r="H3914" s="2461" t="s">
        <v>1540</v>
      </c>
      <c r="I3914" s="2462">
        <v>6.2135985908729559E-4</v>
      </c>
      <c r="J3914" s="2462">
        <v>2.8380513089626187</v>
      </c>
    </row>
    <row r="3915" spans="1:10" outlineLevel="2">
      <c r="A3915" s="2459" t="s">
        <v>1669</v>
      </c>
      <c r="B3915" s="2459" t="s">
        <v>1661</v>
      </c>
      <c r="C3915" s="2459" t="s">
        <v>1670</v>
      </c>
      <c r="D3915" s="2460" t="s">
        <v>1671</v>
      </c>
      <c r="E3915" s="2461" t="s">
        <v>1538</v>
      </c>
      <c r="F3915" s="2461" t="s">
        <v>1566</v>
      </c>
      <c r="G3915" s="2461" t="s">
        <v>1421</v>
      </c>
      <c r="H3915" s="2461" t="s">
        <v>1540</v>
      </c>
      <c r="I3915" s="2462">
        <v>3.2398238145287358E-4</v>
      </c>
      <c r="J3915" s="2462">
        <v>3.3139182756542533</v>
      </c>
    </row>
    <row r="3916" spans="1:10" outlineLevel="2">
      <c r="A3916" s="2459" t="s">
        <v>1669</v>
      </c>
      <c r="B3916" s="2459" t="s">
        <v>1661</v>
      </c>
      <c r="C3916" s="2459" t="s">
        <v>1670</v>
      </c>
      <c r="D3916" s="2460" t="s">
        <v>1671</v>
      </c>
      <c r="E3916" s="2461" t="s">
        <v>1538</v>
      </c>
      <c r="F3916" s="2461" t="s">
        <v>1567</v>
      </c>
      <c r="G3916" s="2461" t="s">
        <v>1421</v>
      </c>
      <c r="H3916" s="2461" t="s">
        <v>1540</v>
      </c>
      <c r="I3916" s="2462">
        <v>5.3635090806481312E-4</v>
      </c>
      <c r="J3916" s="2462">
        <v>4.1187173655634366</v>
      </c>
    </row>
    <row r="3917" spans="1:10" outlineLevel="2">
      <c r="A3917" s="2459" t="s">
        <v>1669</v>
      </c>
      <c r="B3917" s="2459" t="s">
        <v>1661</v>
      </c>
      <c r="C3917" s="2459" t="s">
        <v>1670</v>
      </c>
      <c r="D3917" s="2460" t="s">
        <v>1671</v>
      </c>
      <c r="E3917" s="2461" t="s">
        <v>1538</v>
      </c>
      <c r="F3917" s="2461" t="s">
        <v>1568</v>
      </c>
      <c r="G3917" s="2461" t="s">
        <v>1421</v>
      </c>
      <c r="H3917" s="2461" t="s">
        <v>1540</v>
      </c>
      <c r="I3917" s="2462">
        <v>1.8566409278058023E-5</v>
      </c>
      <c r="J3917" s="2462">
        <v>5.6016851010517017E-2</v>
      </c>
    </row>
    <row r="3918" spans="1:10" outlineLevel="2">
      <c r="A3918" s="2459" t="s">
        <v>1669</v>
      </c>
      <c r="B3918" s="2459" t="s">
        <v>1661</v>
      </c>
      <c r="C3918" s="2459" t="s">
        <v>1670</v>
      </c>
      <c r="D3918" s="2460" t="s">
        <v>1671</v>
      </c>
      <c r="E3918" s="2461" t="s">
        <v>1538</v>
      </c>
      <c r="F3918" s="2461" t="s">
        <v>1569</v>
      </c>
      <c r="G3918" s="2461" t="s">
        <v>1421</v>
      </c>
      <c r="H3918" s="2461" t="s">
        <v>1540</v>
      </c>
      <c r="I3918" s="2462">
        <v>4.4011294452539787E-6</v>
      </c>
      <c r="J3918" s="2462">
        <v>5.0858425333527094E-2</v>
      </c>
    </row>
    <row r="3919" spans="1:10" outlineLevel="2">
      <c r="A3919" s="2459" t="s">
        <v>1669</v>
      </c>
      <c r="B3919" s="2459" t="s">
        <v>1661</v>
      </c>
      <c r="C3919" s="2459" t="s">
        <v>1670</v>
      </c>
      <c r="D3919" s="2460" t="s">
        <v>1671</v>
      </c>
      <c r="E3919" s="2461" t="s">
        <v>1538</v>
      </c>
      <c r="F3919" s="2461" t="s">
        <v>1570</v>
      </c>
      <c r="G3919" s="2461" t="s">
        <v>899</v>
      </c>
      <c r="H3919" s="2461" t="s">
        <v>1540</v>
      </c>
      <c r="I3919" s="2462">
        <v>6.1232288492769732E-7</v>
      </c>
      <c r="J3919" s="2462">
        <v>2.6454453602387162E-3</v>
      </c>
    </row>
    <row r="3920" spans="1:10" outlineLevel="2">
      <c r="A3920" s="2459" t="s">
        <v>1669</v>
      </c>
      <c r="B3920" s="2459" t="s">
        <v>1661</v>
      </c>
      <c r="C3920" s="2459" t="s">
        <v>1670</v>
      </c>
      <c r="D3920" s="2460" t="s">
        <v>1671</v>
      </c>
      <c r="E3920" s="2461" t="s">
        <v>1400</v>
      </c>
      <c r="F3920" s="2461" t="s">
        <v>1571</v>
      </c>
      <c r="G3920" s="2461" t="s">
        <v>215</v>
      </c>
      <c r="H3920" s="2461" t="s">
        <v>1531</v>
      </c>
      <c r="I3920" s="2462">
        <v>0.15064828344450773</v>
      </c>
      <c r="J3920" s="2462">
        <v>5421.9485335183181</v>
      </c>
    </row>
    <row r="3921" spans="1:10" outlineLevel="2">
      <c r="A3921" s="2459" t="s">
        <v>1669</v>
      </c>
      <c r="B3921" s="2459" t="s">
        <v>1661</v>
      </c>
      <c r="C3921" s="2459" t="s">
        <v>1670</v>
      </c>
      <c r="D3921" s="2460" t="s">
        <v>1671</v>
      </c>
      <c r="E3921" s="2461" t="s">
        <v>1400</v>
      </c>
      <c r="F3921" s="2461" t="s">
        <v>1572</v>
      </c>
      <c r="G3921" s="2461" t="s">
        <v>215</v>
      </c>
      <c r="H3921" s="2461" t="s">
        <v>1531</v>
      </c>
      <c r="I3921" s="2462">
        <v>7.8606376705081581E-4</v>
      </c>
      <c r="J3921" s="2462">
        <v>14.911182325835407</v>
      </c>
    </row>
    <row r="3922" spans="1:10" outlineLevel="2">
      <c r="A3922" s="2459" t="s">
        <v>1669</v>
      </c>
      <c r="B3922" s="2459" t="s">
        <v>1661</v>
      </c>
      <c r="C3922" s="2459" t="s">
        <v>1670</v>
      </c>
      <c r="D3922" s="2460" t="s">
        <v>1671</v>
      </c>
      <c r="E3922" s="2461" t="s">
        <v>1573</v>
      </c>
      <c r="F3922" s="2461" t="s">
        <v>1575</v>
      </c>
      <c r="G3922" s="2461" t="s">
        <v>1409</v>
      </c>
      <c r="H3922" s="2461" t="s">
        <v>1070</v>
      </c>
      <c r="I3922" s="2462">
        <v>3.3825418093079483E-4</v>
      </c>
      <c r="J3922" s="2462">
        <v>19.72712883957702</v>
      </c>
    </row>
    <row r="3923" spans="1:10" outlineLevel="2">
      <c r="A3923" s="2459" t="s">
        <v>1669</v>
      </c>
      <c r="B3923" s="2459" t="s">
        <v>1661</v>
      </c>
      <c r="C3923" s="2459" t="s">
        <v>1670</v>
      </c>
      <c r="D3923" s="2460" t="s">
        <v>1671</v>
      </c>
      <c r="E3923" s="2461" t="s">
        <v>1573</v>
      </c>
      <c r="F3923" s="2461" t="s">
        <v>1576</v>
      </c>
      <c r="G3923" s="2461" t="s">
        <v>1409</v>
      </c>
      <c r="H3923" s="2461" t="s">
        <v>1070</v>
      </c>
      <c r="I3923" s="2462">
        <v>2.9084089977263289E-6</v>
      </c>
      <c r="J3923" s="2462">
        <v>3.2125199125849539E-2</v>
      </c>
    </row>
    <row r="3924" spans="1:10" outlineLevel="2">
      <c r="A3924" s="2459" t="s">
        <v>1669</v>
      </c>
      <c r="B3924" s="2459" t="s">
        <v>1661</v>
      </c>
      <c r="C3924" s="2459" t="s">
        <v>1670</v>
      </c>
      <c r="D3924" s="2460" t="s">
        <v>1671</v>
      </c>
      <c r="E3924" s="2461" t="s">
        <v>1573</v>
      </c>
      <c r="F3924" s="2461" t="s">
        <v>1577</v>
      </c>
      <c r="G3924" s="2461" t="s">
        <v>1409</v>
      </c>
      <c r="H3924" s="2461" t="s">
        <v>1070</v>
      </c>
      <c r="I3924" s="2462">
        <v>4.2179442939981796E-5</v>
      </c>
      <c r="J3924" s="2462">
        <v>0.52918973751422227</v>
      </c>
    </row>
    <row r="3925" spans="1:10" outlineLevel="2">
      <c r="A3925" s="2459" t="s">
        <v>1669</v>
      </c>
      <c r="B3925" s="2459" t="s">
        <v>1661</v>
      </c>
      <c r="C3925" s="2459" t="s">
        <v>1670</v>
      </c>
      <c r="D3925" s="2460" t="s">
        <v>1671</v>
      </c>
      <c r="E3925" s="2461" t="s">
        <v>1573</v>
      </c>
      <c r="F3925" s="2461" t="s">
        <v>1578</v>
      </c>
      <c r="G3925" s="2461" t="s">
        <v>1409</v>
      </c>
      <c r="H3925" s="2461" t="s">
        <v>1070</v>
      </c>
      <c r="I3925" s="2462">
        <v>9.6321106231933627E-4</v>
      </c>
      <c r="J3925" s="2462">
        <v>49.379986014538687</v>
      </c>
    </row>
    <row r="3926" spans="1:10" outlineLevel="2">
      <c r="A3926" s="2459" t="s">
        <v>1669</v>
      </c>
      <c r="B3926" s="2459" t="s">
        <v>1661</v>
      </c>
      <c r="C3926" s="2459" t="s">
        <v>1670</v>
      </c>
      <c r="D3926" s="2460" t="s">
        <v>1671</v>
      </c>
      <c r="E3926" s="2461" t="s">
        <v>1573</v>
      </c>
      <c r="F3926" s="2461" t="s">
        <v>1579</v>
      </c>
      <c r="G3926" s="2461" t="s">
        <v>1409</v>
      </c>
      <c r="H3926" s="2461" t="s">
        <v>1070</v>
      </c>
      <c r="I3926" s="2462">
        <v>7.3119958023052072E-4</v>
      </c>
      <c r="J3926" s="2462">
        <v>53.728771433977805</v>
      </c>
    </row>
    <row r="3927" spans="1:10" outlineLevel="2">
      <c r="A3927" s="2459" t="s">
        <v>1669</v>
      </c>
      <c r="B3927" s="2459" t="s">
        <v>1661</v>
      </c>
      <c r="C3927" s="2459" t="s">
        <v>1670</v>
      </c>
      <c r="D3927" s="2460" t="s">
        <v>1671</v>
      </c>
      <c r="E3927" s="2461" t="s">
        <v>1573</v>
      </c>
      <c r="F3927" s="2461" t="s">
        <v>1580</v>
      </c>
      <c r="G3927" s="2461" t="s">
        <v>1409</v>
      </c>
      <c r="H3927" s="2461" t="s">
        <v>1070</v>
      </c>
      <c r="I3927" s="2462">
        <v>8.2610294784803254E-5</v>
      </c>
      <c r="J3927" s="2462">
        <v>2.966802270536987</v>
      </c>
    </row>
    <row r="3928" spans="1:10" outlineLevel="2">
      <c r="A3928" s="2459" t="s">
        <v>1669</v>
      </c>
      <c r="B3928" s="2459" t="s">
        <v>1661</v>
      </c>
      <c r="C3928" s="2459" t="s">
        <v>1670</v>
      </c>
      <c r="D3928" s="2460" t="s">
        <v>1671</v>
      </c>
      <c r="E3928" s="2461" t="s">
        <v>1573</v>
      </c>
      <c r="F3928" s="2461" t="s">
        <v>1581</v>
      </c>
      <c r="G3928" s="2461" t="s">
        <v>1409</v>
      </c>
      <c r="H3928" s="2461" t="s">
        <v>1070</v>
      </c>
      <c r="I3928" s="2462">
        <v>4.3939654683069842E-5</v>
      </c>
      <c r="J3928" s="2462">
        <v>2.0202643272558669</v>
      </c>
    </row>
    <row r="3929" spans="1:10" outlineLevel="2">
      <c r="A3929" s="2459" t="s">
        <v>1669</v>
      </c>
      <c r="B3929" s="2459" t="s">
        <v>1661</v>
      </c>
      <c r="C3929" s="2459" t="s">
        <v>1670</v>
      </c>
      <c r="D3929" s="2460" t="s">
        <v>1671</v>
      </c>
      <c r="E3929" s="2461" t="s">
        <v>1573</v>
      </c>
      <c r="F3929" s="2461" t="s">
        <v>1582</v>
      </c>
      <c r="G3929" s="2461" t="s">
        <v>1409</v>
      </c>
      <c r="H3929" s="2461" t="s">
        <v>1070</v>
      </c>
      <c r="I3929" s="2462">
        <v>2.3353759821485639E-4</v>
      </c>
      <c r="J3929" s="2462">
        <v>5.5478416809226676</v>
      </c>
    </row>
    <row r="3930" spans="1:10" outlineLevel="2">
      <c r="A3930" s="2459" t="s">
        <v>1669</v>
      </c>
      <c r="B3930" s="2459" t="s">
        <v>1661</v>
      </c>
      <c r="C3930" s="2459" t="s">
        <v>1670</v>
      </c>
      <c r="D3930" s="2460" t="s">
        <v>1671</v>
      </c>
      <c r="E3930" s="2461" t="s">
        <v>1573</v>
      </c>
      <c r="F3930" s="2461" t="s">
        <v>1583</v>
      </c>
      <c r="G3930" s="2461" t="s">
        <v>1409</v>
      </c>
      <c r="H3930" s="2461" t="s">
        <v>1070</v>
      </c>
      <c r="I3930" s="2462">
        <v>6.6948544994423263E-4</v>
      </c>
      <c r="J3930" s="2462">
        <v>23.740684884045145</v>
      </c>
    </row>
    <row r="3931" spans="1:10" outlineLevel="2">
      <c r="A3931" s="2459" t="s">
        <v>1669</v>
      </c>
      <c r="B3931" s="2459" t="s">
        <v>1661</v>
      </c>
      <c r="C3931" s="2459" t="s">
        <v>1670</v>
      </c>
      <c r="D3931" s="2460" t="s">
        <v>1671</v>
      </c>
      <c r="E3931" s="2461" t="s">
        <v>1573</v>
      </c>
      <c r="F3931" s="2461" t="s">
        <v>1584</v>
      </c>
      <c r="G3931" s="2461" t="s">
        <v>1409</v>
      </c>
      <c r="H3931" s="2461" t="s">
        <v>1070</v>
      </c>
      <c r="I3931" s="2462">
        <v>4.7330414113459887E-4</v>
      </c>
      <c r="J3931" s="2462">
        <v>26.065797248665007</v>
      </c>
    </row>
    <row r="3932" spans="1:10" outlineLevel="2">
      <c r="A3932" s="2459" t="s">
        <v>1669</v>
      </c>
      <c r="B3932" s="2459" t="s">
        <v>1661</v>
      </c>
      <c r="C3932" s="2459" t="s">
        <v>1670</v>
      </c>
      <c r="D3932" s="2460" t="s">
        <v>1671</v>
      </c>
      <c r="E3932" s="2461" t="s">
        <v>1573</v>
      </c>
      <c r="F3932" s="2461" t="s">
        <v>1585</v>
      </c>
      <c r="G3932" s="2461" t="s">
        <v>1409</v>
      </c>
      <c r="H3932" s="2461" t="s">
        <v>1070</v>
      </c>
      <c r="I3932" s="2462">
        <v>2.5948730710882184E-3</v>
      </c>
      <c r="J3932" s="2462">
        <v>200.14555659157028</v>
      </c>
    </row>
    <row r="3933" spans="1:10" outlineLevel="2">
      <c r="A3933" s="2459" t="s">
        <v>1669</v>
      </c>
      <c r="B3933" s="2459" t="s">
        <v>1661</v>
      </c>
      <c r="C3933" s="2459" t="s">
        <v>1670</v>
      </c>
      <c r="D3933" s="2460" t="s">
        <v>1671</v>
      </c>
      <c r="E3933" s="2461" t="s">
        <v>1573</v>
      </c>
      <c r="F3933" s="2461" t="s">
        <v>1586</v>
      </c>
      <c r="G3933" s="2461" t="s">
        <v>1409</v>
      </c>
      <c r="H3933" s="2461" t="s">
        <v>1070</v>
      </c>
      <c r="I3933" s="2462">
        <v>5.4883526698413971E-5</v>
      </c>
      <c r="J3933" s="2462">
        <v>1.6642343952249121</v>
      </c>
    </row>
    <row r="3934" spans="1:10" outlineLevel="2">
      <c r="A3934" s="2459" t="s">
        <v>1669</v>
      </c>
      <c r="B3934" s="2459" t="s">
        <v>1661</v>
      </c>
      <c r="C3934" s="2459" t="s">
        <v>1670</v>
      </c>
      <c r="D3934" s="2460" t="s">
        <v>1671</v>
      </c>
      <c r="E3934" s="2461" t="s">
        <v>1573</v>
      </c>
      <c r="F3934" s="2461" t="s">
        <v>1587</v>
      </c>
      <c r="G3934" s="2461" t="s">
        <v>1409</v>
      </c>
      <c r="H3934" s="2461" t="s">
        <v>1070</v>
      </c>
      <c r="I3934" s="2462">
        <v>2.1613728314793404E-5</v>
      </c>
      <c r="J3934" s="2462">
        <v>1.0190142882050295</v>
      </c>
    </row>
    <row r="3935" spans="1:10" outlineLevel="2">
      <c r="A3935" s="2459" t="s">
        <v>1669</v>
      </c>
      <c r="B3935" s="2459" t="s">
        <v>1661</v>
      </c>
      <c r="C3935" s="2459" t="s">
        <v>1670</v>
      </c>
      <c r="D3935" s="2460" t="s">
        <v>1671</v>
      </c>
      <c r="E3935" s="2461" t="s">
        <v>1573</v>
      </c>
      <c r="F3935" s="2461" t="s">
        <v>1588</v>
      </c>
      <c r="G3935" s="2461" t="s">
        <v>1409</v>
      </c>
      <c r="H3935" s="2461" t="s">
        <v>1070</v>
      </c>
      <c r="I3935" s="2462">
        <v>7.6570666740016769E-4</v>
      </c>
      <c r="J3935" s="2462">
        <v>45.748144224710927</v>
      </c>
    </row>
    <row r="3936" spans="1:10" outlineLevel="2">
      <c r="A3936" s="2459" t="s">
        <v>1669</v>
      </c>
      <c r="B3936" s="2459" t="s">
        <v>1661</v>
      </c>
      <c r="C3936" s="2459" t="s">
        <v>1670</v>
      </c>
      <c r="D3936" s="2460" t="s">
        <v>1671</v>
      </c>
      <c r="E3936" s="2461" t="s">
        <v>1573</v>
      </c>
      <c r="F3936" s="2461" t="s">
        <v>1589</v>
      </c>
      <c r="G3936" s="2461" t="s">
        <v>1409</v>
      </c>
      <c r="H3936" s="2461" t="s">
        <v>1070</v>
      </c>
      <c r="I3936" s="2462">
        <v>6.5828890775685789E-4</v>
      </c>
      <c r="J3936" s="2462">
        <v>49.797458190051337</v>
      </c>
    </row>
    <row r="3937" spans="1:10" outlineLevel="2">
      <c r="A3937" s="2459" t="s">
        <v>1669</v>
      </c>
      <c r="B3937" s="2459" t="s">
        <v>1661</v>
      </c>
      <c r="C3937" s="2459" t="s">
        <v>1670</v>
      </c>
      <c r="D3937" s="2460" t="s">
        <v>1671</v>
      </c>
      <c r="E3937" s="2461" t="s">
        <v>1573</v>
      </c>
      <c r="F3937" s="2461" t="s">
        <v>1590</v>
      </c>
      <c r="G3937" s="2461" t="s">
        <v>1409</v>
      </c>
      <c r="H3937" s="2461" t="s">
        <v>1070</v>
      </c>
      <c r="I3937" s="2462">
        <v>2.40347449988629E-3</v>
      </c>
      <c r="J3937" s="2462">
        <v>171.29619417121833</v>
      </c>
    </row>
    <row r="3938" spans="1:10" outlineLevel="2">
      <c r="A3938" s="2459" t="s">
        <v>1669</v>
      </c>
      <c r="B3938" s="2459" t="s">
        <v>1661</v>
      </c>
      <c r="C3938" s="2459" t="s">
        <v>1670</v>
      </c>
      <c r="D3938" s="2460" t="s">
        <v>1671</v>
      </c>
      <c r="E3938" s="2461" t="s">
        <v>1573</v>
      </c>
      <c r="F3938" s="2461" t="s">
        <v>1591</v>
      </c>
      <c r="G3938" s="2461" t="s">
        <v>1409</v>
      </c>
      <c r="H3938" s="2461" t="s">
        <v>1070</v>
      </c>
      <c r="I3938" s="2462">
        <v>1.6544346766598537E-4</v>
      </c>
      <c r="J3938" s="2462">
        <v>8.0546471794336991</v>
      </c>
    </row>
    <row r="3939" spans="1:10" outlineLevel="2">
      <c r="A3939" s="2459" t="s">
        <v>1669</v>
      </c>
      <c r="B3939" s="2459" t="s">
        <v>1661</v>
      </c>
      <c r="C3939" s="2459" t="s">
        <v>1670</v>
      </c>
      <c r="D3939" s="2460" t="s">
        <v>1671</v>
      </c>
      <c r="E3939" s="2461" t="s">
        <v>1573</v>
      </c>
      <c r="F3939" s="2461" t="s">
        <v>1592</v>
      </c>
      <c r="G3939" s="2461" t="s">
        <v>1409</v>
      </c>
      <c r="H3939" s="2461" t="s">
        <v>1070</v>
      </c>
      <c r="I3939" s="2462">
        <v>1.3911674098895769E-3</v>
      </c>
      <c r="J3939" s="2462">
        <v>64.070379124471216</v>
      </c>
    </row>
    <row r="3940" spans="1:10" outlineLevel="2">
      <c r="A3940" s="2459" t="s">
        <v>1669</v>
      </c>
      <c r="B3940" s="2459" t="s">
        <v>1661</v>
      </c>
      <c r="C3940" s="2459" t="s">
        <v>1670</v>
      </c>
      <c r="D3940" s="2460" t="s">
        <v>1671</v>
      </c>
      <c r="E3940" s="2461" t="s">
        <v>1573</v>
      </c>
      <c r="F3940" s="2461" t="s">
        <v>1593</v>
      </c>
      <c r="G3940" s="2461" t="s">
        <v>1409</v>
      </c>
      <c r="H3940" s="2461" t="s">
        <v>1070</v>
      </c>
      <c r="I3940" s="2462">
        <v>3.3990477939582361E-3</v>
      </c>
      <c r="J3940" s="2462">
        <v>217.82706365676933</v>
      </c>
    </row>
    <row r="3941" spans="1:10" outlineLevel="2">
      <c r="A3941" s="2459" t="s">
        <v>1669</v>
      </c>
      <c r="B3941" s="2459" t="s">
        <v>1661</v>
      </c>
      <c r="C3941" s="2459" t="s">
        <v>1670</v>
      </c>
      <c r="D3941" s="2460" t="s">
        <v>1671</v>
      </c>
      <c r="E3941" s="2461" t="s">
        <v>1573</v>
      </c>
      <c r="F3941" s="2461" t="s">
        <v>1594</v>
      </c>
      <c r="G3941" s="2461" t="s">
        <v>1409</v>
      </c>
      <c r="H3941" s="2461" t="s">
        <v>1070</v>
      </c>
      <c r="I3941" s="2462">
        <v>7.444750511804113E-3</v>
      </c>
      <c r="J3941" s="2462">
        <v>146.13218885141893</v>
      </c>
    </row>
    <row r="3942" spans="1:10" outlineLevel="2">
      <c r="A3942" s="2459" t="s">
        <v>1669</v>
      </c>
      <c r="B3942" s="2459" t="s">
        <v>1661</v>
      </c>
      <c r="C3942" s="2459" t="s">
        <v>1670</v>
      </c>
      <c r="D3942" s="2460" t="s">
        <v>1671</v>
      </c>
      <c r="E3942" s="2461" t="s">
        <v>1573</v>
      </c>
      <c r="F3942" s="2461" t="s">
        <v>1595</v>
      </c>
      <c r="G3942" s="2461" t="s">
        <v>1409</v>
      </c>
      <c r="H3942" s="2461" t="s">
        <v>1070</v>
      </c>
      <c r="I3942" s="2462">
        <v>2.7372578896391348E-3</v>
      </c>
      <c r="J3942" s="2462">
        <v>199.26568307029831</v>
      </c>
    </row>
    <row r="3943" spans="1:10" outlineLevel="2">
      <c r="A3943" s="2459" t="s">
        <v>1669</v>
      </c>
      <c r="B3943" s="2459" t="s">
        <v>1661</v>
      </c>
      <c r="C3943" s="2459" t="s">
        <v>1670</v>
      </c>
      <c r="D3943" s="2460" t="s">
        <v>1671</v>
      </c>
      <c r="E3943" s="2461" t="s">
        <v>1573</v>
      </c>
      <c r="F3943" s="2461" t="s">
        <v>1596</v>
      </c>
      <c r="G3943" s="2461" t="s">
        <v>1409</v>
      </c>
      <c r="H3943" s="2461" t="s">
        <v>1070</v>
      </c>
      <c r="I3943" s="2462">
        <v>4.9840145513734974E-3</v>
      </c>
      <c r="J3943" s="2462">
        <v>114.70630209732053</v>
      </c>
    </row>
    <row r="3944" spans="1:10" outlineLevel="2">
      <c r="A3944" s="2459" t="s">
        <v>1669</v>
      </c>
      <c r="B3944" s="2459" t="s">
        <v>1661</v>
      </c>
      <c r="C3944" s="2459" t="s">
        <v>1670</v>
      </c>
      <c r="D3944" s="2460" t="s">
        <v>1671</v>
      </c>
      <c r="E3944" s="2461" t="s">
        <v>1573</v>
      </c>
      <c r="F3944" s="2461" t="s">
        <v>1597</v>
      </c>
      <c r="G3944" s="2461" t="s">
        <v>1409</v>
      </c>
      <c r="H3944" s="2461" t="s">
        <v>1070</v>
      </c>
      <c r="I3944" s="2462">
        <v>2.9257133141318578E-4</v>
      </c>
      <c r="J3944" s="2462">
        <v>21.381454874317182</v>
      </c>
    </row>
    <row r="3945" spans="1:10" outlineLevel="2">
      <c r="A3945" s="2459" t="s">
        <v>1669</v>
      </c>
      <c r="B3945" s="2459" t="s">
        <v>1661</v>
      </c>
      <c r="C3945" s="2459" t="s">
        <v>1670</v>
      </c>
      <c r="D3945" s="2460" t="s">
        <v>1671</v>
      </c>
      <c r="E3945" s="2461" t="s">
        <v>1573</v>
      </c>
      <c r="F3945" s="2461" t="s">
        <v>1598</v>
      </c>
      <c r="G3945" s="2461" t="s">
        <v>1409</v>
      </c>
      <c r="H3945" s="2461" t="s">
        <v>1070</v>
      </c>
      <c r="I3945" s="2462">
        <v>1.5195912578947727E-5</v>
      </c>
      <c r="J3945" s="2462">
        <v>0.35079103383759286</v>
      </c>
    </row>
    <row r="3946" spans="1:10" outlineLevel="2">
      <c r="A3946" s="2459" t="s">
        <v>1669</v>
      </c>
      <c r="B3946" s="2459" t="s">
        <v>1661</v>
      </c>
      <c r="C3946" s="2459" t="s">
        <v>1670</v>
      </c>
      <c r="D3946" s="2460" t="s">
        <v>1671</v>
      </c>
      <c r="E3946" s="2461" t="s">
        <v>1573</v>
      </c>
      <c r="F3946" s="2461" t="s">
        <v>1599</v>
      </c>
      <c r="G3946" s="2461" t="s">
        <v>1409</v>
      </c>
      <c r="H3946" s="2461" t="s">
        <v>1070</v>
      </c>
      <c r="I3946" s="2462">
        <v>4.1486235475793771E-4</v>
      </c>
      <c r="J3946" s="2462">
        <v>22.302954502964543</v>
      </c>
    </row>
    <row r="3947" spans="1:10" outlineLevel="2">
      <c r="A3947" s="2459" t="s">
        <v>1669</v>
      </c>
      <c r="B3947" s="2459" t="s">
        <v>1661</v>
      </c>
      <c r="C3947" s="2459" t="s">
        <v>1670</v>
      </c>
      <c r="D3947" s="2460" t="s">
        <v>1671</v>
      </c>
      <c r="E3947" s="2461" t="s">
        <v>1573</v>
      </c>
      <c r="F3947" s="2461" t="s">
        <v>1600</v>
      </c>
      <c r="G3947" s="2461" t="s">
        <v>1412</v>
      </c>
      <c r="H3947" s="2461" t="s">
        <v>1116</v>
      </c>
      <c r="I3947" s="2462">
        <v>2.4878961008703809E-4</v>
      </c>
      <c r="J3947" s="2462">
        <v>6.0188826076403936</v>
      </c>
    </row>
    <row r="3948" spans="1:10" outlineLevel="2">
      <c r="A3948" s="2459" t="s">
        <v>1669</v>
      </c>
      <c r="B3948" s="2459" t="s">
        <v>1661</v>
      </c>
      <c r="C3948" s="2459" t="s">
        <v>1670</v>
      </c>
      <c r="D3948" s="2460" t="s">
        <v>1671</v>
      </c>
      <c r="E3948" s="2461" t="s">
        <v>1573</v>
      </c>
      <c r="F3948" s="2461" t="s">
        <v>1601</v>
      </c>
      <c r="G3948" s="2461" t="s">
        <v>1412</v>
      </c>
      <c r="H3948" s="2461" t="s">
        <v>1116</v>
      </c>
      <c r="I3948" s="2462">
        <v>1.2381342468786131E-3</v>
      </c>
      <c r="J3948" s="2462">
        <v>87.319536870718395</v>
      </c>
    </row>
    <row r="3949" spans="1:10" outlineLevel="2">
      <c r="A3949" s="2459" t="s">
        <v>1669</v>
      </c>
      <c r="B3949" s="2459" t="s">
        <v>1661</v>
      </c>
      <c r="C3949" s="2459" t="s">
        <v>1670</v>
      </c>
      <c r="D3949" s="2460" t="s">
        <v>1671</v>
      </c>
      <c r="E3949" s="2461" t="s">
        <v>1573</v>
      </c>
      <c r="F3949" s="2461" t="s">
        <v>1602</v>
      </c>
      <c r="G3949" s="2461" t="s">
        <v>1412</v>
      </c>
      <c r="H3949" s="2461" t="s">
        <v>1116</v>
      </c>
      <c r="I3949" s="2462">
        <v>7.2733846279132697E-4</v>
      </c>
      <c r="J3949" s="2462">
        <v>38.13937087267243</v>
      </c>
    </row>
    <row r="3950" spans="1:10" outlineLevel="2">
      <c r="A3950" s="2459" t="s">
        <v>1669</v>
      </c>
      <c r="B3950" s="2459" t="s">
        <v>1661</v>
      </c>
      <c r="C3950" s="2459" t="s">
        <v>1670</v>
      </c>
      <c r="D3950" s="2460" t="s">
        <v>1671</v>
      </c>
      <c r="E3950" s="2461" t="s">
        <v>1573</v>
      </c>
      <c r="F3950" s="2461" t="s">
        <v>1603</v>
      </c>
      <c r="G3950" s="2461" t="s">
        <v>1412</v>
      </c>
      <c r="H3950" s="2461" t="s">
        <v>1116</v>
      </c>
      <c r="I3950" s="2462">
        <v>8.6093352436346761E-4</v>
      </c>
      <c r="J3950" s="2462">
        <v>38.674813992530368</v>
      </c>
    </row>
    <row r="3951" spans="1:10" outlineLevel="2">
      <c r="A3951" s="2459" t="s">
        <v>1669</v>
      </c>
      <c r="B3951" s="2459" t="s">
        <v>1661</v>
      </c>
      <c r="C3951" s="2459" t="s">
        <v>1670</v>
      </c>
      <c r="D3951" s="2460" t="s">
        <v>1671</v>
      </c>
      <c r="E3951" s="2461" t="s">
        <v>1573</v>
      </c>
      <c r="F3951" s="2461" t="s">
        <v>1604</v>
      </c>
      <c r="G3951" s="2461" t="s">
        <v>1412</v>
      </c>
      <c r="H3951" s="2461" t="s">
        <v>1116</v>
      </c>
      <c r="I3951" s="2462">
        <v>5.4527605856604884E-5</v>
      </c>
      <c r="J3951" s="2462">
        <v>1.4915395259768869</v>
      </c>
    </row>
    <row r="3952" spans="1:10" outlineLevel="2">
      <c r="A3952" s="2459" t="s">
        <v>1669</v>
      </c>
      <c r="B3952" s="2459" t="s">
        <v>1661</v>
      </c>
      <c r="C3952" s="2459" t="s">
        <v>1670</v>
      </c>
      <c r="D3952" s="2460" t="s">
        <v>1671</v>
      </c>
      <c r="E3952" s="2461" t="s">
        <v>1573</v>
      </c>
      <c r="F3952" s="2461" t="s">
        <v>1605</v>
      </c>
      <c r="G3952" s="2461" t="s">
        <v>1412</v>
      </c>
      <c r="H3952" s="2461" t="s">
        <v>1116</v>
      </c>
      <c r="I3952" s="2462">
        <v>1.3641339056786396E-2</v>
      </c>
      <c r="J3952" s="2462">
        <v>448.34162265949044</v>
      </c>
    </row>
    <row r="3953" spans="1:10" outlineLevel="2">
      <c r="A3953" s="2459" t="s">
        <v>1669</v>
      </c>
      <c r="B3953" s="2459" t="s">
        <v>1661</v>
      </c>
      <c r="C3953" s="2459" t="s">
        <v>1670</v>
      </c>
      <c r="D3953" s="2460" t="s">
        <v>1671</v>
      </c>
      <c r="E3953" s="2461" t="s">
        <v>1573</v>
      </c>
      <c r="F3953" s="2461" t="s">
        <v>1606</v>
      </c>
      <c r="G3953" s="2461" t="s">
        <v>1412</v>
      </c>
      <c r="H3953" s="2461" t="s">
        <v>1116</v>
      </c>
      <c r="I3953" s="2462">
        <v>6.7887445221521633E-4</v>
      </c>
      <c r="J3953" s="2462">
        <v>55.03435718616025</v>
      </c>
    </row>
    <row r="3954" spans="1:10" outlineLevel="2">
      <c r="A3954" s="2459" t="s">
        <v>1669</v>
      </c>
      <c r="B3954" s="2459" t="s">
        <v>1661</v>
      </c>
      <c r="C3954" s="2459" t="s">
        <v>1670</v>
      </c>
      <c r="D3954" s="2460" t="s">
        <v>1671</v>
      </c>
      <c r="E3954" s="2461" t="s">
        <v>1573</v>
      </c>
      <c r="F3954" s="2461" t="s">
        <v>1607</v>
      </c>
      <c r="G3954" s="2461" t="s">
        <v>1439</v>
      </c>
      <c r="H3954" s="2461" t="s">
        <v>1440</v>
      </c>
      <c r="I3954" s="2462">
        <v>2.4205043883619353E-6</v>
      </c>
      <c r="J3954" s="2462">
        <v>6.0667229383580067E-2</v>
      </c>
    </row>
    <row r="3955" spans="1:10" outlineLevel="2">
      <c r="A3955" s="2459" t="s">
        <v>1669</v>
      </c>
      <c r="B3955" s="2459" t="s">
        <v>1661</v>
      </c>
      <c r="C3955" s="2459" t="s">
        <v>1670</v>
      </c>
      <c r="D3955" s="2460" t="s">
        <v>1671</v>
      </c>
      <c r="E3955" s="2461" t="s">
        <v>1573</v>
      </c>
      <c r="F3955" s="2461" t="s">
        <v>1609</v>
      </c>
      <c r="G3955" s="2461" t="s">
        <v>1439</v>
      </c>
      <c r="H3955" s="2461" t="s">
        <v>1440</v>
      </c>
      <c r="I3955" s="2462">
        <v>1.9142899022900933E-2</v>
      </c>
      <c r="J3955" s="2462">
        <v>425.26234479851456</v>
      </c>
    </row>
    <row r="3956" spans="1:10" outlineLevel="2">
      <c r="A3956" s="2459" t="s">
        <v>1669</v>
      </c>
      <c r="B3956" s="2459" t="s">
        <v>1661</v>
      </c>
      <c r="C3956" s="2459" t="s">
        <v>1670</v>
      </c>
      <c r="D3956" s="2460" t="s">
        <v>1671</v>
      </c>
      <c r="E3956" s="2461" t="s">
        <v>1573</v>
      </c>
      <c r="F3956" s="2461" t="s">
        <v>1610</v>
      </c>
      <c r="G3956" s="2461" t="s">
        <v>1439</v>
      </c>
      <c r="H3956" s="2461" t="s">
        <v>1440</v>
      </c>
      <c r="I3956" s="2462">
        <v>5.0342437946641477E-3</v>
      </c>
      <c r="J3956" s="2462">
        <v>87.787665803856044</v>
      </c>
    </row>
    <row r="3957" spans="1:10" outlineLevel="2">
      <c r="A3957" s="2459" t="s">
        <v>1669</v>
      </c>
      <c r="B3957" s="2459" t="s">
        <v>1661</v>
      </c>
      <c r="C3957" s="2459" t="s">
        <v>1670</v>
      </c>
      <c r="D3957" s="2460" t="s">
        <v>1671</v>
      </c>
      <c r="E3957" s="2461" t="s">
        <v>1573</v>
      </c>
      <c r="F3957" s="2461" t="s">
        <v>1611</v>
      </c>
      <c r="G3957" s="2461" t="s">
        <v>1439</v>
      </c>
      <c r="H3957" s="2461" t="s">
        <v>1440</v>
      </c>
      <c r="I3957" s="2462">
        <v>1.1898980986702837E-2</v>
      </c>
      <c r="J3957" s="2462">
        <v>579.71733598499418</v>
      </c>
    </row>
    <row r="3958" spans="1:10" outlineLevel="2">
      <c r="A3958" s="2459" t="s">
        <v>1669</v>
      </c>
      <c r="B3958" s="2459" t="s">
        <v>1661</v>
      </c>
      <c r="C3958" s="2459" t="s">
        <v>1670</v>
      </c>
      <c r="D3958" s="2460" t="s">
        <v>1671</v>
      </c>
      <c r="E3958" s="2461" t="s">
        <v>1573</v>
      </c>
      <c r="F3958" s="2461" t="s">
        <v>1612</v>
      </c>
      <c r="G3958" s="2461" t="s">
        <v>1439</v>
      </c>
      <c r="H3958" s="2461" t="s">
        <v>1440</v>
      </c>
      <c r="I3958" s="2462">
        <v>2.0406242793093634E-3</v>
      </c>
      <c r="J3958" s="2462">
        <v>68.305297045295632</v>
      </c>
    </row>
    <row r="3959" spans="1:10" outlineLevel="2">
      <c r="A3959" s="2459" t="s">
        <v>1669</v>
      </c>
      <c r="B3959" s="2459" t="s">
        <v>1661</v>
      </c>
      <c r="C3959" s="2459" t="s">
        <v>1670</v>
      </c>
      <c r="D3959" s="2460" t="s">
        <v>1671</v>
      </c>
      <c r="E3959" s="2461" t="s">
        <v>1573</v>
      </c>
      <c r="F3959" s="2461" t="s">
        <v>1613</v>
      </c>
      <c r="G3959" s="2461" t="s">
        <v>1439</v>
      </c>
      <c r="H3959" s="2461" t="s">
        <v>1440</v>
      </c>
      <c r="I3959" s="2462">
        <v>5.7371859469934604E-5</v>
      </c>
      <c r="J3959" s="2462">
        <v>1.7344213004758249</v>
      </c>
    </row>
    <row r="3960" spans="1:10" outlineLevel="2">
      <c r="A3960" s="2459" t="s">
        <v>1669</v>
      </c>
      <c r="B3960" s="2459" t="s">
        <v>1661</v>
      </c>
      <c r="C3960" s="2459" t="s">
        <v>1670</v>
      </c>
      <c r="D3960" s="2460" t="s">
        <v>1671</v>
      </c>
      <c r="E3960" s="2461" t="s">
        <v>1573</v>
      </c>
      <c r="F3960" s="2461" t="s">
        <v>1614</v>
      </c>
      <c r="G3960" s="2461" t="s">
        <v>1418</v>
      </c>
      <c r="H3960" s="2461" t="s">
        <v>1452</v>
      </c>
      <c r="I3960" s="2462">
        <v>5.4772238990975378E-6</v>
      </c>
      <c r="J3960" s="2462">
        <v>4.681605627497646E-2</v>
      </c>
    </row>
    <row r="3961" spans="1:10" outlineLevel="2">
      <c r="A3961" s="2459" t="s">
        <v>1669</v>
      </c>
      <c r="B3961" s="2459" t="s">
        <v>1661</v>
      </c>
      <c r="C3961" s="2459" t="s">
        <v>1670</v>
      </c>
      <c r="D3961" s="2460" t="s">
        <v>1671</v>
      </c>
      <c r="E3961" s="2461" t="s">
        <v>1573</v>
      </c>
      <c r="F3961" s="2461" t="s">
        <v>1615</v>
      </c>
      <c r="G3961" s="2461" t="s">
        <v>1418</v>
      </c>
      <c r="H3961" s="2461" t="s">
        <v>1452</v>
      </c>
      <c r="I3961" s="2462">
        <v>3.3131875147428769E-2</v>
      </c>
      <c r="J3961" s="2462">
        <v>1943.9045807454806</v>
      </c>
    </row>
    <row r="3962" spans="1:10" outlineLevel="2">
      <c r="A3962" s="2459" t="s">
        <v>1669</v>
      </c>
      <c r="B3962" s="2459" t="s">
        <v>1661</v>
      </c>
      <c r="C3962" s="2459" t="s">
        <v>1670</v>
      </c>
      <c r="D3962" s="2460" t="s">
        <v>1671</v>
      </c>
      <c r="E3962" s="2461" t="s">
        <v>1573</v>
      </c>
      <c r="F3962" s="2461" t="s">
        <v>1616</v>
      </c>
      <c r="G3962" s="2461" t="s">
        <v>1418</v>
      </c>
      <c r="H3962" s="2461" t="s">
        <v>1452</v>
      </c>
      <c r="I3962" s="2462">
        <v>1.5813510096195911E-3</v>
      </c>
      <c r="J3962" s="2462">
        <v>174.28762486636742</v>
      </c>
    </row>
    <row r="3963" spans="1:10" outlineLevel="2">
      <c r="A3963" s="2459" t="s">
        <v>1669</v>
      </c>
      <c r="B3963" s="2459" t="s">
        <v>1661</v>
      </c>
      <c r="C3963" s="2459" t="s">
        <v>1670</v>
      </c>
      <c r="D3963" s="2460" t="s">
        <v>1671</v>
      </c>
      <c r="E3963" s="2461" t="s">
        <v>1573</v>
      </c>
      <c r="F3963" s="2461" t="s">
        <v>1617</v>
      </c>
      <c r="G3963" s="2461" t="s">
        <v>1418</v>
      </c>
      <c r="H3963" s="2461" t="s">
        <v>1452</v>
      </c>
      <c r="I3963" s="2462">
        <v>1.2560786298188112E-5</v>
      </c>
      <c r="J3963" s="2462">
        <v>0.96469448626429022</v>
      </c>
    </row>
    <row r="3964" spans="1:10" outlineLevel="2">
      <c r="A3964" s="2459" t="s">
        <v>1669</v>
      </c>
      <c r="B3964" s="2459" t="s">
        <v>1661</v>
      </c>
      <c r="C3964" s="2459" t="s">
        <v>1670</v>
      </c>
      <c r="D3964" s="2460" t="s">
        <v>1671</v>
      </c>
      <c r="E3964" s="2461" t="s">
        <v>1573</v>
      </c>
      <c r="F3964" s="2461" t="s">
        <v>1618</v>
      </c>
      <c r="G3964" s="2461" t="s">
        <v>1418</v>
      </c>
      <c r="H3964" s="2461" t="s">
        <v>1452</v>
      </c>
      <c r="I3964" s="2462">
        <v>2.448545768405827E-6</v>
      </c>
      <c r="J3964" s="2462">
        <v>0.2026528269352478</v>
      </c>
    </row>
    <row r="3965" spans="1:10" outlineLevel="2">
      <c r="A3965" s="2459" t="s">
        <v>1669</v>
      </c>
      <c r="B3965" s="2459" t="s">
        <v>1661</v>
      </c>
      <c r="C3965" s="2459" t="s">
        <v>1670</v>
      </c>
      <c r="D3965" s="2460" t="s">
        <v>1671</v>
      </c>
      <c r="E3965" s="2461" t="s">
        <v>1573</v>
      </c>
      <c r="F3965" s="2461" t="s">
        <v>1619</v>
      </c>
      <c r="G3965" s="2461" t="s">
        <v>1418</v>
      </c>
      <c r="H3965" s="2461" t="s">
        <v>1452</v>
      </c>
      <c r="I3965" s="2462">
        <v>1.6074671648373494E-4</v>
      </c>
      <c r="J3965" s="2462">
        <v>14.780351122932087</v>
      </c>
    </row>
    <row r="3966" spans="1:10" outlineLevel="2">
      <c r="A3966" s="2459" t="s">
        <v>1669</v>
      </c>
      <c r="B3966" s="2459" t="s">
        <v>1661</v>
      </c>
      <c r="C3966" s="2459" t="s">
        <v>1670</v>
      </c>
      <c r="D3966" s="2460" t="s">
        <v>1671</v>
      </c>
      <c r="E3966" s="2461" t="s">
        <v>1573</v>
      </c>
      <c r="F3966" s="2461" t="s">
        <v>1620</v>
      </c>
      <c r="G3966" s="2461" t="s">
        <v>1418</v>
      </c>
      <c r="H3966" s="2461" t="s">
        <v>1452</v>
      </c>
      <c r="I3966" s="2462">
        <v>3.3985978826636952E-7</v>
      </c>
      <c r="J3966" s="2462">
        <v>4.0892679613114026E-2</v>
      </c>
    </row>
    <row r="3967" spans="1:10" outlineLevel="2">
      <c r="A3967" s="2459" t="s">
        <v>1669</v>
      </c>
      <c r="B3967" s="2459" t="s">
        <v>1661</v>
      </c>
      <c r="C3967" s="2459" t="s">
        <v>1670</v>
      </c>
      <c r="D3967" s="2460" t="s">
        <v>1671</v>
      </c>
      <c r="E3967" s="2461" t="s">
        <v>1573</v>
      </c>
      <c r="F3967" s="2461" t="s">
        <v>1621</v>
      </c>
      <c r="G3967" s="2461" t="s">
        <v>1418</v>
      </c>
      <c r="H3967" s="2461" t="s">
        <v>1452</v>
      </c>
      <c r="I3967" s="2462">
        <v>1.4468219195771931E-4</v>
      </c>
      <c r="J3967" s="2462">
        <v>13.666393131181195</v>
      </c>
    </row>
    <row r="3968" spans="1:10" outlineLevel="2">
      <c r="A3968" s="2459" t="s">
        <v>1669</v>
      </c>
      <c r="B3968" s="2459" t="s">
        <v>1661</v>
      </c>
      <c r="C3968" s="2459" t="s">
        <v>1670</v>
      </c>
      <c r="D3968" s="2460" t="s">
        <v>1671</v>
      </c>
      <c r="E3968" s="2461" t="s">
        <v>1573</v>
      </c>
      <c r="F3968" s="2461" t="s">
        <v>1622</v>
      </c>
      <c r="G3968" s="2461" t="s">
        <v>1418</v>
      </c>
      <c r="H3968" s="2461" t="s">
        <v>1452</v>
      </c>
      <c r="I3968" s="2462">
        <v>4.2777849731620457E-4</v>
      </c>
      <c r="J3968" s="2462">
        <v>38.03131508812821</v>
      </c>
    </row>
    <row r="3969" spans="1:10" outlineLevel="2">
      <c r="A3969" s="2459" t="s">
        <v>1669</v>
      </c>
      <c r="B3969" s="2459" t="s">
        <v>1661</v>
      </c>
      <c r="C3969" s="2459" t="s">
        <v>1670</v>
      </c>
      <c r="D3969" s="2460" t="s">
        <v>1671</v>
      </c>
      <c r="E3969" s="2461" t="s">
        <v>1573</v>
      </c>
      <c r="F3969" s="2461" t="s">
        <v>1623</v>
      </c>
      <c r="G3969" s="2461" t="s">
        <v>1418</v>
      </c>
      <c r="H3969" s="2461" t="s">
        <v>1452</v>
      </c>
      <c r="I3969" s="2462">
        <v>6.487766473267754E-4</v>
      </c>
      <c r="J3969" s="2462">
        <v>28.04320797139626</v>
      </c>
    </row>
    <row r="3970" spans="1:10" outlineLevel="2">
      <c r="A3970" s="2459" t="s">
        <v>1669</v>
      </c>
      <c r="B3970" s="2459" t="s">
        <v>1661</v>
      </c>
      <c r="C3970" s="2459" t="s">
        <v>1670</v>
      </c>
      <c r="D3970" s="2460" t="s">
        <v>1671</v>
      </c>
      <c r="E3970" s="2461" t="s">
        <v>1573</v>
      </c>
      <c r="F3970" s="2461" t="s">
        <v>1624</v>
      </c>
      <c r="G3970" s="2461" t="s">
        <v>1421</v>
      </c>
      <c r="H3970" s="2461" t="s">
        <v>1454</v>
      </c>
      <c r="I3970" s="2462">
        <v>2.6962871287753796E-3</v>
      </c>
      <c r="J3970" s="2462">
        <v>98.595080973175641</v>
      </c>
    </row>
    <row r="3971" spans="1:10" outlineLevel="2">
      <c r="A3971" s="2459" t="s">
        <v>1669</v>
      </c>
      <c r="B3971" s="2459" t="s">
        <v>1661</v>
      </c>
      <c r="C3971" s="2459" t="s">
        <v>1670</v>
      </c>
      <c r="D3971" s="2460" t="s">
        <v>1671</v>
      </c>
      <c r="E3971" s="2461" t="s">
        <v>1573</v>
      </c>
      <c r="F3971" s="2461" t="s">
        <v>1625</v>
      </c>
      <c r="G3971" s="2461" t="s">
        <v>1421</v>
      </c>
      <c r="H3971" s="2461" t="s">
        <v>1454</v>
      </c>
      <c r="I3971" s="2462">
        <v>6.3586759397999868E-4</v>
      </c>
      <c r="J3971" s="2462">
        <v>23.270237396844205</v>
      </c>
    </row>
    <row r="3972" spans="1:10" outlineLevel="2">
      <c r="A3972" s="2459" t="s">
        <v>1669</v>
      </c>
      <c r="B3972" s="2459" t="s">
        <v>1661</v>
      </c>
      <c r="C3972" s="2459" t="s">
        <v>1670</v>
      </c>
      <c r="D3972" s="2460" t="s">
        <v>1671</v>
      </c>
      <c r="E3972" s="2461" t="s">
        <v>1573</v>
      </c>
      <c r="F3972" s="2461" t="s">
        <v>1626</v>
      </c>
      <c r="G3972" s="2461" t="s">
        <v>1421</v>
      </c>
      <c r="H3972" s="2461" t="s">
        <v>1454</v>
      </c>
      <c r="I3972" s="2462">
        <v>1.7846132144131079E-3</v>
      </c>
      <c r="J3972" s="2462">
        <v>64.560426956073727</v>
      </c>
    </row>
    <row r="3973" spans="1:10" outlineLevel="2">
      <c r="A3973" s="2459" t="s">
        <v>1669</v>
      </c>
      <c r="B3973" s="2459" t="s">
        <v>1661</v>
      </c>
      <c r="C3973" s="2459" t="s">
        <v>1670</v>
      </c>
      <c r="D3973" s="2460" t="s">
        <v>1671</v>
      </c>
      <c r="E3973" s="2461" t="s">
        <v>1573</v>
      </c>
      <c r="F3973" s="2461" t="s">
        <v>1627</v>
      </c>
      <c r="G3973" s="2461" t="s">
        <v>1421</v>
      </c>
      <c r="H3973" s="2461" t="s">
        <v>1454</v>
      </c>
      <c r="I3973" s="2462">
        <v>1.5069568827612871E-3</v>
      </c>
      <c r="J3973" s="2462">
        <v>32.779306836683347</v>
      </c>
    </row>
    <row r="3974" spans="1:10" outlineLevel="2">
      <c r="A3974" s="2459" t="s">
        <v>1669</v>
      </c>
      <c r="B3974" s="2459" t="s">
        <v>1661</v>
      </c>
      <c r="C3974" s="2459" t="s">
        <v>1670</v>
      </c>
      <c r="D3974" s="2460" t="s">
        <v>1671</v>
      </c>
      <c r="E3974" s="2461" t="s">
        <v>1573</v>
      </c>
      <c r="F3974" s="2461" t="s">
        <v>1628</v>
      </c>
      <c r="G3974" s="2461" t="s">
        <v>1421</v>
      </c>
      <c r="H3974" s="2461" t="s">
        <v>1454</v>
      </c>
      <c r="I3974" s="2462">
        <v>7.4962656959842082E-5</v>
      </c>
      <c r="J3974" s="2462">
        <v>3.1525466639498818</v>
      </c>
    </row>
    <row r="3975" spans="1:10" outlineLevel="2">
      <c r="A3975" s="2459" t="s">
        <v>1669</v>
      </c>
      <c r="B3975" s="2459" t="s">
        <v>1661</v>
      </c>
      <c r="C3975" s="2459" t="s">
        <v>1670</v>
      </c>
      <c r="D3975" s="2460" t="s">
        <v>1671</v>
      </c>
      <c r="E3975" s="2461" t="s">
        <v>1573</v>
      </c>
      <c r="F3975" s="2461" t="s">
        <v>1629</v>
      </c>
      <c r="G3975" s="2461" t="s">
        <v>1421</v>
      </c>
      <c r="H3975" s="2461" t="s">
        <v>1454</v>
      </c>
      <c r="I3975" s="2462">
        <v>8.6723247320835662E-5</v>
      </c>
      <c r="J3975" s="2462">
        <v>2.7902568420686591</v>
      </c>
    </row>
    <row r="3976" spans="1:10" outlineLevel="2">
      <c r="A3976" s="2459" t="s">
        <v>1669</v>
      </c>
      <c r="B3976" s="2459" t="s">
        <v>1661</v>
      </c>
      <c r="C3976" s="2459" t="s">
        <v>1670</v>
      </c>
      <c r="D3976" s="2460" t="s">
        <v>1671</v>
      </c>
      <c r="E3976" s="2461" t="s">
        <v>1573</v>
      </c>
      <c r="F3976" s="2461" t="s">
        <v>1630</v>
      </c>
      <c r="G3976" s="2461" t="s">
        <v>1459</v>
      </c>
      <c r="H3976" s="2461" t="s">
        <v>1460</v>
      </c>
      <c r="I3976" s="2462">
        <v>6.6968236152469916E-3</v>
      </c>
      <c r="J3976" s="2462">
        <v>438.8955652957211</v>
      </c>
    </row>
    <row r="3977" spans="1:10" outlineLevel="2">
      <c r="A3977" s="2459" t="s">
        <v>1669</v>
      </c>
      <c r="B3977" s="2459" t="s">
        <v>1661</v>
      </c>
      <c r="C3977" s="2459" t="s">
        <v>1670</v>
      </c>
      <c r="D3977" s="2460" t="s">
        <v>1671</v>
      </c>
      <c r="E3977" s="2461" t="s">
        <v>1573</v>
      </c>
      <c r="F3977" s="2461" t="s">
        <v>1633</v>
      </c>
      <c r="G3977" s="2461" t="s">
        <v>215</v>
      </c>
      <c r="H3977" s="2461" t="s">
        <v>1537</v>
      </c>
      <c r="I3977" s="2462">
        <v>6.6139955972890284E-5</v>
      </c>
      <c r="J3977" s="2462">
        <v>1.4745358107251625</v>
      </c>
    </row>
    <row r="3978" spans="1:10" outlineLevel="2">
      <c r="A3978" s="2459" t="s">
        <v>1669</v>
      </c>
      <c r="B3978" s="2459" t="s">
        <v>1662</v>
      </c>
      <c r="C3978" s="2459" t="s">
        <v>1670</v>
      </c>
      <c r="D3978" s="2460" t="s">
        <v>1671</v>
      </c>
      <c r="E3978" s="2461" t="s">
        <v>1407</v>
      </c>
      <c r="F3978" s="2461" t="s">
        <v>1408</v>
      </c>
      <c r="G3978" s="2461" t="s">
        <v>1409</v>
      </c>
      <c r="H3978" s="2461" t="s">
        <v>1410</v>
      </c>
      <c r="I3978" s="2462">
        <v>3.1376679047588956E-3</v>
      </c>
      <c r="J3978" s="2462">
        <v>4.6155813745057908E-2</v>
      </c>
    </row>
    <row r="3979" spans="1:10" outlineLevel="2">
      <c r="A3979" s="2459" t="s">
        <v>1669</v>
      </c>
      <c r="B3979" s="2459" t="s">
        <v>1662</v>
      </c>
      <c r="C3979" s="2459" t="s">
        <v>1670</v>
      </c>
      <c r="D3979" s="2460" t="s">
        <v>1671</v>
      </c>
      <c r="E3979" s="2461" t="s">
        <v>1407</v>
      </c>
      <c r="F3979" s="2461" t="s">
        <v>1411</v>
      </c>
      <c r="G3979" s="2461" t="s">
        <v>1412</v>
      </c>
      <c r="H3979" s="2461" t="s">
        <v>1410</v>
      </c>
      <c r="I3979" s="2462">
        <v>0.97233709960646908</v>
      </c>
      <c r="J3979" s="2462">
        <v>157.90178776660792</v>
      </c>
    </row>
    <row r="3980" spans="1:10" outlineLevel="2">
      <c r="A3980" s="2459" t="s">
        <v>1669</v>
      </c>
      <c r="B3980" s="2459" t="s">
        <v>1662</v>
      </c>
      <c r="C3980" s="2459" t="s">
        <v>1670</v>
      </c>
      <c r="D3980" s="2460" t="s">
        <v>1671</v>
      </c>
      <c r="E3980" s="2461" t="s">
        <v>1407</v>
      </c>
      <c r="F3980" s="2461" t="s">
        <v>1413</v>
      </c>
      <c r="G3980" s="2461" t="s">
        <v>1412</v>
      </c>
      <c r="H3980" s="2461" t="s">
        <v>1410</v>
      </c>
      <c r="I3980" s="2462">
        <v>7.8963397210192997E-4</v>
      </c>
      <c r="J3980" s="2462">
        <v>0.13377075455533105</v>
      </c>
    </row>
    <row r="3981" spans="1:10" outlineLevel="2">
      <c r="A3981" s="2459" t="s">
        <v>1669</v>
      </c>
      <c r="B3981" s="2459" t="s">
        <v>1662</v>
      </c>
      <c r="C3981" s="2459" t="s">
        <v>1670</v>
      </c>
      <c r="D3981" s="2460" t="s">
        <v>1671</v>
      </c>
      <c r="E3981" s="2461" t="s">
        <v>1407</v>
      </c>
      <c r="F3981" s="2461" t="s">
        <v>1414</v>
      </c>
      <c r="G3981" s="2461" t="s">
        <v>1412</v>
      </c>
      <c r="H3981" s="2461" t="s">
        <v>1410</v>
      </c>
      <c r="I3981" s="2462">
        <v>3.9681187284049363E-4</v>
      </c>
      <c r="J3981" s="2462">
        <v>7.2895974995521751E-2</v>
      </c>
    </row>
    <row r="3982" spans="1:10" outlineLevel="2">
      <c r="A3982" s="2459" t="s">
        <v>1669</v>
      </c>
      <c r="B3982" s="2459" t="s">
        <v>1662</v>
      </c>
      <c r="C3982" s="2459" t="s">
        <v>1670</v>
      </c>
      <c r="D3982" s="2460" t="s">
        <v>1671</v>
      </c>
      <c r="E3982" s="2461" t="s">
        <v>1407</v>
      </c>
      <c r="F3982" s="2461" t="s">
        <v>1415</v>
      </c>
      <c r="G3982" s="2461" t="s">
        <v>1412</v>
      </c>
      <c r="H3982" s="2461" t="s">
        <v>1410</v>
      </c>
      <c r="I3982" s="2462">
        <v>1.4552488809904502E-3</v>
      </c>
      <c r="J3982" s="2462">
        <v>0.23180809987832274</v>
      </c>
    </row>
    <row r="3983" spans="1:10" outlineLevel="2">
      <c r="A3983" s="2459" t="s">
        <v>1669</v>
      </c>
      <c r="B3983" s="2459" t="s">
        <v>1662</v>
      </c>
      <c r="C3983" s="2459" t="s">
        <v>1670</v>
      </c>
      <c r="D3983" s="2460" t="s">
        <v>1671</v>
      </c>
      <c r="E3983" s="2461" t="s">
        <v>1407</v>
      </c>
      <c r="F3983" s="2461" t="s">
        <v>1416</v>
      </c>
      <c r="G3983" s="2461" t="s">
        <v>1412</v>
      </c>
      <c r="H3983" s="2461" t="s">
        <v>1410</v>
      </c>
      <c r="I3983" s="2462">
        <v>3.6321160201906724E-3</v>
      </c>
      <c r="J3983" s="2462">
        <v>0.8934695503579777</v>
      </c>
    </row>
    <row r="3984" spans="1:10" outlineLevel="2">
      <c r="A3984" s="2459" t="s">
        <v>1669</v>
      </c>
      <c r="B3984" s="2459" t="s">
        <v>1662</v>
      </c>
      <c r="C3984" s="2459" t="s">
        <v>1670</v>
      </c>
      <c r="D3984" s="2460" t="s">
        <v>1671</v>
      </c>
      <c r="E3984" s="2461" t="s">
        <v>1407</v>
      </c>
      <c r="F3984" s="2461" t="s">
        <v>1417</v>
      </c>
      <c r="G3984" s="2461" t="s">
        <v>1418</v>
      </c>
      <c r="H3984" s="2461" t="s">
        <v>1410</v>
      </c>
      <c r="I3984" s="2462">
        <v>7.5883558820039453E-3</v>
      </c>
      <c r="J3984" s="2462">
        <v>0.10079543355810586</v>
      </c>
    </row>
    <row r="3985" spans="1:10" outlineLevel="2">
      <c r="A3985" s="2459" t="s">
        <v>1669</v>
      </c>
      <c r="B3985" s="2459" t="s">
        <v>1662</v>
      </c>
      <c r="C3985" s="2459" t="s">
        <v>1670</v>
      </c>
      <c r="D3985" s="2460" t="s">
        <v>1671</v>
      </c>
      <c r="E3985" s="2461" t="s">
        <v>1407</v>
      </c>
      <c r="F3985" s="2461" t="s">
        <v>1419</v>
      </c>
      <c r="G3985" s="2461" t="s">
        <v>1418</v>
      </c>
      <c r="H3985" s="2461" t="s">
        <v>1410</v>
      </c>
      <c r="I3985" s="2462">
        <v>5.6327133664350729E-2</v>
      </c>
      <c r="J3985" s="2462">
        <v>10.939274523045102</v>
      </c>
    </row>
    <row r="3986" spans="1:10" outlineLevel="2">
      <c r="A3986" s="2459" t="s">
        <v>1669</v>
      </c>
      <c r="B3986" s="2459" t="s">
        <v>1662</v>
      </c>
      <c r="C3986" s="2459" t="s">
        <v>1670</v>
      </c>
      <c r="D3986" s="2460" t="s">
        <v>1671</v>
      </c>
      <c r="E3986" s="2461" t="s">
        <v>1407</v>
      </c>
      <c r="F3986" s="2461" t="s">
        <v>1420</v>
      </c>
      <c r="G3986" s="2461" t="s">
        <v>1421</v>
      </c>
      <c r="H3986" s="2461" t="s">
        <v>1410</v>
      </c>
      <c r="I3986" s="2462">
        <v>0.67124211400476641</v>
      </c>
      <c r="J3986" s="2462">
        <v>17.420517427126065</v>
      </c>
    </row>
    <row r="3987" spans="1:10" outlineLevel="2">
      <c r="A3987" s="2459" t="s">
        <v>1669</v>
      </c>
      <c r="B3987" s="2459" t="s">
        <v>1662</v>
      </c>
      <c r="C3987" s="2459" t="s">
        <v>1670</v>
      </c>
      <c r="D3987" s="2460" t="s">
        <v>1671</v>
      </c>
      <c r="E3987" s="2461" t="s">
        <v>1407</v>
      </c>
      <c r="F3987" s="2461" t="s">
        <v>1422</v>
      </c>
      <c r="G3987" s="2461" t="s">
        <v>1421</v>
      </c>
      <c r="H3987" s="2461" t="s">
        <v>1410</v>
      </c>
      <c r="I3987" s="2462">
        <v>2.0298262471165961E-2</v>
      </c>
      <c r="J3987" s="2462">
        <v>0.83168516761156053</v>
      </c>
    </row>
    <row r="3988" spans="1:10" outlineLevel="2">
      <c r="A3988" s="2459" t="s">
        <v>1669</v>
      </c>
      <c r="B3988" s="2459" t="s">
        <v>1662</v>
      </c>
      <c r="C3988" s="2459" t="s">
        <v>1670</v>
      </c>
      <c r="D3988" s="2460" t="s">
        <v>1671</v>
      </c>
      <c r="E3988" s="2461" t="s">
        <v>1407</v>
      </c>
      <c r="F3988" s="2461" t="s">
        <v>1423</v>
      </c>
      <c r="G3988" s="2461" t="s">
        <v>1421</v>
      </c>
      <c r="H3988" s="2461" t="s">
        <v>1410</v>
      </c>
      <c r="I3988" s="2462">
        <v>1.0550542903386549E-2</v>
      </c>
      <c r="J3988" s="2462">
        <v>1.2158291877045848</v>
      </c>
    </row>
    <row r="3989" spans="1:10" outlineLevel="2">
      <c r="A3989" s="2459" t="s">
        <v>1669</v>
      </c>
      <c r="B3989" s="2459" t="s">
        <v>1662</v>
      </c>
      <c r="C3989" s="2459" t="s">
        <v>1670</v>
      </c>
      <c r="D3989" s="2460" t="s">
        <v>1671</v>
      </c>
      <c r="E3989" s="2461" t="s">
        <v>1407</v>
      </c>
      <c r="F3989" s="2461" t="s">
        <v>1424</v>
      </c>
      <c r="G3989" s="2461" t="s">
        <v>1421</v>
      </c>
      <c r="H3989" s="2461" t="s">
        <v>1410</v>
      </c>
      <c r="I3989" s="2462">
        <v>0.20632137167931131</v>
      </c>
      <c r="J3989" s="2462">
        <v>43.175935220759108</v>
      </c>
    </row>
    <row r="3990" spans="1:10" outlineLevel="2">
      <c r="A3990" s="2459" t="s">
        <v>1669</v>
      </c>
      <c r="B3990" s="2459" t="s">
        <v>1662</v>
      </c>
      <c r="C3990" s="2459" t="s">
        <v>1670</v>
      </c>
      <c r="D3990" s="2460" t="s">
        <v>1671</v>
      </c>
      <c r="E3990" s="2461" t="s">
        <v>213</v>
      </c>
      <c r="F3990" s="2461" t="s">
        <v>1430</v>
      </c>
      <c r="G3990" s="2461" t="s">
        <v>1409</v>
      </c>
      <c r="H3990" s="2461" t="s">
        <v>1070</v>
      </c>
      <c r="I3990" s="2462">
        <v>9.6987030759372751E-3</v>
      </c>
      <c r="J3990" s="2462">
        <v>6.017848916651757</v>
      </c>
    </row>
    <row r="3991" spans="1:10" outlineLevel="2">
      <c r="A3991" s="2459" t="s">
        <v>1669</v>
      </c>
      <c r="B3991" s="2459" t="s">
        <v>1662</v>
      </c>
      <c r="C3991" s="2459" t="s">
        <v>1670</v>
      </c>
      <c r="D3991" s="2460" t="s">
        <v>1671</v>
      </c>
      <c r="E3991" s="2461" t="s">
        <v>213</v>
      </c>
      <c r="F3991" s="2461" t="s">
        <v>1431</v>
      </c>
      <c r="G3991" s="2461" t="s">
        <v>1409</v>
      </c>
      <c r="H3991" s="2461" t="s">
        <v>1070</v>
      </c>
      <c r="I3991" s="2462">
        <v>8.0488952594382781E-4</v>
      </c>
      <c r="J3991" s="2462">
        <v>0.38981323190098693</v>
      </c>
    </row>
    <row r="3992" spans="1:10" outlineLevel="2">
      <c r="A3992" s="2459" t="s">
        <v>1669</v>
      </c>
      <c r="B3992" s="2459" t="s">
        <v>1662</v>
      </c>
      <c r="C3992" s="2459" t="s">
        <v>1670</v>
      </c>
      <c r="D3992" s="2460" t="s">
        <v>1671</v>
      </c>
      <c r="E3992" s="2461" t="s">
        <v>213</v>
      </c>
      <c r="F3992" s="2461" t="s">
        <v>1432</v>
      </c>
      <c r="G3992" s="2461" t="s">
        <v>1409</v>
      </c>
      <c r="H3992" s="2461" t="s">
        <v>1070</v>
      </c>
      <c r="I3992" s="2462">
        <v>9.7542019205029305E-4</v>
      </c>
      <c r="J3992" s="2462">
        <v>0.46593736388534107</v>
      </c>
    </row>
    <row r="3993" spans="1:10" outlineLevel="2">
      <c r="A3993" s="2459" t="s">
        <v>1669</v>
      </c>
      <c r="B3993" s="2459" t="s">
        <v>1662</v>
      </c>
      <c r="C3993" s="2459" t="s">
        <v>1670</v>
      </c>
      <c r="D3993" s="2460" t="s">
        <v>1671</v>
      </c>
      <c r="E3993" s="2461" t="s">
        <v>213</v>
      </c>
      <c r="F3993" s="2461" t="s">
        <v>1433</v>
      </c>
      <c r="G3993" s="2461" t="s">
        <v>1409</v>
      </c>
      <c r="H3993" s="2461" t="s">
        <v>1070</v>
      </c>
      <c r="I3993" s="2462">
        <v>7.2136570109930324E-6</v>
      </c>
      <c r="J3993" s="2462">
        <v>3.2284446823116013E-3</v>
      </c>
    </row>
    <row r="3994" spans="1:10" outlineLevel="2">
      <c r="A3994" s="2459" t="s">
        <v>1669</v>
      </c>
      <c r="B3994" s="2459" t="s">
        <v>1662</v>
      </c>
      <c r="C3994" s="2459" t="s">
        <v>1670</v>
      </c>
      <c r="D3994" s="2460" t="s">
        <v>1671</v>
      </c>
      <c r="E3994" s="2461" t="s">
        <v>213</v>
      </c>
      <c r="F3994" s="2461" t="s">
        <v>1434</v>
      </c>
      <c r="G3994" s="2461" t="s">
        <v>1409</v>
      </c>
      <c r="H3994" s="2461" t="s">
        <v>1070</v>
      </c>
      <c r="I3994" s="2462">
        <v>2.7805150041977048E-2</v>
      </c>
      <c r="J3994" s="2462">
        <v>15.5259525661337</v>
      </c>
    </row>
    <row r="3995" spans="1:10" outlineLevel="2">
      <c r="A3995" s="2459" t="s">
        <v>1669</v>
      </c>
      <c r="B3995" s="2459" t="s">
        <v>1662</v>
      </c>
      <c r="C3995" s="2459" t="s">
        <v>1670</v>
      </c>
      <c r="D3995" s="2460" t="s">
        <v>1671</v>
      </c>
      <c r="E3995" s="2461" t="s">
        <v>213</v>
      </c>
      <c r="F3995" s="2461" t="s">
        <v>1435</v>
      </c>
      <c r="G3995" s="2461" t="s">
        <v>1409</v>
      </c>
      <c r="H3995" s="2461" t="s">
        <v>1070</v>
      </c>
      <c r="I3995" s="2462">
        <v>2.0330229073217595E-4</v>
      </c>
      <c r="J3995" s="2462">
        <v>9.0987205342082794E-2</v>
      </c>
    </row>
    <row r="3996" spans="1:10" outlineLevel="2">
      <c r="A3996" s="2459" t="s">
        <v>1669</v>
      </c>
      <c r="B3996" s="2459" t="s">
        <v>1662</v>
      </c>
      <c r="C3996" s="2459" t="s">
        <v>1670</v>
      </c>
      <c r="D3996" s="2460" t="s">
        <v>1671</v>
      </c>
      <c r="E3996" s="2461" t="s">
        <v>213</v>
      </c>
      <c r="F3996" s="2461" t="s">
        <v>1436</v>
      </c>
      <c r="G3996" s="2461" t="s">
        <v>1412</v>
      </c>
      <c r="H3996" s="2461" t="s">
        <v>1116</v>
      </c>
      <c r="I3996" s="2462">
        <v>9.6300360707274313E-4</v>
      </c>
      <c r="J3996" s="2462">
        <v>0.43098839600626787</v>
      </c>
    </row>
    <row r="3997" spans="1:10" outlineLevel="2">
      <c r="A3997" s="2459" t="s">
        <v>1669</v>
      </c>
      <c r="B3997" s="2459" t="s">
        <v>1662</v>
      </c>
      <c r="C3997" s="2459" t="s">
        <v>1670</v>
      </c>
      <c r="D3997" s="2460" t="s">
        <v>1671</v>
      </c>
      <c r="E3997" s="2461" t="s">
        <v>213</v>
      </c>
      <c r="F3997" s="2461" t="s">
        <v>1437</v>
      </c>
      <c r="G3997" s="2461" t="s">
        <v>1412</v>
      </c>
      <c r="H3997" s="2461" t="s">
        <v>1116</v>
      </c>
      <c r="I3997" s="2462">
        <v>7.3690238486715586E-5</v>
      </c>
      <c r="J3997" s="2462">
        <v>3.2979831980239821E-2</v>
      </c>
    </row>
    <row r="3998" spans="1:10" outlineLevel="2">
      <c r="A3998" s="2459" t="s">
        <v>1669</v>
      </c>
      <c r="B3998" s="2459" t="s">
        <v>1662</v>
      </c>
      <c r="C3998" s="2459" t="s">
        <v>1670</v>
      </c>
      <c r="D3998" s="2460" t="s">
        <v>1671</v>
      </c>
      <c r="E3998" s="2461" t="s">
        <v>213</v>
      </c>
      <c r="F3998" s="2461" t="s">
        <v>1438</v>
      </c>
      <c r="G3998" s="2461" t="s">
        <v>1439</v>
      </c>
      <c r="H3998" s="2461" t="s">
        <v>1440</v>
      </c>
      <c r="I3998" s="2462">
        <v>2.7096306518950334E-3</v>
      </c>
      <c r="J3998" s="2462">
        <v>1.4839738020678783</v>
      </c>
    </row>
    <row r="3999" spans="1:10" outlineLevel="2">
      <c r="A3999" s="2459" t="s">
        <v>1669</v>
      </c>
      <c r="B3999" s="2459" t="s">
        <v>1662</v>
      </c>
      <c r="C3999" s="2459" t="s">
        <v>1670</v>
      </c>
      <c r="D3999" s="2460" t="s">
        <v>1671</v>
      </c>
      <c r="E3999" s="2461" t="s">
        <v>213</v>
      </c>
      <c r="F3999" s="2461" t="s">
        <v>1441</v>
      </c>
      <c r="G3999" s="2461" t="s">
        <v>1439</v>
      </c>
      <c r="H3999" s="2461" t="s">
        <v>1440</v>
      </c>
      <c r="I3999" s="2462">
        <v>4.035935384858657E-2</v>
      </c>
      <c r="J3999" s="2462">
        <v>21.690952175793438</v>
      </c>
    </row>
    <row r="4000" spans="1:10" outlineLevel="2">
      <c r="A4000" s="2459" t="s">
        <v>1669</v>
      </c>
      <c r="B4000" s="2459" t="s">
        <v>1662</v>
      </c>
      <c r="C4000" s="2459" t="s">
        <v>1670</v>
      </c>
      <c r="D4000" s="2460" t="s">
        <v>1671</v>
      </c>
      <c r="E4000" s="2461" t="s">
        <v>213</v>
      </c>
      <c r="F4000" s="2461" t="s">
        <v>1442</v>
      </c>
      <c r="G4000" s="2461" t="s">
        <v>1439</v>
      </c>
      <c r="H4000" s="2461" t="s">
        <v>1440</v>
      </c>
      <c r="I4000" s="2462">
        <v>3.8136744535129018E-2</v>
      </c>
      <c r="J4000" s="2462">
        <v>19.813831876622846</v>
      </c>
    </row>
    <row r="4001" spans="1:10" outlineLevel="2">
      <c r="A4001" s="2459" t="s">
        <v>1669</v>
      </c>
      <c r="B4001" s="2459" t="s">
        <v>1662</v>
      </c>
      <c r="C4001" s="2459" t="s">
        <v>1670</v>
      </c>
      <c r="D4001" s="2460" t="s">
        <v>1671</v>
      </c>
      <c r="E4001" s="2461" t="s">
        <v>213</v>
      </c>
      <c r="F4001" s="2461" t="s">
        <v>1443</v>
      </c>
      <c r="G4001" s="2461" t="s">
        <v>1439</v>
      </c>
      <c r="H4001" s="2461" t="s">
        <v>1440</v>
      </c>
      <c r="I4001" s="2462">
        <v>0.3816210246288036</v>
      </c>
      <c r="J4001" s="2462">
        <v>208.90055126926401</v>
      </c>
    </row>
    <row r="4002" spans="1:10" outlineLevel="2">
      <c r="A4002" s="2459" t="s">
        <v>1669</v>
      </c>
      <c r="B4002" s="2459" t="s">
        <v>1662</v>
      </c>
      <c r="C4002" s="2459" t="s">
        <v>1670</v>
      </c>
      <c r="D4002" s="2460" t="s">
        <v>1671</v>
      </c>
      <c r="E4002" s="2461" t="s">
        <v>213</v>
      </c>
      <c r="F4002" s="2461" t="s">
        <v>1444</v>
      </c>
      <c r="G4002" s="2461" t="s">
        <v>1439</v>
      </c>
      <c r="H4002" s="2461" t="s">
        <v>1440</v>
      </c>
      <c r="I4002" s="2462">
        <v>4.6848839315859848E-2</v>
      </c>
      <c r="J4002" s="2462">
        <v>27.517130656839157</v>
      </c>
    </row>
    <row r="4003" spans="1:10" outlineLevel="2">
      <c r="A4003" s="2459" t="s">
        <v>1669</v>
      </c>
      <c r="B4003" s="2459" t="s">
        <v>1662</v>
      </c>
      <c r="C4003" s="2459" t="s">
        <v>1670</v>
      </c>
      <c r="D4003" s="2460" t="s">
        <v>1671</v>
      </c>
      <c r="E4003" s="2461" t="s">
        <v>213</v>
      </c>
      <c r="F4003" s="2461" t="s">
        <v>1445</v>
      </c>
      <c r="G4003" s="2461" t="s">
        <v>1439</v>
      </c>
      <c r="H4003" s="2461" t="s">
        <v>1440</v>
      </c>
      <c r="I4003" s="2462">
        <v>0.36110320763169101</v>
      </c>
      <c r="J4003" s="2462">
        <v>182.55118404906798</v>
      </c>
    </row>
    <row r="4004" spans="1:10" outlineLevel="2">
      <c r="A4004" s="2459" t="s">
        <v>1669</v>
      </c>
      <c r="B4004" s="2459" t="s">
        <v>1662</v>
      </c>
      <c r="C4004" s="2459" t="s">
        <v>1670</v>
      </c>
      <c r="D4004" s="2460" t="s">
        <v>1671</v>
      </c>
      <c r="E4004" s="2461" t="s">
        <v>213</v>
      </c>
      <c r="F4004" s="2461" t="s">
        <v>1446</v>
      </c>
      <c r="G4004" s="2461" t="s">
        <v>1439</v>
      </c>
      <c r="H4004" s="2461" t="s">
        <v>1440</v>
      </c>
      <c r="I4004" s="2462">
        <v>3.3021215387139286E-2</v>
      </c>
      <c r="J4004" s="2462">
        <v>17.709965397869226</v>
      </c>
    </row>
    <row r="4005" spans="1:10" outlineLevel="2">
      <c r="A4005" s="2459" t="s">
        <v>1669</v>
      </c>
      <c r="B4005" s="2459" t="s">
        <v>1662</v>
      </c>
      <c r="C4005" s="2459" t="s">
        <v>1670</v>
      </c>
      <c r="D4005" s="2460" t="s">
        <v>1671</v>
      </c>
      <c r="E4005" s="2461" t="s">
        <v>213</v>
      </c>
      <c r="F4005" s="2461" t="s">
        <v>1447</v>
      </c>
      <c r="G4005" s="2461" t="s">
        <v>1439</v>
      </c>
      <c r="H4005" s="2461" t="s">
        <v>1440</v>
      </c>
      <c r="I4005" s="2462">
        <v>0.31870738498773471</v>
      </c>
      <c r="J4005" s="2462">
        <v>170.45912670196395</v>
      </c>
    </row>
    <row r="4006" spans="1:10" outlineLevel="2">
      <c r="A4006" s="2459" t="s">
        <v>1669</v>
      </c>
      <c r="B4006" s="2459" t="s">
        <v>1662</v>
      </c>
      <c r="C4006" s="2459" t="s">
        <v>1670</v>
      </c>
      <c r="D4006" s="2460" t="s">
        <v>1671</v>
      </c>
      <c r="E4006" s="2461" t="s">
        <v>213</v>
      </c>
      <c r="F4006" s="2461" t="s">
        <v>1450</v>
      </c>
      <c r="G4006" s="2461" t="s">
        <v>1439</v>
      </c>
      <c r="H4006" s="2461" t="s">
        <v>1440</v>
      </c>
      <c r="I4006" s="2462">
        <v>1.8228816068318975E-4</v>
      </c>
      <c r="J4006" s="2462">
        <v>9.0958262727961564E-2</v>
      </c>
    </row>
    <row r="4007" spans="1:10" outlineLevel="2">
      <c r="A4007" s="2459" t="s">
        <v>1669</v>
      </c>
      <c r="B4007" s="2459" t="s">
        <v>1662</v>
      </c>
      <c r="C4007" s="2459" t="s">
        <v>1670</v>
      </c>
      <c r="D4007" s="2460" t="s">
        <v>1671</v>
      </c>
      <c r="E4007" s="2461" t="s">
        <v>213</v>
      </c>
      <c r="F4007" s="2461" t="s">
        <v>1451</v>
      </c>
      <c r="G4007" s="2461" t="s">
        <v>1418</v>
      </c>
      <c r="H4007" s="2461" t="s">
        <v>1452</v>
      </c>
      <c r="I4007" s="2462">
        <v>9.4237243217277155E-4</v>
      </c>
      <c r="J4007" s="2462">
        <v>0.57307804446988198</v>
      </c>
    </row>
    <row r="4008" spans="1:10" outlineLevel="2">
      <c r="A4008" s="2459" t="s">
        <v>1669</v>
      </c>
      <c r="B4008" s="2459" t="s">
        <v>1662</v>
      </c>
      <c r="C4008" s="2459" t="s">
        <v>1670</v>
      </c>
      <c r="D4008" s="2460" t="s">
        <v>1671</v>
      </c>
      <c r="E4008" s="2461" t="s">
        <v>213</v>
      </c>
      <c r="F4008" s="2461" t="s">
        <v>1453</v>
      </c>
      <c r="G4008" s="2461" t="s">
        <v>1421</v>
      </c>
      <c r="H4008" s="2461" t="s">
        <v>1454</v>
      </c>
      <c r="I4008" s="2462">
        <v>5.9154831144471445E-3</v>
      </c>
      <c r="J4008" s="2462">
        <v>2.9288135998598506</v>
      </c>
    </row>
    <row r="4009" spans="1:10" outlineLevel="2">
      <c r="A4009" s="2459" t="s">
        <v>1669</v>
      </c>
      <c r="B4009" s="2459" t="s">
        <v>1662</v>
      </c>
      <c r="C4009" s="2459" t="s">
        <v>1670</v>
      </c>
      <c r="D4009" s="2460" t="s">
        <v>1671</v>
      </c>
      <c r="E4009" s="2461" t="s">
        <v>213</v>
      </c>
      <c r="F4009" s="2461" t="s">
        <v>1455</v>
      </c>
      <c r="G4009" s="2461" t="s">
        <v>1421</v>
      </c>
      <c r="H4009" s="2461" t="s">
        <v>1454</v>
      </c>
      <c r="I4009" s="2462">
        <v>3.7750197928996067E-2</v>
      </c>
      <c r="J4009" s="2462">
        <v>19.538476675060814</v>
      </c>
    </row>
    <row r="4010" spans="1:10" outlineLevel="2">
      <c r="A4010" s="2459" t="s">
        <v>1669</v>
      </c>
      <c r="B4010" s="2459" t="s">
        <v>1662</v>
      </c>
      <c r="C4010" s="2459" t="s">
        <v>1670</v>
      </c>
      <c r="D4010" s="2460" t="s">
        <v>1671</v>
      </c>
      <c r="E4010" s="2461" t="s">
        <v>213</v>
      </c>
      <c r="F4010" s="2461" t="s">
        <v>1456</v>
      </c>
      <c r="G4010" s="2461" t="s">
        <v>1421</v>
      </c>
      <c r="H4010" s="2461" t="s">
        <v>1454</v>
      </c>
      <c r="I4010" s="2462">
        <v>1.5141565209219361E-5</v>
      </c>
      <c r="J4010" s="2462">
        <v>6.7765510228448896E-3</v>
      </c>
    </row>
    <row r="4011" spans="1:10" outlineLevel="2">
      <c r="A4011" s="2459" t="s">
        <v>1669</v>
      </c>
      <c r="B4011" s="2459" t="s">
        <v>1662</v>
      </c>
      <c r="C4011" s="2459" t="s">
        <v>1670</v>
      </c>
      <c r="D4011" s="2460" t="s">
        <v>1671</v>
      </c>
      <c r="E4011" s="2461" t="s">
        <v>213</v>
      </c>
      <c r="F4011" s="2461" t="s">
        <v>1457</v>
      </c>
      <c r="G4011" s="2461" t="s">
        <v>1421</v>
      </c>
      <c r="H4011" s="2461" t="s">
        <v>1454</v>
      </c>
      <c r="I4011" s="2462">
        <v>2.6411629983381029E-4</v>
      </c>
      <c r="J4011" s="2462">
        <v>0.11820438552612456</v>
      </c>
    </row>
    <row r="4012" spans="1:10" outlineLevel="2">
      <c r="A4012" s="2459" t="s">
        <v>1669</v>
      </c>
      <c r="B4012" s="2459" t="s">
        <v>1662</v>
      </c>
      <c r="C4012" s="2459" t="s">
        <v>1670</v>
      </c>
      <c r="D4012" s="2460" t="s">
        <v>1671</v>
      </c>
      <c r="E4012" s="2461" t="s">
        <v>213</v>
      </c>
      <c r="F4012" s="2461" t="s">
        <v>1458</v>
      </c>
      <c r="G4012" s="2461" t="s">
        <v>1459</v>
      </c>
      <c r="H4012" s="2461" t="s">
        <v>1460</v>
      </c>
      <c r="I4012" s="2462">
        <v>8.4079585193372348E-3</v>
      </c>
      <c r="J4012" s="2462">
        <v>4.8541484602982479</v>
      </c>
    </row>
    <row r="4013" spans="1:10" outlineLevel="2">
      <c r="A4013" s="2459" t="s">
        <v>1669</v>
      </c>
      <c r="B4013" s="2459" t="s">
        <v>1662</v>
      </c>
      <c r="C4013" s="2459" t="s">
        <v>1670</v>
      </c>
      <c r="D4013" s="2460" t="s">
        <v>1671</v>
      </c>
      <c r="E4013" s="2461" t="s">
        <v>213</v>
      </c>
      <c r="F4013" s="2461" t="s">
        <v>1463</v>
      </c>
      <c r="G4013" s="2461" t="s">
        <v>1426</v>
      </c>
      <c r="H4013" s="2461" t="s">
        <v>1427</v>
      </c>
      <c r="I4013" s="2462">
        <v>6.8362304304303928E-2</v>
      </c>
      <c r="J4013" s="2462">
        <v>91.092781009707579</v>
      </c>
    </row>
    <row r="4014" spans="1:10" outlineLevel="2">
      <c r="A4014" s="2459" t="s">
        <v>1669</v>
      </c>
      <c r="B4014" s="2459" t="s">
        <v>1662</v>
      </c>
      <c r="C4014" s="2459" t="s">
        <v>1670</v>
      </c>
      <c r="D4014" s="2460" t="s">
        <v>1671</v>
      </c>
      <c r="E4014" s="2461" t="s">
        <v>213</v>
      </c>
      <c r="F4014" s="2461" t="s">
        <v>1465</v>
      </c>
      <c r="G4014" s="2461" t="s">
        <v>1409</v>
      </c>
      <c r="H4014" s="2461" t="s">
        <v>1070</v>
      </c>
      <c r="I4014" s="2462">
        <v>3.2625177453539434E-3</v>
      </c>
      <c r="J4014" s="2462">
        <v>5.3345510680777153</v>
      </c>
    </row>
    <row r="4015" spans="1:10" outlineLevel="2">
      <c r="A4015" s="2459" t="s">
        <v>1669</v>
      </c>
      <c r="B4015" s="2459" t="s">
        <v>1662</v>
      </c>
      <c r="C4015" s="2459" t="s">
        <v>1670</v>
      </c>
      <c r="D4015" s="2460" t="s">
        <v>1671</v>
      </c>
      <c r="E4015" s="2461" t="s">
        <v>213</v>
      </c>
      <c r="F4015" s="2461" t="s">
        <v>1466</v>
      </c>
      <c r="G4015" s="2461" t="s">
        <v>1409</v>
      </c>
      <c r="H4015" s="2461" t="s">
        <v>1070</v>
      </c>
      <c r="I4015" s="2462">
        <v>2.6068893378200802E-5</v>
      </c>
      <c r="J4015" s="2462">
        <v>3.9817781890892606E-2</v>
      </c>
    </row>
    <row r="4016" spans="1:10" outlineLevel="2">
      <c r="A4016" s="2459" t="s">
        <v>1669</v>
      </c>
      <c r="B4016" s="2459" t="s">
        <v>1662</v>
      </c>
      <c r="C4016" s="2459" t="s">
        <v>1670</v>
      </c>
      <c r="D4016" s="2460" t="s">
        <v>1671</v>
      </c>
      <c r="E4016" s="2461" t="s">
        <v>213</v>
      </c>
      <c r="F4016" s="2461" t="s">
        <v>1467</v>
      </c>
      <c r="G4016" s="2461" t="s">
        <v>1409</v>
      </c>
      <c r="H4016" s="2461" t="s">
        <v>1070</v>
      </c>
      <c r="I4016" s="2462">
        <v>7.0486264111258379E-3</v>
      </c>
      <c r="J4016" s="2462">
        <v>10.021603118642236</v>
      </c>
    </row>
    <row r="4017" spans="1:10" outlineLevel="2">
      <c r="A4017" s="2459" t="s">
        <v>1669</v>
      </c>
      <c r="B4017" s="2459" t="s">
        <v>1662</v>
      </c>
      <c r="C4017" s="2459" t="s">
        <v>1670</v>
      </c>
      <c r="D4017" s="2460" t="s">
        <v>1671</v>
      </c>
      <c r="E4017" s="2461" t="s">
        <v>213</v>
      </c>
      <c r="F4017" s="2461" t="s">
        <v>1468</v>
      </c>
      <c r="G4017" s="2461" t="s">
        <v>1409</v>
      </c>
      <c r="H4017" s="2461" t="s">
        <v>1070</v>
      </c>
      <c r="I4017" s="2462">
        <v>5.7519408927554855E-3</v>
      </c>
      <c r="J4017" s="2462">
        <v>9.4351690620996944</v>
      </c>
    </row>
    <row r="4018" spans="1:10" outlineLevel="2">
      <c r="A4018" s="2459" t="s">
        <v>1669</v>
      </c>
      <c r="B4018" s="2459" t="s">
        <v>1662</v>
      </c>
      <c r="C4018" s="2459" t="s">
        <v>1670</v>
      </c>
      <c r="D4018" s="2460" t="s">
        <v>1671</v>
      </c>
      <c r="E4018" s="2461" t="s">
        <v>213</v>
      </c>
      <c r="F4018" s="2461" t="s">
        <v>1469</v>
      </c>
      <c r="G4018" s="2461" t="s">
        <v>1409</v>
      </c>
      <c r="H4018" s="2461" t="s">
        <v>1070</v>
      </c>
      <c r="I4018" s="2462">
        <v>1.2863367103972248E-2</v>
      </c>
      <c r="J4018" s="2462">
        <v>18.829698731323635</v>
      </c>
    </row>
    <row r="4019" spans="1:10" outlineLevel="2">
      <c r="A4019" s="2459" t="s">
        <v>1669</v>
      </c>
      <c r="B4019" s="2459" t="s">
        <v>1662</v>
      </c>
      <c r="C4019" s="2459" t="s">
        <v>1670</v>
      </c>
      <c r="D4019" s="2460" t="s">
        <v>1671</v>
      </c>
      <c r="E4019" s="2461" t="s">
        <v>213</v>
      </c>
      <c r="F4019" s="2461" t="s">
        <v>1470</v>
      </c>
      <c r="G4019" s="2461" t="s">
        <v>1409</v>
      </c>
      <c r="H4019" s="2461" t="s">
        <v>1070</v>
      </c>
      <c r="I4019" s="2462">
        <v>5.5803666219402743E-3</v>
      </c>
      <c r="J4019" s="2462">
        <v>7.9286950058612629</v>
      </c>
    </row>
    <row r="4020" spans="1:10" outlineLevel="2">
      <c r="A4020" s="2459" t="s">
        <v>1669</v>
      </c>
      <c r="B4020" s="2459" t="s">
        <v>1662</v>
      </c>
      <c r="C4020" s="2459" t="s">
        <v>1670</v>
      </c>
      <c r="D4020" s="2460" t="s">
        <v>1671</v>
      </c>
      <c r="E4020" s="2461" t="s">
        <v>213</v>
      </c>
      <c r="F4020" s="2461" t="s">
        <v>1471</v>
      </c>
      <c r="G4020" s="2461" t="s">
        <v>1409</v>
      </c>
      <c r="H4020" s="2461" t="s">
        <v>1070</v>
      </c>
      <c r="I4020" s="2462">
        <v>3.0391509811862247E-4</v>
      </c>
      <c r="J4020" s="2462">
        <v>0.41322893020568857</v>
      </c>
    </row>
    <row r="4021" spans="1:10" outlineLevel="2">
      <c r="A4021" s="2459" t="s">
        <v>1669</v>
      </c>
      <c r="B4021" s="2459" t="s">
        <v>1662</v>
      </c>
      <c r="C4021" s="2459" t="s">
        <v>1670</v>
      </c>
      <c r="D4021" s="2460" t="s">
        <v>1671</v>
      </c>
      <c r="E4021" s="2461" t="s">
        <v>213</v>
      </c>
      <c r="F4021" s="2461" t="s">
        <v>1472</v>
      </c>
      <c r="G4021" s="2461" t="s">
        <v>1409</v>
      </c>
      <c r="H4021" s="2461" t="s">
        <v>1070</v>
      </c>
      <c r="I4021" s="2462">
        <v>1.0576717300309636E-2</v>
      </c>
      <c r="J4021" s="2462">
        <v>16.592324648525707</v>
      </c>
    </row>
    <row r="4022" spans="1:10" outlineLevel="2">
      <c r="A4022" s="2459" t="s">
        <v>1669</v>
      </c>
      <c r="B4022" s="2459" t="s">
        <v>1662</v>
      </c>
      <c r="C4022" s="2459" t="s">
        <v>1670</v>
      </c>
      <c r="D4022" s="2460" t="s">
        <v>1671</v>
      </c>
      <c r="E4022" s="2461" t="s">
        <v>213</v>
      </c>
      <c r="F4022" s="2461" t="s">
        <v>1473</v>
      </c>
      <c r="G4022" s="2461" t="s">
        <v>1409</v>
      </c>
      <c r="H4022" s="2461" t="s">
        <v>1070</v>
      </c>
      <c r="I4022" s="2462">
        <v>5.0427495269738058E-3</v>
      </c>
      <c r="J4022" s="2462">
        <v>6.1537943622784317</v>
      </c>
    </row>
    <row r="4023" spans="1:10" outlineLevel="2">
      <c r="A4023" s="2459" t="s">
        <v>1669</v>
      </c>
      <c r="B4023" s="2459" t="s">
        <v>1662</v>
      </c>
      <c r="C4023" s="2459" t="s">
        <v>1670</v>
      </c>
      <c r="D4023" s="2460" t="s">
        <v>1671</v>
      </c>
      <c r="E4023" s="2461" t="s">
        <v>213</v>
      </c>
      <c r="F4023" s="2461" t="s">
        <v>1474</v>
      </c>
      <c r="G4023" s="2461" t="s">
        <v>1409</v>
      </c>
      <c r="H4023" s="2461" t="s">
        <v>1070</v>
      </c>
      <c r="I4023" s="2462">
        <v>2.3826142658925249E-2</v>
      </c>
      <c r="J4023" s="2462">
        <v>34.574781000268331</v>
      </c>
    </row>
    <row r="4024" spans="1:10" outlineLevel="2">
      <c r="A4024" s="2459" t="s">
        <v>1669</v>
      </c>
      <c r="B4024" s="2459" t="s">
        <v>1662</v>
      </c>
      <c r="C4024" s="2459" t="s">
        <v>1670</v>
      </c>
      <c r="D4024" s="2460" t="s">
        <v>1671</v>
      </c>
      <c r="E4024" s="2461" t="s">
        <v>213</v>
      </c>
      <c r="F4024" s="2461" t="s">
        <v>1475</v>
      </c>
      <c r="G4024" s="2461" t="s">
        <v>1409</v>
      </c>
      <c r="H4024" s="2461" t="s">
        <v>1070</v>
      </c>
      <c r="I4024" s="2462">
        <v>1.2078113012852458E-2</v>
      </c>
      <c r="J4024" s="2462">
        <v>16.603760786428545</v>
      </c>
    </row>
    <row r="4025" spans="1:10" outlineLevel="2">
      <c r="A4025" s="2459" t="s">
        <v>1669</v>
      </c>
      <c r="B4025" s="2459" t="s">
        <v>1662</v>
      </c>
      <c r="C4025" s="2459" t="s">
        <v>1670</v>
      </c>
      <c r="D4025" s="2460" t="s">
        <v>1671</v>
      </c>
      <c r="E4025" s="2461" t="s">
        <v>213</v>
      </c>
      <c r="F4025" s="2461" t="s">
        <v>1476</v>
      </c>
      <c r="G4025" s="2461" t="s">
        <v>1409</v>
      </c>
      <c r="H4025" s="2461" t="s">
        <v>1070</v>
      </c>
      <c r="I4025" s="2462">
        <v>9.5540002535264882E-4</v>
      </c>
      <c r="J4025" s="2462">
        <v>1.3374115569681297</v>
      </c>
    </row>
    <row r="4026" spans="1:10" outlineLevel="2">
      <c r="A4026" s="2459" t="s">
        <v>1669</v>
      </c>
      <c r="B4026" s="2459" t="s">
        <v>1662</v>
      </c>
      <c r="C4026" s="2459" t="s">
        <v>1670</v>
      </c>
      <c r="D4026" s="2460" t="s">
        <v>1671</v>
      </c>
      <c r="E4026" s="2461" t="s">
        <v>213</v>
      </c>
      <c r="F4026" s="2461" t="s">
        <v>1477</v>
      </c>
      <c r="G4026" s="2461" t="s">
        <v>1409</v>
      </c>
      <c r="H4026" s="2461" t="s">
        <v>1070</v>
      </c>
      <c r="I4026" s="2462">
        <v>1.5677466618783133E-3</v>
      </c>
      <c r="J4026" s="2462">
        <v>2.2458482113972855</v>
      </c>
    </row>
    <row r="4027" spans="1:10" outlineLevel="2">
      <c r="A4027" s="2459" t="s">
        <v>1669</v>
      </c>
      <c r="B4027" s="2459" t="s">
        <v>1662</v>
      </c>
      <c r="C4027" s="2459" t="s">
        <v>1670</v>
      </c>
      <c r="D4027" s="2460" t="s">
        <v>1671</v>
      </c>
      <c r="E4027" s="2461" t="s">
        <v>213</v>
      </c>
      <c r="F4027" s="2461" t="s">
        <v>1478</v>
      </c>
      <c r="G4027" s="2461" t="s">
        <v>1409</v>
      </c>
      <c r="H4027" s="2461" t="s">
        <v>1070</v>
      </c>
      <c r="I4027" s="2462">
        <v>6.8677788725138831E-4</v>
      </c>
      <c r="J4027" s="2462">
        <v>2.0068499506869322</v>
      </c>
    </row>
    <row r="4028" spans="1:10" outlineLevel="2">
      <c r="A4028" s="2459" t="s">
        <v>1669</v>
      </c>
      <c r="B4028" s="2459" t="s">
        <v>1662</v>
      </c>
      <c r="C4028" s="2459" t="s">
        <v>1670</v>
      </c>
      <c r="D4028" s="2460" t="s">
        <v>1671</v>
      </c>
      <c r="E4028" s="2461" t="s">
        <v>213</v>
      </c>
      <c r="F4028" s="2461" t="s">
        <v>1479</v>
      </c>
      <c r="G4028" s="2461" t="s">
        <v>1409</v>
      </c>
      <c r="H4028" s="2461" t="s">
        <v>1070</v>
      </c>
      <c r="I4028" s="2462">
        <v>5.5257890384022073E-4</v>
      </c>
      <c r="J4028" s="2462">
        <v>4.7599002995668549</v>
      </c>
    </row>
    <row r="4029" spans="1:10" outlineLevel="2">
      <c r="A4029" s="2459" t="s">
        <v>1669</v>
      </c>
      <c r="B4029" s="2459" t="s">
        <v>1662</v>
      </c>
      <c r="C4029" s="2459" t="s">
        <v>1670</v>
      </c>
      <c r="D4029" s="2460" t="s">
        <v>1671</v>
      </c>
      <c r="E4029" s="2461" t="s">
        <v>213</v>
      </c>
      <c r="F4029" s="2461" t="s">
        <v>1480</v>
      </c>
      <c r="G4029" s="2461" t="s">
        <v>1409</v>
      </c>
      <c r="H4029" s="2461" t="s">
        <v>1070</v>
      </c>
      <c r="I4029" s="2462">
        <v>7.5172426699486993E-3</v>
      </c>
      <c r="J4029" s="2462">
        <v>11.349645325806033</v>
      </c>
    </row>
    <row r="4030" spans="1:10" outlineLevel="2">
      <c r="A4030" s="2459" t="s">
        <v>1669</v>
      </c>
      <c r="B4030" s="2459" t="s">
        <v>1662</v>
      </c>
      <c r="C4030" s="2459" t="s">
        <v>1670</v>
      </c>
      <c r="D4030" s="2460" t="s">
        <v>1671</v>
      </c>
      <c r="E4030" s="2461" t="s">
        <v>213</v>
      </c>
      <c r="F4030" s="2461" t="s">
        <v>1481</v>
      </c>
      <c r="G4030" s="2461" t="s">
        <v>1409</v>
      </c>
      <c r="H4030" s="2461" t="s">
        <v>1070</v>
      </c>
      <c r="I4030" s="2462">
        <v>5.3687336490914443E-3</v>
      </c>
      <c r="J4030" s="2462">
        <v>7.9102478066065176</v>
      </c>
    </row>
    <row r="4031" spans="1:10" outlineLevel="2">
      <c r="A4031" s="2459" t="s">
        <v>1669</v>
      </c>
      <c r="B4031" s="2459" t="s">
        <v>1662</v>
      </c>
      <c r="C4031" s="2459" t="s">
        <v>1670</v>
      </c>
      <c r="D4031" s="2460" t="s">
        <v>1671</v>
      </c>
      <c r="E4031" s="2461" t="s">
        <v>213</v>
      </c>
      <c r="F4031" s="2461" t="s">
        <v>1482</v>
      </c>
      <c r="G4031" s="2461" t="s">
        <v>1409</v>
      </c>
      <c r="H4031" s="2461" t="s">
        <v>1070</v>
      </c>
      <c r="I4031" s="2462">
        <v>2.1080793582305807E-3</v>
      </c>
      <c r="J4031" s="2462">
        <v>2.5919060533706264</v>
      </c>
    </row>
    <row r="4032" spans="1:10" outlineLevel="2">
      <c r="A4032" s="2459" t="s">
        <v>1669</v>
      </c>
      <c r="B4032" s="2459" t="s">
        <v>1662</v>
      </c>
      <c r="C4032" s="2459" t="s">
        <v>1670</v>
      </c>
      <c r="D4032" s="2460" t="s">
        <v>1671</v>
      </c>
      <c r="E4032" s="2461" t="s">
        <v>213</v>
      </c>
      <c r="F4032" s="2461" t="s">
        <v>1483</v>
      </c>
      <c r="G4032" s="2461" t="s">
        <v>1409</v>
      </c>
      <c r="H4032" s="2461" t="s">
        <v>1070</v>
      </c>
      <c r="I4032" s="2462">
        <v>1.7556205238031242E-3</v>
      </c>
      <c r="J4032" s="2462">
        <v>1.8939111665019208</v>
      </c>
    </row>
    <row r="4033" spans="1:10" outlineLevel="2">
      <c r="A4033" s="2459" t="s">
        <v>1669</v>
      </c>
      <c r="B4033" s="2459" t="s">
        <v>1662</v>
      </c>
      <c r="C4033" s="2459" t="s">
        <v>1670</v>
      </c>
      <c r="D4033" s="2460" t="s">
        <v>1671</v>
      </c>
      <c r="E4033" s="2461" t="s">
        <v>213</v>
      </c>
      <c r="F4033" s="2461" t="s">
        <v>1484</v>
      </c>
      <c r="G4033" s="2461" t="s">
        <v>1412</v>
      </c>
      <c r="H4033" s="2461" t="s">
        <v>1116</v>
      </c>
      <c r="I4033" s="2462">
        <v>2.3775730375574566E-2</v>
      </c>
      <c r="J4033" s="2462">
        <v>47.772888869036407</v>
      </c>
    </row>
    <row r="4034" spans="1:10" outlineLevel="2">
      <c r="A4034" s="2459" t="s">
        <v>1669</v>
      </c>
      <c r="B4034" s="2459" t="s">
        <v>1662</v>
      </c>
      <c r="C4034" s="2459" t="s">
        <v>1670</v>
      </c>
      <c r="D4034" s="2460" t="s">
        <v>1671</v>
      </c>
      <c r="E4034" s="2461" t="s">
        <v>213</v>
      </c>
      <c r="F4034" s="2461" t="s">
        <v>1485</v>
      </c>
      <c r="G4034" s="2461" t="s">
        <v>1412</v>
      </c>
      <c r="H4034" s="2461" t="s">
        <v>1116</v>
      </c>
      <c r="I4034" s="2462">
        <v>1.7078341476746462E-2</v>
      </c>
      <c r="J4034" s="2462">
        <v>180.79648494812912</v>
      </c>
    </row>
    <row r="4035" spans="1:10" outlineLevel="2">
      <c r="A4035" s="2459" t="s">
        <v>1669</v>
      </c>
      <c r="B4035" s="2459" t="s">
        <v>1662</v>
      </c>
      <c r="C4035" s="2459" t="s">
        <v>1670</v>
      </c>
      <c r="D4035" s="2460" t="s">
        <v>1671</v>
      </c>
      <c r="E4035" s="2461" t="s">
        <v>213</v>
      </c>
      <c r="F4035" s="2461" t="s">
        <v>1486</v>
      </c>
      <c r="G4035" s="2461" t="s">
        <v>1412</v>
      </c>
      <c r="H4035" s="2461" t="s">
        <v>1116</v>
      </c>
      <c r="I4035" s="2462">
        <v>1.4169194683837578E-2</v>
      </c>
      <c r="J4035" s="2462">
        <v>38.84990148214851</v>
      </c>
    </row>
    <row r="4036" spans="1:10" outlineLevel="2">
      <c r="A4036" s="2459" t="s">
        <v>1669</v>
      </c>
      <c r="B4036" s="2459" t="s">
        <v>1662</v>
      </c>
      <c r="C4036" s="2459" t="s">
        <v>1670</v>
      </c>
      <c r="D4036" s="2460" t="s">
        <v>1671</v>
      </c>
      <c r="E4036" s="2461" t="s">
        <v>213</v>
      </c>
      <c r="F4036" s="2461" t="s">
        <v>1487</v>
      </c>
      <c r="G4036" s="2461" t="s">
        <v>1412</v>
      </c>
      <c r="H4036" s="2461" t="s">
        <v>1116</v>
      </c>
      <c r="I4036" s="2462">
        <v>5.4502354462516285E-2</v>
      </c>
      <c r="J4036" s="2462">
        <v>72.970765538340444</v>
      </c>
    </row>
    <row r="4037" spans="1:10" outlineLevel="2">
      <c r="A4037" s="2459" t="s">
        <v>1669</v>
      </c>
      <c r="B4037" s="2459" t="s">
        <v>1662</v>
      </c>
      <c r="C4037" s="2459" t="s">
        <v>1670</v>
      </c>
      <c r="D4037" s="2460" t="s">
        <v>1671</v>
      </c>
      <c r="E4037" s="2461" t="s">
        <v>213</v>
      </c>
      <c r="F4037" s="2461" t="s">
        <v>1488</v>
      </c>
      <c r="G4037" s="2461" t="s">
        <v>1412</v>
      </c>
      <c r="H4037" s="2461" t="s">
        <v>1116</v>
      </c>
      <c r="I4037" s="2462">
        <v>1.5380014355878533E-3</v>
      </c>
      <c r="J4037" s="2462">
        <v>3.3482119879838863</v>
      </c>
    </row>
    <row r="4038" spans="1:10" outlineLevel="2">
      <c r="A4038" s="2459" t="s">
        <v>1669</v>
      </c>
      <c r="B4038" s="2459" t="s">
        <v>1662</v>
      </c>
      <c r="C4038" s="2459" t="s">
        <v>1670</v>
      </c>
      <c r="D4038" s="2460" t="s">
        <v>1671</v>
      </c>
      <c r="E4038" s="2461" t="s">
        <v>213</v>
      </c>
      <c r="F4038" s="2461" t="s">
        <v>1489</v>
      </c>
      <c r="G4038" s="2461" t="s">
        <v>1412</v>
      </c>
      <c r="H4038" s="2461" t="s">
        <v>1116</v>
      </c>
      <c r="I4038" s="2462">
        <v>7.5647710459508062E-4</v>
      </c>
      <c r="J4038" s="2462">
        <v>1.1263570146991608</v>
      </c>
    </row>
    <row r="4039" spans="1:10" outlineLevel="2">
      <c r="A4039" s="2459" t="s">
        <v>1669</v>
      </c>
      <c r="B4039" s="2459" t="s">
        <v>1662</v>
      </c>
      <c r="C4039" s="2459" t="s">
        <v>1670</v>
      </c>
      <c r="D4039" s="2460" t="s">
        <v>1671</v>
      </c>
      <c r="E4039" s="2461" t="s">
        <v>213</v>
      </c>
      <c r="F4039" s="2461" t="s">
        <v>1490</v>
      </c>
      <c r="G4039" s="2461" t="s">
        <v>1412</v>
      </c>
      <c r="H4039" s="2461" t="s">
        <v>1116</v>
      </c>
      <c r="I4039" s="2462">
        <v>1.1194930256713713E-3</v>
      </c>
      <c r="J4039" s="2462">
        <v>15.967132725616684</v>
      </c>
    </row>
    <row r="4040" spans="1:10" outlineLevel="2">
      <c r="A4040" s="2459" t="s">
        <v>1669</v>
      </c>
      <c r="B4040" s="2459" t="s">
        <v>1662</v>
      </c>
      <c r="C4040" s="2459" t="s">
        <v>1670</v>
      </c>
      <c r="D4040" s="2460" t="s">
        <v>1671</v>
      </c>
      <c r="E4040" s="2461" t="s">
        <v>213</v>
      </c>
      <c r="F4040" s="2461" t="s">
        <v>1491</v>
      </c>
      <c r="G4040" s="2461" t="s">
        <v>1439</v>
      </c>
      <c r="H4040" s="2461" t="s">
        <v>1440</v>
      </c>
      <c r="I4040" s="2462">
        <v>0.23366553662922462</v>
      </c>
      <c r="J4040" s="2462">
        <v>250.3072875338419</v>
      </c>
    </row>
    <row r="4041" spans="1:10" outlineLevel="2">
      <c r="A4041" s="2459" t="s">
        <v>1669</v>
      </c>
      <c r="B4041" s="2459" t="s">
        <v>1662</v>
      </c>
      <c r="C4041" s="2459" t="s">
        <v>1670</v>
      </c>
      <c r="D4041" s="2460" t="s">
        <v>1671</v>
      </c>
      <c r="E4041" s="2461" t="s">
        <v>213</v>
      </c>
      <c r="F4041" s="2461" t="s">
        <v>1492</v>
      </c>
      <c r="G4041" s="2461" t="s">
        <v>1439</v>
      </c>
      <c r="H4041" s="2461" t="s">
        <v>1440</v>
      </c>
      <c r="I4041" s="2462">
        <v>0.39265335468250423</v>
      </c>
      <c r="J4041" s="2462">
        <v>533.61649611603264</v>
      </c>
    </row>
    <row r="4042" spans="1:10" outlineLevel="2">
      <c r="A4042" s="2459" t="s">
        <v>1669</v>
      </c>
      <c r="B4042" s="2459" t="s">
        <v>1662</v>
      </c>
      <c r="C4042" s="2459" t="s">
        <v>1670</v>
      </c>
      <c r="D4042" s="2460" t="s">
        <v>1671</v>
      </c>
      <c r="E4042" s="2461" t="s">
        <v>213</v>
      </c>
      <c r="F4042" s="2461" t="s">
        <v>1493</v>
      </c>
      <c r="G4042" s="2461" t="s">
        <v>1439</v>
      </c>
      <c r="H4042" s="2461" t="s">
        <v>1440</v>
      </c>
      <c r="I4042" s="2462">
        <v>2.0115018754049249E-2</v>
      </c>
      <c r="J4042" s="2462">
        <v>21.539377334731469</v>
      </c>
    </row>
    <row r="4043" spans="1:10" outlineLevel="2">
      <c r="A4043" s="2459" t="s">
        <v>1669</v>
      </c>
      <c r="B4043" s="2459" t="s">
        <v>1662</v>
      </c>
      <c r="C4043" s="2459" t="s">
        <v>1670</v>
      </c>
      <c r="D4043" s="2460" t="s">
        <v>1671</v>
      </c>
      <c r="E4043" s="2461" t="s">
        <v>213</v>
      </c>
      <c r="F4043" s="2461" t="s">
        <v>1494</v>
      </c>
      <c r="G4043" s="2461" t="s">
        <v>1439</v>
      </c>
      <c r="H4043" s="2461" t="s">
        <v>1440</v>
      </c>
      <c r="I4043" s="2462">
        <v>0.25022683800432721</v>
      </c>
      <c r="J4043" s="2462">
        <v>316.52184254195606</v>
      </c>
    </row>
    <row r="4044" spans="1:10" outlineLevel="2">
      <c r="A4044" s="2459" t="s">
        <v>1669</v>
      </c>
      <c r="B4044" s="2459" t="s">
        <v>1662</v>
      </c>
      <c r="C4044" s="2459" t="s">
        <v>1670</v>
      </c>
      <c r="D4044" s="2460" t="s">
        <v>1671</v>
      </c>
      <c r="E4044" s="2461" t="s">
        <v>213</v>
      </c>
      <c r="F4044" s="2461" t="s">
        <v>1495</v>
      </c>
      <c r="G4044" s="2461" t="s">
        <v>1439</v>
      </c>
      <c r="H4044" s="2461" t="s">
        <v>1440</v>
      </c>
      <c r="I4044" s="2462">
        <v>1.0957778708714898E-3</v>
      </c>
      <c r="J4044" s="2462">
        <v>1.3913878296058191</v>
      </c>
    </row>
    <row r="4045" spans="1:10" outlineLevel="2">
      <c r="A4045" s="2459" t="s">
        <v>1669</v>
      </c>
      <c r="B4045" s="2459" t="s">
        <v>1662</v>
      </c>
      <c r="C4045" s="2459" t="s">
        <v>1670</v>
      </c>
      <c r="D4045" s="2460" t="s">
        <v>1671</v>
      </c>
      <c r="E4045" s="2461" t="s">
        <v>213</v>
      </c>
      <c r="F4045" s="2461" t="s">
        <v>1496</v>
      </c>
      <c r="G4045" s="2461" t="s">
        <v>1439</v>
      </c>
      <c r="H4045" s="2461" t="s">
        <v>1440</v>
      </c>
      <c r="I4045" s="2462">
        <v>8.7174086191928127E-3</v>
      </c>
      <c r="J4045" s="2462">
        <v>12.359894245707537</v>
      </c>
    </row>
    <row r="4046" spans="1:10" outlineLevel="2">
      <c r="A4046" s="2459" t="s">
        <v>1669</v>
      </c>
      <c r="B4046" s="2459" t="s">
        <v>1662</v>
      </c>
      <c r="C4046" s="2459" t="s">
        <v>1670</v>
      </c>
      <c r="D4046" s="2460" t="s">
        <v>1671</v>
      </c>
      <c r="E4046" s="2461" t="s">
        <v>213</v>
      </c>
      <c r="F4046" s="2461" t="s">
        <v>1497</v>
      </c>
      <c r="G4046" s="2461" t="s">
        <v>1439</v>
      </c>
      <c r="H4046" s="2461" t="s">
        <v>1440</v>
      </c>
      <c r="I4046" s="2462">
        <v>2.0869407046101057E-3</v>
      </c>
      <c r="J4046" s="2462">
        <v>2.6544539636175983</v>
      </c>
    </row>
    <row r="4047" spans="1:10" outlineLevel="2">
      <c r="A4047" s="2459" t="s">
        <v>1669</v>
      </c>
      <c r="B4047" s="2459" t="s">
        <v>1662</v>
      </c>
      <c r="C4047" s="2459" t="s">
        <v>1670</v>
      </c>
      <c r="D4047" s="2460" t="s">
        <v>1671</v>
      </c>
      <c r="E4047" s="2461" t="s">
        <v>213</v>
      </c>
      <c r="F4047" s="2461" t="s">
        <v>1498</v>
      </c>
      <c r="G4047" s="2461" t="s">
        <v>1439</v>
      </c>
      <c r="H4047" s="2461" t="s">
        <v>1440</v>
      </c>
      <c r="I4047" s="2462">
        <v>0.29793031556665978</v>
      </c>
      <c r="J4047" s="2462">
        <v>507.18351042943993</v>
      </c>
    </row>
    <row r="4048" spans="1:10" outlineLevel="2">
      <c r="A4048" s="2459" t="s">
        <v>1669</v>
      </c>
      <c r="B4048" s="2459" t="s">
        <v>1662</v>
      </c>
      <c r="C4048" s="2459" t="s">
        <v>1670</v>
      </c>
      <c r="D4048" s="2460" t="s">
        <v>1671</v>
      </c>
      <c r="E4048" s="2461" t="s">
        <v>213</v>
      </c>
      <c r="F4048" s="2461" t="s">
        <v>1501</v>
      </c>
      <c r="G4048" s="2461" t="s">
        <v>1439</v>
      </c>
      <c r="H4048" s="2461" t="s">
        <v>1440</v>
      </c>
      <c r="I4048" s="2462">
        <v>3.4816447992682353E-2</v>
      </c>
      <c r="J4048" s="2462">
        <v>50.838192422069334</v>
      </c>
    </row>
    <row r="4049" spans="1:10" outlineLevel="2">
      <c r="A4049" s="2459" t="s">
        <v>1669</v>
      </c>
      <c r="B4049" s="2459" t="s">
        <v>1662</v>
      </c>
      <c r="C4049" s="2459" t="s">
        <v>1670</v>
      </c>
      <c r="D4049" s="2460" t="s">
        <v>1671</v>
      </c>
      <c r="E4049" s="2461" t="s">
        <v>213</v>
      </c>
      <c r="F4049" s="2461" t="s">
        <v>1502</v>
      </c>
      <c r="G4049" s="2461" t="s">
        <v>1439</v>
      </c>
      <c r="H4049" s="2461" t="s">
        <v>1440</v>
      </c>
      <c r="I4049" s="2462">
        <v>4.4841123787937788E-2</v>
      </c>
      <c r="J4049" s="2462">
        <v>67.79574827646023</v>
      </c>
    </row>
    <row r="4050" spans="1:10" outlineLevel="2">
      <c r="A4050" s="2459" t="s">
        <v>1669</v>
      </c>
      <c r="B4050" s="2459" t="s">
        <v>1662</v>
      </c>
      <c r="C4050" s="2459" t="s">
        <v>1670</v>
      </c>
      <c r="D4050" s="2460" t="s">
        <v>1671</v>
      </c>
      <c r="E4050" s="2461" t="s">
        <v>213</v>
      </c>
      <c r="F4050" s="2461" t="s">
        <v>1503</v>
      </c>
      <c r="G4050" s="2461" t="s">
        <v>1439</v>
      </c>
      <c r="H4050" s="2461" t="s">
        <v>1440</v>
      </c>
      <c r="I4050" s="2462">
        <v>5.9161120261078552E-2</v>
      </c>
      <c r="J4050" s="2462">
        <v>76.738101400718207</v>
      </c>
    </row>
    <row r="4051" spans="1:10" outlineLevel="2">
      <c r="A4051" s="2459" t="s">
        <v>1669</v>
      </c>
      <c r="B4051" s="2459" t="s">
        <v>1662</v>
      </c>
      <c r="C4051" s="2459" t="s">
        <v>1670</v>
      </c>
      <c r="D4051" s="2460" t="s">
        <v>1671</v>
      </c>
      <c r="E4051" s="2461" t="s">
        <v>213</v>
      </c>
      <c r="F4051" s="2461" t="s">
        <v>1504</v>
      </c>
      <c r="G4051" s="2461" t="s">
        <v>1439</v>
      </c>
      <c r="H4051" s="2461" t="s">
        <v>1440</v>
      </c>
      <c r="I4051" s="2462">
        <v>3.0187675853778351E-2</v>
      </c>
      <c r="J4051" s="2462">
        <v>36.43478959448251</v>
      </c>
    </row>
    <row r="4052" spans="1:10" outlineLevel="2">
      <c r="A4052" s="2459" t="s">
        <v>1669</v>
      </c>
      <c r="B4052" s="2459" t="s">
        <v>1662</v>
      </c>
      <c r="C4052" s="2459" t="s">
        <v>1670</v>
      </c>
      <c r="D4052" s="2460" t="s">
        <v>1671</v>
      </c>
      <c r="E4052" s="2461" t="s">
        <v>213</v>
      </c>
      <c r="F4052" s="2461" t="s">
        <v>1505</v>
      </c>
      <c r="G4052" s="2461" t="s">
        <v>1439</v>
      </c>
      <c r="H4052" s="2461" t="s">
        <v>1440</v>
      </c>
      <c r="I4052" s="2462">
        <v>0.46562588102410518</v>
      </c>
      <c r="J4052" s="2462">
        <v>681.44469451605471</v>
      </c>
    </row>
    <row r="4053" spans="1:10" outlineLevel="2">
      <c r="A4053" s="2459" t="s">
        <v>1669</v>
      </c>
      <c r="B4053" s="2459" t="s">
        <v>1662</v>
      </c>
      <c r="C4053" s="2459" t="s">
        <v>1670</v>
      </c>
      <c r="D4053" s="2460" t="s">
        <v>1671</v>
      </c>
      <c r="E4053" s="2461" t="s">
        <v>213</v>
      </c>
      <c r="F4053" s="2461" t="s">
        <v>1506</v>
      </c>
      <c r="G4053" s="2461" t="s">
        <v>1439</v>
      </c>
      <c r="H4053" s="2461" t="s">
        <v>1440</v>
      </c>
      <c r="I4053" s="2462">
        <v>0.60925519450320498</v>
      </c>
      <c r="J4053" s="2462">
        <v>921.34687738896537</v>
      </c>
    </row>
    <row r="4054" spans="1:10" outlineLevel="2">
      <c r="A4054" s="2459" t="s">
        <v>1669</v>
      </c>
      <c r="B4054" s="2459" t="s">
        <v>1662</v>
      </c>
      <c r="C4054" s="2459" t="s">
        <v>1670</v>
      </c>
      <c r="D4054" s="2460" t="s">
        <v>1671</v>
      </c>
      <c r="E4054" s="2461" t="s">
        <v>213</v>
      </c>
      <c r="F4054" s="2461" t="s">
        <v>1507</v>
      </c>
      <c r="G4054" s="2461" t="s">
        <v>1439</v>
      </c>
      <c r="H4054" s="2461" t="s">
        <v>1440</v>
      </c>
      <c r="I4054" s="2462">
        <v>6.8175015101355749E-2</v>
      </c>
      <c r="J4054" s="2462">
        <v>153.84086170201391</v>
      </c>
    </row>
    <row r="4055" spans="1:10" outlineLevel="2">
      <c r="A4055" s="2459" t="s">
        <v>1669</v>
      </c>
      <c r="B4055" s="2459" t="s">
        <v>1662</v>
      </c>
      <c r="C4055" s="2459" t="s">
        <v>1670</v>
      </c>
      <c r="D4055" s="2460" t="s">
        <v>1671</v>
      </c>
      <c r="E4055" s="2461" t="s">
        <v>213</v>
      </c>
      <c r="F4055" s="2461" t="s">
        <v>1508</v>
      </c>
      <c r="G4055" s="2461" t="s">
        <v>1439</v>
      </c>
      <c r="H4055" s="2461" t="s">
        <v>1440</v>
      </c>
      <c r="I4055" s="2462">
        <v>1.8765356136160247</v>
      </c>
      <c r="J4055" s="2462">
        <v>2974.1670310214845</v>
      </c>
    </row>
    <row r="4056" spans="1:10" outlineLevel="2">
      <c r="A4056" s="2459" t="s">
        <v>1669</v>
      </c>
      <c r="B4056" s="2459" t="s">
        <v>1662</v>
      </c>
      <c r="C4056" s="2459" t="s">
        <v>1670</v>
      </c>
      <c r="D4056" s="2460" t="s">
        <v>1671</v>
      </c>
      <c r="E4056" s="2461" t="s">
        <v>213</v>
      </c>
      <c r="F4056" s="2461" t="s">
        <v>1509</v>
      </c>
      <c r="G4056" s="2461" t="s">
        <v>1439</v>
      </c>
      <c r="H4056" s="2461" t="s">
        <v>1440</v>
      </c>
      <c r="I4056" s="2462">
        <v>2.1197980777114718E-2</v>
      </c>
      <c r="J4056" s="2462">
        <v>24.222923111484821</v>
      </c>
    </row>
    <row r="4057" spans="1:10" outlineLevel="2">
      <c r="A4057" s="2459" t="s">
        <v>1669</v>
      </c>
      <c r="B4057" s="2459" t="s">
        <v>1662</v>
      </c>
      <c r="C4057" s="2459" t="s">
        <v>1670</v>
      </c>
      <c r="D4057" s="2460" t="s">
        <v>1671</v>
      </c>
      <c r="E4057" s="2461" t="s">
        <v>213</v>
      </c>
      <c r="F4057" s="2461" t="s">
        <v>1510</v>
      </c>
      <c r="G4057" s="2461" t="s">
        <v>1439</v>
      </c>
      <c r="H4057" s="2461" t="s">
        <v>1440</v>
      </c>
      <c r="I4057" s="2462">
        <v>7.8747504882176675E-2</v>
      </c>
      <c r="J4057" s="2462">
        <v>91.391203636391936</v>
      </c>
    </row>
    <row r="4058" spans="1:10" outlineLevel="2">
      <c r="A4058" s="2459" t="s">
        <v>1669</v>
      </c>
      <c r="B4058" s="2459" t="s">
        <v>1662</v>
      </c>
      <c r="C4058" s="2459" t="s">
        <v>1670</v>
      </c>
      <c r="D4058" s="2460" t="s">
        <v>1671</v>
      </c>
      <c r="E4058" s="2461" t="s">
        <v>213</v>
      </c>
      <c r="F4058" s="2461" t="s">
        <v>1511</v>
      </c>
      <c r="G4058" s="2461" t="s">
        <v>1418</v>
      </c>
      <c r="H4058" s="2461" t="s">
        <v>1452</v>
      </c>
      <c r="I4058" s="2462">
        <v>9.4385551522140954E-4</v>
      </c>
      <c r="J4058" s="2462">
        <v>1.3940578931502021</v>
      </c>
    </row>
    <row r="4059" spans="1:10" outlineLevel="2">
      <c r="A4059" s="2459" t="s">
        <v>1669</v>
      </c>
      <c r="B4059" s="2459" t="s">
        <v>1662</v>
      </c>
      <c r="C4059" s="2459" t="s">
        <v>1670</v>
      </c>
      <c r="D4059" s="2460" t="s">
        <v>1671</v>
      </c>
      <c r="E4059" s="2461" t="s">
        <v>213</v>
      </c>
      <c r="F4059" s="2461" t="s">
        <v>1512</v>
      </c>
      <c r="G4059" s="2461" t="s">
        <v>1418</v>
      </c>
      <c r="H4059" s="2461" t="s">
        <v>1452</v>
      </c>
      <c r="I4059" s="2462">
        <v>1.2352167110285313E-3</v>
      </c>
      <c r="J4059" s="2462">
        <v>5.3945058126420058</v>
      </c>
    </row>
    <row r="4060" spans="1:10" outlineLevel="2">
      <c r="A4060" s="2459" t="s">
        <v>1669</v>
      </c>
      <c r="B4060" s="2459" t="s">
        <v>1662</v>
      </c>
      <c r="C4060" s="2459" t="s">
        <v>1670</v>
      </c>
      <c r="D4060" s="2460" t="s">
        <v>1671</v>
      </c>
      <c r="E4060" s="2461" t="s">
        <v>213</v>
      </c>
      <c r="F4060" s="2461" t="s">
        <v>1513</v>
      </c>
      <c r="G4060" s="2461" t="s">
        <v>1418</v>
      </c>
      <c r="H4060" s="2461" t="s">
        <v>1452</v>
      </c>
      <c r="I4060" s="2462">
        <v>4.6084082502935427E-5</v>
      </c>
      <c r="J4060" s="2462">
        <v>4.3273277053399874E-2</v>
      </c>
    </row>
    <row r="4061" spans="1:10" outlineLevel="2">
      <c r="A4061" s="2459" t="s">
        <v>1669</v>
      </c>
      <c r="B4061" s="2459" t="s">
        <v>1662</v>
      </c>
      <c r="C4061" s="2459" t="s">
        <v>1670</v>
      </c>
      <c r="D4061" s="2460" t="s">
        <v>1671</v>
      </c>
      <c r="E4061" s="2461" t="s">
        <v>213</v>
      </c>
      <c r="F4061" s="2461" t="s">
        <v>1514</v>
      </c>
      <c r="G4061" s="2461" t="s">
        <v>1418</v>
      </c>
      <c r="H4061" s="2461" t="s">
        <v>1452</v>
      </c>
      <c r="I4061" s="2462">
        <v>4.1336673534782056E-3</v>
      </c>
      <c r="J4061" s="2462">
        <v>3.8738120072189499</v>
      </c>
    </row>
    <row r="4062" spans="1:10" outlineLevel="2">
      <c r="A4062" s="2459" t="s">
        <v>1669</v>
      </c>
      <c r="B4062" s="2459" t="s">
        <v>1662</v>
      </c>
      <c r="C4062" s="2459" t="s">
        <v>1670</v>
      </c>
      <c r="D4062" s="2460" t="s">
        <v>1671</v>
      </c>
      <c r="E4062" s="2461" t="s">
        <v>213</v>
      </c>
      <c r="F4062" s="2461" t="s">
        <v>1515</v>
      </c>
      <c r="G4062" s="2461" t="s">
        <v>1418</v>
      </c>
      <c r="H4062" s="2461" t="s">
        <v>1452</v>
      </c>
      <c r="I4062" s="2462">
        <v>7.9410231647098883E-4</v>
      </c>
      <c r="J4062" s="2462">
        <v>1.1461278440488096</v>
      </c>
    </row>
    <row r="4063" spans="1:10" outlineLevel="2">
      <c r="A4063" s="2459" t="s">
        <v>1669</v>
      </c>
      <c r="B4063" s="2459" t="s">
        <v>1662</v>
      </c>
      <c r="C4063" s="2459" t="s">
        <v>1670</v>
      </c>
      <c r="D4063" s="2460" t="s">
        <v>1671</v>
      </c>
      <c r="E4063" s="2461" t="s">
        <v>213</v>
      </c>
      <c r="F4063" s="2461" t="s">
        <v>1516</v>
      </c>
      <c r="G4063" s="2461" t="s">
        <v>1418</v>
      </c>
      <c r="H4063" s="2461" t="s">
        <v>1452</v>
      </c>
      <c r="I4063" s="2462">
        <v>1.1350122700178461E-2</v>
      </c>
      <c r="J4063" s="2462">
        <v>12.699031680524881</v>
      </c>
    </row>
    <row r="4064" spans="1:10" outlineLevel="2">
      <c r="A4064" s="2459" t="s">
        <v>1669</v>
      </c>
      <c r="B4064" s="2459" t="s">
        <v>1662</v>
      </c>
      <c r="C4064" s="2459" t="s">
        <v>1670</v>
      </c>
      <c r="D4064" s="2460" t="s">
        <v>1671</v>
      </c>
      <c r="E4064" s="2461" t="s">
        <v>213</v>
      </c>
      <c r="F4064" s="2461" t="s">
        <v>1517</v>
      </c>
      <c r="G4064" s="2461" t="s">
        <v>1418</v>
      </c>
      <c r="H4064" s="2461" t="s">
        <v>1452</v>
      </c>
      <c r="I4064" s="2462">
        <v>5.8116909393551242E-2</v>
      </c>
      <c r="J4064" s="2462">
        <v>28.469922963736483</v>
      </c>
    </row>
    <row r="4065" spans="1:10" outlineLevel="2">
      <c r="A4065" s="2459" t="s">
        <v>1669</v>
      </c>
      <c r="B4065" s="2459" t="s">
        <v>1662</v>
      </c>
      <c r="C4065" s="2459" t="s">
        <v>1670</v>
      </c>
      <c r="D4065" s="2460" t="s">
        <v>1671</v>
      </c>
      <c r="E4065" s="2461" t="s">
        <v>213</v>
      </c>
      <c r="F4065" s="2461" t="s">
        <v>1518</v>
      </c>
      <c r="G4065" s="2461" t="s">
        <v>1418</v>
      </c>
      <c r="H4065" s="2461" t="s">
        <v>1452</v>
      </c>
      <c r="I4065" s="2462">
        <v>6.5464579767524188E-3</v>
      </c>
      <c r="J4065" s="2462">
        <v>6.1349273826275281</v>
      </c>
    </row>
    <row r="4066" spans="1:10" outlineLevel="2">
      <c r="A4066" s="2459" t="s">
        <v>1669</v>
      </c>
      <c r="B4066" s="2459" t="s">
        <v>1662</v>
      </c>
      <c r="C4066" s="2459" t="s">
        <v>1670</v>
      </c>
      <c r="D4066" s="2460" t="s">
        <v>1671</v>
      </c>
      <c r="E4066" s="2461" t="s">
        <v>213</v>
      </c>
      <c r="F4066" s="2461" t="s">
        <v>1519</v>
      </c>
      <c r="G4066" s="2461" t="s">
        <v>1418</v>
      </c>
      <c r="H4066" s="2461" t="s">
        <v>1452</v>
      </c>
      <c r="I4066" s="2462">
        <v>8.5936629959238852E-3</v>
      </c>
      <c r="J4066" s="2462">
        <v>8.7547624733610885</v>
      </c>
    </row>
    <row r="4067" spans="1:10" outlineLevel="2">
      <c r="A4067" s="2459" t="s">
        <v>1669</v>
      </c>
      <c r="B4067" s="2459" t="s">
        <v>1662</v>
      </c>
      <c r="C4067" s="2459" t="s">
        <v>1670</v>
      </c>
      <c r="D4067" s="2460" t="s">
        <v>1671</v>
      </c>
      <c r="E4067" s="2461" t="s">
        <v>213</v>
      </c>
      <c r="F4067" s="2461" t="s">
        <v>1520</v>
      </c>
      <c r="G4067" s="2461" t="s">
        <v>1418</v>
      </c>
      <c r="H4067" s="2461" t="s">
        <v>1452</v>
      </c>
      <c r="I4067" s="2462">
        <v>1.0291953142664728E-3</v>
      </c>
      <c r="J4067" s="2462">
        <v>9.3562670571758026</v>
      </c>
    </row>
    <row r="4068" spans="1:10" outlineLevel="2">
      <c r="A4068" s="2459" t="s">
        <v>1669</v>
      </c>
      <c r="B4068" s="2459" t="s">
        <v>1662</v>
      </c>
      <c r="C4068" s="2459" t="s">
        <v>1670</v>
      </c>
      <c r="D4068" s="2460" t="s">
        <v>1671</v>
      </c>
      <c r="E4068" s="2461" t="s">
        <v>213</v>
      </c>
      <c r="F4068" s="2461" t="s">
        <v>1521</v>
      </c>
      <c r="G4068" s="2461" t="s">
        <v>1421</v>
      </c>
      <c r="H4068" s="2461" t="s">
        <v>1454</v>
      </c>
      <c r="I4068" s="2462">
        <v>0.43351461149238518</v>
      </c>
      <c r="J4068" s="2462">
        <v>602.63892365569109</v>
      </c>
    </row>
    <row r="4069" spans="1:10" outlineLevel="2">
      <c r="A4069" s="2459" t="s">
        <v>1669</v>
      </c>
      <c r="B4069" s="2459" t="s">
        <v>1662</v>
      </c>
      <c r="C4069" s="2459" t="s">
        <v>1670</v>
      </c>
      <c r="D4069" s="2460" t="s">
        <v>1671</v>
      </c>
      <c r="E4069" s="2461" t="s">
        <v>213</v>
      </c>
      <c r="F4069" s="2461" t="s">
        <v>1522</v>
      </c>
      <c r="G4069" s="2461" t="s">
        <v>1421</v>
      </c>
      <c r="H4069" s="2461" t="s">
        <v>1454</v>
      </c>
      <c r="I4069" s="2462">
        <v>0.10182963680319523</v>
      </c>
      <c r="J4069" s="2462">
        <v>150.7748664277521</v>
      </c>
    </row>
    <row r="4070" spans="1:10" outlineLevel="2">
      <c r="A4070" s="2459" t="s">
        <v>1669</v>
      </c>
      <c r="B4070" s="2459" t="s">
        <v>1662</v>
      </c>
      <c r="C4070" s="2459" t="s">
        <v>1670</v>
      </c>
      <c r="D4070" s="2460" t="s">
        <v>1671</v>
      </c>
      <c r="E4070" s="2461" t="s">
        <v>213</v>
      </c>
      <c r="F4070" s="2461" t="s">
        <v>1523</v>
      </c>
      <c r="G4070" s="2461" t="s">
        <v>1421</v>
      </c>
      <c r="H4070" s="2461" t="s">
        <v>1454</v>
      </c>
      <c r="I4070" s="2462">
        <v>4.6975898457592445E-2</v>
      </c>
      <c r="J4070" s="2462">
        <v>79.724774677142065</v>
      </c>
    </row>
    <row r="4071" spans="1:10" outlineLevel="2">
      <c r="A4071" s="2459" t="s">
        <v>1669</v>
      </c>
      <c r="B4071" s="2459" t="s">
        <v>1662</v>
      </c>
      <c r="C4071" s="2459" t="s">
        <v>1670</v>
      </c>
      <c r="D4071" s="2460" t="s">
        <v>1671</v>
      </c>
      <c r="E4071" s="2461" t="s">
        <v>213</v>
      </c>
      <c r="F4071" s="2461" t="s">
        <v>1524</v>
      </c>
      <c r="G4071" s="2461" t="s">
        <v>1421</v>
      </c>
      <c r="H4071" s="2461" t="s">
        <v>1454</v>
      </c>
      <c r="I4071" s="2462">
        <v>0.10824219218880755</v>
      </c>
      <c r="J4071" s="2462">
        <v>171.38688420346062</v>
      </c>
    </row>
    <row r="4072" spans="1:10" outlineLevel="2">
      <c r="A4072" s="2459" t="s">
        <v>1669</v>
      </c>
      <c r="B4072" s="2459" t="s">
        <v>1662</v>
      </c>
      <c r="C4072" s="2459" t="s">
        <v>1670</v>
      </c>
      <c r="D4072" s="2460" t="s">
        <v>1671</v>
      </c>
      <c r="E4072" s="2461" t="s">
        <v>213</v>
      </c>
      <c r="F4072" s="2461" t="s">
        <v>1525</v>
      </c>
      <c r="G4072" s="2461" t="s">
        <v>1421</v>
      </c>
      <c r="H4072" s="2461" t="s">
        <v>1454</v>
      </c>
      <c r="I4072" s="2462">
        <v>0.19068195826439058</v>
      </c>
      <c r="J4072" s="2462">
        <v>270.78645477107955</v>
      </c>
    </row>
    <row r="4073" spans="1:10" outlineLevel="2">
      <c r="A4073" s="2459" t="s">
        <v>1669</v>
      </c>
      <c r="B4073" s="2459" t="s">
        <v>1662</v>
      </c>
      <c r="C4073" s="2459" t="s">
        <v>1670</v>
      </c>
      <c r="D4073" s="2460" t="s">
        <v>1671</v>
      </c>
      <c r="E4073" s="2461" t="s">
        <v>213</v>
      </c>
      <c r="F4073" s="2461" t="s">
        <v>1526</v>
      </c>
      <c r="G4073" s="2461" t="s">
        <v>1421</v>
      </c>
      <c r="H4073" s="2461" t="s">
        <v>1454</v>
      </c>
      <c r="I4073" s="2462">
        <v>8.8337977378920522E-3</v>
      </c>
      <c r="J4073" s="2462">
        <v>12.704857166064684</v>
      </c>
    </row>
    <row r="4074" spans="1:10" outlineLevel="2">
      <c r="A4074" s="2459" t="s">
        <v>1669</v>
      </c>
      <c r="B4074" s="2459" t="s">
        <v>1662</v>
      </c>
      <c r="C4074" s="2459" t="s">
        <v>1670</v>
      </c>
      <c r="D4074" s="2460" t="s">
        <v>1671</v>
      </c>
      <c r="E4074" s="2461" t="s">
        <v>213</v>
      </c>
      <c r="F4074" s="2461" t="s">
        <v>1527</v>
      </c>
      <c r="G4074" s="2461" t="s">
        <v>1459</v>
      </c>
      <c r="H4074" s="2461" t="s">
        <v>1460</v>
      </c>
      <c r="I4074" s="2462">
        <v>1.117943317792418E-2</v>
      </c>
      <c r="J4074" s="2462">
        <v>11.697762561354951</v>
      </c>
    </row>
    <row r="4075" spans="1:10" outlineLevel="2">
      <c r="A4075" s="2459" t="s">
        <v>1669</v>
      </c>
      <c r="B4075" s="2459" t="s">
        <v>1662</v>
      </c>
      <c r="C4075" s="2459" t="s">
        <v>1670</v>
      </c>
      <c r="D4075" s="2460" t="s">
        <v>1671</v>
      </c>
      <c r="E4075" s="2461" t="s">
        <v>213</v>
      </c>
      <c r="F4075" s="2461" t="s">
        <v>1528</v>
      </c>
      <c r="G4075" s="2461" t="s">
        <v>1459</v>
      </c>
      <c r="H4075" s="2461" t="s">
        <v>1460</v>
      </c>
      <c r="I4075" s="2462">
        <v>9.7309960024627733E-5</v>
      </c>
      <c r="J4075" s="2462">
        <v>0.12467057219259012</v>
      </c>
    </row>
    <row r="4076" spans="1:10" outlineLevel="2">
      <c r="A4076" s="2459" t="s">
        <v>1669</v>
      </c>
      <c r="B4076" s="2459" t="s">
        <v>1662</v>
      </c>
      <c r="C4076" s="2459" t="s">
        <v>1670</v>
      </c>
      <c r="D4076" s="2460" t="s">
        <v>1671</v>
      </c>
      <c r="E4076" s="2461" t="s">
        <v>213</v>
      </c>
      <c r="F4076" s="2461" t="s">
        <v>1529</v>
      </c>
      <c r="G4076" s="2461" t="s">
        <v>1530</v>
      </c>
      <c r="H4076" s="2461" t="s">
        <v>1531</v>
      </c>
      <c r="I4076" s="2462">
        <v>10.012271909589675</v>
      </c>
      <c r="J4076" s="2462">
        <v>8518.6263410769061</v>
      </c>
    </row>
    <row r="4077" spans="1:10" outlineLevel="2">
      <c r="A4077" s="2459" t="s">
        <v>1669</v>
      </c>
      <c r="B4077" s="2459" t="s">
        <v>1662</v>
      </c>
      <c r="C4077" s="2459" t="s">
        <v>1670</v>
      </c>
      <c r="D4077" s="2460" t="s">
        <v>1671</v>
      </c>
      <c r="E4077" s="2461" t="s">
        <v>213</v>
      </c>
      <c r="F4077" s="2461" t="s">
        <v>1532</v>
      </c>
      <c r="G4077" s="2461" t="s">
        <v>1530</v>
      </c>
      <c r="H4077" s="2461" t="s">
        <v>1531</v>
      </c>
      <c r="I4077" s="2462">
        <v>4.2142925720631457</v>
      </c>
      <c r="J4077" s="2462">
        <v>3595.256715219125</v>
      </c>
    </row>
    <row r="4078" spans="1:10" outlineLevel="2">
      <c r="A4078" s="2459" t="s">
        <v>1669</v>
      </c>
      <c r="B4078" s="2459" t="s">
        <v>1662</v>
      </c>
      <c r="C4078" s="2459" t="s">
        <v>1670</v>
      </c>
      <c r="D4078" s="2460" t="s">
        <v>1671</v>
      </c>
      <c r="E4078" s="2461" t="s">
        <v>213</v>
      </c>
      <c r="F4078" s="2461" t="s">
        <v>1533</v>
      </c>
      <c r="G4078" s="2461" t="s">
        <v>1534</v>
      </c>
      <c r="H4078" s="2461" t="s">
        <v>1531</v>
      </c>
      <c r="I4078" s="2462">
        <v>3.6519403798301941</v>
      </c>
      <c r="J4078" s="2462">
        <v>6143.2464335194691</v>
      </c>
    </row>
    <row r="4079" spans="1:10" outlineLevel="2">
      <c r="A4079" s="2459" t="s">
        <v>1669</v>
      </c>
      <c r="B4079" s="2459" t="s">
        <v>1662</v>
      </c>
      <c r="C4079" s="2459" t="s">
        <v>1670</v>
      </c>
      <c r="D4079" s="2460" t="s">
        <v>1671</v>
      </c>
      <c r="E4079" s="2461" t="s">
        <v>1538</v>
      </c>
      <c r="F4079" s="2461" t="s">
        <v>1541</v>
      </c>
      <c r="G4079" s="2461" t="s">
        <v>1409</v>
      </c>
      <c r="H4079" s="2461" t="s">
        <v>1540</v>
      </c>
      <c r="I4079" s="2462">
        <v>1.6807233362596698E-4</v>
      </c>
      <c r="J4079" s="2462">
        <v>0.78237600263830243</v>
      </c>
    </row>
    <row r="4080" spans="1:10" outlineLevel="2">
      <c r="A4080" s="2459" t="s">
        <v>1669</v>
      </c>
      <c r="B4080" s="2459" t="s">
        <v>1662</v>
      </c>
      <c r="C4080" s="2459" t="s">
        <v>1670</v>
      </c>
      <c r="D4080" s="2460" t="s">
        <v>1671</v>
      </c>
      <c r="E4080" s="2461" t="s">
        <v>1538</v>
      </c>
      <c r="F4080" s="2461" t="s">
        <v>1542</v>
      </c>
      <c r="G4080" s="2461" t="s">
        <v>1409</v>
      </c>
      <c r="H4080" s="2461" t="s">
        <v>1540</v>
      </c>
      <c r="I4080" s="2462">
        <v>9.0142602538552654E-5</v>
      </c>
      <c r="J4080" s="2462">
        <v>1.3084073016061535</v>
      </c>
    </row>
    <row r="4081" spans="1:10" outlineLevel="2">
      <c r="A4081" s="2459" t="s">
        <v>1669</v>
      </c>
      <c r="B4081" s="2459" t="s">
        <v>1662</v>
      </c>
      <c r="C4081" s="2459" t="s">
        <v>1670</v>
      </c>
      <c r="D4081" s="2460" t="s">
        <v>1671</v>
      </c>
      <c r="E4081" s="2461" t="s">
        <v>1538</v>
      </c>
      <c r="F4081" s="2461" t="s">
        <v>1543</v>
      </c>
      <c r="G4081" s="2461" t="s">
        <v>1409</v>
      </c>
      <c r="H4081" s="2461" t="s">
        <v>1540</v>
      </c>
      <c r="I4081" s="2462">
        <v>1.3365048689432843E-4</v>
      </c>
      <c r="J4081" s="2462">
        <v>0.23106352375322886</v>
      </c>
    </row>
    <row r="4082" spans="1:10" outlineLevel="2">
      <c r="A4082" s="2459" t="s">
        <v>1669</v>
      </c>
      <c r="B4082" s="2459" t="s">
        <v>1662</v>
      </c>
      <c r="C4082" s="2459" t="s">
        <v>1670</v>
      </c>
      <c r="D4082" s="2460" t="s">
        <v>1671</v>
      </c>
      <c r="E4082" s="2461" t="s">
        <v>1538</v>
      </c>
      <c r="F4082" s="2461" t="s">
        <v>1544</v>
      </c>
      <c r="G4082" s="2461" t="s">
        <v>1409</v>
      </c>
      <c r="H4082" s="2461" t="s">
        <v>1540</v>
      </c>
      <c r="I4082" s="2462">
        <v>2.446861312632954E-5</v>
      </c>
      <c r="J4082" s="2462">
        <v>0.13395802646635888</v>
      </c>
    </row>
    <row r="4083" spans="1:10" outlineLevel="2">
      <c r="A4083" s="2459" t="s">
        <v>1669</v>
      </c>
      <c r="B4083" s="2459" t="s">
        <v>1662</v>
      </c>
      <c r="C4083" s="2459" t="s">
        <v>1670</v>
      </c>
      <c r="D4083" s="2460" t="s">
        <v>1671</v>
      </c>
      <c r="E4083" s="2461" t="s">
        <v>1538</v>
      </c>
      <c r="F4083" s="2461" t="s">
        <v>1545</v>
      </c>
      <c r="G4083" s="2461" t="s">
        <v>1409</v>
      </c>
      <c r="H4083" s="2461" t="s">
        <v>1540</v>
      </c>
      <c r="I4083" s="2462">
        <v>5.4157518445852536E-4</v>
      </c>
      <c r="J4083" s="2462">
        <v>2.4195874311470145</v>
      </c>
    </row>
    <row r="4084" spans="1:10" outlineLevel="2">
      <c r="A4084" s="2459" t="s">
        <v>1669</v>
      </c>
      <c r="B4084" s="2459" t="s">
        <v>1662</v>
      </c>
      <c r="C4084" s="2459" t="s">
        <v>1670</v>
      </c>
      <c r="D4084" s="2460" t="s">
        <v>1671</v>
      </c>
      <c r="E4084" s="2461" t="s">
        <v>1538</v>
      </c>
      <c r="F4084" s="2461" t="s">
        <v>1546</v>
      </c>
      <c r="G4084" s="2461" t="s">
        <v>1409</v>
      </c>
      <c r="H4084" s="2461" t="s">
        <v>1540</v>
      </c>
      <c r="I4084" s="2462">
        <v>1.0359362469795604E-3</v>
      </c>
      <c r="J4084" s="2462">
        <v>1.2153072460905154</v>
      </c>
    </row>
    <row r="4085" spans="1:10" outlineLevel="2">
      <c r="A4085" s="2459" t="s">
        <v>1669</v>
      </c>
      <c r="B4085" s="2459" t="s">
        <v>1662</v>
      </c>
      <c r="C4085" s="2459" t="s">
        <v>1670</v>
      </c>
      <c r="D4085" s="2460" t="s">
        <v>1671</v>
      </c>
      <c r="E4085" s="2461" t="s">
        <v>1538</v>
      </c>
      <c r="F4085" s="2461" t="s">
        <v>1547</v>
      </c>
      <c r="G4085" s="2461" t="s">
        <v>1409</v>
      </c>
      <c r="H4085" s="2461" t="s">
        <v>1540</v>
      </c>
      <c r="I4085" s="2462">
        <v>1.1251630889720364E-4</v>
      </c>
      <c r="J4085" s="2462">
        <v>2.2385635672209032</v>
      </c>
    </row>
    <row r="4086" spans="1:10" outlineLevel="2">
      <c r="A4086" s="2459" t="s">
        <v>1669</v>
      </c>
      <c r="B4086" s="2459" t="s">
        <v>1662</v>
      </c>
      <c r="C4086" s="2459" t="s">
        <v>1670</v>
      </c>
      <c r="D4086" s="2460" t="s">
        <v>1671</v>
      </c>
      <c r="E4086" s="2461" t="s">
        <v>1538</v>
      </c>
      <c r="F4086" s="2461" t="s">
        <v>1548</v>
      </c>
      <c r="G4086" s="2461" t="s">
        <v>1409</v>
      </c>
      <c r="H4086" s="2461" t="s">
        <v>1540</v>
      </c>
      <c r="I4086" s="2462">
        <v>5.2221683302896638E-4</v>
      </c>
      <c r="J4086" s="2462">
        <v>0.91214186675406406</v>
      </c>
    </row>
    <row r="4087" spans="1:10" outlineLevel="2">
      <c r="A4087" s="2459" t="s">
        <v>1669</v>
      </c>
      <c r="B4087" s="2459" t="s">
        <v>1662</v>
      </c>
      <c r="C4087" s="2459" t="s">
        <v>1670</v>
      </c>
      <c r="D4087" s="2460" t="s">
        <v>1671</v>
      </c>
      <c r="E4087" s="2461" t="s">
        <v>1538</v>
      </c>
      <c r="F4087" s="2461" t="s">
        <v>1549</v>
      </c>
      <c r="G4087" s="2461" t="s">
        <v>1409</v>
      </c>
      <c r="H4087" s="2461" t="s">
        <v>1540</v>
      </c>
      <c r="I4087" s="2462">
        <v>7.8065398955267794E-5</v>
      </c>
      <c r="J4087" s="2462">
        <v>0.14950003326520189</v>
      </c>
    </row>
    <row r="4088" spans="1:10" outlineLevel="2">
      <c r="A4088" s="2459" t="s">
        <v>1669</v>
      </c>
      <c r="B4088" s="2459" t="s">
        <v>1662</v>
      </c>
      <c r="C4088" s="2459" t="s">
        <v>1670</v>
      </c>
      <c r="D4088" s="2460" t="s">
        <v>1671</v>
      </c>
      <c r="E4088" s="2461" t="s">
        <v>1538</v>
      </c>
      <c r="F4088" s="2461" t="s">
        <v>1550</v>
      </c>
      <c r="G4088" s="2461" t="s">
        <v>1409</v>
      </c>
      <c r="H4088" s="2461" t="s">
        <v>1540</v>
      </c>
      <c r="I4088" s="2462">
        <v>4.278382617022966E-4</v>
      </c>
      <c r="J4088" s="2462">
        <v>1.5545399085641021</v>
      </c>
    </row>
    <row r="4089" spans="1:10" outlineLevel="2">
      <c r="A4089" s="2459" t="s">
        <v>1669</v>
      </c>
      <c r="B4089" s="2459" t="s">
        <v>1662</v>
      </c>
      <c r="C4089" s="2459" t="s">
        <v>1670</v>
      </c>
      <c r="D4089" s="2460" t="s">
        <v>1671</v>
      </c>
      <c r="E4089" s="2461" t="s">
        <v>1538</v>
      </c>
      <c r="F4089" s="2461" t="s">
        <v>1551</v>
      </c>
      <c r="G4089" s="2461" t="s">
        <v>1409</v>
      </c>
      <c r="H4089" s="2461" t="s">
        <v>1540</v>
      </c>
      <c r="I4089" s="2462">
        <v>3.524690938526874E-4</v>
      </c>
      <c r="J4089" s="2462">
        <v>3.7538737210661086</v>
      </c>
    </row>
    <row r="4090" spans="1:10" outlineLevel="2">
      <c r="A4090" s="2459" t="s">
        <v>1669</v>
      </c>
      <c r="B4090" s="2459" t="s">
        <v>1662</v>
      </c>
      <c r="C4090" s="2459" t="s">
        <v>1670</v>
      </c>
      <c r="D4090" s="2460" t="s">
        <v>1671</v>
      </c>
      <c r="E4090" s="2461" t="s">
        <v>1538</v>
      </c>
      <c r="F4090" s="2461" t="s">
        <v>1552</v>
      </c>
      <c r="G4090" s="2461" t="s">
        <v>1409</v>
      </c>
      <c r="H4090" s="2461" t="s">
        <v>1540</v>
      </c>
      <c r="I4090" s="2462">
        <v>2.4801310532090841E-5</v>
      </c>
      <c r="J4090" s="2462">
        <v>0.39495652639606621</v>
      </c>
    </row>
    <row r="4091" spans="1:10" outlineLevel="2">
      <c r="A4091" s="2459" t="s">
        <v>1669</v>
      </c>
      <c r="B4091" s="2459" t="s">
        <v>1662</v>
      </c>
      <c r="C4091" s="2459" t="s">
        <v>1670</v>
      </c>
      <c r="D4091" s="2460" t="s">
        <v>1671</v>
      </c>
      <c r="E4091" s="2461" t="s">
        <v>1538</v>
      </c>
      <c r="F4091" s="2461" t="s">
        <v>1553</v>
      </c>
      <c r="G4091" s="2461" t="s">
        <v>1409</v>
      </c>
      <c r="H4091" s="2461" t="s">
        <v>1540</v>
      </c>
      <c r="I4091" s="2462">
        <v>1.8392577866521772E-3</v>
      </c>
      <c r="J4091" s="2462">
        <v>3.3812982905776647</v>
      </c>
    </row>
    <row r="4092" spans="1:10" outlineLevel="2">
      <c r="A4092" s="2459" t="s">
        <v>1669</v>
      </c>
      <c r="B4092" s="2459" t="s">
        <v>1662</v>
      </c>
      <c r="C4092" s="2459" t="s">
        <v>1670</v>
      </c>
      <c r="D4092" s="2460" t="s">
        <v>1671</v>
      </c>
      <c r="E4092" s="2461" t="s">
        <v>1538</v>
      </c>
      <c r="F4092" s="2461" t="s">
        <v>1554</v>
      </c>
      <c r="G4092" s="2461" t="s">
        <v>1409</v>
      </c>
      <c r="H4092" s="2461" t="s">
        <v>1540</v>
      </c>
      <c r="I4092" s="2462">
        <v>1.0252005431710394E-3</v>
      </c>
      <c r="J4092" s="2462">
        <v>1.4190369042496358</v>
      </c>
    </row>
    <row r="4093" spans="1:10" outlineLevel="2">
      <c r="A4093" s="2459" t="s">
        <v>1669</v>
      </c>
      <c r="B4093" s="2459" t="s">
        <v>1662</v>
      </c>
      <c r="C4093" s="2459" t="s">
        <v>1670</v>
      </c>
      <c r="D4093" s="2460" t="s">
        <v>1671</v>
      </c>
      <c r="E4093" s="2461" t="s">
        <v>1538</v>
      </c>
      <c r="F4093" s="2461" t="s">
        <v>1555</v>
      </c>
      <c r="G4093" s="2461" t="s">
        <v>1412</v>
      </c>
      <c r="H4093" s="2461" t="s">
        <v>1540</v>
      </c>
      <c r="I4093" s="2462">
        <v>8.4020724001868177E-3</v>
      </c>
      <c r="J4093" s="2462">
        <v>25.864849551677938</v>
      </c>
    </row>
    <row r="4094" spans="1:10" outlineLevel="2">
      <c r="A4094" s="2459" t="s">
        <v>1669</v>
      </c>
      <c r="B4094" s="2459" t="s">
        <v>1662</v>
      </c>
      <c r="C4094" s="2459" t="s">
        <v>1670</v>
      </c>
      <c r="D4094" s="2460" t="s">
        <v>1671</v>
      </c>
      <c r="E4094" s="2461" t="s">
        <v>1538</v>
      </c>
      <c r="F4094" s="2461" t="s">
        <v>1556</v>
      </c>
      <c r="G4094" s="2461" t="s">
        <v>1412</v>
      </c>
      <c r="H4094" s="2461" t="s">
        <v>1540</v>
      </c>
      <c r="I4094" s="2462">
        <v>0.1670387817871567</v>
      </c>
      <c r="J4094" s="2462">
        <v>2352.6914328834023</v>
      </c>
    </row>
    <row r="4095" spans="1:10" outlineLevel="2">
      <c r="A4095" s="2459" t="s">
        <v>1669</v>
      </c>
      <c r="B4095" s="2459" t="s">
        <v>1662</v>
      </c>
      <c r="C4095" s="2459" t="s">
        <v>1670</v>
      </c>
      <c r="D4095" s="2460" t="s">
        <v>1671</v>
      </c>
      <c r="E4095" s="2461" t="s">
        <v>1538</v>
      </c>
      <c r="F4095" s="2461" t="s">
        <v>1557</v>
      </c>
      <c r="G4095" s="2461" t="s">
        <v>1412</v>
      </c>
      <c r="H4095" s="2461" t="s">
        <v>1540</v>
      </c>
      <c r="I4095" s="2462">
        <v>9.9446604695512279E-4</v>
      </c>
      <c r="J4095" s="2462">
        <v>17.526640640235371</v>
      </c>
    </row>
    <row r="4096" spans="1:10" outlineLevel="2">
      <c r="A4096" s="2459" t="s">
        <v>1669</v>
      </c>
      <c r="B4096" s="2459" t="s">
        <v>1662</v>
      </c>
      <c r="C4096" s="2459" t="s">
        <v>1670</v>
      </c>
      <c r="D4096" s="2460" t="s">
        <v>1671</v>
      </c>
      <c r="E4096" s="2461" t="s">
        <v>1538</v>
      </c>
      <c r="F4096" s="2461" t="s">
        <v>1558</v>
      </c>
      <c r="G4096" s="2461" t="s">
        <v>1412</v>
      </c>
      <c r="H4096" s="2461" t="s">
        <v>1540</v>
      </c>
      <c r="I4096" s="2462">
        <v>3.3266856035353586E-4</v>
      </c>
      <c r="J4096" s="2462">
        <v>5.5285288731792619</v>
      </c>
    </row>
    <row r="4097" spans="1:10" outlineLevel="2">
      <c r="A4097" s="2459" t="s">
        <v>1669</v>
      </c>
      <c r="B4097" s="2459" t="s">
        <v>1662</v>
      </c>
      <c r="C4097" s="2459" t="s">
        <v>1670</v>
      </c>
      <c r="D4097" s="2460" t="s">
        <v>1671</v>
      </c>
      <c r="E4097" s="2461" t="s">
        <v>1538</v>
      </c>
      <c r="F4097" s="2461" t="s">
        <v>1559</v>
      </c>
      <c r="G4097" s="2461" t="s">
        <v>1412</v>
      </c>
      <c r="H4097" s="2461" t="s">
        <v>1540</v>
      </c>
      <c r="I4097" s="2462">
        <v>3.5520732286293963E-4</v>
      </c>
      <c r="J4097" s="2462">
        <v>1.3653817121890273</v>
      </c>
    </row>
    <row r="4098" spans="1:10" outlineLevel="2">
      <c r="A4098" s="2459" t="s">
        <v>1669</v>
      </c>
      <c r="B4098" s="2459" t="s">
        <v>1662</v>
      </c>
      <c r="C4098" s="2459" t="s">
        <v>1670</v>
      </c>
      <c r="D4098" s="2460" t="s">
        <v>1671</v>
      </c>
      <c r="E4098" s="2461" t="s">
        <v>1538</v>
      </c>
      <c r="F4098" s="2461" t="s">
        <v>1560</v>
      </c>
      <c r="G4098" s="2461" t="s">
        <v>1412</v>
      </c>
      <c r="H4098" s="2461" t="s">
        <v>1540</v>
      </c>
      <c r="I4098" s="2462">
        <v>4.9857711795535734E-4</v>
      </c>
      <c r="J4098" s="2462">
        <v>10.858570613075685</v>
      </c>
    </row>
    <row r="4099" spans="1:10" outlineLevel="2">
      <c r="A4099" s="2459" t="s">
        <v>1669</v>
      </c>
      <c r="B4099" s="2459" t="s">
        <v>1662</v>
      </c>
      <c r="C4099" s="2459" t="s">
        <v>1670</v>
      </c>
      <c r="D4099" s="2460" t="s">
        <v>1671</v>
      </c>
      <c r="E4099" s="2461" t="s">
        <v>1538</v>
      </c>
      <c r="F4099" s="2461" t="s">
        <v>1561</v>
      </c>
      <c r="G4099" s="2461" t="s">
        <v>1439</v>
      </c>
      <c r="H4099" s="2461" t="s">
        <v>1540</v>
      </c>
      <c r="I4099" s="2462">
        <v>3.3460047064191038E-3</v>
      </c>
      <c r="J4099" s="2462">
        <v>50.70635334991205</v>
      </c>
    </row>
    <row r="4100" spans="1:10" outlineLevel="2">
      <c r="A4100" s="2459" t="s">
        <v>1669</v>
      </c>
      <c r="B4100" s="2459" t="s">
        <v>1662</v>
      </c>
      <c r="C4100" s="2459" t="s">
        <v>1670</v>
      </c>
      <c r="D4100" s="2460" t="s">
        <v>1671</v>
      </c>
      <c r="E4100" s="2461" t="s">
        <v>1538</v>
      </c>
      <c r="F4100" s="2461" t="s">
        <v>1562</v>
      </c>
      <c r="G4100" s="2461" t="s">
        <v>1418</v>
      </c>
      <c r="H4100" s="2461" t="s">
        <v>1540</v>
      </c>
      <c r="I4100" s="2462">
        <v>4.3891751235874347E-5</v>
      </c>
      <c r="J4100" s="2462">
        <v>5.5307202103767932E-2</v>
      </c>
    </row>
    <row r="4101" spans="1:10" outlineLevel="2">
      <c r="A4101" s="2459" t="s">
        <v>1669</v>
      </c>
      <c r="B4101" s="2459" t="s">
        <v>1662</v>
      </c>
      <c r="C4101" s="2459" t="s">
        <v>1670</v>
      </c>
      <c r="D4101" s="2460" t="s">
        <v>1671</v>
      </c>
      <c r="E4101" s="2461" t="s">
        <v>1538</v>
      </c>
      <c r="F4101" s="2461" t="s">
        <v>1563</v>
      </c>
      <c r="G4101" s="2461" t="s">
        <v>1418</v>
      </c>
      <c r="H4101" s="2461" t="s">
        <v>1540</v>
      </c>
      <c r="I4101" s="2462">
        <v>6.3595106469513761E-6</v>
      </c>
      <c r="J4101" s="2462">
        <v>0.1077228956899622</v>
      </c>
    </row>
    <row r="4102" spans="1:10" outlineLevel="2">
      <c r="A4102" s="2459" t="s">
        <v>1669</v>
      </c>
      <c r="B4102" s="2459" t="s">
        <v>1662</v>
      </c>
      <c r="C4102" s="2459" t="s">
        <v>1670</v>
      </c>
      <c r="D4102" s="2460" t="s">
        <v>1671</v>
      </c>
      <c r="E4102" s="2461" t="s">
        <v>1538</v>
      </c>
      <c r="F4102" s="2461" t="s">
        <v>1564</v>
      </c>
      <c r="G4102" s="2461" t="s">
        <v>1421</v>
      </c>
      <c r="H4102" s="2461" t="s">
        <v>1540</v>
      </c>
      <c r="I4102" s="2462">
        <v>2.3587093525132993E-2</v>
      </c>
      <c r="J4102" s="2462">
        <v>57.913930717067444</v>
      </c>
    </row>
    <row r="4103" spans="1:10" outlineLevel="2">
      <c r="A4103" s="2459" t="s">
        <v>1669</v>
      </c>
      <c r="B4103" s="2459" t="s">
        <v>1662</v>
      </c>
      <c r="C4103" s="2459" t="s">
        <v>1670</v>
      </c>
      <c r="D4103" s="2460" t="s">
        <v>1671</v>
      </c>
      <c r="E4103" s="2461" t="s">
        <v>1538</v>
      </c>
      <c r="F4103" s="2461" t="s">
        <v>1565</v>
      </c>
      <c r="G4103" s="2461" t="s">
        <v>1421</v>
      </c>
      <c r="H4103" s="2461" t="s">
        <v>1540</v>
      </c>
      <c r="I4103" s="2462">
        <v>2.7754067491865351E-3</v>
      </c>
      <c r="J4103" s="2462">
        <v>12.676632843690859</v>
      </c>
    </row>
    <row r="4104" spans="1:10" outlineLevel="2">
      <c r="A4104" s="2459" t="s">
        <v>1669</v>
      </c>
      <c r="B4104" s="2459" t="s">
        <v>1662</v>
      </c>
      <c r="C4104" s="2459" t="s">
        <v>1670</v>
      </c>
      <c r="D4104" s="2460" t="s">
        <v>1671</v>
      </c>
      <c r="E4104" s="2461" t="s">
        <v>1538</v>
      </c>
      <c r="F4104" s="2461" t="s">
        <v>1566</v>
      </c>
      <c r="G4104" s="2461" t="s">
        <v>1421</v>
      </c>
      <c r="H4104" s="2461" t="s">
        <v>1540</v>
      </c>
      <c r="I4104" s="2462">
        <v>1.4471217935876663E-3</v>
      </c>
      <c r="J4104" s="2462">
        <v>14.802168979700037</v>
      </c>
    </row>
    <row r="4105" spans="1:10" outlineLevel="2">
      <c r="A4105" s="2459" t="s">
        <v>1669</v>
      </c>
      <c r="B4105" s="2459" t="s">
        <v>1662</v>
      </c>
      <c r="C4105" s="2459" t="s">
        <v>1670</v>
      </c>
      <c r="D4105" s="2460" t="s">
        <v>1671</v>
      </c>
      <c r="E4105" s="2461" t="s">
        <v>1538</v>
      </c>
      <c r="F4105" s="2461" t="s">
        <v>1567</v>
      </c>
      <c r="G4105" s="2461" t="s">
        <v>1421</v>
      </c>
      <c r="H4105" s="2461" t="s">
        <v>1540</v>
      </c>
      <c r="I4105" s="2462">
        <v>2.3957006603997789E-3</v>
      </c>
      <c r="J4105" s="2462">
        <v>18.396936143533768</v>
      </c>
    </row>
    <row r="4106" spans="1:10" outlineLevel="2">
      <c r="A4106" s="2459" t="s">
        <v>1669</v>
      </c>
      <c r="B4106" s="2459" t="s">
        <v>1662</v>
      </c>
      <c r="C4106" s="2459" t="s">
        <v>1670</v>
      </c>
      <c r="D4106" s="2460" t="s">
        <v>1671</v>
      </c>
      <c r="E4106" s="2461" t="s">
        <v>1538</v>
      </c>
      <c r="F4106" s="2461" t="s">
        <v>1568</v>
      </c>
      <c r="G4106" s="2461" t="s">
        <v>1421</v>
      </c>
      <c r="H4106" s="2461" t="s">
        <v>1540</v>
      </c>
      <c r="I4106" s="2462">
        <v>8.2929937620462762E-5</v>
      </c>
      <c r="J4106" s="2462">
        <v>0.25020849481421564</v>
      </c>
    </row>
    <row r="4107" spans="1:10" outlineLevel="2">
      <c r="A4107" s="2459" t="s">
        <v>1669</v>
      </c>
      <c r="B4107" s="2459" t="s">
        <v>1662</v>
      </c>
      <c r="C4107" s="2459" t="s">
        <v>1670</v>
      </c>
      <c r="D4107" s="2460" t="s">
        <v>1671</v>
      </c>
      <c r="E4107" s="2461" t="s">
        <v>1538</v>
      </c>
      <c r="F4107" s="2461" t="s">
        <v>1569</v>
      </c>
      <c r="G4107" s="2461" t="s">
        <v>1421</v>
      </c>
      <c r="H4107" s="2461" t="s">
        <v>1540</v>
      </c>
      <c r="I4107" s="2462">
        <v>1.9658373782041337E-5</v>
      </c>
      <c r="J4107" s="2462">
        <v>0.22716767288350187</v>
      </c>
    </row>
    <row r="4108" spans="1:10" outlineLevel="2">
      <c r="A4108" s="2459" t="s">
        <v>1669</v>
      </c>
      <c r="B4108" s="2459" t="s">
        <v>1662</v>
      </c>
      <c r="C4108" s="2459" t="s">
        <v>1670</v>
      </c>
      <c r="D4108" s="2460" t="s">
        <v>1671</v>
      </c>
      <c r="E4108" s="2461" t="s">
        <v>1400</v>
      </c>
      <c r="F4108" s="2461" t="s">
        <v>1571</v>
      </c>
      <c r="G4108" s="2461" t="s">
        <v>215</v>
      </c>
      <c r="H4108" s="2461" t="s">
        <v>1531</v>
      </c>
      <c r="I4108" s="2462">
        <v>0.12969920859319925</v>
      </c>
      <c r="J4108" s="2462">
        <v>4667.9764064387246</v>
      </c>
    </row>
    <row r="4109" spans="1:10" outlineLevel="2">
      <c r="A4109" s="2459" t="s">
        <v>1669</v>
      </c>
      <c r="B4109" s="2459" t="s">
        <v>1662</v>
      </c>
      <c r="C4109" s="2459" t="s">
        <v>1670</v>
      </c>
      <c r="D4109" s="2460" t="s">
        <v>1671</v>
      </c>
      <c r="E4109" s="2461" t="s">
        <v>1400</v>
      </c>
      <c r="F4109" s="2461" t="s">
        <v>1572</v>
      </c>
      <c r="G4109" s="2461" t="s">
        <v>215</v>
      </c>
      <c r="H4109" s="2461" t="s">
        <v>1531</v>
      </c>
      <c r="I4109" s="2462">
        <v>8.8859360437559907E-4</v>
      </c>
      <c r="J4109" s="2462">
        <v>16.856115551018192</v>
      </c>
    </row>
    <row r="4110" spans="1:10" outlineLevel="2">
      <c r="A4110" s="2459" t="s">
        <v>1669</v>
      </c>
      <c r="B4110" s="2459" t="s">
        <v>1662</v>
      </c>
      <c r="C4110" s="2459" t="s">
        <v>1670</v>
      </c>
      <c r="D4110" s="2460" t="s">
        <v>1671</v>
      </c>
      <c r="E4110" s="2461" t="s">
        <v>1573</v>
      </c>
      <c r="F4110" s="2461" t="s">
        <v>1575</v>
      </c>
      <c r="G4110" s="2461" t="s">
        <v>1409</v>
      </c>
      <c r="H4110" s="2461" t="s">
        <v>1070</v>
      </c>
      <c r="I4110" s="2462">
        <v>1.604442271783444E-3</v>
      </c>
      <c r="J4110" s="2462">
        <v>93.571745685277648</v>
      </c>
    </row>
    <row r="4111" spans="1:10" outlineLevel="2">
      <c r="A4111" s="2459" t="s">
        <v>1669</v>
      </c>
      <c r="B4111" s="2459" t="s">
        <v>1662</v>
      </c>
      <c r="C4111" s="2459" t="s">
        <v>1670</v>
      </c>
      <c r="D4111" s="2460" t="s">
        <v>1671</v>
      </c>
      <c r="E4111" s="2461" t="s">
        <v>1573</v>
      </c>
      <c r="F4111" s="2461" t="s">
        <v>1576</v>
      </c>
      <c r="G4111" s="2461" t="s">
        <v>1409</v>
      </c>
      <c r="H4111" s="2461" t="s">
        <v>1070</v>
      </c>
      <c r="I4111" s="2462">
        <v>1.3795470866386058E-5</v>
      </c>
      <c r="J4111" s="2462">
        <v>0.15237957746578706</v>
      </c>
    </row>
    <row r="4112" spans="1:10" outlineLevel="2">
      <c r="A4112" s="2459" t="s">
        <v>1669</v>
      </c>
      <c r="B4112" s="2459" t="s">
        <v>1662</v>
      </c>
      <c r="C4112" s="2459" t="s">
        <v>1670</v>
      </c>
      <c r="D4112" s="2460" t="s">
        <v>1671</v>
      </c>
      <c r="E4112" s="2461" t="s">
        <v>1573</v>
      </c>
      <c r="F4112" s="2461" t="s">
        <v>1577</v>
      </c>
      <c r="G4112" s="2461" t="s">
        <v>1409</v>
      </c>
      <c r="H4112" s="2461" t="s">
        <v>1070</v>
      </c>
      <c r="I4112" s="2462">
        <v>2.0006976995486336E-4</v>
      </c>
      <c r="J4112" s="2462">
        <v>2.5101071947400659</v>
      </c>
    </row>
    <row r="4113" spans="1:10" outlineLevel="2">
      <c r="A4113" s="2459" t="s">
        <v>1669</v>
      </c>
      <c r="B4113" s="2459" t="s">
        <v>1662</v>
      </c>
      <c r="C4113" s="2459" t="s">
        <v>1670</v>
      </c>
      <c r="D4113" s="2460" t="s">
        <v>1671</v>
      </c>
      <c r="E4113" s="2461" t="s">
        <v>1573</v>
      </c>
      <c r="F4113" s="2461" t="s">
        <v>1578</v>
      </c>
      <c r="G4113" s="2461" t="s">
        <v>1409</v>
      </c>
      <c r="H4113" s="2461" t="s">
        <v>1070</v>
      </c>
      <c r="I4113" s="2462">
        <v>4.5688014516172435E-3</v>
      </c>
      <c r="J4113" s="2462">
        <v>234.22420504729521</v>
      </c>
    </row>
    <row r="4114" spans="1:10" outlineLevel="2">
      <c r="A4114" s="2459" t="s">
        <v>1669</v>
      </c>
      <c r="B4114" s="2459" t="s">
        <v>1662</v>
      </c>
      <c r="C4114" s="2459" t="s">
        <v>1670</v>
      </c>
      <c r="D4114" s="2460" t="s">
        <v>1671</v>
      </c>
      <c r="E4114" s="2461" t="s">
        <v>1573</v>
      </c>
      <c r="F4114" s="2461" t="s">
        <v>1579</v>
      </c>
      <c r="G4114" s="2461" t="s">
        <v>1409</v>
      </c>
      <c r="H4114" s="2461" t="s">
        <v>1070</v>
      </c>
      <c r="I4114" s="2462">
        <v>3.4683005766882797E-3</v>
      </c>
      <c r="J4114" s="2462">
        <v>254.85182522117739</v>
      </c>
    </row>
    <row r="4115" spans="1:10" outlineLevel="2">
      <c r="A4115" s="2459" t="s">
        <v>1669</v>
      </c>
      <c r="B4115" s="2459" t="s">
        <v>1662</v>
      </c>
      <c r="C4115" s="2459" t="s">
        <v>1670</v>
      </c>
      <c r="D4115" s="2460" t="s">
        <v>1671</v>
      </c>
      <c r="E4115" s="2461" t="s">
        <v>1573</v>
      </c>
      <c r="F4115" s="2461" t="s">
        <v>1580</v>
      </c>
      <c r="G4115" s="2461" t="s">
        <v>1409</v>
      </c>
      <c r="H4115" s="2461" t="s">
        <v>1070</v>
      </c>
      <c r="I4115" s="2462">
        <v>3.9184548979205515E-4</v>
      </c>
      <c r="J4115" s="2462">
        <v>14.072442102699023</v>
      </c>
    </row>
    <row r="4116" spans="1:10" outlineLevel="2">
      <c r="A4116" s="2459" t="s">
        <v>1669</v>
      </c>
      <c r="B4116" s="2459" t="s">
        <v>1662</v>
      </c>
      <c r="C4116" s="2459" t="s">
        <v>1670</v>
      </c>
      <c r="D4116" s="2460" t="s">
        <v>1671</v>
      </c>
      <c r="E4116" s="2461" t="s">
        <v>1573</v>
      </c>
      <c r="F4116" s="2461" t="s">
        <v>1581</v>
      </c>
      <c r="G4116" s="2461" t="s">
        <v>1409</v>
      </c>
      <c r="H4116" s="2461" t="s">
        <v>1070</v>
      </c>
      <c r="I4116" s="2462">
        <v>2.0841908669675028E-4</v>
      </c>
      <c r="J4116" s="2462">
        <v>9.5827248637929969</v>
      </c>
    </row>
    <row r="4117" spans="1:10" outlineLevel="2">
      <c r="A4117" s="2459" t="s">
        <v>1669</v>
      </c>
      <c r="B4117" s="2459" t="s">
        <v>1662</v>
      </c>
      <c r="C4117" s="2459" t="s">
        <v>1670</v>
      </c>
      <c r="D4117" s="2460" t="s">
        <v>1671</v>
      </c>
      <c r="E4117" s="2461" t="s">
        <v>1573</v>
      </c>
      <c r="F4117" s="2461" t="s">
        <v>1582</v>
      </c>
      <c r="G4117" s="2461" t="s">
        <v>1409</v>
      </c>
      <c r="H4117" s="2461" t="s">
        <v>1070</v>
      </c>
      <c r="I4117" s="2462">
        <v>1.1077395600085492E-3</v>
      </c>
      <c r="J4117" s="2462">
        <v>26.315091670858219</v>
      </c>
    </row>
    <row r="4118" spans="1:10" outlineLevel="2">
      <c r="A4118" s="2459" t="s">
        <v>1669</v>
      </c>
      <c r="B4118" s="2459" t="s">
        <v>1662</v>
      </c>
      <c r="C4118" s="2459" t="s">
        <v>1670</v>
      </c>
      <c r="D4118" s="2460" t="s">
        <v>1671</v>
      </c>
      <c r="E4118" s="2461" t="s">
        <v>1573</v>
      </c>
      <c r="F4118" s="2461" t="s">
        <v>1583</v>
      </c>
      <c r="G4118" s="2461" t="s">
        <v>1409</v>
      </c>
      <c r="H4118" s="2461" t="s">
        <v>1070</v>
      </c>
      <c r="I4118" s="2462">
        <v>3.175572133606276E-3</v>
      </c>
      <c r="J4118" s="2462">
        <v>112.60924058134</v>
      </c>
    </row>
    <row r="4119" spans="1:10" outlineLevel="2">
      <c r="A4119" s="2459" t="s">
        <v>1669</v>
      </c>
      <c r="B4119" s="2459" t="s">
        <v>1662</v>
      </c>
      <c r="C4119" s="2459" t="s">
        <v>1670</v>
      </c>
      <c r="D4119" s="2460" t="s">
        <v>1671</v>
      </c>
      <c r="E4119" s="2461" t="s">
        <v>1573</v>
      </c>
      <c r="F4119" s="2461" t="s">
        <v>1584</v>
      </c>
      <c r="G4119" s="2461" t="s">
        <v>1409</v>
      </c>
      <c r="H4119" s="2461" t="s">
        <v>1070</v>
      </c>
      <c r="I4119" s="2462">
        <v>2.245025020961714E-3</v>
      </c>
      <c r="J4119" s="2462">
        <v>123.63796463509658</v>
      </c>
    </row>
    <row r="4120" spans="1:10" outlineLevel="2">
      <c r="A4120" s="2459" t="s">
        <v>1669</v>
      </c>
      <c r="B4120" s="2459" t="s">
        <v>1662</v>
      </c>
      <c r="C4120" s="2459" t="s">
        <v>1670</v>
      </c>
      <c r="D4120" s="2460" t="s">
        <v>1671</v>
      </c>
      <c r="E4120" s="2461" t="s">
        <v>1573</v>
      </c>
      <c r="F4120" s="2461" t="s">
        <v>1585</v>
      </c>
      <c r="G4120" s="2461" t="s">
        <v>1409</v>
      </c>
      <c r="H4120" s="2461" t="s">
        <v>1070</v>
      </c>
      <c r="I4120" s="2462">
        <v>1.230826879824512E-2</v>
      </c>
      <c r="J4120" s="2462">
        <v>949.35111605282736</v>
      </c>
    </row>
    <row r="4121" spans="1:10" outlineLevel="2">
      <c r="A4121" s="2459" t="s">
        <v>1669</v>
      </c>
      <c r="B4121" s="2459" t="s">
        <v>1662</v>
      </c>
      <c r="C4121" s="2459" t="s">
        <v>1670</v>
      </c>
      <c r="D4121" s="2460" t="s">
        <v>1671</v>
      </c>
      <c r="E4121" s="2461" t="s">
        <v>1573</v>
      </c>
      <c r="F4121" s="2461" t="s">
        <v>1586</v>
      </c>
      <c r="G4121" s="2461" t="s">
        <v>1409</v>
      </c>
      <c r="H4121" s="2461" t="s">
        <v>1070</v>
      </c>
      <c r="I4121" s="2462">
        <v>2.6032914411699683E-4</v>
      </c>
      <c r="J4121" s="2462">
        <v>7.8939673387507012</v>
      </c>
    </row>
    <row r="4122" spans="1:10" outlineLevel="2">
      <c r="A4122" s="2459" t="s">
        <v>1669</v>
      </c>
      <c r="B4122" s="2459" t="s">
        <v>1662</v>
      </c>
      <c r="C4122" s="2459" t="s">
        <v>1670</v>
      </c>
      <c r="D4122" s="2460" t="s">
        <v>1671</v>
      </c>
      <c r="E4122" s="2461" t="s">
        <v>1573</v>
      </c>
      <c r="F4122" s="2461" t="s">
        <v>1587</v>
      </c>
      <c r="G4122" s="2461" t="s">
        <v>1409</v>
      </c>
      <c r="H4122" s="2461" t="s">
        <v>1070</v>
      </c>
      <c r="I4122" s="2462">
        <v>1.0252046578439547E-4</v>
      </c>
      <c r="J4122" s="2462">
        <v>4.8334932555321704</v>
      </c>
    </row>
    <row r="4123" spans="1:10" outlineLevel="2">
      <c r="A4123" s="2459" t="s">
        <v>1669</v>
      </c>
      <c r="B4123" s="2459" t="s">
        <v>1662</v>
      </c>
      <c r="C4123" s="2459" t="s">
        <v>1670</v>
      </c>
      <c r="D4123" s="2460" t="s">
        <v>1671</v>
      </c>
      <c r="E4123" s="2461" t="s">
        <v>1573</v>
      </c>
      <c r="F4123" s="2461" t="s">
        <v>1588</v>
      </c>
      <c r="G4123" s="2461" t="s">
        <v>1409</v>
      </c>
      <c r="H4123" s="2461" t="s">
        <v>1070</v>
      </c>
      <c r="I4123" s="2462">
        <v>3.6319785440527704E-3</v>
      </c>
      <c r="J4123" s="2462">
        <v>216.99731818407116</v>
      </c>
    </row>
    <row r="4124" spans="1:10" outlineLevel="2">
      <c r="A4124" s="2459" t="s">
        <v>1669</v>
      </c>
      <c r="B4124" s="2459" t="s">
        <v>1662</v>
      </c>
      <c r="C4124" s="2459" t="s">
        <v>1670</v>
      </c>
      <c r="D4124" s="2460" t="s">
        <v>1671</v>
      </c>
      <c r="E4124" s="2461" t="s">
        <v>1573</v>
      </c>
      <c r="F4124" s="2461" t="s">
        <v>1589</v>
      </c>
      <c r="G4124" s="2461" t="s">
        <v>1409</v>
      </c>
      <c r="H4124" s="2461" t="s">
        <v>1070</v>
      </c>
      <c r="I4124" s="2462">
        <v>3.1224630453110251E-3</v>
      </c>
      <c r="J4124" s="2462">
        <v>236.20437154035923</v>
      </c>
    </row>
    <row r="4125" spans="1:10" outlineLevel="2">
      <c r="A4125" s="2459" t="s">
        <v>1669</v>
      </c>
      <c r="B4125" s="2459" t="s">
        <v>1662</v>
      </c>
      <c r="C4125" s="2459" t="s">
        <v>1670</v>
      </c>
      <c r="D4125" s="2460" t="s">
        <v>1671</v>
      </c>
      <c r="E4125" s="2461" t="s">
        <v>1573</v>
      </c>
      <c r="F4125" s="2461" t="s">
        <v>1590</v>
      </c>
      <c r="G4125" s="2461" t="s">
        <v>1409</v>
      </c>
      <c r="H4125" s="2461" t="s">
        <v>1070</v>
      </c>
      <c r="I4125" s="2462">
        <v>1.1400409293625988E-2</v>
      </c>
      <c r="J4125" s="2462">
        <v>812.50955666465086</v>
      </c>
    </row>
    <row r="4126" spans="1:10" outlineLevel="2">
      <c r="A4126" s="2459" t="s">
        <v>1669</v>
      </c>
      <c r="B4126" s="2459" t="s">
        <v>1662</v>
      </c>
      <c r="C4126" s="2459" t="s">
        <v>1670</v>
      </c>
      <c r="D4126" s="2460" t="s">
        <v>1671</v>
      </c>
      <c r="E4126" s="2461" t="s">
        <v>1573</v>
      </c>
      <c r="F4126" s="2461" t="s">
        <v>1591</v>
      </c>
      <c r="G4126" s="2461" t="s">
        <v>1409</v>
      </c>
      <c r="H4126" s="2461" t="s">
        <v>1070</v>
      </c>
      <c r="I4126" s="2462">
        <v>7.8474835100149527E-4</v>
      </c>
      <c r="J4126" s="2462">
        <v>38.20563198505009</v>
      </c>
    </row>
    <row r="4127" spans="1:10" outlineLevel="2">
      <c r="A4127" s="2459" t="s">
        <v>1669</v>
      </c>
      <c r="B4127" s="2459" t="s">
        <v>1662</v>
      </c>
      <c r="C4127" s="2459" t="s">
        <v>1670</v>
      </c>
      <c r="D4127" s="2460" t="s">
        <v>1671</v>
      </c>
      <c r="E4127" s="2461" t="s">
        <v>1573</v>
      </c>
      <c r="F4127" s="2461" t="s">
        <v>1592</v>
      </c>
      <c r="G4127" s="2461" t="s">
        <v>1409</v>
      </c>
      <c r="H4127" s="2461" t="s">
        <v>1070</v>
      </c>
      <c r="I4127" s="2462">
        <v>6.5987253575651422E-3</v>
      </c>
      <c r="J4127" s="2462">
        <v>303.90519226940228</v>
      </c>
    </row>
    <row r="4128" spans="1:10" outlineLevel="2">
      <c r="A4128" s="2459" t="s">
        <v>1669</v>
      </c>
      <c r="B4128" s="2459" t="s">
        <v>1662</v>
      </c>
      <c r="C4128" s="2459" t="s">
        <v>1670</v>
      </c>
      <c r="D4128" s="2460" t="s">
        <v>1671</v>
      </c>
      <c r="E4128" s="2461" t="s">
        <v>1573</v>
      </c>
      <c r="F4128" s="2461" t="s">
        <v>1593</v>
      </c>
      <c r="G4128" s="2461" t="s">
        <v>1409</v>
      </c>
      <c r="H4128" s="2461" t="s">
        <v>1070</v>
      </c>
      <c r="I4128" s="2462">
        <v>1.6122710733957421E-2</v>
      </c>
      <c r="J4128" s="2462">
        <v>1033.2197228078189</v>
      </c>
    </row>
    <row r="4129" spans="1:10" outlineLevel="2">
      <c r="A4129" s="2459" t="s">
        <v>1669</v>
      </c>
      <c r="B4129" s="2459" t="s">
        <v>1662</v>
      </c>
      <c r="C4129" s="2459" t="s">
        <v>1670</v>
      </c>
      <c r="D4129" s="2460" t="s">
        <v>1671</v>
      </c>
      <c r="E4129" s="2461" t="s">
        <v>1573</v>
      </c>
      <c r="F4129" s="2461" t="s">
        <v>1594</v>
      </c>
      <c r="G4129" s="2461" t="s">
        <v>1409</v>
      </c>
      <c r="H4129" s="2461" t="s">
        <v>1070</v>
      </c>
      <c r="I4129" s="2462">
        <v>3.5312703725989346E-2</v>
      </c>
      <c r="J4129" s="2462">
        <v>693.14916474626273</v>
      </c>
    </row>
    <row r="4130" spans="1:10" outlineLevel="2">
      <c r="A4130" s="2459" t="s">
        <v>1669</v>
      </c>
      <c r="B4130" s="2459" t="s">
        <v>1662</v>
      </c>
      <c r="C4130" s="2459" t="s">
        <v>1670</v>
      </c>
      <c r="D4130" s="2460" t="s">
        <v>1671</v>
      </c>
      <c r="E4130" s="2461" t="s">
        <v>1573</v>
      </c>
      <c r="F4130" s="2461" t="s">
        <v>1595</v>
      </c>
      <c r="G4130" s="2461" t="s">
        <v>1409</v>
      </c>
      <c r="H4130" s="2461" t="s">
        <v>1070</v>
      </c>
      <c r="I4130" s="2462">
        <v>1.2983643985829072E-2</v>
      </c>
      <c r="J4130" s="2462">
        <v>945.17743971484003</v>
      </c>
    </row>
    <row r="4131" spans="1:10" outlineLevel="2">
      <c r="A4131" s="2459" t="s">
        <v>1669</v>
      </c>
      <c r="B4131" s="2459" t="s">
        <v>1662</v>
      </c>
      <c r="C4131" s="2459" t="s">
        <v>1670</v>
      </c>
      <c r="D4131" s="2460" t="s">
        <v>1671</v>
      </c>
      <c r="E4131" s="2461" t="s">
        <v>1573</v>
      </c>
      <c r="F4131" s="2461" t="s">
        <v>1596</v>
      </c>
      <c r="G4131" s="2461" t="s">
        <v>1409</v>
      </c>
      <c r="H4131" s="2461" t="s">
        <v>1070</v>
      </c>
      <c r="I4131" s="2462">
        <v>2.364068640212744E-2</v>
      </c>
      <c r="J4131" s="2462">
        <v>544.08667594446172</v>
      </c>
    </row>
    <row r="4132" spans="1:10" outlineLevel="2">
      <c r="A4132" s="2459" t="s">
        <v>1669</v>
      </c>
      <c r="B4132" s="2459" t="s">
        <v>1662</v>
      </c>
      <c r="C4132" s="2459" t="s">
        <v>1670</v>
      </c>
      <c r="D4132" s="2460" t="s">
        <v>1671</v>
      </c>
      <c r="E4132" s="2461" t="s">
        <v>1573</v>
      </c>
      <c r="F4132" s="2461" t="s">
        <v>1597</v>
      </c>
      <c r="G4132" s="2461" t="s">
        <v>1409</v>
      </c>
      <c r="H4132" s="2461" t="s">
        <v>1070</v>
      </c>
      <c r="I4132" s="2462">
        <v>1.3877543095792827E-3</v>
      </c>
      <c r="J4132" s="2462">
        <v>101.41870821192535</v>
      </c>
    </row>
    <row r="4133" spans="1:10" outlineLevel="2">
      <c r="A4133" s="2459" t="s">
        <v>1669</v>
      </c>
      <c r="B4133" s="2459" t="s">
        <v>1662</v>
      </c>
      <c r="C4133" s="2459" t="s">
        <v>1670</v>
      </c>
      <c r="D4133" s="2460" t="s">
        <v>1671</v>
      </c>
      <c r="E4133" s="2461" t="s">
        <v>1573</v>
      </c>
      <c r="F4133" s="2461" t="s">
        <v>1598</v>
      </c>
      <c r="G4133" s="2461" t="s">
        <v>1409</v>
      </c>
      <c r="H4133" s="2461" t="s">
        <v>1070</v>
      </c>
      <c r="I4133" s="2462">
        <v>7.2078815113493856E-5</v>
      </c>
      <c r="J4133" s="2462">
        <v>1.6639079333960964</v>
      </c>
    </row>
    <row r="4134" spans="1:10" outlineLevel="2">
      <c r="A4134" s="2459" t="s">
        <v>1669</v>
      </c>
      <c r="B4134" s="2459" t="s">
        <v>1662</v>
      </c>
      <c r="C4134" s="2459" t="s">
        <v>1670</v>
      </c>
      <c r="D4134" s="2460" t="s">
        <v>1671</v>
      </c>
      <c r="E4134" s="2461" t="s">
        <v>1573</v>
      </c>
      <c r="F4134" s="2461" t="s">
        <v>1599</v>
      </c>
      <c r="G4134" s="2461" t="s">
        <v>1409</v>
      </c>
      <c r="H4134" s="2461" t="s">
        <v>1070</v>
      </c>
      <c r="I4134" s="2462">
        <v>1.9678177004161693E-3</v>
      </c>
      <c r="J4134" s="2462">
        <v>105.78965259071778</v>
      </c>
    </row>
    <row r="4135" spans="1:10" outlineLevel="2">
      <c r="A4135" s="2459" t="s">
        <v>1669</v>
      </c>
      <c r="B4135" s="2459" t="s">
        <v>1662</v>
      </c>
      <c r="C4135" s="2459" t="s">
        <v>1670</v>
      </c>
      <c r="D4135" s="2460" t="s">
        <v>1671</v>
      </c>
      <c r="E4135" s="2461" t="s">
        <v>1573</v>
      </c>
      <c r="F4135" s="2461" t="s">
        <v>1600</v>
      </c>
      <c r="G4135" s="2461" t="s">
        <v>1412</v>
      </c>
      <c r="H4135" s="2461" t="s">
        <v>1116</v>
      </c>
      <c r="I4135" s="2462">
        <v>1.748187806622259E-3</v>
      </c>
      <c r="J4135" s="2462">
        <v>42.293310487771436</v>
      </c>
    </row>
    <row r="4136" spans="1:10" outlineLevel="2">
      <c r="A4136" s="2459" t="s">
        <v>1669</v>
      </c>
      <c r="B4136" s="2459" t="s">
        <v>1662</v>
      </c>
      <c r="C4136" s="2459" t="s">
        <v>1670</v>
      </c>
      <c r="D4136" s="2460" t="s">
        <v>1671</v>
      </c>
      <c r="E4136" s="2461" t="s">
        <v>1573</v>
      </c>
      <c r="F4136" s="2461" t="s">
        <v>1601</v>
      </c>
      <c r="G4136" s="2461" t="s">
        <v>1412</v>
      </c>
      <c r="H4136" s="2461" t="s">
        <v>1116</v>
      </c>
      <c r="I4136" s="2462">
        <v>8.7000873636728839E-3</v>
      </c>
      <c r="J4136" s="2462">
        <v>613.57433634203198</v>
      </c>
    </row>
    <row r="4137" spans="1:10" outlineLevel="2">
      <c r="A4137" s="2459" t="s">
        <v>1669</v>
      </c>
      <c r="B4137" s="2459" t="s">
        <v>1662</v>
      </c>
      <c r="C4137" s="2459" t="s">
        <v>1670</v>
      </c>
      <c r="D4137" s="2460" t="s">
        <v>1671</v>
      </c>
      <c r="E4137" s="2461" t="s">
        <v>1573</v>
      </c>
      <c r="F4137" s="2461" t="s">
        <v>1602</v>
      </c>
      <c r="G4137" s="2461" t="s">
        <v>1412</v>
      </c>
      <c r="H4137" s="2461" t="s">
        <v>1116</v>
      </c>
      <c r="I4137" s="2462">
        <v>5.1108421248167949E-3</v>
      </c>
      <c r="J4137" s="2462">
        <v>267.99666875170425</v>
      </c>
    </row>
    <row r="4138" spans="1:10" outlineLevel="2">
      <c r="A4138" s="2459" t="s">
        <v>1669</v>
      </c>
      <c r="B4138" s="2459" t="s">
        <v>1662</v>
      </c>
      <c r="C4138" s="2459" t="s">
        <v>1670</v>
      </c>
      <c r="D4138" s="2460" t="s">
        <v>1671</v>
      </c>
      <c r="E4138" s="2461" t="s">
        <v>1573</v>
      </c>
      <c r="F4138" s="2461" t="s">
        <v>1603</v>
      </c>
      <c r="G4138" s="2461" t="s">
        <v>1412</v>
      </c>
      <c r="H4138" s="2461" t="s">
        <v>1116</v>
      </c>
      <c r="I4138" s="2462">
        <v>6.0495818284501315E-3</v>
      </c>
      <c r="J4138" s="2462">
        <v>271.75914085366605</v>
      </c>
    </row>
    <row r="4139" spans="1:10" outlineLevel="2">
      <c r="A4139" s="2459" t="s">
        <v>1669</v>
      </c>
      <c r="B4139" s="2459" t="s">
        <v>1662</v>
      </c>
      <c r="C4139" s="2459" t="s">
        <v>1670</v>
      </c>
      <c r="D4139" s="2460" t="s">
        <v>1671</v>
      </c>
      <c r="E4139" s="2461" t="s">
        <v>1573</v>
      </c>
      <c r="F4139" s="2461" t="s">
        <v>1604</v>
      </c>
      <c r="G4139" s="2461" t="s">
        <v>1412</v>
      </c>
      <c r="H4139" s="2461" t="s">
        <v>1116</v>
      </c>
      <c r="I4139" s="2462">
        <v>3.8315305595345282E-4</v>
      </c>
      <c r="J4139" s="2462">
        <v>10.480707385606374</v>
      </c>
    </row>
    <row r="4140" spans="1:10" outlineLevel="2">
      <c r="A4140" s="2459" t="s">
        <v>1669</v>
      </c>
      <c r="B4140" s="2459" t="s">
        <v>1662</v>
      </c>
      <c r="C4140" s="2459" t="s">
        <v>1670</v>
      </c>
      <c r="D4140" s="2460" t="s">
        <v>1671</v>
      </c>
      <c r="E4140" s="2461" t="s">
        <v>1573</v>
      </c>
      <c r="F4140" s="2461" t="s">
        <v>1605</v>
      </c>
      <c r="G4140" s="2461" t="s">
        <v>1412</v>
      </c>
      <c r="H4140" s="2461" t="s">
        <v>1116</v>
      </c>
      <c r="I4140" s="2462">
        <v>1.8410053358332751E-2</v>
      </c>
      <c r="J4140" s="2462">
        <v>605.07192779023148</v>
      </c>
    </row>
    <row r="4141" spans="1:10" outlineLevel="2">
      <c r="A4141" s="2459" t="s">
        <v>1669</v>
      </c>
      <c r="B4141" s="2459" t="s">
        <v>1662</v>
      </c>
      <c r="C4141" s="2459" t="s">
        <v>1670</v>
      </c>
      <c r="D4141" s="2460" t="s">
        <v>1671</v>
      </c>
      <c r="E4141" s="2461" t="s">
        <v>1573</v>
      </c>
      <c r="F4141" s="2461" t="s">
        <v>1606</v>
      </c>
      <c r="G4141" s="2461" t="s">
        <v>1412</v>
      </c>
      <c r="H4141" s="2461" t="s">
        <v>1116</v>
      </c>
      <c r="I4141" s="2462">
        <v>4.7702947982667613E-3</v>
      </c>
      <c r="J4141" s="2462">
        <v>386.71379790439403</v>
      </c>
    </row>
    <row r="4142" spans="1:10" outlineLevel="2">
      <c r="A4142" s="2459" t="s">
        <v>1669</v>
      </c>
      <c r="B4142" s="2459" t="s">
        <v>1662</v>
      </c>
      <c r="C4142" s="2459" t="s">
        <v>1670</v>
      </c>
      <c r="D4142" s="2460" t="s">
        <v>1671</v>
      </c>
      <c r="E4142" s="2461" t="s">
        <v>1573</v>
      </c>
      <c r="F4142" s="2461" t="s">
        <v>1607</v>
      </c>
      <c r="G4142" s="2461" t="s">
        <v>1439</v>
      </c>
      <c r="H4142" s="2461" t="s">
        <v>1440</v>
      </c>
      <c r="I4142" s="2462">
        <v>2.3754014305126604E-6</v>
      </c>
      <c r="J4142" s="2462">
        <v>5.9536780797855585E-2</v>
      </c>
    </row>
    <row r="4143" spans="1:10" outlineLevel="2">
      <c r="A4143" s="2459" t="s">
        <v>1669</v>
      </c>
      <c r="B4143" s="2459" t="s">
        <v>1662</v>
      </c>
      <c r="C4143" s="2459" t="s">
        <v>1670</v>
      </c>
      <c r="D4143" s="2460" t="s">
        <v>1671</v>
      </c>
      <c r="E4143" s="2461" t="s">
        <v>1573</v>
      </c>
      <c r="F4143" s="2461" t="s">
        <v>1609</v>
      </c>
      <c r="G4143" s="2461" t="s">
        <v>1439</v>
      </c>
      <c r="H4143" s="2461" t="s">
        <v>1440</v>
      </c>
      <c r="I4143" s="2462">
        <v>1.8786203874034221E-2</v>
      </c>
      <c r="J4143" s="2462">
        <v>417.33815133898474</v>
      </c>
    </row>
    <row r="4144" spans="1:10" outlineLevel="2">
      <c r="A4144" s="2459" t="s">
        <v>1669</v>
      </c>
      <c r="B4144" s="2459" t="s">
        <v>1662</v>
      </c>
      <c r="C4144" s="2459" t="s">
        <v>1670</v>
      </c>
      <c r="D4144" s="2460" t="s">
        <v>1671</v>
      </c>
      <c r="E4144" s="2461" t="s">
        <v>1573</v>
      </c>
      <c r="F4144" s="2461" t="s">
        <v>1610</v>
      </c>
      <c r="G4144" s="2461" t="s">
        <v>1439</v>
      </c>
      <c r="H4144" s="2461" t="s">
        <v>1440</v>
      </c>
      <c r="I4144" s="2462">
        <v>4.9404360197244871E-3</v>
      </c>
      <c r="J4144" s="2462">
        <v>86.151901545606492</v>
      </c>
    </row>
    <row r="4145" spans="1:10" outlineLevel="2">
      <c r="A4145" s="2459" t="s">
        <v>1669</v>
      </c>
      <c r="B4145" s="2459" t="s">
        <v>1662</v>
      </c>
      <c r="C4145" s="2459" t="s">
        <v>1670</v>
      </c>
      <c r="D4145" s="2460" t="s">
        <v>1671</v>
      </c>
      <c r="E4145" s="2461" t="s">
        <v>1573</v>
      </c>
      <c r="F4145" s="2461" t="s">
        <v>1611</v>
      </c>
      <c r="G4145" s="2461" t="s">
        <v>1439</v>
      </c>
      <c r="H4145" s="2461" t="s">
        <v>1440</v>
      </c>
      <c r="I4145" s="2462">
        <v>1.1677258596489746E-2</v>
      </c>
      <c r="J4145" s="2462">
        <v>568.91510845274422</v>
      </c>
    </row>
    <row r="4146" spans="1:10" outlineLevel="2">
      <c r="A4146" s="2459" t="s">
        <v>1669</v>
      </c>
      <c r="B4146" s="2459" t="s">
        <v>1662</v>
      </c>
      <c r="C4146" s="2459" t="s">
        <v>1670</v>
      </c>
      <c r="D4146" s="2460" t="s">
        <v>1671</v>
      </c>
      <c r="E4146" s="2461" t="s">
        <v>1573</v>
      </c>
      <c r="F4146" s="2461" t="s">
        <v>1612</v>
      </c>
      <c r="G4146" s="2461" t="s">
        <v>1439</v>
      </c>
      <c r="H4146" s="2461" t="s">
        <v>1440</v>
      </c>
      <c r="I4146" s="2462">
        <v>2.0025997521594513E-3</v>
      </c>
      <c r="J4146" s="2462">
        <v>67.032522539322585</v>
      </c>
    </row>
    <row r="4147" spans="1:10" outlineLevel="2">
      <c r="A4147" s="2459" t="s">
        <v>1669</v>
      </c>
      <c r="B4147" s="2459" t="s">
        <v>1662</v>
      </c>
      <c r="C4147" s="2459" t="s">
        <v>1670</v>
      </c>
      <c r="D4147" s="2460" t="s">
        <v>1671</v>
      </c>
      <c r="E4147" s="2461" t="s">
        <v>1573</v>
      </c>
      <c r="F4147" s="2461" t="s">
        <v>1613</v>
      </c>
      <c r="G4147" s="2461" t="s">
        <v>1439</v>
      </c>
      <c r="H4147" s="2461" t="s">
        <v>1440</v>
      </c>
      <c r="I4147" s="2462">
        <v>5.6302820321984891E-5</v>
      </c>
      <c r="J4147" s="2462">
        <v>1.7021029375352936</v>
      </c>
    </row>
    <row r="4148" spans="1:10" outlineLevel="2">
      <c r="A4148" s="2459" t="s">
        <v>1669</v>
      </c>
      <c r="B4148" s="2459" t="s">
        <v>1662</v>
      </c>
      <c r="C4148" s="2459" t="s">
        <v>1670</v>
      </c>
      <c r="D4148" s="2460" t="s">
        <v>1671</v>
      </c>
      <c r="E4148" s="2461" t="s">
        <v>1573</v>
      </c>
      <c r="F4148" s="2461" t="s">
        <v>1614</v>
      </c>
      <c r="G4148" s="2461" t="s">
        <v>1418</v>
      </c>
      <c r="H4148" s="2461" t="s">
        <v>1452</v>
      </c>
      <c r="I4148" s="2462">
        <v>1.2628696119596335E-5</v>
      </c>
      <c r="J4148" s="2462">
        <v>0.10794255869611166</v>
      </c>
    </row>
    <row r="4149" spans="1:10" outlineLevel="2">
      <c r="A4149" s="2459" t="s">
        <v>1669</v>
      </c>
      <c r="B4149" s="2459" t="s">
        <v>1662</v>
      </c>
      <c r="C4149" s="2459" t="s">
        <v>1670</v>
      </c>
      <c r="D4149" s="2460" t="s">
        <v>1671</v>
      </c>
      <c r="E4149" s="2461" t="s">
        <v>1573</v>
      </c>
      <c r="F4149" s="2461" t="s">
        <v>1615</v>
      </c>
      <c r="G4149" s="2461" t="s">
        <v>1418</v>
      </c>
      <c r="H4149" s="2461" t="s">
        <v>1452</v>
      </c>
      <c r="I4149" s="2462">
        <v>7.6391293895534548E-2</v>
      </c>
      <c r="J4149" s="2462">
        <v>4482.0099945188149</v>
      </c>
    </row>
    <row r="4150" spans="1:10" outlineLevel="2">
      <c r="A4150" s="2459" t="s">
        <v>1669</v>
      </c>
      <c r="B4150" s="2459" t="s">
        <v>1662</v>
      </c>
      <c r="C4150" s="2459" t="s">
        <v>1670</v>
      </c>
      <c r="D4150" s="2460" t="s">
        <v>1671</v>
      </c>
      <c r="E4150" s="2461" t="s">
        <v>1573</v>
      </c>
      <c r="F4150" s="2461" t="s">
        <v>1616</v>
      </c>
      <c r="G4150" s="2461" t="s">
        <v>1418</v>
      </c>
      <c r="H4150" s="2461" t="s">
        <v>1452</v>
      </c>
      <c r="I4150" s="2462">
        <v>3.6460798381313143E-3</v>
      </c>
      <c r="J4150" s="2462">
        <v>401.85043551318296</v>
      </c>
    </row>
    <row r="4151" spans="1:10" outlineLevel="2">
      <c r="A4151" s="2459" t="s">
        <v>1669</v>
      </c>
      <c r="B4151" s="2459" t="s">
        <v>1662</v>
      </c>
      <c r="C4151" s="2459" t="s">
        <v>1670</v>
      </c>
      <c r="D4151" s="2460" t="s">
        <v>1671</v>
      </c>
      <c r="E4151" s="2461" t="s">
        <v>1573</v>
      </c>
      <c r="F4151" s="2461" t="s">
        <v>1617</v>
      </c>
      <c r="G4151" s="2461" t="s">
        <v>1418</v>
      </c>
      <c r="H4151" s="2461" t="s">
        <v>1452</v>
      </c>
      <c r="I4151" s="2462">
        <v>2.8961077961040279E-5</v>
      </c>
      <c r="J4151" s="2462">
        <v>2.224270022063771</v>
      </c>
    </row>
    <row r="4152" spans="1:10" outlineLevel="2">
      <c r="A4152" s="2459" t="s">
        <v>1669</v>
      </c>
      <c r="B4152" s="2459" t="s">
        <v>1662</v>
      </c>
      <c r="C4152" s="2459" t="s">
        <v>1670</v>
      </c>
      <c r="D4152" s="2460" t="s">
        <v>1671</v>
      </c>
      <c r="E4152" s="2461" t="s">
        <v>1573</v>
      </c>
      <c r="F4152" s="2461" t="s">
        <v>1618</v>
      </c>
      <c r="G4152" s="2461" t="s">
        <v>1418</v>
      </c>
      <c r="H4152" s="2461" t="s">
        <v>1452</v>
      </c>
      <c r="I4152" s="2462">
        <v>5.6455457010554367E-6</v>
      </c>
      <c r="J4152" s="2462">
        <v>0.46725138795474985</v>
      </c>
    </row>
    <row r="4153" spans="1:10" outlineLevel="2">
      <c r="A4153" s="2459" t="s">
        <v>1669</v>
      </c>
      <c r="B4153" s="2459" t="s">
        <v>1662</v>
      </c>
      <c r="C4153" s="2459" t="s">
        <v>1670</v>
      </c>
      <c r="D4153" s="2460" t="s">
        <v>1671</v>
      </c>
      <c r="E4153" s="2461" t="s">
        <v>1573</v>
      </c>
      <c r="F4153" s="2461" t="s">
        <v>1619</v>
      </c>
      <c r="G4153" s="2461" t="s">
        <v>1418</v>
      </c>
      <c r="H4153" s="2461" t="s">
        <v>1452</v>
      </c>
      <c r="I4153" s="2462">
        <v>3.7062960903033184E-4</v>
      </c>
      <c r="J4153" s="2462">
        <v>34.078670408151353</v>
      </c>
    </row>
    <row r="4154" spans="1:10" outlineLevel="2">
      <c r="A4154" s="2459" t="s">
        <v>1669</v>
      </c>
      <c r="B4154" s="2459" t="s">
        <v>1662</v>
      </c>
      <c r="C4154" s="2459" t="s">
        <v>1670</v>
      </c>
      <c r="D4154" s="2460" t="s">
        <v>1671</v>
      </c>
      <c r="E4154" s="2461" t="s">
        <v>1573</v>
      </c>
      <c r="F4154" s="2461" t="s">
        <v>1620</v>
      </c>
      <c r="G4154" s="2461" t="s">
        <v>1418</v>
      </c>
      <c r="H4154" s="2461" t="s">
        <v>1452</v>
      </c>
      <c r="I4154" s="2462">
        <v>7.8360596829645947E-7</v>
      </c>
      <c r="J4154" s="2462">
        <v>9.4285219603241655E-2</v>
      </c>
    </row>
    <row r="4155" spans="1:10" outlineLevel="2">
      <c r="A4155" s="2459" t="s">
        <v>1669</v>
      </c>
      <c r="B4155" s="2459" t="s">
        <v>1662</v>
      </c>
      <c r="C4155" s="2459" t="s">
        <v>1670</v>
      </c>
      <c r="D4155" s="2460" t="s">
        <v>1671</v>
      </c>
      <c r="E4155" s="2461" t="s">
        <v>1573</v>
      </c>
      <c r="F4155" s="2461" t="s">
        <v>1621</v>
      </c>
      <c r="G4155" s="2461" t="s">
        <v>1418</v>
      </c>
      <c r="H4155" s="2461" t="s">
        <v>1452</v>
      </c>
      <c r="I4155" s="2462">
        <v>3.3358983656727945E-4</v>
      </c>
      <c r="J4155" s="2462">
        <v>31.510235823131616</v>
      </c>
    </row>
    <row r="4156" spans="1:10" outlineLevel="2">
      <c r="A4156" s="2459" t="s">
        <v>1669</v>
      </c>
      <c r="B4156" s="2459" t="s">
        <v>1662</v>
      </c>
      <c r="C4156" s="2459" t="s">
        <v>1670</v>
      </c>
      <c r="D4156" s="2460" t="s">
        <v>1671</v>
      </c>
      <c r="E4156" s="2461" t="s">
        <v>1573</v>
      </c>
      <c r="F4156" s="2461" t="s">
        <v>1622</v>
      </c>
      <c r="G4156" s="2461" t="s">
        <v>1418</v>
      </c>
      <c r="H4156" s="2461" t="s">
        <v>1452</v>
      </c>
      <c r="I4156" s="2462">
        <v>9.8631767563368096E-4</v>
      </c>
      <c r="J4156" s="2462">
        <v>87.687800966639827</v>
      </c>
    </row>
    <row r="4157" spans="1:10" outlineLevel="2">
      <c r="A4157" s="2459" t="s">
        <v>1669</v>
      </c>
      <c r="B4157" s="2459" t="s">
        <v>1662</v>
      </c>
      <c r="C4157" s="2459" t="s">
        <v>1670</v>
      </c>
      <c r="D4157" s="2460" t="s">
        <v>1671</v>
      </c>
      <c r="E4157" s="2461" t="s">
        <v>1573</v>
      </c>
      <c r="F4157" s="2461" t="s">
        <v>1623</v>
      </c>
      <c r="G4157" s="2461" t="s">
        <v>1418</v>
      </c>
      <c r="H4157" s="2461" t="s">
        <v>1452</v>
      </c>
      <c r="I4157" s="2462">
        <v>1.4958671833901088E-3</v>
      </c>
      <c r="J4157" s="2462">
        <v>64.658490061988559</v>
      </c>
    </row>
    <row r="4158" spans="1:10" outlineLevel="2">
      <c r="A4158" s="2459" t="s">
        <v>1669</v>
      </c>
      <c r="B4158" s="2459" t="s">
        <v>1662</v>
      </c>
      <c r="C4158" s="2459" t="s">
        <v>1670</v>
      </c>
      <c r="D4158" s="2460" t="s">
        <v>1671</v>
      </c>
      <c r="E4158" s="2461" t="s">
        <v>1573</v>
      </c>
      <c r="F4158" s="2461" t="s">
        <v>1624</v>
      </c>
      <c r="G4158" s="2461" t="s">
        <v>1421</v>
      </c>
      <c r="H4158" s="2461" t="s">
        <v>1454</v>
      </c>
      <c r="I4158" s="2462">
        <v>1.2043421561182188E-2</v>
      </c>
      <c r="J4158" s="2462">
        <v>440.39140638459651</v>
      </c>
    </row>
    <row r="4159" spans="1:10" outlineLevel="2">
      <c r="A4159" s="2459" t="s">
        <v>1669</v>
      </c>
      <c r="B4159" s="2459" t="s">
        <v>1662</v>
      </c>
      <c r="C4159" s="2459" t="s">
        <v>1670</v>
      </c>
      <c r="D4159" s="2460" t="s">
        <v>1671</v>
      </c>
      <c r="E4159" s="2461" t="s">
        <v>1573</v>
      </c>
      <c r="F4159" s="2461" t="s">
        <v>1625</v>
      </c>
      <c r="G4159" s="2461" t="s">
        <v>1421</v>
      </c>
      <c r="H4159" s="2461" t="s">
        <v>1454</v>
      </c>
      <c r="I4159" s="2462">
        <v>2.8402086770149574E-3</v>
      </c>
      <c r="J4159" s="2462">
        <v>103.94039753063549</v>
      </c>
    </row>
    <row r="4160" spans="1:10" outlineLevel="2">
      <c r="A4160" s="2459" t="s">
        <v>1669</v>
      </c>
      <c r="B4160" s="2459" t="s">
        <v>1662</v>
      </c>
      <c r="C4160" s="2459" t="s">
        <v>1670</v>
      </c>
      <c r="D4160" s="2460" t="s">
        <v>1671</v>
      </c>
      <c r="E4160" s="2461" t="s">
        <v>1573</v>
      </c>
      <c r="F4160" s="2461" t="s">
        <v>1626</v>
      </c>
      <c r="G4160" s="2461" t="s">
        <v>1421</v>
      </c>
      <c r="H4160" s="2461" t="s">
        <v>1454</v>
      </c>
      <c r="I4160" s="2462">
        <v>7.9712733008679201E-3</v>
      </c>
      <c r="J4160" s="2462">
        <v>288.36988730832638</v>
      </c>
    </row>
    <row r="4161" spans="1:10" outlineLevel="2">
      <c r="A4161" s="2459" t="s">
        <v>1669</v>
      </c>
      <c r="B4161" s="2459" t="s">
        <v>1662</v>
      </c>
      <c r="C4161" s="2459" t="s">
        <v>1670</v>
      </c>
      <c r="D4161" s="2460" t="s">
        <v>1671</v>
      </c>
      <c r="E4161" s="2461" t="s">
        <v>1573</v>
      </c>
      <c r="F4161" s="2461" t="s">
        <v>1627</v>
      </c>
      <c r="G4161" s="2461" t="s">
        <v>1421</v>
      </c>
      <c r="H4161" s="2461" t="s">
        <v>1454</v>
      </c>
      <c r="I4161" s="2462">
        <v>6.7310748464488113E-3</v>
      </c>
      <c r="J4161" s="2462">
        <v>146.41423104590771</v>
      </c>
    </row>
    <row r="4162" spans="1:10" outlineLevel="2">
      <c r="A4162" s="2459" t="s">
        <v>1669</v>
      </c>
      <c r="B4162" s="2459" t="s">
        <v>1662</v>
      </c>
      <c r="C4162" s="2459" t="s">
        <v>1670</v>
      </c>
      <c r="D4162" s="2460" t="s">
        <v>1671</v>
      </c>
      <c r="E4162" s="2461" t="s">
        <v>1573</v>
      </c>
      <c r="F4162" s="2461" t="s">
        <v>1628</v>
      </c>
      <c r="G4162" s="2461" t="s">
        <v>1421</v>
      </c>
      <c r="H4162" s="2461" t="s">
        <v>1454</v>
      </c>
      <c r="I4162" s="2462">
        <v>3.3483320201302874E-4</v>
      </c>
      <c r="J4162" s="2462">
        <v>14.081376841858427</v>
      </c>
    </row>
    <row r="4163" spans="1:10" outlineLevel="2">
      <c r="A4163" s="2459" t="s">
        <v>1669</v>
      </c>
      <c r="B4163" s="2459" t="s">
        <v>1662</v>
      </c>
      <c r="C4163" s="2459" t="s">
        <v>1670</v>
      </c>
      <c r="D4163" s="2460" t="s">
        <v>1671</v>
      </c>
      <c r="E4163" s="2461" t="s">
        <v>1573</v>
      </c>
      <c r="F4163" s="2461" t="s">
        <v>1629</v>
      </c>
      <c r="G4163" s="2461" t="s">
        <v>1421</v>
      </c>
      <c r="H4163" s="2461" t="s">
        <v>1454</v>
      </c>
      <c r="I4163" s="2462">
        <v>3.8736383897361649E-4</v>
      </c>
      <c r="J4163" s="2462">
        <v>12.463147223480773</v>
      </c>
    </row>
    <row r="4164" spans="1:10" outlineLevel="2">
      <c r="A4164" s="2459" t="s">
        <v>1669</v>
      </c>
      <c r="B4164" s="2459" t="s">
        <v>1662</v>
      </c>
      <c r="C4164" s="2459" t="s">
        <v>1670</v>
      </c>
      <c r="D4164" s="2460" t="s">
        <v>1671</v>
      </c>
      <c r="E4164" s="2461" t="s">
        <v>1573</v>
      </c>
      <c r="F4164" s="2461" t="s">
        <v>1630</v>
      </c>
      <c r="G4164" s="2461" t="s">
        <v>1459</v>
      </c>
      <c r="H4164" s="2461" t="s">
        <v>1460</v>
      </c>
      <c r="I4164" s="2462">
        <v>4.07550264699912E-3</v>
      </c>
      <c r="J4164" s="2462">
        <v>267.09987303994035</v>
      </c>
    </row>
    <row r="4165" spans="1:10" outlineLevel="2">
      <c r="A4165" s="2459" t="s">
        <v>1669</v>
      </c>
      <c r="B4165" s="2459" t="s">
        <v>1662</v>
      </c>
      <c r="C4165" s="2459" t="s">
        <v>1670</v>
      </c>
      <c r="D4165" s="2460" t="s">
        <v>1676</v>
      </c>
      <c r="E4165" s="2461" t="s">
        <v>213</v>
      </c>
      <c r="F4165" s="2461" t="s">
        <v>1635</v>
      </c>
      <c r="G4165" s="2461" t="s">
        <v>1636</v>
      </c>
      <c r="H4165" s="2461" t="s">
        <v>1637</v>
      </c>
      <c r="I4165" s="2462">
        <v>9.0612092573111089E-5</v>
      </c>
      <c r="J4165" s="2462">
        <v>0.30728799865324402</v>
      </c>
    </row>
    <row r="4166" spans="1:10" outlineLevel="2">
      <c r="A4166" s="2459" t="s">
        <v>1669</v>
      </c>
      <c r="B4166" s="2459" t="s">
        <v>1662</v>
      </c>
      <c r="C4166" s="2459" t="s">
        <v>1670</v>
      </c>
      <c r="D4166" s="2460" t="s">
        <v>1676</v>
      </c>
      <c r="E4166" s="2461" t="s">
        <v>1538</v>
      </c>
      <c r="F4166" s="2461" t="s">
        <v>1638</v>
      </c>
      <c r="G4166" s="2461" t="s">
        <v>1636</v>
      </c>
      <c r="H4166" s="2461" t="s">
        <v>1540</v>
      </c>
      <c r="I4166" s="2462">
        <v>1.0229827958457887E-5</v>
      </c>
      <c r="J4166" s="2462">
        <v>0.17145640401487905</v>
      </c>
    </row>
    <row r="4167" spans="1:10" outlineLevel="2">
      <c r="A4167" s="2459" t="s">
        <v>1669</v>
      </c>
      <c r="B4167" s="2459" t="s">
        <v>1662</v>
      </c>
      <c r="C4167" s="2459" t="s">
        <v>1670</v>
      </c>
      <c r="D4167" s="2460" t="s">
        <v>1676</v>
      </c>
      <c r="E4167" s="2461" t="s">
        <v>1573</v>
      </c>
      <c r="F4167" s="2461" t="s">
        <v>1639</v>
      </c>
      <c r="G4167" s="2461" t="s">
        <v>1636</v>
      </c>
      <c r="H4167" s="2461" t="s">
        <v>1637</v>
      </c>
      <c r="I4167" s="2462">
        <v>1.780761426116948E-4</v>
      </c>
      <c r="J4167" s="2462">
        <v>9.4836140690325408</v>
      </c>
    </row>
    <row r="4168" spans="1:10" outlineLevel="2">
      <c r="A4168" s="2459" t="s">
        <v>1669</v>
      </c>
      <c r="B4168" s="2459" t="s">
        <v>1663</v>
      </c>
      <c r="C4168" s="2459" t="s">
        <v>1670</v>
      </c>
      <c r="D4168" s="2460" t="s">
        <v>1671</v>
      </c>
      <c r="E4168" s="2461" t="s">
        <v>1407</v>
      </c>
      <c r="F4168" s="2461" t="s">
        <v>1408</v>
      </c>
      <c r="G4168" s="2461" t="s">
        <v>1409</v>
      </c>
      <c r="H4168" s="2461" t="s">
        <v>1410</v>
      </c>
      <c r="I4168" s="2462">
        <v>7.8395937605513985E-3</v>
      </c>
      <c r="J4168" s="2462">
        <v>0.11532222092459239</v>
      </c>
    </row>
    <row r="4169" spans="1:10" outlineLevel="2">
      <c r="A4169" s="2459" t="s">
        <v>1669</v>
      </c>
      <c r="B4169" s="2459" t="s">
        <v>1663</v>
      </c>
      <c r="C4169" s="2459" t="s">
        <v>1670</v>
      </c>
      <c r="D4169" s="2460" t="s">
        <v>1671</v>
      </c>
      <c r="E4169" s="2461" t="s">
        <v>1407</v>
      </c>
      <c r="F4169" s="2461" t="s">
        <v>1411</v>
      </c>
      <c r="G4169" s="2461" t="s">
        <v>1412</v>
      </c>
      <c r="H4169" s="2461" t="s">
        <v>1410</v>
      </c>
      <c r="I4169" s="2462">
        <v>3.4909998005054352</v>
      </c>
      <c r="J4169" s="2462">
        <v>566.91775306194756</v>
      </c>
    </row>
    <row r="4170" spans="1:10" outlineLevel="2">
      <c r="A4170" s="2459" t="s">
        <v>1669</v>
      </c>
      <c r="B4170" s="2459" t="s">
        <v>1663</v>
      </c>
      <c r="C4170" s="2459" t="s">
        <v>1670</v>
      </c>
      <c r="D4170" s="2460" t="s">
        <v>1671</v>
      </c>
      <c r="E4170" s="2461" t="s">
        <v>1407</v>
      </c>
      <c r="F4170" s="2461" t="s">
        <v>1413</v>
      </c>
      <c r="G4170" s="2461" t="s">
        <v>1412</v>
      </c>
      <c r="H4170" s="2461" t="s">
        <v>1410</v>
      </c>
      <c r="I4170" s="2462">
        <v>2.8350385564362844E-3</v>
      </c>
      <c r="J4170" s="2462">
        <v>0.48027945504870811</v>
      </c>
    </row>
    <row r="4171" spans="1:10" outlineLevel="2">
      <c r="A4171" s="2459" t="s">
        <v>1669</v>
      </c>
      <c r="B4171" s="2459" t="s">
        <v>1663</v>
      </c>
      <c r="C4171" s="2459" t="s">
        <v>1670</v>
      </c>
      <c r="D4171" s="2460" t="s">
        <v>1671</v>
      </c>
      <c r="E4171" s="2461" t="s">
        <v>1407</v>
      </c>
      <c r="F4171" s="2461" t="s">
        <v>1414</v>
      </c>
      <c r="G4171" s="2461" t="s">
        <v>1412</v>
      </c>
      <c r="H4171" s="2461" t="s">
        <v>1410</v>
      </c>
      <c r="I4171" s="2462">
        <v>1.4246820301921023E-3</v>
      </c>
      <c r="J4171" s="2462">
        <v>0.26171966699189486</v>
      </c>
    </row>
    <row r="4172" spans="1:10" outlineLevel="2">
      <c r="A4172" s="2459" t="s">
        <v>1669</v>
      </c>
      <c r="B4172" s="2459" t="s">
        <v>1663</v>
      </c>
      <c r="C4172" s="2459" t="s">
        <v>1670</v>
      </c>
      <c r="D4172" s="2460" t="s">
        <v>1671</v>
      </c>
      <c r="E4172" s="2461" t="s">
        <v>1407</v>
      </c>
      <c r="F4172" s="2461" t="s">
        <v>1415</v>
      </c>
      <c r="G4172" s="2461" t="s">
        <v>1412</v>
      </c>
      <c r="H4172" s="2461" t="s">
        <v>1410</v>
      </c>
      <c r="I4172" s="2462">
        <v>5.7074715441604402E-3</v>
      </c>
      <c r="J4172" s="2462">
        <v>0.90914879039364827</v>
      </c>
    </row>
    <row r="4173" spans="1:10" outlineLevel="2">
      <c r="A4173" s="2459" t="s">
        <v>1669</v>
      </c>
      <c r="B4173" s="2459" t="s">
        <v>1663</v>
      </c>
      <c r="C4173" s="2459" t="s">
        <v>1670</v>
      </c>
      <c r="D4173" s="2460" t="s">
        <v>1671</v>
      </c>
      <c r="E4173" s="2461" t="s">
        <v>1407</v>
      </c>
      <c r="F4173" s="2461" t="s">
        <v>1416</v>
      </c>
      <c r="G4173" s="2461" t="s">
        <v>1412</v>
      </c>
      <c r="H4173" s="2461" t="s">
        <v>1410</v>
      </c>
      <c r="I4173" s="2462">
        <v>1.3040450294838331E-2</v>
      </c>
      <c r="J4173" s="2462">
        <v>3.2078410068981738</v>
      </c>
    </row>
    <row r="4174" spans="1:10" outlineLevel="2">
      <c r="A4174" s="2459" t="s">
        <v>1669</v>
      </c>
      <c r="B4174" s="2459" t="s">
        <v>1663</v>
      </c>
      <c r="C4174" s="2459" t="s">
        <v>1670</v>
      </c>
      <c r="D4174" s="2460" t="s">
        <v>1671</v>
      </c>
      <c r="E4174" s="2461" t="s">
        <v>1407</v>
      </c>
      <c r="F4174" s="2461" t="s">
        <v>1417</v>
      </c>
      <c r="G4174" s="2461" t="s">
        <v>1418</v>
      </c>
      <c r="H4174" s="2461" t="s">
        <v>1410</v>
      </c>
      <c r="I4174" s="2462">
        <v>6.9347952245177097E-3</v>
      </c>
      <c r="J4174" s="2462">
        <v>9.2114256176582629E-2</v>
      </c>
    </row>
    <row r="4175" spans="1:10" outlineLevel="2">
      <c r="A4175" s="2459" t="s">
        <v>1669</v>
      </c>
      <c r="B4175" s="2459" t="s">
        <v>1663</v>
      </c>
      <c r="C4175" s="2459" t="s">
        <v>1670</v>
      </c>
      <c r="D4175" s="2460" t="s">
        <v>1671</v>
      </c>
      <c r="E4175" s="2461" t="s">
        <v>1407</v>
      </c>
      <c r="F4175" s="2461" t="s">
        <v>1419</v>
      </c>
      <c r="G4175" s="2461" t="s">
        <v>1418</v>
      </c>
      <c r="H4175" s="2461" t="s">
        <v>1410</v>
      </c>
      <c r="I4175" s="2462">
        <v>5.1475869338141189E-2</v>
      </c>
      <c r="J4175" s="2462">
        <v>9.99711311162147</v>
      </c>
    </row>
    <row r="4176" spans="1:10" outlineLevel="2">
      <c r="A4176" s="2459" t="s">
        <v>1669</v>
      </c>
      <c r="B4176" s="2459" t="s">
        <v>1663</v>
      </c>
      <c r="C4176" s="2459" t="s">
        <v>1670</v>
      </c>
      <c r="D4176" s="2460" t="s">
        <v>1671</v>
      </c>
      <c r="E4176" s="2461" t="s">
        <v>1407</v>
      </c>
      <c r="F4176" s="2461" t="s">
        <v>1420</v>
      </c>
      <c r="G4176" s="2461" t="s">
        <v>1421</v>
      </c>
      <c r="H4176" s="2461" t="s">
        <v>1410</v>
      </c>
      <c r="I4176" s="2462">
        <v>1.5127990459017944</v>
      </c>
      <c r="J4176" s="2462">
        <v>39.261171475018038</v>
      </c>
    </row>
    <row r="4177" spans="1:10" outlineLevel="2">
      <c r="A4177" s="2459" t="s">
        <v>1669</v>
      </c>
      <c r="B4177" s="2459" t="s">
        <v>1663</v>
      </c>
      <c r="C4177" s="2459" t="s">
        <v>1670</v>
      </c>
      <c r="D4177" s="2460" t="s">
        <v>1671</v>
      </c>
      <c r="E4177" s="2461" t="s">
        <v>1407</v>
      </c>
      <c r="F4177" s="2461" t="s">
        <v>1422</v>
      </c>
      <c r="G4177" s="2461" t="s">
        <v>1421</v>
      </c>
      <c r="H4177" s="2461" t="s">
        <v>1410</v>
      </c>
      <c r="I4177" s="2462">
        <v>4.5746834472948354E-2</v>
      </c>
      <c r="J4177" s="2462">
        <v>1.8743953102243305</v>
      </c>
    </row>
    <row r="4178" spans="1:10" outlineLevel="2">
      <c r="A4178" s="2459" t="s">
        <v>1669</v>
      </c>
      <c r="B4178" s="2459" t="s">
        <v>1663</v>
      </c>
      <c r="C4178" s="2459" t="s">
        <v>1670</v>
      </c>
      <c r="D4178" s="2460" t="s">
        <v>1671</v>
      </c>
      <c r="E4178" s="2461" t="s">
        <v>1407</v>
      </c>
      <c r="F4178" s="2461" t="s">
        <v>1423</v>
      </c>
      <c r="G4178" s="2461" t="s">
        <v>1421</v>
      </c>
      <c r="H4178" s="2461" t="s">
        <v>1410</v>
      </c>
      <c r="I4178" s="2462">
        <v>2.3778091337157269E-2</v>
      </c>
      <c r="J4178" s="2462">
        <v>2.7401526918451795</v>
      </c>
    </row>
    <row r="4179" spans="1:10" outlineLevel="2">
      <c r="A4179" s="2459" t="s">
        <v>1669</v>
      </c>
      <c r="B4179" s="2459" t="s">
        <v>1663</v>
      </c>
      <c r="C4179" s="2459" t="s">
        <v>1670</v>
      </c>
      <c r="D4179" s="2460" t="s">
        <v>1671</v>
      </c>
      <c r="E4179" s="2461" t="s">
        <v>1407</v>
      </c>
      <c r="F4179" s="2461" t="s">
        <v>1424</v>
      </c>
      <c r="G4179" s="2461" t="s">
        <v>1421</v>
      </c>
      <c r="H4179" s="2461" t="s">
        <v>1410</v>
      </c>
      <c r="I4179" s="2462">
        <v>0.46499275970728038</v>
      </c>
      <c r="J4179" s="2462">
        <v>97.306947923104815</v>
      </c>
    </row>
    <row r="4180" spans="1:10" outlineLevel="2">
      <c r="A4180" s="2459" t="s">
        <v>1669</v>
      </c>
      <c r="B4180" s="2459" t="s">
        <v>1663</v>
      </c>
      <c r="C4180" s="2459" t="s">
        <v>1670</v>
      </c>
      <c r="D4180" s="2460" t="s">
        <v>1671</v>
      </c>
      <c r="E4180" s="2461" t="s">
        <v>1407</v>
      </c>
      <c r="F4180" s="2461" t="s">
        <v>1641</v>
      </c>
      <c r="G4180" s="2461" t="s">
        <v>1412</v>
      </c>
      <c r="H4180" s="2461" t="s">
        <v>1410</v>
      </c>
      <c r="I4180" s="2462">
        <v>1.1744744855408175E-2</v>
      </c>
      <c r="J4180" s="2462">
        <v>2.6689742937990042</v>
      </c>
    </row>
    <row r="4181" spans="1:10" outlineLevel="2">
      <c r="A4181" s="2459" t="s">
        <v>1669</v>
      </c>
      <c r="B4181" s="2459" t="s">
        <v>1663</v>
      </c>
      <c r="C4181" s="2459" t="s">
        <v>1670</v>
      </c>
      <c r="D4181" s="2460" t="s">
        <v>1671</v>
      </c>
      <c r="E4181" s="2461" t="s">
        <v>213</v>
      </c>
      <c r="F4181" s="2461" t="s">
        <v>1425</v>
      </c>
      <c r="G4181" s="2461" t="s">
        <v>1426</v>
      </c>
      <c r="H4181" s="2461" t="s">
        <v>1427</v>
      </c>
      <c r="I4181" s="2462">
        <v>0.62709222247279706</v>
      </c>
      <c r="J4181" s="2462">
        <v>180.18387379956297</v>
      </c>
    </row>
    <row r="4182" spans="1:10" outlineLevel="2">
      <c r="A4182" s="2459" t="s">
        <v>1669</v>
      </c>
      <c r="B4182" s="2459" t="s">
        <v>1663</v>
      </c>
      <c r="C4182" s="2459" t="s">
        <v>1670</v>
      </c>
      <c r="D4182" s="2460" t="s">
        <v>1671</v>
      </c>
      <c r="E4182" s="2461" t="s">
        <v>213</v>
      </c>
      <c r="F4182" s="2461" t="s">
        <v>1428</v>
      </c>
      <c r="G4182" s="2461" t="s">
        <v>1426</v>
      </c>
      <c r="H4182" s="2461" t="s">
        <v>1427</v>
      </c>
      <c r="I4182" s="2462">
        <v>0.19155200138827846</v>
      </c>
      <c r="J4182" s="2462">
        <v>77.381798849913579</v>
      </c>
    </row>
    <row r="4183" spans="1:10" outlineLevel="2">
      <c r="A4183" s="2459" t="s">
        <v>1669</v>
      </c>
      <c r="B4183" s="2459" t="s">
        <v>1663</v>
      </c>
      <c r="C4183" s="2459" t="s">
        <v>1670</v>
      </c>
      <c r="D4183" s="2460" t="s">
        <v>1671</v>
      </c>
      <c r="E4183" s="2461" t="s">
        <v>213</v>
      </c>
      <c r="F4183" s="2461" t="s">
        <v>1429</v>
      </c>
      <c r="G4183" s="2461" t="s">
        <v>1426</v>
      </c>
      <c r="H4183" s="2461" t="s">
        <v>1427</v>
      </c>
      <c r="I4183" s="2462">
        <v>8.7185679491838947E-2</v>
      </c>
      <c r="J4183" s="2462">
        <v>112.12724707176625</v>
      </c>
    </row>
    <row r="4184" spans="1:10" outlineLevel="2">
      <c r="A4184" s="2459" t="s">
        <v>1669</v>
      </c>
      <c r="B4184" s="2459" t="s">
        <v>1663</v>
      </c>
      <c r="C4184" s="2459" t="s">
        <v>1670</v>
      </c>
      <c r="D4184" s="2460" t="s">
        <v>1671</v>
      </c>
      <c r="E4184" s="2461" t="s">
        <v>213</v>
      </c>
      <c r="F4184" s="2461" t="s">
        <v>1430</v>
      </c>
      <c r="G4184" s="2461" t="s">
        <v>1409</v>
      </c>
      <c r="H4184" s="2461" t="s">
        <v>1070</v>
      </c>
      <c r="I4184" s="2462">
        <v>2.4232604836066828E-2</v>
      </c>
      <c r="J4184" s="2462">
        <v>15.035854633098282</v>
      </c>
    </row>
    <row r="4185" spans="1:10" outlineLevel="2">
      <c r="A4185" s="2459" t="s">
        <v>1669</v>
      </c>
      <c r="B4185" s="2459" t="s">
        <v>1663</v>
      </c>
      <c r="C4185" s="2459" t="s">
        <v>1670</v>
      </c>
      <c r="D4185" s="2460" t="s">
        <v>1671</v>
      </c>
      <c r="E4185" s="2461" t="s">
        <v>213</v>
      </c>
      <c r="F4185" s="2461" t="s">
        <v>1431</v>
      </c>
      <c r="G4185" s="2461" t="s">
        <v>1409</v>
      </c>
      <c r="H4185" s="2461" t="s">
        <v>1070</v>
      </c>
      <c r="I4185" s="2462">
        <v>2.0110503218092389E-3</v>
      </c>
      <c r="J4185" s="2462">
        <v>0.97396432396646571</v>
      </c>
    </row>
    <row r="4186" spans="1:10" outlineLevel="2">
      <c r="A4186" s="2459" t="s">
        <v>1669</v>
      </c>
      <c r="B4186" s="2459" t="s">
        <v>1663</v>
      </c>
      <c r="C4186" s="2459" t="s">
        <v>1670</v>
      </c>
      <c r="D4186" s="2460" t="s">
        <v>1671</v>
      </c>
      <c r="E4186" s="2461" t="s">
        <v>213</v>
      </c>
      <c r="F4186" s="2461" t="s">
        <v>1432</v>
      </c>
      <c r="G4186" s="2461" t="s">
        <v>1409</v>
      </c>
      <c r="H4186" s="2461" t="s">
        <v>1070</v>
      </c>
      <c r="I4186" s="2462">
        <v>2.4371290410606376E-3</v>
      </c>
      <c r="J4186" s="2462">
        <v>1.1641643885820754</v>
      </c>
    </row>
    <row r="4187" spans="1:10" outlineLevel="2">
      <c r="A4187" s="2459" t="s">
        <v>1669</v>
      </c>
      <c r="B4187" s="2459" t="s">
        <v>1663</v>
      </c>
      <c r="C4187" s="2459" t="s">
        <v>1670</v>
      </c>
      <c r="D4187" s="2460" t="s">
        <v>1671</v>
      </c>
      <c r="E4187" s="2461" t="s">
        <v>213</v>
      </c>
      <c r="F4187" s="2461" t="s">
        <v>1433</v>
      </c>
      <c r="G4187" s="2461" t="s">
        <v>1409</v>
      </c>
      <c r="H4187" s="2461" t="s">
        <v>1070</v>
      </c>
      <c r="I4187" s="2462">
        <v>1.8023611940505098E-5</v>
      </c>
      <c r="J4187" s="2462">
        <v>8.0664114278423179E-3</v>
      </c>
    </row>
    <row r="4188" spans="1:10" outlineLevel="2">
      <c r="A4188" s="2459" t="s">
        <v>1669</v>
      </c>
      <c r="B4188" s="2459" t="s">
        <v>1663</v>
      </c>
      <c r="C4188" s="2459" t="s">
        <v>1670</v>
      </c>
      <c r="D4188" s="2460" t="s">
        <v>1671</v>
      </c>
      <c r="E4188" s="2461" t="s">
        <v>213</v>
      </c>
      <c r="F4188" s="2461" t="s">
        <v>1434</v>
      </c>
      <c r="G4188" s="2461" t="s">
        <v>1409</v>
      </c>
      <c r="H4188" s="2461" t="s">
        <v>1070</v>
      </c>
      <c r="I4188" s="2462">
        <v>6.9472303342267533E-2</v>
      </c>
      <c r="J4188" s="2462">
        <v>38.792203355201131</v>
      </c>
    </row>
    <row r="4189" spans="1:10" outlineLevel="2">
      <c r="A4189" s="2459" t="s">
        <v>1669</v>
      </c>
      <c r="B4189" s="2459" t="s">
        <v>1663</v>
      </c>
      <c r="C4189" s="2459" t="s">
        <v>1670</v>
      </c>
      <c r="D4189" s="2460" t="s">
        <v>1671</v>
      </c>
      <c r="E4189" s="2461" t="s">
        <v>213</v>
      </c>
      <c r="F4189" s="2461" t="s">
        <v>1435</v>
      </c>
      <c r="G4189" s="2461" t="s">
        <v>1409</v>
      </c>
      <c r="H4189" s="2461" t="s">
        <v>1070</v>
      </c>
      <c r="I4189" s="2462">
        <v>5.0795892234428383E-4</v>
      </c>
      <c r="J4189" s="2462">
        <v>0.22733531196137929</v>
      </c>
    </row>
    <row r="4190" spans="1:10" outlineLevel="2">
      <c r="A4190" s="2459" t="s">
        <v>1669</v>
      </c>
      <c r="B4190" s="2459" t="s">
        <v>1663</v>
      </c>
      <c r="C4190" s="2459" t="s">
        <v>1670</v>
      </c>
      <c r="D4190" s="2460" t="s">
        <v>1671</v>
      </c>
      <c r="E4190" s="2461" t="s">
        <v>213</v>
      </c>
      <c r="F4190" s="2461" t="s">
        <v>1436</v>
      </c>
      <c r="G4190" s="2461" t="s">
        <v>1412</v>
      </c>
      <c r="H4190" s="2461" t="s">
        <v>1116</v>
      </c>
      <c r="I4190" s="2462">
        <v>3.4574854369837189E-3</v>
      </c>
      <c r="J4190" s="2462">
        <v>1.5473853957490906</v>
      </c>
    </row>
    <row r="4191" spans="1:10" outlineLevel="2">
      <c r="A4191" s="2459" t="s">
        <v>1669</v>
      </c>
      <c r="B4191" s="2459" t="s">
        <v>1663</v>
      </c>
      <c r="C4191" s="2459" t="s">
        <v>1670</v>
      </c>
      <c r="D4191" s="2460" t="s">
        <v>1671</v>
      </c>
      <c r="E4191" s="2461" t="s">
        <v>213</v>
      </c>
      <c r="F4191" s="2461" t="s">
        <v>1437</v>
      </c>
      <c r="G4191" s="2461" t="s">
        <v>1412</v>
      </c>
      <c r="H4191" s="2461" t="s">
        <v>1116</v>
      </c>
      <c r="I4191" s="2462">
        <v>2.6457149460321224E-4</v>
      </c>
      <c r="J4191" s="2462">
        <v>0.11840804044586381</v>
      </c>
    </row>
    <row r="4192" spans="1:10" outlineLevel="2">
      <c r="A4192" s="2459" t="s">
        <v>1669</v>
      </c>
      <c r="B4192" s="2459" t="s">
        <v>1663</v>
      </c>
      <c r="C4192" s="2459" t="s">
        <v>1670</v>
      </c>
      <c r="D4192" s="2460" t="s">
        <v>1671</v>
      </c>
      <c r="E4192" s="2461" t="s">
        <v>213</v>
      </c>
      <c r="F4192" s="2461" t="s">
        <v>1438</v>
      </c>
      <c r="G4192" s="2461" t="s">
        <v>1439</v>
      </c>
      <c r="H4192" s="2461" t="s">
        <v>1440</v>
      </c>
      <c r="I4192" s="2462">
        <v>8.6101464759062631E-3</v>
      </c>
      <c r="J4192" s="2462">
        <v>4.7154842395457219</v>
      </c>
    </row>
    <row r="4193" spans="1:10" outlineLevel="2">
      <c r="A4193" s="2459" t="s">
        <v>1669</v>
      </c>
      <c r="B4193" s="2459" t="s">
        <v>1663</v>
      </c>
      <c r="C4193" s="2459" t="s">
        <v>1670</v>
      </c>
      <c r="D4193" s="2460" t="s">
        <v>1671</v>
      </c>
      <c r="E4193" s="2461" t="s">
        <v>213</v>
      </c>
      <c r="F4193" s="2461" t="s">
        <v>1441</v>
      </c>
      <c r="G4193" s="2461" t="s">
        <v>1439</v>
      </c>
      <c r="H4193" s="2461" t="s">
        <v>1440</v>
      </c>
      <c r="I4193" s="2462">
        <v>5.772917746546645E-2</v>
      </c>
      <c r="J4193" s="2462">
        <v>31.026283849742541</v>
      </c>
    </row>
    <row r="4194" spans="1:10" outlineLevel="2">
      <c r="A4194" s="2459" t="s">
        <v>1669</v>
      </c>
      <c r="B4194" s="2459" t="s">
        <v>1663</v>
      </c>
      <c r="C4194" s="2459" t="s">
        <v>1670</v>
      </c>
      <c r="D4194" s="2460" t="s">
        <v>1671</v>
      </c>
      <c r="E4194" s="2461" t="s">
        <v>213</v>
      </c>
      <c r="F4194" s="2461" t="s">
        <v>1442</v>
      </c>
      <c r="G4194" s="2461" t="s">
        <v>1439</v>
      </c>
      <c r="H4194" s="2461" t="s">
        <v>1440</v>
      </c>
      <c r="I4194" s="2462">
        <v>0.12118370437574109</v>
      </c>
      <c r="J4194" s="2462">
        <v>62.960609682277394</v>
      </c>
    </row>
    <row r="4195" spans="1:10" outlineLevel="2">
      <c r="A4195" s="2459" t="s">
        <v>1669</v>
      </c>
      <c r="B4195" s="2459" t="s">
        <v>1663</v>
      </c>
      <c r="C4195" s="2459" t="s">
        <v>1670</v>
      </c>
      <c r="D4195" s="2460" t="s">
        <v>1671</v>
      </c>
      <c r="E4195" s="2461" t="s">
        <v>213</v>
      </c>
      <c r="F4195" s="2461" t="s">
        <v>1443</v>
      </c>
      <c r="G4195" s="2461" t="s">
        <v>1439</v>
      </c>
      <c r="H4195" s="2461" t="s">
        <v>1440</v>
      </c>
      <c r="I4195" s="2462">
        <v>0.54586301851313368</v>
      </c>
      <c r="J4195" s="2462">
        <v>298.80715610298296</v>
      </c>
    </row>
    <row r="4196" spans="1:10" outlineLevel="2">
      <c r="A4196" s="2459" t="s">
        <v>1669</v>
      </c>
      <c r="B4196" s="2459" t="s">
        <v>1663</v>
      </c>
      <c r="C4196" s="2459" t="s">
        <v>1670</v>
      </c>
      <c r="D4196" s="2460" t="s">
        <v>1671</v>
      </c>
      <c r="E4196" s="2461" t="s">
        <v>213</v>
      </c>
      <c r="F4196" s="2461" t="s">
        <v>1444</v>
      </c>
      <c r="G4196" s="2461" t="s">
        <v>1439</v>
      </c>
      <c r="H4196" s="2461" t="s">
        <v>1440</v>
      </c>
      <c r="I4196" s="2462">
        <v>0.14886729773582152</v>
      </c>
      <c r="J4196" s="2462">
        <v>87.43864252159301</v>
      </c>
    </row>
    <row r="4197" spans="1:10" outlineLevel="2">
      <c r="A4197" s="2459" t="s">
        <v>1669</v>
      </c>
      <c r="B4197" s="2459" t="s">
        <v>1663</v>
      </c>
      <c r="C4197" s="2459" t="s">
        <v>1670</v>
      </c>
      <c r="D4197" s="2460" t="s">
        <v>1671</v>
      </c>
      <c r="E4197" s="2461" t="s">
        <v>213</v>
      </c>
      <c r="F4197" s="2461" t="s">
        <v>1445</v>
      </c>
      <c r="G4197" s="2461" t="s">
        <v>1439</v>
      </c>
      <c r="H4197" s="2461" t="s">
        <v>1440</v>
      </c>
      <c r="I4197" s="2462">
        <v>0.51651481769626462</v>
      </c>
      <c r="J4197" s="2462">
        <v>261.1174839957996</v>
      </c>
    </row>
    <row r="4198" spans="1:10" outlineLevel="2">
      <c r="A4198" s="2459" t="s">
        <v>1669</v>
      </c>
      <c r="B4198" s="2459" t="s">
        <v>1663</v>
      </c>
      <c r="C4198" s="2459" t="s">
        <v>1670</v>
      </c>
      <c r="D4198" s="2460" t="s">
        <v>1671</v>
      </c>
      <c r="E4198" s="2461" t="s">
        <v>213</v>
      </c>
      <c r="F4198" s="2461" t="s">
        <v>1446</v>
      </c>
      <c r="G4198" s="2461" t="s">
        <v>1439</v>
      </c>
      <c r="H4198" s="2461" t="s">
        <v>1440</v>
      </c>
      <c r="I4198" s="2462">
        <v>0.10492846116753743</v>
      </c>
      <c r="J4198" s="2462">
        <v>56.275313406112573</v>
      </c>
    </row>
    <row r="4199" spans="1:10" outlineLevel="2">
      <c r="A4199" s="2459" t="s">
        <v>1669</v>
      </c>
      <c r="B4199" s="2459" t="s">
        <v>1663</v>
      </c>
      <c r="C4199" s="2459" t="s">
        <v>1670</v>
      </c>
      <c r="D4199" s="2460" t="s">
        <v>1671</v>
      </c>
      <c r="E4199" s="2461" t="s">
        <v>213</v>
      </c>
      <c r="F4199" s="2461" t="s">
        <v>1447</v>
      </c>
      <c r="G4199" s="2461" t="s">
        <v>1439</v>
      </c>
      <c r="H4199" s="2461" t="s">
        <v>1440</v>
      </c>
      <c r="I4199" s="2462">
        <v>0.45587197641278066</v>
      </c>
      <c r="J4199" s="2462">
        <v>243.82122330858923</v>
      </c>
    </row>
    <row r="4200" spans="1:10" outlineLevel="2">
      <c r="A4200" s="2459" t="s">
        <v>1669</v>
      </c>
      <c r="B4200" s="2459" t="s">
        <v>1663</v>
      </c>
      <c r="C4200" s="2459" t="s">
        <v>1670</v>
      </c>
      <c r="D4200" s="2460" t="s">
        <v>1671</v>
      </c>
      <c r="E4200" s="2461" t="s">
        <v>213</v>
      </c>
      <c r="F4200" s="2461" t="s">
        <v>1448</v>
      </c>
      <c r="G4200" s="2461" t="s">
        <v>1439</v>
      </c>
      <c r="H4200" s="2461" t="s">
        <v>1440</v>
      </c>
      <c r="I4200" s="2462">
        <v>0.19017190974216647</v>
      </c>
      <c r="J4200" s="2462">
        <v>27.843661958642997</v>
      </c>
    </row>
    <row r="4201" spans="1:10" outlineLevel="2">
      <c r="A4201" s="2459" t="s">
        <v>1669</v>
      </c>
      <c r="B4201" s="2459" t="s">
        <v>1663</v>
      </c>
      <c r="C4201" s="2459" t="s">
        <v>1670</v>
      </c>
      <c r="D4201" s="2460" t="s">
        <v>1671</v>
      </c>
      <c r="E4201" s="2461" t="s">
        <v>213</v>
      </c>
      <c r="F4201" s="2461" t="s">
        <v>1449</v>
      </c>
      <c r="G4201" s="2461" t="s">
        <v>1439</v>
      </c>
      <c r="H4201" s="2461" t="s">
        <v>1440</v>
      </c>
      <c r="I4201" s="2462">
        <v>0.60636751752383033</v>
      </c>
      <c r="J4201" s="2462">
        <v>88.777741192128587</v>
      </c>
    </row>
    <row r="4202" spans="1:10" outlineLevel="2">
      <c r="A4202" s="2459" t="s">
        <v>1669</v>
      </c>
      <c r="B4202" s="2459" t="s">
        <v>1663</v>
      </c>
      <c r="C4202" s="2459" t="s">
        <v>1670</v>
      </c>
      <c r="D4202" s="2460" t="s">
        <v>1671</v>
      </c>
      <c r="E4202" s="2461" t="s">
        <v>213</v>
      </c>
      <c r="F4202" s="2461" t="s">
        <v>1450</v>
      </c>
      <c r="G4202" s="2461" t="s">
        <v>1439</v>
      </c>
      <c r="H4202" s="2461" t="s">
        <v>1440</v>
      </c>
      <c r="I4202" s="2462">
        <v>2.6074130113447688E-4</v>
      </c>
      <c r="J4202" s="2462">
        <v>0.1301049427947179</v>
      </c>
    </row>
    <row r="4203" spans="1:10" outlineLevel="2">
      <c r="A4203" s="2459" t="s">
        <v>1669</v>
      </c>
      <c r="B4203" s="2459" t="s">
        <v>1663</v>
      </c>
      <c r="C4203" s="2459" t="s">
        <v>1670</v>
      </c>
      <c r="D4203" s="2460" t="s">
        <v>1671</v>
      </c>
      <c r="E4203" s="2461" t="s">
        <v>213</v>
      </c>
      <c r="F4203" s="2461" t="s">
        <v>1451</v>
      </c>
      <c r="G4203" s="2461" t="s">
        <v>1418</v>
      </c>
      <c r="H4203" s="2461" t="s">
        <v>1452</v>
      </c>
      <c r="I4203" s="2462">
        <v>8.6120857803912224E-4</v>
      </c>
      <c r="J4203" s="2462">
        <v>0.52372058806358246</v>
      </c>
    </row>
    <row r="4204" spans="1:10" outlineLevel="2">
      <c r="A4204" s="2459" t="s">
        <v>1669</v>
      </c>
      <c r="B4204" s="2459" t="s">
        <v>1663</v>
      </c>
      <c r="C4204" s="2459" t="s">
        <v>1670</v>
      </c>
      <c r="D4204" s="2460" t="s">
        <v>1671</v>
      </c>
      <c r="E4204" s="2461" t="s">
        <v>213</v>
      </c>
      <c r="F4204" s="2461" t="s">
        <v>1453</v>
      </c>
      <c r="G4204" s="2461" t="s">
        <v>1421</v>
      </c>
      <c r="H4204" s="2461" t="s">
        <v>1454</v>
      </c>
      <c r="I4204" s="2462">
        <v>1.3331908367310083E-2</v>
      </c>
      <c r="J4204" s="2462">
        <v>6.6007584344546544</v>
      </c>
    </row>
    <row r="4205" spans="1:10" outlineLevel="2">
      <c r="A4205" s="2459" t="s">
        <v>1669</v>
      </c>
      <c r="B4205" s="2459" t="s">
        <v>1663</v>
      </c>
      <c r="C4205" s="2459" t="s">
        <v>1670</v>
      </c>
      <c r="D4205" s="2460" t="s">
        <v>1671</v>
      </c>
      <c r="E4205" s="2461" t="s">
        <v>213</v>
      </c>
      <c r="F4205" s="2461" t="s">
        <v>1455</v>
      </c>
      <c r="G4205" s="2461" t="s">
        <v>1421</v>
      </c>
      <c r="H4205" s="2461" t="s">
        <v>1454</v>
      </c>
      <c r="I4205" s="2462">
        <v>8.5078817249659447E-2</v>
      </c>
      <c r="J4205" s="2462">
        <v>44.034448163842931</v>
      </c>
    </row>
    <row r="4206" spans="1:10" outlineLevel="2">
      <c r="A4206" s="2459" t="s">
        <v>1669</v>
      </c>
      <c r="B4206" s="2459" t="s">
        <v>1663</v>
      </c>
      <c r="C4206" s="2459" t="s">
        <v>1670</v>
      </c>
      <c r="D4206" s="2460" t="s">
        <v>1671</v>
      </c>
      <c r="E4206" s="2461" t="s">
        <v>213</v>
      </c>
      <c r="F4206" s="2461" t="s">
        <v>1456</v>
      </c>
      <c r="G4206" s="2461" t="s">
        <v>1421</v>
      </c>
      <c r="H4206" s="2461" t="s">
        <v>1454</v>
      </c>
      <c r="I4206" s="2462">
        <v>3.412501406848296E-5</v>
      </c>
      <c r="J4206" s="2462">
        <v>1.5272513917069847E-2</v>
      </c>
    </row>
    <row r="4207" spans="1:10" outlineLevel="2">
      <c r="A4207" s="2459" t="s">
        <v>1669</v>
      </c>
      <c r="B4207" s="2459" t="s">
        <v>1663</v>
      </c>
      <c r="C4207" s="2459" t="s">
        <v>1670</v>
      </c>
      <c r="D4207" s="2460" t="s">
        <v>1671</v>
      </c>
      <c r="E4207" s="2461" t="s">
        <v>213</v>
      </c>
      <c r="F4207" s="2461" t="s">
        <v>1457</v>
      </c>
      <c r="G4207" s="2461" t="s">
        <v>1421</v>
      </c>
      <c r="H4207" s="2461" t="s">
        <v>1454</v>
      </c>
      <c r="I4207" s="2462">
        <v>5.9524818669747979E-4</v>
      </c>
      <c r="J4207" s="2462">
        <v>0.26640099844275372</v>
      </c>
    </row>
    <row r="4208" spans="1:10" outlineLevel="2">
      <c r="A4208" s="2459" t="s">
        <v>1669</v>
      </c>
      <c r="B4208" s="2459" t="s">
        <v>1663</v>
      </c>
      <c r="C4208" s="2459" t="s">
        <v>1670</v>
      </c>
      <c r="D4208" s="2460" t="s">
        <v>1671</v>
      </c>
      <c r="E4208" s="2461" t="s">
        <v>213</v>
      </c>
      <c r="F4208" s="2461" t="s">
        <v>1458</v>
      </c>
      <c r="G4208" s="2461" t="s">
        <v>1459</v>
      </c>
      <c r="H4208" s="2461" t="s">
        <v>1460</v>
      </c>
      <c r="I4208" s="2462">
        <v>3.5370849348325649E-3</v>
      </c>
      <c r="J4208" s="2462">
        <v>2.0420609739918016</v>
      </c>
    </row>
    <row r="4209" spans="1:10" outlineLevel="2">
      <c r="A4209" s="2459" t="s">
        <v>1669</v>
      </c>
      <c r="B4209" s="2459" t="s">
        <v>1663</v>
      </c>
      <c r="C4209" s="2459" t="s">
        <v>1670</v>
      </c>
      <c r="D4209" s="2460" t="s">
        <v>1671</v>
      </c>
      <c r="E4209" s="2461" t="s">
        <v>213</v>
      </c>
      <c r="F4209" s="2461" t="s">
        <v>1461</v>
      </c>
      <c r="G4209" s="2461" t="s">
        <v>1426</v>
      </c>
      <c r="H4209" s="2461" t="s">
        <v>1427</v>
      </c>
      <c r="I4209" s="2462">
        <v>0.11914795803793782</v>
      </c>
      <c r="J4209" s="2462">
        <v>84.034096854422899</v>
      </c>
    </row>
    <row r="4210" spans="1:10" outlineLevel="2">
      <c r="A4210" s="2459" t="s">
        <v>1669</v>
      </c>
      <c r="B4210" s="2459" t="s">
        <v>1663</v>
      </c>
      <c r="C4210" s="2459" t="s">
        <v>1670</v>
      </c>
      <c r="D4210" s="2460" t="s">
        <v>1671</v>
      </c>
      <c r="E4210" s="2461" t="s">
        <v>213</v>
      </c>
      <c r="F4210" s="2461" t="s">
        <v>1462</v>
      </c>
      <c r="G4210" s="2461" t="s">
        <v>1426</v>
      </c>
      <c r="H4210" s="2461" t="s">
        <v>1427</v>
      </c>
      <c r="I4210" s="2462">
        <v>0.87798568008551003</v>
      </c>
      <c r="J4210" s="2462">
        <v>798.89408669602778</v>
      </c>
    </row>
    <row r="4211" spans="1:10" outlineLevel="2">
      <c r="A4211" s="2459" t="s">
        <v>1669</v>
      </c>
      <c r="B4211" s="2459" t="s">
        <v>1663</v>
      </c>
      <c r="C4211" s="2459" t="s">
        <v>1670</v>
      </c>
      <c r="D4211" s="2460" t="s">
        <v>1671</v>
      </c>
      <c r="E4211" s="2461" t="s">
        <v>213</v>
      </c>
      <c r="F4211" s="2461" t="s">
        <v>1463</v>
      </c>
      <c r="G4211" s="2461" t="s">
        <v>1426</v>
      </c>
      <c r="H4211" s="2461" t="s">
        <v>1427</v>
      </c>
      <c r="I4211" s="2462">
        <v>0.20618886160963085</v>
      </c>
      <c r="J4211" s="2462">
        <v>273.2780708892389</v>
      </c>
    </row>
    <row r="4212" spans="1:10" outlineLevel="2">
      <c r="A4212" s="2459" t="s">
        <v>1669</v>
      </c>
      <c r="B4212" s="2459" t="s">
        <v>1663</v>
      </c>
      <c r="C4212" s="2459" t="s">
        <v>1670</v>
      </c>
      <c r="D4212" s="2460" t="s">
        <v>1671</v>
      </c>
      <c r="E4212" s="2461" t="s">
        <v>213</v>
      </c>
      <c r="F4212" s="2461" t="s">
        <v>1464</v>
      </c>
      <c r="G4212" s="2461" t="s">
        <v>1426</v>
      </c>
      <c r="H4212" s="2461" t="s">
        <v>1427</v>
      </c>
      <c r="I4212" s="2462">
        <v>0.1179568860296281</v>
      </c>
      <c r="J4212" s="2462">
        <v>107.15204737313533</v>
      </c>
    </row>
    <row r="4213" spans="1:10" outlineLevel="2">
      <c r="A4213" s="2459" t="s">
        <v>1669</v>
      </c>
      <c r="B4213" s="2459" t="s">
        <v>1663</v>
      </c>
      <c r="C4213" s="2459" t="s">
        <v>1670</v>
      </c>
      <c r="D4213" s="2460" t="s">
        <v>1671</v>
      </c>
      <c r="E4213" s="2461" t="s">
        <v>213</v>
      </c>
      <c r="F4213" s="2461" t="s">
        <v>1465</v>
      </c>
      <c r="G4213" s="2461" t="s">
        <v>1409</v>
      </c>
      <c r="H4213" s="2461" t="s">
        <v>1070</v>
      </c>
      <c r="I4213" s="2462">
        <v>8.2104517913003036E-3</v>
      </c>
      <c r="J4213" s="2462">
        <v>13.328597564750032</v>
      </c>
    </row>
    <row r="4214" spans="1:10" outlineLevel="2">
      <c r="A4214" s="2459" t="s">
        <v>1669</v>
      </c>
      <c r="B4214" s="2459" t="s">
        <v>1663</v>
      </c>
      <c r="C4214" s="2459" t="s">
        <v>1670</v>
      </c>
      <c r="D4214" s="2460" t="s">
        <v>1671</v>
      </c>
      <c r="E4214" s="2461" t="s">
        <v>213</v>
      </c>
      <c r="F4214" s="2461" t="s">
        <v>1466</v>
      </c>
      <c r="G4214" s="2461" t="s">
        <v>1409</v>
      </c>
      <c r="H4214" s="2461" t="s">
        <v>1070</v>
      </c>
      <c r="I4214" s="2462">
        <v>6.5612168277159576E-5</v>
      </c>
      <c r="J4214" s="2462">
        <v>9.9486373189426533E-2</v>
      </c>
    </row>
    <row r="4215" spans="1:10" outlineLevel="2">
      <c r="A4215" s="2459" t="s">
        <v>1669</v>
      </c>
      <c r="B4215" s="2459" t="s">
        <v>1663</v>
      </c>
      <c r="C4215" s="2459" t="s">
        <v>1670</v>
      </c>
      <c r="D4215" s="2460" t="s">
        <v>1671</v>
      </c>
      <c r="E4215" s="2461" t="s">
        <v>213</v>
      </c>
      <c r="F4215" s="2461" t="s">
        <v>1467</v>
      </c>
      <c r="G4215" s="2461" t="s">
        <v>1409</v>
      </c>
      <c r="H4215" s="2461" t="s">
        <v>1070</v>
      </c>
      <c r="I4215" s="2462">
        <v>1.7740513106934502E-2</v>
      </c>
      <c r="J4215" s="2462">
        <v>25.039388306423486</v>
      </c>
    </row>
    <row r="4216" spans="1:10" outlineLevel="2">
      <c r="A4216" s="2459" t="s">
        <v>1669</v>
      </c>
      <c r="B4216" s="2459" t="s">
        <v>1663</v>
      </c>
      <c r="C4216" s="2459" t="s">
        <v>1670</v>
      </c>
      <c r="D4216" s="2460" t="s">
        <v>1671</v>
      </c>
      <c r="E4216" s="2461" t="s">
        <v>213</v>
      </c>
      <c r="F4216" s="2461" t="s">
        <v>1468</v>
      </c>
      <c r="G4216" s="2461" t="s">
        <v>1409</v>
      </c>
      <c r="H4216" s="2461" t="s">
        <v>1070</v>
      </c>
      <c r="I4216" s="2462">
        <v>1.4476816808388982E-2</v>
      </c>
      <c r="J4216" s="2462">
        <v>23.574152751770082</v>
      </c>
    </row>
    <row r="4217" spans="1:10" outlineLevel="2">
      <c r="A4217" s="2459" t="s">
        <v>1669</v>
      </c>
      <c r="B4217" s="2459" t="s">
        <v>1663</v>
      </c>
      <c r="C4217" s="2459" t="s">
        <v>1670</v>
      </c>
      <c r="D4217" s="2460" t="s">
        <v>1671</v>
      </c>
      <c r="E4217" s="2461" t="s">
        <v>213</v>
      </c>
      <c r="F4217" s="2461" t="s">
        <v>1469</v>
      </c>
      <c r="G4217" s="2461" t="s">
        <v>1409</v>
      </c>
      <c r="H4217" s="2461" t="s">
        <v>1070</v>
      </c>
      <c r="I4217" s="2462">
        <v>3.2374526522468895E-2</v>
      </c>
      <c r="J4217" s="2462">
        <v>47.046778037952784</v>
      </c>
    </row>
    <row r="4218" spans="1:10" outlineLevel="2">
      <c r="A4218" s="2459" t="s">
        <v>1669</v>
      </c>
      <c r="B4218" s="2459" t="s">
        <v>1663</v>
      </c>
      <c r="C4218" s="2459" t="s">
        <v>1670</v>
      </c>
      <c r="D4218" s="2460" t="s">
        <v>1671</v>
      </c>
      <c r="E4218" s="2461" t="s">
        <v>213</v>
      </c>
      <c r="F4218" s="2461" t="s">
        <v>1470</v>
      </c>
      <c r="G4218" s="2461" t="s">
        <v>1409</v>
      </c>
      <c r="H4218" s="2461" t="s">
        <v>1070</v>
      </c>
      <c r="I4218" s="2462">
        <v>1.4044969736439096E-2</v>
      </c>
      <c r="J4218" s="2462">
        <v>19.810172441147547</v>
      </c>
    </row>
    <row r="4219" spans="1:10" outlineLevel="2">
      <c r="A4219" s="2459" t="s">
        <v>1669</v>
      </c>
      <c r="B4219" s="2459" t="s">
        <v>1663</v>
      </c>
      <c r="C4219" s="2459" t="s">
        <v>1670</v>
      </c>
      <c r="D4219" s="2460" t="s">
        <v>1671</v>
      </c>
      <c r="E4219" s="2461" t="s">
        <v>213</v>
      </c>
      <c r="F4219" s="2461" t="s">
        <v>1471</v>
      </c>
      <c r="G4219" s="2461" t="s">
        <v>1409</v>
      </c>
      <c r="H4219" s="2461" t="s">
        <v>1070</v>
      </c>
      <c r="I4219" s="2462">
        <v>7.6491616130001819E-4</v>
      </c>
      <c r="J4219" s="2462">
        <v>1.0324698401277175</v>
      </c>
    </row>
    <row r="4220" spans="1:10" outlineLevel="2">
      <c r="A4220" s="2459" t="s">
        <v>1669</v>
      </c>
      <c r="B4220" s="2459" t="s">
        <v>1663</v>
      </c>
      <c r="C4220" s="2459" t="s">
        <v>1670</v>
      </c>
      <c r="D4220" s="2460" t="s">
        <v>1671</v>
      </c>
      <c r="E4220" s="2461" t="s">
        <v>213</v>
      </c>
      <c r="F4220" s="2461" t="s">
        <v>1472</v>
      </c>
      <c r="G4220" s="2461" t="s">
        <v>1409</v>
      </c>
      <c r="H4220" s="2461" t="s">
        <v>1070</v>
      </c>
      <c r="I4220" s="2462">
        <v>2.661735651361349E-2</v>
      </c>
      <c r="J4220" s="2462">
        <v>41.456610814526265</v>
      </c>
    </row>
    <row r="4221" spans="1:10" outlineLevel="2">
      <c r="A4221" s="2459" t="s">
        <v>1669</v>
      </c>
      <c r="B4221" s="2459" t="s">
        <v>1663</v>
      </c>
      <c r="C4221" s="2459" t="s">
        <v>1670</v>
      </c>
      <c r="D4221" s="2460" t="s">
        <v>1671</v>
      </c>
      <c r="E4221" s="2461" t="s">
        <v>213</v>
      </c>
      <c r="F4221" s="2461" t="s">
        <v>1473</v>
      </c>
      <c r="G4221" s="2461" t="s">
        <v>1409</v>
      </c>
      <c r="H4221" s="2461" t="s">
        <v>1070</v>
      </c>
      <c r="I4221" s="2462">
        <v>1.2683516433484213E-2</v>
      </c>
      <c r="J4221" s="2462">
        <v>15.37551406140272</v>
      </c>
    </row>
    <row r="4222" spans="1:10" outlineLevel="2">
      <c r="A4222" s="2459" t="s">
        <v>1669</v>
      </c>
      <c r="B4222" s="2459" t="s">
        <v>1663</v>
      </c>
      <c r="C4222" s="2459" t="s">
        <v>1670</v>
      </c>
      <c r="D4222" s="2460" t="s">
        <v>1671</v>
      </c>
      <c r="E4222" s="2461" t="s">
        <v>213</v>
      </c>
      <c r="F4222" s="2461" t="s">
        <v>1474</v>
      </c>
      <c r="G4222" s="2461" t="s">
        <v>1409</v>
      </c>
      <c r="H4222" s="2461" t="s">
        <v>1070</v>
      </c>
      <c r="I4222" s="2462">
        <v>5.9967437249847599E-2</v>
      </c>
      <c r="J4222" s="2462">
        <v>86.386554879359565</v>
      </c>
    </row>
    <row r="4223" spans="1:10" outlineLevel="2">
      <c r="A4223" s="2459" t="s">
        <v>1669</v>
      </c>
      <c r="B4223" s="2459" t="s">
        <v>1663</v>
      </c>
      <c r="C4223" s="2459" t="s">
        <v>1670</v>
      </c>
      <c r="D4223" s="2460" t="s">
        <v>1671</v>
      </c>
      <c r="E4223" s="2461" t="s">
        <v>213</v>
      </c>
      <c r="F4223" s="2461" t="s">
        <v>1475</v>
      </c>
      <c r="G4223" s="2461" t="s">
        <v>1409</v>
      </c>
      <c r="H4223" s="2461" t="s">
        <v>1070</v>
      </c>
      <c r="I4223" s="2462">
        <v>3.0398357588931529E-2</v>
      </c>
      <c r="J4223" s="2462">
        <v>41.485195464198924</v>
      </c>
    </row>
    <row r="4224" spans="1:10" outlineLevel="2">
      <c r="A4224" s="2459" t="s">
        <v>1669</v>
      </c>
      <c r="B4224" s="2459" t="s">
        <v>1663</v>
      </c>
      <c r="C4224" s="2459" t="s">
        <v>1670</v>
      </c>
      <c r="D4224" s="2460" t="s">
        <v>1671</v>
      </c>
      <c r="E4224" s="2461" t="s">
        <v>213</v>
      </c>
      <c r="F4224" s="2461" t="s">
        <v>1476</v>
      </c>
      <c r="G4224" s="2461" t="s">
        <v>1409</v>
      </c>
      <c r="H4224" s="2461" t="s">
        <v>1070</v>
      </c>
      <c r="I4224" s="2462">
        <v>2.4009518720109432E-3</v>
      </c>
      <c r="J4224" s="2462">
        <v>3.3415782337461968</v>
      </c>
    </row>
    <row r="4225" spans="1:10" outlineLevel="2">
      <c r="A4225" s="2459" t="s">
        <v>1669</v>
      </c>
      <c r="B4225" s="2459" t="s">
        <v>1663</v>
      </c>
      <c r="C4225" s="2459" t="s">
        <v>1670</v>
      </c>
      <c r="D4225" s="2460" t="s">
        <v>1671</v>
      </c>
      <c r="E4225" s="2461" t="s">
        <v>213</v>
      </c>
      <c r="F4225" s="2461" t="s">
        <v>1477</v>
      </c>
      <c r="G4225" s="2461" t="s">
        <v>1409</v>
      </c>
      <c r="H4225" s="2461" t="s">
        <v>1070</v>
      </c>
      <c r="I4225" s="2462">
        <v>3.9452938272861744E-3</v>
      </c>
      <c r="J4225" s="2462">
        <v>5.6113464964520681</v>
      </c>
    </row>
    <row r="4226" spans="1:10" outlineLevel="2">
      <c r="A4226" s="2459" t="s">
        <v>1669</v>
      </c>
      <c r="B4226" s="2459" t="s">
        <v>1663</v>
      </c>
      <c r="C4226" s="2459" t="s">
        <v>1670</v>
      </c>
      <c r="D4226" s="2460" t="s">
        <v>1671</v>
      </c>
      <c r="E4226" s="2461" t="s">
        <v>213</v>
      </c>
      <c r="F4226" s="2461" t="s">
        <v>1478</v>
      </c>
      <c r="G4226" s="2461" t="s">
        <v>1409</v>
      </c>
      <c r="H4226" s="2461" t="s">
        <v>1070</v>
      </c>
      <c r="I4226" s="2462">
        <v>1.7260930190837664E-3</v>
      </c>
      <c r="J4226" s="2462">
        <v>5.0141980952517251</v>
      </c>
    </row>
    <row r="4227" spans="1:10" outlineLevel="2">
      <c r="A4227" s="2459" t="s">
        <v>1669</v>
      </c>
      <c r="B4227" s="2459" t="s">
        <v>1663</v>
      </c>
      <c r="C4227" s="2459" t="s">
        <v>1670</v>
      </c>
      <c r="D4227" s="2460" t="s">
        <v>1671</v>
      </c>
      <c r="E4227" s="2461" t="s">
        <v>213</v>
      </c>
      <c r="F4227" s="2461" t="s">
        <v>1479</v>
      </c>
      <c r="G4227" s="2461" t="s">
        <v>1409</v>
      </c>
      <c r="H4227" s="2461" t="s">
        <v>1070</v>
      </c>
      <c r="I4227" s="2462">
        <v>1.3899278176616901E-3</v>
      </c>
      <c r="J4227" s="2462">
        <v>11.892811718630739</v>
      </c>
    </row>
    <row r="4228" spans="1:10" outlineLevel="2">
      <c r="A4228" s="2459" t="s">
        <v>1669</v>
      </c>
      <c r="B4228" s="2459" t="s">
        <v>1663</v>
      </c>
      <c r="C4228" s="2459" t="s">
        <v>1670</v>
      </c>
      <c r="D4228" s="2460" t="s">
        <v>1671</v>
      </c>
      <c r="E4228" s="2461" t="s">
        <v>213</v>
      </c>
      <c r="F4228" s="2461" t="s">
        <v>1480</v>
      </c>
      <c r="G4228" s="2461" t="s">
        <v>1409</v>
      </c>
      <c r="H4228" s="2461" t="s">
        <v>1070</v>
      </c>
      <c r="I4228" s="2462">
        <v>1.8919945593516042E-2</v>
      </c>
      <c r="J4228" s="2462">
        <v>28.35754899570129</v>
      </c>
    </row>
    <row r="4229" spans="1:10" outlineLevel="2">
      <c r="A4229" s="2459" t="s">
        <v>1669</v>
      </c>
      <c r="B4229" s="2459" t="s">
        <v>1663</v>
      </c>
      <c r="C4229" s="2459" t="s">
        <v>1670</v>
      </c>
      <c r="D4229" s="2460" t="s">
        <v>1671</v>
      </c>
      <c r="E4229" s="2461" t="s">
        <v>213</v>
      </c>
      <c r="F4229" s="2461" t="s">
        <v>1481</v>
      </c>
      <c r="G4229" s="2461" t="s">
        <v>1409</v>
      </c>
      <c r="H4229" s="2461" t="s">
        <v>1070</v>
      </c>
      <c r="I4229" s="2462">
        <v>1.3499079701226291E-2</v>
      </c>
      <c r="J4229" s="2462">
        <v>19.764084614919685</v>
      </c>
    </row>
    <row r="4230" spans="1:10" outlineLevel="2">
      <c r="A4230" s="2459" t="s">
        <v>1669</v>
      </c>
      <c r="B4230" s="2459" t="s">
        <v>1663</v>
      </c>
      <c r="C4230" s="2459" t="s">
        <v>1670</v>
      </c>
      <c r="D4230" s="2460" t="s">
        <v>1671</v>
      </c>
      <c r="E4230" s="2461" t="s">
        <v>213</v>
      </c>
      <c r="F4230" s="2461" t="s">
        <v>1482</v>
      </c>
      <c r="G4230" s="2461" t="s">
        <v>1409</v>
      </c>
      <c r="H4230" s="2461" t="s">
        <v>1070</v>
      </c>
      <c r="I4230" s="2462">
        <v>5.3048092817368723E-3</v>
      </c>
      <c r="J4230" s="2462">
        <v>6.4759871005985952</v>
      </c>
    </row>
    <row r="4231" spans="1:10" outlineLevel="2">
      <c r="A4231" s="2459" t="s">
        <v>1669</v>
      </c>
      <c r="B4231" s="2459" t="s">
        <v>1663</v>
      </c>
      <c r="C4231" s="2459" t="s">
        <v>1670</v>
      </c>
      <c r="D4231" s="2460" t="s">
        <v>1671</v>
      </c>
      <c r="E4231" s="2461" t="s">
        <v>213</v>
      </c>
      <c r="F4231" s="2461" t="s">
        <v>1483</v>
      </c>
      <c r="G4231" s="2461" t="s">
        <v>1409</v>
      </c>
      <c r="H4231" s="2461" t="s">
        <v>1070</v>
      </c>
      <c r="I4231" s="2462">
        <v>4.4105527178167087E-3</v>
      </c>
      <c r="J4231" s="2462">
        <v>4.7320181276922701</v>
      </c>
    </row>
    <row r="4232" spans="1:10" outlineLevel="2">
      <c r="A4232" s="2459" t="s">
        <v>1669</v>
      </c>
      <c r="B4232" s="2459" t="s">
        <v>1663</v>
      </c>
      <c r="C4232" s="2459" t="s">
        <v>1670</v>
      </c>
      <c r="D4232" s="2460" t="s">
        <v>1671</v>
      </c>
      <c r="E4232" s="2461" t="s">
        <v>213</v>
      </c>
      <c r="F4232" s="2461" t="s">
        <v>1484</v>
      </c>
      <c r="G4232" s="2461" t="s">
        <v>1412</v>
      </c>
      <c r="H4232" s="2461" t="s">
        <v>1116</v>
      </c>
      <c r="I4232" s="2462">
        <v>8.5957182124431902E-2</v>
      </c>
      <c r="J4232" s="2462">
        <v>171.51983274913167</v>
      </c>
    </row>
    <row r="4233" spans="1:10" outlineLevel="2">
      <c r="A4233" s="2459" t="s">
        <v>1669</v>
      </c>
      <c r="B4233" s="2459" t="s">
        <v>1663</v>
      </c>
      <c r="C4233" s="2459" t="s">
        <v>1670</v>
      </c>
      <c r="D4233" s="2460" t="s">
        <v>1671</v>
      </c>
      <c r="E4233" s="2461" t="s">
        <v>213</v>
      </c>
      <c r="F4233" s="2461" t="s">
        <v>1485</v>
      </c>
      <c r="G4233" s="2461" t="s">
        <v>1412</v>
      </c>
      <c r="H4233" s="2461" t="s">
        <v>1116</v>
      </c>
      <c r="I4233" s="2462">
        <v>6.1782066389555253E-2</v>
      </c>
      <c r="J4233" s="2462">
        <v>649.11702752102542</v>
      </c>
    </row>
    <row r="4234" spans="1:10" outlineLevel="2">
      <c r="A4234" s="2459" t="s">
        <v>1669</v>
      </c>
      <c r="B4234" s="2459" t="s">
        <v>1663</v>
      </c>
      <c r="C4234" s="2459" t="s">
        <v>1670</v>
      </c>
      <c r="D4234" s="2460" t="s">
        <v>1671</v>
      </c>
      <c r="E4234" s="2461" t="s">
        <v>213</v>
      </c>
      <c r="F4234" s="2461" t="s">
        <v>1486</v>
      </c>
      <c r="G4234" s="2461" t="s">
        <v>1412</v>
      </c>
      <c r="H4234" s="2461" t="s">
        <v>1116</v>
      </c>
      <c r="I4234" s="2462">
        <v>5.1278763782053399E-2</v>
      </c>
      <c r="J4234" s="2462">
        <v>139.48352049842615</v>
      </c>
    </row>
    <row r="4235" spans="1:10" outlineLevel="2">
      <c r="A4235" s="2459" t="s">
        <v>1669</v>
      </c>
      <c r="B4235" s="2459" t="s">
        <v>1663</v>
      </c>
      <c r="C4235" s="2459" t="s">
        <v>1670</v>
      </c>
      <c r="D4235" s="2460" t="s">
        <v>1671</v>
      </c>
      <c r="E4235" s="2461" t="s">
        <v>213</v>
      </c>
      <c r="F4235" s="2461" t="s">
        <v>1487</v>
      </c>
      <c r="G4235" s="2461" t="s">
        <v>1412</v>
      </c>
      <c r="H4235" s="2461" t="s">
        <v>1116</v>
      </c>
      <c r="I4235" s="2462">
        <v>0.19725021505572374</v>
      </c>
      <c r="J4235" s="2462">
        <v>261.98842747749001</v>
      </c>
    </row>
    <row r="4236" spans="1:10" outlineLevel="2">
      <c r="A4236" s="2459" t="s">
        <v>1669</v>
      </c>
      <c r="B4236" s="2459" t="s">
        <v>1663</v>
      </c>
      <c r="C4236" s="2459" t="s">
        <v>1670</v>
      </c>
      <c r="D4236" s="2460" t="s">
        <v>1671</v>
      </c>
      <c r="E4236" s="2461" t="s">
        <v>213</v>
      </c>
      <c r="F4236" s="2461" t="s">
        <v>1488</v>
      </c>
      <c r="G4236" s="2461" t="s">
        <v>1412</v>
      </c>
      <c r="H4236" s="2461" t="s">
        <v>1116</v>
      </c>
      <c r="I4236" s="2462">
        <v>5.5624396560769113E-3</v>
      </c>
      <c r="J4236" s="2462">
        <v>12.021146082562138</v>
      </c>
    </row>
    <row r="4237" spans="1:10" outlineLevel="2">
      <c r="A4237" s="2459" t="s">
        <v>1669</v>
      </c>
      <c r="B4237" s="2459" t="s">
        <v>1663</v>
      </c>
      <c r="C4237" s="2459" t="s">
        <v>1670</v>
      </c>
      <c r="D4237" s="2460" t="s">
        <v>1671</v>
      </c>
      <c r="E4237" s="2461" t="s">
        <v>213</v>
      </c>
      <c r="F4237" s="2461" t="s">
        <v>1489</v>
      </c>
      <c r="G4237" s="2461" t="s">
        <v>1412</v>
      </c>
      <c r="H4237" s="2461" t="s">
        <v>1116</v>
      </c>
      <c r="I4237" s="2462">
        <v>2.9906927118682715E-3</v>
      </c>
      <c r="J4237" s="2462">
        <v>4.4175599200509845</v>
      </c>
    </row>
    <row r="4238" spans="1:10" outlineLevel="2">
      <c r="A4238" s="2459" t="s">
        <v>1669</v>
      </c>
      <c r="B4238" s="2459" t="s">
        <v>1663</v>
      </c>
      <c r="C4238" s="2459" t="s">
        <v>1670</v>
      </c>
      <c r="D4238" s="2460" t="s">
        <v>1671</v>
      </c>
      <c r="E4238" s="2461" t="s">
        <v>213</v>
      </c>
      <c r="F4238" s="2461" t="s">
        <v>1490</v>
      </c>
      <c r="G4238" s="2461" t="s">
        <v>1412</v>
      </c>
      <c r="H4238" s="2461" t="s">
        <v>1116</v>
      </c>
      <c r="I4238" s="2462">
        <v>4.0515788142421886E-3</v>
      </c>
      <c r="J4238" s="2462">
        <v>57.327088551412679</v>
      </c>
    </row>
    <row r="4239" spans="1:10" outlineLevel="2">
      <c r="A4239" s="2459" t="s">
        <v>1669</v>
      </c>
      <c r="B4239" s="2459" t="s">
        <v>1663</v>
      </c>
      <c r="C4239" s="2459" t="s">
        <v>1670</v>
      </c>
      <c r="D4239" s="2460" t="s">
        <v>1671</v>
      </c>
      <c r="E4239" s="2461" t="s">
        <v>213</v>
      </c>
      <c r="F4239" s="2461" t="s">
        <v>1491</v>
      </c>
      <c r="G4239" s="2461" t="s">
        <v>1439</v>
      </c>
      <c r="H4239" s="2461" t="s">
        <v>1440</v>
      </c>
      <c r="I4239" s="2462">
        <v>0.74648543181623017</v>
      </c>
      <c r="J4239" s="2462">
        <v>795.37817633103373</v>
      </c>
    </row>
    <row r="4240" spans="1:10" outlineLevel="2">
      <c r="A4240" s="2459" t="s">
        <v>1669</v>
      </c>
      <c r="B4240" s="2459" t="s">
        <v>1663</v>
      </c>
      <c r="C4240" s="2459" t="s">
        <v>1670</v>
      </c>
      <c r="D4240" s="2460" t="s">
        <v>1671</v>
      </c>
      <c r="E4240" s="2461" t="s">
        <v>213</v>
      </c>
      <c r="F4240" s="2461" t="s">
        <v>1492</v>
      </c>
      <c r="G4240" s="2461" t="s">
        <v>1439</v>
      </c>
      <c r="H4240" s="2461" t="s">
        <v>1440</v>
      </c>
      <c r="I4240" s="2462">
        <v>0.56466005943548891</v>
      </c>
      <c r="J4240" s="2462">
        <v>763.27424625156652</v>
      </c>
    </row>
    <row r="4241" spans="1:10" outlineLevel="2">
      <c r="A4241" s="2459" t="s">
        <v>1669</v>
      </c>
      <c r="B4241" s="2459" t="s">
        <v>1663</v>
      </c>
      <c r="C4241" s="2459" t="s">
        <v>1670</v>
      </c>
      <c r="D4241" s="2460" t="s">
        <v>1671</v>
      </c>
      <c r="E4241" s="2461" t="s">
        <v>213</v>
      </c>
      <c r="F4241" s="2461" t="s">
        <v>1493</v>
      </c>
      <c r="G4241" s="2461" t="s">
        <v>1439</v>
      </c>
      <c r="H4241" s="2461" t="s">
        <v>1440</v>
      </c>
      <c r="I4241" s="2462">
        <v>6.4260942074644611E-2</v>
      </c>
      <c r="J4241" s="2462">
        <v>68.443678735616302</v>
      </c>
    </row>
    <row r="4242" spans="1:10" outlineLevel="2">
      <c r="A4242" s="2459" t="s">
        <v>1669</v>
      </c>
      <c r="B4242" s="2459" t="s">
        <v>1663</v>
      </c>
      <c r="C4242" s="2459" t="s">
        <v>1670</v>
      </c>
      <c r="D4242" s="2460" t="s">
        <v>1671</v>
      </c>
      <c r="E4242" s="2461" t="s">
        <v>213</v>
      </c>
      <c r="F4242" s="2461" t="s">
        <v>1494</v>
      </c>
      <c r="G4242" s="2461" t="s">
        <v>1439</v>
      </c>
      <c r="H4242" s="2461" t="s">
        <v>1440</v>
      </c>
      <c r="I4242" s="2462">
        <v>0.35984186834119525</v>
      </c>
      <c r="J4242" s="2462">
        <v>452.74632958096504</v>
      </c>
    </row>
    <row r="4243" spans="1:10" outlineLevel="2">
      <c r="A4243" s="2459" t="s">
        <v>1669</v>
      </c>
      <c r="B4243" s="2459" t="s">
        <v>1663</v>
      </c>
      <c r="C4243" s="2459" t="s">
        <v>1670</v>
      </c>
      <c r="D4243" s="2460" t="s">
        <v>1671</v>
      </c>
      <c r="E4243" s="2461" t="s">
        <v>213</v>
      </c>
      <c r="F4243" s="2461" t="s">
        <v>1495</v>
      </c>
      <c r="G4243" s="2461" t="s">
        <v>1439</v>
      </c>
      <c r="H4243" s="2461" t="s">
        <v>1440</v>
      </c>
      <c r="I4243" s="2462">
        <v>3.5006545834396648E-3</v>
      </c>
      <c r="J4243" s="2462">
        <v>4.4212847991930477</v>
      </c>
    </row>
    <row r="4244" spans="1:10" outlineLevel="2">
      <c r="A4244" s="2459" t="s">
        <v>1669</v>
      </c>
      <c r="B4244" s="2459" t="s">
        <v>1663</v>
      </c>
      <c r="C4244" s="2459" t="s">
        <v>1670</v>
      </c>
      <c r="D4244" s="2460" t="s">
        <v>1671</v>
      </c>
      <c r="E4244" s="2461" t="s">
        <v>213</v>
      </c>
      <c r="F4244" s="2461" t="s">
        <v>1496</v>
      </c>
      <c r="G4244" s="2461" t="s">
        <v>1439</v>
      </c>
      <c r="H4244" s="2461" t="s">
        <v>1440</v>
      </c>
      <c r="I4244" s="2462">
        <v>1.2536182214972682E-2</v>
      </c>
      <c r="J4244" s="2462">
        <v>17.679342224583294</v>
      </c>
    </row>
    <row r="4245" spans="1:10" outlineLevel="2">
      <c r="A4245" s="2459" t="s">
        <v>1669</v>
      </c>
      <c r="B4245" s="2459" t="s">
        <v>1663</v>
      </c>
      <c r="C4245" s="2459" t="s">
        <v>1670</v>
      </c>
      <c r="D4245" s="2460" t="s">
        <v>1671</v>
      </c>
      <c r="E4245" s="2461" t="s">
        <v>213</v>
      </c>
      <c r="F4245" s="2461" t="s">
        <v>1497</v>
      </c>
      <c r="G4245" s="2461" t="s">
        <v>1439</v>
      </c>
      <c r="H4245" s="2461" t="s">
        <v>1440</v>
      </c>
      <c r="I4245" s="2462">
        <v>6.6670968006882231E-3</v>
      </c>
      <c r="J4245" s="2462">
        <v>8.4348119357059694</v>
      </c>
    </row>
    <row r="4246" spans="1:10" outlineLevel="2">
      <c r="A4246" s="2459" t="s">
        <v>1669</v>
      </c>
      <c r="B4246" s="2459" t="s">
        <v>1663</v>
      </c>
      <c r="C4246" s="2459" t="s">
        <v>1670</v>
      </c>
      <c r="D4246" s="2460" t="s">
        <v>1671</v>
      </c>
      <c r="E4246" s="2461" t="s">
        <v>213</v>
      </c>
      <c r="F4246" s="2461" t="s">
        <v>1498</v>
      </c>
      <c r="G4246" s="2461" t="s">
        <v>1439</v>
      </c>
      <c r="H4246" s="2461" t="s">
        <v>1440</v>
      </c>
      <c r="I4246" s="2462">
        <v>0.42842091299869317</v>
      </c>
      <c r="J4246" s="2462">
        <v>725.46516413287827</v>
      </c>
    </row>
    <row r="4247" spans="1:10" outlineLevel="2">
      <c r="A4247" s="2459" t="s">
        <v>1669</v>
      </c>
      <c r="B4247" s="2459" t="s">
        <v>1663</v>
      </c>
      <c r="C4247" s="2459" t="s">
        <v>1670</v>
      </c>
      <c r="D4247" s="2460" t="s">
        <v>1671</v>
      </c>
      <c r="E4247" s="2461" t="s">
        <v>213</v>
      </c>
      <c r="F4247" s="2461" t="s">
        <v>1499</v>
      </c>
      <c r="G4247" s="2461" t="s">
        <v>1439</v>
      </c>
      <c r="H4247" s="2461" t="s">
        <v>1440</v>
      </c>
      <c r="I4247" s="2462">
        <v>0.17036170429653924</v>
      </c>
      <c r="J4247" s="2462">
        <v>90.01683506307802</v>
      </c>
    </row>
    <row r="4248" spans="1:10" outlineLevel="2">
      <c r="A4248" s="2459" t="s">
        <v>1669</v>
      </c>
      <c r="B4248" s="2459" t="s">
        <v>1663</v>
      </c>
      <c r="C4248" s="2459" t="s">
        <v>1670</v>
      </c>
      <c r="D4248" s="2460" t="s">
        <v>1671</v>
      </c>
      <c r="E4248" s="2461" t="s">
        <v>213</v>
      </c>
      <c r="F4248" s="2461" t="s">
        <v>1500</v>
      </c>
      <c r="G4248" s="2461" t="s">
        <v>1439</v>
      </c>
      <c r="H4248" s="2461" t="s">
        <v>1440</v>
      </c>
      <c r="I4248" s="2462">
        <v>0.54324464959649121</v>
      </c>
      <c r="J4248" s="2462">
        <v>287.00963247725008</v>
      </c>
    </row>
    <row r="4249" spans="1:10" outlineLevel="2">
      <c r="A4249" s="2459" t="s">
        <v>1669</v>
      </c>
      <c r="B4249" s="2459" t="s">
        <v>1663</v>
      </c>
      <c r="C4249" s="2459" t="s">
        <v>1670</v>
      </c>
      <c r="D4249" s="2460" t="s">
        <v>1671</v>
      </c>
      <c r="E4249" s="2461" t="s">
        <v>213</v>
      </c>
      <c r="F4249" s="2461" t="s">
        <v>1501</v>
      </c>
      <c r="G4249" s="2461" t="s">
        <v>1439</v>
      </c>
      <c r="H4249" s="2461" t="s">
        <v>1440</v>
      </c>
      <c r="I4249" s="2462">
        <v>0.11122715178616709</v>
      </c>
      <c r="J4249" s="2462">
        <v>161.54379577828848</v>
      </c>
    </row>
    <row r="4250" spans="1:10" outlineLevel="2">
      <c r="A4250" s="2459" t="s">
        <v>1669</v>
      </c>
      <c r="B4250" s="2459" t="s">
        <v>1663</v>
      </c>
      <c r="C4250" s="2459" t="s">
        <v>1670</v>
      </c>
      <c r="D4250" s="2460" t="s">
        <v>1671</v>
      </c>
      <c r="E4250" s="2461" t="s">
        <v>213</v>
      </c>
      <c r="F4250" s="2461" t="s">
        <v>1502</v>
      </c>
      <c r="G4250" s="2461" t="s">
        <v>1439</v>
      </c>
      <c r="H4250" s="2461" t="s">
        <v>1440</v>
      </c>
      <c r="I4250" s="2462">
        <v>6.4484335657692765E-2</v>
      </c>
      <c r="J4250" s="2462">
        <v>96.973662794547622</v>
      </c>
    </row>
    <row r="4251" spans="1:10" outlineLevel="2">
      <c r="A4251" s="2459" t="s">
        <v>1669</v>
      </c>
      <c r="B4251" s="2459" t="s">
        <v>1663</v>
      </c>
      <c r="C4251" s="2459" t="s">
        <v>1670</v>
      </c>
      <c r="D4251" s="2460" t="s">
        <v>1671</v>
      </c>
      <c r="E4251" s="2461" t="s">
        <v>213</v>
      </c>
      <c r="F4251" s="2461" t="s">
        <v>1503</v>
      </c>
      <c r="G4251" s="2461" t="s">
        <v>1439</v>
      </c>
      <c r="H4251" s="2461" t="s">
        <v>1440</v>
      </c>
      <c r="I4251" s="2462">
        <v>8.507621326225176E-2</v>
      </c>
      <c r="J4251" s="2462">
        <v>109.76462710285033</v>
      </c>
    </row>
    <row r="4252" spans="1:10" outlineLevel="2">
      <c r="A4252" s="2459" t="s">
        <v>1669</v>
      </c>
      <c r="B4252" s="2459" t="s">
        <v>1663</v>
      </c>
      <c r="C4252" s="2459" t="s">
        <v>1670</v>
      </c>
      <c r="D4252" s="2460" t="s">
        <v>1671</v>
      </c>
      <c r="E4252" s="2461" t="s">
        <v>213</v>
      </c>
      <c r="F4252" s="2461" t="s">
        <v>1504</v>
      </c>
      <c r="G4252" s="2461" t="s">
        <v>1439</v>
      </c>
      <c r="H4252" s="2461" t="s">
        <v>1440</v>
      </c>
      <c r="I4252" s="2462">
        <v>4.3411768742908551E-2</v>
      </c>
      <c r="J4252" s="2462">
        <v>52.115587409188578</v>
      </c>
    </row>
    <row r="4253" spans="1:10" outlineLevel="2">
      <c r="A4253" s="2459" t="s">
        <v>1669</v>
      </c>
      <c r="B4253" s="2459" t="s">
        <v>1663</v>
      </c>
      <c r="C4253" s="2459" t="s">
        <v>1670</v>
      </c>
      <c r="D4253" s="2460" t="s">
        <v>1671</v>
      </c>
      <c r="E4253" s="2461" t="s">
        <v>213</v>
      </c>
      <c r="F4253" s="2461" t="s">
        <v>1505</v>
      </c>
      <c r="G4253" s="2461" t="s">
        <v>1439</v>
      </c>
      <c r="H4253" s="2461" t="s">
        <v>1440</v>
      </c>
      <c r="I4253" s="2462">
        <v>1.4875231445371961</v>
      </c>
      <c r="J4253" s="2462">
        <v>2165.3636056154187</v>
      </c>
    </row>
    <row r="4254" spans="1:10" outlineLevel="2">
      <c r="A4254" s="2459" t="s">
        <v>1669</v>
      </c>
      <c r="B4254" s="2459" t="s">
        <v>1663</v>
      </c>
      <c r="C4254" s="2459" t="s">
        <v>1670</v>
      </c>
      <c r="D4254" s="2460" t="s">
        <v>1671</v>
      </c>
      <c r="E4254" s="2461" t="s">
        <v>213</v>
      </c>
      <c r="F4254" s="2461" t="s">
        <v>1506</v>
      </c>
      <c r="G4254" s="2461" t="s">
        <v>1439</v>
      </c>
      <c r="H4254" s="2461" t="s">
        <v>1440</v>
      </c>
      <c r="I4254" s="2462">
        <v>0.87614724367225927</v>
      </c>
      <c r="J4254" s="2462">
        <v>1317.8758134203019</v>
      </c>
    </row>
    <row r="4255" spans="1:10" outlineLevel="2">
      <c r="A4255" s="2459" t="s">
        <v>1669</v>
      </c>
      <c r="B4255" s="2459" t="s">
        <v>1663</v>
      </c>
      <c r="C4255" s="2459" t="s">
        <v>1670</v>
      </c>
      <c r="D4255" s="2460" t="s">
        <v>1671</v>
      </c>
      <c r="E4255" s="2461" t="s">
        <v>213</v>
      </c>
      <c r="F4255" s="2461" t="s">
        <v>1507</v>
      </c>
      <c r="G4255" s="2461" t="s">
        <v>1439</v>
      </c>
      <c r="H4255" s="2461" t="s">
        <v>1440</v>
      </c>
      <c r="I4255" s="2462">
        <v>9.803833765645889E-2</v>
      </c>
      <c r="J4255" s="2462">
        <v>220.05085131359192</v>
      </c>
    </row>
    <row r="4256" spans="1:10" outlineLevel="2">
      <c r="A4256" s="2459" t="s">
        <v>1669</v>
      </c>
      <c r="B4256" s="2459" t="s">
        <v>1663</v>
      </c>
      <c r="C4256" s="2459" t="s">
        <v>1670</v>
      </c>
      <c r="D4256" s="2460" t="s">
        <v>1671</v>
      </c>
      <c r="E4256" s="2461" t="s">
        <v>213</v>
      </c>
      <c r="F4256" s="2461" t="s">
        <v>1508</v>
      </c>
      <c r="G4256" s="2461" t="s">
        <v>1439</v>
      </c>
      <c r="H4256" s="2461" t="s">
        <v>1440</v>
      </c>
      <c r="I4256" s="2462">
        <v>2.6985765852004278</v>
      </c>
      <c r="J4256" s="2462">
        <v>4254.1888292697404</v>
      </c>
    </row>
    <row r="4257" spans="1:10" outlineLevel="2">
      <c r="A4257" s="2459" t="s">
        <v>1669</v>
      </c>
      <c r="B4257" s="2459" t="s">
        <v>1663</v>
      </c>
      <c r="C4257" s="2459" t="s">
        <v>1670</v>
      </c>
      <c r="D4257" s="2460" t="s">
        <v>1671</v>
      </c>
      <c r="E4257" s="2461" t="s">
        <v>213</v>
      </c>
      <c r="F4257" s="2461" t="s">
        <v>1509</v>
      </c>
      <c r="G4257" s="2461" t="s">
        <v>1439</v>
      </c>
      <c r="H4257" s="2461" t="s">
        <v>1440</v>
      </c>
      <c r="I4257" s="2462">
        <v>6.7720480013637507E-2</v>
      </c>
      <c r="J4257" s="2462">
        <v>76.970934961964716</v>
      </c>
    </row>
    <row r="4258" spans="1:10" outlineLevel="2">
      <c r="A4258" s="2459" t="s">
        <v>1669</v>
      </c>
      <c r="B4258" s="2459" t="s">
        <v>1663</v>
      </c>
      <c r="C4258" s="2459" t="s">
        <v>1670</v>
      </c>
      <c r="D4258" s="2460" t="s">
        <v>1671</v>
      </c>
      <c r="E4258" s="2461" t="s">
        <v>213</v>
      </c>
      <c r="F4258" s="2461" t="s">
        <v>1510</v>
      </c>
      <c r="G4258" s="2461" t="s">
        <v>1439</v>
      </c>
      <c r="H4258" s="2461" t="s">
        <v>1440</v>
      </c>
      <c r="I4258" s="2462">
        <v>0.11324313283016768</v>
      </c>
      <c r="J4258" s="2462">
        <v>130.72410551593737</v>
      </c>
    </row>
    <row r="4259" spans="1:10" outlineLevel="2">
      <c r="A4259" s="2459" t="s">
        <v>1669</v>
      </c>
      <c r="B4259" s="2459" t="s">
        <v>1663</v>
      </c>
      <c r="C4259" s="2459" t="s">
        <v>1670</v>
      </c>
      <c r="D4259" s="2460" t="s">
        <v>1671</v>
      </c>
      <c r="E4259" s="2461" t="s">
        <v>213</v>
      </c>
      <c r="F4259" s="2461" t="s">
        <v>1511</v>
      </c>
      <c r="G4259" s="2461" t="s">
        <v>1418</v>
      </c>
      <c r="H4259" s="2461" t="s">
        <v>1452</v>
      </c>
      <c r="I4259" s="2462">
        <v>8.6719741931603816E-4</v>
      </c>
      <c r="J4259" s="2462">
        <v>1.2739921720519969</v>
      </c>
    </row>
    <row r="4260" spans="1:10" outlineLevel="2">
      <c r="A4260" s="2459" t="s">
        <v>1669</v>
      </c>
      <c r="B4260" s="2459" t="s">
        <v>1663</v>
      </c>
      <c r="C4260" s="2459" t="s">
        <v>1670</v>
      </c>
      <c r="D4260" s="2460" t="s">
        <v>1671</v>
      </c>
      <c r="E4260" s="2461" t="s">
        <v>213</v>
      </c>
      <c r="F4260" s="2461" t="s">
        <v>1512</v>
      </c>
      <c r="G4260" s="2461" t="s">
        <v>1418</v>
      </c>
      <c r="H4260" s="2461" t="s">
        <v>1452</v>
      </c>
      <c r="I4260" s="2462">
        <v>1.1347165479399983E-3</v>
      </c>
      <c r="J4260" s="2462">
        <v>4.9298941411203172</v>
      </c>
    </row>
    <row r="4261" spans="1:10" outlineLevel="2">
      <c r="A4261" s="2459" t="s">
        <v>1669</v>
      </c>
      <c r="B4261" s="2459" t="s">
        <v>1663</v>
      </c>
      <c r="C4261" s="2459" t="s">
        <v>1670</v>
      </c>
      <c r="D4261" s="2460" t="s">
        <v>1671</v>
      </c>
      <c r="E4261" s="2461" t="s">
        <v>213</v>
      </c>
      <c r="F4261" s="2461" t="s">
        <v>1513</v>
      </c>
      <c r="G4261" s="2461" t="s">
        <v>1418</v>
      </c>
      <c r="H4261" s="2461" t="s">
        <v>1452</v>
      </c>
      <c r="I4261" s="2462">
        <v>4.2278967217979486E-5</v>
      </c>
      <c r="J4261" s="2462">
        <v>3.9546296488191822E-2</v>
      </c>
    </row>
    <row r="4262" spans="1:10" outlineLevel="2">
      <c r="A4262" s="2459" t="s">
        <v>1669</v>
      </c>
      <c r="B4262" s="2459" t="s">
        <v>1663</v>
      </c>
      <c r="C4262" s="2459" t="s">
        <v>1670</v>
      </c>
      <c r="D4262" s="2460" t="s">
        <v>1671</v>
      </c>
      <c r="E4262" s="2461" t="s">
        <v>213</v>
      </c>
      <c r="F4262" s="2461" t="s">
        <v>1514</v>
      </c>
      <c r="G4262" s="2461" t="s">
        <v>1418</v>
      </c>
      <c r="H4262" s="2461" t="s">
        <v>1452</v>
      </c>
      <c r="I4262" s="2462">
        <v>3.7923548005439041E-3</v>
      </c>
      <c r="J4262" s="2462">
        <v>3.5401732669334471</v>
      </c>
    </row>
    <row r="4263" spans="1:10" outlineLevel="2">
      <c r="A4263" s="2459" t="s">
        <v>1669</v>
      </c>
      <c r="B4263" s="2459" t="s">
        <v>1663</v>
      </c>
      <c r="C4263" s="2459" t="s">
        <v>1670</v>
      </c>
      <c r="D4263" s="2460" t="s">
        <v>1671</v>
      </c>
      <c r="E4263" s="2461" t="s">
        <v>213</v>
      </c>
      <c r="F4263" s="2461" t="s">
        <v>1515</v>
      </c>
      <c r="G4263" s="2461" t="s">
        <v>1418</v>
      </c>
      <c r="H4263" s="2461" t="s">
        <v>1452</v>
      </c>
      <c r="I4263" s="2462">
        <v>7.2960678889291252E-4</v>
      </c>
      <c r="J4263" s="2462">
        <v>1.0474153558739796</v>
      </c>
    </row>
    <row r="4264" spans="1:10" outlineLevel="2">
      <c r="A4264" s="2459" t="s">
        <v>1669</v>
      </c>
      <c r="B4264" s="2459" t="s">
        <v>1663</v>
      </c>
      <c r="C4264" s="2459" t="s">
        <v>1670</v>
      </c>
      <c r="D4264" s="2460" t="s">
        <v>1671</v>
      </c>
      <c r="E4264" s="2461" t="s">
        <v>213</v>
      </c>
      <c r="F4264" s="2461" t="s">
        <v>1516</v>
      </c>
      <c r="G4264" s="2461" t="s">
        <v>1418</v>
      </c>
      <c r="H4264" s="2461" t="s">
        <v>1452</v>
      </c>
      <c r="I4264" s="2462">
        <v>1.0422181914009563E-2</v>
      </c>
      <c r="J4264" s="2462">
        <v>11.605305628528738</v>
      </c>
    </row>
    <row r="4265" spans="1:10" outlineLevel="2">
      <c r="A4265" s="2459" t="s">
        <v>1669</v>
      </c>
      <c r="B4265" s="2459" t="s">
        <v>1663</v>
      </c>
      <c r="C4265" s="2459" t="s">
        <v>1670</v>
      </c>
      <c r="D4265" s="2460" t="s">
        <v>1671</v>
      </c>
      <c r="E4265" s="2461" t="s">
        <v>213</v>
      </c>
      <c r="F4265" s="2461" t="s">
        <v>1517</v>
      </c>
      <c r="G4265" s="2461" t="s">
        <v>1418</v>
      </c>
      <c r="H4265" s="2461" t="s">
        <v>1452</v>
      </c>
      <c r="I4265" s="2462">
        <v>5.3337460241168581E-2</v>
      </c>
      <c r="J4265" s="2462">
        <v>26.017904194284679</v>
      </c>
    </row>
    <row r="4266" spans="1:10" outlineLevel="2">
      <c r="A4266" s="2459" t="s">
        <v>1669</v>
      </c>
      <c r="B4266" s="2459" t="s">
        <v>1663</v>
      </c>
      <c r="C4266" s="2459" t="s">
        <v>1670</v>
      </c>
      <c r="D4266" s="2460" t="s">
        <v>1671</v>
      </c>
      <c r="E4266" s="2461" t="s">
        <v>213</v>
      </c>
      <c r="F4266" s="2461" t="s">
        <v>1518</v>
      </c>
      <c r="G4266" s="2461" t="s">
        <v>1418</v>
      </c>
      <c r="H4266" s="2461" t="s">
        <v>1452</v>
      </c>
      <c r="I4266" s="2462">
        <v>6.0059241805467869E-3</v>
      </c>
      <c r="J4266" s="2462">
        <v>5.6065473078760188</v>
      </c>
    </row>
    <row r="4267" spans="1:10" outlineLevel="2">
      <c r="A4267" s="2459" t="s">
        <v>1669</v>
      </c>
      <c r="B4267" s="2459" t="s">
        <v>1663</v>
      </c>
      <c r="C4267" s="2459" t="s">
        <v>1670</v>
      </c>
      <c r="D4267" s="2460" t="s">
        <v>1671</v>
      </c>
      <c r="E4267" s="2461" t="s">
        <v>213</v>
      </c>
      <c r="F4267" s="2461" t="s">
        <v>1519</v>
      </c>
      <c r="G4267" s="2461" t="s">
        <v>1418</v>
      </c>
      <c r="H4267" s="2461" t="s">
        <v>1452</v>
      </c>
      <c r="I4267" s="2462">
        <v>7.886210103723916E-3</v>
      </c>
      <c r="J4267" s="2462">
        <v>8.0007434576545098</v>
      </c>
    </row>
    <row r="4268" spans="1:10" outlineLevel="2">
      <c r="A4268" s="2459" t="s">
        <v>1669</v>
      </c>
      <c r="B4268" s="2459" t="s">
        <v>1663</v>
      </c>
      <c r="C4268" s="2459" t="s">
        <v>1670</v>
      </c>
      <c r="D4268" s="2460" t="s">
        <v>1671</v>
      </c>
      <c r="E4268" s="2461" t="s">
        <v>213</v>
      </c>
      <c r="F4268" s="2461" t="s">
        <v>1520</v>
      </c>
      <c r="G4268" s="2461" t="s">
        <v>1418</v>
      </c>
      <c r="H4268" s="2461" t="s">
        <v>1452</v>
      </c>
      <c r="I4268" s="2462">
        <v>9.4560595952220905E-4</v>
      </c>
      <c r="J4268" s="2462">
        <v>8.5504423046819369</v>
      </c>
    </row>
    <row r="4269" spans="1:10" outlineLevel="2">
      <c r="A4269" s="2459" t="s">
        <v>1669</v>
      </c>
      <c r="B4269" s="2459" t="s">
        <v>1663</v>
      </c>
      <c r="C4269" s="2459" t="s">
        <v>1670</v>
      </c>
      <c r="D4269" s="2460" t="s">
        <v>1671</v>
      </c>
      <c r="E4269" s="2461" t="s">
        <v>213</v>
      </c>
      <c r="F4269" s="2461" t="s">
        <v>1521</v>
      </c>
      <c r="G4269" s="2461" t="s">
        <v>1421</v>
      </c>
      <c r="H4269" s="2461" t="s">
        <v>1454</v>
      </c>
      <c r="I4269" s="2462">
        <v>0.98486296034361986</v>
      </c>
      <c r="J4269" s="2462">
        <v>1358.1861550213816</v>
      </c>
    </row>
    <row r="4270" spans="1:10" outlineLevel="2">
      <c r="A4270" s="2459" t="s">
        <v>1669</v>
      </c>
      <c r="B4270" s="2459" t="s">
        <v>1663</v>
      </c>
      <c r="C4270" s="2459" t="s">
        <v>1670</v>
      </c>
      <c r="D4270" s="2460" t="s">
        <v>1671</v>
      </c>
      <c r="E4270" s="2461" t="s">
        <v>213</v>
      </c>
      <c r="F4270" s="2461" t="s">
        <v>1522</v>
      </c>
      <c r="G4270" s="2461" t="s">
        <v>1421</v>
      </c>
      <c r="H4270" s="2461" t="s">
        <v>1454</v>
      </c>
      <c r="I4270" s="2462">
        <v>0.23131712885564326</v>
      </c>
      <c r="J4270" s="2462">
        <v>339.805942597539</v>
      </c>
    </row>
    <row r="4271" spans="1:10" outlineLevel="2">
      <c r="A4271" s="2459" t="s">
        <v>1669</v>
      </c>
      <c r="B4271" s="2459" t="s">
        <v>1663</v>
      </c>
      <c r="C4271" s="2459" t="s">
        <v>1670</v>
      </c>
      <c r="D4271" s="2460" t="s">
        <v>1671</v>
      </c>
      <c r="E4271" s="2461" t="s">
        <v>213</v>
      </c>
      <c r="F4271" s="2461" t="s">
        <v>1523</v>
      </c>
      <c r="G4271" s="2461" t="s">
        <v>1421</v>
      </c>
      <c r="H4271" s="2461" t="s">
        <v>1454</v>
      </c>
      <c r="I4271" s="2462">
        <v>0.10671371867032176</v>
      </c>
      <c r="J4271" s="2462">
        <v>179.67822785570203</v>
      </c>
    </row>
    <row r="4272" spans="1:10" outlineLevel="2">
      <c r="A4272" s="2459" t="s">
        <v>1669</v>
      </c>
      <c r="B4272" s="2459" t="s">
        <v>1663</v>
      </c>
      <c r="C4272" s="2459" t="s">
        <v>1670</v>
      </c>
      <c r="D4272" s="2460" t="s">
        <v>1671</v>
      </c>
      <c r="E4272" s="2461" t="s">
        <v>213</v>
      </c>
      <c r="F4272" s="2461" t="s">
        <v>1524</v>
      </c>
      <c r="G4272" s="2461" t="s">
        <v>1421</v>
      </c>
      <c r="H4272" s="2461" t="s">
        <v>1454</v>
      </c>
      <c r="I4272" s="2462">
        <v>0.24589611484799864</v>
      </c>
      <c r="J4272" s="2462">
        <v>386.25973999618992</v>
      </c>
    </row>
    <row r="4273" spans="1:10" outlineLevel="2">
      <c r="A4273" s="2459" t="s">
        <v>1669</v>
      </c>
      <c r="B4273" s="2459" t="s">
        <v>1663</v>
      </c>
      <c r="C4273" s="2459" t="s">
        <v>1670</v>
      </c>
      <c r="D4273" s="2460" t="s">
        <v>1671</v>
      </c>
      <c r="E4273" s="2461" t="s">
        <v>213</v>
      </c>
      <c r="F4273" s="2461" t="s">
        <v>1525</v>
      </c>
      <c r="G4273" s="2461" t="s">
        <v>1421</v>
      </c>
      <c r="H4273" s="2461" t="s">
        <v>1454</v>
      </c>
      <c r="I4273" s="2462">
        <v>0.43319275678797736</v>
      </c>
      <c r="J4273" s="2462">
        <v>610.27978308154468</v>
      </c>
    </row>
    <row r="4274" spans="1:10" outlineLevel="2">
      <c r="A4274" s="2459" t="s">
        <v>1669</v>
      </c>
      <c r="B4274" s="2459" t="s">
        <v>1663</v>
      </c>
      <c r="C4274" s="2459" t="s">
        <v>1670</v>
      </c>
      <c r="D4274" s="2460" t="s">
        <v>1671</v>
      </c>
      <c r="E4274" s="2461" t="s">
        <v>213</v>
      </c>
      <c r="F4274" s="2461" t="s">
        <v>1526</v>
      </c>
      <c r="G4274" s="2461" t="s">
        <v>1421</v>
      </c>
      <c r="H4274" s="2461" t="s">
        <v>1454</v>
      </c>
      <c r="I4274" s="2462">
        <v>2.0068645386899484E-2</v>
      </c>
      <c r="J4274" s="2462">
        <v>28.633338353917352</v>
      </c>
    </row>
    <row r="4275" spans="1:10" outlineLevel="2">
      <c r="A4275" s="2459" t="s">
        <v>1669</v>
      </c>
      <c r="B4275" s="2459" t="s">
        <v>1663</v>
      </c>
      <c r="C4275" s="2459" t="s">
        <v>1670</v>
      </c>
      <c r="D4275" s="2460" t="s">
        <v>1671</v>
      </c>
      <c r="E4275" s="2461" t="s">
        <v>213</v>
      </c>
      <c r="F4275" s="2461" t="s">
        <v>1527</v>
      </c>
      <c r="G4275" s="2461" t="s">
        <v>1459</v>
      </c>
      <c r="H4275" s="2461" t="s">
        <v>1460</v>
      </c>
      <c r="I4275" s="2462">
        <v>4.7405234410220695E-3</v>
      </c>
      <c r="J4275" s="2462">
        <v>4.9210526606746754</v>
      </c>
    </row>
    <row r="4276" spans="1:10" outlineLevel="2">
      <c r="A4276" s="2459" t="s">
        <v>1669</v>
      </c>
      <c r="B4276" s="2459" t="s">
        <v>1663</v>
      </c>
      <c r="C4276" s="2459" t="s">
        <v>1670</v>
      </c>
      <c r="D4276" s="2460" t="s">
        <v>1671</v>
      </c>
      <c r="E4276" s="2461" t="s">
        <v>213</v>
      </c>
      <c r="F4276" s="2461" t="s">
        <v>1528</v>
      </c>
      <c r="G4276" s="2461" t="s">
        <v>1459</v>
      </c>
      <c r="H4276" s="2461" t="s">
        <v>1460</v>
      </c>
      <c r="I4276" s="2462">
        <v>4.1265069322899904E-5</v>
      </c>
      <c r="J4276" s="2462">
        <v>5.2446832471314361E-2</v>
      </c>
    </row>
    <row r="4277" spans="1:10" outlineLevel="2">
      <c r="A4277" s="2459" t="s">
        <v>1669</v>
      </c>
      <c r="B4277" s="2459" t="s">
        <v>1663</v>
      </c>
      <c r="C4277" s="2459" t="s">
        <v>1670</v>
      </c>
      <c r="D4277" s="2460" t="s">
        <v>1671</v>
      </c>
      <c r="E4277" s="2461" t="s">
        <v>213</v>
      </c>
      <c r="F4277" s="2461" t="s">
        <v>1642</v>
      </c>
      <c r="G4277" s="2461" t="s">
        <v>1412</v>
      </c>
      <c r="H4277" s="2461" t="s">
        <v>1116</v>
      </c>
      <c r="I4277" s="2462">
        <v>3.1985156896759842E-3</v>
      </c>
      <c r="J4277" s="2462">
        <v>3.9338977159440196</v>
      </c>
    </row>
    <row r="4278" spans="1:10" outlineLevel="2">
      <c r="A4278" s="2459" t="s">
        <v>1669</v>
      </c>
      <c r="B4278" s="2459" t="s">
        <v>1663</v>
      </c>
      <c r="C4278" s="2459" t="s">
        <v>1670</v>
      </c>
      <c r="D4278" s="2460" t="s">
        <v>1671</v>
      </c>
      <c r="E4278" s="2461" t="s">
        <v>213</v>
      </c>
      <c r="F4278" s="2461" t="s">
        <v>1529</v>
      </c>
      <c r="G4278" s="2461" t="s">
        <v>1530</v>
      </c>
      <c r="H4278" s="2461" t="s">
        <v>1531</v>
      </c>
      <c r="I4278" s="2462">
        <v>1.3202994109180235</v>
      </c>
      <c r="J4278" s="2462">
        <v>1123.3353351019937</v>
      </c>
    </row>
    <row r="4279" spans="1:10" outlineLevel="2">
      <c r="A4279" s="2459" t="s">
        <v>1669</v>
      </c>
      <c r="B4279" s="2459" t="s">
        <v>1663</v>
      </c>
      <c r="C4279" s="2459" t="s">
        <v>1670</v>
      </c>
      <c r="D4279" s="2460" t="s">
        <v>1671</v>
      </c>
      <c r="E4279" s="2461" t="s">
        <v>213</v>
      </c>
      <c r="F4279" s="2461" t="s">
        <v>1532</v>
      </c>
      <c r="G4279" s="2461" t="s">
        <v>1530</v>
      </c>
      <c r="H4279" s="2461" t="s">
        <v>1531</v>
      </c>
      <c r="I4279" s="2462">
        <v>0.55573067092262007</v>
      </c>
      <c r="J4279" s="2462">
        <v>474.09960692075066</v>
      </c>
    </row>
    <row r="4280" spans="1:10" outlineLevel="2">
      <c r="A4280" s="2459" t="s">
        <v>1669</v>
      </c>
      <c r="B4280" s="2459" t="s">
        <v>1663</v>
      </c>
      <c r="C4280" s="2459" t="s">
        <v>1670</v>
      </c>
      <c r="D4280" s="2460" t="s">
        <v>1671</v>
      </c>
      <c r="E4280" s="2461" t="s">
        <v>213</v>
      </c>
      <c r="F4280" s="2461" t="s">
        <v>1533</v>
      </c>
      <c r="G4280" s="2461" t="s">
        <v>1534</v>
      </c>
      <c r="H4280" s="2461" t="s">
        <v>1531</v>
      </c>
      <c r="I4280" s="2462">
        <v>0.2087668793587435</v>
      </c>
      <c r="J4280" s="2462">
        <v>350.20876709410476</v>
      </c>
    </row>
    <row r="4281" spans="1:10" outlineLevel="2">
      <c r="A4281" s="2459" t="s">
        <v>1669</v>
      </c>
      <c r="B4281" s="2459" t="s">
        <v>1663</v>
      </c>
      <c r="C4281" s="2459" t="s">
        <v>1670</v>
      </c>
      <c r="D4281" s="2460" t="s">
        <v>1671</v>
      </c>
      <c r="E4281" s="2461" t="s">
        <v>213</v>
      </c>
      <c r="F4281" s="2461" t="s">
        <v>1535</v>
      </c>
      <c r="G4281" s="2461" t="s">
        <v>1536</v>
      </c>
      <c r="H4281" s="2461" t="s">
        <v>1537</v>
      </c>
      <c r="I4281" s="2462">
        <v>5.9084261544395623E-3</v>
      </c>
      <c r="J4281" s="2462">
        <v>8.7606096190007801</v>
      </c>
    </row>
    <row r="4282" spans="1:10" outlineLevel="2">
      <c r="A4282" s="2459" t="s">
        <v>1669</v>
      </c>
      <c r="B4282" s="2459" t="s">
        <v>1663</v>
      </c>
      <c r="C4282" s="2459" t="s">
        <v>1670</v>
      </c>
      <c r="D4282" s="2460" t="s">
        <v>1671</v>
      </c>
      <c r="E4282" s="2461" t="s">
        <v>1538</v>
      </c>
      <c r="F4282" s="2461" t="s">
        <v>1539</v>
      </c>
      <c r="G4282" s="2461" t="s">
        <v>1426</v>
      </c>
      <c r="H4282" s="2461" t="s">
        <v>1540</v>
      </c>
      <c r="I4282" s="2462">
        <v>3.8453088531034021E-3</v>
      </c>
      <c r="J4282" s="2462">
        <v>7.3639532715053111</v>
      </c>
    </row>
    <row r="4283" spans="1:10" outlineLevel="2">
      <c r="A4283" s="2459" t="s">
        <v>1669</v>
      </c>
      <c r="B4283" s="2459" t="s">
        <v>1663</v>
      </c>
      <c r="C4283" s="2459" t="s">
        <v>1670</v>
      </c>
      <c r="D4283" s="2460" t="s">
        <v>1671</v>
      </c>
      <c r="E4283" s="2461" t="s">
        <v>1538</v>
      </c>
      <c r="F4283" s="2461" t="s">
        <v>1541</v>
      </c>
      <c r="G4283" s="2461" t="s">
        <v>1409</v>
      </c>
      <c r="H4283" s="2461" t="s">
        <v>1540</v>
      </c>
      <c r="I4283" s="2462">
        <v>4.1993573540092524E-4</v>
      </c>
      <c r="J4283" s="2462">
        <v>1.9547991016783623</v>
      </c>
    </row>
    <row r="4284" spans="1:10" outlineLevel="2">
      <c r="A4284" s="2459" t="s">
        <v>1669</v>
      </c>
      <c r="B4284" s="2459" t="s">
        <v>1663</v>
      </c>
      <c r="C4284" s="2459" t="s">
        <v>1670</v>
      </c>
      <c r="D4284" s="2460" t="s">
        <v>1671</v>
      </c>
      <c r="E4284" s="2461" t="s">
        <v>1538</v>
      </c>
      <c r="F4284" s="2461" t="s">
        <v>1542</v>
      </c>
      <c r="G4284" s="2461" t="s">
        <v>1409</v>
      </c>
      <c r="H4284" s="2461" t="s">
        <v>1540</v>
      </c>
      <c r="I4284" s="2462">
        <v>2.2522501614794836E-4</v>
      </c>
      <c r="J4284" s="2462">
        <v>3.2691097964965179</v>
      </c>
    </row>
    <row r="4285" spans="1:10" outlineLevel="2">
      <c r="A4285" s="2459" t="s">
        <v>1669</v>
      </c>
      <c r="B4285" s="2459" t="s">
        <v>1663</v>
      </c>
      <c r="C4285" s="2459" t="s">
        <v>1670</v>
      </c>
      <c r="D4285" s="2460" t="s">
        <v>1671</v>
      </c>
      <c r="E4285" s="2461" t="s">
        <v>1538</v>
      </c>
      <c r="F4285" s="2461" t="s">
        <v>1543</v>
      </c>
      <c r="G4285" s="2461" t="s">
        <v>1409</v>
      </c>
      <c r="H4285" s="2461" t="s">
        <v>1540</v>
      </c>
      <c r="I4285" s="2462">
        <v>3.3393124480654194E-4</v>
      </c>
      <c r="J4285" s="2462">
        <v>0.57732171770775631</v>
      </c>
    </row>
    <row r="4286" spans="1:10" outlineLevel="2">
      <c r="A4286" s="2459" t="s">
        <v>1669</v>
      </c>
      <c r="B4286" s="2459" t="s">
        <v>1663</v>
      </c>
      <c r="C4286" s="2459" t="s">
        <v>1670</v>
      </c>
      <c r="D4286" s="2460" t="s">
        <v>1671</v>
      </c>
      <c r="E4286" s="2461" t="s">
        <v>1538</v>
      </c>
      <c r="F4286" s="2461" t="s">
        <v>1544</v>
      </c>
      <c r="G4286" s="2461" t="s">
        <v>1409</v>
      </c>
      <c r="H4286" s="2461" t="s">
        <v>1540</v>
      </c>
      <c r="I4286" s="2462">
        <v>6.1135839288817688E-5</v>
      </c>
      <c r="J4286" s="2462">
        <v>0.33469972913522877</v>
      </c>
    </row>
    <row r="4287" spans="1:10" outlineLevel="2">
      <c r="A4287" s="2459" t="s">
        <v>1669</v>
      </c>
      <c r="B4287" s="2459" t="s">
        <v>1663</v>
      </c>
      <c r="C4287" s="2459" t="s">
        <v>1670</v>
      </c>
      <c r="D4287" s="2460" t="s">
        <v>1671</v>
      </c>
      <c r="E4287" s="2461" t="s">
        <v>1538</v>
      </c>
      <c r="F4287" s="2461" t="s">
        <v>1545</v>
      </c>
      <c r="G4287" s="2461" t="s">
        <v>1409</v>
      </c>
      <c r="H4287" s="2461" t="s">
        <v>1540</v>
      </c>
      <c r="I4287" s="2462">
        <v>1.3531481676705504E-3</v>
      </c>
      <c r="J4287" s="2462">
        <v>6.045439884605762</v>
      </c>
    </row>
    <row r="4288" spans="1:10" outlineLevel="2">
      <c r="A4288" s="2459" t="s">
        <v>1669</v>
      </c>
      <c r="B4288" s="2459" t="s">
        <v>1663</v>
      </c>
      <c r="C4288" s="2459" t="s">
        <v>1670</v>
      </c>
      <c r="D4288" s="2460" t="s">
        <v>1671</v>
      </c>
      <c r="E4288" s="2461" t="s">
        <v>1538</v>
      </c>
      <c r="F4288" s="2461" t="s">
        <v>1546</v>
      </c>
      <c r="G4288" s="2461" t="s">
        <v>1409</v>
      </c>
      <c r="H4288" s="2461" t="s">
        <v>1540</v>
      </c>
      <c r="I4288" s="2462">
        <v>2.5883298041760802E-3</v>
      </c>
      <c r="J4288" s="2462">
        <v>3.0364963438193935</v>
      </c>
    </row>
    <row r="4289" spans="1:10" outlineLevel="2">
      <c r="A4289" s="2459" t="s">
        <v>1669</v>
      </c>
      <c r="B4289" s="2459" t="s">
        <v>1663</v>
      </c>
      <c r="C4289" s="2459" t="s">
        <v>1670</v>
      </c>
      <c r="D4289" s="2460" t="s">
        <v>1671</v>
      </c>
      <c r="E4289" s="2461" t="s">
        <v>1538</v>
      </c>
      <c r="F4289" s="2461" t="s">
        <v>1547</v>
      </c>
      <c r="G4289" s="2461" t="s">
        <v>1409</v>
      </c>
      <c r="H4289" s="2461" t="s">
        <v>1540</v>
      </c>
      <c r="I4289" s="2462">
        <v>2.8112661977452514E-4</v>
      </c>
      <c r="J4289" s="2462">
        <v>5.5931450132094316</v>
      </c>
    </row>
    <row r="4290" spans="1:10" outlineLevel="2">
      <c r="A4290" s="2459" t="s">
        <v>1669</v>
      </c>
      <c r="B4290" s="2459" t="s">
        <v>1663</v>
      </c>
      <c r="C4290" s="2459" t="s">
        <v>1670</v>
      </c>
      <c r="D4290" s="2460" t="s">
        <v>1671</v>
      </c>
      <c r="E4290" s="2461" t="s">
        <v>1538</v>
      </c>
      <c r="F4290" s="2461" t="s">
        <v>1548</v>
      </c>
      <c r="G4290" s="2461" t="s">
        <v>1409</v>
      </c>
      <c r="H4290" s="2461" t="s">
        <v>1540</v>
      </c>
      <c r="I4290" s="2462">
        <v>1.3047804993499286E-3</v>
      </c>
      <c r="J4290" s="2462">
        <v>2.2790246607903164</v>
      </c>
    </row>
    <row r="4291" spans="1:10" outlineLevel="2">
      <c r="A4291" s="2459" t="s">
        <v>1669</v>
      </c>
      <c r="B4291" s="2459" t="s">
        <v>1663</v>
      </c>
      <c r="C4291" s="2459" t="s">
        <v>1670</v>
      </c>
      <c r="D4291" s="2460" t="s">
        <v>1671</v>
      </c>
      <c r="E4291" s="2461" t="s">
        <v>1538</v>
      </c>
      <c r="F4291" s="2461" t="s">
        <v>1549</v>
      </c>
      <c r="G4291" s="2461" t="s">
        <v>1409</v>
      </c>
      <c r="H4291" s="2461" t="s">
        <v>1540</v>
      </c>
      <c r="I4291" s="2462">
        <v>1.9504964135318259E-4</v>
      </c>
      <c r="J4291" s="2462">
        <v>0.3735321284200957</v>
      </c>
    </row>
    <row r="4292" spans="1:10" outlineLevel="2">
      <c r="A4292" s="2459" t="s">
        <v>1669</v>
      </c>
      <c r="B4292" s="2459" t="s">
        <v>1663</v>
      </c>
      <c r="C4292" s="2459" t="s">
        <v>1670</v>
      </c>
      <c r="D4292" s="2460" t="s">
        <v>1671</v>
      </c>
      <c r="E4292" s="2461" t="s">
        <v>1538</v>
      </c>
      <c r="F4292" s="2461" t="s">
        <v>1550</v>
      </c>
      <c r="G4292" s="2461" t="s">
        <v>1409</v>
      </c>
      <c r="H4292" s="2461" t="s">
        <v>1540</v>
      </c>
      <c r="I4292" s="2462">
        <v>1.0689716635068317E-3</v>
      </c>
      <c r="J4292" s="2462">
        <v>3.8840823775136331</v>
      </c>
    </row>
    <row r="4293" spans="1:10" outlineLevel="2">
      <c r="A4293" s="2459" t="s">
        <v>1669</v>
      </c>
      <c r="B4293" s="2459" t="s">
        <v>1663</v>
      </c>
      <c r="C4293" s="2459" t="s">
        <v>1670</v>
      </c>
      <c r="D4293" s="2460" t="s">
        <v>1671</v>
      </c>
      <c r="E4293" s="2461" t="s">
        <v>1538</v>
      </c>
      <c r="F4293" s="2461" t="s">
        <v>1551</v>
      </c>
      <c r="G4293" s="2461" t="s">
        <v>1409</v>
      </c>
      <c r="H4293" s="2461" t="s">
        <v>1540</v>
      </c>
      <c r="I4293" s="2462">
        <v>8.8065879329182761E-4</v>
      </c>
      <c r="J4293" s="2462">
        <v>9.3792080543655629</v>
      </c>
    </row>
    <row r="4294" spans="1:10" outlineLevel="2">
      <c r="A4294" s="2459" t="s">
        <v>1669</v>
      </c>
      <c r="B4294" s="2459" t="s">
        <v>1663</v>
      </c>
      <c r="C4294" s="2459" t="s">
        <v>1670</v>
      </c>
      <c r="D4294" s="2460" t="s">
        <v>1671</v>
      </c>
      <c r="E4294" s="2461" t="s">
        <v>1538</v>
      </c>
      <c r="F4294" s="2461" t="s">
        <v>1552</v>
      </c>
      <c r="G4294" s="2461" t="s">
        <v>1409</v>
      </c>
      <c r="H4294" s="2461" t="s">
        <v>1540</v>
      </c>
      <c r="I4294" s="2462">
        <v>6.1967106386664423E-5</v>
      </c>
      <c r="J4294" s="2462">
        <v>0.98681509645578502</v>
      </c>
    </row>
    <row r="4295" spans="1:10" outlineLevel="2">
      <c r="A4295" s="2459" t="s">
        <v>1669</v>
      </c>
      <c r="B4295" s="2459" t="s">
        <v>1663</v>
      </c>
      <c r="C4295" s="2459" t="s">
        <v>1670</v>
      </c>
      <c r="D4295" s="2460" t="s">
        <v>1671</v>
      </c>
      <c r="E4295" s="2461" t="s">
        <v>1538</v>
      </c>
      <c r="F4295" s="2461" t="s">
        <v>1553</v>
      </c>
      <c r="G4295" s="2461" t="s">
        <v>1409</v>
      </c>
      <c r="H4295" s="2461" t="s">
        <v>1540</v>
      </c>
      <c r="I4295" s="2462">
        <v>4.5954620134196099E-3</v>
      </c>
      <c r="J4295" s="2462">
        <v>8.4483152044347243</v>
      </c>
    </row>
    <row r="4296" spans="1:10" outlineLevel="2">
      <c r="A4296" s="2459" t="s">
        <v>1669</v>
      </c>
      <c r="B4296" s="2459" t="s">
        <v>1663</v>
      </c>
      <c r="C4296" s="2459" t="s">
        <v>1670</v>
      </c>
      <c r="D4296" s="2460" t="s">
        <v>1671</v>
      </c>
      <c r="E4296" s="2461" t="s">
        <v>1538</v>
      </c>
      <c r="F4296" s="2461" t="s">
        <v>1554</v>
      </c>
      <c r="G4296" s="2461" t="s">
        <v>1409</v>
      </c>
      <c r="H4296" s="2461" t="s">
        <v>1540</v>
      </c>
      <c r="I4296" s="2462">
        <v>2.5615058428513941E-3</v>
      </c>
      <c r="J4296" s="2462">
        <v>3.5455230330915075</v>
      </c>
    </row>
    <row r="4297" spans="1:10" outlineLevel="2">
      <c r="A4297" s="2459" t="s">
        <v>1669</v>
      </c>
      <c r="B4297" s="2459" t="s">
        <v>1663</v>
      </c>
      <c r="C4297" s="2459" t="s">
        <v>1670</v>
      </c>
      <c r="D4297" s="2460" t="s">
        <v>1671</v>
      </c>
      <c r="E4297" s="2461" t="s">
        <v>1538</v>
      </c>
      <c r="F4297" s="2461" t="s">
        <v>1555</v>
      </c>
      <c r="G4297" s="2461" t="s">
        <v>1412</v>
      </c>
      <c r="H4297" s="2461" t="s">
        <v>1540</v>
      </c>
      <c r="I4297" s="2462">
        <v>3.0166116523894206E-2</v>
      </c>
      <c r="J4297" s="2462">
        <v>92.86307544245679</v>
      </c>
    </row>
    <row r="4298" spans="1:10" outlineLevel="2">
      <c r="A4298" s="2459" t="s">
        <v>1669</v>
      </c>
      <c r="B4298" s="2459" t="s">
        <v>1663</v>
      </c>
      <c r="C4298" s="2459" t="s">
        <v>1670</v>
      </c>
      <c r="D4298" s="2460" t="s">
        <v>1671</v>
      </c>
      <c r="E4298" s="2461" t="s">
        <v>1538</v>
      </c>
      <c r="F4298" s="2461" t="s">
        <v>1556</v>
      </c>
      <c r="G4298" s="2461" t="s">
        <v>1412</v>
      </c>
      <c r="H4298" s="2461" t="s">
        <v>1540</v>
      </c>
      <c r="I4298" s="2462">
        <v>0.59972246705611565</v>
      </c>
      <c r="J4298" s="2462">
        <v>8446.911932827903</v>
      </c>
    </row>
    <row r="4299" spans="1:10" outlineLevel="2">
      <c r="A4299" s="2459" t="s">
        <v>1669</v>
      </c>
      <c r="B4299" s="2459" t="s">
        <v>1663</v>
      </c>
      <c r="C4299" s="2459" t="s">
        <v>1670</v>
      </c>
      <c r="D4299" s="2460" t="s">
        <v>1671</v>
      </c>
      <c r="E4299" s="2461" t="s">
        <v>1538</v>
      </c>
      <c r="F4299" s="2461" t="s">
        <v>1557</v>
      </c>
      <c r="G4299" s="2461" t="s">
        <v>1412</v>
      </c>
      <c r="H4299" s="2461" t="s">
        <v>1540</v>
      </c>
      <c r="I4299" s="2462">
        <v>3.5704506479774531E-3</v>
      </c>
      <c r="J4299" s="2462">
        <v>62.926228163668597</v>
      </c>
    </row>
    <row r="4300" spans="1:10" outlineLevel="2">
      <c r="A4300" s="2459" t="s">
        <v>1669</v>
      </c>
      <c r="B4300" s="2459" t="s">
        <v>1663</v>
      </c>
      <c r="C4300" s="2459" t="s">
        <v>1670</v>
      </c>
      <c r="D4300" s="2460" t="s">
        <v>1671</v>
      </c>
      <c r="E4300" s="2461" t="s">
        <v>1538</v>
      </c>
      <c r="F4300" s="2461" t="s">
        <v>1558</v>
      </c>
      <c r="G4300" s="2461" t="s">
        <v>1412</v>
      </c>
      <c r="H4300" s="2461" t="s">
        <v>1540</v>
      </c>
      <c r="I4300" s="2462">
        <v>1.1943862156091124E-3</v>
      </c>
      <c r="J4300" s="2462">
        <v>19.849180163795246</v>
      </c>
    </row>
    <row r="4301" spans="1:10" outlineLevel="2">
      <c r="A4301" s="2459" t="s">
        <v>1669</v>
      </c>
      <c r="B4301" s="2459" t="s">
        <v>1663</v>
      </c>
      <c r="C4301" s="2459" t="s">
        <v>1670</v>
      </c>
      <c r="D4301" s="2460" t="s">
        <v>1671</v>
      </c>
      <c r="E4301" s="2461" t="s">
        <v>1538</v>
      </c>
      <c r="F4301" s="2461" t="s">
        <v>1559</v>
      </c>
      <c r="G4301" s="2461" t="s">
        <v>1412</v>
      </c>
      <c r="H4301" s="2461" t="s">
        <v>1540</v>
      </c>
      <c r="I4301" s="2462">
        <v>1.2753068874901648E-3</v>
      </c>
      <c r="J4301" s="2462">
        <v>4.9021553890816758</v>
      </c>
    </row>
    <row r="4302" spans="1:10" outlineLevel="2">
      <c r="A4302" s="2459" t="s">
        <v>1669</v>
      </c>
      <c r="B4302" s="2459" t="s">
        <v>1663</v>
      </c>
      <c r="C4302" s="2459" t="s">
        <v>1670</v>
      </c>
      <c r="D4302" s="2460" t="s">
        <v>1671</v>
      </c>
      <c r="E4302" s="2461" t="s">
        <v>1538</v>
      </c>
      <c r="F4302" s="2461" t="s">
        <v>1560</v>
      </c>
      <c r="G4302" s="2461" t="s">
        <v>1412</v>
      </c>
      <c r="H4302" s="2461" t="s">
        <v>1540</v>
      </c>
      <c r="I4302" s="2462">
        <v>1.7900509641410837E-3</v>
      </c>
      <c r="J4302" s="2462">
        <v>38.985720761752184</v>
      </c>
    </row>
    <row r="4303" spans="1:10" outlineLevel="2">
      <c r="A4303" s="2459" t="s">
        <v>1669</v>
      </c>
      <c r="B4303" s="2459" t="s">
        <v>1663</v>
      </c>
      <c r="C4303" s="2459" t="s">
        <v>1670</v>
      </c>
      <c r="D4303" s="2460" t="s">
        <v>1671</v>
      </c>
      <c r="E4303" s="2461" t="s">
        <v>1538</v>
      </c>
      <c r="F4303" s="2461" t="s">
        <v>1561</v>
      </c>
      <c r="G4303" s="2461" t="s">
        <v>1439</v>
      </c>
      <c r="H4303" s="2461" t="s">
        <v>1540</v>
      </c>
      <c r="I4303" s="2462">
        <v>4.7860569664282598E-3</v>
      </c>
      <c r="J4303" s="2462">
        <v>72.529337861793934</v>
      </c>
    </row>
    <row r="4304" spans="1:10" outlineLevel="2">
      <c r="A4304" s="2459" t="s">
        <v>1669</v>
      </c>
      <c r="B4304" s="2459" t="s">
        <v>1663</v>
      </c>
      <c r="C4304" s="2459" t="s">
        <v>1670</v>
      </c>
      <c r="D4304" s="2460" t="s">
        <v>1671</v>
      </c>
      <c r="E4304" s="2461" t="s">
        <v>1538</v>
      </c>
      <c r="F4304" s="2461" t="s">
        <v>1562</v>
      </c>
      <c r="G4304" s="2461" t="s">
        <v>1418</v>
      </c>
      <c r="H4304" s="2461" t="s">
        <v>1540</v>
      </c>
      <c r="I4304" s="2462">
        <v>4.0111503467107214E-5</v>
      </c>
      <c r="J4304" s="2462">
        <v>5.0543777202391803E-2</v>
      </c>
    </row>
    <row r="4305" spans="1:10" outlineLevel="2">
      <c r="A4305" s="2459" t="s">
        <v>1669</v>
      </c>
      <c r="B4305" s="2459" t="s">
        <v>1663</v>
      </c>
      <c r="C4305" s="2459" t="s">
        <v>1670</v>
      </c>
      <c r="D4305" s="2460" t="s">
        <v>1671</v>
      </c>
      <c r="E4305" s="2461" t="s">
        <v>1538</v>
      </c>
      <c r="F4305" s="2461" t="s">
        <v>1563</v>
      </c>
      <c r="G4305" s="2461" t="s">
        <v>1418</v>
      </c>
      <c r="H4305" s="2461" t="s">
        <v>1540</v>
      </c>
      <c r="I4305" s="2462">
        <v>5.8117890258994493E-6</v>
      </c>
      <c r="J4305" s="2462">
        <v>9.8445057836238969E-2</v>
      </c>
    </row>
    <row r="4306" spans="1:10" outlineLevel="2">
      <c r="A4306" s="2459" t="s">
        <v>1669</v>
      </c>
      <c r="B4306" s="2459" t="s">
        <v>1663</v>
      </c>
      <c r="C4306" s="2459" t="s">
        <v>1670</v>
      </c>
      <c r="D4306" s="2460" t="s">
        <v>1671</v>
      </c>
      <c r="E4306" s="2461" t="s">
        <v>1538</v>
      </c>
      <c r="F4306" s="2461" t="s">
        <v>1564</v>
      </c>
      <c r="G4306" s="2461" t="s">
        <v>1421</v>
      </c>
      <c r="H4306" s="2461" t="s">
        <v>1540</v>
      </c>
      <c r="I4306" s="2462">
        <v>5.315898984588794E-2</v>
      </c>
      <c r="J4306" s="2462">
        <v>130.5224168988255</v>
      </c>
    </row>
    <row r="4307" spans="1:10" outlineLevel="2">
      <c r="A4307" s="2459" t="s">
        <v>1669</v>
      </c>
      <c r="B4307" s="2459" t="s">
        <v>1663</v>
      </c>
      <c r="C4307" s="2459" t="s">
        <v>1670</v>
      </c>
      <c r="D4307" s="2460" t="s">
        <v>1671</v>
      </c>
      <c r="E4307" s="2461" t="s">
        <v>1538</v>
      </c>
      <c r="F4307" s="2461" t="s">
        <v>1565</v>
      </c>
      <c r="G4307" s="2461" t="s">
        <v>1421</v>
      </c>
      <c r="H4307" s="2461" t="s">
        <v>1540</v>
      </c>
      <c r="I4307" s="2462">
        <v>6.255018640202648E-3</v>
      </c>
      <c r="J4307" s="2462">
        <v>28.569722928245032</v>
      </c>
    </row>
    <row r="4308" spans="1:10" outlineLevel="2">
      <c r="A4308" s="2459" t="s">
        <v>1669</v>
      </c>
      <c r="B4308" s="2459" t="s">
        <v>1663</v>
      </c>
      <c r="C4308" s="2459" t="s">
        <v>1670</v>
      </c>
      <c r="D4308" s="2460" t="s">
        <v>1671</v>
      </c>
      <c r="E4308" s="2461" t="s">
        <v>1538</v>
      </c>
      <c r="F4308" s="2461" t="s">
        <v>1566</v>
      </c>
      <c r="G4308" s="2461" t="s">
        <v>1421</v>
      </c>
      <c r="H4308" s="2461" t="s">
        <v>1540</v>
      </c>
      <c r="I4308" s="2462">
        <v>3.261423290615178E-3</v>
      </c>
      <c r="J4308" s="2462">
        <v>33.360113751709534</v>
      </c>
    </row>
    <row r="4309" spans="1:10" outlineLevel="2">
      <c r="A4309" s="2459" t="s">
        <v>1669</v>
      </c>
      <c r="B4309" s="2459" t="s">
        <v>1663</v>
      </c>
      <c r="C4309" s="2459" t="s">
        <v>1670</v>
      </c>
      <c r="D4309" s="2460" t="s">
        <v>1671</v>
      </c>
      <c r="E4309" s="2461" t="s">
        <v>1538</v>
      </c>
      <c r="F4309" s="2461" t="s">
        <v>1567</v>
      </c>
      <c r="G4309" s="2461" t="s">
        <v>1421</v>
      </c>
      <c r="H4309" s="2461" t="s">
        <v>1540</v>
      </c>
      <c r="I4309" s="2462">
        <v>5.399267677119012E-3</v>
      </c>
      <c r="J4309" s="2462">
        <v>41.461752038737359</v>
      </c>
    </row>
    <row r="4310" spans="1:10" outlineLevel="2">
      <c r="A4310" s="2459" t="s">
        <v>1669</v>
      </c>
      <c r="B4310" s="2459" t="s">
        <v>1663</v>
      </c>
      <c r="C4310" s="2459" t="s">
        <v>1670</v>
      </c>
      <c r="D4310" s="2460" t="s">
        <v>1671</v>
      </c>
      <c r="E4310" s="2461" t="s">
        <v>1538</v>
      </c>
      <c r="F4310" s="2461" t="s">
        <v>1568</v>
      </c>
      <c r="G4310" s="2461" t="s">
        <v>1421</v>
      </c>
      <c r="H4310" s="2461" t="s">
        <v>1540</v>
      </c>
      <c r="I4310" s="2462">
        <v>1.8690177290850909E-4</v>
      </c>
      <c r="J4310" s="2462">
        <v>0.56390253753488828</v>
      </c>
    </row>
    <row r="4311" spans="1:10" outlineLevel="2">
      <c r="A4311" s="2459" t="s">
        <v>1669</v>
      </c>
      <c r="B4311" s="2459" t="s">
        <v>1663</v>
      </c>
      <c r="C4311" s="2459" t="s">
        <v>1670</v>
      </c>
      <c r="D4311" s="2460" t="s">
        <v>1671</v>
      </c>
      <c r="E4311" s="2461" t="s">
        <v>1538</v>
      </c>
      <c r="F4311" s="2461" t="s">
        <v>1569</v>
      </c>
      <c r="G4311" s="2461" t="s">
        <v>1421</v>
      </c>
      <c r="H4311" s="2461" t="s">
        <v>1540</v>
      </c>
      <c r="I4311" s="2462">
        <v>4.4304700521637464E-5</v>
      </c>
      <c r="J4311" s="2462">
        <v>0.51197488839683647</v>
      </c>
    </row>
    <row r="4312" spans="1:10" outlineLevel="2">
      <c r="A4312" s="2459" t="s">
        <v>1669</v>
      </c>
      <c r="B4312" s="2459" t="s">
        <v>1663</v>
      </c>
      <c r="C4312" s="2459" t="s">
        <v>1670</v>
      </c>
      <c r="D4312" s="2460" t="s">
        <v>1671</v>
      </c>
      <c r="E4312" s="2461" t="s">
        <v>1538</v>
      </c>
      <c r="F4312" s="2461" t="s">
        <v>1570</v>
      </c>
      <c r="G4312" s="2461" t="s">
        <v>899</v>
      </c>
      <c r="H4312" s="2461" t="s">
        <v>1540</v>
      </c>
      <c r="I4312" s="2462">
        <v>6.1553737443127923E-5</v>
      </c>
      <c r="J4312" s="2462">
        <v>0.26593319521927899</v>
      </c>
    </row>
    <row r="4313" spans="1:10" outlineLevel="2">
      <c r="A4313" s="2459" t="s">
        <v>1669</v>
      </c>
      <c r="B4313" s="2459" t="s">
        <v>1663</v>
      </c>
      <c r="C4313" s="2459" t="s">
        <v>1670</v>
      </c>
      <c r="D4313" s="2460" t="s">
        <v>1671</v>
      </c>
      <c r="E4313" s="2461" t="s">
        <v>1400</v>
      </c>
      <c r="F4313" s="2461" t="s">
        <v>1571</v>
      </c>
      <c r="G4313" s="2461" t="s">
        <v>215</v>
      </c>
      <c r="H4313" s="2461" t="s">
        <v>1531</v>
      </c>
      <c r="I4313" s="2462">
        <v>7.3937807055082256E-3</v>
      </c>
      <c r="J4313" s="2462">
        <v>266.10788621268529</v>
      </c>
    </row>
    <row r="4314" spans="1:10" outlineLevel="2">
      <c r="A4314" s="2459" t="s">
        <v>1669</v>
      </c>
      <c r="B4314" s="2459" t="s">
        <v>1663</v>
      </c>
      <c r="C4314" s="2459" t="s">
        <v>1670</v>
      </c>
      <c r="D4314" s="2460" t="s">
        <v>1671</v>
      </c>
      <c r="E4314" s="2461" t="s">
        <v>1400</v>
      </c>
      <c r="F4314" s="2461" t="s">
        <v>1572</v>
      </c>
      <c r="G4314" s="2461" t="s">
        <v>215</v>
      </c>
      <c r="H4314" s="2461" t="s">
        <v>1531</v>
      </c>
      <c r="I4314" s="2462">
        <v>1.1717718725887508E-4</v>
      </c>
      <c r="J4314" s="2462">
        <v>2.2227843281263571</v>
      </c>
    </row>
    <row r="4315" spans="1:10" outlineLevel="2">
      <c r="A4315" s="2459" t="s">
        <v>1669</v>
      </c>
      <c r="B4315" s="2459" t="s">
        <v>1663</v>
      </c>
      <c r="C4315" s="2459" t="s">
        <v>1670</v>
      </c>
      <c r="D4315" s="2460" t="s">
        <v>1671</v>
      </c>
      <c r="E4315" s="2461" t="s">
        <v>1573</v>
      </c>
      <c r="F4315" s="2461" t="s">
        <v>1574</v>
      </c>
      <c r="G4315" s="2461" t="s">
        <v>1426</v>
      </c>
      <c r="H4315" s="2461" t="s">
        <v>1427</v>
      </c>
      <c r="I4315" s="2462">
        <v>4.6617266909343138E-3</v>
      </c>
      <c r="J4315" s="2462">
        <v>115.24447296446013</v>
      </c>
    </row>
    <row r="4316" spans="1:10" outlineLevel="2">
      <c r="A4316" s="2459" t="s">
        <v>1669</v>
      </c>
      <c r="B4316" s="2459" t="s">
        <v>1663</v>
      </c>
      <c r="C4316" s="2459" t="s">
        <v>1670</v>
      </c>
      <c r="D4316" s="2460" t="s">
        <v>1671</v>
      </c>
      <c r="E4316" s="2461" t="s">
        <v>1573</v>
      </c>
      <c r="F4316" s="2461" t="s">
        <v>1575</v>
      </c>
      <c r="G4316" s="2461" t="s">
        <v>1409</v>
      </c>
      <c r="H4316" s="2461" t="s">
        <v>1070</v>
      </c>
      <c r="I4316" s="2462">
        <v>4.0087646127327809E-3</v>
      </c>
      <c r="J4316" s="2462">
        <v>233.79289967635739</v>
      </c>
    </row>
    <row r="4317" spans="1:10" outlineLevel="2">
      <c r="A4317" s="2459" t="s">
        <v>1669</v>
      </c>
      <c r="B4317" s="2459" t="s">
        <v>1663</v>
      </c>
      <c r="C4317" s="2459" t="s">
        <v>1670</v>
      </c>
      <c r="D4317" s="2460" t="s">
        <v>1671</v>
      </c>
      <c r="E4317" s="2461" t="s">
        <v>1573</v>
      </c>
      <c r="F4317" s="2461" t="s">
        <v>1576</v>
      </c>
      <c r="G4317" s="2461" t="s">
        <v>1409</v>
      </c>
      <c r="H4317" s="2461" t="s">
        <v>1070</v>
      </c>
      <c r="I4317" s="2462">
        <v>3.4468551734089557E-5</v>
      </c>
      <c r="J4317" s="2462">
        <v>0.38072671994650803</v>
      </c>
    </row>
    <row r="4318" spans="1:10" outlineLevel="2">
      <c r="A4318" s="2459" t="s">
        <v>1669</v>
      </c>
      <c r="B4318" s="2459" t="s">
        <v>1663</v>
      </c>
      <c r="C4318" s="2459" t="s">
        <v>1670</v>
      </c>
      <c r="D4318" s="2460" t="s">
        <v>1671</v>
      </c>
      <c r="E4318" s="2461" t="s">
        <v>1573</v>
      </c>
      <c r="F4318" s="2461" t="s">
        <v>1577</v>
      </c>
      <c r="G4318" s="2461" t="s">
        <v>1409</v>
      </c>
      <c r="H4318" s="2461" t="s">
        <v>1070</v>
      </c>
      <c r="I4318" s="2462">
        <v>4.9988269717212992E-4</v>
      </c>
      <c r="J4318" s="2462">
        <v>6.2716078971474971</v>
      </c>
    </row>
    <row r="4319" spans="1:10" outlineLevel="2">
      <c r="A4319" s="2459" t="s">
        <v>1669</v>
      </c>
      <c r="B4319" s="2459" t="s">
        <v>1663</v>
      </c>
      <c r="C4319" s="2459" t="s">
        <v>1670</v>
      </c>
      <c r="D4319" s="2460" t="s">
        <v>1671</v>
      </c>
      <c r="E4319" s="2461" t="s">
        <v>1573</v>
      </c>
      <c r="F4319" s="2461" t="s">
        <v>1578</v>
      </c>
      <c r="G4319" s="2461" t="s">
        <v>1409</v>
      </c>
      <c r="H4319" s="2461" t="s">
        <v>1070</v>
      </c>
      <c r="I4319" s="2462">
        <v>1.1415339152811363E-2</v>
      </c>
      <c r="J4319" s="2462">
        <v>585.2189799897485</v>
      </c>
    </row>
    <row r="4320" spans="1:10" outlineLevel="2">
      <c r="A4320" s="2459" t="s">
        <v>1669</v>
      </c>
      <c r="B4320" s="2459" t="s">
        <v>1663</v>
      </c>
      <c r="C4320" s="2459" t="s">
        <v>1670</v>
      </c>
      <c r="D4320" s="2460" t="s">
        <v>1671</v>
      </c>
      <c r="E4320" s="2461" t="s">
        <v>1573</v>
      </c>
      <c r="F4320" s="2461" t="s">
        <v>1579</v>
      </c>
      <c r="G4320" s="2461" t="s">
        <v>1409</v>
      </c>
      <c r="H4320" s="2461" t="s">
        <v>1070</v>
      </c>
      <c r="I4320" s="2462">
        <v>8.6656931444321645E-3</v>
      </c>
      <c r="J4320" s="2462">
        <v>636.75801597012412</v>
      </c>
    </row>
    <row r="4321" spans="1:10" outlineLevel="2">
      <c r="A4321" s="2459" t="s">
        <v>1669</v>
      </c>
      <c r="B4321" s="2459" t="s">
        <v>1663</v>
      </c>
      <c r="C4321" s="2459" t="s">
        <v>1670</v>
      </c>
      <c r="D4321" s="2460" t="s">
        <v>1671</v>
      </c>
      <c r="E4321" s="2461" t="s">
        <v>1573</v>
      </c>
      <c r="F4321" s="2461" t="s">
        <v>1580</v>
      </c>
      <c r="G4321" s="2461" t="s">
        <v>1409</v>
      </c>
      <c r="H4321" s="2461" t="s">
        <v>1070</v>
      </c>
      <c r="I4321" s="2462">
        <v>9.7904230169305775E-4</v>
      </c>
      <c r="J4321" s="2462">
        <v>35.160582076533437</v>
      </c>
    </row>
    <row r="4322" spans="1:10" outlineLevel="2">
      <c r="A4322" s="2459" t="s">
        <v>1669</v>
      </c>
      <c r="B4322" s="2459" t="s">
        <v>1663</v>
      </c>
      <c r="C4322" s="2459" t="s">
        <v>1670</v>
      </c>
      <c r="D4322" s="2460" t="s">
        <v>1671</v>
      </c>
      <c r="E4322" s="2461" t="s">
        <v>1573</v>
      </c>
      <c r="F4322" s="2461" t="s">
        <v>1581</v>
      </c>
      <c r="G4322" s="2461" t="s">
        <v>1409</v>
      </c>
      <c r="H4322" s="2461" t="s">
        <v>1070</v>
      </c>
      <c r="I4322" s="2462">
        <v>5.207437956477372E-4</v>
      </c>
      <c r="J4322" s="2462">
        <v>23.942838939014177</v>
      </c>
    </row>
    <row r="4323" spans="1:10" outlineLevel="2">
      <c r="A4323" s="2459" t="s">
        <v>1669</v>
      </c>
      <c r="B4323" s="2459" t="s">
        <v>1663</v>
      </c>
      <c r="C4323" s="2459" t="s">
        <v>1670</v>
      </c>
      <c r="D4323" s="2460" t="s">
        <v>1671</v>
      </c>
      <c r="E4323" s="2461" t="s">
        <v>1573</v>
      </c>
      <c r="F4323" s="2461" t="s">
        <v>1582</v>
      </c>
      <c r="G4323" s="2461" t="s">
        <v>1409</v>
      </c>
      <c r="H4323" s="2461" t="s">
        <v>1070</v>
      </c>
      <c r="I4323" s="2462">
        <v>2.7677328053926369E-3</v>
      </c>
      <c r="J4323" s="2462">
        <v>65.749353673496017</v>
      </c>
    </row>
    <row r="4324" spans="1:10" outlineLevel="2">
      <c r="A4324" s="2459" t="s">
        <v>1669</v>
      </c>
      <c r="B4324" s="2459" t="s">
        <v>1663</v>
      </c>
      <c r="C4324" s="2459" t="s">
        <v>1670</v>
      </c>
      <c r="D4324" s="2460" t="s">
        <v>1671</v>
      </c>
      <c r="E4324" s="2461" t="s">
        <v>1573</v>
      </c>
      <c r="F4324" s="2461" t="s">
        <v>1583</v>
      </c>
      <c r="G4324" s="2461" t="s">
        <v>1409</v>
      </c>
      <c r="H4324" s="2461" t="s">
        <v>1070</v>
      </c>
      <c r="I4324" s="2462">
        <v>7.9342993049209727E-3</v>
      </c>
      <c r="J4324" s="2462">
        <v>281.35889076364833</v>
      </c>
    </row>
    <row r="4325" spans="1:10" outlineLevel="2">
      <c r="A4325" s="2459" t="s">
        <v>1669</v>
      </c>
      <c r="B4325" s="2459" t="s">
        <v>1663</v>
      </c>
      <c r="C4325" s="2459" t="s">
        <v>1670</v>
      </c>
      <c r="D4325" s="2460" t="s">
        <v>1671</v>
      </c>
      <c r="E4325" s="2461" t="s">
        <v>1573</v>
      </c>
      <c r="F4325" s="2461" t="s">
        <v>1584</v>
      </c>
      <c r="G4325" s="2461" t="s">
        <v>1409</v>
      </c>
      <c r="H4325" s="2461" t="s">
        <v>1070</v>
      </c>
      <c r="I4325" s="2462">
        <v>5.6092891440630288E-3</v>
      </c>
      <c r="J4325" s="2462">
        <v>308.91458875196997</v>
      </c>
    </row>
    <row r="4326" spans="1:10" outlineLevel="2">
      <c r="A4326" s="2459" t="s">
        <v>1669</v>
      </c>
      <c r="B4326" s="2459" t="s">
        <v>1663</v>
      </c>
      <c r="C4326" s="2459" t="s">
        <v>1670</v>
      </c>
      <c r="D4326" s="2460" t="s">
        <v>1671</v>
      </c>
      <c r="E4326" s="2461" t="s">
        <v>1573</v>
      </c>
      <c r="F4326" s="2461" t="s">
        <v>1585</v>
      </c>
      <c r="G4326" s="2461" t="s">
        <v>1409</v>
      </c>
      <c r="H4326" s="2461" t="s">
        <v>1070</v>
      </c>
      <c r="I4326" s="2462">
        <v>3.075271822169956E-2</v>
      </c>
      <c r="J4326" s="2462">
        <v>2371.9936456934593</v>
      </c>
    </row>
    <row r="4327" spans="1:10" outlineLevel="2">
      <c r="A4327" s="2459" t="s">
        <v>1669</v>
      </c>
      <c r="B4327" s="2459" t="s">
        <v>1663</v>
      </c>
      <c r="C4327" s="2459" t="s">
        <v>1670</v>
      </c>
      <c r="D4327" s="2460" t="s">
        <v>1671</v>
      </c>
      <c r="E4327" s="2461" t="s">
        <v>1573</v>
      </c>
      <c r="F4327" s="2461" t="s">
        <v>1586</v>
      </c>
      <c r="G4327" s="2461" t="s">
        <v>1409</v>
      </c>
      <c r="H4327" s="2461" t="s">
        <v>1070</v>
      </c>
      <c r="I4327" s="2462">
        <v>6.5044305591120211E-4</v>
      </c>
      <c r="J4327" s="2462">
        <v>19.723406123196217</v>
      </c>
    </row>
    <row r="4328" spans="1:10" outlineLevel="2">
      <c r="A4328" s="2459" t="s">
        <v>1669</v>
      </c>
      <c r="B4328" s="2459" t="s">
        <v>1663</v>
      </c>
      <c r="C4328" s="2459" t="s">
        <v>1670</v>
      </c>
      <c r="D4328" s="2460" t="s">
        <v>1671</v>
      </c>
      <c r="E4328" s="2461" t="s">
        <v>1573</v>
      </c>
      <c r="F4328" s="2461" t="s">
        <v>1587</v>
      </c>
      <c r="G4328" s="2461" t="s">
        <v>1409</v>
      </c>
      <c r="H4328" s="2461" t="s">
        <v>1070</v>
      </c>
      <c r="I4328" s="2462">
        <v>2.5615166304131996E-4</v>
      </c>
      <c r="J4328" s="2462">
        <v>12.076684662374392</v>
      </c>
    </row>
    <row r="4329" spans="1:10" outlineLevel="2">
      <c r="A4329" s="2459" t="s">
        <v>1669</v>
      </c>
      <c r="B4329" s="2459" t="s">
        <v>1663</v>
      </c>
      <c r="C4329" s="2459" t="s">
        <v>1670</v>
      </c>
      <c r="D4329" s="2460" t="s">
        <v>1671</v>
      </c>
      <c r="E4329" s="2461" t="s">
        <v>1573</v>
      </c>
      <c r="F4329" s="2461" t="s">
        <v>1588</v>
      </c>
      <c r="G4329" s="2461" t="s">
        <v>1409</v>
      </c>
      <c r="H4329" s="2461" t="s">
        <v>1070</v>
      </c>
      <c r="I4329" s="2462">
        <v>9.0746496909437455E-3</v>
      </c>
      <c r="J4329" s="2462">
        <v>542.17681656206946</v>
      </c>
    </row>
    <row r="4330" spans="1:10" outlineLevel="2">
      <c r="A4330" s="2459" t="s">
        <v>1669</v>
      </c>
      <c r="B4330" s="2459" t="s">
        <v>1663</v>
      </c>
      <c r="C4330" s="2459" t="s">
        <v>1670</v>
      </c>
      <c r="D4330" s="2460" t="s">
        <v>1671</v>
      </c>
      <c r="E4330" s="2461" t="s">
        <v>1573</v>
      </c>
      <c r="F4330" s="2461" t="s">
        <v>1589</v>
      </c>
      <c r="G4330" s="2461" t="s">
        <v>1409</v>
      </c>
      <c r="H4330" s="2461" t="s">
        <v>1070</v>
      </c>
      <c r="I4330" s="2462">
        <v>7.8016043140938162E-3</v>
      </c>
      <c r="J4330" s="2462">
        <v>590.16650652804822</v>
      </c>
    </row>
    <row r="4331" spans="1:10" outlineLevel="2">
      <c r="A4331" s="2459" t="s">
        <v>1669</v>
      </c>
      <c r="B4331" s="2459" t="s">
        <v>1663</v>
      </c>
      <c r="C4331" s="2459" t="s">
        <v>1670</v>
      </c>
      <c r="D4331" s="2460" t="s">
        <v>1671</v>
      </c>
      <c r="E4331" s="2461" t="s">
        <v>1573</v>
      </c>
      <c r="F4331" s="2461" t="s">
        <v>1590</v>
      </c>
      <c r="G4331" s="2461" t="s">
        <v>1409</v>
      </c>
      <c r="H4331" s="2461" t="s">
        <v>1070</v>
      </c>
      <c r="I4331" s="2462">
        <v>2.8484395597395074E-2</v>
      </c>
      <c r="J4331" s="2462">
        <v>2030.0890889778327</v>
      </c>
    </row>
    <row r="4332" spans="1:10" outlineLevel="2">
      <c r="A4332" s="2459" t="s">
        <v>1669</v>
      </c>
      <c r="B4332" s="2459" t="s">
        <v>1663</v>
      </c>
      <c r="C4332" s="2459" t="s">
        <v>1670</v>
      </c>
      <c r="D4332" s="2460" t="s">
        <v>1671</v>
      </c>
      <c r="E4332" s="2461" t="s">
        <v>1573</v>
      </c>
      <c r="F4332" s="2461" t="s">
        <v>1591</v>
      </c>
      <c r="G4332" s="2461" t="s">
        <v>1409</v>
      </c>
      <c r="H4332" s="2461" t="s">
        <v>1070</v>
      </c>
      <c r="I4332" s="2462">
        <v>1.96072633819606E-3</v>
      </c>
      <c r="J4332" s="2462">
        <v>95.458354836013669</v>
      </c>
    </row>
    <row r="4333" spans="1:10" outlineLevel="2">
      <c r="A4333" s="2459" t="s">
        <v>1669</v>
      </c>
      <c r="B4333" s="2459" t="s">
        <v>1663</v>
      </c>
      <c r="C4333" s="2459" t="s">
        <v>1670</v>
      </c>
      <c r="D4333" s="2460" t="s">
        <v>1671</v>
      </c>
      <c r="E4333" s="2461" t="s">
        <v>1573</v>
      </c>
      <c r="F4333" s="2461" t="s">
        <v>1592</v>
      </c>
      <c r="G4333" s="2461" t="s">
        <v>1409</v>
      </c>
      <c r="H4333" s="2461" t="s">
        <v>1070</v>
      </c>
      <c r="I4333" s="2462">
        <v>1.6487194584986001E-2</v>
      </c>
      <c r="J4333" s="2462">
        <v>759.31972248003433</v>
      </c>
    </row>
    <row r="4334" spans="1:10" outlineLevel="2">
      <c r="A4334" s="2459" t="s">
        <v>1669</v>
      </c>
      <c r="B4334" s="2459" t="s">
        <v>1663</v>
      </c>
      <c r="C4334" s="2459" t="s">
        <v>1670</v>
      </c>
      <c r="D4334" s="2460" t="s">
        <v>1671</v>
      </c>
      <c r="E4334" s="2461" t="s">
        <v>1573</v>
      </c>
      <c r="F4334" s="2461" t="s">
        <v>1593</v>
      </c>
      <c r="G4334" s="2461" t="s">
        <v>1409</v>
      </c>
      <c r="H4334" s="2461" t="s">
        <v>1070</v>
      </c>
      <c r="I4334" s="2462">
        <v>4.0283270356973815E-2</v>
      </c>
      <c r="J4334" s="2462">
        <v>2581.5423458390451</v>
      </c>
    </row>
    <row r="4335" spans="1:10" outlineLevel="2">
      <c r="A4335" s="2459" t="s">
        <v>1669</v>
      </c>
      <c r="B4335" s="2459" t="s">
        <v>1663</v>
      </c>
      <c r="C4335" s="2459" t="s">
        <v>1670</v>
      </c>
      <c r="D4335" s="2460" t="s">
        <v>1671</v>
      </c>
      <c r="E4335" s="2461" t="s">
        <v>1573</v>
      </c>
      <c r="F4335" s="2461" t="s">
        <v>1594</v>
      </c>
      <c r="G4335" s="2461" t="s">
        <v>1409</v>
      </c>
      <c r="H4335" s="2461" t="s">
        <v>1070</v>
      </c>
      <c r="I4335" s="2462">
        <v>8.8230262744969201E-2</v>
      </c>
      <c r="J4335" s="2462">
        <v>1731.8622303128141</v>
      </c>
    </row>
    <row r="4336" spans="1:10" outlineLevel="2">
      <c r="A4336" s="2459" t="s">
        <v>1669</v>
      </c>
      <c r="B4336" s="2459" t="s">
        <v>1663</v>
      </c>
      <c r="C4336" s="2459" t="s">
        <v>1670</v>
      </c>
      <c r="D4336" s="2460" t="s">
        <v>1671</v>
      </c>
      <c r="E4336" s="2461" t="s">
        <v>1573</v>
      </c>
      <c r="F4336" s="2461" t="s">
        <v>1595</v>
      </c>
      <c r="G4336" s="2461" t="s">
        <v>1409</v>
      </c>
      <c r="H4336" s="2461" t="s">
        <v>1070</v>
      </c>
      <c r="I4336" s="2462">
        <v>3.244017105521433E-2</v>
      </c>
      <c r="J4336" s="2462">
        <v>2361.5652576395119</v>
      </c>
    </row>
    <row r="4337" spans="1:10" outlineLevel="2">
      <c r="A4337" s="2459" t="s">
        <v>1669</v>
      </c>
      <c r="B4337" s="2459" t="s">
        <v>1663</v>
      </c>
      <c r="C4337" s="2459" t="s">
        <v>1670</v>
      </c>
      <c r="D4337" s="2460" t="s">
        <v>1671</v>
      </c>
      <c r="E4337" s="2461" t="s">
        <v>1573</v>
      </c>
      <c r="F4337" s="2461" t="s">
        <v>1596</v>
      </c>
      <c r="G4337" s="2461" t="s">
        <v>1409</v>
      </c>
      <c r="H4337" s="2461" t="s">
        <v>1070</v>
      </c>
      <c r="I4337" s="2462">
        <v>5.9067239378912985E-2</v>
      </c>
      <c r="J4337" s="2462">
        <v>1359.4232245515034</v>
      </c>
    </row>
    <row r="4338" spans="1:10" outlineLevel="2">
      <c r="A4338" s="2459" t="s">
        <v>1669</v>
      </c>
      <c r="B4338" s="2459" t="s">
        <v>1663</v>
      </c>
      <c r="C4338" s="2459" t="s">
        <v>1670</v>
      </c>
      <c r="D4338" s="2460" t="s">
        <v>1671</v>
      </c>
      <c r="E4338" s="2461" t="s">
        <v>1573</v>
      </c>
      <c r="F4338" s="2461" t="s">
        <v>1597</v>
      </c>
      <c r="G4338" s="2461" t="s">
        <v>1409</v>
      </c>
      <c r="H4338" s="2461" t="s">
        <v>1070</v>
      </c>
      <c r="I4338" s="2462">
        <v>3.4673620804727321E-3</v>
      </c>
      <c r="J4338" s="2462">
        <v>253.39888957522263</v>
      </c>
    </row>
    <row r="4339" spans="1:10" outlineLevel="2">
      <c r="A4339" s="2459" t="s">
        <v>1669</v>
      </c>
      <c r="B4339" s="2459" t="s">
        <v>1663</v>
      </c>
      <c r="C4339" s="2459" t="s">
        <v>1670</v>
      </c>
      <c r="D4339" s="2460" t="s">
        <v>1671</v>
      </c>
      <c r="E4339" s="2461" t="s">
        <v>1573</v>
      </c>
      <c r="F4339" s="2461" t="s">
        <v>1598</v>
      </c>
      <c r="G4339" s="2461" t="s">
        <v>1409</v>
      </c>
      <c r="H4339" s="2461" t="s">
        <v>1070</v>
      </c>
      <c r="I4339" s="2462">
        <v>1.8009190151688394E-4</v>
      </c>
      <c r="J4339" s="2462">
        <v>4.1573434001178855</v>
      </c>
    </row>
    <row r="4340" spans="1:10" outlineLevel="2">
      <c r="A4340" s="2459" t="s">
        <v>1669</v>
      </c>
      <c r="B4340" s="2459" t="s">
        <v>1663</v>
      </c>
      <c r="C4340" s="2459" t="s">
        <v>1670</v>
      </c>
      <c r="D4340" s="2460" t="s">
        <v>1671</v>
      </c>
      <c r="E4340" s="2461" t="s">
        <v>1573</v>
      </c>
      <c r="F4340" s="2461" t="s">
        <v>1599</v>
      </c>
      <c r="G4340" s="2461" t="s">
        <v>1409</v>
      </c>
      <c r="H4340" s="2461" t="s">
        <v>1070</v>
      </c>
      <c r="I4340" s="2462">
        <v>4.9166738762896891E-3</v>
      </c>
      <c r="J4340" s="2462">
        <v>264.31987984761747</v>
      </c>
    </row>
    <row r="4341" spans="1:10" outlineLevel="2">
      <c r="A4341" s="2459" t="s">
        <v>1669</v>
      </c>
      <c r="B4341" s="2459" t="s">
        <v>1663</v>
      </c>
      <c r="C4341" s="2459" t="s">
        <v>1670</v>
      </c>
      <c r="D4341" s="2460" t="s">
        <v>1671</v>
      </c>
      <c r="E4341" s="2461" t="s">
        <v>1573</v>
      </c>
      <c r="F4341" s="2461" t="s">
        <v>1600</v>
      </c>
      <c r="G4341" s="2461" t="s">
        <v>1412</v>
      </c>
      <c r="H4341" s="2461" t="s">
        <v>1116</v>
      </c>
      <c r="I4341" s="2462">
        <v>6.2765490798894234E-3</v>
      </c>
      <c r="J4341" s="2462">
        <v>151.84645024633971</v>
      </c>
    </row>
    <row r="4342" spans="1:10" outlineLevel="2">
      <c r="A4342" s="2459" t="s">
        <v>1669</v>
      </c>
      <c r="B4342" s="2459" t="s">
        <v>1663</v>
      </c>
      <c r="C4342" s="2459" t="s">
        <v>1670</v>
      </c>
      <c r="D4342" s="2460" t="s">
        <v>1671</v>
      </c>
      <c r="E4342" s="2461" t="s">
        <v>1573</v>
      </c>
      <c r="F4342" s="2461" t="s">
        <v>1601</v>
      </c>
      <c r="G4342" s="2461" t="s">
        <v>1412</v>
      </c>
      <c r="H4342" s="2461" t="s">
        <v>1116</v>
      </c>
      <c r="I4342" s="2462">
        <v>3.1236074848107712E-2</v>
      </c>
      <c r="J4342" s="2462">
        <v>2202.9275228418255</v>
      </c>
    </row>
    <row r="4343" spans="1:10" outlineLevel="2">
      <c r="A4343" s="2459" t="s">
        <v>1669</v>
      </c>
      <c r="B4343" s="2459" t="s">
        <v>1663</v>
      </c>
      <c r="C4343" s="2459" t="s">
        <v>1670</v>
      </c>
      <c r="D4343" s="2460" t="s">
        <v>1671</v>
      </c>
      <c r="E4343" s="2461" t="s">
        <v>1573</v>
      </c>
      <c r="F4343" s="2461" t="s">
        <v>1602</v>
      </c>
      <c r="G4343" s="2461" t="s">
        <v>1412</v>
      </c>
      <c r="H4343" s="2461" t="s">
        <v>1116</v>
      </c>
      <c r="I4343" s="2462">
        <v>1.8349549405812411E-2</v>
      </c>
      <c r="J4343" s="2462">
        <v>962.19342375391363</v>
      </c>
    </row>
    <row r="4344" spans="1:10" outlineLevel="2">
      <c r="A4344" s="2459" t="s">
        <v>1669</v>
      </c>
      <c r="B4344" s="2459" t="s">
        <v>1663</v>
      </c>
      <c r="C4344" s="2459" t="s">
        <v>1670</v>
      </c>
      <c r="D4344" s="2460" t="s">
        <v>1671</v>
      </c>
      <c r="E4344" s="2461" t="s">
        <v>1573</v>
      </c>
      <c r="F4344" s="2461" t="s">
        <v>1603</v>
      </c>
      <c r="G4344" s="2461" t="s">
        <v>1412</v>
      </c>
      <c r="H4344" s="2461" t="s">
        <v>1116</v>
      </c>
      <c r="I4344" s="2462">
        <v>2.1719930854079618E-2</v>
      </c>
      <c r="J4344" s="2462">
        <v>975.70159072086062</v>
      </c>
    </row>
    <row r="4345" spans="1:10" outlineLevel="2">
      <c r="A4345" s="2459" t="s">
        <v>1669</v>
      </c>
      <c r="B4345" s="2459" t="s">
        <v>1663</v>
      </c>
      <c r="C4345" s="2459" t="s">
        <v>1670</v>
      </c>
      <c r="D4345" s="2460" t="s">
        <v>1671</v>
      </c>
      <c r="E4345" s="2461" t="s">
        <v>1573</v>
      </c>
      <c r="F4345" s="2461" t="s">
        <v>1604</v>
      </c>
      <c r="G4345" s="2461" t="s">
        <v>1412</v>
      </c>
      <c r="H4345" s="2461" t="s">
        <v>1116</v>
      </c>
      <c r="I4345" s="2462">
        <v>1.3756410890286939E-3</v>
      </c>
      <c r="J4345" s="2462">
        <v>37.62907478727459</v>
      </c>
    </row>
    <row r="4346" spans="1:10" outlineLevel="2">
      <c r="A4346" s="2459" t="s">
        <v>1669</v>
      </c>
      <c r="B4346" s="2459" t="s">
        <v>1663</v>
      </c>
      <c r="C4346" s="2459" t="s">
        <v>1670</v>
      </c>
      <c r="D4346" s="2460" t="s">
        <v>1671</v>
      </c>
      <c r="E4346" s="2461" t="s">
        <v>1573</v>
      </c>
      <c r="F4346" s="2461" t="s">
        <v>1605</v>
      </c>
      <c r="G4346" s="2461" t="s">
        <v>1412</v>
      </c>
      <c r="H4346" s="2461" t="s">
        <v>1116</v>
      </c>
      <c r="I4346" s="2462">
        <v>7.2204072102474287E-2</v>
      </c>
      <c r="J4346" s="2462">
        <v>2373.0852668571965</v>
      </c>
    </row>
    <row r="4347" spans="1:10" outlineLevel="2">
      <c r="A4347" s="2459" t="s">
        <v>1669</v>
      </c>
      <c r="B4347" s="2459" t="s">
        <v>1663</v>
      </c>
      <c r="C4347" s="2459" t="s">
        <v>1670</v>
      </c>
      <c r="D4347" s="2460" t="s">
        <v>1671</v>
      </c>
      <c r="E4347" s="2461" t="s">
        <v>1573</v>
      </c>
      <c r="F4347" s="2461" t="s">
        <v>1606</v>
      </c>
      <c r="G4347" s="2461" t="s">
        <v>1412</v>
      </c>
      <c r="H4347" s="2461" t="s">
        <v>1116</v>
      </c>
      <c r="I4347" s="2462">
        <v>1.7126879113499242E-2</v>
      </c>
      <c r="J4347" s="2462">
        <v>1388.4255823019155</v>
      </c>
    </row>
    <row r="4348" spans="1:10" outlineLevel="2">
      <c r="A4348" s="2459" t="s">
        <v>1669</v>
      </c>
      <c r="B4348" s="2459" t="s">
        <v>1663</v>
      </c>
      <c r="C4348" s="2459" t="s">
        <v>1670</v>
      </c>
      <c r="D4348" s="2460" t="s">
        <v>1671</v>
      </c>
      <c r="E4348" s="2461" t="s">
        <v>1573</v>
      </c>
      <c r="F4348" s="2461" t="s">
        <v>1607</v>
      </c>
      <c r="G4348" s="2461" t="s">
        <v>1439</v>
      </c>
      <c r="H4348" s="2461" t="s">
        <v>1440</v>
      </c>
      <c r="I4348" s="2462">
        <v>3.3977262966583134E-6</v>
      </c>
      <c r="J4348" s="2462">
        <v>8.5160207448164507E-2</v>
      </c>
    </row>
    <row r="4349" spans="1:10" outlineLevel="2">
      <c r="A4349" s="2459" t="s">
        <v>1669</v>
      </c>
      <c r="B4349" s="2459" t="s">
        <v>1663</v>
      </c>
      <c r="C4349" s="2459" t="s">
        <v>1670</v>
      </c>
      <c r="D4349" s="2460" t="s">
        <v>1671</v>
      </c>
      <c r="E4349" s="2461" t="s">
        <v>1573</v>
      </c>
      <c r="F4349" s="2461" t="s">
        <v>1608</v>
      </c>
      <c r="G4349" s="2461" t="s">
        <v>1439</v>
      </c>
      <c r="H4349" s="2461" t="s">
        <v>1440</v>
      </c>
      <c r="I4349" s="2462">
        <v>3.9933365720030772E-4</v>
      </c>
      <c r="J4349" s="2462">
        <v>22.369043957210739</v>
      </c>
    </row>
    <row r="4350" spans="1:10" outlineLevel="2">
      <c r="A4350" s="2459" t="s">
        <v>1669</v>
      </c>
      <c r="B4350" s="2459" t="s">
        <v>1663</v>
      </c>
      <c r="C4350" s="2459" t="s">
        <v>1670</v>
      </c>
      <c r="D4350" s="2460" t="s">
        <v>1671</v>
      </c>
      <c r="E4350" s="2461" t="s">
        <v>1573</v>
      </c>
      <c r="F4350" s="2461" t="s">
        <v>1609</v>
      </c>
      <c r="G4350" s="2461" t="s">
        <v>1439</v>
      </c>
      <c r="H4350" s="2461" t="s">
        <v>1440</v>
      </c>
      <c r="I4350" s="2462">
        <v>2.6871405600460238E-2</v>
      </c>
      <c r="J4350" s="2462">
        <v>596.9520908854596</v>
      </c>
    </row>
    <row r="4351" spans="1:10" outlineLevel="2">
      <c r="A4351" s="2459" t="s">
        <v>1669</v>
      </c>
      <c r="B4351" s="2459" t="s">
        <v>1663</v>
      </c>
      <c r="C4351" s="2459" t="s">
        <v>1670</v>
      </c>
      <c r="D4351" s="2460" t="s">
        <v>1671</v>
      </c>
      <c r="E4351" s="2461" t="s">
        <v>1573</v>
      </c>
      <c r="F4351" s="2461" t="s">
        <v>1610</v>
      </c>
      <c r="G4351" s="2461" t="s">
        <v>1439</v>
      </c>
      <c r="H4351" s="2461" t="s">
        <v>1440</v>
      </c>
      <c r="I4351" s="2462">
        <v>7.0666976837834607E-3</v>
      </c>
      <c r="J4351" s="2462">
        <v>123.22992381227021</v>
      </c>
    </row>
    <row r="4352" spans="1:10" outlineLevel="2">
      <c r="A4352" s="2459" t="s">
        <v>1669</v>
      </c>
      <c r="B4352" s="2459" t="s">
        <v>1663</v>
      </c>
      <c r="C4352" s="2459" t="s">
        <v>1670</v>
      </c>
      <c r="D4352" s="2460" t="s">
        <v>1671</v>
      </c>
      <c r="E4352" s="2461" t="s">
        <v>1573</v>
      </c>
      <c r="F4352" s="2461" t="s">
        <v>1611</v>
      </c>
      <c r="G4352" s="2461" t="s">
        <v>1439</v>
      </c>
      <c r="H4352" s="2461" t="s">
        <v>1440</v>
      </c>
      <c r="I4352" s="2462">
        <v>1.6702913731557141E-2</v>
      </c>
      <c r="J4352" s="2462">
        <v>813.76464835973843</v>
      </c>
    </row>
    <row r="4353" spans="1:10" outlineLevel="2">
      <c r="A4353" s="2459" t="s">
        <v>1669</v>
      </c>
      <c r="B4353" s="2459" t="s">
        <v>1663</v>
      </c>
      <c r="C4353" s="2459" t="s">
        <v>1670</v>
      </c>
      <c r="D4353" s="2460" t="s">
        <v>1671</v>
      </c>
      <c r="E4353" s="2461" t="s">
        <v>1573</v>
      </c>
      <c r="F4353" s="2461" t="s">
        <v>1612</v>
      </c>
      <c r="G4353" s="2461" t="s">
        <v>1439</v>
      </c>
      <c r="H4353" s="2461" t="s">
        <v>1440</v>
      </c>
      <c r="I4353" s="2462">
        <v>2.8644784041454274E-3</v>
      </c>
      <c r="J4353" s="2462">
        <v>95.881968718081666</v>
      </c>
    </row>
    <row r="4354" spans="1:10" outlineLevel="2">
      <c r="A4354" s="2459" t="s">
        <v>1669</v>
      </c>
      <c r="B4354" s="2459" t="s">
        <v>1663</v>
      </c>
      <c r="C4354" s="2459" t="s">
        <v>1670</v>
      </c>
      <c r="D4354" s="2460" t="s">
        <v>1671</v>
      </c>
      <c r="E4354" s="2461" t="s">
        <v>1573</v>
      </c>
      <c r="F4354" s="2461" t="s">
        <v>1613</v>
      </c>
      <c r="G4354" s="2461" t="s">
        <v>1439</v>
      </c>
      <c r="H4354" s="2461" t="s">
        <v>1440</v>
      </c>
      <c r="I4354" s="2462">
        <v>8.0534410261632174E-5</v>
      </c>
      <c r="J4354" s="2462">
        <v>2.4346533937927979</v>
      </c>
    </row>
    <row r="4355" spans="1:10" outlineLevel="2">
      <c r="A4355" s="2459" t="s">
        <v>1669</v>
      </c>
      <c r="B4355" s="2459" t="s">
        <v>1663</v>
      </c>
      <c r="C4355" s="2459" t="s">
        <v>1670</v>
      </c>
      <c r="D4355" s="2460" t="s">
        <v>1671</v>
      </c>
      <c r="E4355" s="2461" t="s">
        <v>1573</v>
      </c>
      <c r="F4355" s="2461" t="s">
        <v>1614</v>
      </c>
      <c r="G4355" s="2461" t="s">
        <v>1418</v>
      </c>
      <c r="H4355" s="2461" t="s">
        <v>1452</v>
      </c>
      <c r="I4355" s="2462">
        <v>1.1541026660561142E-5</v>
      </c>
      <c r="J4355" s="2462">
        <v>9.8645819163590595E-2</v>
      </c>
    </row>
    <row r="4356" spans="1:10" outlineLevel="2">
      <c r="A4356" s="2459" t="s">
        <v>1669</v>
      </c>
      <c r="B4356" s="2459" t="s">
        <v>1663</v>
      </c>
      <c r="C4356" s="2459" t="s">
        <v>1670</v>
      </c>
      <c r="D4356" s="2460" t="s">
        <v>1671</v>
      </c>
      <c r="E4356" s="2461" t="s">
        <v>1573</v>
      </c>
      <c r="F4356" s="2461" t="s">
        <v>1615</v>
      </c>
      <c r="G4356" s="2461" t="s">
        <v>1418</v>
      </c>
      <c r="H4356" s="2461" t="s">
        <v>1452</v>
      </c>
      <c r="I4356" s="2462">
        <v>6.9811983672590408E-2</v>
      </c>
      <c r="J4356" s="2462">
        <v>4095.9891890048857</v>
      </c>
    </row>
    <row r="4357" spans="1:10" outlineLevel="2">
      <c r="A4357" s="2459" t="s">
        <v>1669</v>
      </c>
      <c r="B4357" s="2459" t="s">
        <v>1663</v>
      </c>
      <c r="C4357" s="2459" t="s">
        <v>1670</v>
      </c>
      <c r="D4357" s="2460" t="s">
        <v>1671</v>
      </c>
      <c r="E4357" s="2461" t="s">
        <v>1573</v>
      </c>
      <c r="F4357" s="2461" t="s">
        <v>1616</v>
      </c>
      <c r="G4357" s="2461" t="s">
        <v>1418</v>
      </c>
      <c r="H4357" s="2461" t="s">
        <v>1452</v>
      </c>
      <c r="I4357" s="2462">
        <v>3.3320549268025124E-3</v>
      </c>
      <c r="J4357" s="2462">
        <v>367.24033542877174</v>
      </c>
    </row>
    <row r="4358" spans="1:10" outlineLevel="2">
      <c r="A4358" s="2459" t="s">
        <v>1669</v>
      </c>
      <c r="B4358" s="2459" t="s">
        <v>1663</v>
      </c>
      <c r="C4358" s="2459" t="s">
        <v>1670</v>
      </c>
      <c r="D4358" s="2460" t="s">
        <v>1671</v>
      </c>
      <c r="E4358" s="2461" t="s">
        <v>1573</v>
      </c>
      <c r="F4358" s="2461" t="s">
        <v>1617</v>
      </c>
      <c r="G4358" s="2461" t="s">
        <v>1418</v>
      </c>
      <c r="H4358" s="2461" t="s">
        <v>1452</v>
      </c>
      <c r="I4358" s="2462">
        <v>2.6466753332583716E-5</v>
      </c>
      <c r="J4358" s="2462">
        <v>2.0327014124186098</v>
      </c>
    </row>
    <row r="4359" spans="1:10" outlineLevel="2">
      <c r="A4359" s="2459" t="s">
        <v>1669</v>
      </c>
      <c r="B4359" s="2459" t="s">
        <v>1663</v>
      </c>
      <c r="C4359" s="2459" t="s">
        <v>1670</v>
      </c>
      <c r="D4359" s="2460" t="s">
        <v>1671</v>
      </c>
      <c r="E4359" s="2461" t="s">
        <v>1573</v>
      </c>
      <c r="F4359" s="2461" t="s">
        <v>1618</v>
      </c>
      <c r="G4359" s="2461" t="s">
        <v>1418</v>
      </c>
      <c r="H4359" s="2461" t="s">
        <v>1452</v>
      </c>
      <c r="I4359" s="2462">
        <v>5.1593163633404014E-6</v>
      </c>
      <c r="J4359" s="2462">
        <v>0.42700844823951167</v>
      </c>
    </row>
    <row r="4360" spans="1:10" outlineLevel="2">
      <c r="A4360" s="2459" t="s">
        <v>1669</v>
      </c>
      <c r="B4360" s="2459" t="s">
        <v>1663</v>
      </c>
      <c r="C4360" s="2459" t="s">
        <v>1670</v>
      </c>
      <c r="D4360" s="2460" t="s">
        <v>1671</v>
      </c>
      <c r="E4360" s="2461" t="s">
        <v>1573</v>
      </c>
      <c r="F4360" s="2461" t="s">
        <v>1619</v>
      </c>
      <c r="G4360" s="2461" t="s">
        <v>1418</v>
      </c>
      <c r="H4360" s="2461" t="s">
        <v>1452</v>
      </c>
      <c r="I4360" s="2462">
        <v>3.3870847244513213E-4</v>
      </c>
      <c r="J4360" s="2462">
        <v>31.143585191637452</v>
      </c>
    </row>
    <row r="4361" spans="1:10" outlineLevel="2">
      <c r="A4361" s="2459" t="s">
        <v>1669</v>
      </c>
      <c r="B4361" s="2459" t="s">
        <v>1663</v>
      </c>
      <c r="C4361" s="2459" t="s">
        <v>1670</v>
      </c>
      <c r="D4361" s="2460" t="s">
        <v>1671</v>
      </c>
      <c r="E4361" s="2461" t="s">
        <v>1573</v>
      </c>
      <c r="F4361" s="2461" t="s">
        <v>1620</v>
      </c>
      <c r="G4361" s="2461" t="s">
        <v>1418</v>
      </c>
      <c r="H4361" s="2461" t="s">
        <v>1452</v>
      </c>
      <c r="I4361" s="2462">
        <v>7.1611622058477491E-7</v>
      </c>
      <c r="J4361" s="2462">
        <v>8.6164720858952493E-2</v>
      </c>
    </row>
    <row r="4362" spans="1:10" outlineLevel="2">
      <c r="A4362" s="2459" t="s">
        <v>1669</v>
      </c>
      <c r="B4362" s="2459" t="s">
        <v>1663</v>
      </c>
      <c r="C4362" s="2459" t="s">
        <v>1670</v>
      </c>
      <c r="D4362" s="2460" t="s">
        <v>1671</v>
      </c>
      <c r="E4362" s="2461" t="s">
        <v>1573</v>
      </c>
      <c r="F4362" s="2461" t="s">
        <v>1621</v>
      </c>
      <c r="G4362" s="2461" t="s">
        <v>1418</v>
      </c>
      <c r="H4362" s="2461" t="s">
        <v>1452</v>
      </c>
      <c r="I4362" s="2462">
        <v>3.0485890160964656E-4</v>
      </c>
      <c r="J4362" s="2462">
        <v>28.796361847487383</v>
      </c>
    </row>
    <row r="4363" spans="1:10" outlineLevel="2">
      <c r="A4363" s="2459" t="s">
        <v>1669</v>
      </c>
      <c r="B4363" s="2459" t="s">
        <v>1663</v>
      </c>
      <c r="C4363" s="2459" t="s">
        <v>1670</v>
      </c>
      <c r="D4363" s="2460" t="s">
        <v>1671</v>
      </c>
      <c r="E4363" s="2461" t="s">
        <v>1573</v>
      </c>
      <c r="F4363" s="2461" t="s">
        <v>1622</v>
      </c>
      <c r="G4363" s="2461" t="s">
        <v>1418</v>
      </c>
      <c r="H4363" s="2461" t="s">
        <v>1452</v>
      </c>
      <c r="I4363" s="2462">
        <v>9.0136931063658249E-4</v>
      </c>
      <c r="J4363" s="2462">
        <v>80.135541411250699</v>
      </c>
    </row>
    <row r="4364" spans="1:10" outlineLevel="2">
      <c r="A4364" s="2459" t="s">
        <v>1669</v>
      </c>
      <c r="B4364" s="2459" t="s">
        <v>1663</v>
      </c>
      <c r="C4364" s="2459" t="s">
        <v>1670</v>
      </c>
      <c r="D4364" s="2460" t="s">
        <v>1671</v>
      </c>
      <c r="E4364" s="2461" t="s">
        <v>1573</v>
      </c>
      <c r="F4364" s="2461" t="s">
        <v>1623</v>
      </c>
      <c r="G4364" s="2461" t="s">
        <v>1418</v>
      </c>
      <c r="H4364" s="2461" t="s">
        <v>1452</v>
      </c>
      <c r="I4364" s="2462">
        <v>1.3670333982895657E-3</v>
      </c>
      <c r="J4364" s="2462">
        <v>59.089674832589886</v>
      </c>
    </row>
    <row r="4365" spans="1:10" outlineLevel="2">
      <c r="A4365" s="2459" t="s">
        <v>1669</v>
      </c>
      <c r="B4365" s="2459" t="s">
        <v>1663</v>
      </c>
      <c r="C4365" s="2459" t="s">
        <v>1670</v>
      </c>
      <c r="D4365" s="2460" t="s">
        <v>1671</v>
      </c>
      <c r="E4365" s="2461" t="s">
        <v>1573</v>
      </c>
      <c r="F4365" s="2461" t="s">
        <v>1624</v>
      </c>
      <c r="G4365" s="2461" t="s">
        <v>1421</v>
      </c>
      <c r="H4365" s="2461" t="s">
        <v>1454</v>
      </c>
      <c r="I4365" s="2462">
        <v>2.7142628093821314E-2</v>
      </c>
      <c r="J4365" s="2462">
        <v>992.52381743425622</v>
      </c>
    </row>
    <row r="4366" spans="1:10" outlineLevel="2">
      <c r="A4366" s="2459" t="s">
        <v>1669</v>
      </c>
      <c r="B4366" s="2459" t="s">
        <v>1663</v>
      </c>
      <c r="C4366" s="2459" t="s">
        <v>1670</v>
      </c>
      <c r="D4366" s="2460" t="s">
        <v>1671</v>
      </c>
      <c r="E4366" s="2461" t="s">
        <v>1573</v>
      </c>
      <c r="F4366" s="2461" t="s">
        <v>1625</v>
      </c>
      <c r="G4366" s="2461" t="s">
        <v>1421</v>
      </c>
      <c r="H4366" s="2461" t="s">
        <v>1454</v>
      </c>
      <c r="I4366" s="2462">
        <v>6.401067978297972E-3</v>
      </c>
      <c r="J4366" s="2462">
        <v>234.25372486863409</v>
      </c>
    </row>
    <row r="4367" spans="1:10" outlineLevel="2">
      <c r="A4367" s="2459" t="s">
        <v>1669</v>
      </c>
      <c r="B4367" s="2459" t="s">
        <v>1663</v>
      </c>
      <c r="C4367" s="2459" t="s">
        <v>1670</v>
      </c>
      <c r="D4367" s="2460" t="s">
        <v>1671</v>
      </c>
      <c r="E4367" s="2461" t="s">
        <v>1573</v>
      </c>
      <c r="F4367" s="2461" t="s">
        <v>1626</v>
      </c>
      <c r="G4367" s="2461" t="s">
        <v>1421</v>
      </c>
      <c r="H4367" s="2461" t="s">
        <v>1454</v>
      </c>
      <c r="I4367" s="2462">
        <v>1.7965107298013018E-2</v>
      </c>
      <c r="J4367" s="2462">
        <v>649.90836737422012</v>
      </c>
    </row>
    <row r="4368" spans="1:10" outlineLevel="2">
      <c r="A4368" s="2459" t="s">
        <v>1669</v>
      </c>
      <c r="B4368" s="2459" t="s">
        <v>1663</v>
      </c>
      <c r="C4368" s="2459" t="s">
        <v>1670</v>
      </c>
      <c r="D4368" s="2460" t="s">
        <v>1671</v>
      </c>
      <c r="E4368" s="2461" t="s">
        <v>1573</v>
      </c>
      <c r="F4368" s="2461" t="s">
        <v>1627</v>
      </c>
      <c r="G4368" s="2461" t="s">
        <v>1421</v>
      </c>
      <c r="H4368" s="2461" t="s">
        <v>1454</v>
      </c>
      <c r="I4368" s="2462">
        <v>1.5170035226122766E-2</v>
      </c>
      <c r="J4368" s="2462">
        <v>329.97832393588016</v>
      </c>
    </row>
    <row r="4369" spans="1:10" outlineLevel="2">
      <c r="A4369" s="2459" t="s">
        <v>1669</v>
      </c>
      <c r="B4369" s="2459" t="s">
        <v>1663</v>
      </c>
      <c r="C4369" s="2459" t="s">
        <v>1670</v>
      </c>
      <c r="D4369" s="2460" t="s">
        <v>1671</v>
      </c>
      <c r="E4369" s="2461" t="s">
        <v>1573</v>
      </c>
      <c r="F4369" s="2461" t="s">
        <v>1628</v>
      </c>
      <c r="G4369" s="2461" t="s">
        <v>1421</v>
      </c>
      <c r="H4369" s="2461" t="s">
        <v>1454</v>
      </c>
      <c r="I4369" s="2462">
        <v>7.5462395938303976E-4</v>
      </c>
      <c r="J4369" s="2462">
        <v>31.735635634723845</v>
      </c>
    </row>
    <row r="4370" spans="1:10" outlineLevel="2">
      <c r="A4370" s="2459" t="s">
        <v>1669</v>
      </c>
      <c r="B4370" s="2459" t="s">
        <v>1663</v>
      </c>
      <c r="C4370" s="2459" t="s">
        <v>1670</v>
      </c>
      <c r="D4370" s="2460" t="s">
        <v>1671</v>
      </c>
      <c r="E4370" s="2461" t="s">
        <v>1573</v>
      </c>
      <c r="F4370" s="2461" t="s">
        <v>1629</v>
      </c>
      <c r="G4370" s="2461" t="s">
        <v>1421</v>
      </c>
      <c r="H4370" s="2461" t="s">
        <v>1454</v>
      </c>
      <c r="I4370" s="2462">
        <v>8.7301405002770927E-4</v>
      </c>
      <c r="J4370" s="2462">
        <v>28.088586775544943</v>
      </c>
    </row>
    <row r="4371" spans="1:10" outlineLevel="2">
      <c r="A4371" s="2459" t="s">
        <v>1669</v>
      </c>
      <c r="B4371" s="2459" t="s">
        <v>1663</v>
      </c>
      <c r="C4371" s="2459" t="s">
        <v>1670</v>
      </c>
      <c r="D4371" s="2460" t="s">
        <v>1671</v>
      </c>
      <c r="E4371" s="2461" t="s">
        <v>1573</v>
      </c>
      <c r="F4371" s="2461" t="s">
        <v>1630</v>
      </c>
      <c r="G4371" s="2461" t="s">
        <v>1459</v>
      </c>
      <c r="H4371" s="2461" t="s">
        <v>1460</v>
      </c>
      <c r="I4371" s="2462">
        <v>1.7144968471059596E-3</v>
      </c>
      <c r="J4371" s="2462">
        <v>112.36447712585345</v>
      </c>
    </row>
    <row r="4372" spans="1:10" outlineLevel="2">
      <c r="A4372" s="2459" t="s">
        <v>1669</v>
      </c>
      <c r="B4372" s="2459" t="s">
        <v>1663</v>
      </c>
      <c r="C4372" s="2459" t="s">
        <v>1670</v>
      </c>
      <c r="D4372" s="2460" t="s">
        <v>1671</v>
      </c>
      <c r="E4372" s="2461" t="s">
        <v>1573</v>
      </c>
      <c r="F4372" s="2461" t="s">
        <v>1643</v>
      </c>
      <c r="G4372" s="2461" t="s">
        <v>1412</v>
      </c>
      <c r="H4372" s="2461" t="s">
        <v>1116</v>
      </c>
      <c r="I4372" s="2462">
        <v>1.6779805988750959E-3</v>
      </c>
      <c r="J4372" s="2462">
        <v>53.304081073667788</v>
      </c>
    </row>
    <row r="4373" spans="1:10" outlineLevel="2">
      <c r="A4373" s="2459" t="s">
        <v>1669</v>
      </c>
      <c r="B4373" s="2459" t="s">
        <v>1663</v>
      </c>
      <c r="C4373" s="2459" t="s">
        <v>1670</v>
      </c>
      <c r="D4373" s="2460" t="s">
        <v>1671</v>
      </c>
      <c r="E4373" s="2461" t="s">
        <v>1573</v>
      </c>
      <c r="F4373" s="2461" t="s">
        <v>1633</v>
      </c>
      <c r="G4373" s="2461" t="s">
        <v>215</v>
      </c>
      <c r="H4373" s="2461" t="s">
        <v>1537</v>
      </c>
      <c r="I4373" s="2462">
        <v>6.6487190776172642E-3</v>
      </c>
      <c r="J4373" s="2462">
        <v>148.22765026752515</v>
      </c>
    </row>
    <row r="4374" spans="1:10" outlineLevel="2">
      <c r="A4374" s="2459" t="s">
        <v>1669</v>
      </c>
      <c r="B4374" s="2459" t="s">
        <v>1663</v>
      </c>
      <c r="C4374" s="2459" t="s">
        <v>1670</v>
      </c>
      <c r="D4374" s="2460" t="s">
        <v>1676</v>
      </c>
      <c r="E4374" s="2461" t="s">
        <v>213</v>
      </c>
      <c r="F4374" s="2461" t="s">
        <v>1635</v>
      </c>
      <c r="G4374" s="2461" t="s">
        <v>1636</v>
      </c>
      <c r="H4374" s="2461" t="s">
        <v>1637</v>
      </c>
      <c r="I4374" s="2462">
        <v>5.3340394465162537E-4</v>
      </c>
      <c r="J4374" s="2462">
        <v>1.7945618337421327</v>
      </c>
    </row>
    <row r="4375" spans="1:10" outlineLevel="2">
      <c r="A4375" s="2459" t="s">
        <v>1669</v>
      </c>
      <c r="B4375" s="2459" t="s">
        <v>1663</v>
      </c>
      <c r="C4375" s="2459" t="s">
        <v>1670</v>
      </c>
      <c r="D4375" s="2460" t="s">
        <v>1676</v>
      </c>
      <c r="E4375" s="2461" t="s">
        <v>1538</v>
      </c>
      <c r="F4375" s="2461" t="s">
        <v>1638</v>
      </c>
      <c r="G4375" s="2461" t="s">
        <v>1636</v>
      </c>
      <c r="H4375" s="2461" t="s">
        <v>1540</v>
      </c>
      <c r="I4375" s="2462">
        <v>5.974222133531192E-5</v>
      </c>
      <c r="J4375" s="2462">
        <v>1.0013058330208504</v>
      </c>
    </row>
    <row r="4376" spans="1:10" outlineLevel="2">
      <c r="A4376" s="2459" t="s">
        <v>1669</v>
      </c>
      <c r="B4376" s="2459" t="s">
        <v>1663</v>
      </c>
      <c r="C4376" s="2459" t="s">
        <v>1670</v>
      </c>
      <c r="D4376" s="2460" t="s">
        <v>1676</v>
      </c>
      <c r="E4376" s="2461" t="s">
        <v>1573</v>
      </c>
      <c r="F4376" s="2461" t="s">
        <v>1639</v>
      </c>
      <c r="G4376" s="2461" t="s">
        <v>1636</v>
      </c>
      <c r="H4376" s="2461" t="s">
        <v>1637</v>
      </c>
      <c r="I4376" s="2462">
        <v>1.0399644786004787E-3</v>
      </c>
      <c r="J4376" s="2462">
        <v>55.384308353396094</v>
      </c>
    </row>
    <row r="4377" spans="1:10" outlineLevel="2">
      <c r="A4377" s="2459" t="s">
        <v>1669</v>
      </c>
      <c r="B4377" s="2459" t="s">
        <v>1664</v>
      </c>
      <c r="C4377" s="2459" t="s">
        <v>1670</v>
      </c>
      <c r="D4377" s="2460" t="s">
        <v>1671</v>
      </c>
      <c r="E4377" s="2461" t="s">
        <v>1407</v>
      </c>
      <c r="F4377" s="2461" t="s">
        <v>1408</v>
      </c>
      <c r="G4377" s="2461" t="s">
        <v>1409</v>
      </c>
      <c r="H4377" s="2461" t="s">
        <v>1410</v>
      </c>
      <c r="I4377" s="2462">
        <v>4.2892716730208048E-3</v>
      </c>
      <c r="J4377" s="2462">
        <v>6.3096163179438017E-2</v>
      </c>
    </row>
    <row r="4378" spans="1:10" outlineLevel="2">
      <c r="A4378" s="2459" t="s">
        <v>1669</v>
      </c>
      <c r="B4378" s="2459" t="s">
        <v>1664</v>
      </c>
      <c r="C4378" s="2459" t="s">
        <v>1670</v>
      </c>
      <c r="D4378" s="2460" t="s">
        <v>1671</v>
      </c>
      <c r="E4378" s="2461" t="s">
        <v>1407</v>
      </c>
      <c r="F4378" s="2461" t="s">
        <v>1411</v>
      </c>
      <c r="G4378" s="2461" t="s">
        <v>1412</v>
      </c>
      <c r="H4378" s="2461" t="s">
        <v>1410</v>
      </c>
      <c r="I4378" s="2462">
        <v>1.7642403680616012</v>
      </c>
      <c r="J4378" s="2462">
        <v>286.50198756113508</v>
      </c>
    </row>
    <row r="4379" spans="1:10" outlineLevel="2">
      <c r="A4379" s="2459" t="s">
        <v>1669</v>
      </c>
      <c r="B4379" s="2459" t="s">
        <v>1664</v>
      </c>
      <c r="C4379" s="2459" t="s">
        <v>1670</v>
      </c>
      <c r="D4379" s="2460" t="s">
        <v>1671</v>
      </c>
      <c r="E4379" s="2461" t="s">
        <v>1407</v>
      </c>
      <c r="F4379" s="2461" t="s">
        <v>1413</v>
      </c>
      <c r="G4379" s="2461" t="s">
        <v>1412</v>
      </c>
      <c r="H4379" s="2461" t="s">
        <v>1410</v>
      </c>
      <c r="I4379" s="2462">
        <v>1.4327384478964693E-3</v>
      </c>
      <c r="J4379" s="2462">
        <v>0.24271814897084326</v>
      </c>
    </row>
    <row r="4380" spans="1:10" outlineLevel="2">
      <c r="A4380" s="2459" t="s">
        <v>1669</v>
      </c>
      <c r="B4380" s="2459" t="s">
        <v>1664</v>
      </c>
      <c r="C4380" s="2459" t="s">
        <v>1670</v>
      </c>
      <c r="D4380" s="2460" t="s">
        <v>1671</v>
      </c>
      <c r="E4380" s="2461" t="s">
        <v>1407</v>
      </c>
      <c r="F4380" s="2461" t="s">
        <v>1414</v>
      </c>
      <c r="G4380" s="2461" t="s">
        <v>1412</v>
      </c>
      <c r="H4380" s="2461" t="s">
        <v>1410</v>
      </c>
      <c r="I4380" s="2462">
        <v>7.1998915567264468E-4</v>
      </c>
      <c r="J4380" s="2462">
        <v>0.13226484746524594</v>
      </c>
    </row>
    <row r="4381" spans="1:10" outlineLevel="2">
      <c r="A4381" s="2459" t="s">
        <v>1669</v>
      </c>
      <c r="B4381" s="2459" t="s">
        <v>1664</v>
      </c>
      <c r="C4381" s="2459" t="s">
        <v>1670</v>
      </c>
      <c r="D4381" s="2460" t="s">
        <v>1671</v>
      </c>
      <c r="E4381" s="2461" t="s">
        <v>1407</v>
      </c>
      <c r="F4381" s="2461" t="s">
        <v>1415</v>
      </c>
      <c r="G4381" s="2461" t="s">
        <v>1412</v>
      </c>
      <c r="H4381" s="2461" t="s">
        <v>1410</v>
      </c>
      <c r="I4381" s="2462">
        <v>3.648474533925518E-3</v>
      </c>
      <c r="J4381" s="2462">
        <v>0.58116943570560098</v>
      </c>
    </row>
    <row r="4382" spans="1:10" outlineLevel="2">
      <c r="A4382" s="2459" t="s">
        <v>1669</v>
      </c>
      <c r="B4382" s="2459" t="s">
        <v>1664</v>
      </c>
      <c r="C4382" s="2459" t="s">
        <v>1670</v>
      </c>
      <c r="D4382" s="2460" t="s">
        <v>1671</v>
      </c>
      <c r="E4382" s="2461" t="s">
        <v>1407</v>
      </c>
      <c r="F4382" s="2461" t="s">
        <v>1416</v>
      </c>
      <c r="G4382" s="2461" t="s">
        <v>1412</v>
      </c>
      <c r="H4382" s="2461" t="s">
        <v>1410</v>
      </c>
      <c r="I4382" s="2462">
        <v>6.5902326394559818E-3</v>
      </c>
      <c r="J4382" s="2462">
        <v>1.6211413877830501</v>
      </c>
    </row>
    <row r="4383" spans="1:10" outlineLevel="2">
      <c r="A4383" s="2459" t="s">
        <v>1669</v>
      </c>
      <c r="B4383" s="2459" t="s">
        <v>1664</v>
      </c>
      <c r="C4383" s="2459" t="s">
        <v>1670</v>
      </c>
      <c r="D4383" s="2460" t="s">
        <v>1671</v>
      </c>
      <c r="E4383" s="2461" t="s">
        <v>1407</v>
      </c>
      <c r="F4383" s="2461" t="s">
        <v>1417</v>
      </c>
      <c r="G4383" s="2461" t="s">
        <v>1418</v>
      </c>
      <c r="H4383" s="2461" t="s">
        <v>1410</v>
      </c>
      <c r="I4383" s="2462">
        <v>5.3267658151863765E-3</v>
      </c>
      <c r="J4383" s="2462">
        <v>7.0754952323998324E-2</v>
      </c>
    </row>
    <row r="4384" spans="1:10" outlineLevel="2">
      <c r="A4384" s="2459" t="s">
        <v>1669</v>
      </c>
      <c r="B4384" s="2459" t="s">
        <v>1664</v>
      </c>
      <c r="C4384" s="2459" t="s">
        <v>1670</v>
      </c>
      <c r="D4384" s="2460" t="s">
        <v>1671</v>
      </c>
      <c r="E4384" s="2461" t="s">
        <v>1407</v>
      </c>
      <c r="F4384" s="2461" t="s">
        <v>1419</v>
      </c>
      <c r="G4384" s="2461" t="s">
        <v>1418</v>
      </c>
      <c r="H4384" s="2461" t="s">
        <v>1410</v>
      </c>
      <c r="I4384" s="2462">
        <v>3.9539729750227078E-2</v>
      </c>
      <c r="J4384" s="2462">
        <v>7.6789959135539112</v>
      </c>
    </row>
    <row r="4385" spans="1:10" outlineLevel="2">
      <c r="A4385" s="2459" t="s">
        <v>1669</v>
      </c>
      <c r="B4385" s="2459" t="s">
        <v>1664</v>
      </c>
      <c r="C4385" s="2459" t="s">
        <v>1670</v>
      </c>
      <c r="D4385" s="2460" t="s">
        <v>1671</v>
      </c>
      <c r="E4385" s="2461" t="s">
        <v>1407</v>
      </c>
      <c r="F4385" s="2461" t="s">
        <v>1420</v>
      </c>
      <c r="G4385" s="2461" t="s">
        <v>1421</v>
      </c>
      <c r="H4385" s="2461" t="s">
        <v>1410</v>
      </c>
      <c r="I4385" s="2462">
        <v>1.3124285942821889</v>
      </c>
      <c r="J4385" s="2462">
        <v>34.061012825242024</v>
      </c>
    </row>
    <row r="4386" spans="1:10" outlineLevel="2">
      <c r="A4386" s="2459" t="s">
        <v>1669</v>
      </c>
      <c r="B4386" s="2459" t="s">
        <v>1664</v>
      </c>
      <c r="C4386" s="2459" t="s">
        <v>1670</v>
      </c>
      <c r="D4386" s="2460" t="s">
        <v>1671</v>
      </c>
      <c r="E4386" s="2461" t="s">
        <v>1407</v>
      </c>
      <c r="F4386" s="2461" t="s">
        <v>1422</v>
      </c>
      <c r="G4386" s="2461" t="s">
        <v>1421</v>
      </c>
      <c r="H4386" s="2461" t="s">
        <v>1410</v>
      </c>
      <c r="I4386" s="2462">
        <v>3.9687659505466329E-2</v>
      </c>
      <c r="J4386" s="2462">
        <v>1.62613086766663</v>
      </c>
    </row>
    <row r="4387" spans="1:10" outlineLevel="2">
      <c r="A4387" s="2459" t="s">
        <v>1669</v>
      </c>
      <c r="B4387" s="2459" t="s">
        <v>1664</v>
      </c>
      <c r="C4387" s="2459" t="s">
        <v>1670</v>
      </c>
      <c r="D4387" s="2460" t="s">
        <v>1671</v>
      </c>
      <c r="E4387" s="2461" t="s">
        <v>1407</v>
      </c>
      <c r="F4387" s="2461" t="s">
        <v>1423</v>
      </c>
      <c r="G4387" s="2461" t="s">
        <v>1421</v>
      </c>
      <c r="H4387" s="2461" t="s">
        <v>1410</v>
      </c>
      <c r="I4387" s="2462">
        <v>2.0628669091416578E-2</v>
      </c>
      <c r="J4387" s="2462">
        <v>2.3772186127132886</v>
      </c>
    </row>
    <row r="4388" spans="1:10" outlineLevel="2">
      <c r="A4388" s="2459" t="s">
        <v>1669</v>
      </c>
      <c r="B4388" s="2459" t="s">
        <v>1664</v>
      </c>
      <c r="C4388" s="2459" t="s">
        <v>1670</v>
      </c>
      <c r="D4388" s="2460" t="s">
        <v>1671</v>
      </c>
      <c r="E4388" s="2461" t="s">
        <v>1407</v>
      </c>
      <c r="F4388" s="2461" t="s">
        <v>1424</v>
      </c>
      <c r="G4388" s="2461" t="s">
        <v>1421</v>
      </c>
      <c r="H4388" s="2461" t="s">
        <v>1410</v>
      </c>
      <c r="I4388" s="2462">
        <v>0.40340445647560125</v>
      </c>
      <c r="J4388" s="2462">
        <v>84.418602281584882</v>
      </c>
    </row>
    <row r="4389" spans="1:10" outlineLevel="2">
      <c r="A4389" s="2459" t="s">
        <v>1669</v>
      </c>
      <c r="B4389" s="2459" t="s">
        <v>1664</v>
      </c>
      <c r="C4389" s="2459" t="s">
        <v>1670</v>
      </c>
      <c r="D4389" s="2460" t="s">
        <v>1671</v>
      </c>
      <c r="E4389" s="2461" t="s">
        <v>213</v>
      </c>
      <c r="F4389" s="2461" t="s">
        <v>1425</v>
      </c>
      <c r="G4389" s="2461" t="s">
        <v>1426</v>
      </c>
      <c r="H4389" s="2461" t="s">
        <v>1427</v>
      </c>
      <c r="I4389" s="2462">
        <v>0.62709222247279706</v>
      </c>
      <c r="J4389" s="2462">
        <v>180.18387379956295</v>
      </c>
    </row>
    <row r="4390" spans="1:10" outlineLevel="2">
      <c r="A4390" s="2459" t="s">
        <v>1669</v>
      </c>
      <c r="B4390" s="2459" t="s">
        <v>1664</v>
      </c>
      <c r="C4390" s="2459" t="s">
        <v>1670</v>
      </c>
      <c r="D4390" s="2460" t="s">
        <v>1671</v>
      </c>
      <c r="E4390" s="2461" t="s">
        <v>213</v>
      </c>
      <c r="F4390" s="2461" t="s">
        <v>1428</v>
      </c>
      <c r="G4390" s="2461" t="s">
        <v>1426</v>
      </c>
      <c r="H4390" s="2461" t="s">
        <v>1427</v>
      </c>
      <c r="I4390" s="2462">
        <v>0.19155200138827844</v>
      </c>
      <c r="J4390" s="2462">
        <v>77.381798849913579</v>
      </c>
    </row>
    <row r="4391" spans="1:10" outlineLevel="2">
      <c r="A4391" s="2459" t="s">
        <v>1669</v>
      </c>
      <c r="B4391" s="2459" t="s">
        <v>1664</v>
      </c>
      <c r="C4391" s="2459" t="s">
        <v>1670</v>
      </c>
      <c r="D4391" s="2460" t="s">
        <v>1671</v>
      </c>
      <c r="E4391" s="2461" t="s">
        <v>213</v>
      </c>
      <c r="F4391" s="2461" t="s">
        <v>1429</v>
      </c>
      <c r="G4391" s="2461" t="s">
        <v>1426</v>
      </c>
      <c r="H4391" s="2461" t="s">
        <v>1427</v>
      </c>
      <c r="I4391" s="2462">
        <v>8.7185679491838947E-2</v>
      </c>
      <c r="J4391" s="2462">
        <v>112.12724707176625</v>
      </c>
    </row>
    <row r="4392" spans="1:10" outlineLevel="2">
      <c r="A4392" s="2459" t="s">
        <v>1669</v>
      </c>
      <c r="B4392" s="2459" t="s">
        <v>1664</v>
      </c>
      <c r="C4392" s="2459" t="s">
        <v>1670</v>
      </c>
      <c r="D4392" s="2460" t="s">
        <v>1671</v>
      </c>
      <c r="E4392" s="2461" t="s">
        <v>213</v>
      </c>
      <c r="F4392" s="2461" t="s">
        <v>1430</v>
      </c>
      <c r="G4392" s="2461" t="s">
        <v>1409</v>
      </c>
      <c r="H4392" s="2461" t="s">
        <v>1070</v>
      </c>
      <c r="I4392" s="2462">
        <v>1.3258373061722348E-2</v>
      </c>
      <c r="J4392" s="2462">
        <v>8.2265541969123852</v>
      </c>
    </row>
    <row r="4393" spans="1:10" outlineLevel="2">
      <c r="A4393" s="2459" t="s">
        <v>1669</v>
      </c>
      <c r="B4393" s="2459" t="s">
        <v>1664</v>
      </c>
      <c r="C4393" s="2459" t="s">
        <v>1670</v>
      </c>
      <c r="D4393" s="2460" t="s">
        <v>1671</v>
      </c>
      <c r="E4393" s="2461" t="s">
        <v>213</v>
      </c>
      <c r="F4393" s="2461" t="s">
        <v>1431</v>
      </c>
      <c r="G4393" s="2461" t="s">
        <v>1409</v>
      </c>
      <c r="H4393" s="2461" t="s">
        <v>1070</v>
      </c>
      <c r="I4393" s="2462">
        <v>1.1003052280488246E-3</v>
      </c>
      <c r="J4393" s="2462">
        <v>0.53288466381209276</v>
      </c>
    </row>
    <row r="4394" spans="1:10" outlineLevel="2">
      <c r="A4394" s="2459" t="s">
        <v>1669</v>
      </c>
      <c r="B4394" s="2459" t="s">
        <v>1664</v>
      </c>
      <c r="C4394" s="2459" t="s">
        <v>1670</v>
      </c>
      <c r="D4394" s="2460" t="s">
        <v>1671</v>
      </c>
      <c r="E4394" s="2461" t="s">
        <v>213</v>
      </c>
      <c r="F4394" s="2461" t="s">
        <v>1432</v>
      </c>
      <c r="G4394" s="2461" t="s">
        <v>1409</v>
      </c>
      <c r="H4394" s="2461" t="s">
        <v>1070</v>
      </c>
      <c r="I4394" s="2462">
        <v>1.3334244634277293E-3</v>
      </c>
      <c r="J4394" s="2462">
        <v>0.63694837471391463</v>
      </c>
    </row>
    <row r="4395" spans="1:10" outlineLevel="2">
      <c r="A4395" s="2459" t="s">
        <v>1669</v>
      </c>
      <c r="B4395" s="2459" t="s">
        <v>1664</v>
      </c>
      <c r="C4395" s="2459" t="s">
        <v>1670</v>
      </c>
      <c r="D4395" s="2460" t="s">
        <v>1671</v>
      </c>
      <c r="E4395" s="2461" t="s">
        <v>213</v>
      </c>
      <c r="F4395" s="2461" t="s">
        <v>1433</v>
      </c>
      <c r="G4395" s="2461" t="s">
        <v>1409</v>
      </c>
      <c r="H4395" s="2461" t="s">
        <v>1070</v>
      </c>
      <c r="I4395" s="2462">
        <v>9.861239279836775E-6</v>
      </c>
      <c r="J4395" s="2462">
        <v>4.4133659425577322E-3</v>
      </c>
    </row>
    <row r="4396" spans="1:10" outlineLevel="2">
      <c r="A4396" s="2459" t="s">
        <v>1669</v>
      </c>
      <c r="B4396" s="2459" t="s">
        <v>1664</v>
      </c>
      <c r="C4396" s="2459" t="s">
        <v>1670</v>
      </c>
      <c r="D4396" s="2460" t="s">
        <v>1671</v>
      </c>
      <c r="E4396" s="2461" t="s">
        <v>213</v>
      </c>
      <c r="F4396" s="2461" t="s">
        <v>1434</v>
      </c>
      <c r="G4396" s="2461" t="s">
        <v>1409</v>
      </c>
      <c r="H4396" s="2461" t="s">
        <v>1070</v>
      </c>
      <c r="I4396" s="2462">
        <v>3.8010363378093603E-2</v>
      </c>
      <c r="J4396" s="2462">
        <v>21.224361992697908</v>
      </c>
    </row>
    <row r="4397" spans="1:10" outlineLevel="2">
      <c r="A4397" s="2459" t="s">
        <v>1669</v>
      </c>
      <c r="B4397" s="2459" t="s">
        <v>1664</v>
      </c>
      <c r="C4397" s="2459" t="s">
        <v>1670</v>
      </c>
      <c r="D4397" s="2460" t="s">
        <v>1671</v>
      </c>
      <c r="E4397" s="2461" t="s">
        <v>213</v>
      </c>
      <c r="F4397" s="2461" t="s">
        <v>1435</v>
      </c>
      <c r="G4397" s="2461" t="s">
        <v>1409</v>
      </c>
      <c r="H4397" s="2461" t="s">
        <v>1070</v>
      </c>
      <c r="I4397" s="2462">
        <v>2.7791937049079511E-4</v>
      </c>
      <c r="J4397" s="2462">
        <v>0.12438188646628609</v>
      </c>
    </row>
    <row r="4398" spans="1:10" outlineLevel="2">
      <c r="A4398" s="2459" t="s">
        <v>1669</v>
      </c>
      <c r="B4398" s="2459" t="s">
        <v>1664</v>
      </c>
      <c r="C4398" s="2459" t="s">
        <v>1670</v>
      </c>
      <c r="D4398" s="2460" t="s">
        <v>1671</v>
      </c>
      <c r="E4398" s="2461" t="s">
        <v>213</v>
      </c>
      <c r="F4398" s="2461" t="s">
        <v>1436</v>
      </c>
      <c r="G4398" s="2461" t="s">
        <v>1412</v>
      </c>
      <c r="H4398" s="2461" t="s">
        <v>1116</v>
      </c>
      <c r="I4398" s="2462">
        <v>1.7473055156560953E-3</v>
      </c>
      <c r="J4398" s="2462">
        <v>0.78199898423805259</v>
      </c>
    </row>
    <row r="4399" spans="1:10" outlineLevel="2">
      <c r="A4399" s="2459" t="s">
        <v>1669</v>
      </c>
      <c r="B4399" s="2459" t="s">
        <v>1664</v>
      </c>
      <c r="C4399" s="2459" t="s">
        <v>1670</v>
      </c>
      <c r="D4399" s="2460" t="s">
        <v>1671</v>
      </c>
      <c r="E4399" s="2461" t="s">
        <v>213</v>
      </c>
      <c r="F4399" s="2461" t="s">
        <v>1437</v>
      </c>
      <c r="G4399" s="2461" t="s">
        <v>1412</v>
      </c>
      <c r="H4399" s="2461" t="s">
        <v>1116</v>
      </c>
      <c r="I4399" s="2462">
        <v>1.3370616570042477E-4</v>
      </c>
      <c r="J4399" s="2462">
        <v>5.9839693238087063E-2</v>
      </c>
    </row>
    <row r="4400" spans="1:10" outlineLevel="2">
      <c r="A4400" s="2459" t="s">
        <v>1669</v>
      </c>
      <c r="B4400" s="2459" t="s">
        <v>1664</v>
      </c>
      <c r="C4400" s="2459" t="s">
        <v>1670</v>
      </c>
      <c r="D4400" s="2460" t="s">
        <v>1671</v>
      </c>
      <c r="E4400" s="2461" t="s">
        <v>213</v>
      </c>
      <c r="F4400" s="2461" t="s">
        <v>1438</v>
      </c>
      <c r="G4400" s="2461" t="s">
        <v>1439</v>
      </c>
      <c r="H4400" s="2461" t="s">
        <v>1440</v>
      </c>
      <c r="I4400" s="2462">
        <v>5.6506034846216533E-3</v>
      </c>
      <c r="J4400" s="2462">
        <v>3.0946459370516988</v>
      </c>
    </row>
    <row r="4401" spans="1:10" outlineLevel="2">
      <c r="A4401" s="2459" t="s">
        <v>1669</v>
      </c>
      <c r="B4401" s="2459" t="s">
        <v>1664</v>
      </c>
      <c r="C4401" s="2459" t="s">
        <v>1670</v>
      </c>
      <c r="D4401" s="2460" t="s">
        <v>1671</v>
      </c>
      <c r="E4401" s="2461" t="s">
        <v>213</v>
      </c>
      <c r="F4401" s="2461" t="s">
        <v>1441</v>
      </c>
      <c r="G4401" s="2461" t="s">
        <v>1439</v>
      </c>
      <c r="H4401" s="2461" t="s">
        <v>1440</v>
      </c>
      <c r="I4401" s="2462">
        <v>2.6054766814890464E-2</v>
      </c>
      <c r="J4401" s="2462">
        <v>14.003015857248082</v>
      </c>
    </row>
    <row r="4402" spans="1:10" outlineLevel="2">
      <c r="A4402" s="2459" t="s">
        <v>1669</v>
      </c>
      <c r="B4402" s="2459" t="s">
        <v>1664</v>
      </c>
      <c r="C4402" s="2459" t="s">
        <v>1670</v>
      </c>
      <c r="D4402" s="2460" t="s">
        <v>1671</v>
      </c>
      <c r="E4402" s="2461" t="s">
        <v>213</v>
      </c>
      <c r="F4402" s="2461" t="s">
        <v>1442</v>
      </c>
      <c r="G4402" s="2461" t="s">
        <v>1439</v>
      </c>
      <c r="H4402" s="2461" t="s">
        <v>1440</v>
      </c>
      <c r="I4402" s="2462">
        <v>7.9529541965749559E-2</v>
      </c>
      <c r="J4402" s="2462">
        <v>41.319332104225744</v>
      </c>
    </row>
    <row r="4403" spans="1:10" outlineLevel="2">
      <c r="A4403" s="2459" t="s">
        <v>1669</v>
      </c>
      <c r="B4403" s="2459" t="s">
        <v>1664</v>
      </c>
      <c r="C4403" s="2459" t="s">
        <v>1670</v>
      </c>
      <c r="D4403" s="2460" t="s">
        <v>1671</v>
      </c>
      <c r="E4403" s="2461" t="s">
        <v>213</v>
      </c>
      <c r="F4403" s="2461" t="s">
        <v>1443</v>
      </c>
      <c r="G4403" s="2461" t="s">
        <v>1439</v>
      </c>
      <c r="H4403" s="2461" t="s">
        <v>1440</v>
      </c>
      <c r="I4403" s="2462">
        <v>0.24636261596616429</v>
      </c>
      <c r="J4403" s="2462">
        <v>134.85983627700455</v>
      </c>
    </row>
    <row r="4404" spans="1:10" outlineLevel="2">
      <c r="A4404" s="2459" t="s">
        <v>1669</v>
      </c>
      <c r="B4404" s="2459" t="s">
        <v>1664</v>
      </c>
      <c r="C4404" s="2459" t="s">
        <v>1670</v>
      </c>
      <c r="D4404" s="2460" t="s">
        <v>1671</v>
      </c>
      <c r="E4404" s="2461" t="s">
        <v>213</v>
      </c>
      <c r="F4404" s="2461" t="s">
        <v>1444</v>
      </c>
      <c r="G4404" s="2461" t="s">
        <v>1439</v>
      </c>
      <c r="H4404" s="2461" t="s">
        <v>1440</v>
      </c>
      <c r="I4404" s="2462">
        <v>9.7697573662732365E-2</v>
      </c>
      <c r="J4404" s="2462">
        <v>57.383626495946956</v>
      </c>
    </row>
    <row r="4405" spans="1:10" outlineLevel="2">
      <c r="A4405" s="2459" t="s">
        <v>1669</v>
      </c>
      <c r="B4405" s="2459" t="s">
        <v>1664</v>
      </c>
      <c r="C4405" s="2459" t="s">
        <v>1670</v>
      </c>
      <c r="D4405" s="2460" t="s">
        <v>1671</v>
      </c>
      <c r="E4405" s="2461" t="s">
        <v>213</v>
      </c>
      <c r="F4405" s="2461" t="s">
        <v>1445</v>
      </c>
      <c r="G4405" s="2461" t="s">
        <v>1439</v>
      </c>
      <c r="H4405" s="2461" t="s">
        <v>1440</v>
      </c>
      <c r="I4405" s="2462">
        <v>0.23311742640761501</v>
      </c>
      <c r="J4405" s="2462">
        <v>117.84943381980283</v>
      </c>
    </row>
    <row r="4406" spans="1:10" outlineLevel="2">
      <c r="A4406" s="2459" t="s">
        <v>1669</v>
      </c>
      <c r="B4406" s="2459" t="s">
        <v>1664</v>
      </c>
      <c r="C4406" s="2459" t="s">
        <v>1670</v>
      </c>
      <c r="D4406" s="2460" t="s">
        <v>1671</v>
      </c>
      <c r="E4406" s="2461" t="s">
        <v>213</v>
      </c>
      <c r="F4406" s="2461" t="s">
        <v>1446</v>
      </c>
      <c r="G4406" s="2461" t="s">
        <v>1439</v>
      </c>
      <c r="H4406" s="2461" t="s">
        <v>1440</v>
      </c>
      <c r="I4406" s="2462">
        <v>6.8861697916976966E-2</v>
      </c>
      <c r="J4406" s="2462">
        <v>36.931954787914869</v>
      </c>
    </row>
    <row r="4407" spans="1:10" outlineLevel="2">
      <c r="A4407" s="2459" t="s">
        <v>1669</v>
      </c>
      <c r="B4407" s="2459" t="s">
        <v>1664</v>
      </c>
      <c r="C4407" s="2459" t="s">
        <v>1670</v>
      </c>
      <c r="D4407" s="2460" t="s">
        <v>1671</v>
      </c>
      <c r="E4407" s="2461" t="s">
        <v>213</v>
      </c>
      <c r="F4407" s="2461" t="s">
        <v>1447</v>
      </c>
      <c r="G4407" s="2461" t="s">
        <v>1439</v>
      </c>
      <c r="H4407" s="2461" t="s">
        <v>1440</v>
      </c>
      <c r="I4407" s="2462">
        <v>0.20574775051916472</v>
      </c>
      <c r="J4407" s="2462">
        <v>110.04320537254875</v>
      </c>
    </row>
    <row r="4408" spans="1:10" outlineLevel="2">
      <c r="A4408" s="2459" t="s">
        <v>1669</v>
      </c>
      <c r="B4408" s="2459" t="s">
        <v>1664</v>
      </c>
      <c r="C4408" s="2459" t="s">
        <v>1670</v>
      </c>
      <c r="D4408" s="2460" t="s">
        <v>1671</v>
      </c>
      <c r="E4408" s="2461" t="s">
        <v>213</v>
      </c>
      <c r="F4408" s="2461" t="s">
        <v>1450</v>
      </c>
      <c r="G4408" s="2461" t="s">
        <v>1439</v>
      </c>
      <c r="H4408" s="2461" t="s">
        <v>1440</v>
      </c>
      <c r="I4408" s="2462">
        <v>1.1767968239911707E-4</v>
      </c>
      <c r="J4408" s="2462">
        <v>5.8719895930296924E-2</v>
      </c>
    </row>
    <row r="4409" spans="1:10" outlineLevel="2">
      <c r="A4409" s="2459" t="s">
        <v>1669</v>
      </c>
      <c r="B4409" s="2459" t="s">
        <v>1664</v>
      </c>
      <c r="C4409" s="2459" t="s">
        <v>1670</v>
      </c>
      <c r="D4409" s="2460" t="s">
        <v>1671</v>
      </c>
      <c r="E4409" s="2461" t="s">
        <v>213</v>
      </c>
      <c r="F4409" s="2461" t="s">
        <v>1451</v>
      </c>
      <c r="G4409" s="2461" t="s">
        <v>1418</v>
      </c>
      <c r="H4409" s="2461" t="s">
        <v>1452</v>
      </c>
      <c r="I4409" s="2462">
        <v>6.6151333930892641E-4</v>
      </c>
      <c r="J4409" s="2462">
        <v>0.40228108717872307</v>
      </c>
    </row>
    <row r="4410" spans="1:10" outlineLevel="2">
      <c r="A4410" s="2459" t="s">
        <v>1669</v>
      </c>
      <c r="B4410" s="2459" t="s">
        <v>1664</v>
      </c>
      <c r="C4410" s="2459" t="s">
        <v>1670</v>
      </c>
      <c r="D4410" s="2460" t="s">
        <v>1671</v>
      </c>
      <c r="E4410" s="2461" t="s">
        <v>213</v>
      </c>
      <c r="F4410" s="2461" t="s">
        <v>1453</v>
      </c>
      <c r="G4410" s="2461" t="s">
        <v>1421</v>
      </c>
      <c r="H4410" s="2461" t="s">
        <v>1454</v>
      </c>
      <c r="I4410" s="2462">
        <v>1.1566087900711616E-2</v>
      </c>
      <c r="J4410" s="2462">
        <v>5.7264857231632611</v>
      </c>
    </row>
    <row r="4411" spans="1:10" outlineLevel="2">
      <c r="A4411" s="2459" t="s">
        <v>1669</v>
      </c>
      <c r="B4411" s="2459" t="s">
        <v>1664</v>
      </c>
      <c r="C4411" s="2459" t="s">
        <v>1670</v>
      </c>
      <c r="D4411" s="2460" t="s">
        <v>1671</v>
      </c>
      <c r="E4411" s="2461" t="s">
        <v>213</v>
      </c>
      <c r="F4411" s="2461" t="s">
        <v>1455</v>
      </c>
      <c r="G4411" s="2461" t="s">
        <v>1421</v>
      </c>
      <c r="H4411" s="2461" t="s">
        <v>1454</v>
      </c>
      <c r="I4411" s="2462">
        <v>7.3810110677050234E-2</v>
      </c>
      <c r="J4411" s="2462">
        <v>38.202077824741096</v>
      </c>
    </row>
    <row r="4412" spans="1:10" outlineLevel="2">
      <c r="A4412" s="2459" t="s">
        <v>1669</v>
      </c>
      <c r="B4412" s="2459" t="s">
        <v>1664</v>
      </c>
      <c r="C4412" s="2459" t="s">
        <v>1670</v>
      </c>
      <c r="D4412" s="2460" t="s">
        <v>1671</v>
      </c>
      <c r="E4412" s="2461" t="s">
        <v>213</v>
      </c>
      <c r="F4412" s="2461" t="s">
        <v>1456</v>
      </c>
      <c r="G4412" s="2461" t="s">
        <v>1421</v>
      </c>
      <c r="H4412" s="2461" t="s">
        <v>1454</v>
      </c>
      <c r="I4412" s="2462">
        <v>2.9605114867924236E-5</v>
      </c>
      <c r="J4412" s="2462">
        <v>1.3249657572603194E-2</v>
      </c>
    </row>
    <row r="4413" spans="1:10" outlineLevel="2">
      <c r="A4413" s="2459" t="s">
        <v>1669</v>
      </c>
      <c r="B4413" s="2459" t="s">
        <v>1664</v>
      </c>
      <c r="C4413" s="2459" t="s">
        <v>1670</v>
      </c>
      <c r="D4413" s="2460" t="s">
        <v>1671</v>
      </c>
      <c r="E4413" s="2461" t="s">
        <v>213</v>
      </c>
      <c r="F4413" s="2461" t="s">
        <v>1457</v>
      </c>
      <c r="G4413" s="2461" t="s">
        <v>1421</v>
      </c>
      <c r="H4413" s="2461" t="s">
        <v>1454</v>
      </c>
      <c r="I4413" s="2462">
        <v>5.1640732813913151E-4</v>
      </c>
      <c r="J4413" s="2462">
        <v>0.23111630682478271</v>
      </c>
    </row>
    <row r="4414" spans="1:10" outlineLevel="2">
      <c r="A4414" s="2459" t="s">
        <v>1669</v>
      </c>
      <c r="B4414" s="2459" t="s">
        <v>1664</v>
      </c>
      <c r="C4414" s="2459" t="s">
        <v>1670</v>
      </c>
      <c r="D4414" s="2460" t="s">
        <v>1671</v>
      </c>
      <c r="E4414" s="2461" t="s">
        <v>213</v>
      </c>
      <c r="F4414" s="2461" t="s">
        <v>1458</v>
      </c>
      <c r="G4414" s="2461" t="s">
        <v>1459</v>
      </c>
      <c r="H4414" s="2461" t="s">
        <v>1460</v>
      </c>
      <c r="I4414" s="2462">
        <v>3.2644910742693753E-2</v>
      </c>
      <c r="J4414" s="2462">
        <v>18.846836708263666</v>
      </c>
    </row>
    <row r="4415" spans="1:10" outlineLevel="2">
      <c r="A4415" s="2459" t="s">
        <v>1669</v>
      </c>
      <c r="B4415" s="2459" t="s">
        <v>1664</v>
      </c>
      <c r="C4415" s="2459" t="s">
        <v>1670</v>
      </c>
      <c r="D4415" s="2460" t="s">
        <v>1671</v>
      </c>
      <c r="E4415" s="2461" t="s">
        <v>213</v>
      </c>
      <c r="F4415" s="2461" t="s">
        <v>1461</v>
      </c>
      <c r="G4415" s="2461" t="s">
        <v>1426</v>
      </c>
      <c r="H4415" s="2461" t="s">
        <v>1427</v>
      </c>
      <c r="I4415" s="2462">
        <v>0.11837199798375821</v>
      </c>
      <c r="J4415" s="2462">
        <v>84.03409685442287</v>
      </c>
    </row>
    <row r="4416" spans="1:10" outlineLevel="2">
      <c r="A4416" s="2459" t="s">
        <v>1669</v>
      </c>
      <c r="B4416" s="2459" t="s">
        <v>1664</v>
      </c>
      <c r="C4416" s="2459" t="s">
        <v>1670</v>
      </c>
      <c r="D4416" s="2460" t="s">
        <v>1671</v>
      </c>
      <c r="E4416" s="2461" t="s">
        <v>213</v>
      </c>
      <c r="F4416" s="2461" t="s">
        <v>1462</v>
      </c>
      <c r="G4416" s="2461" t="s">
        <v>1426</v>
      </c>
      <c r="H4416" s="2461" t="s">
        <v>1427</v>
      </c>
      <c r="I4416" s="2462">
        <v>0.87232075686243726</v>
      </c>
      <c r="J4416" s="2462">
        <v>798.89408669602778</v>
      </c>
    </row>
    <row r="4417" spans="1:10" outlineLevel="2">
      <c r="A4417" s="2459" t="s">
        <v>1669</v>
      </c>
      <c r="B4417" s="2459" t="s">
        <v>1664</v>
      </c>
      <c r="C4417" s="2459" t="s">
        <v>1670</v>
      </c>
      <c r="D4417" s="2460" t="s">
        <v>1671</v>
      </c>
      <c r="E4417" s="2461" t="s">
        <v>213</v>
      </c>
      <c r="F4417" s="2461" t="s">
        <v>1463</v>
      </c>
      <c r="G4417" s="2461" t="s">
        <v>1426</v>
      </c>
      <c r="H4417" s="2461" t="s">
        <v>1427</v>
      </c>
      <c r="I4417" s="2462">
        <v>0.2730981876723943</v>
      </c>
      <c r="J4417" s="2462">
        <v>364.37090130568959</v>
      </c>
    </row>
    <row r="4418" spans="1:10" outlineLevel="2">
      <c r="A4418" s="2459" t="s">
        <v>1669</v>
      </c>
      <c r="B4418" s="2459" t="s">
        <v>1664</v>
      </c>
      <c r="C4418" s="2459" t="s">
        <v>1670</v>
      </c>
      <c r="D4418" s="2460" t="s">
        <v>1671</v>
      </c>
      <c r="E4418" s="2461" t="s">
        <v>213</v>
      </c>
      <c r="F4418" s="2461" t="s">
        <v>1464</v>
      </c>
      <c r="G4418" s="2461" t="s">
        <v>1426</v>
      </c>
      <c r="H4418" s="2461" t="s">
        <v>1427</v>
      </c>
      <c r="I4418" s="2462">
        <v>0.11723911211816328</v>
      </c>
      <c r="J4418" s="2462">
        <v>107.15204737313532</v>
      </c>
    </row>
    <row r="4419" spans="1:10" outlineLevel="2">
      <c r="A4419" s="2459" t="s">
        <v>1669</v>
      </c>
      <c r="B4419" s="2459" t="s">
        <v>1664</v>
      </c>
      <c r="C4419" s="2459" t="s">
        <v>1670</v>
      </c>
      <c r="D4419" s="2460" t="s">
        <v>1671</v>
      </c>
      <c r="E4419" s="2461" t="s">
        <v>213</v>
      </c>
      <c r="F4419" s="2461" t="s">
        <v>1465</v>
      </c>
      <c r="G4419" s="2461" t="s">
        <v>1409</v>
      </c>
      <c r="H4419" s="2461" t="s">
        <v>1070</v>
      </c>
      <c r="I4419" s="2462">
        <v>4.4524187930069029E-3</v>
      </c>
      <c r="J4419" s="2462">
        <v>7.2924667036026083</v>
      </c>
    </row>
    <row r="4420" spans="1:10" outlineLevel="2">
      <c r="A4420" s="2459" t="s">
        <v>1669</v>
      </c>
      <c r="B4420" s="2459" t="s">
        <v>1664</v>
      </c>
      <c r="C4420" s="2459" t="s">
        <v>1670</v>
      </c>
      <c r="D4420" s="2460" t="s">
        <v>1671</v>
      </c>
      <c r="E4420" s="2461" t="s">
        <v>213</v>
      </c>
      <c r="F4420" s="2461" t="s">
        <v>1466</v>
      </c>
      <c r="G4420" s="2461" t="s">
        <v>1409</v>
      </c>
      <c r="H4420" s="2461" t="s">
        <v>1070</v>
      </c>
      <c r="I4420" s="2462">
        <v>3.5575768491160496E-5</v>
      </c>
      <c r="J4420" s="2462">
        <v>5.4431926733977599E-2</v>
      </c>
    </row>
    <row r="4421" spans="1:10" outlineLevel="2">
      <c r="A4421" s="2459" t="s">
        <v>1669</v>
      </c>
      <c r="B4421" s="2459" t="s">
        <v>1664</v>
      </c>
      <c r="C4421" s="2459" t="s">
        <v>1670</v>
      </c>
      <c r="D4421" s="2460" t="s">
        <v>1671</v>
      </c>
      <c r="E4421" s="2461" t="s">
        <v>213</v>
      </c>
      <c r="F4421" s="2461" t="s">
        <v>1467</v>
      </c>
      <c r="G4421" s="2461" t="s">
        <v>1409</v>
      </c>
      <c r="H4421" s="2461" t="s">
        <v>1070</v>
      </c>
      <c r="I4421" s="2462">
        <v>9.6191429523868645E-3</v>
      </c>
      <c r="J4421" s="2462">
        <v>13.6997869728648</v>
      </c>
    </row>
    <row r="4422" spans="1:10" outlineLevel="2">
      <c r="A4422" s="2459" t="s">
        <v>1669</v>
      </c>
      <c r="B4422" s="2459" t="s">
        <v>1664</v>
      </c>
      <c r="C4422" s="2459" t="s">
        <v>1670</v>
      </c>
      <c r="D4422" s="2460" t="s">
        <v>1671</v>
      </c>
      <c r="E4422" s="2461" t="s">
        <v>213</v>
      </c>
      <c r="F4422" s="2461" t="s">
        <v>1468</v>
      </c>
      <c r="G4422" s="2461" t="s">
        <v>1409</v>
      </c>
      <c r="H4422" s="2461" t="s">
        <v>1070</v>
      </c>
      <c r="I4422" s="2462">
        <v>7.8495895397979638E-3</v>
      </c>
      <c r="J4422" s="2462">
        <v>12.898119596531753</v>
      </c>
    </row>
    <row r="4423" spans="1:10" outlineLevel="2">
      <c r="A4423" s="2459" t="s">
        <v>1669</v>
      </c>
      <c r="B4423" s="2459" t="s">
        <v>1664</v>
      </c>
      <c r="C4423" s="2459" t="s">
        <v>1670</v>
      </c>
      <c r="D4423" s="2460" t="s">
        <v>1671</v>
      </c>
      <c r="E4423" s="2461" t="s">
        <v>213</v>
      </c>
      <c r="F4423" s="2461" t="s">
        <v>1469</v>
      </c>
      <c r="G4423" s="2461" t="s">
        <v>1409</v>
      </c>
      <c r="H4423" s="2461" t="s">
        <v>1070</v>
      </c>
      <c r="I4423" s="2462">
        <v>1.7554536147782584E-2</v>
      </c>
      <c r="J4423" s="2462">
        <v>25.740672776909026</v>
      </c>
    </row>
    <row r="4424" spans="1:10" outlineLevel="2">
      <c r="A4424" s="2459" t="s">
        <v>1669</v>
      </c>
      <c r="B4424" s="2459" t="s">
        <v>1664</v>
      </c>
      <c r="C4424" s="2459" t="s">
        <v>1670</v>
      </c>
      <c r="D4424" s="2460" t="s">
        <v>1671</v>
      </c>
      <c r="E4424" s="2461" t="s">
        <v>213</v>
      </c>
      <c r="F4424" s="2461" t="s">
        <v>1470</v>
      </c>
      <c r="G4424" s="2461" t="s">
        <v>1409</v>
      </c>
      <c r="H4424" s="2461" t="s">
        <v>1070</v>
      </c>
      <c r="I4424" s="2462">
        <v>7.6154497486583339E-3</v>
      </c>
      <c r="J4424" s="2462">
        <v>10.83872765365229</v>
      </c>
    </row>
    <row r="4425" spans="1:10" outlineLevel="2">
      <c r="A4425" s="2459" t="s">
        <v>1669</v>
      </c>
      <c r="B4425" s="2459" t="s">
        <v>1664</v>
      </c>
      <c r="C4425" s="2459" t="s">
        <v>1670</v>
      </c>
      <c r="D4425" s="2460" t="s">
        <v>1671</v>
      </c>
      <c r="E4425" s="2461" t="s">
        <v>213</v>
      </c>
      <c r="F4425" s="2461" t="s">
        <v>1471</v>
      </c>
      <c r="G4425" s="2461" t="s">
        <v>1409</v>
      </c>
      <c r="H4425" s="2461" t="s">
        <v>1070</v>
      </c>
      <c r="I4425" s="2462">
        <v>4.1474763479886455E-4</v>
      </c>
      <c r="J4425" s="2462">
        <v>0.56489463095713621</v>
      </c>
    </row>
    <row r="4426" spans="1:10" outlineLevel="2">
      <c r="A4426" s="2459" t="s">
        <v>1669</v>
      </c>
      <c r="B4426" s="2459" t="s">
        <v>1664</v>
      </c>
      <c r="C4426" s="2459" t="s">
        <v>1670</v>
      </c>
      <c r="D4426" s="2460" t="s">
        <v>1671</v>
      </c>
      <c r="E4426" s="2461" t="s">
        <v>213</v>
      </c>
      <c r="F4426" s="2461" t="s">
        <v>1472</v>
      </c>
      <c r="G4426" s="2461" t="s">
        <v>1409</v>
      </c>
      <c r="H4426" s="2461" t="s">
        <v>1070</v>
      </c>
      <c r="I4426" s="2462">
        <v>1.4434240250798636E-2</v>
      </c>
      <c r="J4426" s="2462">
        <v>22.682130877230339</v>
      </c>
    </row>
    <row r="4427" spans="1:10" outlineLevel="2">
      <c r="A4427" s="2459" t="s">
        <v>1669</v>
      </c>
      <c r="B4427" s="2459" t="s">
        <v>1664</v>
      </c>
      <c r="C4427" s="2459" t="s">
        <v>1670</v>
      </c>
      <c r="D4427" s="2460" t="s">
        <v>1671</v>
      </c>
      <c r="E4427" s="2461" t="s">
        <v>213</v>
      </c>
      <c r="F4427" s="2461" t="s">
        <v>1473</v>
      </c>
      <c r="G4427" s="2461" t="s">
        <v>1409</v>
      </c>
      <c r="H4427" s="2461" t="s">
        <v>1070</v>
      </c>
      <c r="I4427" s="2462">
        <v>6.8828323887913873E-3</v>
      </c>
      <c r="J4427" s="2462">
        <v>8.4123948269403233</v>
      </c>
    </row>
    <row r="4428" spans="1:10" outlineLevel="2">
      <c r="A4428" s="2459" t="s">
        <v>1669</v>
      </c>
      <c r="B4428" s="2459" t="s">
        <v>1664</v>
      </c>
      <c r="C4428" s="2459" t="s">
        <v>1670</v>
      </c>
      <c r="D4428" s="2460" t="s">
        <v>1671</v>
      </c>
      <c r="E4428" s="2461" t="s">
        <v>213</v>
      </c>
      <c r="F4428" s="2461" t="s">
        <v>1474</v>
      </c>
      <c r="G4428" s="2461" t="s">
        <v>1409</v>
      </c>
      <c r="H4428" s="2461" t="s">
        <v>1070</v>
      </c>
      <c r="I4428" s="2462">
        <v>3.2515141778067268E-2</v>
      </c>
      <c r="J4428" s="2462">
        <v>47.264600724874114</v>
      </c>
    </row>
    <row r="4429" spans="1:10" outlineLevel="2">
      <c r="A4429" s="2459" t="s">
        <v>1669</v>
      </c>
      <c r="B4429" s="2459" t="s">
        <v>1664</v>
      </c>
      <c r="C4429" s="2459" t="s">
        <v>1670</v>
      </c>
      <c r="D4429" s="2460" t="s">
        <v>1671</v>
      </c>
      <c r="E4429" s="2461" t="s">
        <v>213</v>
      </c>
      <c r="F4429" s="2461" t="s">
        <v>1475</v>
      </c>
      <c r="G4429" s="2461" t="s">
        <v>1409</v>
      </c>
      <c r="H4429" s="2461" t="s">
        <v>1070</v>
      </c>
      <c r="I4429" s="2462">
        <v>1.6482888414142544E-2</v>
      </c>
      <c r="J4429" s="2462">
        <v>22.697762105970614</v>
      </c>
    </row>
    <row r="4430" spans="1:10" outlineLevel="2">
      <c r="A4430" s="2459" t="s">
        <v>1669</v>
      </c>
      <c r="B4430" s="2459" t="s">
        <v>1664</v>
      </c>
      <c r="C4430" s="2459" t="s">
        <v>1670</v>
      </c>
      <c r="D4430" s="2460" t="s">
        <v>1671</v>
      </c>
      <c r="E4430" s="2461" t="s">
        <v>213</v>
      </c>
      <c r="F4430" s="2461" t="s">
        <v>1476</v>
      </c>
      <c r="G4430" s="2461" t="s">
        <v>1409</v>
      </c>
      <c r="H4430" s="2461" t="s">
        <v>1070</v>
      </c>
      <c r="I4430" s="2462">
        <v>1.3042873657883283E-3</v>
      </c>
      <c r="J4430" s="2462">
        <v>1.8282756866687104</v>
      </c>
    </row>
    <row r="4431" spans="1:10" outlineLevel="2">
      <c r="A4431" s="2459" t="s">
        <v>1669</v>
      </c>
      <c r="B4431" s="2459" t="s">
        <v>1664</v>
      </c>
      <c r="C4431" s="2459" t="s">
        <v>1670</v>
      </c>
      <c r="D4431" s="2460" t="s">
        <v>1671</v>
      </c>
      <c r="E4431" s="2461" t="s">
        <v>213</v>
      </c>
      <c r="F4431" s="2461" t="s">
        <v>1477</v>
      </c>
      <c r="G4431" s="2461" t="s">
        <v>1409</v>
      </c>
      <c r="H4431" s="2461" t="s">
        <v>1070</v>
      </c>
      <c r="I4431" s="2462">
        <v>2.139544726045009E-3</v>
      </c>
      <c r="J4431" s="2462">
        <v>3.0701326150189043</v>
      </c>
    </row>
    <row r="4432" spans="1:10" outlineLevel="2">
      <c r="A4432" s="2459" t="s">
        <v>1669</v>
      </c>
      <c r="B4432" s="2459" t="s">
        <v>1664</v>
      </c>
      <c r="C4432" s="2459" t="s">
        <v>1670</v>
      </c>
      <c r="D4432" s="2460" t="s">
        <v>1671</v>
      </c>
      <c r="E4432" s="2461" t="s">
        <v>213</v>
      </c>
      <c r="F4432" s="2461" t="s">
        <v>1478</v>
      </c>
      <c r="G4432" s="2461" t="s">
        <v>1409</v>
      </c>
      <c r="H4432" s="2461" t="s">
        <v>1070</v>
      </c>
      <c r="I4432" s="2462">
        <v>9.3754595399306209E-4</v>
      </c>
      <c r="J4432" s="2462">
        <v>2.7434150687270389</v>
      </c>
    </row>
    <row r="4433" spans="1:10" outlineLevel="2">
      <c r="A4433" s="2459" t="s">
        <v>1669</v>
      </c>
      <c r="B4433" s="2459" t="s">
        <v>1664</v>
      </c>
      <c r="C4433" s="2459" t="s">
        <v>1670</v>
      </c>
      <c r="D4433" s="2460" t="s">
        <v>1671</v>
      </c>
      <c r="E4433" s="2461" t="s">
        <v>213</v>
      </c>
      <c r="F4433" s="2461" t="s">
        <v>1479</v>
      </c>
      <c r="G4433" s="2461" t="s">
        <v>1409</v>
      </c>
      <c r="H4433" s="2461" t="s">
        <v>1070</v>
      </c>
      <c r="I4433" s="2462">
        <v>7.5420295463759276E-4</v>
      </c>
      <c r="J4433" s="2462">
        <v>6.506906638219915</v>
      </c>
    </row>
    <row r="4434" spans="1:10" outlineLevel="2">
      <c r="A4434" s="2459" t="s">
        <v>1669</v>
      </c>
      <c r="B4434" s="2459" t="s">
        <v>1664</v>
      </c>
      <c r="C4434" s="2459" t="s">
        <v>1670</v>
      </c>
      <c r="D4434" s="2460" t="s">
        <v>1671</v>
      </c>
      <c r="E4434" s="2461" t="s">
        <v>213</v>
      </c>
      <c r="F4434" s="2461" t="s">
        <v>1480</v>
      </c>
      <c r="G4434" s="2461" t="s">
        <v>1409</v>
      </c>
      <c r="H4434" s="2461" t="s">
        <v>1070</v>
      </c>
      <c r="I4434" s="2462">
        <v>1.0258654810032691E-2</v>
      </c>
      <c r="J4434" s="2462">
        <v>15.515242006183273</v>
      </c>
    </row>
    <row r="4435" spans="1:10" outlineLevel="2">
      <c r="A4435" s="2459" t="s">
        <v>1669</v>
      </c>
      <c r="B4435" s="2459" t="s">
        <v>1664</v>
      </c>
      <c r="C4435" s="2459" t="s">
        <v>1670</v>
      </c>
      <c r="D4435" s="2460" t="s">
        <v>1671</v>
      </c>
      <c r="E4435" s="2461" t="s">
        <v>213</v>
      </c>
      <c r="F4435" s="2461" t="s">
        <v>1481</v>
      </c>
      <c r="G4435" s="2461" t="s">
        <v>1409</v>
      </c>
      <c r="H4435" s="2461" t="s">
        <v>1070</v>
      </c>
      <c r="I4435" s="2462">
        <v>7.328323533241617E-3</v>
      </c>
      <c r="J4435" s="2462">
        <v>10.813511392144736</v>
      </c>
    </row>
    <row r="4436" spans="1:10" outlineLevel="2">
      <c r="A4436" s="2459" t="s">
        <v>1669</v>
      </c>
      <c r="B4436" s="2459" t="s">
        <v>1664</v>
      </c>
      <c r="C4436" s="2459" t="s">
        <v>1670</v>
      </c>
      <c r="D4436" s="2460" t="s">
        <v>1671</v>
      </c>
      <c r="E4436" s="2461" t="s">
        <v>213</v>
      </c>
      <c r="F4436" s="2461" t="s">
        <v>1482</v>
      </c>
      <c r="G4436" s="2461" t="s">
        <v>1409</v>
      </c>
      <c r="H4436" s="2461" t="s">
        <v>1070</v>
      </c>
      <c r="I4436" s="2462">
        <v>2.8769826003492371E-3</v>
      </c>
      <c r="J4436" s="2462">
        <v>3.5432022339925413</v>
      </c>
    </row>
    <row r="4437" spans="1:10" outlineLevel="2">
      <c r="A4437" s="2459" t="s">
        <v>1669</v>
      </c>
      <c r="B4437" s="2459" t="s">
        <v>1664</v>
      </c>
      <c r="C4437" s="2459" t="s">
        <v>1670</v>
      </c>
      <c r="D4437" s="2460" t="s">
        <v>1671</v>
      </c>
      <c r="E4437" s="2461" t="s">
        <v>213</v>
      </c>
      <c r="F4437" s="2461" t="s">
        <v>1483</v>
      </c>
      <c r="G4437" s="2461" t="s">
        <v>1409</v>
      </c>
      <c r="H4437" s="2461" t="s">
        <v>1070</v>
      </c>
      <c r="I4437" s="2462">
        <v>2.396903478607952E-3</v>
      </c>
      <c r="J4437" s="2462">
        <v>2.5890254814180476</v>
      </c>
    </row>
    <row r="4438" spans="1:10" outlineLevel="2">
      <c r="A4438" s="2459" t="s">
        <v>1669</v>
      </c>
      <c r="B4438" s="2459" t="s">
        <v>1664</v>
      </c>
      <c r="C4438" s="2459" t="s">
        <v>1670</v>
      </c>
      <c r="D4438" s="2460" t="s">
        <v>1671</v>
      </c>
      <c r="E4438" s="2461" t="s">
        <v>213</v>
      </c>
      <c r="F4438" s="2461" t="s">
        <v>1484</v>
      </c>
      <c r="G4438" s="2461" t="s">
        <v>1412</v>
      </c>
      <c r="H4438" s="2461" t="s">
        <v>1116</v>
      </c>
      <c r="I4438" s="2462">
        <v>4.3069211111949481E-2</v>
      </c>
      <c r="J4438" s="2462">
        <v>86.680702873685362</v>
      </c>
    </row>
    <row r="4439" spans="1:10" outlineLevel="2">
      <c r="A4439" s="2459" t="s">
        <v>1669</v>
      </c>
      <c r="B4439" s="2459" t="s">
        <v>1664</v>
      </c>
      <c r="C4439" s="2459" t="s">
        <v>1670</v>
      </c>
      <c r="D4439" s="2460" t="s">
        <v>1671</v>
      </c>
      <c r="E4439" s="2461" t="s">
        <v>213</v>
      </c>
      <c r="F4439" s="2461" t="s">
        <v>1485</v>
      </c>
      <c r="G4439" s="2461" t="s">
        <v>1412</v>
      </c>
      <c r="H4439" s="2461" t="s">
        <v>1116</v>
      </c>
      <c r="I4439" s="2462">
        <v>3.0932518288938015E-2</v>
      </c>
      <c r="J4439" s="2462">
        <v>328.04310518014904</v>
      </c>
    </row>
    <row r="4440" spans="1:10" outlineLevel="2">
      <c r="A4440" s="2459" t="s">
        <v>1669</v>
      </c>
      <c r="B4440" s="2459" t="s">
        <v>1664</v>
      </c>
      <c r="C4440" s="2459" t="s">
        <v>1670</v>
      </c>
      <c r="D4440" s="2460" t="s">
        <v>1671</v>
      </c>
      <c r="E4440" s="2461" t="s">
        <v>213</v>
      </c>
      <c r="F4440" s="2461" t="s">
        <v>1486</v>
      </c>
      <c r="G4440" s="2461" t="s">
        <v>1412</v>
      </c>
      <c r="H4440" s="2461" t="s">
        <v>1116</v>
      </c>
      <c r="I4440" s="2462">
        <v>2.5660981148724255E-2</v>
      </c>
      <c r="J4440" s="2462">
        <v>70.490540200105315</v>
      </c>
    </row>
    <row r="4441" spans="1:10" outlineLevel="2">
      <c r="A4441" s="2459" t="s">
        <v>1669</v>
      </c>
      <c r="B4441" s="2459" t="s">
        <v>1664</v>
      </c>
      <c r="C4441" s="2459" t="s">
        <v>1670</v>
      </c>
      <c r="D4441" s="2460" t="s">
        <v>1671</v>
      </c>
      <c r="E4441" s="2461" t="s">
        <v>213</v>
      </c>
      <c r="F4441" s="2461" t="s">
        <v>1487</v>
      </c>
      <c r="G4441" s="2461" t="s">
        <v>1412</v>
      </c>
      <c r="H4441" s="2461" t="s">
        <v>1116</v>
      </c>
      <c r="I4441" s="2462">
        <v>9.8705481436355921E-2</v>
      </c>
      <c r="J4441" s="2462">
        <v>132.40063371251762</v>
      </c>
    </row>
    <row r="4442" spans="1:10" outlineLevel="2">
      <c r="A4442" s="2459" t="s">
        <v>1669</v>
      </c>
      <c r="B4442" s="2459" t="s">
        <v>1664</v>
      </c>
      <c r="C4442" s="2459" t="s">
        <v>1670</v>
      </c>
      <c r="D4442" s="2460" t="s">
        <v>1671</v>
      </c>
      <c r="E4442" s="2461" t="s">
        <v>213</v>
      </c>
      <c r="F4442" s="2461" t="s">
        <v>1488</v>
      </c>
      <c r="G4442" s="2461" t="s">
        <v>1412</v>
      </c>
      <c r="H4442" s="2461" t="s">
        <v>1116</v>
      </c>
      <c r="I4442" s="2462">
        <v>2.78581387956211E-3</v>
      </c>
      <c r="J4442" s="2462">
        <v>6.0751042806091311</v>
      </c>
    </row>
    <row r="4443" spans="1:10" outlineLevel="2">
      <c r="A4443" s="2459" t="s">
        <v>1669</v>
      </c>
      <c r="B4443" s="2459" t="s">
        <v>1664</v>
      </c>
      <c r="C4443" s="2459" t="s">
        <v>1670</v>
      </c>
      <c r="D4443" s="2460" t="s">
        <v>1671</v>
      </c>
      <c r="E4443" s="2461" t="s">
        <v>213</v>
      </c>
      <c r="F4443" s="2461" t="s">
        <v>1489</v>
      </c>
      <c r="G4443" s="2461" t="s">
        <v>1412</v>
      </c>
      <c r="H4443" s="2461" t="s">
        <v>1116</v>
      </c>
      <c r="I4443" s="2462">
        <v>1.8930176434687059E-3</v>
      </c>
      <c r="J4443" s="2462">
        <v>2.8239066615735018</v>
      </c>
    </row>
    <row r="4444" spans="1:10" outlineLevel="2">
      <c r="A4444" s="2459" t="s">
        <v>1669</v>
      </c>
      <c r="B4444" s="2459" t="s">
        <v>1664</v>
      </c>
      <c r="C4444" s="2459" t="s">
        <v>1670</v>
      </c>
      <c r="D4444" s="2460" t="s">
        <v>1671</v>
      </c>
      <c r="E4444" s="2461" t="s">
        <v>213</v>
      </c>
      <c r="F4444" s="2461" t="s">
        <v>1490</v>
      </c>
      <c r="G4444" s="2461" t="s">
        <v>1412</v>
      </c>
      <c r="H4444" s="2461" t="s">
        <v>1116</v>
      </c>
      <c r="I4444" s="2462">
        <v>2.0274357874841987E-3</v>
      </c>
      <c r="J4444" s="2462">
        <v>28.971294741711517</v>
      </c>
    </row>
    <row r="4445" spans="1:10" outlineLevel="2">
      <c r="A4445" s="2459" t="s">
        <v>1669</v>
      </c>
      <c r="B4445" s="2459" t="s">
        <v>1664</v>
      </c>
      <c r="C4445" s="2459" t="s">
        <v>1670</v>
      </c>
      <c r="D4445" s="2460" t="s">
        <v>1671</v>
      </c>
      <c r="E4445" s="2461" t="s">
        <v>213</v>
      </c>
      <c r="F4445" s="2461" t="s">
        <v>1491</v>
      </c>
      <c r="G4445" s="2461" t="s">
        <v>1439</v>
      </c>
      <c r="H4445" s="2461" t="s">
        <v>1440</v>
      </c>
      <c r="I4445" s="2462">
        <v>0.48667095682765255</v>
      </c>
      <c r="J4445" s="2462">
        <v>521.98532470912414</v>
      </c>
    </row>
    <row r="4446" spans="1:10" outlineLevel="2">
      <c r="A4446" s="2459" t="s">
        <v>1669</v>
      </c>
      <c r="B4446" s="2459" t="s">
        <v>1664</v>
      </c>
      <c r="C4446" s="2459" t="s">
        <v>1670</v>
      </c>
      <c r="D4446" s="2460" t="s">
        <v>1671</v>
      </c>
      <c r="E4446" s="2461" t="s">
        <v>213</v>
      </c>
      <c r="F4446" s="2461" t="s">
        <v>1492</v>
      </c>
      <c r="G4446" s="2461" t="s">
        <v>1439</v>
      </c>
      <c r="H4446" s="2461" t="s">
        <v>1440</v>
      </c>
      <c r="I4446" s="2462">
        <v>0.25316770491781349</v>
      </c>
      <c r="J4446" s="2462">
        <v>344.48657070845405</v>
      </c>
    </row>
    <row r="4447" spans="1:10" outlineLevel="2">
      <c r="A4447" s="2459" t="s">
        <v>1669</v>
      </c>
      <c r="B4447" s="2459" t="s">
        <v>1664</v>
      </c>
      <c r="C4447" s="2459" t="s">
        <v>1670</v>
      </c>
      <c r="D4447" s="2460" t="s">
        <v>1671</v>
      </c>
      <c r="E4447" s="2461" t="s">
        <v>213</v>
      </c>
      <c r="F4447" s="2461" t="s">
        <v>1493</v>
      </c>
      <c r="G4447" s="2461" t="s">
        <v>1439</v>
      </c>
      <c r="H4447" s="2461" t="s">
        <v>1440</v>
      </c>
      <c r="I4447" s="2462">
        <v>4.1894918798725013E-2</v>
      </c>
      <c r="J4447" s="2462">
        <v>44.917737312059849</v>
      </c>
    </row>
    <row r="4448" spans="1:10" outlineLevel="2">
      <c r="A4448" s="2459" t="s">
        <v>1669</v>
      </c>
      <c r="B4448" s="2459" t="s">
        <v>1664</v>
      </c>
      <c r="C4448" s="2459" t="s">
        <v>1670</v>
      </c>
      <c r="D4448" s="2460" t="s">
        <v>1671</v>
      </c>
      <c r="E4448" s="2461" t="s">
        <v>213</v>
      </c>
      <c r="F4448" s="2461" t="s">
        <v>1494</v>
      </c>
      <c r="G4448" s="2461" t="s">
        <v>1439</v>
      </c>
      <c r="H4448" s="2461" t="s">
        <v>1440</v>
      </c>
      <c r="I4448" s="2462">
        <v>0.16133655817084397</v>
      </c>
      <c r="J4448" s="2462">
        <v>204.33694362229193</v>
      </c>
    </row>
    <row r="4449" spans="1:10" outlineLevel="2">
      <c r="A4449" s="2459" t="s">
        <v>1669</v>
      </c>
      <c r="B4449" s="2459" t="s">
        <v>1664</v>
      </c>
      <c r="C4449" s="2459" t="s">
        <v>1670</v>
      </c>
      <c r="D4449" s="2460" t="s">
        <v>1671</v>
      </c>
      <c r="E4449" s="2461" t="s">
        <v>213</v>
      </c>
      <c r="F4449" s="2461" t="s">
        <v>1495</v>
      </c>
      <c r="G4449" s="2461" t="s">
        <v>1439</v>
      </c>
      <c r="H4449" s="2461" t="s">
        <v>1440</v>
      </c>
      <c r="I4449" s="2462">
        <v>2.282250540153036E-3</v>
      </c>
      <c r="J4449" s="2462">
        <v>2.9015704211473277</v>
      </c>
    </row>
    <row r="4450" spans="1:10" outlineLevel="2">
      <c r="A4450" s="2459" t="s">
        <v>1669</v>
      </c>
      <c r="B4450" s="2459" t="s">
        <v>1664</v>
      </c>
      <c r="C4450" s="2459" t="s">
        <v>1670</v>
      </c>
      <c r="D4450" s="2460" t="s">
        <v>1671</v>
      </c>
      <c r="E4450" s="2461" t="s">
        <v>213</v>
      </c>
      <c r="F4450" s="2461" t="s">
        <v>1496</v>
      </c>
      <c r="G4450" s="2461" t="s">
        <v>1439</v>
      </c>
      <c r="H4450" s="2461" t="s">
        <v>1440</v>
      </c>
      <c r="I4450" s="2462">
        <v>5.6206502367068195E-3</v>
      </c>
      <c r="J4450" s="2462">
        <v>7.9791730258337985</v>
      </c>
    </row>
    <row r="4451" spans="1:10" outlineLevel="2">
      <c r="A4451" s="2459" t="s">
        <v>1669</v>
      </c>
      <c r="B4451" s="2459" t="s">
        <v>1664</v>
      </c>
      <c r="C4451" s="2459" t="s">
        <v>1670</v>
      </c>
      <c r="D4451" s="2460" t="s">
        <v>1671</v>
      </c>
      <c r="E4451" s="2461" t="s">
        <v>213</v>
      </c>
      <c r="F4451" s="2461" t="s">
        <v>1497</v>
      </c>
      <c r="G4451" s="2461" t="s">
        <v>1439</v>
      </c>
      <c r="H4451" s="2461" t="s">
        <v>1440</v>
      </c>
      <c r="I4451" s="2462">
        <v>4.3466116510042056E-3</v>
      </c>
      <c r="J4451" s="2462">
        <v>5.535539839351606</v>
      </c>
    </row>
    <row r="4452" spans="1:10" outlineLevel="2">
      <c r="A4452" s="2459" t="s">
        <v>1669</v>
      </c>
      <c r="B4452" s="2459" t="s">
        <v>1664</v>
      </c>
      <c r="C4452" s="2459" t="s">
        <v>1670</v>
      </c>
      <c r="D4452" s="2460" t="s">
        <v>1671</v>
      </c>
      <c r="E4452" s="2461" t="s">
        <v>213</v>
      </c>
      <c r="F4452" s="2461" t="s">
        <v>1498</v>
      </c>
      <c r="G4452" s="2461" t="s">
        <v>1439</v>
      </c>
      <c r="H4452" s="2461" t="s">
        <v>1440</v>
      </c>
      <c r="I4452" s="2462">
        <v>0.19209618852658636</v>
      </c>
      <c r="J4452" s="2462">
        <v>327.42211862254027</v>
      </c>
    </row>
    <row r="4453" spans="1:10" outlineLevel="2">
      <c r="A4453" s="2459" t="s">
        <v>1669</v>
      </c>
      <c r="B4453" s="2459" t="s">
        <v>1664</v>
      </c>
      <c r="C4453" s="2459" t="s">
        <v>1670</v>
      </c>
      <c r="D4453" s="2460" t="s">
        <v>1671</v>
      </c>
      <c r="E4453" s="2461" t="s">
        <v>213</v>
      </c>
      <c r="F4453" s="2461" t="s">
        <v>1501</v>
      </c>
      <c r="G4453" s="2461" t="s">
        <v>1439</v>
      </c>
      <c r="H4453" s="2461" t="s">
        <v>1440</v>
      </c>
      <c r="I4453" s="2462">
        <v>7.2514594288589487E-2</v>
      </c>
      <c r="J4453" s="2462">
        <v>106.01683444083699</v>
      </c>
    </row>
    <row r="4454" spans="1:10" outlineLevel="2">
      <c r="A4454" s="2459" t="s">
        <v>1669</v>
      </c>
      <c r="B4454" s="2459" t="s">
        <v>1664</v>
      </c>
      <c r="C4454" s="2459" t="s">
        <v>1670</v>
      </c>
      <c r="D4454" s="2460" t="s">
        <v>1671</v>
      </c>
      <c r="E4454" s="2461" t="s">
        <v>213</v>
      </c>
      <c r="F4454" s="2461" t="s">
        <v>1502</v>
      </c>
      <c r="G4454" s="2461" t="s">
        <v>1439</v>
      </c>
      <c r="H4454" s="2461" t="s">
        <v>1440</v>
      </c>
      <c r="I4454" s="2462">
        <v>2.891181541118077E-2</v>
      </c>
      <c r="J4454" s="2462">
        <v>43.76686632914565</v>
      </c>
    </row>
    <row r="4455" spans="1:10" outlineLevel="2">
      <c r="A4455" s="2459" t="s">
        <v>1669</v>
      </c>
      <c r="B4455" s="2459" t="s">
        <v>1664</v>
      </c>
      <c r="C4455" s="2459" t="s">
        <v>1670</v>
      </c>
      <c r="D4455" s="2460" t="s">
        <v>1671</v>
      </c>
      <c r="E4455" s="2461" t="s">
        <v>213</v>
      </c>
      <c r="F4455" s="2461" t="s">
        <v>1503</v>
      </c>
      <c r="G4455" s="2461" t="s">
        <v>1439</v>
      </c>
      <c r="H4455" s="2461" t="s">
        <v>1440</v>
      </c>
      <c r="I4455" s="2462">
        <v>3.8144937613346211E-2</v>
      </c>
      <c r="J4455" s="2462">
        <v>49.539799441559062</v>
      </c>
    </row>
    <row r="4456" spans="1:10" outlineLevel="2">
      <c r="A4456" s="2459" t="s">
        <v>1669</v>
      </c>
      <c r="B4456" s="2459" t="s">
        <v>1664</v>
      </c>
      <c r="C4456" s="2459" t="s">
        <v>1670</v>
      </c>
      <c r="D4456" s="2460" t="s">
        <v>1671</v>
      </c>
      <c r="E4456" s="2461" t="s">
        <v>213</v>
      </c>
      <c r="F4456" s="2461" t="s">
        <v>1504</v>
      </c>
      <c r="G4456" s="2461" t="s">
        <v>1439</v>
      </c>
      <c r="H4456" s="2461" t="s">
        <v>1440</v>
      </c>
      <c r="I4456" s="2462">
        <v>1.9463846916987437E-2</v>
      </c>
      <c r="J4456" s="2462">
        <v>23.5211930439689</v>
      </c>
    </row>
    <row r="4457" spans="1:10" outlineLevel="2">
      <c r="A4457" s="2459" t="s">
        <v>1669</v>
      </c>
      <c r="B4457" s="2459" t="s">
        <v>1664</v>
      </c>
      <c r="C4457" s="2459" t="s">
        <v>1670</v>
      </c>
      <c r="D4457" s="2460" t="s">
        <v>1671</v>
      </c>
      <c r="E4457" s="2461" t="s">
        <v>213</v>
      </c>
      <c r="F4457" s="2461" t="s">
        <v>1505</v>
      </c>
      <c r="G4457" s="2461" t="s">
        <v>1439</v>
      </c>
      <c r="H4457" s="2461" t="s">
        <v>1440</v>
      </c>
      <c r="I4457" s="2462">
        <v>0.96979009178720443</v>
      </c>
      <c r="J4457" s="2462">
        <v>1421.0698142362889</v>
      </c>
    </row>
    <row r="4458" spans="1:10" outlineLevel="2">
      <c r="A4458" s="2459" t="s">
        <v>1669</v>
      </c>
      <c r="B4458" s="2459" t="s">
        <v>1664</v>
      </c>
      <c r="C4458" s="2459" t="s">
        <v>1670</v>
      </c>
      <c r="D4458" s="2460" t="s">
        <v>1671</v>
      </c>
      <c r="E4458" s="2461" t="s">
        <v>213</v>
      </c>
      <c r="F4458" s="2461" t="s">
        <v>1506</v>
      </c>
      <c r="G4458" s="2461" t="s">
        <v>1439</v>
      </c>
      <c r="H4458" s="2461" t="s">
        <v>1440</v>
      </c>
      <c r="I4458" s="2462">
        <v>0.39282432774247006</v>
      </c>
      <c r="J4458" s="2462">
        <v>594.79354968605833</v>
      </c>
    </row>
    <row r="4459" spans="1:10" outlineLevel="2">
      <c r="A4459" s="2459" t="s">
        <v>1669</v>
      </c>
      <c r="B4459" s="2459" t="s">
        <v>1664</v>
      </c>
      <c r="C4459" s="2459" t="s">
        <v>1670</v>
      </c>
      <c r="D4459" s="2460" t="s">
        <v>1671</v>
      </c>
      <c r="E4459" s="2461" t="s">
        <v>213</v>
      </c>
      <c r="F4459" s="2461" t="s">
        <v>1507</v>
      </c>
      <c r="G4459" s="2461" t="s">
        <v>1439</v>
      </c>
      <c r="H4459" s="2461" t="s">
        <v>1440</v>
      </c>
      <c r="I4459" s="2462">
        <v>4.3956791333932974E-2</v>
      </c>
      <c r="J4459" s="2462">
        <v>99.314961999214418</v>
      </c>
    </row>
    <row r="4460" spans="1:10" outlineLevel="2">
      <c r="A4460" s="2459" t="s">
        <v>1669</v>
      </c>
      <c r="B4460" s="2459" t="s">
        <v>1664</v>
      </c>
      <c r="C4460" s="2459" t="s">
        <v>1670</v>
      </c>
      <c r="D4460" s="2460" t="s">
        <v>1671</v>
      </c>
      <c r="E4460" s="2461" t="s">
        <v>213</v>
      </c>
      <c r="F4460" s="2461" t="s">
        <v>1508</v>
      </c>
      <c r="G4460" s="2461" t="s">
        <v>1439</v>
      </c>
      <c r="H4460" s="2461" t="s">
        <v>1440</v>
      </c>
      <c r="I4460" s="2462">
        <v>1.2099180751828158</v>
      </c>
      <c r="J4460" s="2462">
        <v>1920.0320096688115</v>
      </c>
    </row>
    <row r="4461" spans="1:10" outlineLevel="2">
      <c r="A4461" s="2459" t="s">
        <v>1669</v>
      </c>
      <c r="B4461" s="2459" t="s">
        <v>1664</v>
      </c>
      <c r="C4461" s="2459" t="s">
        <v>1670</v>
      </c>
      <c r="D4461" s="2460" t="s">
        <v>1671</v>
      </c>
      <c r="E4461" s="2461" t="s">
        <v>213</v>
      </c>
      <c r="F4461" s="2461" t="s">
        <v>1509</v>
      </c>
      <c r="G4461" s="2461" t="s">
        <v>1439</v>
      </c>
      <c r="H4461" s="2461" t="s">
        <v>1440</v>
      </c>
      <c r="I4461" s="2462">
        <v>4.4150496273599522E-2</v>
      </c>
      <c r="J4461" s="2462">
        <v>50.513953900798072</v>
      </c>
    </row>
    <row r="4462" spans="1:10" outlineLevel="2">
      <c r="A4462" s="2459" t="s">
        <v>1669</v>
      </c>
      <c r="B4462" s="2459" t="s">
        <v>1664</v>
      </c>
      <c r="C4462" s="2459" t="s">
        <v>1670</v>
      </c>
      <c r="D4462" s="2460" t="s">
        <v>1671</v>
      </c>
      <c r="E4462" s="2461" t="s">
        <v>213</v>
      </c>
      <c r="F4462" s="2461" t="s">
        <v>1510</v>
      </c>
      <c r="G4462" s="2461" t="s">
        <v>1439</v>
      </c>
      <c r="H4462" s="2461" t="s">
        <v>1440</v>
      </c>
      <c r="I4462" s="2462">
        <v>5.0773427719676315E-2</v>
      </c>
      <c r="J4462" s="2462">
        <v>58.999371978230776</v>
      </c>
    </row>
    <row r="4463" spans="1:10" outlineLevel="2">
      <c r="A4463" s="2459" t="s">
        <v>1669</v>
      </c>
      <c r="B4463" s="2459" t="s">
        <v>1664</v>
      </c>
      <c r="C4463" s="2459" t="s">
        <v>1670</v>
      </c>
      <c r="D4463" s="2460" t="s">
        <v>1671</v>
      </c>
      <c r="E4463" s="2461" t="s">
        <v>213</v>
      </c>
      <c r="F4463" s="2461" t="s">
        <v>1511</v>
      </c>
      <c r="G4463" s="2461" t="s">
        <v>1418</v>
      </c>
      <c r="H4463" s="2461" t="s">
        <v>1452</v>
      </c>
      <c r="I4463" s="2462">
        <v>6.6172504711359162E-4</v>
      </c>
      <c r="J4463" s="2462">
        <v>0.9785813615947071</v>
      </c>
    </row>
    <row r="4464" spans="1:10" outlineLevel="2">
      <c r="A4464" s="2459" t="s">
        <v>1669</v>
      </c>
      <c r="B4464" s="2459" t="s">
        <v>1664</v>
      </c>
      <c r="C4464" s="2459" t="s">
        <v>1670</v>
      </c>
      <c r="D4464" s="2460" t="s">
        <v>1671</v>
      </c>
      <c r="E4464" s="2461" t="s">
        <v>213</v>
      </c>
      <c r="F4464" s="2461" t="s">
        <v>1512</v>
      </c>
      <c r="G4464" s="2461" t="s">
        <v>1418</v>
      </c>
      <c r="H4464" s="2461" t="s">
        <v>1452</v>
      </c>
      <c r="I4464" s="2462">
        <v>8.6602630886970628E-4</v>
      </c>
      <c r="J4464" s="2462">
        <v>3.7867577274360271</v>
      </c>
    </row>
    <row r="4465" spans="1:10" outlineLevel="2">
      <c r="A4465" s="2459" t="s">
        <v>1669</v>
      </c>
      <c r="B4465" s="2459" t="s">
        <v>1664</v>
      </c>
      <c r="C4465" s="2459" t="s">
        <v>1670</v>
      </c>
      <c r="D4465" s="2460" t="s">
        <v>1671</v>
      </c>
      <c r="E4465" s="2461" t="s">
        <v>213</v>
      </c>
      <c r="F4465" s="2461" t="s">
        <v>1513</v>
      </c>
      <c r="G4465" s="2461" t="s">
        <v>1418</v>
      </c>
      <c r="H4465" s="2461" t="s">
        <v>1452</v>
      </c>
      <c r="I4465" s="2462">
        <v>3.2320099688236279E-5</v>
      </c>
      <c r="J4465" s="2462">
        <v>3.0376371169055491E-2</v>
      </c>
    </row>
    <row r="4466" spans="1:10" outlineLevel="2">
      <c r="A4466" s="2459" t="s">
        <v>1669</v>
      </c>
      <c r="B4466" s="2459" t="s">
        <v>1664</v>
      </c>
      <c r="C4466" s="2459" t="s">
        <v>1670</v>
      </c>
      <c r="D4466" s="2460" t="s">
        <v>1671</v>
      </c>
      <c r="E4466" s="2461" t="s">
        <v>213</v>
      </c>
      <c r="F4466" s="2461" t="s">
        <v>1514</v>
      </c>
      <c r="G4466" s="2461" t="s">
        <v>1418</v>
      </c>
      <c r="H4466" s="2461" t="s">
        <v>1452</v>
      </c>
      <c r="I4466" s="2462">
        <v>2.8990610076499025E-3</v>
      </c>
      <c r="J4466" s="2462">
        <v>2.7192837430289893</v>
      </c>
    </row>
    <row r="4467" spans="1:10" outlineLevel="2">
      <c r="A4467" s="2459" t="s">
        <v>1669</v>
      </c>
      <c r="B4467" s="2459" t="s">
        <v>1664</v>
      </c>
      <c r="C4467" s="2459" t="s">
        <v>1670</v>
      </c>
      <c r="D4467" s="2460" t="s">
        <v>1671</v>
      </c>
      <c r="E4467" s="2461" t="s">
        <v>213</v>
      </c>
      <c r="F4467" s="2461" t="s">
        <v>1515</v>
      </c>
      <c r="G4467" s="2461" t="s">
        <v>1418</v>
      </c>
      <c r="H4467" s="2461" t="s">
        <v>1452</v>
      </c>
      <c r="I4467" s="2462">
        <v>5.5673481338466889E-4</v>
      </c>
      <c r="J4467" s="2462">
        <v>0.80454246473426894</v>
      </c>
    </row>
    <row r="4468" spans="1:10" outlineLevel="2">
      <c r="A4468" s="2459" t="s">
        <v>1669</v>
      </c>
      <c r="B4468" s="2459" t="s">
        <v>1664</v>
      </c>
      <c r="C4468" s="2459" t="s">
        <v>1670</v>
      </c>
      <c r="D4468" s="2460" t="s">
        <v>1671</v>
      </c>
      <c r="E4468" s="2461" t="s">
        <v>213</v>
      </c>
      <c r="F4468" s="2461" t="s">
        <v>1516</v>
      </c>
      <c r="G4468" s="2461" t="s">
        <v>1418</v>
      </c>
      <c r="H4468" s="2461" t="s">
        <v>1452</v>
      </c>
      <c r="I4468" s="2462">
        <v>7.9585179796893071E-3</v>
      </c>
      <c r="J4468" s="2462">
        <v>8.9142873755338616</v>
      </c>
    </row>
    <row r="4469" spans="1:10" outlineLevel="2">
      <c r="A4469" s="2459" t="s">
        <v>1669</v>
      </c>
      <c r="B4469" s="2459" t="s">
        <v>1664</v>
      </c>
      <c r="C4469" s="2459" t="s">
        <v>1670</v>
      </c>
      <c r="D4469" s="2460" t="s">
        <v>1671</v>
      </c>
      <c r="E4469" s="2461" t="s">
        <v>213</v>
      </c>
      <c r="F4469" s="2461" t="s">
        <v>1517</v>
      </c>
      <c r="G4469" s="2461" t="s">
        <v>1418</v>
      </c>
      <c r="H4469" s="2461" t="s">
        <v>1452</v>
      </c>
      <c r="I4469" s="2462">
        <v>4.0755639383963899E-2</v>
      </c>
      <c r="J4469" s="2462">
        <v>19.984917108483693</v>
      </c>
    </row>
    <row r="4470" spans="1:10" outlineLevel="2">
      <c r="A4470" s="2459" t="s">
        <v>1669</v>
      </c>
      <c r="B4470" s="2459" t="s">
        <v>1664</v>
      </c>
      <c r="C4470" s="2459" t="s">
        <v>1670</v>
      </c>
      <c r="D4470" s="2460" t="s">
        <v>1671</v>
      </c>
      <c r="E4470" s="2461" t="s">
        <v>213</v>
      </c>
      <c r="F4470" s="2461" t="s">
        <v>1518</v>
      </c>
      <c r="G4470" s="2461" t="s">
        <v>1418</v>
      </c>
      <c r="H4470" s="2461" t="s">
        <v>1452</v>
      </c>
      <c r="I4470" s="2462">
        <v>4.5912201731287093E-3</v>
      </c>
      <c r="J4470" s="2462">
        <v>4.3065095764544061</v>
      </c>
    </row>
    <row r="4471" spans="1:10" outlineLevel="2">
      <c r="A4471" s="2459" t="s">
        <v>1669</v>
      </c>
      <c r="B4471" s="2459" t="s">
        <v>1664</v>
      </c>
      <c r="C4471" s="2459" t="s">
        <v>1670</v>
      </c>
      <c r="D4471" s="2460" t="s">
        <v>1671</v>
      </c>
      <c r="E4471" s="2461" t="s">
        <v>213</v>
      </c>
      <c r="F4471" s="2461" t="s">
        <v>1519</v>
      </c>
      <c r="G4471" s="2461" t="s">
        <v>1418</v>
      </c>
      <c r="H4471" s="2461" t="s">
        <v>1452</v>
      </c>
      <c r="I4471" s="2462">
        <v>6.0266061413440384E-3</v>
      </c>
      <c r="J4471" s="2462">
        <v>6.1455450026991061</v>
      </c>
    </row>
    <row r="4472" spans="1:10" outlineLevel="2">
      <c r="A4472" s="2459" t="s">
        <v>1669</v>
      </c>
      <c r="B4472" s="2459" t="s">
        <v>1664</v>
      </c>
      <c r="C4472" s="2459" t="s">
        <v>1670</v>
      </c>
      <c r="D4472" s="2460" t="s">
        <v>1671</v>
      </c>
      <c r="E4472" s="2461" t="s">
        <v>213</v>
      </c>
      <c r="F4472" s="2461" t="s">
        <v>1520</v>
      </c>
      <c r="G4472" s="2461" t="s">
        <v>1418</v>
      </c>
      <c r="H4472" s="2461" t="s">
        <v>1452</v>
      </c>
      <c r="I4472" s="2462">
        <v>7.215555269648174E-4</v>
      </c>
      <c r="J4472" s="2462">
        <v>6.5677816082632159</v>
      </c>
    </row>
    <row r="4473" spans="1:10" outlineLevel="2">
      <c r="A4473" s="2459" t="s">
        <v>1669</v>
      </c>
      <c r="B4473" s="2459" t="s">
        <v>1664</v>
      </c>
      <c r="C4473" s="2459" t="s">
        <v>1670</v>
      </c>
      <c r="D4473" s="2460" t="s">
        <v>1671</v>
      </c>
      <c r="E4473" s="2461" t="s">
        <v>213</v>
      </c>
      <c r="F4473" s="2461" t="s">
        <v>1521</v>
      </c>
      <c r="G4473" s="2461" t="s">
        <v>1421</v>
      </c>
      <c r="H4473" s="2461" t="s">
        <v>1454</v>
      </c>
      <c r="I4473" s="2462">
        <v>0.84602859034540945</v>
      </c>
      <c r="J4473" s="2462">
        <v>1178.2940682748492</v>
      </c>
    </row>
    <row r="4474" spans="1:10" outlineLevel="2">
      <c r="A4474" s="2459" t="s">
        <v>1669</v>
      </c>
      <c r="B4474" s="2459" t="s">
        <v>1664</v>
      </c>
      <c r="C4474" s="2459" t="s">
        <v>1670</v>
      </c>
      <c r="D4474" s="2460" t="s">
        <v>1671</v>
      </c>
      <c r="E4474" s="2461" t="s">
        <v>213</v>
      </c>
      <c r="F4474" s="2461" t="s">
        <v>1522</v>
      </c>
      <c r="G4474" s="2461" t="s">
        <v>1421</v>
      </c>
      <c r="H4474" s="2461" t="s">
        <v>1454</v>
      </c>
      <c r="I4474" s="2462">
        <v>0.19873044663901149</v>
      </c>
      <c r="J4474" s="2462">
        <v>294.79863723097776</v>
      </c>
    </row>
    <row r="4475" spans="1:10" outlineLevel="2">
      <c r="A4475" s="2459" t="s">
        <v>1669</v>
      </c>
      <c r="B4475" s="2459" t="s">
        <v>1664</v>
      </c>
      <c r="C4475" s="2459" t="s">
        <v>1670</v>
      </c>
      <c r="D4475" s="2460" t="s">
        <v>1671</v>
      </c>
      <c r="E4475" s="2461" t="s">
        <v>213</v>
      </c>
      <c r="F4475" s="2461" t="s">
        <v>1523</v>
      </c>
      <c r="G4475" s="2461" t="s">
        <v>1421</v>
      </c>
      <c r="H4475" s="2461" t="s">
        <v>1454</v>
      </c>
      <c r="I4475" s="2462">
        <v>9.1677509290901432E-2</v>
      </c>
      <c r="J4475" s="2462">
        <v>155.87978084067811</v>
      </c>
    </row>
    <row r="4476" spans="1:10" outlineLevel="2">
      <c r="A4476" s="2459" t="s">
        <v>1669</v>
      </c>
      <c r="B4476" s="2459" t="s">
        <v>1664</v>
      </c>
      <c r="C4476" s="2459" t="s">
        <v>1670</v>
      </c>
      <c r="D4476" s="2460" t="s">
        <v>1671</v>
      </c>
      <c r="E4476" s="2461" t="s">
        <v>213</v>
      </c>
      <c r="F4476" s="2461" t="s">
        <v>1524</v>
      </c>
      <c r="G4476" s="2461" t="s">
        <v>1421</v>
      </c>
      <c r="H4476" s="2461" t="s">
        <v>1454</v>
      </c>
      <c r="I4476" s="2462">
        <v>0.21124275736677145</v>
      </c>
      <c r="J4476" s="2462">
        <v>335.09940225177354</v>
      </c>
    </row>
    <row r="4477" spans="1:10" outlineLevel="2">
      <c r="A4477" s="2459" t="s">
        <v>1669</v>
      </c>
      <c r="B4477" s="2459" t="s">
        <v>1664</v>
      </c>
      <c r="C4477" s="2459" t="s">
        <v>1670</v>
      </c>
      <c r="D4477" s="2460" t="s">
        <v>1671</v>
      </c>
      <c r="E4477" s="2461" t="s">
        <v>213</v>
      </c>
      <c r="F4477" s="2461" t="s">
        <v>1525</v>
      </c>
      <c r="G4477" s="2461" t="s">
        <v>1421</v>
      </c>
      <c r="H4477" s="2461" t="s">
        <v>1454</v>
      </c>
      <c r="I4477" s="2462">
        <v>0.37212691161968769</v>
      </c>
      <c r="J4477" s="2462">
        <v>529.44832864954947</v>
      </c>
    </row>
    <row r="4478" spans="1:10" outlineLevel="2">
      <c r="A4478" s="2459" t="s">
        <v>1669</v>
      </c>
      <c r="B4478" s="2459" t="s">
        <v>1664</v>
      </c>
      <c r="C4478" s="2459" t="s">
        <v>1670</v>
      </c>
      <c r="D4478" s="2460" t="s">
        <v>1671</v>
      </c>
      <c r="E4478" s="2461" t="s">
        <v>213</v>
      </c>
      <c r="F4478" s="2461" t="s">
        <v>1526</v>
      </c>
      <c r="G4478" s="2461" t="s">
        <v>1421</v>
      </c>
      <c r="H4478" s="2461" t="s">
        <v>1454</v>
      </c>
      <c r="I4478" s="2462">
        <v>1.7239680874804261E-2</v>
      </c>
      <c r="J4478" s="2462">
        <v>24.840837393762353</v>
      </c>
    </row>
    <row r="4479" spans="1:10" outlineLevel="2">
      <c r="A4479" s="2459" t="s">
        <v>1669</v>
      </c>
      <c r="B4479" s="2459" t="s">
        <v>1664</v>
      </c>
      <c r="C4479" s="2459" t="s">
        <v>1670</v>
      </c>
      <c r="D4479" s="2460" t="s">
        <v>1671</v>
      </c>
      <c r="E4479" s="2461" t="s">
        <v>213</v>
      </c>
      <c r="F4479" s="2461" t="s">
        <v>1527</v>
      </c>
      <c r="G4479" s="2461" t="s">
        <v>1459</v>
      </c>
      <c r="H4479" s="2461" t="s">
        <v>1460</v>
      </c>
      <c r="I4479" s="2462">
        <v>4.3324518786644763E-2</v>
      </c>
      <c r="J4479" s="2462">
        <v>45.417940388303158</v>
      </c>
    </row>
    <row r="4480" spans="1:10" outlineLevel="2">
      <c r="A4480" s="2459" t="s">
        <v>1669</v>
      </c>
      <c r="B4480" s="2459" t="s">
        <v>1664</v>
      </c>
      <c r="C4480" s="2459" t="s">
        <v>1670</v>
      </c>
      <c r="D4480" s="2460" t="s">
        <v>1671</v>
      </c>
      <c r="E4480" s="2461" t="s">
        <v>213</v>
      </c>
      <c r="F4480" s="2461" t="s">
        <v>1528</v>
      </c>
      <c r="G4480" s="2461" t="s">
        <v>1459</v>
      </c>
      <c r="H4480" s="2461" t="s">
        <v>1460</v>
      </c>
      <c r="I4480" s="2462">
        <v>3.7710883742812388E-4</v>
      </c>
      <c r="J4480" s="2462">
        <v>0.48404826215781876</v>
      </c>
    </row>
    <row r="4481" spans="1:10" outlineLevel="2">
      <c r="A4481" s="2459" t="s">
        <v>1669</v>
      </c>
      <c r="B4481" s="2459" t="s">
        <v>1664</v>
      </c>
      <c r="C4481" s="2459" t="s">
        <v>1670</v>
      </c>
      <c r="D4481" s="2460" t="s">
        <v>1671</v>
      </c>
      <c r="E4481" s="2461" t="s">
        <v>213</v>
      </c>
      <c r="F4481" s="2461" t="s">
        <v>1529</v>
      </c>
      <c r="G4481" s="2461" t="s">
        <v>1530</v>
      </c>
      <c r="H4481" s="2461" t="s">
        <v>1531</v>
      </c>
      <c r="I4481" s="2462">
        <v>2.4205489091147867</v>
      </c>
      <c r="J4481" s="2462">
        <v>2059.4480722149638</v>
      </c>
    </row>
    <row r="4482" spans="1:10" outlineLevel="2">
      <c r="A4482" s="2459" t="s">
        <v>1669</v>
      </c>
      <c r="B4482" s="2459" t="s">
        <v>1664</v>
      </c>
      <c r="C4482" s="2459" t="s">
        <v>1670</v>
      </c>
      <c r="D4482" s="2460" t="s">
        <v>1671</v>
      </c>
      <c r="E4482" s="2461" t="s">
        <v>213</v>
      </c>
      <c r="F4482" s="2461" t="s">
        <v>1532</v>
      </c>
      <c r="G4482" s="2461" t="s">
        <v>1530</v>
      </c>
      <c r="H4482" s="2461" t="s">
        <v>1531</v>
      </c>
      <c r="I4482" s="2462">
        <v>1.0188396431095386</v>
      </c>
      <c r="J4482" s="2462">
        <v>869.18267563760617</v>
      </c>
    </row>
    <row r="4483" spans="1:10" outlineLevel="2">
      <c r="A4483" s="2459" t="s">
        <v>1669</v>
      </c>
      <c r="B4483" s="2459" t="s">
        <v>1664</v>
      </c>
      <c r="C4483" s="2459" t="s">
        <v>1670</v>
      </c>
      <c r="D4483" s="2460" t="s">
        <v>1671</v>
      </c>
      <c r="E4483" s="2461" t="s">
        <v>213</v>
      </c>
      <c r="F4483" s="2461" t="s">
        <v>1533</v>
      </c>
      <c r="G4483" s="2461" t="s">
        <v>1534</v>
      </c>
      <c r="H4483" s="2461" t="s">
        <v>1531</v>
      </c>
      <c r="I4483" s="2462">
        <v>0.53742798107367462</v>
      </c>
      <c r="J4483" s="2462">
        <v>904.70605939642041</v>
      </c>
    </row>
    <row r="4484" spans="1:10" outlineLevel="2">
      <c r="A4484" s="2459" t="s">
        <v>1669</v>
      </c>
      <c r="B4484" s="2459" t="s">
        <v>1664</v>
      </c>
      <c r="C4484" s="2459" t="s">
        <v>1670</v>
      </c>
      <c r="D4484" s="2460" t="s">
        <v>1671</v>
      </c>
      <c r="E4484" s="2461" t="s">
        <v>213</v>
      </c>
      <c r="F4484" s="2461" t="s">
        <v>1535</v>
      </c>
      <c r="G4484" s="2461" t="s">
        <v>1536</v>
      </c>
      <c r="H4484" s="2461" t="s">
        <v>1537</v>
      </c>
      <c r="I4484" s="2462">
        <v>1.260824527984776E-4</v>
      </c>
      <c r="J4484" s="2462">
        <v>0.18879500801690588</v>
      </c>
    </row>
    <row r="4485" spans="1:10" outlineLevel="2">
      <c r="A4485" s="2459" t="s">
        <v>1669</v>
      </c>
      <c r="B4485" s="2459" t="s">
        <v>1664</v>
      </c>
      <c r="C4485" s="2459" t="s">
        <v>1670</v>
      </c>
      <c r="D4485" s="2460" t="s">
        <v>1671</v>
      </c>
      <c r="E4485" s="2461" t="s">
        <v>1538</v>
      </c>
      <c r="F4485" s="2461" t="s">
        <v>1539</v>
      </c>
      <c r="G4485" s="2461" t="s">
        <v>1426</v>
      </c>
      <c r="H4485" s="2461" t="s">
        <v>1540</v>
      </c>
      <c r="I4485" s="2462">
        <v>3.845308853103403E-3</v>
      </c>
      <c r="J4485" s="2462">
        <v>7.3639532715053093</v>
      </c>
    </row>
    <row r="4486" spans="1:10" outlineLevel="2">
      <c r="A4486" s="2459" t="s">
        <v>1669</v>
      </c>
      <c r="B4486" s="2459" t="s">
        <v>1664</v>
      </c>
      <c r="C4486" s="2459" t="s">
        <v>1670</v>
      </c>
      <c r="D4486" s="2460" t="s">
        <v>1671</v>
      </c>
      <c r="E4486" s="2461" t="s">
        <v>1538</v>
      </c>
      <c r="F4486" s="2461" t="s">
        <v>1541</v>
      </c>
      <c r="G4486" s="2461" t="s">
        <v>1409</v>
      </c>
      <c r="H4486" s="2461" t="s">
        <v>1540</v>
      </c>
      <c r="I4486" s="2462">
        <v>2.2975917649869688E-4</v>
      </c>
      <c r="J4486" s="2462">
        <v>1.0695280519083818</v>
      </c>
    </row>
    <row r="4487" spans="1:10" outlineLevel="2">
      <c r="A4487" s="2459" t="s">
        <v>1669</v>
      </c>
      <c r="B4487" s="2459" t="s">
        <v>1664</v>
      </c>
      <c r="C4487" s="2459" t="s">
        <v>1670</v>
      </c>
      <c r="D4487" s="2460" t="s">
        <v>1671</v>
      </c>
      <c r="E4487" s="2461" t="s">
        <v>1538</v>
      </c>
      <c r="F4487" s="2461" t="s">
        <v>1542</v>
      </c>
      <c r="G4487" s="2461" t="s">
        <v>1409</v>
      </c>
      <c r="H4487" s="2461" t="s">
        <v>1540</v>
      </c>
      <c r="I4487" s="2462">
        <v>1.2322721908435309E-4</v>
      </c>
      <c r="J4487" s="2462">
        <v>1.78862612688516</v>
      </c>
    </row>
    <row r="4488" spans="1:10" outlineLevel="2">
      <c r="A4488" s="2459" t="s">
        <v>1669</v>
      </c>
      <c r="B4488" s="2459" t="s">
        <v>1664</v>
      </c>
      <c r="C4488" s="2459" t="s">
        <v>1670</v>
      </c>
      <c r="D4488" s="2460" t="s">
        <v>1671</v>
      </c>
      <c r="E4488" s="2461" t="s">
        <v>1538</v>
      </c>
      <c r="F4488" s="2461" t="s">
        <v>1543</v>
      </c>
      <c r="G4488" s="2461" t="s">
        <v>1409</v>
      </c>
      <c r="H4488" s="2461" t="s">
        <v>1540</v>
      </c>
      <c r="I4488" s="2462">
        <v>1.8270360898315485E-4</v>
      </c>
      <c r="J4488" s="2462">
        <v>0.31586973746527891</v>
      </c>
    </row>
    <row r="4489" spans="1:10" outlineLevel="2">
      <c r="A4489" s="2459" t="s">
        <v>1669</v>
      </c>
      <c r="B4489" s="2459" t="s">
        <v>1664</v>
      </c>
      <c r="C4489" s="2459" t="s">
        <v>1670</v>
      </c>
      <c r="D4489" s="2460" t="s">
        <v>1671</v>
      </c>
      <c r="E4489" s="2461" t="s">
        <v>1538</v>
      </c>
      <c r="F4489" s="2461" t="s">
        <v>1544</v>
      </c>
      <c r="G4489" s="2461" t="s">
        <v>1409</v>
      </c>
      <c r="H4489" s="2461" t="s">
        <v>1540</v>
      </c>
      <c r="I4489" s="2462">
        <v>3.3449216972910068E-5</v>
      </c>
      <c r="J4489" s="2462">
        <v>0.18312406548848004</v>
      </c>
    </row>
    <row r="4490" spans="1:10" outlineLevel="2">
      <c r="A4490" s="2459" t="s">
        <v>1669</v>
      </c>
      <c r="B4490" s="2459" t="s">
        <v>1664</v>
      </c>
      <c r="C4490" s="2459" t="s">
        <v>1670</v>
      </c>
      <c r="D4490" s="2460" t="s">
        <v>1671</v>
      </c>
      <c r="E4490" s="2461" t="s">
        <v>1538</v>
      </c>
      <c r="F4490" s="2461" t="s">
        <v>1545</v>
      </c>
      <c r="G4490" s="2461" t="s">
        <v>1409</v>
      </c>
      <c r="H4490" s="2461" t="s">
        <v>1540</v>
      </c>
      <c r="I4490" s="2462">
        <v>7.4034707245899164E-4</v>
      </c>
      <c r="J4490" s="2462">
        <v>3.307637574286483</v>
      </c>
    </row>
    <row r="4491" spans="1:10" outlineLevel="2">
      <c r="A4491" s="2459" t="s">
        <v>1669</v>
      </c>
      <c r="B4491" s="2459" t="s">
        <v>1664</v>
      </c>
      <c r="C4491" s="2459" t="s">
        <v>1670</v>
      </c>
      <c r="D4491" s="2460" t="s">
        <v>1671</v>
      </c>
      <c r="E4491" s="2461" t="s">
        <v>1538</v>
      </c>
      <c r="F4491" s="2461" t="s">
        <v>1546</v>
      </c>
      <c r="G4491" s="2461" t="s">
        <v>1409</v>
      </c>
      <c r="H4491" s="2461" t="s">
        <v>1540</v>
      </c>
      <c r="I4491" s="2462">
        <v>1.4161512785694132E-3</v>
      </c>
      <c r="J4491" s="2462">
        <v>1.6613563860809095</v>
      </c>
    </row>
    <row r="4492" spans="1:10" outlineLevel="2">
      <c r="A4492" s="2459" t="s">
        <v>1669</v>
      </c>
      <c r="B4492" s="2459" t="s">
        <v>1664</v>
      </c>
      <c r="C4492" s="2459" t="s">
        <v>1670</v>
      </c>
      <c r="D4492" s="2460" t="s">
        <v>1671</v>
      </c>
      <c r="E4492" s="2461" t="s">
        <v>1538</v>
      </c>
      <c r="F4492" s="2461" t="s">
        <v>1547</v>
      </c>
      <c r="G4492" s="2461" t="s">
        <v>1409</v>
      </c>
      <c r="H4492" s="2461" t="s">
        <v>1540</v>
      </c>
      <c r="I4492" s="2462">
        <v>1.5381258272852461E-4</v>
      </c>
      <c r="J4492" s="2462">
        <v>3.0601731910601311</v>
      </c>
    </row>
    <row r="4493" spans="1:10" outlineLevel="2">
      <c r="A4493" s="2459" t="s">
        <v>1669</v>
      </c>
      <c r="B4493" s="2459" t="s">
        <v>1664</v>
      </c>
      <c r="C4493" s="2459" t="s">
        <v>1670</v>
      </c>
      <c r="D4493" s="2460" t="s">
        <v>1671</v>
      </c>
      <c r="E4493" s="2461" t="s">
        <v>1538</v>
      </c>
      <c r="F4493" s="2461" t="s">
        <v>1548</v>
      </c>
      <c r="G4493" s="2461" t="s">
        <v>1409</v>
      </c>
      <c r="H4493" s="2461" t="s">
        <v>1540</v>
      </c>
      <c r="I4493" s="2462">
        <v>7.1388397274167303E-4</v>
      </c>
      <c r="J4493" s="2462">
        <v>1.2469208837673449</v>
      </c>
    </row>
    <row r="4494" spans="1:10" outlineLevel="2">
      <c r="A4494" s="2459" t="s">
        <v>1669</v>
      </c>
      <c r="B4494" s="2459" t="s">
        <v>1664</v>
      </c>
      <c r="C4494" s="2459" t="s">
        <v>1670</v>
      </c>
      <c r="D4494" s="2460" t="s">
        <v>1671</v>
      </c>
      <c r="E4494" s="2461" t="s">
        <v>1538</v>
      </c>
      <c r="F4494" s="2461" t="s">
        <v>1549</v>
      </c>
      <c r="G4494" s="2461" t="s">
        <v>1409</v>
      </c>
      <c r="H4494" s="2461" t="s">
        <v>1540</v>
      </c>
      <c r="I4494" s="2462">
        <v>1.0671739016713737E-4</v>
      </c>
      <c r="J4494" s="2462">
        <v>0.2043703519024834</v>
      </c>
    </row>
    <row r="4495" spans="1:10" outlineLevel="2">
      <c r="A4495" s="2459" t="s">
        <v>1669</v>
      </c>
      <c r="B4495" s="2459" t="s">
        <v>1664</v>
      </c>
      <c r="C4495" s="2459" t="s">
        <v>1670</v>
      </c>
      <c r="D4495" s="2460" t="s">
        <v>1671</v>
      </c>
      <c r="E4495" s="2461" t="s">
        <v>1538</v>
      </c>
      <c r="F4495" s="2461" t="s">
        <v>1550</v>
      </c>
      <c r="G4495" s="2461" t="s">
        <v>1409</v>
      </c>
      <c r="H4495" s="2461" t="s">
        <v>1540</v>
      </c>
      <c r="I4495" s="2462">
        <v>5.8486587550366659E-4</v>
      </c>
      <c r="J4495" s="2462">
        <v>2.1250957317857764</v>
      </c>
    </row>
    <row r="4496" spans="1:10" outlineLevel="2">
      <c r="A4496" s="2459" t="s">
        <v>1669</v>
      </c>
      <c r="B4496" s="2459" t="s">
        <v>1664</v>
      </c>
      <c r="C4496" s="2459" t="s">
        <v>1670</v>
      </c>
      <c r="D4496" s="2460" t="s">
        <v>1671</v>
      </c>
      <c r="E4496" s="2461" t="s">
        <v>1538</v>
      </c>
      <c r="F4496" s="2461" t="s">
        <v>1551</v>
      </c>
      <c r="G4496" s="2461" t="s">
        <v>1409</v>
      </c>
      <c r="H4496" s="2461" t="s">
        <v>1540</v>
      </c>
      <c r="I4496" s="2462">
        <v>4.818340199432293E-4</v>
      </c>
      <c r="J4496" s="2462">
        <v>5.1316410917633624</v>
      </c>
    </row>
    <row r="4497" spans="1:10" outlineLevel="2">
      <c r="A4497" s="2459" t="s">
        <v>1669</v>
      </c>
      <c r="B4497" s="2459" t="s">
        <v>1664</v>
      </c>
      <c r="C4497" s="2459" t="s">
        <v>1670</v>
      </c>
      <c r="D4497" s="2460" t="s">
        <v>1671</v>
      </c>
      <c r="E4497" s="2461" t="s">
        <v>1538</v>
      </c>
      <c r="F4497" s="2461" t="s">
        <v>1552</v>
      </c>
      <c r="G4497" s="2461" t="s">
        <v>1409</v>
      </c>
      <c r="H4497" s="2461" t="s">
        <v>1540</v>
      </c>
      <c r="I4497" s="2462">
        <v>3.3904025978971815E-5</v>
      </c>
      <c r="J4497" s="2462">
        <v>0.5399156408867305</v>
      </c>
    </row>
    <row r="4498" spans="1:10" outlineLevel="2">
      <c r="A4498" s="2459" t="s">
        <v>1669</v>
      </c>
      <c r="B4498" s="2459" t="s">
        <v>1664</v>
      </c>
      <c r="C4498" s="2459" t="s">
        <v>1670</v>
      </c>
      <c r="D4498" s="2460" t="s">
        <v>1671</v>
      </c>
      <c r="E4498" s="2461" t="s">
        <v>1538</v>
      </c>
      <c r="F4498" s="2461" t="s">
        <v>1553</v>
      </c>
      <c r="G4498" s="2461" t="s">
        <v>1409</v>
      </c>
      <c r="H4498" s="2461" t="s">
        <v>1540</v>
      </c>
      <c r="I4498" s="2462">
        <v>2.5143124738794872E-3</v>
      </c>
      <c r="J4498" s="2462">
        <v>4.6223210364145544</v>
      </c>
    </row>
    <row r="4499" spans="1:10" outlineLevel="2">
      <c r="A4499" s="2459" t="s">
        <v>1669</v>
      </c>
      <c r="B4499" s="2459" t="s">
        <v>1664</v>
      </c>
      <c r="C4499" s="2459" t="s">
        <v>1670</v>
      </c>
      <c r="D4499" s="2460" t="s">
        <v>1671</v>
      </c>
      <c r="E4499" s="2461" t="s">
        <v>1538</v>
      </c>
      <c r="F4499" s="2461" t="s">
        <v>1554</v>
      </c>
      <c r="G4499" s="2461" t="s">
        <v>1409</v>
      </c>
      <c r="H4499" s="2461" t="s">
        <v>1540</v>
      </c>
      <c r="I4499" s="2462">
        <v>1.4014749120871374E-3</v>
      </c>
      <c r="J4499" s="2462">
        <v>1.9398600104541914</v>
      </c>
    </row>
    <row r="4500" spans="1:10" outlineLevel="2">
      <c r="A4500" s="2459" t="s">
        <v>1669</v>
      </c>
      <c r="B4500" s="2459" t="s">
        <v>1664</v>
      </c>
      <c r="C4500" s="2459" t="s">
        <v>1670</v>
      </c>
      <c r="D4500" s="2460" t="s">
        <v>1671</v>
      </c>
      <c r="E4500" s="2461" t="s">
        <v>1538</v>
      </c>
      <c r="F4500" s="2461" t="s">
        <v>1555</v>
      </c>
      <c r="G4500" s="2461" t="s">
        <v>1412</v>
      </c>
      <c r="H4500" s="2461" t="s">
        <v>1540</v>
      </c>
      <c r="I4500" s="2462">
        <v>1.5244993853192659E-2</v>
      </c>
      <c r="J4500" s="2462">
        <v>46.930042196157508</v>
      </c>
    </row>
    <row r="4501" spans="1:10" outlineLevel="2">
      <c r="A4501" s="2459" t="s">
        <v>1669</v>
      </c>
      <c r="B4501" s="2459" t="s">
        <v>1664</v>
      </c>
      <c r="C4501" s="2459" t="s">
        <v>1670</v>
      </c>
      <c r="D4501" s="2460" t="s">
        <v>1671</v>
      </c>
      <c r="E4501" s="2461" t="s">
        <v>1538</v>
      </c>
      <c r="F4501" s="2461" t="s">
        <v>1556</v>
      </c>
      <c r="G4501" s="2461" t="s">
        <v>1412</v>
      </c>
      <c r="H4501" s="2461" t="s">
        <v>1540</v>
      </c>
      <c r="I4501" s="2462">
        <v>0.30308083285377674</v>
      </c>
      <c r="J4501" s="2462">
        <v>4268.8009808945844</v>
      </c>
    </row>
    <row r="4502" spans="1:10" outlineLevel="2">
      <c r="A4502" s="2459" t="s">
        <v>1669</v>
      </c>
      <c r="B4502" s="2459" t="s">
        <v>1664</v>
      </c>
      <c r="C4502" s="2459" t="s">
        <v>1670</v>
      </c>
      <c r="D4502" s="2460" t="s">
        <v>1671</v>
      </c>
      <c r="E4502" s="2461" t="s">
        <v>1538</v>
      </c>
      <c r="F4502" s="2461" t="s">
        <v>1557</v>
      </c>
      <c r="G4502" s="2461" t="s">
        <v>1412</v>
      </c>
      <c r="H4502" s="2461" t="s">
        <v>1540</v>
      </c>
      <c r="I4502" s="2462">
        <v>1.8043916193506225E-3</v>
      </c>
      <c r="J4502" s="2462">
        <v>31.800921157814876</v>
      </c>
    </row>
    <row r="4503" spans="1:10" outlineLevel="2">
      <c r="A4503" s="2459" t="s">
        <v>1669</v>
      </c>
      <c r="B4503" s="2459" t="s">
        <v>1664</v>
      </c>
      <c r="C4503" s="2459" t="s">
        <v>1670</v>
      </c>
      <c r="D4503" s="2460" t="s">
        <v>1671</v>
      </c>
      <c r="E4503" s="2461" t="s">
        <v>1538</v>
      </c>
      <c r="F4503" s="2461" t="s">
        <v>1558</v>
      </c>
      <c r="G4503" s="2461" t="s">
        <v>1412</v>
      </c>
      <c r="H4503" s="2461" t="s">
        <v>1540</v>
      </c>
      <c r="I4503" s="2462">
        <v>6.0360486256246155E-4</v>
      </c>
      <c r="J4503" s="2462">
        <v>10.031143145068187</v>
      </c>
    </row>
    <row r="4504" spans="1:10" outlineLevel="2">
      <c r="A4504" s="2459" t="s">
        <v>1669</v>
      </c>
      <c r="B4504" s="2459" t="s">
        <v>1664</v>
      </c>
      <c r="C4504" s="2459" t="s">
        <v>1670</v>
      </c>
      <c r="D4504" s="2460" t="s">
        <v>1671</v>
      </c>
      <c r="E4504" s="2461" t="s">
        <v>1538</v>
      </c>
      <c r="F4504" s="2461" t="s">
        <v>1559</v>
      </c>
      <c r="G4504" s="2461" t="s">
        <v>1412</v>
      </c>
      <c r="H4504" s="2461" t="s">
        <v>1540</v>
      </c>
      <c r="I4504" s="2462">
        <v>6.4449978520577376E-4</v>
      </c>
      <c r="J4504" s="2462">
        <v>2.4773937241408195</v>
      </c>
    </row>
    <row r="4505" spans="1:10" outlineLevel="2">
      <c r="A4505" s="2459" t="s">
        <v>1669</v>
      </c>
      <c r="B4505" s="2459" t="s">
        <v>1664</v>
      </c>
      <c r="C4505" s="2459" t="s">
        <v>1670</v>
      </c>
      <c r="D4505" s="2460" t="s">
        <v>1671</v>
      </c>
      <c r="E4505" s="2461" t="s">
        <v>1538</v>
      </c>
      <c r="F4505" s="2461" t="s">
        <v>1560</v>
      </c>
      <c r="G4505" s="2461" t="s">
        <v>1412</v>
      </c>
      <c r="H4505" s="2461" t="s">
        <v>1540</v>
      </c>
      <c r="I4505" s="2462">
        <v>9.0463518446452611E-4</v>
      </c>
      <c r="J4505" s="2462">
        <v>19.702145101777234</v>
      </c>
    </row>
    <row r="4506" spans="1:10" outlineLevel="2">
      <c r="A4506" s="2459" t="s">
        <v>1669</v>
      </c>
      <c r="B4506" s="2459" t="s">
        <v>1664</v>
      </c>
      <c r="C4506" s="2459" t="s">
        <v>1670</v>
      </c>
      <c r="D4506" s="2460" t="s">
        <v>1671</v>
      </c>
      <c r="E4506" s="2461" t="s">
        <v>1538</v>
      </c>
      <c r="F4506" s="2461" t="s">
        <v>1561</v>
      </c>
      <c r="G4506" s="2461" t="s">
        <v>1439</v>
      </c>
      <c r="H4506" s="2461" t="s">
        <v>1540</v>
      </c>
      <c r="I4506" s="2462">
        <v>2.1600788164908504E-3</v>
      </c>
      <c r="J4506" s="2462">
        <v>32.734483936175117</v>
      </c>
    </row>
    <row r="4507" spans="1:10" outlineLevel="2">
      <c r="A4507" s="2459" t="s">
        <v>1669</v>
      </c>
      <c r="B4507" s="2459" t="s">
        <v>1664</v>
      </c>
      <c r="C4507" s="2459" t="s">
        <v>1670</v>
      </c>
      <c r="D4507" s="2460" t="s">
        <v>1671</v>
      </c>
      <c r="E4507" s="2461" t="s">
        <v>1538</v>
      </c>
      <c r="F4507" s="2461" t="s">
        <v>1562</v>
      </c>
      <c r="G4507" s="2461" t="s">
        <v>1418</v>
      </c>
      <c r="H4507" s="2461" t="s">
        <v>1540</v>
      </c>
      <c r="I4507" s="2462">
        <v>3.0810504516870594E-5</v>
      </c>
      <c r="J4507" s="2462">
        <v>3.8823759057108331E-2</v>
      </c>
    </row>
    <row r="4508" spans="1:10" outlineLevel="2">
      <c r="A4508" s="2459" t="s">
        <v>1669</v>
      </c>
      <c r="B4508" s="2459" t="s">
        <v>1664</v>
      </c>
      <c r="C4508" s="2459" t="s">
        <v>1670</v>
      </c>
      <c r="D4508" s="2460" t="s">
        <v>1671</v>
      </c>
      <c r="E4508" s="2461" t="s">
        <v>1538</v>
      </c>
      <c r="F4508" s="2461" t="s">
        <v>1563</v>
      </c>
      <c r="G4508" s="2461" t="s">
        <v>1418</v>
      </c>
      <c r="H4508" s="2461" t="s">
        <v>1540</v>
      </c>
      <c r="I4508" s="2462">
        <v>4.4641596359792986E-6</v>
      </c>
      <c r="J4508" s="2462">
        <v>7.561777629766428E-2</v>
      </c>
    </row>
    <row r="4509" spans="1:10" outlineLevel="2">
      <c r="A4509" s="2459" t="s">
        <v>1669</v>
      </c>
      <c r="B4509" s="2459" t="s">
        <v>1664</v>
      </c>
      <c r="C4509" s="2459" t="s">
        <v>1670</v>
      </c>
      <c r="D4509" s="2460" t="s">
        <v>1671</v>
      </c>
      <c r="E4509" s="2461" t="s">
        <v>1538</v>
      </c>
      <c r="F4509" s="2461" t="s">
        <v>1564</v>
      </c>
      <c r="G4509" s="2461" t="s">
        <v>1421</v>
      </c>
      <c r="H4509" s="2461" t="s">
        <v>1540</v>
      </c>
      <c r="I4509" s="2462">
        <v>4.6118065195293587E-2</v>
      </c>
      <c r="J4509" s="2462">
        <v>113.23469529612494</v>
      </c>
    </row>
    <row r="4510" spans="1:10" outlineLevel="2">
      <c r="A4510" s="2459" t="s">
        <v>1669</v>
      </c>
      <c r="B4510" s="2459" t="s">
        <v>1664</v>
      </c>
      <c r="C4510" s="2459" t="s">
        <v>1670</v>
      </c>
      <c r="D4510" s="2460" t="s">
        <v>1671</v>
      </c>
      <c r="E4510" s="2461" t="s">
        <v>1538</v>
      </c>
      <c r="F4510" s="2461" t="s">
        <v>1565</v>
      </c>
      <c r="G4510" s="2461" t="s">
        <v>1421</v>
      </c>
      <c r="H4510" s="2461" t="s">
        <v>1540</v>
      </c>
      <c r="I4510" s="2462">
        <v>5.4265410064655174E-3</v>
      </c>
      <c r="J4510" s="2462">
        <v>24.7856470554878</v>
      </c>
    </row>
    <row r="4511" spans="1:10" outlineLevel="2">
      <c r="A4511" s="2459" t="s">
        <v>1669</v>
      </c>
      <c r="B4511" s="2459" t="s">
        <v>1664</v>
      </c>
      <c r="C4511" s="2459" t="s">
        <v>1670</v>
      </c>
      <c r="D4511" s="2460" t="s">
        <v>1671</v>
      </c>
      <c r="E4511" s="2461" t="s">
        <v>1538</v>
      </c>
      <c r="F4511" s="2461" t="s">
        <v>1566</v>
      </c>
      <c r="G4511" s="2461" t="s">
        <v>1421</v>
      </c>
      <c r="H4511" s="2461" t="s">
        <v>1540</v>
      </c>
      <c r="I4511" s="2462">
        <v>2.8294463534376223E-3</v>
      </c>
      <c r="J4511" s="2462">
        <v>28.941556153153279</v>
      </c>
    </row>
    <row r="4512" spans="1:10" outlineLevel="2">
      <c r="A4512" s="2459" t="s">
        <v>1669</v>
      </c>
      <c r="B4512" s="2459" t="s">
        <v>1664</v>
      </c>
      <c r="C4512" s="2459" t="s">
        <v>1670</v>
      </c>
      <c r="D4512" s="2460" t="s">
        <v>1671</v>
      </c>
      <c r="E4512" s="2461" t="s">
        <v>1538</v>
      </c>
      <c r="F4512" s="2461" t="s">
        <v>1567</v>
      </c>
      <c r="G4512" s="2461" t="s">
        <v>1421</v>
      </c>
      <c r="H4512" s="2461" t="s">
        <v>1540</v>
      </c>
      <c r="I4512" s="2462">
        <v>4.6841307916932829E-3</v>
      </c>
      <c r="J4512" s="2462">
        <v>35.970128869048921</v>
      </c>
    </row>
    <row r="4513" spans="1:10" outlineLevel="2">
      <c r="A4513" s="2459" t="s">
        <v>1669</v>
      </c>
      <c r="B4513" s="2459" t="s">
        <v>1664</v>
      </c>
      <c r="C4513" s="2459" t="s">
        <v>1670</v>
      </c>
      <c r="D4513" s="2460" t="s">
        <v>1671</v>
      </c>
      <c r="E4513" s="2461" t="s">
        <v>1538</v>
      </c>
      <c r="F4513" s="2461" t="s">
        <v>1568</v>
      </c>
      <c r="G4513" s="2461" t="s">
        <v>1421</v>
      </c>
      <c r="H4513" s="2461" t="s">
        <v>1540</v>
      </c>
      <c r="I4513" s="2462">
        <v>1.6214659807165183E-4</v>
      </c>
      <c r="J4513" s="2462">
        <v>0.48921354234766545</v>
      </c>
    </row>
    <row r="4514" spans="1:10" outlineLevel="2">
      <c r="A4514" s="2459" t="s">
        <v>1669</v>
      </c>
      <c r="B4514" s="2459" t="s">
        <v>1664</v>
      </c>
      <c r="C4514" s="2459" t="s">
        <v>1670</v>
      </c>
      <c r="D4514" s="2460" t="s">
        <v>1671</v>
      </c>
      <c r="E4514" s="2461" t="s">
        <v>1538</v>
      </c>
      <c r="F4514" s="2461" t="s">
        <v>1569</v>
      </c>
      <c r="G4514" s="2461" t="s">
        <v>1421</v>
      </c>
      <c r="H4514" s="2461" t="s">
        <v>1540</v>
      </c>
      <c r="I4514" s="2462">
        <v>3.8436525117555737E-5</v>
      </c>
      <c r="J4514" s="2462">
        <v>0.44416369234520736</v>
      </c>
    </row>
    <row r="4515" spans="1:10" outlineLevel="2">
      <c r="A4515" s="2459" t="s">
        <v>1669</v>
      </c>
      <c r="B4515" s="2459" t="s">
        <v>1664</v>
      </c>
      <c r="C4515" s="2459" t="s">
        <v>1670</v>
      </c>
      <c r="D4515" s="2460" t="s">
        <v>1671</v>
      </c>
      <c r="E4515" s="2461" t="s">
        <v>1538</v>
      </c>
      <c r="F4515" s="2461" t="s">
        <v>1570</v>
      </c>
      <c r="G4515" s="2461" t="s">
        <v>899</v>
      </c>
      <c r="H4515" s="2461" t="s">
        <v>1540</v>
      </c>
      <c r="I4515" s="2462">
        <v>1.3265109170854409E-6</v>
      </c>
      <c r="J4515" s="2462">
        <v>5.7309824787437572E-3</v>
      </c>
    </row>
    <row r="4516" spans="1:10" outlineLevel="2">
      <c r="A4516" s="2459" t="s">
        <v>1669</v>
      </c>
      <c r="B4516" s="2459" t="s">
        <v>1664</v>
      </c>
      <c r="C4516" s="2459" t="s">
        <v>1670</v>
      </c>
      <c r="D4516" s="2460" t="s">
        <v>1671</v>
      </c>
      <c r="E4516" s="2461" t="s">
        <v>1400</v>
      </c>
      <c r="F4516" s="2461" t="s">
        <v>1571</v>
      </c>
      <c r="G4516" s="2461" t="s">
        <v>215</v>
      </c>
      <c r="H4516" s="2461" t="s">
        <v>1531</v>
      </c>
      <c r="I4516" s="2462">
        <v>1.9100596611007582E-2</v>
      </c>
      <c r="J4516" s="2462">
        <v>687.44544272926032</v>
      </c>
    </row>
    <row r="4517" spans="1:10" outlineLevel="2">
      <c r="A4517" s="2459" t="s">
        <v>1669</v>
      </c>
      <c r="B4517" s="2459" t="s">
        <v>1664</v>
      </c>
      <c r="C4517" s="2459" t="s">
        <v>1670</v>
      </c>
      <c r="D4517" s="2460" t="s">
        <v>1671</v>
      </c>
      <c r="E4517" s="2461" t="s">
        <v>1400</v>
      </c>
      <c r="F4517" s="2461" t="s">
        <v>1572</v>
      </c>
      <c r="G4517" s="2461" t="s">
        <v>215</v>
      </c>
      <c r="H4517" s="2461" t="s">
        <v>1531</v>
      </c>
      <c r="I4517" s="2462">
        <v>2.1482492150582918E-4</v>
      </c>
      <c r="J4517" s="2462">
        <v>4.0751053032866862</v>
      </c>
    </row>
    <row r="4518" spans="1:10" outlineLevel="2">
      <c r="A4518" s="2459" t="s">
        <v>1669</v>
      </c>
      <c r="B4518" s="2459" t="s">
        <v>1664</v>
      </c>
      <c r="C4518" s="2459" t="s">
        <v>1670</v>
      </c>
      <c r="D4518" s="2460" t="s">
        <v>1671</v>
      </c>
      <c r="E4518" s="2461" t="s">
        <v>1573</v>
      </c>
      <c r="F4518" s="2461" t="s">
        <v>1574</v>
      </c>
      <c r="G4518" s="2461" t="s">
        <v>1426</v>
      </c>
      <c r="H4518" s="2461" t="s">
        <v>1427</v>
      </c>
      <c r="I4518" s="2462">
        <v>4.6617266909343138E-3</v>
      </c>
      <c r="J4518" s="2462">
        <v>115.24447296446012</v>
      </c>
    </row>
    <row r="4519" spans="1:10" outlineLevel="2">
      <c r="A4519" s="2459" t="s">
        <v>1669</v>
      </c>
      <c r="B4519" s="2459" t="s">
        <v>1664</v>
      </c>
      <c r="C4519" s="2459" t="s">
        <v>1670</v>
      </c>
      <c r="D4519" s="2460" t="s">
        <v>1671</v>
      </c>
      <c r="E4519" s="2461" t="s">
        <v>1573</v>
      </c>
      <c r="F4519" s="2461" t="s">
        <v>1575</v>
      </c>
      <c r="G4519" s="2461" t="s">
        <v>1409</v>
      </c>
      <c r="H4519" s="2461" t="s">
        <v>1070</v>
      </c>
      <c r="I4519" s="2462">
        <v>2.1933131103561258E-3</v>
      </c>
      <c r="J4519" s="2462">
        <v>127.91497429225744</v>
      </c>
    </row>
    <row r="4520" spans="1:10" outlineLevel="2">
      <c r="A4520" s="2459" t="s">
        <v>1669</v>
      </c>
      <c r="B4520" s="2459" t="s">
        <v>1664</v>
      </c>
      <c r="C4520" s="2459" t="s">
        <v>1670</v>
      </c>
      <c r="D4520" s="2460" t="s">
        <v>1671</v>
      </c>
      <c r="E4520" s="2461" t="s">
        <v>1573</v>
      </c>
      <c r="F4520" s="2461" t="s">
        <v>1576</v>
      </c>
      <c r="G4520" s="2461" t="s">
        <v>1409</v>
      </c>
      <c r="H4520" s="2461" t="s">
        <v>1070</v>
      </c>
      <c r="I4520" s="2462">
        <v>1.8858750785362985E-5</v>
      </c>
      <c r="J4520" s="2462">
        <v>0.20830676806131473</v>
      </c>
    </row>
    <row r="4521" spans="1:10" outlineLevel="2">
      <c r="A4521" s="2459" t="s">
        <v>1669</v>
      </c>
      <c r="B4521" s="2459" t="s">
        <v>1664</v>
      </c>
      <c r="C4521" s="2459" t="s">
        <v>1670</v>
      </c>
      <c r="D4521" s="2460" t="s">
        <v>1671</v>
      </c>
      <c r="E4521" s="2461" t="s">
        <v>1573</v>
      </c>
      <c r="F4521" s="2461" t="s">
        <v>1577</v>
      </c>
      <c r="G4521" s="2461" t="s">
        <v>1409</v>
      </c>
      <c r="H4521" s="2461" t="s">
        <v>1070</v>
      </c>
      <c r="I4521" s="2462">
        <v>2.7350054400991961E-4</v>
      </c>
      <c r="J4521" s="2462">
        <v>3.4313807359754094</v>
      </c>
    </row>
    <row r="4522" spans="1:10" outlineLevel="2">
      <c r="A4522" s="2459" t="s">
        <v>1669</v>
      </c>
      <c r="B4522" s="2459" t="s">
        <v>1664</v>
      </c>
      <c r="C4522" s="2459" t="s">
        <v>1670</v>
      </c>
      <c r="D4522" s="2460" t="s">
        <v>1671</v>
      </c>
      <c r="E4522" s="2461" t="s">
        <v>1573</v>
      </c>
      <c r="F4522" s="2461" t="s">
        <v>1578</v>
      </c>
      <c r="G4522" s="2461" t="s">
        <v>1409</v>
      </c>
      <c r="H4522" s="2461" t="s">
        <v>1070</v>
      </c>
      <c r="I4522" s="2462">
        <v>6.2456679202369404E-3</v>
      </c>
      <c r="J4522" s="2462">
        <v>320.19046907502917</v>
      </c>
    </row>
    <row r="4523" spans="1:10" outlineLevel="2">
      <c r="A4523" s="2459" t="s">
        <v>1669</v>
      </c>
      <c r="B4523" s="2459" t="s">
        <v>1664</v>
      </c>
      <c r="C4523" s="2459" t="s">
        <v>1670</v>
      </c>
      <c r="D4523" s="2460" t="s">
        <v>1671</v>
      </c>
      <c r="E4523" s="2461" t="s">
        <v>1573</v>
      </c>
      <c r="F4523" s="2461" t="s">
        <v>1579</v>
      </c>
      <c r="G4523" s="2461" t="s">
        <v>1409</v>
      </c>
      <c r="H4523" s="2461" t="s">
        <v>1070</v>
      </c>
      <c r="I4523" s="2462">
        <v>4.7412560571536543E-3</v>
      </c>
      <c r="J4523" s="2462">
        <v>348.38896609341919</v>
      </c>
    </row>
    <row r="4524" spans="1:10" outlineLevel="2">
      <c r="A4524" s="2459" t="s">
        <v>1669</v>
      </c>
      <c r="B4524" s="2459" t="s">
        <v>1664</v>
      </c>
      <c r="C4524" s="2459" t="s">
        <v>1670</v>
      </c>
      <c r="D4524" s="2460" t="s">
        <v>1671</v>
      </c>
      <c r="E4524" s="2461" t="s">
        <v>1573</v>
      </c>
      <c r="F4524" s="2461" t="s">
        <v>1580</v>
      </c>
      <c r="G4524" s="2461" t="s">
        <v>1409</v>
      </c>
      <c r="H4524" s="2461" t="s">
        <v>1070</v>
      </c>
      <c r="I4524" s="2462">
        <v>5.3566278372427364E-4</v>
      </c>
      <c r="J4524" s="2462">
        <v>19.237384798029847</v>
      </c>
    </row>
    <row r="4525" spans="1:10" outlineLevel="2">
      <c r="A4525" s="2459" t="s">
        <v>1669</v>
      </c>
      <c r="B4525" s="2459" t="s">
        <v>1664</v>
      </c>
      <c r="C4525" s="2459" t="s">
        <v>1670</v>
      </c>
      <c r="D4525" s="2460" t="s">
        <v>1671</v>
      </c>
      <c r="E4525" s="2461" t="s">
        <v>1573</v>
      </c>
      <c r="F4525" s="2461" t="s">
        <v>1581</v>
      </c>
      <c r="G4525" s="2461" t="s">
        <v>1409</v>
      </c>
      <c r="H4525" s="2461" t="s">
        <v>1070</v>
      </c>
      <c r="I4525" s="2462">
        <v>2.8491425216664145E-4</v>
      </c>
      <c r="J4525" s="2462">
        <v>13.099829762959168</v>
      </c>
    </row>
    <row r="4526" spans="1:10" outlineLevel="2">
      <c r="A4526" s="2459" t="s">
        <v>1669</v>
      </c>
      <c r="B4526" s="2459" t="s">
        <v>1664</v>
      </c>
      <c r="C4526" s="2459" t="s">
        <v>1670</v>
      </c>
      <c r="D4526" s="2460" t="s">
        <v>1671</v>
      </c>
      <c r="E4526" s="2461" t="s">
        <v>1573</v>
      </c>
      <c r="F4526" s="2461" t="s">
        <v>1582</v>
      </c>
      <c r="G4526" s="2461" t="s">
        <v>1409</v>
      </c>
      <c r="H4526" s="2461" t="s">
        <v>1070</v>
      </c>
      <c r="I4526" s="2462">
        <v>1.5143080392491931E-3</v>
      </c>
      <c r="J4526" s="2462">
        <v>35.973394648669853</v>
      </c>
    </row>
    <row r="4527" spans="1:10" outlineLevel="2">
      <c r="A4527" s="2459" t="s">
        <v>1669</v>
      </c>
      <c r="B4527" s="2459" t="s">
        <v>1664</v>
      </c>
      <c r="C4527" s="2459" t="s">
        <v>1670</v>
      </c>
      <c r="D4527" s="2460" t="s">
        <v>1671</v>
      </c>
      <c r="E4527" s="2461" t="s">
        <v>1573</v>
      </c>
      <c r="F4527" s="2461" t="s">
        <v>1583</v>
      </c>
      <c r="G4527" s="2461" t="s">
        <v>1409</v>
      </c>
      <c r="H4527" s="2461" t="s">
        <v>1070</v>
      </c>
      <c r="I4527" s="2462">
        <v>4.341088233776714E-3</v>
      </c>
      <c r="J4527" s="2462">
        <v>153.93970804051725</v>
      </c>
    </row>
    <row r="4528" spans="1:10" outlineLevel="2">
      <c r="A4528" s="2459" t="s">
        <v>1669</v>
      </c>
      <c r="B4528" s="2459" t="s">
        <v>1664</v>
      </c>
      <c r="C4528" s="2459" t="s">
        <v>1670</v>
      </c>
      <c r="D4528" s="2460" t="s">
        <v>1671</v>
      </c>
      <c r="E4528" s="2461" t="s">
        <v>1573</v>
      </c>
      <c r="F4528" s="2461" t="s">
        <v>1584</v>
      </c>
      <c r="G4528" s="2461" t="s">
        <v>1409</v>
      </c>
      <c r="H4528" s="2461" t="s">
        <v>1070</v>
      </c>
      <c r="I4528" s="2462">
        <v>3.0690061337952631E-3</v>
      </c>
      <c r="J4528" s="2462">
        <v>169.01624473897684</v>
      </c>
    </row>
    <row r="4529" spans="1:10" outlineLevel="2">
      <c r="A4529" s="2459" t="s">
        <v>1669</v>
      </c>
      <c r="B4529" s="2459" t="s">
        <v>1664</v>
      </c>
      <c r="C4529" s="2459" t="s">
        <v>1670</v>
      </c>
      <c r="D4529" s="2460" t="s">
        <v>1671</v>
      </c>
      <c r="E4529" s="2461" t="s">
        <v>1573</v>
      </c>
      <c r="F4529" s="2461" t="s">
        <v>1585</v>
      </c>
      <c r="G4529" s="2461" t="s">
        <v>1409</v>
      </c>
      <c r="H4529" s="2461" t="s">
        <v>1070</v>
      </c>
      <c r="I4529" s="2462">
        <v>1.6825715313509543E-2</v>
      </c>
      <c r="J4529" s="2462">
        <v>1297.7873966026561</v>
      </c>
    </row>
    <row r="4530" spans="1:10" outlineLevel="2">
      <c r="A4530" s="2459" t="s">
        <v>1669</v>
      </c>
      <c r="B4530" s="2459" t="s">
        <v>1664</v>
      </c>
      <c r="C4530" s="2459" t="s">
        <v>1670</v>
      </c>
      <c r="D4530" s="2460" t="s">
        <v>1671</v>
      </c>
      <c r="E4530" s="2461" t="s">
        <v>1573</v>
      </c>
      <c r="F4530" s="2461" t="s">
        <v>1586</v>
      </c>
      <c r="G4530" s="2461" t="s">
        <v>1409</v>
      </c>
      <c r="H4530" s="2461" t="s">
        <v>1070</v>
      </c>
      <c r="I4530" s="2462">
        <v>3.5587655640256544E-4</v>
      </c>
      <c r="J4530" s="2462">
        <v>10.791255404072022</v>
      </c>
    </row>
    <row r="4531" spans="1:10" outlineLevel="2">
      <c r="A4531" s="2459" t="s">
        <v>1669</v>
      </c>
      <c r="B4531" s="2459" t="s">
        <v>1664</v>
      </c>
      <c r="C4531" s="2459" t="s">
        <v>1670</v>
      </c>
      <c r="D4531" s="2460" t="s">
        <v>1671</v>
      </c>
      <c r="E4531" s="2461" t="s">
        <v>1573</v>
      </c>
      <c r="F4531" s="2461" t="s">
        <v>1587</v>
      </c>
      <c r="G4531" s="2461" t="s">
        <v>1409</v>
      </c>
      <c r="H4531" s="2461" t="s">
        <v>1070</v>
      </c>
      <c r="I4531" s="2462">
        <v>1.4014810500292881E-4</v>
      </c>
      <c r="J4531" s="2462">
        <v>6.6075081920782344</v>
      </c>
    </row>
    <row r="4532" spans="1:10" outlineLevel="2">
      <c r="A4532" s="2459" t="s">
        <v>1669</v>
      </c>
      <c r="B4532" s="2459" t="s">
        <v>1664</v>
      </c>
      <c r="C4532" s="2459" t="s">
        <v>1670</v>
      </c>
      <c r="D4532" s="2460" t="s">
        <v>1671</v>
      </c>
      <c r="E4532" s="2461" t="s">
        <v>1573</v>
      </c>
      <c r="F4532" s="2461" t="s">
        <v>1588</v>
      </c>
      <c r="G4532" s="2461" t="s">
        <v>1409</v>
      </c>
      <c r="H4532" s="2461" t="s">
        <v>1070</v>
      </c>
      <c r="I4532" s="2462">
        <v>4.9650072851657083E-3</v>
      </c>
      <c r="J4532" s="2462">
        <v>296.64085969810594</v>
      </c>
    </row>
    <row r="4533" spans="1:10" outlineLevel="2">
      <c r="A4533" s="2459" t="s">
        <v>1669</v>
      </c>
      <c r="B4533" s="2459" t="s">
        <v>1664</v>
      </c>
      <c r="C4533" s="2459" t="s">
        <v>1670</v>
      </c>
      <c r="D4533" s="2460" t="s">
        <v>1671</v>
      </c>
      <c r="E4533" s="2461" t="s">
        <v>1573</v>
      </c>
      <c r="F4533" s="2461" t="s">
        <v>1589</v>
      </c>
      <c r="G4533" s="2461" t="s">
        <v>1409</v>
      </c>
      <c r="H4533" s="2461" t="s">
        <v>1070</v>
      </c>
      <c r="I4533" s="2462">
        <v>4.268487470603345E-3</v>
      </c>
      <c r="J4533" s="2462">
        <v>322.89741797736923</v>
      </c>
    </row>
    <row r="4534" spans="1:10" outlineLevel="2">
      <c r="A4534" s="2459" t="s">
        <v>1669</v>
      </c>
      <c r="B4534" s="2459" t="s">
        <v>1664</v>
      </c>
      <c r="C4534" s="2459" t="s">
        <v>1670</v>
      </c>
      <c r="D4534" s="2460" t="s">
        <v>1671</v>
      </c>
      <c r="E4534" s="2461" t="s">
        <v>1573</v>
      </c>
      <c r="F4534" s="2461" t="s">
        <v>1590</v>
      </c>
      <c r="G4534" s="2461" t="s">
        <v>1409</v>
      </c>
      <c r="H4534" s="2461" t="s">
        <v>1070</v>
      </c>
      <c r="I4534" s="2462">
        <v>1.5584648826906709E-2</v>
      </c>
      <c r="J4534" s="2462">
        <v>1110.7213939806898</v>
      </c>
    </row>
    <row r="4535" spans="1:10" outlineLevel="2">
      <c r="A4535" s="2459" t="s">
        <v>1669</v>
      </c>
      <c r="B4535" s="2459" t="s">
        <v>1664</v>
      </c>
      <c r="C4535" s="2459" t="s">
        <v>1670</v>
      </c>
      <c r="D4535" s="2460" t="s">
        <v>1671</v>
      </c>
      <c r="E4535" s="2461" t="s">
        <v>1573</v>
      </c>
      <c r="F4535" s="2461" t="s">
        <v>1591</v>
      </c>
      <c r="G4535" s="2461" t="s">
        <v>1409</v>
      </c>
      <c r="H4535" s="2461" t="s">
        <v>1070</v>
      </c>
      <c r="I4535" s="2462">
        <v>1.0727710999884857E-3</v>
      </c>
      <c r="J4535" s="2462">
        <v>52.228071756709404</v>
      </c>
    </row>
    <row r="4536" spans="1:10" outlineLevel="2">
      <c r="A4536" s="2459" t="s">
        <v>1669</v>
      </c>
      <c r="B4536" s="2459" t="s">
        <v>1664</v>
      </c>
      <c r="C4536" s="2459" t="s">
        <v>1670</v>
      </c>
      <c r="D4536" s="2460" t="s">
        <v>1671</v>
      </c>
      <c r="E4536" s="2461" t="s">
        <v>1573</v>
      </c>
      <c r="F4536" s="2461" t="s">
        <v>1592</v>
      </c>
      <c r="G4536" s="2461" t="s">
        <v>1409</v>
      </c>
      <c r="H4536" s="2461" t="s">
        <v>1070</v>
      </c>
      <c r="I4536" s="2462">
        <v>9.0206297467679032E-3</v>
      </c>
      <c r="J4536" s="2462">
        <v>415.4461373038481</v>
      </c>
    </row>
    <row r="4537" spans="1:10" outlineLevel="2">
      <c r="A4537" s="2459" t="s">
        <v>1669</v>
      </c>
      <c r="B4537" s="2459" t="s">
        <v>1664</v>
      </c>
      <c r="C4537" s="2459" t="s">
        <v>1670</v>
      </c>
      <c r="D4537" s="2460" t="s">
        <v>1671</v>
      </c>
      <c r="E4537" s="2461" t="s">
        <v>1573</v>
      </c>
      <c r="F4537" s="2461" t="s">
        <v>1593</v>
      </c>
      <c r="G4537" s="2461" t="s">
        <v>1409</v>
      </c>
      <c r="H4537" s="2461" t="s">
        <v>1070</v>
      </c>
      <c r="I4537" s="2462">
        <v>2.204016029596707E-2</v>
      </c>
      <c r="J4537" s="2462">
        <v>1412.4376366753197</v>
      </c>
    </row>
    <row r="4538" spans="1:10" outlineLevel="2">
      <c r="A4538" s="2459" t="s">
        <v>1669</v>
      </c>
      <c r="B4538" s="2459" t="s">
        <v>1664</v>
      </c>
      <c r="C4538" s="2459" t="s">
        <v>1670</v>
      </c>
      <c r="D4538" s="2460" t="s">
        <v>1671</v>
      </c>
      <c r="E4538" s="2461" t="s">
        <v>1573</v>
      </c>
      <c r="F4538" s="2461" t="s">
        <v>1594</v>
      </c>
      <c r="G4538" s="2461" t="s">
        <v>1409</v>
      </c>
      <c r="H4538" s="2461" t="s">
        <v>1070</v>
      </c>
      <c r="I4538" s="2462">
        <v>4.8273373061715273E-2</v>
      </c>
      <c r="J4538" s="2462">
        <v>947.55263476406287</v>
      </c>
    </row>
    <row r="4539" spans="1:10" outlineLevel="2">
      <c r="A4539" s="2459" t="s">
        <v>1669</v>
      </c>
      <c r="B4539" s="2459" t="s">
        <v>1664</v>
      </c>
      <c r="C4539" s="2459" t="s">
        <v>1670</v>
      </c>
      <c r="D4539" s="2460" t="s">
        <v>1671</v>
      </c>
      <c r="E4539" s="2461" t="s">
        <v>1573</v>
      </c>
      <c r="F4539" s="2461" t="s">
        <v>1595</v>
      </c>
      <c r="G4539" s="2461" t="s">
        <v>1409</v>
      </c>
      <c r="H4539" s="2461" t="s">
        <v>1070</v>
      </c>
      <c r="I4539" s="2462">
        <v>1.7748975281085669E-2</v>
      </c>
      <c r="J4539" s="2462">
        <v>1292.0816710607855</v>
      </c>
    </row>
    <row r="4540" spans="1:10" outlineLevel="2">
      <c r="A4540" s="2459" t="s">
        <v>1669</v>
      </c>
      <c r="B4540" s="2459" t="s">
        <v>1664</v>
      </c>
      <c r="C4540" s="2459" t="s">
        <v>1670</v>
      </c>
      <c r="D4540" s="2460" t="s">
        <v>1671</v>
      </c>
      <c r="E4540" s="2461" t="s">
        <v>1573</v>
      </c>
      <c r="F4540" s="2461" t="s">
        <v>1596</v>
      </c>
      <c r="G4540" s="2461" t="s">
        <v>1409</v>
      </c>
      <c r="H4540" s="2461" t="s">
        <v>1070</v>
      </c>
      <c r="I4540" s="2462">
        <v>3.2317425488897919E-2</v>
      </c>
      <c r="J4540" s="2462">
        <v>743.78042889699157</v>
      </c>
    </row>
    <row r="4541" spans="1:10" outlineLevel="2">
      <c r="A4541" s="2459" t="s">
        <v>1669</v>
      </c>
      <c r="B4541" s="2459" t="s">
        <v>1664</v>
      </c>
      <c r="C4541" s="2459" t="s">
        <v>1670</v>
      </c>
      <c r="D4541" s="2460" t="s">
        <v>1671</v>
      </c>
      <c r="E4541" s="2461" t="s">
        <v>1573</v>
      </c>
      <c r="F4541" s="2461" t="s">
        <v>1597</v>
      </c>
      <c r="G4541" s="2461" t="s">
        <v>1409</v>
      </c>
      <c r="H4541" s="2461" t="s">
        <v>1070</v>
      </c>
      <c r="I4541" s="2462">
        <v>1.8970960184326339E-3</v>
      </c>
      <c r="J4541" s="2462">
        <v>138.64194692260622</v>
      </c>
    </row>
    <row r="4542" spans="1:10" outlineLevel="2">
      <c r="A4542" s="2459" t="s">
        <v>1669</v>
      </c>
      <c r="B4542" s="2459" t="s">
        <v>1664</v>
      </c>
      <c r="C4542" s="2459" t="s">
        <v>1670</v>
      </c>
      <c r="D4542" s="2460" t="s">
        <v>1671</v>
      </c>
      <c r="E4542" s="2461" t="s">
        <v>1573</v>
      </c>
      <c r="F4542" s="2461" t="s">
        <v>1598</v>
      </c>
      <c r="G4542" s="2461" t="s">
        <v>1409</v>
      </c>
      <c r="H4542" s="2461" t="s">
        <v>1070</v>
      </c>
      <c r="I4542" s="2462">
        <v>9.853358076422313E-5</v>
      </c>
      <c r="J4542" s="2462">
        <v>2.2746047278822403</v>
      </c>
    </row>
    <row r="4543" spans="1:10" outlineLevel="2">
      <c r="A4543" s="2459" t="s">
        <v>1669</v>
      </c>
      <c r="B4543" s="2459" t="s">
        <v>1664</v>
      </c>
      <c r="C4543" s="2459" t="s">
        <v>1670</v>
      </c>
      <c r="D4543" s="2460" t="s">
        <v>1671</v>
      </c>
      <c r="E4543" s="2461" t="s">
        <v>1573</v>
      </c>
      <c r="F4543" s="2461" t="s">
        <v>1599</v>
      </c>
      <c r="G4543" s="2461" t="s">
        <v>1409</v>
      </c>
      <c r="H4543" s="2461" t="s">
        <v>1070</v>
      </c>
      <c r="I4543" s="2462">
        <v>2.6900570688886132E-3</v>
      </c>
      <c r="J4543" s="2462">
        <v>144.61718861193921</v>
      </c>
    </row>
    <row r="4544" spans="1:10" outlineLevel="2">
      <c r="A4544" s="2459" t="s">
        <v>1669</v>
      </c>
      <c r="B4544" s="2459" t="s">
        <v>1664</v>
      </c>
      <c r="C4544" s="2459" t="s">
        <v>1670</v>
      </c>
      <c r="D4544" s="2460" t="s">
        <v>1671</v>
      </c>
      <c r="E4544" s="2461" t="s">
        <v>1573</v>
      </c>
      <c r="F4544" s="2461" t="s">
        <v>1600</v>
      </c>
      <c r="G4544" s="2461" t="s">
        <v>1412</v>
      </c>
      <c r="H4544" s="2461" t="s">
        <v>1116</v>
      </c>
      <c r="I4544" s="2462">
        <v>3.1719696484697117E-3</v>
      </c>
      <c r="J4544" s="2462">
        <v>76.738386243551744</v>
      </c>
    </row>
    <row r="4545" spans="1:10" outlineLevel="2">
      <c r="A4545" s="2459" t="s">
        <v>1669</v>
      </c>
      <c r="B4545" s="2459" t="s">
        <v>1664</v>
      </c>
      <c r="C4545" s="2459" t="s">
        <v>1670</v>
      </c>
      <c r="D4545" s="2460" t="s">
        <v>1671</v>
      </c>
      <c r="E4545" s="2461" t="s">
        <v>1573</v>
      </c>
      <c r="F4545" s="2461" t="s">
        <v>1601</v>
      </c>
      <c r="G4545" s="2461" t="s">
        <v>1412</v>
      </c>
      <c r="H4545" s="2461" t="s">
        <v>1116</v>
      </c>
      <c r="I4545" s="2462">
        <v>1.5785716604610013E-2</v>
      </c>
      <c r="J4545" s="2462">
        <v>1113.2895233829549</v>
      </c>
    </row>
    <row r="4546" spans="1:10" outlineLevel="2">
      <c r="A4546" s="2459" t="s">
        <v>1669</v>
      </c>
      <c r="B4546" s="2459" t="s">
        <v>1664</v>
      </c>
      <c r="C4546" s="2459" t="s">
        <v>1670</v>
      </c>
      <c r="D4546" s="2460" t="s">
        <v>1671</v>
      </c>
      <c r="E4546" s="2461" t="s">
        <v>1573</v>
      </c>
      <c r="F4546" s="2461" t="s">
        <v>1602</v>
      </c>
      <c r="G4546" s="2461" t="s">
        <v>1412</v>
      </c>
      <c r="H4546" s="2461" t="s">
        <v>1116</v>
      </c>
      <c r="I4546" s="2462">
        <v>9.2732825838254401E-3</v>
      </c>
      <c r="J4546" s="2462">
        <v>486.26190121355893</v>
      </c>
    </row>
    <row r="4547" spans="1:10" outlineLevel="2">
      <c r="A4547" s="2459" t="s">
        <v>1669</v>
      </c>
      <c r="B4547" s="2459" t="s">
        <v>1664</v>
      </c>
      <c r="C4547" s="2459" t="s">
        <v>1670</v>
      </c>
      <c r="D4547" s="2460" t="s">
        <v>1671</v>
      </c>
      <c r="E4547" s="2461" t="s">
        <v>1573</v>
      </c>
      <c r="F4547" s="2461" t="s">
        <v>1603</v>
      </c>
      <c r="G4547" s="2461" t="s">
        <v>1412</v>
      </c>
      <c r="H4547" s="2461" t="s">
        <v>1116</v>
      </c>
      <c r="I4547" s="2462">
        <v>1.0976562087290122E-2</v>
      </c>
      <c r="J4547" s="2462">
        <v>493.0887027623188</v>
      </c>
    </row>
    <row r="4548" spans="1:10" outlineLevel="2">
      <c r="A4548" s="2459" t="s">
        <v>1669</v>
      </c>
      <c r="B4548" s="2459" t="s">
        <v>1664</v>
      </c>
      <c r="C4548" s="2459" t="s">
        <v>1670</v>
      </c>
      <c r="D4548" s="2460" t="s">
        <v>1671</v>
      </c>
      <c r="E4548" s="2461" t="s">
        <v>1573</v>
      </c>
      <c r="F4548" s="2461" t="s">
        <v>1604</v>
      </c>
      <c r="G4548" s="2461" t="s">
        <v>1412</v>
      </c>
      <c r="H4548" s="2461" t="s">
        <v>1116</v>
      </c>
      <c r="I4548" s="2462">
        <v>6.9520543691071459E-4</v>
      </c>
      <c r="J4548" s="2462">
        <v>19.016541279599895</v>
      </c>
    </row>
    <row r="4549" spans="1:10" outlineLevel="2">
      <c r="A4549" s="2459" t="s">
        <v>1669</v>
      </c>
      <c r="B4549" s="2459" t="s">
        <v>1664</v>
      </c>
      <c r="C4549" s="2459" t="s">
        <v>1670</v>
      </c>
      <c r="D4549" s="2460" t="s">
        <v>1671</v>
      </c>
      <c r="E4549" s="2461" t="s">
        <v>1573</v>
      </c>
      <c r="F4549" s="2461" t="s">
        <v>1605</v>
      </c>
      <c r="G4549" s="2461" t="s">
        <v>1412</v>
      </c>
      <c r="H4549" s="2461" t="s">
        <v>1116</v>
      </c>
      <c r="I4549" s="2462">
        <v>4.6156088013680319E-2</v>
      </c>
      <c r="J4549" s="2462">
        <v>1516.9847210700414</v>
      </c>
    </row>
    <row r="4550" spans="1:10" outlineLevel="2">
      <c r="A4550" s="2459" t="s">
        <v>1669</v>
      </c>
      <c r="B4550" s="2459" t="s">
        <v>1664</v>
      </c>
      <c r="C4550" s="2459" t="s">
        <v>1670</v>
      </c>
      <c r="D4550" s="2460" t="s">
        <v>1671</v>
      </c>
      <c r="E4550" s="2461" t="s">
        <v>1573</v>
      </c>
      <c r="F4550" s="2461" t="s">
        <v>1606</v>
      </c>
      <c r="G4550" s="2461" t="s">
        <v>1412</v>
      </c>
      <c r="H4550" s="2461" t="s">
        <v>1116</v>
      </c>
      <c r="I4550" s="2462">
        <v>8.6553812984271773E-3</v>
      </c>
      <c r="J4550" s="2462">
        <v>701.66627817308438</v>
      </c>
    </row>
    <row r="4551" spans="1:10" outlineLevel="2">
      <c r="A4551" s="2459" t="s">
        <v>1669</v>
      </c>
      <c r="B4551" s="2459" t="s">
        <v>1664</v>
      </c>
      <c r="C4551" s="2459" t="s">
        <v>1670</v>
      </c>
      <c r="D4551" s="2460" t="s">
        <v>1671</v>
      </c>
      <c r="E4551" s="2461" t="s">
        <v>1573</v>
      </c>
      <c r="F4551" s="2461" t="s">
        <v>1607</v>
      </c>
      <c r="G4551" s="2461" t="s">
        <v>1439</v>
      </c>
      <c r="H4551" s="2461" t="s">
        <v>1440</v>
      </c>
      <c r="I4551" s="2462">
        <v>1.5334871985487788E-6</v>
      </c>
      <c r="J4551" s="2462">
        <v>3.8435136081622176E-2</v>
      </c>
    </row>
    <row r="4552" spans="1:10" outlineLevel="2">
      <c r="A4552" s="2459" t="s">
        <v>1669</v>
      </c>
      <c r="B4552" s="2459" t="s">
        <v>1664</v>
      </c>
      <c r="C4552" s="2459" t="s">
        <v>1670</v>
      </c>
      <c r="D4552" s="2460" t="s">
        <v>1671</v>
      </c>
      <c r="E4552" s="2461" t="s">
        <v>1573</v>
      </c>
      <c r="F4552" s="2461" t="s">
        <v>1609</v>
      </c>
      <c r="G4552" s="2461" t="s">
        <v>1439</v>
      </c>
      <c r="H4552" s="2461" t="s">
        <v>1440</v>
      </c>
      <c r="I4552" s="2462">
        <v>1.2127800951010972E-2</v>
      </c>
      <c r="J4552" s="2462">
        <v>269.42084760632457</v>
      </c>
    </row>
    <row r="4553" spans="1:10" outlineLevel="2">
      <c r="A4553" s="2459" t="s">
        <v>1669</v>
      </c>
      <c r="B4553" s="2459" t="s">
        <v>1664</v>
      </c>
      <c r="C4553" s="2459" t="s">
        <v>1670</v>
      </c>
      <c r="D4553" s="2460" t="s">
        <v>1671</v>
      </c>
      <c r="E4553" s="2461" t="s">
        <v>1573</v>
      </c>
      <c r="F4553" s="2461" t="s">
        <v>1610</v>
      </c>
      <c r="G4553" s="2461" t="s">
        <v>1439</v>
      </c>
      <c r="H4553" s="2461" t="s">
        <v>1440</v>
      </c>
      <c r="I4553" s="2462">
        <v>3.1893963001346456E-3</v>
      </c>
      <c r="J4553" s="2462">
        <v>55.617045550778023</v>
      </c>
    </row>
    <row r="4554" spans="1:10" outlineLevel="2">
      <c r="A4554" s="2459" t="s">
        <v>1669</v>
      </c>
      <c r="B4554" s="2459" t="s">
        <v>1664</v>
      </c>
      <c r="C4554" s="2459" t="s">
        <v>1670</v>
      </c>
      <c r="D4554" s="2460" t="s">
        <v>1671</v>
      </c>
      <c r="E4554" s="2461" t="s">
        <v>1573</v>
      </c>
      <c r="F4554" s="2461" t="s">
        <v>1611</v>
      </c>
      <c r="G4554" s="2461" t="s">
        <v>1439</v>
      </c>
      <c r="H4554" s="2461" t="s">
        <v>1440</v>
      </c>
      <c r="I4554" s="2462">
        <v>7.5384842831096067E-3</v>
      </c>
      <c r="J4554" s="2462">
        <v>367.27430594693931</v>
      </c>
    </row>
    <row r="4555" spans="1:10" outlineLevel="2">
      <c r="A4555" s="2459" t="s">
        <v>1669</v>
      </c>
      <c r="B4555" s="2459" t="s">
        <v>1664</v>
      </c>
      <c r="C4555" s="2459" t="s">
        <v>1670</v>
      </c>
      <c r="D4555" s="2460" t="s">
        <v>1671</v>
      </c>
      <c r="E4555" s="2461" t="s">
        <v>1573</v>
      </c>
      <c r="F4555" s="2461" t="s">
        <v>1612</v>
      </c>
      <c r="G4555" s="2461" t="s">
        <v>1439</v>
      </c>
      <c r="H4555" s="2461" t="s">
        <v>1440</v>
      </c>
      <c r="I4555" s="2462">
        <v>1.2928177870496268E-3</v>
      </c>
      <c r="J4555" s="2462">
        <v>43.274162008947393</v>
      </c>
    </row>
    <row r="4556" spans="1:10" outlineLevel="2">
      <c r="A4556" s="2459" t="s">
        <v>1669</v>
      </c>
      <c r="B4556" s="2459" t="s">
        <v>1664</v>
      </c>
      <c r="C4556" s="2459" t="s">
        <v>1670</v>
      </c>
      <c r="D4556" s="2460" t="s">
        <v>1671</v>
      </c>
      <c r="E4556" s="2461" t="s">
        <v>1573</v>
      </c>
      <c r="F4556" s="2461" t="s">
        <v>1613</v>
      </c>
      <c r="G4556" s="2461" t="s">
        <v>1439</v>
      </c>
      <c r="H4556" s="2461" t="s">
        <v>1440</v>
      </c>
      <c r="I4556" s="2462">
        <v>3.6347391031672465E-5</v>
      </c>
      <c r="J4556" s="2462">
        <v>1.0988258700068925</v>
      </c>
    </row>
    <row r="4557" spans="1:10" outlineLevel="2">
      <c r="A4557" s="2459" t="s">
        <v>1669</v>
      </c>
      <c r="B4557" s="2459" t="s">
        <v>1664</v>
      </c>
      <c r="C4557" s="2459" t="s">
        <v>1670</v>
      </c>
      <c r="D4557" s="2460" t="s">
        <v>1671</v>
      </c>
      <c r="E4557" s="2461" t="s">
        <v>1573</v>
      </c>
      <c r="F4557" s="2461" t="s">
        <v>1614</v>
      </c>
      <c r="G4557" s="2461" t="s">
        <v>1418</v>
      </c>
      <c r="H4557" s="2461" t="s">
        <v>1452</v>
      </c>
      <c r="I4557" s="2462">
        <v>8.8649127887928269E-6</v>
      </c>
      <c r="J4557" s="2462">
        <v>7.5771994699220871E-2</v>
      </c>
    </row>
    <row r="4558" spans="1:10" outlineLevel="2">
      <c r="A4558" s="2459" t="s">
        <v>1669</v>
      </c>
      <c r="B4558" s="2459" t="s">
        <v>1664</v>
      </c>
      <c r="C4558" s="2459" t="s">
        <v>1670</v>
      </c>
      <c r="D4558" s="2460" t="s">
        <v>1671</v>
      </c>
      <c r="E4558" s="2461" t="s">
        <v>1573</v>
      </c>
      <c r="F4558" s="2461" t="s">
        <v>1615</v>
      </c>
      <c r="G4558" s="2461" t="s">
        <v>1418</v>
      </c>
      <c r="H4558" s="2461" t="s">
        <v>1452</v>
      </c>
      <c r="I4558" s="2462">
        <v>5.3624085627291922E-2</v>
      </c>
      <c r="J4558" s="2462">
        <v>3146.2178304141744</v>
      </c>
    </row>
    <row r="4559" spans="1:10" outlineLevel="2">
      <c r="A4559" s="2459" t="s">
        <v>1669</v>
      </c>
      <c r="B4559" s="2459" t="s">
        <v>1664</v>
      </c>
      <c r="C4559" s="2459" t="s">
        <v>1670</v>
      </c>
      <c r="D4559" s="2460" t="s">
        <v>1671</v>
      </c>
      <c r="E4559" s="2461" t="s">
        <v>1573</v>
      </c>
      <c r="F4559" s="2461" t="s">
        <v>1616</v>
      </c>
      <c r="G4559" s="2461" t="s">
        <v>1418</v>
      </c>
      <c r="H4559" s="2461" t="s">
        <v>1452</v>
      </c>
      <c r="I4559" s="2462">
        <v>2.5594235352045789E-3</v>
      </c>
      <c r="J4559" s="2462">
        <v>282.08526726860509</v>
      </c>
    </row>
    <row r="4560" spans="1:10" outlineLevel="2">
      <c r="A4560" s="2459" t="s">
        <v>1669</v>
      </c>
      <c r="B4560" s="2459" t="s">
        <v>1664</v>
      </c>
      <c r="C4560" s="2459" t="s">
        <v>1670</v>
      </c>
      <c r="D4560" s="2460" t="s">
        <v>1671</v>
      </c>
      <c r="E4560" s="2461" t="s">
        <v>1573</v>
      </c>
      <c r="F4560" s="2461" t="s">
        <v>1617</v>
      </c>
      <c r="G4560" s="2461" t="s">
        <v>1418</v>
      </c>
      <c r="H4560" s="2461" t="s">
        <v>1452</v>
      </c>
      <c r="I4560" s="2462">
        <v>2.0329685784923083E-5</v>
      </c>
      <c r="J4560" s="2462">
        <v>1.5613618098663802</v>
      </c>
    </row>
    <row r="4561" spans="1:10" outlineLevel="2">
      <c r="A4561" s="2459" t="s">
        <v>1669</v>
      </c>
      <c r="B4561" s="2459" t="s">
        <v>1664</v>
      </c>
      <c r="C4561" s="2459" t="s">
        <v>1670</v>
      </c>
      <c r="D4561" s="2460" t="s">
        <v>1671</v>
      </c>
      <c r="E4561" s="2461" t="s">
        <v>1573</v>
      </c>
      <c r="F4561" s="2461" t="s">
        <v>1618</v>
      </c>
      <c r="G4561" s="2461" t="s">
        <v>1418</v>
      </c>
      <c r="H4561" s="2461" t="s">
        <v>1452</v>
      </c>
      <c r="I4561" s="2462">
        <v>3.962982560212963E-6</v>
      </c>
      <c r="J4561" s="2462">
        <v>0.32799443195494443</v>
      </c>
    </row>
    <row r="4562" spans="1:10" outlineLevel="2">
      <c r="A4562" s="2459" t="s">
        <v>1669</v>
      </c>
      <c r="B4562" s="2459" t="s">
        <v>1664</v>
      </c>
      <c r="C4562" s="2459" t="s">
        <v>1670</v>
      </c>
      <c r="D4562" s="2460" t="s">
        <v>1671</v>
      </c>
      <c r="E4562" s="2461" t="s">
        <v>1573</v>
      </c>
      <c r="F4562" s="2461" t="s">
        <v>1619</v>
      </c>
      <c r="G4562" s="2461" t="s">
        <v>1418</v>
      </c>
      <c r="H4562" s="2461" t="s">
        <v>1452</v>
      </c>
      <c r="I4562" s="2462">
        <v>2.601693363171738E-4</v>
      </c>
      <c r="J4562" s="2462">
        <v>23.922060518608589</v>
      </c>
    </row>
    <row r="4563" spans="1:10" outlineLevel="2">
      <c r="A4563" s="2459" t="s">
        <v>1669</v>
      </c>
      <c r="B4563" s="2459" t="s">
        <v>1664</v>
      </c>
      <c r="C4563" s="2459" t="s">
        <v>1670</v>
      </c>
      <c r="D4563" s="2460" t="s">
        <v>1671</v>
      </c>
      <c r="E4563" s="2461" t="s">
        <v>1573</v>
      </c>
      <c r="F4563" s="2461" t="s">
        <v>1620</v>
      </c>
      <c r="G4563" s="2461" t="s">
        <v>1418</v>
      </c>
      <c r="H4563" s="2461" t="s">
        <v>1452</v>
      </c>
      <c r="I4563" s="2462">
        <v>5.5006454998039307E-7</v>
      </c>
      <c r="J4563" s="2462">
        <v>6.6184977503397607E-2</v>
      </c>
    </row>
    <row r="4564" spans="1:10" outlineLevel="2">
      <c r="A4564" s="2459" t="s">
        <v>1669</v>
      </c>
      <c r="B4564" s="2459" t="s">
        <v>1664</v>
      </c>
      <c r="C4564" s="2459" t="s">
        <v>1670</v>
      </c>
      <c r="D4564" s="2460" t="s">
        <v>1671</v>
      </c>
      <c r="E4564" s="2461" t="s">
        <v>1573</v>
      </c>
      <c r="F4564" s="2461" t="s">
        <v>1621</v>
      </c>
      <c r="G4564" s="2461" t="s">
        <v>1418</v>
      </c>
      <c r="H4564" s="2461" t="s">
        <v>1452</v>
      </c>
      <c r="I4564" s="2462">
        <v>2.3416871097250872E-4</v>
      </c>
      <c r="J4564" s="2462">
        <v>22.119108801396628</v>
      </c>
    </row>
    <row r="4565" spans="1:10" outlineLevel="2">
      <c r="A4565" s="2459" t="s">
        <v>1669</v>
      </c>
      <c r="B4565" s="2459" t="s">
        <v>1664</v>
      </c>
      <c r="C4565" s="2459" t="s">
        <v>1670</v>
      </c>
      <c r="D4565" s="2460" t="s">
        <v>1671</v>
      </c>
      <c r="E4565" s="2461" t="s">
        <v>1573</v>
      </c>
      <c r="F4565" s="2461" t="s">
        <v>1622</v>
      </c>
      <c r="G4565" s="2461" t="s">
        <v>1418</v>
      </c>
      <c r="H4565" s="2461" t="s">
        <v>1452</v>
      </c>
      <c r="I4565" s="2462">
        <v>6.9236131090418516E-4</v>
      </c>
      <c r="J4565" s="2462">
        <v>61.553845105003425</v>
      </c>
    </row>
    <row r="4566" spans="1:10" outlineLevel="2">
      <c r="A4566" s="2459" t="s">
        <v>1669</v>
      </c>
      <c r="B4566" s="2459" t="s">
        <v>1664</v>
      </c>
      <c r="C4566" s="2459" t="s">
        <v>1670</v>
      </c>
      <c r="D4566" s="2460" t="s">
        <v>1671</v>
      </c>
      <c r="E4566" s="2461" t="s">
        <v>1573</v>
      </c>
      <c r="F4566" s="2461" t="s">
        <v>1623</v>
      </c>
      <c r="G4566" s="2461" t="s">
        <v>1418</v>
      </c>
      <c r="H4566" s="2461" t="s">
        <v>1452</v>
      </c>
      <c r="I4566" s="2462">
        <v>1.0500480201247717E-3</v>
      </c>
      <c r="J4566" s="2462">
        <v>45.388060275755727</v>
      </c>
    </row>
    <row r="4567" spans="1:10" outlineLevel="2">
      <c r="A4567" s="2459" t="s">
        <v>1669</v>
      </c>
      <c r="B4567" s="2459" t="s">
        <v>1664</v>
      </c>
      <c r="C4567" s="2459" t="s">
        <v>1670</v>
      </c>
      <c r="D4567" s="2460" t="s">
        <v>1671</v>
      </c>
      <c r="E4567" s="2461" t="s">
        <v>1573</v>
      </c>
      <c r="F4567" s="2461" t="s">
        <v>1624</v>
      </c>
      <c r="G4567" s="2461" t="s">
        <v>1421</v>
      </c>
      <c r="H4567" s="2461" t="s">
        <v>1454</v>
      </c>
      <c r="I4567" s="2462">
        <v>2.3547579637257274E-2</v>
      </c>
      <c r="J4567" s="2462">
        <v>861.06368569840629</v>
      </c>
    </row>
    <row r="4568" spans="1:10" outlineLevel="2">
      <c r="A4568" s="2459" t="s">
        <v>1669</v>
      </c>
      <c r="B4568" s="2459" t="s">
        <v>1664</v>
      </c>
      <c r="C4568" s="2459" t="s">
        <v>1670</v>
      </c>
      <c r="D4568" s="2460" t="s">
        <v>1671</v>
      </c>
      <c r="E4568" s="2461" t="s">
        <v>1573</v>
      </c>
      <c r="F4568" s="2461" t="s">
        <v>1625</v>
      </c>
      <c r="G4568" s="2461" t="s">
        <v>1421</v>
      </c>
      <c r="H4568" s="2461" t="s">
        <v>1454</v>
      </c>
      <c r="I4568" s="2462">
        <v>5.5532438557667181E-3</v>
      </c>
      <c r="J4568" s="2462">
        <v>203.22673997778017</v>
      </c>
    </row>
    <row r="4569" spans="1:10" outlineLevel="2">
      <c r="A4569" s="2459" t="s">
        <v>1669</v>
      </c>
      <c r="B4569" s="2459" t="s">
        <v>1664</v>
      </c>
      <c r="C4569" s="2459" t="s">
        <v>1670</v>
      </c>
      <c r="D4569" s="2460" t="s">
        <v>1671</v>
      </c>
      <c r="E4569" s="2461" t="s">
        <v>1573</v>
      </c>
      <c r="F4569" s="2461" t="s">
        <v>1626</v>
      </c>
      <c r="G4569" s="2461" t="s">
        <v>1421</v>
      </c>
      <c r="H4569" s="2461" t="s">
        <v>1454</v>
      </c>
      <c r="I4569" s="2462">
        <v>1.5585617458891273E-2</v>
      </c>
      <c r="J4569" s="2462">
        <v>563.82780858045646</v>
      </c>
    </row>
    <row r="4570" spans="1:10" outlineLevel="2">
      <c r="A4570" s="2459" t="s">
        <v>1669</v>
      </c>
      <c r="B4570" s="2459" t="s">
        <v>1664</v>
      </c>
      <c r="C4570" s="2459" t="s">
        <v>1670</v>
      </c>
      <c r="D4570" s="2460" t="s">
        <v>1671</v>
      </c>
      <c r="E4570" s="2461" t="s">
        <v>1573</v>
      </c>
      <c r="F4570" s="2461" t="s">
        <v>1627</v>
      </c>
      <c r="G4570" s="2461" t="s">
        <v>1421</v>
      </c>
      <c r="H4570" s="2461" t="s">
        <v>1454</v>
      </c>
      <c r="I4570" s="2462">
        <v>1.3160756589503619E-2</v>
      </c>
      <c r="J4570" s="2462">
        <v>286.27259000032819</v>
      </c>
    </row>
    <row r="4571" spans="1:10" outlineLevel="2">
      <c r="A4571" s="2459" t="s">
        <v>1669</v>
      </c>
      <c r="B4571" s="2459" t="s">
        <v>1664</v>
      </c>
      <c r="C4571" s="2459" t="s">
        <v>1670</v>
      </c>
      <c r="D4571" s="2460" t="s">
        <v>1671</v>
      </c>
      <c r="E4571" s="2461" t="s">
        <v>1573</v>
      </c>
      <c r="F4571" s="2461" t="s">
        <v>1628</v>
      </c>
      <c r="G4571" s="2461" t="s">
        <v>1421</v>
      </c>
      <c r="H4571" s="2461" t="s">
        <v>1454</v>
      </c>
      <c r="I4571" s="2462">
        <v>6.5467389460708387E-4</v>
      </c>
      <c r="J4571" s="2462">
        <v>27.532242448006837</v>
      </c>
    </row>
    <row r="4572" spans="1:10" outlineLevel="2">
      <c r="A4572" s="2459" t="s">
        <v>1669</v>
      </c>
      <c r="B4572" s="2459" t="s">
        <v>1664</v>
      </c>
      <c r="C4572" s="2459" t="s">
        <v>1670</v>
      </c>
      <c r="D4572" s="2460" t="s">
        <v>1671</v>
      </c>
      <c r="E4572" s="2461" t="s">
        <v>1573</v>
      </c>
      <c r="F4572" s="2461" t="s">
        <v>1629</v>
      </c>
      <c r="G4572" s="2461" t="s">
        <v>1421</v>
      </c>
      <c r="H4572" s="2461" t="s">
        <v>1454</v>
      </c>
      <c r="I4572" s="2462">
        <v>7.5738284707430774E-4</v>
      </c>
      <c r="J4572" s="2462">
        <v>24.368239843821708</v>
      </c>
    </row>
    <row r="4573" spans="1:10" outlineLevel="2">
      <c r="A4573" s="2459" t="s">
        <v>1669</v>
      </c>
      <c r="B4573" s="2459" t="s">
        <v>1664</v>
      </c>
      <c r="C4573" s="2459" t="s">
        <v>1670</v>
      </c>
      <c r="D4573" s="2460" t="s">
        <v>1671</v>
      </c>
      <c r="E4573" s="2461" t="s">
        <v>1573</v>
      </c>
      <c r="F4573" s="2461" t="s">
        <v>1630</v>
      </c>
      <c r="G4573" s="2461" t="s">
        <v>1459</v>
      </c>
      <c r="H4573" s="2461" t="s">
        <v>1460</v>
      </c>
      <c r="I4573" s="2462">
        <v>1.5823622533090619E-2</v>
      </c>
      <c r="J4573" s="2462">
        <v>1037.0467996154482</v>
      </c>
    </row>
    <row r="4574" spans="1:10" outlineLevel="2">
      <c r="A4574" s="2459" t="s">
        <v>1669</v>
      </c>
      <c r="B4574" s="2459" t="s">
        <v>1664</v>
      </c>
      <c r="C4574" s="2459" t="s">
        <v>1670</v>
      </c>
      <c r="D4574" s="2460" t="s">
        <v>1671</v>
      </c>
      <c r="E4574" s="2461" t="s">
        <v>1573</v>
      </c>
      <c r="F4574" s="2461" t="s">
        <v>1633</v>
      </c>
      <c r="G4574" s="2461" t="s">
        <v>215</v>
      </c>
      <c r="H4574" s="2461" t="s">
        <v>1537</v>
      </c>
      <c r="I4574" s="2462">
        <v>1.4328284661097347E-4</v>
      </c>
      <c r="J4574" s="2462">
        <v>3.1943735512836557</v>
      </c>
    </row>
    <row r="4575" spans="1:10" outlineLevel="2">
      <c r="A4575" s="2459" t="s">
        <v>1669</v>
      </c>
      <c r="B4575" s="2459" t="s">
        <v>1664</v>
      </c>
      <c r="C4575" s="2459" t="s">
        <v>1670</v>
      </c>
      <c r="D4575" s="2460" t="s">
        <v>1676</v>
      </c>
      <c r="E4575" s="2461" t="s">
        <v>213</v>
      </c>
      <c r="F4575" s="2461" t="s">
        <v>1635</v>
      </c>
      <c r="G4575" s="2461" t="s">
        <v>1636</v>
      </c>
      <c r="H4575" s="2461" t="s">
        <v>1637</v>
      </c>
      <c r="I4575" s="2462">
        <v>2.1670082929279625E-3</v>
      </c>
      <c r="J4575" s="2462">
        <v>7.3626244547672401</v>
      </c>
    </row>
    <row r="4576" spans="1:10" outlineLevel="2">
      <c r="A4576" s="2459" t="s">
        <v>1669</v>
      </c>
      <c r="B4576" s="2459" t="s">
        <v>1664</v>
      </c>
      <c r="C4576" s="2459" t="s">
        <v>1670</v>
      </c>
      <c r="D4576" s="2460" t="s">
        <v>1676</v>
      </c>
      <c r="E4576" s="2461" t="s">
        <v>1538</v>
      </c>
      <c r="F4576" s="2461" t="s">
        <v>1638</v>
      </c>
      <c r="G4576" s="2461" t="s">
        <v>1636</v>
      </c>
      <c r="H4576" s="2461" t="s">
        <v>1540</v>
      </c>
      <c r="I4576" s="2462">
        <v>2.451067471506554E-4</v>
      </c>
      <c r="J4576" s="2462">
        <v>4.1080936259793832</v>
      </c>
    </row>
    <row r="4577" spans="1:10" outlineLevel="2">
      <c r="A4577" s="2459" t="s">
        <v>1669</v>
      </c>
      <c r="B4577" s="2459" t="s">
        <v>1664</v>
      </c>
      <c r="C4577" s="2459" t="s">
        <v>1670</v>
      </c>
      <c r="D4577" s="2460" t="s">
        <v>1676</v>
      </c>
      <c r="E4577" s="2461" t="s">
        <v>1573</v>
      </c>
      <c r="F4577" s="2461" t="s">
        <v>1639</v>
      </c>
      <c r="G4577" s="2461" t="s">
        <v>1636</v>
      </c>
      <c r="H4577" s="2461" t="s">
        <v>1637</v>
      </c>
      <c r="I4577" s="2462">
        <v>4.2667041274215833E-3</v>
      </c>
      <c r="J4577" s="2462">
        <v>227.22735742028058</v>
      </c>
    </row>
    <row r="4578" spans="1:10" outlineLevel="2">
      <c r="A4578" s="2459" t="s">
        <v>1669</v>
      </c>
      <c r="B4578" s="2459" t="s">
        <v>1665</v>
      </c>
      <c r="C4578" s="2459" t="s">
        <v>1670</v>
      </c>
      <c r="D4578" s="2460" t="s">
        <v>1671</v>
      </c>
      <c r="E4578" s="2461" t="s">
        <v>1407</v>
      </c>
      <c r="F4578" s="2461" t="s">
        <v>1408</v>
      </c>
      <c r="G4578" s="2461" t="s">
        <v>1409</v>
      </c>
      <c r="H4578" s="2461" t="s">
        <v>1410</v>
      </c>
      <c r="I4578" s="2462">
        <v>4.709994459401198E-3</v>
      </c>
      <c r="J4578" s="2462">
        <v>6.9285117019049269E-2</v>
      </c>
    </row>
    <row r="4579" spans="1:10" outlineLevel="2">
      <c r="A4579" s="2459" t="s">
        <v>1669</v>
      </c>
      <c r="B4579" s="2459" t="s">
        <v>1665</v>
      </c>
      <c r="C4579" s="2459" t="s">
        <v>1670</v>
      </c>
      <c r="D4579" s="2460" t="s">
        <v>1671</v>
      </c>
      <c r="E4579" s="2461" t="s">
        <v>1407</v>
      </c>
      <c r="F4579" s="2461" t="s">
        <v>1411</v>
      </c>
      <c r="G4579" s="2461" t="s">
        <v>1412</v>
      </c>
      <c r="H4579" s="2461" t="s">
        <v>1410</v>
      </c>
      <c r="I4579" s="2462">
        <v>0.46154432162855891</v>
      </c>
      <c r="J4579" s="2462">
        <v>74.952048945440154</v>
      </c>
    </row>
    <row r="4580" spans="1:10" outlineLevel="2">
      <c r="A4580" s="2459" t="s">
        <v>1669</v>
      </c>
      <c r="B4580" s="2459" t="s">
        <v>1665</v>
      </c>
      <c r="C4580" s="2459" t="s">
        <v>1670</v>
      </c>
      <c r="D4580" s="2460" t="s">
        <v>1671</v>
      </c>
      <c r="E4580" s="2461" t="s">
        <v>1407</v>
      </c>
      <c r="F4580" s="2461" t="s">
        <v>1413</v>
      </c>
      <c r="G4580" s="2461" t="s">
        <v>1412</v>
      </c>
      <c r="H4580" s="2461" t="s">
        <v>1410</v>
      </c>
      <c r="I4580" s="2462">
        <v>3.7481965055009771E-4</v>
      </c>
      <c r="J4580" s="2462">
        <v>6.3497647726488221E-2</v>
      </c>
    </row>
    <row r="4581" spans="1:10" outlineLevel="2">
      <c r="A4581" s="2459" t="s">
        <v>1669</v>
      </c>
      <c r="B4581" s="2459" t="s">
        <v>1665</v>
      </c>
      <c r="C4581" s="2459" t="s">
        <v>1670</v>
      </c>
      <c r="D4581" s="2460" t="s">
        <v>1671</v>
      </c>
      <c r="E4581" s="2461" t="s">
        <v>1407</v>
      </c>
      <c r="F4581" s="2461" t="s">
        <v>1414</v>
      </c>
      <c r="G4581" s="2461" t="s">
        <v>1412</v>
      </c>
      <c r="H4581" s="2461" t="s">
        <v>1410</v>
      </c>
      <c r="I4581" s="2462">
        <v>1.8835677647016015E-4</v>
      </c>
      <c r="J4581" s="2462">
        <v>3.4601914596203244E-2</v>
      </c>
    </row>
    <row r="4582" spans="1:10" outlineLevel="2">
      <c r="A4582" s="2459" t="s">
        <v>1669</v>
      </c>
      <c r="B4582" s="2459" t="s">
        <v>1665</v>
      </c>
      <c r="C4582" s="2459" t="s">
        <v>1670</v>
      </c>
      <c r="D4582" s="2460" t="s">
        <v>1671</v>
      </c>
      <c r="E4582" s="2461" t="s">
        <v>1407</v>
      </c>
      <c r="F4582" s="2461" t="s">
        <v>1415</v>
      </c>
      <c r="G4582" s="2461" t="s">
        <v>1412</v>
      </c>
      <c r="H4582" s="2461" t="s">
        <v>1410</v>
      </c>
      <c r="I4582" s="2462">
        <v>2.0335452439550691E-3</v>
      </c>
      <c r="J4582" s="2462">
        <v>0.32392573461785956</v>
      </c>
    </row>
    <row r="4583" spans="1:10" outlineLevel="2">
      <c r="A4583" s="2459" t="s">
        <v>1669</v>
      </c>
      <c r="B4583" s="2459" t="s">
        <v>1665</v>
      </c>
      <c r="C4583" s="2459" t="s">
        <v>1670</v>
      </c>
      <c r="D4583" s="2460" t="s">
        <v>1671</v>
      </c>
      <c r="E4583" s="2461" t="s">
        <v>1407</v>
      </c>
      <c r="F4583" s="2461" t="s">
        <v>1416</v>
      </c>
      <c r="G4583" s="2461" t="s">
        <v>1412</v>
      </c>
      <c r="H4583" s="2461" t="s">
        <v>1410</v>
      </c>
      <c r="I4583" s="2462">
        <v>1.7240750651213331E-3</v>
      </c>
      <c r="J4583" s="2462">
        <v>0.42410781730823</v>
      </c>
    </row>
    <row r="4584" spans="1:10" outlineLevel="2">
      <c r="A4584" s="2459" t="s">
        <v>1669</v>
      </c>
      <c r="B4584" s="2459" t="s">
        <v>1665</v>
      </c>
      <c r="C4584" s="2459" t="s">
        <v>1670</v>
      </c>
      <c r="D4584" s="2460" t="s">
        <v>1671</v>
      </c>
      <c r="E4584" s="2461" t="s">
        <v>1407</v>
      </c>
      <c r="F4584" s="2461" t="s">
        <v>1417</v>
      </c>
      <c r="G4584" s="2461" t="s">
        <v>1418</v>
      </c>
      <c r="H4584" s="2461" t="s">
        <v>1410</v>
      </c>
      <c r="I4584" s="2462">
        <v>8.0982248261556311E-3</v>
      </c>
      <c r="J4584" s="2462">
        <v>0.10756798890209468</v>
      </c>
    </row>
    <row r="4585" spans="1:10" outlineLevel="2">
      <c r="A4585" s="2459" t="s">
        <v>1669</v>
      </c>
      <c r="B4585" s="2459" t="s">
        <v>1665</v>
      </c>
      <c r="C4585" s="2459" t="s">
        <v>1670</v>
      </c>
      <c r="D4585" s="2460" t="s">
        <v>1671</v>
      </c>
      <c r="E4585" s="2461" t="s">
        <v>1407</v>
      </c>
      <c r="F4585" s="2461" t="s">
        <v>1419</v>
      </c>
      <c r="G4585" s="2461" t="s">
        <v>1418</v>
      </c>
      <c r="H4585" s="2461" t="s">
        <v>1410</v>
      </c>
      <c r="I4585" s="2462">
        <v>6.0111826714724176E-2</v>
      </c>
      <c r="J4585" s="2462">
        <v>11.674298085949825</v>
      </c>
    </row>
    <row r="4586" spans="1:10" outlineLevel="2">
      <c r="A4586" s="2459" t="s">
        <v>1669</v>
      </c>
      <c r="B4586" s="2459" t="s">
        <v>1665</v>
      </c>
      <c r="C4586" s="2459" t="s">
        <v>1670</v>
      </c>
      <c r="D4586" s="2460" t="s">
        <v>1671</v>
      </c>
      <c r="E4586" s="2461" t="s">
        <v>1407</v>
      </c>
      <c r="F4586" s="2461" t="s">
        <v>1420</v>
      </c>
      <c r="G4586" s="2461" t="s">
        <v>1421</v>
      </c>
      <c r="H4586" s="2461" t="s">
        <v>1410</v>
      </c>
      <c r="I4586" s="2462">
        <v>0.82152007403038096</v>
      </c>
      <c r="J4586" s="2462">
        <v>21.320633552380389</v>
      </c>
    </row>
    <row r="4587" spans="1:10" outlineLevel="2">
      <c r="A4587" s="2459" t="s">
        <v>1669</v>
      </c>
      <c r="B4587" s="2459" t="s">
        <v>1665</v>
      </c>
      <c r="C4587" s="2459" t="s">
        <v>1670</v>
      </c>
      <c r="D4587" s="2460" t="s">
        <v>1671</v>
      </c>
      <c r="E4587" s="2461" t="s">
        <v>1407</v>
      </c>
      <c r="F4587" s="2461" t="s">
        <v>1422</v>
      </c>
      <c r="G4587" s="2461" t="s">
        <v>1421</v>
      </c>
      <c r="H4587" s="2461" t="s">
        <v>1410</v>
      </c>
      <c r="I4587" s="2462">
        <v>2.4842648963514548E-2</v>
      </c>
      <c r="J4587" s="2462">
        <v>1.0178835107048751</v>
      </c>
    </row>
    <row r="4588" spans="1:10" outlineLevel="2">
      <c r="A4588" s="2459" t="s">
        <v>1669</v>
      </c>
      <c r="B4588" s="2459" t="s">
        <v>1665</v>
      </c>
      <c r="C4588" s="2459" t="s">
        <v>1670</v>
      </c>
      <c r="D4588" s="2460" t="s">
        <v>1671</v>
      </c>
      <c r="E4588" s="2461" t="s">
        <v>1407</v>
      </c>
      <c r="F4588" s="2461" t="s">
        <v>1423</v>
      </c>
      <c r="G4588" s="2461" t="s">
        <v>1421</v>
      </c>
      <c r="H4588" s="2461" t="s">
        <v>1410</v>
      </c>
      <c r="I4588" s="2462">
        <v>1.2912605781926316E-2</v>
      </c>
      <c r="J4588" s="2462">
        <v>1.4880299317541885</v>
      </c>
    </row>
    <row r="4589" spans="1:10" outlineLevel="2">
      <c r="A4589" s="2459" t="s">
        <v>1669</v>
      </c>
      <c r="B4589" s="2459" t="s">
        <v>1665</v>
      </c>
      <c r="C4589" s="2459" t="s">
        <v>1670</v>
      </c>
      <c r="D4589" s="2460" t="s">
        <v>1671</v>
      </c>
      <c r="E4589" s="2461" t="s">
        <v>1407</v>
      </c>
      <c r="F4589" s="2461" t="s">
        <v>1424</v>
      </c>
      <c r="G4589" s="2461" t="s">
        <v>1421</v>
      </c>
      <c r="H4589" s="2461" t="s">
        <v>1410</v>
      </c>
      <c r="I4589" s="2462">
        <v>0.25251266356885138</v>
      </c>
      <c r="J4589" s="2462">
        <v>52.842193431706207</v>
      </c>
    </row>
    <row r="4590" spans="1:10" outlineLevel="2">
      <c r="A4590" s="2459" t="s">
        <v>1669</v>
      </c>
      <c r="B4590" s="2459" t="s">
        <v>1665</v>
      </c>
      <c r="C4590" s="2459" t="s">
        <v>1670</v>
      </c>
      <c r="D4590" s="2460" t="s">
        <v>1671</v>
      </c>
      <c r="E4590" s="2461" t="s">
        <v>213</v>
      </c>
      <c r="F4590" s="2461" t="s">
        <v>1425</v>
      </c>
      <c r="G4590" s="2461" t="s">
        <v>1426</v>
      </c>
      <c r="H4590" s="2461" t="s">
        <v>1427</v>
      </c>
      <c r="I4590" s="2462">
        <v>0.83612330036408955</v>
      </c>
      <c r="J4590" s="2462">
        <v>240.24515194124729</v>
      </c>
    </row>
    <row r="4591" spans="1:10" outlineLevel="2">
      <c r="A4591" s="2459" t="s">
        <v>1669</v>
      </c>
      <c r="B4591" s="2459" t="s">
        <v>1665</v>
      </c>
      <c r="C4591" s="2459" t="s">
        <v>1670</v>
      </c>
      <c r="D4591" s="2460" t="s">
        <v>1671</v>
      </c>
      <c r="E4591" s="2461" t="s">
        <v>213</v>
      </c>
      <c r="F4591" s="2461" t="s">
        <v>1428</v>
      </c>
      <c r="G4591" s="2461" t="s">
        <v>1426</v>
      </c>
      <c r="H4591" s="2461" t="s">
        <v>1427</v>
      </c>
      <c r="I4591" s="2462">
        <v>0.25540268550597145</v>
      </c>
      <c r="J4591" s="2462">
        <v>103.17570880251148</v>
      </c>
    </row>
    <row r="4592" spans="1:10" outlineLevel="2">
      <c r="A4592" s="2459" t="s">
        <v>1669</v>
      </c>
      <c r="B4592" s="2459" t="s">
        <v>1665</v>
      </c>
      <c r="C4592" s="2459" t="s">
        <v>1670</v>
      </c>
      <c r="D4592" s="2460" t="s">
        <v>1671</v>
      </c>
      <c r="E4592" s="2461" t="s">
        <v>213</v>
      </c>
      <c r="F4592" s="2461" t="s">
        <v>1429</v>
      </c>
      <c r="G4592" s="2461" t="s">
        <v>1426</v>
      </c>
      <c r="H4592" s="2461" t="s">
        <v>1427</v>
      </c>
      <c r="I4592" s="2462">
        <v>0.11624753190599825</v>
      </c>
      <c r="J4592" s="2462">
        <v>149.50303064353579</v>
      </c>
    </row>
    <row r="4593" spans="1:10" outlineLevel="2">
      <c r="A4593" s="2459" t="s">
        <v>1669</v>
      </c>
      <c r="B4593" s="2459" t="s">
        <v>1665</v>
      </c>
      <c r="C4593" s="2459" t="s">
        <v>1670</v>
      </c>
      <c r="D4593" s="2460" t="s">
        <v>1671</v>
      </c>
      <c r="E4593" s="2461" t="s">
        <v>213</v>
      </c>
      <c r="F4593" s="2461" t="s">
        <v>1430</v>
      </c>
      <c r="G4593" s="2461" t="s">
        <v>1409</v>
      </c>
      <c r="H4593" s="2461" t="s">
        <v>1070</v>
      </c>
      <c r="I4593" s="2462">
        <v>1.4558858209941858E-2</v>
      </c>
      <c r="J4593" s="2462">
        <v>9.0334768986188969</v>
      </c>
    </row>
    <row r="4594" spans="1:10" outlineLevel="2">
      <c r="A4594" s="2459" t="s">
        <v>1669</v>
      </c>
      <c r="B4594" s="2459" t="s">
        <v>1665</v>
      </c>
      <c r="C4594" s="2459" t="s">
        <v>1670</v>
      </c>
      <c r="D4594" s="2460" t="s">
        <v>1671</v>
      </c>
      <c r="E4594" s="2461" t="s">
        <v>213</v>
      </c>
      <c r="F4594" s="2461" t="s">
        <v>1431</v>
      </c>
      <c r="G4594" s="2461" t="s">
        <v>1409</v>
      </c>
      <c r="H4594" s="2461" t="s">
        <v>1070</v>
      </c>
      <c r="I4594" s="2462">
        <v>1.208230605835394E-3</v>
      </c>
      <c r="J4594" s="2462">
        <v>0.58515381094540897</v>
      </c>
    </row>
    <row r="4595" spans="1:10" outlineLevel="2">
      <c r="A4595" s="2459" t="s">
        <v>1669</v>
      </c>
      <c r="B4595" s="2459" t="s">
        <v>1665</v>
      </c>
      <c r="C4595" s="2459" t="s">
        <v>1670</v>
      </c>
      <c r="D4595" s="2460" t="s">
        <v>1671</v>
      </c>
      <c r="E4595" s="2461" t="s">
        <v>213</v>
      </c>
      <c r="F4595" s="2461" t="s">
        <v>1432</v>
      </c>
      <c r="G4595" s="2461" t="s">
        <v>1409</v>
      </c>
      <c r="H4595" s="2461" t="s">
        <v>1070</v>
      </c>
      <c r="I4595" s="2462">
        <v>1.4642162620494476E-3</v>
      </c>
      <c r="J4595" s="2462">
        <v>0.69942476975984347</v>
      </c>
    </row>
    <row r="4596" spans="1:10" outlineLevel="2">
      <c r="A4596" s="2459" t="s">
        <v>1669</v>
      </c>
      <c r="B4596" s="2459" t="s">
        <v>1665</v>
      </c>
      <c r="C4596" s="2459" t="s">
        <v>1670</v>
      </c>
      <c r="D4596" s="2460" t="s">
        <v>1671</v>
      </c>
      <c r="E4596" s="2461" t="s">
        <v>213</v>
      </c>
      <c r="F4596" s="2461" t="s">
        <v>1433</v>
      </c>
      <c r="G4596" s="2461" t="s">
        <v>1409</v>
      </c>
      <c r="H4596" s="2461" t="s">
        <v>1070</v>
      </c>
      <c r="I4596" s="2462">
        <v>1.0828528821457411E-5</v>
      </c>
      <c r="J4596" s="2462">
        <v>4.8462637876878351E-3</v>
      </c>
    </row>
    <row r="4597" spans="1:10" outlineLevel="2">
      <c r="A4597" s="2459" t="s">
        <v>1669</v>
      </c>
      <c r="B4597" s="2459" t="s">
        <v>1665</v>
      </c>
      <c r="C4597" s="2459" t="s">
        <v>1670</v>
      </c>
      <c r="D4597" s="2460" t="s">
        <v>1671</v>
      </c>
      <c r="E4597" s="2461" t="s">
        <v>213</v>
      </c>
      <c r="F4597" s="2461" t="s">
        <v>1434</v>
      </c>
      <c r="G4597" s="2461" t="s">
        <v>1409</v>
      </c>
      <c r="H4597" s="2461" t="s">
        <v>1070</v>
      </c>
      <c r="I4597" s="2462">
        <v>4.173867800022054E-2</v>
      </c>
      <c r="J4597" s="2462">
        <v>23.306213654418862</v>
      </c>
    </row>
    <row r="4598" spans="1:10" outlineLevel="2">
      <c r="A4598" s="2459" t="s">
        <v>1669</v>
      </c>
      <c r="B4598" s="2459" t="s">
        <v>1665</v>
      </c>
      <c r="C4598" s="2459" t="s">
        <v>1670</v>
      </c>
      <c r="D4598" s="2460" t="s">
        <v>1671</v>
      </c>
      <c r="E4598" s="2461" t="s">
        <v>213</v>
      </c>
      <c r="F4598" s="2461" t="s">
        <v>1435</v>
      </c>
      <c r="G4598" s="2461" t="s">
        <v>1409</v>
      </c>
      <c r="H4598" s="2461" t="s">
        <v>1070</v>
      </c>
      <c r="I4598" s="2462">
        <v>3.0517983171072317E-4</v>
      </c>
      <c r="J4598" s="2462">
        <v>0.13658216348165794</v>
      </c>
    </row>
    <row r="4599" spans="1:10" outlineLevel="2">
      <c r="A4599" s="2459" t="s">
        <v>1669</v>
      </c>
      <c r="B4599" s="2459" t="s">
        <v>1665</v>
      </c>
      <c r="C4599" s="2459" t="s">
        <v>1670</v>
      </c>
      <c r="D4599" s="2460" t="s">
        <v>1671</v>
      </c>
      <c r="E4599" s="2461" t="s">
        <v>213</v>
      </c>
      <c r="F4599" s="2461" t="s">
        <v>1436</v>
      </c>
      <c r="G4599" s="2461" t="s">
        <v>1412</v>
      </c>
      <c r="H4599" s="2461" t="s">
        <v>1116</v>
      </c>
      <c r="I4599" s="2462">
        <v>4.5711310678160904E-4</v>
      </c>
      <c r="J4599" s="2462">
        <v>0.20457945735210517</v>
      </c>
    </row>
    <row r="4600" spans="1:10" outlineLevel="2">
      <c r="A4600" s="2459" t="s">
        <v>1669</v>
      </c>
      <c r="B4600" s="2459" t="s">
        <v>1665</v>
      </c>
      <c r="C4600" s="2459" t="s">
        <v>1670</v>
      </c>
      <c r="D4600" s="2460" t="s">
        <v>1671</v>
      </c>
      <c r="E4600" s="2461" t="s">
        <v>213</v>
      </c>
      <c r="F4600" s="2461" t="s">
        <v>1437</v>
      </c>
      <c r="G4600" s="2461" t="s">
        <v>1412</v>
      </c>
      <c r="H4600" s="2461" t="s">
        <v>1116</v>
      </c>
      <c r="I4600" s="2462">
        <v>3.4978950968597579E-5</v>
      </c>
      <c r="J4600" s="2462">
        <v>1.5654702585422228E-2</v>
      </c>
    </row>
    <row r="4601" spans="1:10" outlineLevel="2">
      <c r="A4601" s="2459" t="s">
        <v>1669</v>
      </c>
      <c r="B4601" s="2459" t="s">
        <v>1665</v>
      </c>
      <c r="C4601" s="2459" t="s">
        <v>1670</v>
      </c>
      <c r="D4601" s="2460" t="s">
        <v>1671</v>
      </c>
      <c r="E4601" s="2461" t="s">
        <v>213</v>
      </c>
      <c r="F4601" s="2461" t="s">
        <v>1438</v>
      </c>
      <c r="G4601" s="2461" t="s">
        <v>1439</v>
      </c>
      <c r="H4601" s="2461" t="s">
        <v>1440</v>
      </c>
      <c r="I4601" s="2462">
        <v>7.6395500933891733E-3</v>
      </c>
      <c r="J4601" s="2462">
        <v>4.1839225952907073</v>
      </c>
    </row>
    <row r="4602" spans="1:10" outlineLevel="2">
      <c r="A4602" s="2459" t="s">
        <v>1669</v>
      </c>
      <c r="B4602" s="2459" t="s">
        <v>1665</v>
      </c>
      <c r="C4602" s="2459" t="s">
        <v>1670</v>
      </c>
      <c r="D4602" s="2460" t="s">
        <v>1671</v>
      </c>
      <c r="E4602" s="2461" t="s">
        <v>213</v>
      </c>
      <c r="F4602" s="2461" t="s">
        <v>1441</v>
      </c>
      <c r="G4602" s="2461" t="s">
        <v>1439</v>
      </c>
      <c r="H4602" s="2461" t="s">
        <v>1440</v>
      </c>
      <c r="I4602" s="2462">
        <v>4.112567232886602E-2</v>
      </c>
      <c r="J4602" s="2462">
        <v>22.102796209254421</v>
      </c>
    </row>
    <row r="4603" spans="1:10" outlineLevel="2">
      <c r="A4603" s="2459" t="s">
        <v>1669</v>
      </c>
      <c r="B4603" s="2459" t="s">
        <v>1665</v>
      </c>
      <c r="C4603" s="2459" t="s">
        <v>1670</v>
      </c>
      <c r="D4603" s="2460" t="s">
        <v>1671</v>
      </c>
      <c r="E4603" s="2461" t="s">
        <v>213</v>
      </c>
      <c r="F4603" s="2461" t="s">
        <v>1442</v>
      </c>
      <c r="G4603" s="2461" t="s">
        <v>1439</v>
      </c>
      <c r="H4603" s="2461" t="s">
        <v>1440</v>
      </c>
      <c r="I4603" s="2462">
        <v>0.1075230267368644</v>
      </c>
      <c r="J4603" s="2462">
        <v>55.8632647913809</v>
      </c>
    </row>
    <row r="4604" spans="1:10" outlineLevel="2">
      <c r="A4604" s="2459" t="s">
        <v>1669</v>
      </c>
      <c r="B4604" s="2459" t="s">
        <v>1665</v>
      </c>
      <c r="C4604" s="2459" t="s">
        <v>1670</v>
      </c>
      <c r="D4604" s="2460" t="s">
        <v>1671</v>
      </c>
      <c r="E4604" s="2461" t="s">
        <v>213</v>
      </c>
      <c r="F4604" s="2461" t="s">
        <v>1443</v>
      </c>
      <c r="G4604" s="2461" t="s">
        <v>1439</v>
      </c>
      <c r="H4604" s="2461" t="s">
        <v>1440</v>
      </c>
      <c r="I4604" s="2462">
        <v>0.38886673869856336</v>
      </c>
      <c r="J4604" s="2462">
        <v>212.86701463876321</v>
      </c>
    </row>
    <row r="4605" spans="1:10" outlineLevel="2">
      <c r="A4605" s="2459" t="s">
        <v>1669</v>
      </c>
      <c r="B4605" s="2459" t="s">
        <v>1665</v>
      </c>
      <c r="C4605" s="2459" t="s">
        <v>1670</v>
      </c>
      <c r="D4605" s="2460" t="s">
        <v>1671</v>
      </c>
      <c r="E4605" s="2461" t="s">
        <v>213</v>
      </c>
      <c r="F4605" s="2461" t="s">
        <v>1444</v>
      </c>
      <c r="G4605" s="2461" t="s">
        <v>1439</v>
      </c>
      <c r="H4605" s="2461" t="s">
        <v>1440</v>
      </c>
      <c r="I4605" s="2462">
        <v>0.13208593733839136</v>
      </c>
      <c r="J4605" s="2462">
        <v>77.58196580107645</v>
      </c>
    </row>
    <row r="4606" spans="1:10" outlineLevel="2">
      <c r="A4606" s="2459" t="s">
        <v>1669</v>
      </c>
      <c r="B4606" s="2459" t="s">
        <v>1665</v>
      </c>
      <c r="C4606" s="2459" t="s">
        <v>1670</v>
      </c>
      <c r="D4606" s="2460" t="s">
        <v>1671</v>
      </c>
      <c r="E4606" s="2461" t="s">
        <v>213</v>
      </c>
      <c r="F4606" s="2461" t="s">
        <v>1445</v>
      </c>
      <c r="G4606" s="2461" t="s">
        <v>1439</v>
      </c>
      <c r="H4606" s="2461" t="s">
        <v>1440</v>
      </c>
      <c r="I4606" s="2462">
        <v>0.36795960152992119</v>
      </c>
      <c r="J4606" s="2462">
        <v>186.01732541867591</v>
      </c>
    </row>
    <row r="4607" spans="1:10" outlineLevel="2">
      <c r="A4607" s="2459" t="s">
        <v>1669</v>
      </c>
      <c r="B4607" s="2459" t="s">
        <v>1665</v>
      </c>
      <c r="C4607" s="2459" t="s">
        <v>1670</v>
      </c>
      <c r="D4607" s="2460" t="s">
        <v>1671</v>
      </c>
      <c r="E4607" s="2461" t="s">
        <v>213</v>
      </c>
      <c r="F4607" s="2461" t="s">
        <v>1446</v>
      </c>
      <c r="G4607" s="2461" t="s">
        <v>1439</v>
      </c>
      <c r="H4607" s="2461" t="s">
        <v>1440</v>
      </c>
      <c r="I4607" s="2462">
        <v>9.3100209454703778E-2</v>
      </c>
      <c r="J4607" s="2462">
        <v>49.931559264645003</v>
      </c>
    </row>
    <row r="4608" spans="1:10" outlineLevel="2">
      <c r="A4608" s="2459" t="s">
        <v>1669</v>
      </c>
      <c r="B4608" s="2459" t="s">
        <v>1665</v>
      </c>
      <c r="C4608" s="2459" t="s">
        <v>1670</v>
      </c>
      <c r="D4608" s="2460" t="s">
        <v>1671</v>
      </c>
      <c r="E4608" s="2461" t="s">
        <v>213</v>
      </c>
      <c r="F4608" s="2461" t="s">
        <v>1447</v>
      </c>
      <c r="G4608" s="2461" t="s">
        <v>1439</v>
      </c>
      <c r="H4608" s="2461" t="s">
        <v>1440</v>
      </c>
      <c r="I4608" s="2462">
        <v>0.32475869814083591</v>
      </c>
      <c r="J4608" s="2462">
        <v>173.69566541473503</v>
      </c>
    </row>
    <row r="4609" spans="1:10" outlineLevel="2">
      <c r="A4609" s="2459" t="s">
        <v>1669</v>
      </c>
      <c r="B4609" s="2459" t="s">
        <v>1665</v>
      </c>
      <c r="C4609" s="2459" t="s">
        <v>1670</v>
      </c>
      <c r="D4609" s="2460" t="s">
        <v>1671</v>
      </c>
      <c r="E4609" s="2461" t="s">
        <v>213</v>
      </c>
      <c r="F4609" s="2461" t="s">
        <v>1450</v>
      </c>
      <c r="G4609" s="2461" t="s">
        <v>1439</v>
      </c>
      <c r="H4609" s="2461" t="s">
        <v>1440</v>
      </c>
      <c r="I4609" s="2462">
        <v>1.8574938062820436E-4</v>
      </c>
      <c r="J4609" s="2462">
        <v>9.2685354243726578E-2</v>
      </c>
    </row>
    <row r="4610" spans="1:10" outlineLevel="2">
      <c r="A4610" s="2459" t="s">
        <v>1669</v>
      </c>
      <c r="B4610" s="2459" t="s">
        <v>1665</v>
      </c>
      <c r="C4610" s="2459" t="s">
        <v>1670</v>
      </c>
      <c r="D4610" s="2460" t="s">
        <v>1671</v>
      </c>
      <c r="E4610" s="2461" t="s">
        <v>213</v>
      </c>
      <c r="F4610" s="2461" t="s">
        <v>1451</v>
      </c>
      <c r="G4610" s="2461" t="s">
        <v>1418</v>
      </c>
      <c r="H4610" s="2461" t="s">
        <v>1452</v>
      </c>
      <c r="I4610" s="2462">
        <v>1.0056911969083379E-3</v>
      </c>
      <c r="J4610" s="2462">
        <v>0.61158367913383671</v>
      </c>
    </row>
    <row r="4611" spans="1:10" outlineLevel="2">
      <c r="A4611" s="2459" t="s">
        <v>1669</v>
      </c>
      <c r="B4611" s="2459" t="s">
        <v>1665</v>
      </c>
      <c r="C4611" s="2459" t="s">
        <v>1670</v>
      </c>
      <c r="D4611" s="2460" t="s">
        <v>1671</v>
      </c>
      <c r="E4611" s="2461" t="s">
        <v>213</v>
      </c>
      <c r="F4611" s="2461" t="s">
        <v>1453</v>
      </c>
      <c r="G4611" s="2461" t="s">
        <v>1421</v>
      </c>
      <c r="H4611" s="2461" t="s">
        <v>1454</v>
      </c>
      <c r="I4611" s="2462">
        <v>7.2398474708334631E-3</v>
      </c>
      <c r="J4611" s="2462">
        <v>3.584519075233545</v>
      </c>
    </row>
    <row r="4612" spans="1:10" outlineLevel="2">
      <c r="A4612" s="2459" t="s">
        <v>1669</v>
      </c>
      <c r="B4612" s="2459" t="s">
        <v>1665</v>
      </c>
      <c r="C4612" s="2459" t="s">
        <v>1670</v>
      </c>
      <c r="D4612" s="2460" t="s">
        <v>1671</v>
      </c>
      <c r="E4612" s="2461" t="s">
        <v>213</v>
      </c>
      <c r="F4612" s="2461" t="s">
        <v>1455</v>
      </c>
      <c r="G4612" s="2461" t="s">
        <v>1421</v>
      </c>
      <c r="H4612" s="2461" t="s">
        <v>1454</v>
      </c>
      <c r="I4612" s="2462">
        <v>4.6201778923255582E-2</v>
      </c>
      <c r="J4612" s="2462">
        <v>23.91274387471319</v>
      </c>
    </row>
    <row r="4613" spans="1:10" outlineLevel="2">
      <c r="A4613" s="2459" t="s">
        <v>1669</v>
      </c>
      <c r="B4613" s="2459" t="s">
        <v>1665</v>
      </c>
      <c r="C4613" s="2459" t="s">
        <v>1670</v>
      </c>
      <c r="D4613" s="2460" t="s">
        <v>1671</v>
      </c>
      <c r="E4613" s="2461" t="s">
        <v>213</v>
      </c>
      <c r="F4613" s="2461" t="s">
        <v>1456</v>
      </c>
      <c r="G4613" s="2461" t="s">
        <v>1421</v>
      </c>
      <c r="H4613" s="2461" t="s">
        <v>1454</v>
      </c>
      <c r="I4613" s="2462">
        <v>1.8531454911455059E-5</v>
      </c>
      <c r="J4613" s="2462">
        <v>8.2936754132527414E-3</v>
      </c>
    </row>
    <row r="4614" spans="1:10" outlineLevel="2">
      <c r="A4614" s="2459" t="s">
        <v>1669</v>
      </c>
      <c r="B4614" s="2459" t="s">
        <v>1665</v>
      </c>
      <c r="C4614" s="2459" t="s">
        <v>1670</v>
      </c>
      <c r="D4614" s="2460" t="s">
        <v>1671</v>
      </c>
      <c r="E4614" s="2461" t="s">
        <v>213</v>
      </c>
      <c r="F4614" s="2461" t="s">
        <v>1457</v>
      </c>
      <c r="G4614" s="2461" t="s">
        <v>1421</v>
      </c>
      <c r="H4614" s="2461" t="s">
        <v>1454</v>
      </c>
      <c r="I4614" s="2462">
        <v>3.2324723284604554E-4</v>
      </c>
      <c r="J4614" s="2462">
        <v>0.14466817718371341</v>
      </c>
    </row>
    <row r="4615" spans="1:10" outlineLevel="2">
      <c r="A4615" s="2459" t="s">
        <v>1669</v>
      </c>
      <c r="B4615" s="2459" t="s">
        <v>1665</v>
      </c>
      <c r="C4615" s="2459" t="s">
        <v>1670</v>
      </c>
      <c r="D4615" s="2460" t="s">
        <v>1671</v>
      </c>
      <c r="E4615" s="2461" t="s">
        <v>213</v>
      </c>
      <c r="F4615" s="2461" t="s">
        <v>1458</v>
      </c>
      <c r="G4615" s="2461" t="s">
        <v>1459</v>
      </c>
      <c r="H4615" s="2461" t="s">
        <v>1460</v>
      </c>
      <c r="I4615" s="2462">
        <v>2.7490956356153191E-2</v>
      </c>
      <c r="J4615" s="2462">
        <v>15.871328643081194</v>
      </c>
    </row>
    <row r="4616" spans="1:10" outlineLevel="2">
      <c r="A4616" s="2459" t="s">
        <v>1669</v>
      </c>
      <c r="B4616" s="2459" t="s">
        <v>1665</v>
      </c>
      <c r="C4616" s="2459" t="s">
        <v>1670</v>
      </c>
      <c r="D4616" s="2460" t="s">
        <v>1671</v>
      </c>
      <c r="E4616" s="2461" t="s">
        <v>213</v>
      </c>
      <c r="F4616" s="2461" t="s">
        <v>1461</v>
      </c>
      <c r="G4616" s="2461" t="s">
        <v>1426</v>
      </c>
      <c r="H4616" s="2461" t="s">
        <v>1427</v>
      </c>
      <c r="I4616" s="2462">
        <v>0.15791098703830103</v>
      </c>
      <c r="J4616" s="2462">
        <v>112.04547020228604</v>
      </c>
    </row>
    <row r="4617" spans="1:10" outlineLevel="2">
      <c r="A4617" s="2459" t="s">
        <v>1669</v>
      </c>
      <c r="B4617" s="2459" t="s">
        <v>1665</v>
      </c>
      <c r="C4617" s="2459" t="s">
        <v>1670</v>
      </c>
      <c r="D4617" s="2460" t="s">
        <v>1671</v>
      </c>
      <c r="E4617" s="2461" t="s">
        <v>213</v>
      </c>
      <c r="F4617" s="2461" t="s">
        <v>1462</v>
      </c>
      <c r="G4617" s="2461" t="s">
        <v>1426</v>
      </c>
      <c r="H4617" s="2461" t="s">
        <v>1427</v>
      </c>
      <c r="I4617" s="2462">
        <v>1.1636903657081241</v>
      </c>
      <c r="J4617" s="2462">
        <v>1065.1921844773071</v>
      </c>
    </row>
    <row r="4618" spans="1:10" outlineLevel="2">
      <c r="A4618" s="2459" t="s">
        <v>1669</v>
      </c>
      <c r="B4618" s="2459" t="s">
        <v>1665</v>
      </c>
      <c r="C4618" s="2459" t="s">
        <v>1670</v>
      </c>
      <c r="D4618" s="2460" t="s">
        <v>1671</v>
      </c>
      <c r="E4618" s="2461" t="s">
        <v>213</v>
      </c>
      <c r="F4618" s="2461" t="s">
        <v>1463</v>
      </c>
      <c r="G4618" s="2461" t="s">
        <v>1426</v>
      </c>
      <c r="H4618" s="2461" t="s">
        <v>1427</v>
      </c>
      <c r="I4618" s="2462">
        <v>0.68310433155421979</v>
      </c>
      <c r="J4618" s="2462">
        <v>910.9278082694284</v>
      </c>
    </row>
    <row r="4619" spans="1:10" outlineLevel="2">
      <c r="A4619" s="2459" t="s">
        <v>1669</v>
      </c>
      <c r="B4619" s="2459" t="s">
        <v>1665</v>
      </c>
      <c r="C4619" s="2459" t="s">
        <v>1670</v>
      </c>
      <c r="D4619" s="2460" t="s">
        <v>1671</v>
      </c>
      <c r="E4619" s="2461" t="s">
        <v>213</v>
      </c>
      <c r="F4619" s="2461" t="s">
        <v>1464</v>
      </c>
      <c r="G4619" s="2461" t="s">
        <v>1426</v>
      </c>
      <c r="H4619" s="2461" t="s">
        <v>1427</v>
      </c>
      <c r="I4619" s="2462">
        <v>0.15639433663872193</v>
      </c>
      <c r="J4619" s="2462">
        <v>142.86936589662176</v>
      </c>
    </row>
    <row r="4620" spans="1:10" outlineLevel="2">
      <c r="A4620" s="2459" t="s">
        <v>1669</v>
      </c>
      <c r="B4620" s="2459" t="s">
        <v>1665</v>
      </c>
      <c r="C4620" s="2459" t="s">
        <v>1670</v>
      </c>
      <c r="D4620" s="2460" t="s">
        <v>1671</v>
      </c>
      <c r="E4620" s="2461" t="s">
        <v>213</v>
      </c>
      <c r="F4620" s="2461" t="s">
        <v>1465</v>
      </c>
      <c r="G4620" s="2461" t="s">
        <v>1409</v>
      </c>
      <c r="H4620" s="2461" t="s">
        <v>1070</v>
      </c>
      <c r="I4620" s="2462">
        <v>4.892682336347624E-3</v>
      </c>
      <c r="J4620" s="2462">
        <v>8.0077675940791604</v>
      </c>
    </row>
    <row r="4621" spans="1:10" outlineLevel="2">
      <c r="A4621" s="2459" t="s">
        <v>1669</v>
      </c>
      <c r="B4621" s="2459" t="s">
        <v>1665</v>
      </c>
      <c r="C4621" s="2459" t="s">
        <v>1670</v>
      </c>
      <c r="D4621" s="2460" t="s">
        <v>1671</v>
      </c>
      <c r="E4621" s="2461" t="s">
        <v>213</v>
      </c>
      <c r="F4621" s="2461" t="s">
        <v>1466</v>
      </c>
      <c r="G4621" s="2461" t="s">
        <v>1409</v>
      </c>
      <c r="H4621" s="2461" t="s">
        <v>1070</v>
      </c>
      <c r="I4621" s="2462">
        <v>3.9094031270499037E-5</v>
      </c>
      <c r="J4621" s="2462">
        <v>5.9771013856431576E-2</v>
      </c>
    </row>
    <row r="4622" spans="1:10" outlineLevel="2">
      <c r="A4622" s="2459" t="s">
        <v>1669</v>
      </c>
      <c r="B4622" s="2459" t="s">
        <v>1665</v>
      </c>
      <c r="C4622" s="2459" t="s">
        <v>1670</v>
      </c>
      <c r="D4622" s="2460" t="s">
        <v>1671</v>
      </c>
      <c r="E4622" s="2461" t="s">
        <v>213</v>
      </c>
      <c r="F4622" s="2461" t="s">
        <v>1467</v>
      </c>
      <c r="G4622" s="2461" t="s">
        <v>1409</v>
      </c>
      <c r="H4622" s="2461" t="s">
        <v>1070</v>
      </c>
      <c r="I4622" s="2462">
        <v>1.0570420874729961E-2</v>
      </c>
      <c r="J4622" s="2462">
        <v>15.043565272401676</v>
      </c>
    </row>
    <row r="4623" spans="1:10" outlineLevel="2">
      <c r="A4623" s="2459" t="s">
        <v>1669</v>
      </c>
      <c r="B4623" s="2459" t="s">
        <v>1665</v>
      </c>
      <c r="C4623" s="2459" t="s">
        <v>1670</v>
      </c>
      <c r="D4623" s="2460" t="s">
        <v>1671</v>
      </c>
      <c r="E4623" s="2461" t="s">
        <v>213</v>
      </c>
      <c r="F4623" s="2461" t="s">
        <v>1468</v>
      </c>
      <c r="G4623" s="2461" t="s">
        <v>1409</v>
      </c>
      <c r="H4623" s="2461" t="s">
        <v>1070</v>
      </c>
      <c r="I4623" s="2462">
        <v>8.6258629761704533E-3</v>
      </c>
      <c r="J4623" s="2462">
        <v>14.163261473098384</v>
      </c>
    </row>
    <row r="4624" spans="1:10" outlineLevel="2">
      <c r="A4624" s="2459" t="s">
        <v>1669</v>
      </c>
      <c r="B4624" s="2459" t="s">
        <v>1665</v>
      </c>
      <c r="C4624" s="2459" t="s">
        <v>1670</v>
      </c>
      <c r="D4624" s="2460" t="s">
        <v>1671</v>
      </c>
      <c r="E4624" s="2461" t="s">
        <v>213</v>
      </c>
      <c r="F4624" s="2461" t="s">
        <v>1469</v>
      </c>
      <c r="G4624" s="2461" t="s">
        <v>1409</v>
      </c>
      <c r="H4624" s="2461" t="s">
        <v>1070</v>
      </c>
      <c r="I4624" s="2462">
        <v>1.9290524578750395E-2</v>
      </c>
      <c r="J4624" s="2462">
        <v>28.26551551041247</v>
      </c>
    </row>
    <row r="4625" spans="1:10" outlineLevel="2">
      <c r="A4625" s="2459" t="s">
        <v>1669</v>
      </c>
      <c r="B4625" s="2459" t="s">
        <v>1665</v>
      </c>
      <c r="C4625" s="2459" t="s">
        <v>1670</v>
      </c>
      <c r="D4625" s="2460" t="s">
        <v>1671</v>
      </c>
      <c r="E4625" s="2461" t="s">
        <v>213</v>
      </c>
      <c r="F4625" s="2461" t="s">
        <v>1470</v>
      </c>
      <c r="G4625" s="2461" t="s">
        <v>1409</v>
      </c>
      <c r="H4625" s="2461" t="s">
        <v>1070</v>
      </c>
      <c r="I4625" s="2462">
        <v>8.3685680970787043E-3</v>
      </c>
      <c r="J4625" s="2462">
        <v>11.901872388728883</v>
      </c>
    </row>
    <row r="4626" spans="1:10" outlineLevel="2">
      <c r="A4626" s="2459" t="s">
        <v>1669</v>
      </c>
      <c r="B4626" s="2459" t="s">
        <v>1665</v>
      </c>
      <c r="C4626" s="2459" t="s">
        <v>1670</v>
      </c>
      <c r="D4626" s="2460" t="s">
        <v>1671</v>
      </c>
      <c r="E4626" s="2461" t="s">
        <v>213</v>
      </c>
      <c r="F4626" s="2461" t="s">
        <v>1471</v>
      </c>
      <c r="G4626" s="2461" t="s">
        <v>1409</v>
      </c>
      <c r="H4626" s="2461" t="s">
        <v>1070</v>
      </c>
      <c r="I4626" s="2462">
        <v>4.5576387577447126E-4</v>
      </c>
      <c r="J4626" s="2462">
        <v>0.62030368228034205</v>
      </c>
    </row>
    <row r="4627" spans="1:10" outlineLevel="2">
      <c r="A4627" s="2459" t="s">
        <v>1669</v>
      </c>
      <c r="B4627" s="2459" t="s">
        <v>1665</v>
      </c>
      <c r="C4627" s="2459" t="s">
        <v>1670</v>
      </c>
      <c r="D4627" s="2460" t="s">
        <v>1671</v>
      </c>
      <c r="E4627" s="2461" t="s">
        <v>213</v>
      </c>
      <c r="F4627" s="2461" t="s">
        <v>1472</v>
      </c>
      <c r="G4627" s="2461" t="s">
        <v>1409</v>
      </c>
      <c r="H4627" s="2461" t="s">
        <v>1070</v>
      </c>
      <c r="I4627" s="2462">
        <v>1.586152959554462E-2</v>
      </c>
      <c r="J4627" s="2462">
        <v>24.906959379983768</v>
      </c>
    </row>
    <row r="4628" spans="1:10" outlineLevel="2">
      <c r="A4628" s="2459" t="s">
        <v>1669</v>
      </c>
      <c r="B4628" s="2459" t="s">
        <v>1665</v>
      </c>
      <c r="C4628" s="2459" t="s">
        <v>1670</v>
      </c>
      <c r="D4628" s="2460" t="s">
        <v>1671</v>
      </c>
      <c r="E4628" s="2461" t="s">
        <v>213</v>
      </c>
      <c r="F4628" s="2461" t="s">
        <v>1473</v>
      </c>
      <c r="G4628" s="2461" t="s">
        <v>1409</v>
      </c>
      <c r="H4628" s="2461" t="s">
        <v>1070</v>
      </c>
      <c r="I4628" s="2462">
        <v>7.5629982639576756E-3</v>
      </c>
      <c r="J4628" s="2462">
        <v>9.2375434342340874</v>
      </c>
    </row>
    <row r="4629" spans="1:10" outlineLevel="2">
      <c r="A4629" s="2459" t="s">
        <v>1669</v>
      </c>
      <c r="B4629" s="2459" t="s">
        <v>1665</v>
      </c>
      <c r="C4629" s="2459" t="s">
        <v>1670</v>
      </c>
      <c r="D4629" s="2460" t="s">
        <v>1671</v>
      </c>
      <c r="E4629" s="2461" t="s">
        <v>213</v>
      </c>
      <c r="F4629" s="2461" t="s">
        <v>1474</v>
      </c>
      <c r="G4629" s="2461" t="s">
        <v>1409</v>
      </c>
      <c r="H4629" s="2461" t="s">
        <v>1070</v>
      </c>
      <c r="I4629" s="2462">
        <v>3.573070724743329E-2</v>
      </c>
      <c r="J4629" s="2462">
        <v>51.900682690463924</v>
      </c>
    </row>
    <row r="4630" spans="1:10" outlineLevel="2">
      <c r="A4630" s="2459" t="s">
        <v>1669</v>
      </c>
      <c r="B4630" s="2459" t="s">
        <v>1665</v>
      </c>
      <c r="C4630" s="2459" t="s">
        <v>1670</v>
      </c>
      <c r="D4630" s="2460" t="s">
        <v>1671</v>
      </c>
      <c r="E4630" s="2461" t="s">
        <v>213</v>
      </c>
      <c r="F4630" s="2461" t="s">
        <v>1475</v>
      </c>
      <c r="G4630" s="2461" t="s">
        <v>1409</v>
      </c>
      <c r="H4630" s="2461" t="s">
        <v>1070</v>
      </c>
      <c r="I4630" s="2462">
        <v>1.811290707212293E-2</v>
      </c>
      <c r="J4630" s="2462">
        <v>24.924130823289186</v>
      </c>
    </row>
    <row r="4631" spans="1:10" outlineLevel="2">
      <c r="A4631" s="2459" t="s">
        <v>1669</v>
      </c>
      <c r="B4631" s="2459" t="s">
        <v>1665</v>
      </c>
      <c r="C4631" s="2459" t="s">
        <v>1670</v>
      </c>
      <c r="D4631" s="2460" t="s">
        <v>1671</v>
      </c>
      <c r="E4631" s="2461" t="s">
        <v>213</v>
      </c>
      <c r="F4631" s="2461" t="s">
        <v>1476</v>
      </c>
      <c r="G4631" s="2461" t="s">
        <v>1409</v>
      </c>
      <c r="H4631" s="2461" t="s">
        <v>1070</v>
      </c>
      <c r="I4631" s="2462">
        <v>1.4330531164623787E-3</v>
      </c>
      <c r="J4631" s="2462">
        <v>2.0076065901112328</v>
      </c>
    </row>
    <row r="4632" spans="1:10" outlineLevel="2">
      <c r="A4632" s="2459" t="s">
        <v>1669</v>
      </c>
      <c r="B4632" s="2459" t="s">
        <v>1665</v>
      </c>
      <c r="C4632" s="2459" t="s">
        <v>1670</v>
      </c>
      <c r="D4632" s="2460" t="s">
        <v>1671</v>
      </c>
      <c r="E4632" s="2461" t="s">
        <v>213</v>
      </c>
      <c r="F4632" s="2461" t="s">
        <v>1477</v>
      </c>
      <c r="G4632" s="2461" t="s">
        <v>1409</v>
      </c>
      <c r="H4632" s="2461" t="s">
        <v>1070</v>
      </c>
      <c r="I4632" s="2462">
        <v>2.3511010705979528E-3</v>
      </c>
      <c r="J4632" s="2462">
        <v>3.3712740008846129</v>
      </c>
    </row>
    <row r="4633" spans="1:10" outlineLevel="2">
      <c r="A4633" s="2459" t="s">
        <v>1669</v>
      </c>
      <c r="B4633" s="2459" t="s">
        <v>1665</v>
      </c>
      <c r="C4633" s="2459" t="s">
        <v>1670</v>
      </c>
      <c r="D4633" s="2460" t="s">
        <v>1671</v>
      </c>
      <c r="E4633" s="2461" t="s">
        <v>213</v>
      </c>
      <c r="F4633" s="2461" t="s">
        <v>1478</v>
      </c>
      <c r="G4633" s="2461" t="s">
        <v>1409</v>
      </c>
      <c r="H4633" s="2461" t="s">
        <v>1070</v>
      </c>
      <c r="I4633" s="2462">
        <v>1.0301170170587399E-3</v>
      </c>
      <c r="J4633" s="2462">
        <v>3.0125097264630103</v>
      </c>
    </row>
    <row r="4634" spans="1:10" outlineLevel="2">
      <c r="A4634" s="2459" t="s">
        <v>1669</v>
      </c>
      <c r="B4634" s="2459" t="s">
        <v>1665</v>
      </c>
      <c r="C4634" s="2459" t="s">
        <v>1670</v>
      </c>
      <c r="D4634" s="2460" t="s">
        <v>1671</v>
      </c>
      <c r="E4634" s="2461" t="s">
        <v>213</v>
      </c>
      <c r="F4634" s="2461" t="s">
        <v>1479</v>
      </c>
      <c r="G4634" s="2461" t="s">
        <v>1409</v>
      </c>
      <c r="H4634" s="2461" t="s">
        <v>1070</v>
      </c>
      <c r="I4634" s="2462">
        <v>8.28738384360912E-4</v>
      </c>
      <c r="J4634" s="2462">
        <v>7.1451527599040938</v>
      </c>
    </row>
    <row r="4635" spans="1:10" outlineLevel="2">
      <c r="A4635" s="2459" t="s">
        <v>1669</v>
      </c>
      <c r="B4635" s="2459" t="s">
        <v>1665</v>
      </c>
      <c r="C4635" s="2459" t="s">
        <v>1670</v>
      </c>
      <c r="D4635" s="2460" t="s">
        <v>1671</v>
      </c>
      <c r="E4635" s="2461" t="s">
        <v>213</v>
      </c>
      <c r="F4635" s="2461" t="s">
        <v>1480</v>
      </c>
      <c r="G4635" s="2461" t="s">
        <v>1409</v>
      </c>
      <c r="H4635" s="2461" t="s">
        <v>1070</v>
      </c>
      <c r="I4635" s="2462">
        <v>1.1273183214729603E-2</v>
      </c>
      <c r="J4635" s="2462">
        <v>17.037090412009192</v>
      </c>
    </row>
    <row r="4636" spans="1:10" outlineLevel="2">
      <c r="A4636" s="2459" t="s">
        <v>1669</v>
      </c>
      <c r="B4636" s="2459" t="s">
        <v>1665</v>
      </c>
      <c r="C4636" s="2459" t="s">
        <v>1670</v>
      </c>
      <c r="D4636" s="2460" t="s">
        <v>1671</v>
      </c>
      <c r="E4636" s="2461" t="s">
        <v>213</v>
      </c>
      <c r="F4636" s="2461" t="s">
        <v>1481</v>
      </c>
      <c r="G4636" s="2461" t="s">
        <v>1409</v>
      </c>
      <c r="H4636" s="2461" t="s">
        <v>1070</v>
      </c>
      <c r="I4636" s="2462">
        <v>8.0522502218497351E-3</v>
      </c>
      <c r="J4636" s="2462">
        <v>11.874181773785281</v>
      </c>
    </row>
    <row r="4637" spans="1:10" outlineLevel="2">
      <c r="A4637" s="2459" t="s">
        <v>1669</v>
      </c>
      <c r="B4637" s="2459" t="s">
        <v>1665</v>
      </c>
      <c r="C4637" s="2459" t="s">
        <v>1670</v>
      </c>
      <c r="D4637" s="2460" t="s">
        <v>1671</v>
      </c>
      <c r="E4637" s="2461" t="s">
        <v>213</v>
      </c>
      <c r="F4637" s="2461" t="s">
        <v>1482</v>
      </c>
      <c r="G4637" s="2461" t="s">
        <v>1409</v>
      </c>
      <c r="H4637" s="2461" t="s">
        <v>1070</v>
      </c>
      <c r="I4637" s="2462">
        <v>3.1614423718830369E-3</v>
      </c>
      <c r="J4637" s="2462">
        <v>3.8907470299142664</v>
      </c>
    </row>
    <row r="4638" spans="1:10" outlineLevel="2">
      <c r="A4638" s="2459" t="s">
        <v>1669</v>
      </c>
      <c r="B4638" s="2459" t="s">
        <v>1665</v>
      </c>
      <c r="C4638" s="2459" t="s">
        <v>1670</v>
      </c>
      <c r="D4638" s="2460" t="s">
        <v>1671</v>
      </c>
      <c r="E4638" s="2461" t="s">
        <v>213</v>
      </c>
      <c r="F4638" s="2461" t="s">
        <v>1483</v>
      </c>
      <c r="G4638" s="2461" t="s">
        <v>1409</v>
      </c>
      <c r="H4638" s="2461" t="s">
        <v>1070</v>
      </c>
      <c r="I4638" s="2462">
        <v>2.6334548837315909E-3</v>
      </c>
      <c r="J4638" s="2462">
        <v>2.8429758956722537</v>
      </c>
    </row>
    <row r="4639" spans="1:10" outlineLevel="2">
      <c r="A4639" s="2459" t="s">
        <v>1669</v>
      </c>
      <c r="B4639" s="2459" t="s">
        <v>1665</v>
      </c>
      <c r="C4639" s="2459" t="s">
        <v>1670</v>
      </c>
      <c r="D4639" s="2460" t="s">
        <v>1671</v>
      </c>
      <c r="E4639" s="2461" t="s">
        <v>213</v>
      </c>
      <c r="F4639" s="2461" t="s">
        <v>1484</v>
      </c>
      <c r="G4639" s="2461" t="s">
        <v>1412</v>
      </c>
      <c r="H4639" s="2461" t="s">
        <v>1116</v>
      </c>
      <c r="I4639" s="2462">
        <v>1.1275599702471391E-2</v>
      </c>
      <c r="J4639" s="2462">
        <v>22.676594738946871</v>
      </c>
    </row>
    <row r="4640" spans="1:10" outlineLevel="2">
      <c r="A4640" s="2459" t="s">
        <v>1669</v>
      </c>
      <c r="B4640" s="2459" t="s">
        <v>1665</v>
      </c>
      <c r="C4640" s="2459" t="s">
        <v>1670</v>
      </c>
      <c r="D4640" s="2460" t="s">
        <v>1671</v>
      </c>
      <c r="E4640" s="2461" t="s">
        <v>213</v>
      </c>
      <c r="F4640" s="2461" t="s">
        <v>1485</v>
      </c>
      <c r="G4640" s="2461" t="s">
        <v>1412</v>
      </c>
      <c r="H4640" s="2461" t="s">
        <v>1116</v>
      </c>
      <c r="I4640" s="2462">
        <v>8.0987210887090745E-3</v>
      </c>
      <c r="J4640" s="2462">
        <v>85.819599392599216</v>
      </c>
    </row>
    <row r="4641" spans="1:10" outlineLevel="2">
      <c r="A4641" s="2459" t="s">
        <v>1669</v>
      </c>
      <c r="B4641" s="2459" t="s">
        <v>1665</v>
      </c>
      <c r="C4641" s="2459" t="s">
        <v>1670</v>
      </c>
      <c r="D4641" s="2460" t="s">
        <v>1671</v>
      </c>
      <c r="E4641" s="2461" t="s">
        <v>213</v>
      </c>
      <c r="F4641" s="2461" t="s">
        <v>1486</v>
      </c>
      <c r="G4641" s="2461" t="s">
        <v>1412</v>
      </c>
      <c r="H4641" s="2461" t="s">
        <v>1116</v>
      </c>
      <c r="I4641" s="2462">
        <v>6.718821634941842E-3</v>
      </c>
      <c r="J4641" s="2462">
        <v>18.441077848379283</v>
      </c>
    </row>
    <row r="4642" spans="1:10" outlineLevel="2">
      <c r="A4642" s="2459" t="s">
        <v>1669</v>
      </c>
      <c r="B4642" s="2459" t="s">
        <v>1665</v>
      </c>
      <c r="C4642" s="2459" t="s">
        <v>1670</v>
      </c>
      <c r="D4642" s="2460" t="s">
        <v>1671</v>
      </c>
      <c r="E4642" s="2461" t="s">
        <v>213</v>
      </c>
      <c r="F4642" s="2461" t="s">
        <v>1487</v>
      </c>
      <c r="G4642" s="2461" t="s">
        <v>1412</v>
      </c>
      <c r="H4642" s="2461" t="s">
        <v>1116</v>
      </c>
      <c r="I4642" s="2462">
        <v>2.5844138885957959E-2</v>
      </c>
      <c r="J4642" s="2462">
        <v>34.637406557065525</v>
      </c>
    </row>
    <row r="4643" spans="1:10" outlineLevel="2">
      <c r="A4643" s="2459" t="s">
        <v>1669</v>
      </c>
      <c r="B4643" s="2459" t="s">
        <v>1665</v>
      </c>
      <c r="C4643" s="2459" t="s">
        <v>1670</v>
      </c>
      <c r="D4643" s="2460" t="s">
        <v>1671</v>
      </c>
      <c r="E4643" s="2461" t="s">
        <v>213</v>
      </c>
      <c r="F4643" s="2461" t="s">
        <v>1488</v>
      </c>
      <c r="G4643" s="2461" t="s">
        <v>1412</v>
      </c>
      <c r="H4643" s="2461" t="s">
        <v>1116</v>
      </c>
      <c r="I4643" s="2462">
        <v>7.2935931263545068E-4</v>
      </c>
      <c r="J4643" s="2462">
        <v>1.5893127187675757</v>
      </c>
    </row>
    <row r="4644" spans="1:10" outlineLevel="2">
      <c r="A4644" s="2459" t="s">
        <v>1669</v>
      </c>
      <c r="B4644" s="2459" t="s">
        <v>1665</v>
      </c>
      <c r="C4644" s="2459" t="s">
        <v>1670</v>
      </c>
      <c r="D4644" s="2460" t="s">
        <v>1671</v>
      </c>
      <c r="E4644" s="2461" t="s">
        <v>213</v>
      </c>
      <c r="F4644" s="2461" t="s">
        <v>1489</v>
      </c>
      <c r="G4644" s="2461" t="s">
        <v>1412</v>
      </c>
      <c r="H4644" s="2461" t="s">
        <v>1116</v>
      </c>
      <c r="I4644" s="2462">
        <v>1.0559969259937377E-3</v>
      </c>
      <c r="J4644" s="2462">
        <v>1.5739549837069007</v>
      </c>
    </row>
    <row r="4645" spans="1:10" outlineLevel="2">
      <c r="A4645" s="2459" t="s">
        <v>1669</v>
      </c>
      <c r="B4645" s="2459" t="s">
        <v>1665</v>
      </c>
      <c r="C4645" s="2459" t="s">
        <v>1670</v>
      </c>
      <c r="D4645" s="2460" t="s">
        <v>1671</v>
      </c>
      <c r="E4645" s="2461" t="s">
        <v>213</v>
      </c>
      <c r="F4645" s="2461" t="s">
        <v>1490</v>
      </c>
      <c r="G4645" s="2461" t="s">
        <v>1412</v>
      </c>
      <c r="H4645" s="2461" t="s">
        <v>1116</v>
      </c>
      <c r="I4645" s="2462">
        <v>5.3084508910827366E-4</v>
      </c>
      <c r="J4645" s="2462">
        <v>7.5792005794679653</v>
      </c>
    </row>
    <row r="4646" spans="1:10" outlineLevel="2">
      <c r="A4646" s="2459" t="s">
        <v>1669</v>
      </c>
      <c r="B4646" s="2459" t="s">
        <v>1665</v>
      </c>
      <c r="C4646" s="2459" t="s">
        <v>1670</v>
      </c>
      <c r="D4646" s="2460" t="s">
        <v>1671</v>
      </c>
      <c r="E4646" s="2461" t="s">
        <v>213</v>
      </c>
      <c r="F4646" s="2461" t="s">
        <v>1491</v>
      </c>
      <c r="G4646" s="2461" t="s">
        <v>1439</v>
      </c>
      <c r="H4646" s="2461" t="s">
        <v>1440</v>
      </c>
      <c r="I4646" s="2462">
        <v>0.65838833320486823</v>
      </c>
      <c r="J4646" s="2462">
        <v>705.71795606508556</v>
      </c>
    </row>
    <row r="4647" spans="1:10" outlineLevel="2">
      <c r="A4647" s="2459" t="s">
        <v>1669</v>
      </c>
      <c r="B4647" s="2459" t="s">
        <v>1665</v>
      </c>
      <c r="C4647" s="2459" t="s">
        <v>1670</v>
      </c>
      <c r="D4647" s="2460" t="s">
        <v>1671</v>
      </c>
      <c r="E4647" s="2461" t="s">
        <v>213</v>
      </c>
      <c r="F4647" s="2461" t="s">
        <v>1492</v>
      </c>
      <c r="G4647" s="2461" t="s">
        <v>1439</v>
      </c>
      <c r="H4647" s="2461" t="s">
        <v>1440</v>
      </c>
      <c r="I4647" s="2462">
        <v>0.39985998306907206</v>
      </c>
      <c r="J4647" s="2462">
        <v>543.74837618532661</v>
      </c>
    </row>
    <row r="4648" spans="1:10" outlineLevel="2">
      <c r="A4648" s="2459" t="s">
        <v>1669</v>
      </c>
      <c r="B4648" s="2459" t="s">
        <v>1665</v>
      </c>
      <c r="C4648" s="2459" t="s">
        <v>1670</v>
      </c>
      <c r="D4648" s="2460" t="s">
        <v>1671</v>
      </c>
      <c r="E4648" s="2461" t="s">
        <v>213</v>
      </c>
      <c r="F4648" s="2461" t="s">
        <v>1493</v>
      </c>
      <c r="G4648" s="2461" t="s">
        <v>1439</v>
      </c>
      <c r="H4648" s="2461" t="s">
        <v>1440</v>
      </c>
      <c r="I4648" s="2462">
        <v>5.667714547609453E-2</v>
      </c>
      <c r="J4648" s="2462">
        <v>60.728239433407921</v>
      </c>
    </row>
    <row r="4649" spans="1:10" outlineLevel="2">
      <c r="A4649" s="2459" t="s">
        <v>1669</v>
      </c>
      <c r="B4649" s="2459" t="s">
        <v>1665</v>
      </c>
      <c r="C4649" s="2459" t="s">
        <v>1670</v>
      </c>
      <c r="D4649" s="2460" t="s">
        <v>1671</v>
      </c>
      <c r="E4649" s="2461" t="s">
        <v>213</v>
      </c>
      <c r="F4649" s="2461" t="s">
        <v>1494</v>
      </c>
      <c r="G4649" s="2461" t="s">
        <v>1439</v>
      </c>
      <c r="H4649" s="2461" t="s">
        <v>1440</v>
      </c>
      <c r="I4649" s="2462">
        <v>0.25481923627712955</v>
      </c>
      <c r="J4649" s="2462">
        <v>322.53179751029671</v>
      </c>
    </row>
    <row r="4650" spans="1:10" outlineLevel="2">
      <c r="A4650" s="2459" t="s">
        <v>1669</v>
      </c>
      <c r="B4650" s="2459" t="s">
        <v>1665</v>
      </c>
      <c r="C4650" s="2459" t="s">
        <v>1670</v>
      </c>
      <c r="D4650" s="2460" t="s">
        <v>1671</v>
      </c>
      <c r="E4650" s="2461" t="s">
        <v>213</v>
      </c>
      <c r="F4650" s="2461" t="s">
        <v>1495</v>
      </c>
      <c r="G4650" s="2461" t="s">
        <v>1439</v>
      </c>
      <c r="H4650" s="2461" t="s">
        <v>1440</v>
      </c>
      <c r="I4650" s="2462">
        <v>3.0875217234750513E-3</v>
      </c>
      <c r="J4650" s="2462">
        <v>3.9228876672275077</v>
      </c>
    </row>
    <row r="4651" spans="1:10" outlineLevel="2">
      <c r="A4651" s="2459" t="s">
        <v>1669</v>
      </c>
      <c r="B4651" s="2459" t="s">
        <v>1665</v>
      </c>
      <c r="C4651" s="2459" t="s">
        <v>1670</v>
      </c>
      <c r="D4651" s="2460" t="s">
        <v>1671</v>
      </c>
      <c r="E4651" s="2461" t="s">
        <v>213</v>
      </c>
      <c r="F4651" s="2461" t="s">
        <v>1496</v>
      </c>
      <c r="G4651" s="2461" t="s">
        <v>1439</v>
      </c>
      <c r="H4651" s="2461" t="s">
        <v>1440</v>
      </c>
      <c r="I4651" s="2462">
        <v>8.8774021495957988E-3</v>
      </c>
      <c r="J4651" s="2462">
        <v>12.594576781871874</v>
      </c>
    </row>
    <row r="4652" spans="1:10" outlineLevel="2">
      <c r="A4652" s="2459" t="s">
        <v>1669</v>
      </c>
      <c r="B4652" s="2459" t="s">
        <v>1665</v>
      </c>
      <c r="C4652" s="2459" t="s">
        <v>1670</v>
      </c>
      <c r="D4652" s="2460" t="s">
        <v>1671</v>
      </c>
      <c r="E4652" s="2461" t="s">
        <v>213</v>
      </c>
      <c r="F4652" s="2461" t="s">
        <v>1497</v>
      </c>
      <c r="G4652" s="2461" t="s">
        <v>1439</v>
      </c>
      <c r="H4652" s="2461" t="s">
        <v>1440</v>
      </c>
      <c r="I4652" s="2462">
        <v>5.8802736925359809E-3</v>
      </c>
      <c r="J4652" s="2462">
        <v>7.4839856238918285</v>
      </c>
    </row>
    <row r="4653" spans="1:10" outlineLevel="2">
      <c r="A4653" s="2459" t="s">
        <v>1669</v>
      </c>
      <c r="B4653" s="2459" t="s">
        <v>1665</v>
      </c>
      <c r="C4653" s="2459" t="s">
        <v>1670</v>
      </c>
      <c r="D4653" s="2460" t="s">
        <v>1671</v>
      </c>
      <c r="E4653" s="2461" t="s">
        <v>213</v>
      </c>
      <c r="F4653" s="2461" t="s">
        <v>1498</v>
      </c>
      <c r="G4653" s="2461" t="s">
        <v>1439</v>
      </c>
      <c r="H4653" s="2461" t="s">
        <v>1440</v>
      </c>
      <c r="I4653" s="2462">
        <v>0.30340007587504286</v>
      </c>
      <c r="J4653" s="2462">
        <v>516.81370489133587</v>
      </c>
    </row>
    <row r="4654" spans="1:10" outlineLevel="2">
      <c r="A4654" s="2459" t="s">
        <v>1669</v>
      </c>
      <c r="B4654" s="2459" t="s">
        <v>1665</v>
      </c>
      <c r="C4654" s="2459" t="s">
        <v>1670</v>
      </c>
      <c r="D4654" s="2460" t="s">
        <v>1671</v>
      </c>
      <c r="E4654" s="2461" t="s">
        <v>213</v>
      </c>
      <c r="F4654" s="2461" t="s">
        <v>1501</v>
      </c>
      <c r="G4654" s="2461" t="s">
        <v>1439</v>
      </c>
      <c r="H4654" s="2461" t="s">
        <v>1440</v>
      </c>
      <c r="I4654" s="2462">
        <v>9.8100657219846094E-2</v>
      </c>
      <c r="J4654" s="2462">
        <v>143.33350448342546</v>
      </c>
    </row>
    <row r="4655" spans="1:10" outlineLevel="2">
      <c r="A4655" s="2459" t="s">
        <v>1669</v>
      </c>
      <c r="B4655" s="2459" t="s">
        <v>1665</v>
      </c>
      <c r="C4655" s="2459" t="s">
        <v>1670</v>
      </c>
      <c r="D4655" s="2460" t="s">
        <v>1671</v>
      </c>
      <c r="E4655" s="2461" t="s">
        <v>213</v>
      </c>
      <c r="F4655" s="2461" t="s">
        <v>1502</v>
      </c>
      <c r="G4655" s="2461" t="s">
        <v>1439</v>
      </c>
      <c r="H4655" s="2461" t="s">
        <v>1440</v>
      </c>
      <c r="I4655" s="2462">
        <v>4.5664096725549219E-2</v>
      </c>
      <c r="J4655" s="2462">
        <v>69.082998090102336</v>
      </c>
    </row>
    <row r="4656" spans="1:10" outlineLevel="2">
      <c r="A4656" s="2459" t="s">
        <v>1669</v>
      </c>
      <c r="B4656" s="2459" t="s">
        <v>1665</v>
      </c>
      <c r="C4656" s="2459" t="s">
        <v>1670</v>
      </c>
      <c r="D4656" s="2460" t="s">
        <v>1671</v>
      </c>
      <c r="E4656" s="2461" t="s">
        <v>213</v>
      </c>
      <c r="F4656" s="2461" t="s">
        <v>1503</v>
      </c>
      <c r="G4656" s="2461" t="s">
        <v>1439</v>
      </c>
      <c r="H4656" s="2461" t="s">
        <v>1440</v>
      </c>
      <c r="I4656" s="2462">
        <v>6.0247031297054159E-2</v>
      </c>
      <c r="J4656" s="2462">
        <v>78.195130337521888</v>
      </c>
    </row>
    <row r="4657" spans="1:10" outlineLevel="2">
      <c r="A4657" s="2459" t="s">
        <v>1669</v>
      </c>
      <c r="B4657" s="2459" t="s">
        <v>1665</v>
      </c>
      <c r="C4657" s="2459" t="s">
        <v>1670</v>
      </c>
      <c r="D4657" s="2460" t="s">
        <v>1671</v>
      </c>
      <c r="E4657" s="2461" t="s">
        <v>213</v>
      </c>
      <c r="F4657" s="2461" t="s">
        <v>1504</v>
      </c>
      <c r="G4657" s="2461" t="s">
        <v>1439</v>
      </c>
      <c r="H4657" s="2461" t="s">
        <v>1440</v>
      </c>
      <c r="I4657" s="2462">
        <v>3.0741718366557567E-2</v>
      </c>
      <c r="J4657" s="2462">
        <v>37.126585200847636</v>
      </c>
    </row>
    <row r="4658" spans="1:10" outlineLevel="2">
      <c r="A4658" s="2459" t="s">
        <v>1669</v>
      </c>
      <c r="B4658" s="2459" t="s">
        <v>1665</v>
      </c>
      <c r="C4658" s="2459" t="s">
        <v>1670</v>
      </c>
      <c r="D4658" s="2460" t="s">
        <v>1671</v>
      </c>
      <c r="E4658" s="2461" t="s">
        <v>213</v>
      </c>
      <c r="F4658" s="2461" t="s">
        <v>1505</v>
      </c>
      <c r="G4658" s="2461" t="s">
        <v>1439</v>
      </c>
      <c r="H4658" s="2461" t="s">
        <v>1440</v>
      </c>
      <c r="I4658" s="2462">
        <v>1.3119717659686079</v>
      </c>
      <c r="J4658" s="2462">
        <v>1921.269393990262</v>
      </c>
    </row>
    <row r="4659" spans="1:10" outlineLevel="2">
      <c r="A4659" s="2459" t="s">
        <v>1669</v>
      </c>
      <c r="B4659" s="2459" t="s">
        <v>1665</v>
      </c>
      <c r="C4659" s="2459" t="s">
        <v>1670</v>
      </c>
      <c r="D4659" s="2460" t="s">
        <v>1671</v>
      </c>
      <c r="E4659" s="2461" t="s">
        <v>213</v>
      </c>
      <c r="F4659" s="2461" t="s">
        <v>1506</v>
      </c>
      <c r="G4659" s="2461" t="s">
        <v>1439</v>
      </c>
      <c r="H4659" s="2461" t="s">
        <v>1440</v>
      </c>
      <c r="I4659" s="2462">
        <v>0.6204371137985103</v>
      </c>
      <c r="J4659" s="2462">
        <v>938.84068961870275</v>
      </c>
    </row>
    <row r="4660" spans="1:10" outlineLevel="2">
      <c r="A4660" s="2459" t="s">
        <v>1669</v>
      </c>
      <c r="B4660" s="2459" t="s">
        <v>1665</v>
      </c>
      <c r="C4660" s="2459" t="s">
        <v>1670</v>
      </c>
      <c r="D4660" s="2460" t="s">
        <v>1671</v>
      </c>
      <c r="E4660" s="2461" t="s">
        <v>213</v>
      </c>
      <c r="F4660" s="2461" t="s">
        <v>1507</v>
      </c>
      <c r="G4660" s="2461" t="s">
        <v>1439</v>
      </c>
      <c r="H4660" s="2461" t="s">
        <v>1440</v>
      </c>
      <c r="I4660" s="2462">
        <v>6.9426402025693681E-2</v>
      </c>
      <c r="J4660" s="2462">
        <v>156.76182224011626</v>
      </c>
    </row>
    <row r="4661" spans="1:10" outlineLevel="2">
      <c r="A4661" s="2459" t="s">
        <v>1669</v>
      </c>
      <c r="B4661" s="2459" t="s">
        <v>1665</v>
      </c>
      <c r="C4661" s="2459" t="s">
        <v>1670</v>
      </c>
      <c r="D4661" s="2460" t="s">
        <v>1671</v>
      </c>
      <c r="E4661" s="2461" t="s">
        <v>213</v>
      </c>
      <c r="F4661" s="2461" t="s">
        <v>1508</v>
      </c>
      <c r="G4661" s="2461" t="s">
        <v>1439</v>
      </c>
      <c r="H4661" s="2461" t="s">
        <v>1440</v>
      </c>
      <c r="I4661" s="2462">
        <v>1.9109775473900703</v>
      </c>
      <c r="J4661" s="2462">
        <v>3030.6391508893598</v>
      </c>
    </row>
    <row r="4662" spans="1:10" outlineLevel="2">
      <c r="A4662" s="2459" t="s">
        <v>1669</v>
      </c>
      <c r="B4662" s="2459" t="s">
        <v>1665</v>
      </c>
      <c r="C4662" s="2459" t="s">
        <v>1670</v>
      </c>
      <c r="D4662" s="2460" t="s">
        <v>1671</v>
      </c>
      <c r="E4662" s="2461" t="s">
        <v>213</v>
      </c>
      <c r="F4662" s="2461" t="s">
        <v>1509</v>
      </c>
      <c r="G4662" s="2461" t="s">
        <v>1439</v>
      </c>
      <c r="H4662" s="2461" t="s">
        <v>1440</v>
      </c>
      <c r="I4662" s="2462">
        <v>5.9728572042918017E-2</v>
      </c>
      <c r="J4662" s="2462">
        <v>68.294263267030374</v>
      </c>
    </row>
    <row r="4663" spans="1:10" outlineLevel="2">
      <c r="A4663" s="2459" t="s">
        <v>1669</v>
      </c>
      <c r="B4663" s="2459" t="s">
        <v>1665</v>
      </c>
      <c r="C4663" s="2459" t="s">
        <v>1670</v>
      </c>
      <c r="D4663" s="2460" t="s">
        <v>1671</v>
      </c>
      <c r="E4663" s="2461" t="s">
        <v>213</v>
      </c>
      <c r="F4663" s="2461" t="s">
        <v>1510</v>
      </c>
      <c r="G4663" s="2461" t="s">
        <v>1439</v>
      </c>
      <c r="H4663" s="2461" t="s">
        <v>1440</v>
      </c>
      <c r="I4663" s="2462">
        <v>8.019285785880588E-2</v>
      </c>
      <c r="J4663" s="2462">
        <v>93.126452227804364</v>
      </c>
    </row>
    <row r="4664" spans="1:10" outlineLevel="2">
      <c r="A4664" s="2459" t="s">
        <v>1669</v>
      </c>
      <c r="B4664" s="2459" t="s">
        <v>1665</v>
      </c>
      <c r="C4664" s="2459" t="s">
        <v>1670</v>
      </c>
      <c r="D4664" s="2460" t="s">
        <v>1671</v>
      </c>
      <c r="E4664" s="2461" t="s">
        <v>213</v>
      </c>
      <c r="F4664" s="2461" t="s">
        <v>1511</v>
      </c>
      <c r="G4664" s="2461" t="s">
        <v>1418</v>
      </c>
      <c r="H4664" s="2461" t="s">
        <v>1452</v>
      </c>
      <c r="I4664" s="2462">
        <v>1.006647704727612E-3</v>
      </c>
      <c r="J4664" s="2462">
        <v>1.4877260072245433</v>
      </c>
    </row>
    <row r="4665" spans="1:10" outlineLevel="2">
      <c r="A4665" s="2459" t="s">
        <v>1669</v>
      </c>
      <c r="B4665" s="2459" t="s">
        <v>1665</v>
      </c>
      <c r="C4665" s="2459" t="s">
        <v>1670</v>
      </c>
      <c r="D4665" s="2460" t="s">
        <v>1671</v>
      </c>
      <c r="E4665" s="2461" t="s">
        <v>213</v>
      </c>
      <c r="F4665" s="2461" t="s">
        <v>1512</v>
      </c>
      <c r="G4665" s="2461" t="s">
        <v>1418</v>
      </c>
      <c r="H4665" s="2461" t="s">
        <v>1452</v>
      </c>
      <c r="I4665" s="2462">
        <v>1.3174162355982031E-3</v>
      </c>
      <c r="J4665" s="2462">
        <v>5.7569669466385651</v>
      </c>
    </row>
    <row r="4666" spans="1:10" outlineLevel="2">
      <c r="A4666" s="2459" t="s">
        <v>1669</v>
      </c>
      <c r="B4666" s="2459" t="s">
        <v>1665</v>
      </c>
      <c r="C4666" s="2459" t="s">
        <v>1670</v>
      </c>
      <c r="D4666" s="2460" t="s">
        <v>1671</v>
      </c>
      <c r="E4666" s="2461" t="s">
        <v>213</v>
      </c>
      <c r="F4666" s="2461" t="s">
        <v>1513</v>
      </c>
      <c r="G4666" s="2461" t="s">
        <v>1418</v>
      </c>
      <c r="H4666" s="2461" t="s">
        <v>1452</v>
      </c>
      <c r="I4666" s="2462">
        <v>4.9158342410501055E-5</v>
      </c>
      <c r="J4666" s="2462">
        <v>4.6180852735418207E-2</v>
      </c>
    </row>
    <row r="4667" spans="1:10" outlineLevel="2">
      <c r="A4667" s="2459" t="s">
        <v>1669</v>
      </c>
      <c r="B4667" s="2459" t="s">
        <v>1665</v>
      </c>
      <c r="C4667" s="2459" t="s">
        <v>1670</v>
      </c>
      <c r="D4667" s="2460" t="s">
        <v>1671</v>
      </c>
      <c r="E4667" s="2461" t="s">
        <v>213</v>
      </c>
      <c r="F4667" s="2461" t="s">
        <v>1514</v>
      </c>
      <c r="G4667" s="2461" t="s">
        <v>1418</v>
      </c>
      <c r="H4667" s="2461" t="s">
        <v>1452</v>
      </c>
      <c r="I4667" s="2462">
        <v>4.4094247370431916E-3</v>
      </c>
      <c r="J4667" s="2462">
        <v>4.13409775739549</v>
      </c>
    </row>
    <row r="4668" spans="1:10" outlineLevel="2">
      <c r="A4668" s="2459" t="s">
        <v>1669</v>
      </c>
      <c r="B4668" s="2459" t="s">
        <v>1665</v>
      </c>
      <c r="C4668" s="2459" t="s">
        <v>1670</v>
      </c>
      <c r="D4668" s="2460" t="s">
        <v>1671</v>
      </c>
      <c r="E4668" s="2461" t="s">
        <v>213</v>
      </c>
      <c r="F4668" s="2461" t="s">
        <v>1515</v>
      </c>
      <c r="G4668" s="2461" t="s">
        <v>1418</v>
      </c>
      <c r="H4668" s="2461" t="s">
        <v>1452</v>
      </c>
      <c r="I4668" s="2462">
        <v>8.4693152040411139E-4</v>
      </c>
      <c r="J4668" s="2462">
        <v>1.2231371305074423</v>
      </c>
    </row>
    <row r="4669" spans="1:10" outlineLevel="2">
      <c r="A4669" s="2459" t="s">
        <v>1669</v>
      </c>
      <c r="B4669" s="2459" t="s">
        <v>1665</v>
      </c>
      <c r="C4669" s="2459" t="s">
        <v>1670</v>
      </c>
      <c r="D4669" s="2460" t="s">
        <v>1671</v>
      </c>
      <c r="E4669" s="2461" t="s">
        <v>213</v>
      </c>
      <c r="F4669" s="2461" t="s">
        <v>1516</v>
      </c>
      <c r="G4669" s="2461" t="s">
        <v>1418</v>
      </c>
      <c r="H4669" s="2461" t="s">
        <v>1452</v>
      </c>
      <c r="I4669" s="2462">
        <v>1.210604119348715E-2</v>
      </c>
      <c r="J4669" s="2462">
        <v>13.552293362086671</v>
      </c>
    </row>
    <row r="4670" spans="1:10" outlineLevel="2">
      <c r="A4670" s="2459" t="s">
        <v>1669</v>
      </c>
      <c r="B4670" s="2459" t="s">
        <v>1665</v>
      </c>
      <c r="C4670" s="2459" t="s">
        <v>1670</v>
      </c>
      <c r="D4670" s="2460" t="s">
        <v>1671</v>
      </c>
      <c r="E4670" s="2461" t="s">
        <v>213</v>
      </c>
      <c r="F4670" s="2461" t="s">
        <v>1517</v>
      </c>
      <c r="G4670" s="2461" t="s">
        <v>1418</v>
      </c>
      <c r="H4670" s="2461" t="s">
        <v>1452</v>
      </c>
      <c r="I4670" s="2462">
        <v>6.1991295908838118E-2</v>
      </c>
      <c r="J4670" s="2462">
        <v>30.382850871676656</v>
      </c>
    </row>
    <row r="4671" spans="1:10" outlineLevel="2">
      <c r="A4671" s="2459" t="s">
        <v>1669</v>
      </c>
      <c r="B4671" s="2459" t="s">
        <v>1665</v>
      </c>
      <c r="C4671" s="2459" t="s">
        <v>1670</v>
      </c>
      <c r="D4671" s="2460" t="s">
        <v>1671</v>
      </c>
      <c r="E4671" s="2461" t="s">
        <v>213</v>
      </c>
      <c r="F4671" s="2461" t="s">
        <v>1518</v>
      </c>
      <c r="G4671" s="2461" t="s">
        <v>1418</v>
      </c>
      <c r="H4671" s="2461" t="s">
        <v>1452</v>
      </c>
      <c r="I4671" s="2462">
        <v>6.9831723810941182E-3</v>
      </c>
      <c r="J4671" s="2462">
        <v>6.547139756682494</v>
      </c>
    </row>
    <row r="4672" spans="1:10" outlineLevel="2">
      <c r="A4672" s="2459" t="s">
        <v>1669</v>
      </c>
      <c r="B4672" s="2459" t="s">
        <v>1665</v>
      </c>
      <c r="C4672" s="2459" t="s">
        <v>1670</v>
      </c>
      <c r="D4672" s="2460" t="s">
        <v>1671</v>
      </c>
      <c r="E4672" s="2461" t="s">
        <v>213</v>
      </c>
      <c r="F4672" s="2461" t="s">
        <v>1519</v>
      </c>
      <c r="G4672" s="2461" t="s">
        <v>1418</v>
      </c>
      <c r="H4672" s="2461" t="s">
        <v>1452</v>
      </c>
      <c r="I4672" s="2462">
        <v>9.1666596509604285E-3</v>
      </c>
      <c r="J4672" s="2462">
        <v>9.3430047446574065</v>
      </c>
    </row>
    <row r="4673" spans="1:10" outlineLevel="2">
      <c r="A4673" s="2459" t="s">
        <v>1669</v>
      </c>
      <c r="B4673" s="2459" t="s">
        <v>1665</v>
      </c>
      <c r="C4673" s="2459" t="s">
        <v>1670</v>
      </c>
      <c r="D4673" s="2460" t="s">
        <v>1671</v>
      </c>
      <c r="E4673" s="2461" t="s">
        <v>213</v>
      </c>
      <c r="F4673" s="2461" t="s">
        <v>1520</v>
      </c>
      <c r="G4673" s="2461" t="s">
        <v>1418</v>
      </c>
      <c r="H4673" s="2461" t="s">
        <v>1452</v>
      </c>
      <c r="I4673" s="2462">
        <v>1.0976645805448897E-3</v>
      </c>
      <c r="J4673" s="2462">
        <v>9.9849249902068031</v>
      </c>
    </row>
    <row r="4674" spans="1:10" outlineLevel="2">
      <c r="A4674" s="2459" t="s">
        <v>1669</v>
      </c>
      <c r="B4674" s="2459" t="s">
        <v>1665</v>
      </c>
      <c r="C4674" s="2459" t="s">
        <v>1670</v>
      </c>
      <c r="D4674" s="2460" t="s">
        <v>1671</v>
      </c>
      <c r="E4674" s="2461" t="s">
        <v>213</v>
      </c>
      <c r="F4674" s="2461" t="s">
        <v>1521</v>
      </c>
      <c r="G4674" s="2461" t="s">
        <v>1421</v>
      </c>
      <c r="H4674" s="2461" t="s">
        <v>1454</v>
      </c>
      <c r="I4674" s="2462">
        <v>0.53002076818448041</v>
      </c>
      <c r="J4674" s="2462">
        <v>737.55814500082238</v>
      </c>
    </row>
    <row r="4675" spans="1:10" outlineLevel="2">
      <c r="A4675" s="2459" t="s">
        <v>1669</v>
      </c>
      <c r="B4675" s="2459" t="s">
        <v>1665</v>
      </c>
      <c r="C4675" s="2459" t="s">
        <v>1670</v>
      </c>
      <c r="D4675" s="2460" t="s">
        <v>1671</v>
      </c>
      <c r="E4675" s="2461" t="s">
        <v>213</v>
      </c>
      <c r="F4675" s="2461" t="s">
        <v>1522</v>
      </c>
      <c r="G4675" s="2461" t="s">
        <v>1421</v>
      </c>
      <c r="H4675" s="2461" t="s">
        <v>1454</v>
      </c>
      <c r="I4675" s="2462">
        <v>0.12449965972286613</v>
      </c>
      <c r="J4675" s="2462">
        <v>184.53047340843975</v>
      </c>
    </row>
    <row r="4676" spans="1:10" outlineLevel="2">
      <c r="A4676" s="2459" t="s">
        <v>1669</v>
      </c>
      <c r="B4676" s="2459" t="s">
        <v>1665</v>
      </c>
      <c r="C4676" s="2459" t="s">
        <v>1670</v>
      </c>
      <c r="D4676" s="2460" t="s">
        <v>1671</v>
      </c>
      <c r="E4676" s="2461" t="s">
        <v>213</v>
      </c>
      <c r="F4676" s="2461" t="s">
        <v>1523</v>
      </c>
      <c r="G4676" s="2461" t="s">
        <v>1421</v>
      </c>
      <c r="H4676" s="2461" t="s">
        <v>1454</v>
      </c>
      <c r="I4676" s="2462">
        <v>5.7433821129805641E-2</v>
      </c>
      <c r="J4676" s="2462">
        <v>97.573597412581321</v>
      </c>
    </row>
    <row r="4677" spans="1:10" outlineLevel="2">
      <c r="A4677" s="2459" t="s">
        <v>1669</v>
      </c>
      <c r="B4677" s="2459" t="s">
        <v>1665</v>
      </c>
      <c r="C4677" s="2459" t="s">
        <v>1670</v>
      </c>
      <c r="D4677" s="2460" t="s">
        <v>1671</v>
      </c>
      <c r="E4677" s="2461" t="s">
        <v>213</v>
      </c>
      <c r="F4677" s="2461" t="s">
        <v>1524</v>
      </c>
      <c r="G4677" s="2461" t="s">
        <v>1421</v>
      </c>
      <c r="H4677" s="2461" t="s">
        <v>1454</v>
      </c>
      <c r="I4677" s="2462">
        <v>0.13233898271371627</v>
      </c>
      <c r="J4677" s="2462">
        <v>209.7567756315874</v>
      </c>
    </row>
    <row r="4678" spans="1:10" outlineLevel="2">
      <c r="A4678" s="2459" t="s">
        <v>1669</v>
      </c>
      <c r="B4678" s="2459" t="s">
        <v>1665</v>
      </c>
      <c r="C4678" s="2459" t="s">
        <v>1670</v>
      </c>
      <c r="D4678" s="2460" t="s">
        <v>1671</v>
      </c>
      <c r="E4678" s="2461" t="s">
        <v>213</v>
      </c>
      <c r="F4678" s="2461" t="s">
        <v>1525</v>
      </c>
      <c r="G4678" s="2461" t="s">
        <v>1421</v>
      </c>
      <c r="H4678" s="2461" t="s">
        <v>1454</v>
      </c>
      <c r="I4678" s="2462">
        <v>0.23313038402417097</v>
      </c>
      <c r="J4678" s="2462">
        <v>331.41030412082614</v>
      </c>
    </row>
    <row r="4679" spans="1:10" outlineLevel="2">
      <c r="A4679" s="2459" t="s">
        <v>1669</v>
      </c>
      <c r="B4679" s="2459" t="s">
        <v>1665</v>
      </c>
      <c r="C4679" s="2459" t="s">
        <v>1670</v>
      </c>
      <c r="D4679" s="2460" t="s">
        <v>1671</v>
      </c>
      <c r="E4679" s="2461" t="s">
        <v>213</v>
      </c>
      <c r="F4679" s="2461" t="s">
        <v>1526</v>
      </c>
      <c r="G4679" s="2461" t="s">
        <v>1421</v>
      </c>
      <c r="H4679" s="2461" t="s">
        <v>1454</v>
      </c>
      <c r="I4679" s="2462">
        <v>1.0800328287615847E-2</v>
      </c>
      <c r="J4679" s="2462">
        <v>15.549227135673949</v>
      </c>
    </row>
    <row r="4680" spans="1:10" outlineLevel="2">
      <c r="A4680" s="2459" t="s">
        <v>1669</v>
      </c>
      <c r="B4680" s="2459" t="s">
        <v>1665</v>
      </c>
      <c r="C4680" s="2459" t="s">
        <v>1670</v>
      </c>
      <c r="D4680" s="2460" t="s">
        <v>1671</v>
      </c>
      <c r="E4680" s="2461" t="s">
        <v>213</v>
      </c>
      <c r="F4680" s="2461" t="s">
        <v>1527</v>
      </c>
      <c r="G4680" s="2461" t="s">
        <v>1459</v>
      </c>
      <c r="H4680" s="2461" t="s">
        <v>1460</v>
      </c>
      <c r="I4680" s="2462">
        <v>3.6515027613191378E-2</v>
      </c>
      <c r="J4680" s="2462">
        <v>38.247389445954411</v>
      </c>
    </row>
    <row r="4681" spans="1:10" outlineLevel="2">
      <c r="A4681" s="2459" t="s">
        <v>1669</v>
      </c>
      <c r="B4681" s="2459" t="s">
        <v>1665</v>
      </c>
      <c r="C4681" s="2459" t="s">
        <v>1670</v>
      </c>
      <c r="D4681" s="2460" t="s">
        <v>1671</v>
      </c>
      <c r="E4681" s="2461" t="s">
        <v>213</v>
      </c>
      <c r="F4681" s="2461" t="s">
        <v>1528</v>
      </c>
      <c r="G4681" s="2461" t="s">
        <v>1459</v>
      </c>
      <c r="H4681" s="2461" t="s">
        <v>1460</v>
      </c>
      <c r="I4681" s="2462">
        <v>3.1783881420838754E-4</v>
      </c>
      <c r="J4681" s="2462">
        <v>0.40762717012235639</v>
      </c>
    </row>
    <row r="4682" spans="1:10" outlineLevel="2">
      <c r="A4682" s="2459" t="s">
        <v>1669</v>
      </c>
      <c r="B4682" s="2459" t="s">
        <v>1665</v>
      </c>
      <c r="C4682" s="2459" t="s">
        <v>1670</v>
      </c>
      <c r="D4682" s="2460" t="s">
        <v>1671</v>
      </c>
      <c r="E4682" s="2461" t="s">
        <v>213</v>
      </c>
      <c r="F4682" s="2461" t="s">
        <v>1529</v>
      </c>
      <c r="G4682" s="2461" t="s">
        <v>1530</v>
      </c>
      <c r="H4682" s="2461" t="s">
        <v>1531</v>
      </c>
      <c r="I4682" s="2462">
        <v>17.824041479235085</v>
      </c>
      <c r="J4682" s="2462">
        <v>15165.027409043007</v>
      </c>
    </row>
    <row r="4683" spans="1:10" outlineLevel="2">
      <c r="A4683" s="2459" t="s">
        <v>1669</v>
      </c>
      <c r="B4683" s="2459" t="s">
        <v>1665</v>
      </c>
      <c r="C4683" s="2459" t="s">
        <v>1670</v>
      </c>
      <c r="D4683" s="2460" t="s">
        <v>1671</v>
      </c>
      <c r="E4683" s="2461" t="s">
        <v>213</v>
      </c>
      <c r="F4683" s="2461" t="s">
        <v>1532</v>
      </c>
      <c r="G4683" s="2461" t="s">
        <v>1530</v>
      </c>
      <c r="H4683" s="2461" t="s">
        <v>1531</v>
      </c>
      <c r="I4683" s="2462">
        <v>7.5023658507893352</v>
      </c>
      <c r="J4683" s="2462">
        <v>6400.345303803525</v>
      </c>
    </row>
    <row r="4684" spans="1:10" outlineLevel="2">
      <c r="A4684" s="2459" t="s">
        <v>1669</v>
      </c>
      <c r="B4684" s="2459" t="s">
        <v>1665</v>
      </c>
      <c r="C4684" s="2459" t="s">
        <v>1670</v>
      </c>
      <c r="D4684" s="2460" t="s">
        <v>1671</v>
      </c>
      <c r="E4684" s="2461" t="s">
        <v>213</v>
      </c>
      <c r="F4684" s="2461" t="s">
        <v>1533</v>
      </c>
      <c r="G4684" s="2461" t="s">
        <v>1534</v>
      </c>
      <c r="H4684" s="2461" t="s">
        <v>1531</v>
      </c>
      <c r="I4684" s="2462">
        <v>4.9677445724661951</v>
      </c>
      <c r="J4684" s="2462">
        <v>8361.2342751221222</v>
      </c>
    </row>
    <row r="4685" spans="1:10" outlineLevel="2">
      <c r="A4685" s="2459" t="s">
        <v>1669</v>
      </c>
      <c r="B4685" s="2459" t="s">
        <v>1665</v>
      </c>
      <c r="C4685" s="2459" t="s">
        <v>1670</v>
      </c>
      <c r="D4685" s="2460" t="s">
        <v>1671</v>
      </c>
      <c r="E4685" s="2461" t="s">
        <v>213</v>
      </c>
      <c r="F4685" s="2461" t="s">
        <v>1535</v>
      </c>
      <c r="G4685" s="2461" t="s">
        <v>1536</v>
      </c>
      <c r="H4685" s="2461" t="s">
        <v>1537</v>
      </c>
      <c r="I4685" s="2462">
        <v>5.8248998918285235E-5</v>
      </c>
      <c r="J4685" s="2462">
        <v>8.7148617848041038E-2</v>
      </c>
    </row>
    <row r="4686" spans="1:10" outlineLevel="2">
      <c r="A4686" s="2459" t="s">
        <v>1669</v>
      </c>
      <c r="B4686" s="2459" t="s">
        <v>1665</v>
      </c>
      <c r="C4686" s="2459" t="s">
        <v>1670</v>
      </c>
      <c r="D4686" s="2460" t="s">
        <v>1671</v>
      </c>
      <c r="E4686" s="2461" t="s">
        <v>1538</v>
      </c>
      <c r="F4686" s="2461" t="s">
        <v>1539</v>
      </c>
      <c r="G4686" s="2461" t="s">
        <v>1426</v>
      </c>
      <c r="H4686" s="2461" t="s">
        <v>1540</v>
      </c>
      <c r="I4686" s="2462">
        <v>5.1270783723112298E-3</v>
      </c>
      <c r="J4686" s="2462">
        <v>9.818604332290878</v>
      </c>
    </row>
    <row r="4687" spans="1:10" outlineLevel="2">
      <c r="A4687" s="2459" t="s">
        <v>1669</v>
      </c>
      <c r="B4687" s="2459" t="s">
        <v>1665</v>
      </c>
      <c r="C4687" s="2459" t="s">
        <v>1670</v>
      </c>
      <c r="D4687" s="2460" t="s">
        <v>1671</v>
      </c>
      <c r="E4687" s="2461" t="s">
        <v>1538</v>
      </c>
      <c r="F4687" s="2461" t="s">
        <v>1541</v>
      </c>
      <c r="G4687" s="2461" t="s">
        <v>1409</v>
      </c>
      <c r="H4687" s="2461" t="s">
        <v>1540</v>
      </c>
      <c r="I4687" s="2462">
        <v>2.5229571837820017E-4</v>
      </c>
      <c r="J4687" s="2462">
        <v>1.1744352782406264</v>
      </c>
    </row>
    <row r="4688" spans="1:10" outlineLevel="2">
      <c r="A4688" s="2459" t="s">
        <v>1669</v>
      </c>
      <c r="B4688" s="2459" t="s">
        <v>1665</v>
      </c>
      <c r="C4688" s="2459" t="s">
        <v>1670</v>
      </c>
      <c r="D4688" s="2460" t="s">
        <v>1671</v>
      </c>
      <c r="E4688" s="2461" t="s">
        <v>1538</v>
      </c>
      <c r="F4688" s="2461" t="s">
        <v>1542</v>
      </c>
      <c r="G4688" s="2461" t="s">
        <v>1409</v>
      </c>
      <c r="H4688" s="2461" t="s">
        <v>1540</v>
      </c>
      <c r="I4688" s="2462">
        <v>1.3531426188580957E-4</v>
      </c>
      <c r="J4688" s="2462">
        <v>1.9640681695201452</v>
      </c>
    </row>
    <row r="4689" spans="1:10" outlineLevel="2">
      <c r="A4689" s="2459" t="s">
        <v>1669</v>
      </c>
      <c r="B4689" s="2459" t="s">
        <v>1665</v>
      </c>
      <c r="C4689" s="2459" t="s">
        <v>1670</v>
      </c>
      <c r="D4689" s="2460" t="s">
        <v>1671</v>
      </c>
      <c r="E4689" s="2461" t="s">
        <v>1538</v>
      </c>
      <c r="F4689" s="2461" t="s">
        <v>1543</v>
      </c>
      <c r="G4689" s="2461" t="s">
        <v>1409</v>
      </c>
      <c r="H4689" s="2461" t="s">
        <v>1540</v>
      </c>
      <c r="I4689" s="2462">
        <v>2.0062450981980304E-4</v>
      </c>
      <c r="J4689" s="2462">
        <v>0.34685250931262668</v>
      </c>
    </row>
    <row r="4690" spans="1:10" outlineLevel="2">
      <c r="A4690" s="2459" t="s">
        <v>1669</v>
      </c>
      <c r="B4690" s="2459" t="s">
        <v>1665</v>
      </c>
      <c r="C4690" s="2459" t="s">
        <v>1670</v>
      </c>
      <c r="D4690" s="2460" t="s">
        <v>1671</v>
      </c>
      <c r="E4690" s="2461" t="s">
        <v>1538</v>
      </c>
      <c r="F4690" s="2461" t="s">
        <v>1544</v>
      </c>
      <c r="G4690" s="2461" t="s">
        <v>1409</v>
      </c>
      <c r="H4690" s="2461" t="s">
        <v>1540</v>
      </c>
      <c r="I4690" s="2462">
        <v>3.6730168773086573E-5</v>
      </c>
      <c r="J4690" s="2462">
        <v>0.20108622157547063</v>
      </c>
    </row>
    <row r="4691" spans="1:10" outlineLevel="2">
      <c r="A4691" s="2459" t="s">
        <v>1669</v>
      </c>
      <c r="B4691" s="2459" t="s">
        <v>1665</v>
      </c>
      <c r="C4691" s="2459" t="s">
        <v>1670</v>
      </c>
      <c r="D4691" s="2460" t="s">
        <v>1671</v>
      </c>
      <c r="E4691" s="2461" t="s">
        <v>1538</v>
      </c>
      <c r="F4691" s="2461" t="s">
        <v>1545</v>
      </c>
      <c r="G4691" s="2461" t="s">
        <v>1409</v>
      </c>
      <c r="H4691" s="2461" t="s">
        <v>1540</v>
      </c>
      <c r="I4691" s="2462">
        <v>8.1296586773046096E-4</v>
      </c>
      <c r="J4691" s="2462">
        <v>3.632075769331812</v>
      </c>
    </row>
    <row r="4692" spans="1:10" outlineLevel="2">
      <c r="A4692" s="2459" t="s">
        <v>1669</v>
      </c>
      <c r="B4692" s="2459" t="s">
        <v>1665</v>
      </c>
      <c r="C4692" s="2459" t="s">
        <v>1670</v>
      </c>
      <c r="D4692" s="2460" t="s">
        <v>1671</v>
      </c>
      <c r="E4692" s="2461" t="s">
        <v>1538</v>
      </c>
      <c r="F4692" s="2461" t="s">
        <v>1546</v>
      </c>
      <c r="G4692" s="2461" t="s">
        <v>1409</v>
      </c>
      <c r="H4692" s="2461" t="s">
        <v>1540</v>
      </c>
      <c r="I4692" s="2462">
        <v>1.5550579930895538E-3</v>
      </c>
      <c r="J4692" s="2462">
        <v>1.8243143303030402</v>
      </c>
    </row>
    <row r="4693" spans="1:10" outlineLevel="2">
      <c r="A4693" s="2459" t="s">
        <v>1669</v>
      </c>
      <c r="B4693" s="2459" t="s">
        <v>1665</v>
      </c>
      <c r="C4693" s="2459" t="s">
        <v>1670</v>
      </c>
      <c r="D4693" s="2460" t="s">
        <v>1671</v>
      </c>
      <c r="E4693" s="2461" t="s">
        <v>1538</v>
      </c>
      <c r="F4693" s="2461" t="s">
        <v>1547</v>
      </c>
      <c r="G4693" s="2461" t="s">
        <v>1409</v>
      </c>
      <c r="H4693" s="2461" t="s">
        <v>1540</v>
      </c>
      <c r="I4693" s="2462">
        <v>1.6889971211755437E-4</v>
      </c>
      <c r="J4693" s="2462">
        <v>3.3603403755197911</v>
      </c>
    </row>
    <row r="4694" spans="1:10" outlineLevel="2">
      <c r="A4694" s="2459" t="s">
        <v>1669</v>
      </c>
      <c r="B4694" s="2459" t="s">
        <v>1665</v>
      </c>
      <c r="C4694" s="2459" t="s">
        <v>1670</v>
      </c>
      <c r="D4694" s="2460" t="s">
        <v>1671</v>
      </c>
      <c r="E4694" s="2461" t="s">
        <v>1538</v>
      </c>
      <c r="F4694" s="2461" t="s">
        <v>1548</v>
      </c>
      <c r="G4694" s="2461" t="s">
        <v>1409</v>
      </c>
      <c r="H4694" s="2461" t="s">
        <v>1540</v>
      </c>
      <c r="I4694" s="2462">
        <v>7.83906858599822E-4</v>
      </c>
      <c r="J4694" s="2462">
        <v>1.3692284316506491</v>
      </c>
    </row>
    <row r="4695" spans="1:10" outlineLevel="2">
      <c r="A4695" s="2459" t="s">
        <v>1669</v>
      </c>
      <c r="B4695" s="2459" t="s">
        <v>1665</v>
      </c>
      <c r="C4695" s="2459" t="s">
        <v>1670</v>
      </c>
      <c r="D4695" s="2460" t="s">
        <v>1671</v>
      </c>
      <c r="E4695" s="2461" t="s">
        <v>1538</v>
      </c>
      <c r="F4695" s="2461" t="s">
        <v>1549</v>
      </c>
      <c r="G4695" s="2461" t="s">
        <v>1409</v>
      </c>
      <c r="H4695" s="2461" t="s">
        <v>1540</v>
      </c>
      <c r="I4695" s="2462">
        <v>1.171850408142732E-4</v>
      </c>
      <c r="J4695" s="2462">
        <v>0.22441657226974734</v>
      </c>
    </row>
    <row r="4696" spans="1:10" outlineLevel="2">
      <c r="A4696" s="2459" t="s">
        <v>1669</v>
      </c>
      <c r="B4696" s="2459" t="s">
        <v>1665</v>
      </c>
      <c r="C4696" s="2459" t="s">
        <v>1670</v>
      </c>
      <c r="D4696" s="2460" t="s">
        <v>1671</v>
      </c>
      <c r="E4696" s="2461" t="s">
        <v>1538</v>
      </c>
      <c r="F4696" s="2461" t="s">
        <v>1550</v>
      </c>
      <c r="G4696" s="2461" t="s">
        <v>1409</v>
      </c>
      <c r="H4696" s="2461" t="s">
        <v>1540</v>
      </c>
      <c r="I4696" s="2462">
        <v>6.4223380967369417E-4</v>
      </c>
      <c r="J4696" s="2462">
        <v>2.3335399665252838</v>
      </c>
    </row>
    <row r="4697" spans="1:10" outlineLevel="2">
      <c r="A4697" s="2459" t="s">
        <v>1669</v>
      </c>
      <c r="B4697" s="2459" t="s">
        <v>1665</v>
      </c>
      <c r="C4697" s="2459" t="s">
        <v>1670</v>
      </c>
      <c r="D4697" s="2460" t="s">
        <v>1671</v>
      </c>
      <c r="E4697" s="2461" t="s">
        <v>1538</v>
      </c>
      <c r="F4697" s="2461" t="s">
        <v>1551</v>
      </c>
      <c r="G4697" s="2461" t="s">
        <v>1409</v>
      </c>
      <c r="H4697" s="2461" t="s">
        <v>1540</v>
      </c>
      <c r="I4697" s="2462">
        <v>5.2909601041447045E-4</v>
      </c>
      <c r="J4697" s="2462">
        <v>5.634989534099609</v>
      </c>
    </row>
    <row r="4698" spans="1:10" outlineLevel="2">
      <c r="A4698" s="2459" t="s">
        <v>1669</v>
      </c>
      <c r="B4698" s="2459" t="s">
        <v>1665</v>
      </c>
      <c r="C4698" s="2459" t="s">
        <v>1670</v>
      </c>
      <c r="D4698" s="2460" t="s">
        <v>1671</v>
      </c>
      <c r="E4698" s="2461" t="s">
        <v>1538</v>
      </c>
      <c r="F4698" s="2461" t="s">
        <v>1552</v>
      </c>
      <c r="G4698" s="2461" t="s">
        <v>1409</v>
      </c>
      <c r="H4698" s="2461" t="s">
        <v>1540</v>
      </c>
      <c r="I4698" s="2462">
        <v>3.7229590804267168E-5</v>
      </c>
      <c r="J4698" s="2462">
        <v>0.59287452815627484</v>
      </c>
    </row>
    <row r="4699" spans="1:10" outlineLevel="2">
      <c r="A4699" s="2459" t="s">
        <v>1669</v>
      </c>
      <c r="B4699" s="2459" t="s">
        <v>1665</v>
      </c>
      <c r="C4699" s="2459" t="s">
        <v>1670</v>
      </c>
      <c r="D4699" s="2460" t="s">
        <v>1671</v>
      </c>
      <c r="E4699" s="2461" t="s">
        <v>1538</v>
      </c>
      <c r="F4699" s="2461" t="s">
        <v>1553</v>
      </c>
      <c r="G4699" s="2461" t="s">
        <v>1409</v>
      </c>
      <c r="H4699" s="2461" t="s">
        <v>1540</v>
      </c>
      <c r="I4699" s="2462">
        <v>2.7609352887794348E-3</v>
      </c>
      <c r="J4699" s="2462">
        <v>5.0757127499812151</v>
      </c>
    </row>
    <row r="4700" spans="1:10" outlineLevel="2">
      <c r="A4700" s="2459" t="s">
        <v>1669</v>
      </c>
      <c r="B4700" s="2459" t="s">
        <v>1665</v>
      </c>
      <c r="C4700" s="2459" t="s">
        <v>1670</v>
      </c>
      <c r="D4700" s="2460" t="s">
        <v>1671</v>
      </c>
      <c r="E4700" s="2461" t="s">
        <v>1538</v>
      </c>
      <c r="F4700" s="2461" t="s">
        <v>1554</v>
      </c>
      <c r="G4700" s="2461" t="s">
        <v>1409</v>
      </c>
      <c r="H4700" s="2461" t="s">
        <v>1540</v>
      </c>
      <c r="I4700" s="2462">
        <v>1.5389423576689595E-3</v>
      </c>
      <c r="J4700" s="2462">
        <v>2.1301352713252579</v>
      </c>
    </row>
    <row r="4701" spans="1:10" outlineLevel="2">
      <c r="A4701" s="2459" t="s">
        <v>1669</v>
      </c>
      <c r="B4701" s="2459" t="s">
        <v>1665</v>
      </c>
      <c r="C4701" s="2459" t="s">
        <v>1670</v>
      </c>
      <c r="D4701" s="2460" t="s">
        <v>1671</v>
      </c>
      <c r="E4701" s="2461" t="s">
        <v>1538</v>
      </c>
      <c r="F4701" s="2461" t="s">
        <v>1555</v>
      </c>
      <c r="G4701" s="2461" t="s">
        <v>1412</v>
      </c>
      <c r="H4701" s="2461" t="s">
        <v>1540</v>
      </c>
      <c r="I4701" s="2462">
        <v>3.9882543866421091E-3</v>
      </c>
      <c r="J4701" s="2462">
        <v>12.277398134538069</v>
      </c>
    </row>
    <row r="4702" spans="1:10" outlineLevel="2">
      <c r="A4702" s="2459" t="s">
        <v>1669</v>
      </c>
      <c r="B4702" s="2459" t="s">
        <v>1665</v>
      </c>
      <c r="C4702" s="2459" t="s">
        <v>1670</v>
      </c>
      <c r="D4702" s="2460" t="s">
        <v>1671</v>
      </c>
      <c r="E4702" s="2461" t="s">
        <v>1538</v>
      </c>
      <c r="F4702" s="2461" t="s">
        <v>1556</v>
      </c>
      <c r="G4702" s="2461" t="s">
        <v>1412</v>
      </c>
      <c r="H4702" s="2461" t="s">
        <v>1540</v>
      </c>
      <c r="I4702" s="2462">
        <v>7.9289157458549753E-2</v>
      </c>
      <c r="J4702" s="2462">
        <v>1116.7641601379914</v>
      </c>
    </row>
    <row r="4703" spans="1:10" outlineLevel="2">
      <c r="A4703" s="2459" t="s">
        <v>1669</v>
      </c>
      <c r="B4703" s="2459" t="s">
        <v>1665</v>
      </c>
      <c r="C4703" s="2459" t="s">
        <v>1670</v>
      </c>
      <c r="D4703" s="2460" t="s">
        <v>1671</v>
      </c>
      <c r="E4703" s="2461" t="s">
        <v>1538</v>
      </c>
      <c r="F4703" s="2461" t="s">
        <v>1557</v>
      </c>
      <c r="G4703" s="2461" t="s">
        <v>1412</v>
      </c>
      <c r="H4703" s="2461" t="s">
        <v>1540</v>
      </c>
      <c r="I4703" s="2462">
        <v>4.7204824508950081E-4</v>
      </c>
      <c r="J4703" s="2462">
        <v>8.3194594241244566</v>
      </c>
    </row>
    <row r="4704" spans="1:10" outlineLevel="2">
      <c r="A4704" s="2459" t="s">
        <v>1669</v>
      </c>
      <c r="B4704" s="2459" t="s">
        <v>1665</v>
      </c>
      <c r="C4704" s="2459" t="s">
        <v>1670</v>
      </c>
      <c r="D4704" s="2460" t="s">
        <v>1671</v>
      </c>
      <c r="E4704" s="2461" t="s">
        <v>1538</v>
      </c>
      <c r="F4704" s="2461" t="s">
        <v>1558</v>
      </c>
      <c r="G4704" s="2461" t="s">
        <v>1412</v>
      </c>
      <c r="H4704" s="2461" t="s">
        <v>1540</v>
      </c>
      <c r="I4704" s="2462">
        <v>1.5790949456047921E-4</v>
      </c>
      <c r="J4704" s="2462">
        <v>2.6242543803902714</v>
      </c>
    </row>
    <row r="4705" spans="1:10" outlineLevel="2">
      <c r="A4705" s="2459" t="s">
        <v>1669</v>
      </c>
      <c r="B4705" s="2459" t="s">
        <v>1665</v>
      </c>
      <c r="C4705" s="2459" t="s">
        <v>1670</v>
      </c>
      <c r="D4705" s="2460" t="s">
        <v>1671</v>
      </c>
      <c r="E4705" s="2461" t="s">
        <v>1538</v>
      </c>
      <c r="F4705" s="2461" t="s">
        <v>1559</v>
      </c>
      <c r="G4705" s="2461" t="s">
        <v>1412</v>
      </c>
      <c r="H4705" s="2461" t="s">
        <v>1540</v>
      </c>
      <c r="I4705" s="2462">
        <v>1.6860800423975267E-4</v>
      </c>
      <c r="J4705" s="2462">
        <v>0.64811261022879463</v>
      </c>
    </row>
    <row r="4706" spans="1:10" outlineLevel="2">
      <c r="A4706" s="2459" t="s">
        <v>1669</v>
      </c>
      <c r="B4706" s="2459" t="s">
        <v>1665</v>
      </c>
      <c r="C4706" s="2459" t="s">
        <v>1670</v>
      </c>
      <c r="D4706" s="2460" t="s">
        <v>1671</v>
      </c>
      <c r="E4706" s="2461" t="s">
        <v>1538</v>
      </c>
      <c r="F4706" s="2461" t="s">
        <v>1560</v>
      </c>
      <c r="G4706" s="2461" t="s">
        <v>1412</v>
      </c>
      <c r="H4706" s="2461" t="s">
        <v>1540</v>
      </c>
      <c r="I4706" s="2462">
        <v>2.3666216434598344E-4</v>
      </c>
      <c r="J4706" s="2462">
        <v>5.1542939979641691</v>
      </c>
    </row>
    <row r="4707" spans="1:10" outlineLevel="2">
      <c r="A4707" s="2459" t="s">
        <v>1669</v>
      </c>
      <c r="B4707" s="2459" t="s">
        <v>1665</v>
      </c>
      <c r="C4707" s="2459" t="s">
        <v>1670</v>
      </c>
      <c r="D4707" s="2460" t="s">
        <v>1671</v>
      </c>
      <c r="E4707" s="2461" t="s">
        <v>1538</v>
      </c>
      <c r="F4707" s="2461" t="s">
        <v>1561</v>
      </c>
      <c r="G4707" s="2461" t="s">
        <v>1439</v>
      </c>
      <c r="H4707" s="2461" t="s">
        <v>1540</v>
      </c>
      <c r="I4707" s="2462">
        <v>3.4095367176083572E-3</v>
      </c>
      <c r="J4707" s="2462">
        <v>51.669134485030476</v>
      </c>
    </row>
    <row r="4708" spans="1:10" outlineLevel="2">
      <c r="A4708" s="2459" t="s">
        <v>1669</v>
      </c>
      <c r="B4708" s="2459" t="s">
        <v>1665</v>
      </c>
      <c r="C4708" s="2459" t="s">
        <v>1670</v>
      </c>
      <c r="D4708" s="2460" t="s">
        <v>1671</v>
      </c>
      <c r="E4708" s="2461" t="s">
        <v>1538</v>
      </c>
      <c r="F4708" s="2461" t="s">
        <v>1562</v>
      </c>
      <c r="G4708" s="2461" t="s">
        <v>1418</v>
      </c>
      <c r="H4708" s="2461" t="s">
        <v>1540</v>
      </c>
      <c r="I4708" s="2462">
        <v>4.6840879154413086E-5</v>
      </c>
      <c r="J4708" s="2462">
        <v>5.9023349090383384E-2</v>
      </c>
    </row>
    <row r="4709" spans="1:10" outlineLevel="2">
      <c r="A4709" s="2459" t="s">
        <v>1669</v>
      </c>
      <c r="B4709" s="2459" t="s">
        <v>1665</v>
      </c>
      <c r="C4709" s="2459" t="s">
        <v>1670</v>
      </c>
      <c r="D4709" s="2460" t="s">
        <v>1671</v>
      </c>
      <c r="E4709" s="2461" t="s">
        <v>1538</v>
      </c>
      <c r="F4709" s="2461" t="s">
        <v>1563</v>
      </c>
      <c r="G4709" s="2461" t="s">
        <v>1418</v>
      </c>
      <c r="H4709" s="2461" t="s">
        <v>1540</v>
      </c>
      <c r="I4709" s="2462">
        <v>6.786812159398245E-6</v>
      </c>
      <c r="J4709" s="2462">
        <v>0.11496089260364746</v>
      </c>
    </row>
    <row r="4710" spans="1:10" outlineLevel="2">
      <c r="A4710" s="2459" t="s">
        <v>1669</v>
      </c>
      <c r="B4710" s="2459" t="s">
        <v>1665</v>
      </c>
      <c r="C4710" s="2459" t="s">
        <v>1670</v>
      </c>
      <c r="D4710" s="2460" t="s">
        <v>1671</v>
      </c>
      <c r="E4710" s="2461" t="s">
        <v>1538</v>
      </c>
      <c r="F4710" s="2461" t="s">
        <v>1564</v>
      </c>
      <c r="G4710" s="2461" t="s">
        <v>1421</v>
      </c>
      <c r="H4710" s="2461" t="s">
        <v>1540</v>
      </c>
      <c r="I4710" s="2462">
        <v>2.8867793448816091E-2</v>
      </c>
      <c r="J4710" s="2462">
        <v>70.879728956194</v>
      </c>
    </row>
    <row r="4711" spans="1:10" outlineLevel="2">
      <c r="A4711" s="2459" t="s">
        <v>1669</v>
      </c>
      <c r="B4711" s="2459" t="s">
        <v>1665</v>
      </c>
      <c r="C4711" s="2459" t="s">
        <v>1670</v>
      </c>
      <c r="D4711" s="2460" t="s">
        <v>1671</v>
      </c>
      <c r="E4711" s="2461" t="s">
        <v>1538</v>
      </c>
      <c r="F4711" s="2461" t="s">
        <v>1565</v>
      </c>
      <c r="G4711" s="2461" t="s">
        <v>1421</v>
      </c>
      <c r="H4711" s="2461" t="s">
        <v>1540</v>
      </c>
      <c r="I4711" s="2462">
        <v>3.39676595162213E-3</v>
      </c>
      <c r="J4711" s="2462">
        <v>15.514682273263995</v>
      </c>
    </row>
    <row r="4712" spans="1:10" outlineLevel="2">
      <c r="A4712" s="2459" t="s">
        <v>1669</v>
      </c>
      <c r="B4712" s="2459" t="s">
        <v>1665</v>
      </c>
      <c r="C4712" s="2459" t="s">
        <v>1670</v>
      </c>
      <c r="D4712" s="2460" t="s">
        <v>1671</v>
      </c>
      <c r="E4712" s="2461" t="s">
        <v>1538</v>
      </c>
      <c r="F4712" s="2461" t="s">
        <v>1566</v>
      </c>
      <c r="G4712" s="2461" t="s">
        <v>1421</v>
      </c>
      <c r="H4712" s="2461" t="s">
        <v>1540</v>
      </c>
      <c r="I4712" s="2462">
        <v>1.7711036677330622E-3</v>
      </c>
      <c r="J4712" s="2462">
        <v>18.116083771949363</v>
      </c>
    </row>
    <row r="4713" spans="1:10" outlineLevel="2">
      <c r="A4713" s="2459" t="s">
        <v>1669</v>
      </c>
      <c r="B4713" s="2459" t="s">
        <v>1665</v>
      </c>
      <c r="C4713" s="2459" t="s">
        <v>1670</v>
      </c>
      <c r="D4713" s="2460" t="s">
        <v>1671</v>
      </c>
      <c r="E4713" s="2461" t="s">
        <v>1538</v>
      </c>
      <c r="F4713" s="2461" t="s">
        <v>1567</v>
      </c>
      <c r="G4713" s="2461" t="s">
        <v>1421</v>
      </c>
      <c r="H4713" s="2461" t="s">
        <v>1540</v>
      </c>
      <c r="I4713" s="2462">
        <v>2.932052280345029E-3</v>
      </c>
      <c r="J4713" s="2462">
        <v>22.515649238682776</v>
      </c>
    </row>
    <row r="4714" spans="1:10" outlineLevel="2">
      <c r="A4714" s="2459" t="s">
        <v>1669</v>
      </c>
      <c r="B4714" s="2459" t="s">
        <v>1665</v>
      </c>
      <c r="C4714" s="2459" t="s">
        <v>1670</v>
      </c>
      <c r="D4714" s="2460" t="s">
        <v>1671</v>
      </c>
      <c r="E4714" s="2461" t="s">
        <v>1538</v>
      </c>
      <c r="F4714" s="2461" t="s">
        <v>1568</v>
      </c>
      <c r="G4714" s="2461" t="s">
        <v>1421</v>
      </c>
      <c r="H4714" s="2461" t="s">
        <v>1540</v>
      </c>
      <c r="I4714" s="2462">
        <v>1.0149633003546671E-4</v>
      </c>
      <c r="J4714" s="2462">
        <v>0.30622529570439744</v>
      </c>
    </row>
    <row r="4715" spans="1:10" outlineLevel="2">
      <c r="A4715" s="2459" t="s">
        <v>1669</v>
      </c>
      <c r="B4715" s="2459" t="s">
        <v>1665</v>
      </c>
      <c r="C4715" s="2459" t="s">
        <v>1670</v>
      </c>
      <c r="D4715" s="2460" t="s">
        <v>1671</v>
      </c>
      <c r="E4715" s="2461" t="s">
        <v>1538</v>
      </c>
      <c r="F4715" s="2461" t="s">
        <v>1569</v>
      </c>
      <c r="G4715" s="2461" t="s">
        <v>1421</v>
      </c>
      <c r="H4715" s="2461" t="s">
        <v>1540</v>
      </c>
      <c r="I4715" s="2462">
        <v>2.4059500457835473E-5</v>
      </c>
      <c r="J4715" s="2462">
        <v>0.27802613422643102</v>
      </c>
    </row>
    <row r="4716" spans="1:10" outlineLevel="2">
      <c r="A4716" s="2459" t="s">
        <v>1669</v>
      </c>
      <c r="B4716" s="2459" t="s">
        <v>1665</v>
      </c>
      <c r="C4716" s="2459" t="s">
        <v>1670</v>
      </c>
      <c r="D4716" s="2460" t="s">
        <v>1671</v>
      </c>
      <c r="E4716" s="2461" t="s">
        <v>1538</v>
      </c>
      <c r="F4716" s="2461" t="s">
        <v>1570</v>
      </c>
      <c r="G4716" s="2461" t="s">
        <v>899</v>
      </c>
      <c r="H4716" s="2461" t="s">
        <v>1540</v>
      </c>
      <c r="I4716" s="2462">
        <v>6.1232288492769743E-7</v>
      </c>
      <c r="J4716" s="2462">
        <v>2.6454453602387162E-3</v>
      </c>
    </row>
    <row r="4717" spans="1:10" outlineLevel="2">
      <c r="A4717" s="2459" t="s">
        <v>1669</v>
      </c>
      <c r="B4717" s="2459" t="s">
        <v>1665</v>
      </c>
      <c r="C4717" s="2459" t="s">
        <v>1670</v>
      </c>
      <c r="D4717" s="2460" t="s">
        <v>1671</v>
      </c>
      <c r="E4717" s="2461" t="s">
        <v>1400</v>
      </c>
      <c r="F4717" s="2461" t="s">
        <v>1571</v>
      </c>
      <c r="G4717" s="2461" t="s">
        <v>215</v>
      </c>
      <c r="H4717" s="2461" t="s">
        <v>1531</v>
      </c>
      <c r="I4717" s="2462">
        <v>0.17652650065103553</v>
      </c>
      <c r="J4717" s="2462">
        <v>6353.3256714988265</v>
      </c>
    </row>
    <row r="4718" spans="1:10" outlineLevel="2">
      <c r="A4718" s="2459" t="s">
        <v>1669</v>
      </c>
      <c r="B4718" s="2459" t="s">
        <v>1665</v>
      </c>
      <c r="C4718" s="2459" t="s">
        <v>1670</v>
      </c>
      <c r="D4718" s="2460" t="s">
        <v>1671</v>
      </c>
      <c r="E4718" s="2461" t="s">
        <v>1400</v>
      </c>
      <c r="F4718" s="2461" t="s">
        <v>1572</v>
      </c>
      <c r="G4718" s="2461" t="s">
        <v>215</v>
      </c>
      <c r="H4718" s="2461" t="s">
        <v>1531</v>
      </c>
      <c r="I4718" s="2462">
        <v>1.581892285298153E-3</v>
      </c>
      <c r="J4718" s="2462">
        <v>30.007597861806904</v>
      </c>
    </row>
    <row r="4719" spans="1:10" outlineLevel="2">
      <c r="A4719" s="2459" t="s">
        <v>1669</v>
      </c>
      <c r="B4719" s="2459" t="s">
        <v>1665</v>
      </c>
      <c r="C4719" s="2459" t="s">
        <v>1670</v>
      </c>
      <c r="D4719" s="2460" t="s">
        <v>1671</v>
      </c>
      <c r="E4719" s="2461" t="s">
        <v>1573</v>
      </c>
      <c r="F4719" s="2461" t="s">
        <v>1574</v>
      </c>
      <c r="G4719" s="2461" t="s">
        <v>1426</v>
      </c>
      <c r="H4719" s="2461" t="s">
        <v>1427</v>
      </c>
      <c r="I4719" s="2462">
        <v>6.215635248705091E-3</v>
      </c>
      <c r="J4719" s="2462">
        <v>153.65929753495624</v>
      </c>
    </row>
    <row r="4720" spans="1:10" outlineLevel="2">
      <c r="A4720" s="2459" t="s">
        <v>1669</v>
      </c>
      <c r="B4720" s="2459" t="s">
        <v>1665</v>
      </c>
      <c r="C4720" s="2459" t="s">
        <v>1670</v>
      </c>
      <c r="D4720" s="2460" t="s">
        <v>1671</v>
      </c>
      <c r="E4720" s="2461" t="s">
        <v>1573</v>
      </c>
      <c r="F4720" s="2461" t="s">
        <v>1575</v>
      </c>
      <c r="G4720" s="2461" t="s">
        <v>1409</v>
      </c>
      <c r="H4720" s="2461" t="s">
        <v>1070</v>
      </c>
      <c r="I4720" s="2462">
        <v>2.4084499734000637E-3</v>
      </c>
      <c r="J4720" s="2462">
        <v>140.46184147120175</v>
      </c>
    </row>
    <row r="4721" spans="1:10" outlineLevel="2">
      <c r="A4721" s="2459" t="s">
        <v>1669</v>
      </c>
      <c r="B4721" s="2459" t="s">
        <v>1665</v>
      </c>
      <c r="C4721" s="2459" t="s">
        <v>1670</v>
      </c>
      <c r="D4721" s="2460" t="s">
        <v>1671</v>
      </c>
      <c r="E4721" s="2461" t="s">
        <v>1573</v>
      </c>
      <c r="F4721" s="2461" t="s">
        <v>1576</v>
      </c>
      <c r="G4721" s="2461" t="s">
        <v>1409</v>
      </c>
      <c r="H4721" s="2461" t="s">
        <v>1070</v>
      </c>
      <c r="I4721" s="2462">
        <v>2.0708568153012422E-5</v>
      </c>
      <c r="J4721" s="2462">
        <v>0.22873909705060702</v>
      </c>
    </row>
    <row r="4722" spans="1:10" outlineLevel="2">
      <c r="A4722" s="2459" t="s">
        <v>1669</v>
      </c>
      <c r="B4722" s="2459" t="s">
        <v>1665</v>
      </c>
      <c r="C4722" s="2459" t="s">
        <v>1670</v>
      </c>
      <c r="D4722" s="2460" t="s">
        <v>1671</v>
      </c>
      <c r="E4722" s="2461" t="s">
        <v>1573</v>
      </c>
      <c r="F4722" s="2461" t="s">
        <v>1577</v>
      </c>
      <c r="G4722" s="2461" t="s">
        <v>1409</v>
      </c>
      <c r="H4722" s="2461" t="s">
        <v>1070</v>
      </c>
      <c r="I4722" s="2462">
        <v>3.0032747882410637E-4</v>
      </c>
      <c r="J4722" s="2462">
        <v>3.7679564436884836</v>
      </c>
    </row>
    <row r="4723" spans="1:10" outlineLevel="2">
      <c r="A4723" s="2459" t="s">
        <v>1669</v>
      </c>
      <c r="B4723" s="2459" t="s">
        <v>1665</v>
      </c>
      <c r="C4723" s="2459" t="s">
        <v>1670</v>
      </c>
      <c r="D4723" s="2460" t="s">
        <v>1671</v>
      </c>
      <c r="E4723" s="2461" t="s">
        <v>1573</v>
      </c>
      <c r="F4723" s="2461" t="s">
        <v>1578</v>
      </c>
      <c r="G4723" s="2461" t="s">
        <v>1409</v>
      </c>
      <c r="H4723" s="2461" t="s">
        <v>1070</v>
      </c>
      <c r="I4723" s="2462">
        <v>6.85828992880619E-3</v>
      </c>
      <c r="J4723" s="2462">
        <v>351.59717895403548</v>
      </c>
    </row>
    <row r="4724" spans="1:10" outlineLevel="2">
      <c r="A4724" s="2459" t="s">
        <v>1669</v>
      </c>
      <c r="B4724" s="2459" t="s">
        <v>1665</v>
      </c>
      <c r="C4724" s="2459" t="s">
        <v>1670</v>
      </c>
      <c r="D4724" s="2460" t="s">
        <v>1671</v>
      </c>
      <c r="E4724" s="2461" t="s">
        <v>1573</v>
      </c>
      <c r="F4724" s="2461" t="s">
        <v>1579</v>
      </c>
      <c r="G4724" s="2461" t="s">
        <v>1409</v>
      </c>
      <c r="H4724" s="2461" t="s">
        <v>1070</v>
      </c>
      <c r="I4724" s="2462">
        <v>5.2063151485724352E-3</v>
      </c>
      <c r="J4724" s="2462">
        <v>382.56160888891679</v>
      </c>
    </row>
    <row r="4725" spans="1:10" outlineLevel="2">
      <c r="A4725" s="2459" t="s">
        <v>1669</v>
      </c>
      <c r="B4725" s="2459" t="s">
        <v>1665</v>
      </c>
      <c r="C4725" s="2459" t="s">
        <v>1670</v>
      </c>
      <c r="D4725" s="2460" t="s">
        <v>1671</v>
      </c>
      <c r="E4725" s="2461" t="s">
        <v>1573</v>
      </c>
      <c r="F4725" s="2461" t="s">
        <v>1580</v>
      </c>
      <c r="G4725" s="2461" t="s">
        <v>1409</v>
      </c>
      <c r="H4725" s="2461" t="s">
        <v>1070</v>
      </c>
      <c r="I4725" s="2462">
        <v>5.882045688434727E-4</v>
      </c>
      <c r="J4725" s="2462">
        <v>21.124332963652193</v>
      </c>
    </row>
    <row r="4726" spans="1:10" outlineLevel="2">
      <c r="A4726" s="2459" t="s">
        <v>1669</v>
      </c>
      <c r="B4726" s="2459" t="s">
        <v>1665</v>
      </c>
      <c r="C4726" s="2459" t="s">
        <v>1670</v>
      </c>
      <c r="D4726" s="2460" t="s">
        <v>1671</v>
      </c>
      <c r="E4726" s="2461" t="s">
        <v>1573</v>
      </c>
      <c r="F4726" s="2461" t="s">
        <v>1581</v>
      </c>
      <c r="G4726" s="2461" t="s">
        <v>1409</v>
      </c>
      <c r="H4726" s="2461" t="s">
        <v>1070</v>
      </c>
      <c r="I4726" s="2462">
        <v>3.1286075816665119E-4</v>
      </c>
      <c r="J4726" s="2462">
        <v>14.384760265497212</v>
      </c>
    </row>
    <row r="4727" spans="1:10" outlineLevel="2">
      <c r="A4727" s="2459" t="s">
        <v>1669</v>
      </c>
      <c r="B4727" s="2459" t="s">
        <v>1665</v>
      </c>
      <c r="C4727" s="2459" t="s">
        <v>1670</v>
      </c>
      <c r="D4727" s="2460" t="s">
        <v>1671</v>
      </c>
      <c r="E4727" s="2461" t="s">
        <v>1573</v>
      </c>
      <c r="F4727" s="2461" t="s">
        <v>1582</v>
      </c>
      <c r="G4727" s="2461" t="s">
        <v>1409</v>
      </c>
      <c r="H4727" s="2461" t="s">
        <v>1070</v>
      </c>
      <c r="I4727" s="2462">
        <v>1.6628428028239526E-3</v>
      </c>
      <c r="J4727" s="2462">
        <v>39.501940831424115</v>
      </c>
    </row>
    <row r="4728" spans="1:10" outlineLevel="2">
      <c r="A4728" s="2459" t="s">
        <v>1669</v>
      </c>
      <c r="B4728" s="2459" t="s">
        <v>1665</v>
      </c>
      <c r="C4728" s="2459" t="s">
        <v>1670</v>
      </c>
      <c r="D4728" s="2460" t="s">
        <v>1671</v>
      </c>
      <c r="E4728" s="2461" t="s">
        <v>1573</v>
      </c>
      <c r="F4728" s="2461" t="s">
        <v>1583</v>
      </c>
      <c r="G4728" s="2461" t="s">
        <v>1409</v>
      </c>
      <c r="H4728" s="2461" t="s">
        <v>1070</v>
      </c>
      <c r="I4728" s="2462">
        <v>4.7668946959905671E-3</v>
      </c>
      <c r="J4728" s="2462">
        <v>169.03926950312632</v>
      </c>
    </row>
    <row r="4729" spans="1:10" outlineLevel="2">
      <c r="A4729" s="2459" t="s">
        <v>1669</v>
      </c>
      <c r="B4729" s="2459" t="s">
        <v>1665</v>
      </c>
      <c r="C4729" s="2459" t="s">
        <v>1670</v>
      </c>
      <c r="D4729" s="2460" t="s">
        <v>1671</v>
      </c>
      <c r="E4729" s="2461" t="s">
        <v>1573</v>
      </c>
      <c r="F4729" s="2461" t="s">
        <v>1584</v>
      </c>
      <c r="G4729" s="2461" t="s">
        <v>1409</v>
      </c>
      <c r="H4729" s="2461" t="s">
        <v>1070</v>
      </c>
      <c r="I4729" s="2462">
        <v>3.3700379710580107E-3</v>
      </c>
      <c r="J4729" s="2462">
        <v>185.59462139672652</v>
      </c>
    </row>
    <row r="4730" spans="1:10" outlineLevel="2">
      <c r="A4730" s="2459" t="s">
        <v>1669</v>
      </c>
      <c r="B4730" s="2459" t="s">
        <v>1665</v>
      </c>
      <c r="C4730" s="2459" t="s">
        <v>1670</v>
      </c>
      <c r="D4730" s="2460" t="s">
        <v>1671</v>
      </c>
      <c r="E4730" s="2461" t="s">
        <v>1573</v>
      </c>
      <c r="F4730" s="2461" t="s">
        <v>1585</v>
      </c>
      <c r="G4730" s="2461" t="s">
        <v>1409</v>
      </c>
      <c r="H4730" s="2461" t="s">
        <v>1070</v>
      </c>
      <c r="I4730" s="2462">
        <v>1.8476105972733491E-2</v>
      </c>
      <c r="J4730" s="2462">
        <v>1425.0839888333637</v>
      </c>
    </row>
    <row r="4731" spans="1:10" outlineLevel="2">
      <c r="A4731" s="2459" t="s">
        <v>1669</v>
      </c>
      <c r="B4731" s="2459" t="s">
        <v>1665</v>
      </c>
      <c r="C4731" s="2459" t="s">
        <v>1670</v>
      </c>
      <c r="D4731" s="2460" t="s">
        <v>1671</v>
      </c>
      <c r="E4731" s="2461" t="s">
        <v>1573</v>
      </c>
      <c r="F4731" s="2461" t="s">
        <v>1586</v>
      </c>
      <c r="G4731" s="2461" t="s">
        <v>1409</v>
      </c>
      <c r="H4731" s="2461" t="s">
        <v>1070</v>
      </c>
      <c r="I4731" s="2462">
        <v>3.9078367064947575E-4</v>
      </c>
      <c r="J4731" s="2462">
        <v>11.849743008753066</v>
      </c>
    </row>
    <row r="4732" spans="1:10" outlineLevel="2">
      <c r="A4732" s="2459" t="s">
        <v>1669</v>
      </c>
      <c r="B4732" s="2459" t="s">
        <v>1665</v>
      </c>
      <c r="C4732" s="2459" t="s">
        <v>1670</v>
      </c>
      <c r="D4732" s="2460" t="s">
        <v>1671</v>
      </c>
      <c r="E4732" s="2461" t="s">
        <v>1573</v>
      </c>
      <c r="F4732" s="2461" t="s">
        <v>1587</v>
      </c>
      <c r="G4732" s="2461" t="s">
        <v>1409</v>
      </c>
      <c r="H4732" s="2461" t="s">
        <v>1070</v>
      </c>
      <c r="I4732" s="2462">
        <v>1.538948648085785E-4</v>
      </c>
      <c r="J4732" s="2462">
        <v>7.2556222979962843</v>
      </c>
    </row>
    <row r="4733" spans="1:10" outlineLevel="2">
      <c r="A4733" s="2459" t="s">
        <v>1669</v>
      </c>
      <c r="B4733" s="2459" t="s">
        <v>1665</v>
      </c>
      <c r="C4733" s="2459" t="s">
        <v>1670</v>
      </c>
      <c r="D4733" s="2460" t="s">
        <v>1671</v>
      </c>
      <c r="E4733" s="2461" t="s">
        <v>1573</v>
      </c>
      <c r="F4733" s="2461" t="s">
        <v>1588</v>
      </c>
      <c r="G4733" s="2461" t="s">
        <v>1409</v>
      </c>
      <c r="H4733" s="2461" t="s">
        <v>1070</v>
      </c>
      <c r="I4733" s="2462">
        <v>5.4520140231201133E-3</v>
      </c>
      <c r="J4733" s="2462">
        <v>325.73760621931945</v>
      </c>
    </row>
    <row r="4734" spans="1:10" outlineLevel="2">
      <c r="A4734" s="2459" t="s">
        <v>1669</v>
      </c>
      <c r="B4734" s="2459" t="s">
        <v>1665</v>
      </c>
      <c r="C4734" s="2459" t="s">
        <v>1670</v>
      </c>
      <c r="D4734" s="2460" t="s">
        <v>1671</v>
      </c>
      <c r="E4734" s="2461" t="s">
        <v>1573</v>
      </c>
      <c r="F4734" s="2461" t="s">
        <v>1589</v>
      </c>
      <c r="G4734" s="2461" t="s">
        <v>1409</v>
      </c>
      <c r="H4734" s="2461" t="s">
        <v>1070</v>
      </c>
      <c r="I4734" s="2462">
        <v>4.6871718238050654E-3</v>
      </c>
      <c r="J4734" s="2462">
        <v>354.56958625589698</v>
      </c>
    </row>
    <row r="4735" spans="1:10" outlineLevel="2">
      <c r="A4735" s="2459" t="s">
        <v>1669</v>
      </c>
      <c r="B4735" s="2459" t="s">
        <v>1665</v>
      </c>
      <c r="C4735" s="2459" t="s">
        <v>1670</v>
      </c>
      <c r="D4735" s="2460" t="s">
        <v>1671</v>
      </c>
      <c r="E4735" s="2461" t="s">
        <v>1573</v>
      </c>
      <c r="F4735" s="2461" t="s">
        <v>1590</v>
      </c>
      <c r="G4735" s="2461" t="s">
        <v>1409</v>
      </c>
      <c r="H4735" s="2461" t="s">
        <v>1070</v>
      </c>
      <c r="I4735" s="2462">
        <v>1.7113310733218246E-2</v>
      </c>
      <c r="J4735" s="2462">
        <v>1219.669244315128</v>
      </c>
    </row>
    <row r="4736" spans="1:10" outlineLevel="2">
      <c r="A4736" s="2459" t="s">
        <v>1669</v>
      </c>
      <c r="B4736" s="2459" t="s">
        <v>1665</v>
      </c>
      <c r="C4736" s="2459" t="s">
        <v>1670</v>
      </c>
      <c r="D4736" s="2460" t="s">
        <v>1671</v>
      </c>
      <c r="E4736" s="2461" t="s">
        <v>1573</v>
      </c>
      <c r="F4736" s="2461" t="s">
        <v>1591</v>
      </c>
      <c r="G4736" s="2461" t="s">
        <v>1409</v>
      </c>
      <c r="H4736" s="2461" t="s">
        <v>1070</v>
      </c>
      <c r="I4736" s="2462">
        <v>1.1779967101835061E-3</v>
      </c>
      <c r="J4736" s="2462">
        <v>57.350990822346361</v>
      </c>
    </row>
    <row r="4737" spans="1:10" outlineLevel="2">
      <c r="A4737" s="2459" t="s">
        <v>1669</v>
      </c>
      <c r="B4737" s="2459" t="s">
        <v>1665</v>
      </c>
      <c r="C4737" s="2459" t="s">
        <v>1670</v>
      </c>
      <c r="D4737" s="2460" t="s">
        <v>1671</v>
      </c>
      <c r="E4737" s="2461" t="s">
        <v>1573</v>
      </c>
      <c r="F4737" s="2461" t="s">
        <v>1592</v>
      </c>
      <c r="G4737" s="2461" t="s">
        <v>1409</v>
      </c>
      <c r="H4737" s="2461" t="s">
        <v>1070</v>
      </c>
      <c r="I4737" s="2462">
        <v>9.9054393165782049E-3</v>
      </c>
      <c r="J4737" s="2462">
        <v>456.1962333209085</v>
      </c>
    </row>
    <row r="4738" spans="1:10" outlineLevel="2">
      <c r="A4738" s="2459" t="s">
        <v>1669</v>
      </c>
      <c r="B4738" s="2459" t="s">
        <v>1665</v>
      </c>
      <c r="C4738" s="2459" t="s">
        <v>1670</v>
      </c>
      <c r="D4738" s="2460" t="s">
        <v>1671</v>
      </c>
      <c r="E4738" s="2461" t="s">
        <v>1573</v>
      </c>
      <c r="F4738" s="2461" t="s">
        <v>1593</v>
      </c>
      <c r="G4738" s="2461" t="s">
        <v>1409</v>
      </c>
      <c r="H4738" s="2461" t="s">
        <v>1070</v>
      </c>
      <c r="I4738" s="2462">
        <v>2.4202025773439512E-2</v>
      </c>
      <c r="J4738" s="2462">
        <v>1550.9802527052227</v>
      </c>
    </row>
    <row r="4739" spans="1:10" outlineLevel="2">
      <c r="A4739" s="2459" t="s">
        <v>1669</v>
      </c>
      <c r="B4739" s="2459" t="s">
        <v>1665</v>
      </c>
      <c r="C4739" s="2459" t="s">
        <v>1670</v>
      </c>
      <c r="D4739" s="2460" t="s">
        <v>1671</v>
      </c>
      <c r="E4739" s="2461" t="s">
        <v>1573</v>
      </c>
      <c r="F4739" s="2461" t="s">
        <v>1594</v>
      </c>
      <c r="G4739" s="2461" t="s">
        <v>1409</v>
      </c>
      <c r="H4739" s="2461" t="s">
        <v>1070</v>
      </c>
      <c r="I4739" s="2462">
        <v>5.3008383377246573E-2</v>
      </c>
      <c r="J4739" s="2462">
        <v>1040.495515939989</v>
      </c>
    </row>
    <row r="4740" spans="1:10" outlineLevel="2">
      <c r="A4740" s="2459" t="s">
        <v>1669</v>
      </c>
      <c r="B4740" s="2459" t="s">
        <v>1665</v>
      </c>
      <c r="C4740" s="2459" t="s">
        <v>1670</v>
      </c>
      <c r="D4740" s="2460" t="s">
        <v>1671</v>
      </c>
      <c r="E4740" s="2461" t="s">
        <v>1573</v>
      </c>
      <c r="F4740" s="2461" t="s">
        <v>1595</v>
      </c>
      <c r="G4740" s="2461" t="s">
        <v>1409</v>
      </c>
      <c r="H4740" s="2461" t="s">
        <v>1070</v>
      </c>
      <c r="I4740" s="2462">
        <v>1.948992637653929E-2</v>
      </c>
      <c r="J4740" s="2462">
        <v>1418.8186795640713</v>
      </c>
    </row>
    <row r="4741" spans="1:10" outlineLevel="2">
      <c r="A4741" s="2459" t="s">
        <v>1669</v>
      </c>
      <c r="B4741" s="2459" t="s">
        <v>1665</v>
      </c>
      <c r="C4741" s="2459" t="s">
        <v>1670</v>
      </c>
      <c r="D4741" s="2460" t="s">
        <v>1671</v>
      </c>
      <c r="E4741" s="2461" t="s">
        <v>1573</v>
      </c>
      <c r="F4741" s="2461" t="s">
        <v>1596</v>
      </c>
      <c r="G4741" s="2461" t="s">
        <v>1409</v>
      </c>
      <c r="H4741" s="2461" t="s">
        <v>1070</v>
      </c>
      <c r="I4741" s="2462">
        <v>3.5487360955003176E-2</v>
      </c>
      <c r="J4741" s="2462">
        <v>816.73603444458604</v>
      </c>
    </row>
    <row r="4742" spans="1:10" outlineLevel="2">
      <c r="A4742" s="2459" t="s">
        <v>1669</v>
      </c>
      <c r="B4742" s="2459" t="s">
        <v>1665</v>
      </c>
      <c r="C4742" s="2459" t="s">
        <v>1670</v>
      </c>
      <c r="D4742" s="2460" t="s">
        <v>1671</v>
      </c>
      <c r="E4742" s="2461" t="s">
        <v>1573</v>
      </c>
      <c r="F4742" s="2461" t="s">
        <v>1597</v>
      </c>
      <c r="G4742" s="2461" t="s">
        <v>1409</v>
      </c>
      <c r="H4742" s="2461" t="s">
        <v>1070</v>
      </c>
      <c r="I4742" s="2462">
        <v>2.0831770998995143E-3</v>
      </c>
      <c r="J4742" s="2462">
        <v>152.2410141843412</v>
      </c>
    </row>
    <row r="4743" spans="1:10" outlineLevel="2">
      <c r="A4743" s="2459" t="s">
        <v>1669</v>
      </c>
      <c r="B4743" s="2459" t="s">
        <v>1665</v>
      </c>
      <c r="C4743" s="2459" t="s">
        <v>1670</v>
      </c>
      <c r="D4743" s="2460" t="s">
        <v>1671</v>
      </c>
      <c r="E4743" s="2461" t="s">
        <v>1573</v>
      </c>
      <c r="F4743" s="2461" t="s">
        <v>1598</v>
      </c>
      <c r="G4743" s="2461" t="s">
        <v>1409</v>
      </c>
      <c r="H4743" s="2461" t="s">
        <v>1070</v>
      </c>
      <c r="I4743" s="2462">
        <v>1.0819849521456923E-4</v>
      </c>
      <c r="J4743" s="2462">
        <v>2.4977153323182679</v>
      </c>
    </row>
    <row r="4744" spans="1:10" outlineLevel="2">
      <c r="A4744" s="2459" t="s">
        <v>1669</v>
      </c>
      <c r="B4744" s="2459" t="s">
        <v>1665</v>
      </c>
      <c r="C4744" s="2459" t="s">
        <v>1670</v>
      </c>
      <c r="D4744" s="2460" t="s">
        <v>1671</v>
      </c>
      <c r="E4744" s="2461" t="s">
        <v>1573</v>
      </c>
      <c r="F4744" s="2461" t="s">
        <v>1599</v>
      </c>
      <c r="G4744" s="2461" t="s">
        <v>1409</v>
      </c>
      <c r="H4744" s="2461" t="s">
        <v>1070</v>
      </c>
      <c r="I4744" s="2462">
        <v>2.9539177886109776E-3</v>
      </c>
      <c r="J4744" s="2462">
        <v>158.80231655539288</v>
      </c>
    </row>
    <row r="4745" spans="1:10" outlineLevel="2">
      <c r="A4745" s="2459" t="s">
        <v>1669</v>
      </c>
      <c r="B4745" s="2459" t="s">
        <v>1665</v>
      </c>
      <c r="C4745" s="2459" t="s">
        <v>1670</v>
      </c>
      <c r="D4745" s="2460" t="s">
        <v>1671</v>
      </c>
      <c r="E4745" s="2461" t="s">
        <v>1573</v>
      </c>
      <c r="F4745" s="2461" t="s">
        <v>1600</v>
      </c>
      <c r="G4745" s="2461" t="s">
        <v>1412</v>
      </c>
      <c r="H4745" s="2461" t="s">
        <v>1116</v>
      </c>
      <c r="I4745" s="2462">
        <v>8.298209319633575E-4</v>
      </c>
      <c r="J4745" s="2462">
        <v>20.07557797741941</v>
      </c>
    </row>
    <row r="4746" spans="1:10" outlineLevel="2">
      <c r="A4746" s="2459" t="s">
        <v>1669</v>
      </c>
      <c r="B4746" s="2459" t="s">
        <v>1665</v>
      </c>
      <c r="C4746" s="2459" t="s">
        <v>1670</v>
      </c>
      <c r="D4746" s="2460" t="s">
        <v>1671</v>
      </c>
      <c r="E4746" s="2461" t="s">
        <v>1573</v>
      </c>
      <c r="F4746" s="2461" t="s">
        <v>1601</v>
      </c>
      <c r="G4746" s="2461" t="s">
        <v>1412</v>
      </c>
      <c r="H4746" s="2461" t="s">
        <v>1116</v>
      </c>
      <c r="I4746" s="2462">
        <v>4.1297128538697724E-3</v>
      </c>
      <c r="J4746" s="2462">
        <v>291.24847921822715</v>
      </c>
    </row>
    <row r="4747" spans="1:10" outlineLevel="2">
      <c r="A4747" s="2459" t="s">
        <v>1669</v>
      </c>
      <c r="B4747" s="2459" t="s">
        <v>1665</v>
      </c>
      <c r="C4747" s="2459" t="s">
        <v>1670</v>
      </c>
      <c r="D4747" s="2460" t="s">
        <v>1671</v>
      </c>
      <c r="E4747" s="2461" t="s">
        <v>1573</v>
      </c>
      <c r="F4747" s="2461" t="s">
        <v>1602</v>
      </c>
      <c r="G4747" s="2461" t="s">
        <v>1412</v>
      </c>
      <c r="H4747" s="2461" t="s">
        <v>1116</v>
      </c>
      <c r="I4747" s="2462">
        <v>2.4259889320697196E-3</v>
      </c>
      <c r="J4747" s="2462">
        <v>127.2113202456753</v>
      </c>
    </row>
    <row r="4748" spans="1:10" outlineLevel="2">
      <c r="A4748" s="2459" t="s">
        <v>1669</v>
      </c>
      <c r="B4748" s="2459" t="s">
        <v>1665</v>
      </c>
      <c r="C4748" s="2459" t="s">
        <v>1670</v>
      </c>
      <c r="D4748" s="2460" t="s">
        <v>1671</v>
      </c>
      <c r="E4748" s="2461" t="s">
        <v>1573</v>
      </c>
      <c r="F4748" s="2461" t="s">
        <v>1603</v>
      </c>
      <c r="G4748" s="2461" t="s">
        <v>1412</v>
      </c>
      <c r="H4748" s="2461" t="s">
        <v>1116</v>
      </c>
      <c r="I4748" s="2462">
        <v>2.8715849552005705E-3</v>
      </c>
      <c r="J4748" s="2462">
        <v>128.99726048964169</v>
      </c>
    </row>
    <row r="4749" spans="1:10" outlineLevel="2">
      <c r="A4749" s="2459" t="s">
        <v>1669</v>
      </c>
      <c r="B4749" s="2459" t="s">
        <v>1665</v>
      </c>
      <c r="C4749" s="2459" t="s">
        <v>1670</v>
      </c>
      <c r="D4749" s="2460" t="s">
        <v>1671</v>
      </c>
      <c r="E4749" s="2461" t="s">
        <v>1573</v>
      </c>
      <c r="F4749" s="2461" t="s">
        <v>1604</v>
      </c>
      <c r="G4749" s="2461" t="s">
        <v>1412</v>
      </c>
      <c r="H4749" s="2461" t="s">
        <v>1116</v>
      </c>
      <c r="I4749" s="2462">
        <v>1.8187317917966263E-4</v>
      </c>
      <c r="J4749" s="2462">
        <v>4.9749305857432979</v>
      </c>
    </row>
    <row r="4750" spans="1:10" outlineLevel="2">
      <c r="A4750" s="2459" t="s">
        <v>1669</v>
      </c>
      <c r="B4750" s="2459" t="s">
        <v>1665</v>
      </c>
      <c r="C4750" s="2459" t="s">
        <v>1670</v>
      </c>
      <c r="D4750" s="2460" t="s">
        <v>1671</v>
      </c>
      <c r="E4750" s="2461" t="s">
        <v>1573</v>
      </c>
      <c r="F4750" s="2461" t="s">
        <v>1605</v>
      </c>
      <c r="G4750" s="2461" t="s">
        <v>1412</v>
      </c>
      <c r="H4750" s="2461" t="s">
        <v>1116</v>
      </c>
      <c r="I4750" s="2462">
        <v>2.5725960718461199E-2</v>
      </c>
      <c r="J4750" s="2462">
        <v>845.51963284896317</v>
      </c>
    </row>
    <row r="4751" spans="1:10" outlineLevel="2">
      <c r="A4751" s="2459" t="s">
        <v>1669</v>
      </c>
      <c r="B4751" s="2459" t="s">
        <v>1665</v>
      </c>
      <c r="C4751" s="2459" t="s">
        <v>1670</v>
      </c>
      <c r="D4751" s="2460" t="s">
        <v>1671</v>
      </c>
      <c r="E4751" s="2461" t="s">
        <v>1573</v>
      </c>
      <c r="F4751" s="2461" t="s">
        <v>1606</v>
      </c>
      <c r="G4751" s="2461" t="s">
        <v>1412</v>
      </c>
      <c r="H4751" s="2461" t="s">
        <v>1116</v>
      </c>
      <c r="I4751" s="2462">
        <v>2.2643396578682332E-3</v>
      </c>
      <c r="J4751" s="2462">
        <v>183.563399634978</v>
      </c>
    </row>
    <row r="4752" spans="1:10" outlineLevel="2">
      <c r="A4752" s="2459" t="s">
        <v>1669</v>
      </c>
      <c r="B4752" s="2459" t="s">
        <v>1665</v>
      </c>
      <c r="C4752" s="2459" t="s">
        <v>1670</v>
      </c>
      <c r="D4752" s="2460" t="s">
        <v>1671</v>
      </c>
      <c r="E4752" s="2461" t="s">
        <v>1573</v>
      </c>
      <c r="F4752" s="2461" t="s">
        <v>1607</v>
      </c>
      <c r="G4752" s="2461" t="s">
        <v>1439</v>
      </c>
      <c r="H4752" s="2461" t="s">
        <v>1440</v>
      </c>
      <c r="I4752" s="2462">
        <v>2.4205043883619344E-6</v>
      </c>
      <c r="J4752" s="2462">
        <v>6.0667229383580074E-2</v>
      </c>
    </row>
    <row r="4753" spans="1:10" outlineLevel="2">
      <c r="A4753" s="2459" t="s">
        <v>1669</v>
      </c>
      <c r="B4753" s="2459" t="s">
        <v>1665</v>
      </c>
      <c r="C4753" s="2459" t="s">
        <v>1670</v>
      </c>
      <c r="D4753" s="2460" t="s">
        <v>1671</v>
      </c>
      <c r="E4753" s="2461" t="s">
        <v>1573</v>
      </c>
      <c r="F4753" s="2461" t="s">
        <v>1609</v>
      </c>
      <c r="G4753" s="2461" t="s">
        <v>1439</v>
      </c>
      <c r="H4753" s="2461" t="s">
        <v>1440</v>
      </c>
      <c r="I4753" s="2462">
        <v>1.9142899022900933E-2</v>
      </c>
      <c r="J4753" s="2462">
        <v>425.26234479851456</v>
      </c>
    </row>
    <row r="4754" spans="1:10" outlineLevel="2">
      <c r="A4754" s="2459" t="s">
        <v>1669</v>
      </c>
      <c r="B4754" s="2459" t="s">
        <v>1665</v>
      </c>
      <c r="C4754" s="2459" t="s">
        <v>1670</v>
      </c>
      <c r="D4754" s="2460" t="s">
        <v>1671</v>
      </c>
      <c r="E4754" s="2461" t="s">
        <v>1573</v>
      </c>
      <c r="F4754" s="2461" t="s">
        <v>1610</v>
      </c>
      <c r="G4754" s="2461" t="s">
        <v>1439</v>
      </c>
      <c r="H4754" s="2461" t="s">
        <v>1440</v>
      </c>
      <c r="I4754" s="2462">
        <v>5.0342437946641495E-3</v>
      </c>
      <c r="J4754" s="2462">
        <v>87.787665803856044</v>
      </c>
    </row>
    <row r="4755" spans="1:10" outlineLevel="2">
      <c r="A4755" s="2459" t="s">
        <v>1669</v>
      </c>
      <c r="B4755" s="2459" t="s">
        <v>1665</v>
      </c>
      <c r="C4755" s="2459" t="s">
        <v>1670</v>
      </c>
      <c r="D4755" s="2460" t="s">
        <v>1671</v>
      </c>
      <c r="E4755" s="2461" t="s">
        <v>1573</v>
      </c>
      <c r="F4755" s="2461" t="s">
        <v>1611</v>
      </c>
      <c r="G4755" s="2461" t="s">
        <v>1439</v>
      </c>
      <c r="H4755" s="2461" t="s">
        <v>1440</v>
      </c>
      <c r="I4755" s="2462">
        <v>1.1898980986702843E-2</v>
      </c>
      <c r="J4755" s="2462">
        <v>579.71733598499418</v>
      </c>
    </row>
    <row r="4756" spans="1:10" outlineLevel="2">
      <c r="A4756" s="2459" t="s">
        <v>1669</v>
      </c>
      <c r="B4756" s="2459" t="s">
        <v>1665</v>
      </c>
      <c r="C4756" s="2459" t="s">
        <v>1670</v>
      </c>
      <c r="D4756" s="2460" t="s">
        <v>1671</v>
      </c>
      <c r="E4756" s="2461" t="s">
        <v>1573</v>
      </c>
      <c r="F4756" s="2461" t="s">
        <v>1612</v>
      </c>
      <c r="G4756" s="2461" t="s">
        <v>1439</v>
      </c>
      <c r="H4756" s="2461" t="s">
        <v>1440</v>
      </c>
      <c r="I4756" s="2462">
        <v>2.0406242793093625E-3</v>
      </c>
      <c r="J4756" s="2462">
        <v>68.305297045295632</v>
      </c>
    </row>
    <row r="4757" spans="1:10" outlineLevel="2">
      <c r="A4757" s="2459" t="s">
        <v>1669</v>
      </c>
      <c r="B4757" s="2459" t="s">
        <v>1665</v>
      </c>
      <c r="C4757" s="2459" t="s">
        <v>1670</v>
      </c>
      <c r="D4757" s="2460" t="s">
        <v>1671</v>
      </c>
      <c r="E4757" s="2461" t="s">
        <v>1573</v>
      </c>
      <c r="F4757" s="2461" t="s">
        <v>1613</v>
      </c>
      <c r="G4757" s="2461" t="s">
        <v>1439</v>
      </c>
      <c r="H4757" s="2461" t="s">
        <v>1440</v>
      </c>
      <c r="I4757" s="2462">
        <v>5.7371859469934604E-5</v>
      </c>
      <c r="J4757" s="2462">
        <v>1.7344213004758249</v>
      </c>
    </row>
    <row r="4758" spans="1:10" outlineLevel="2">
      <c r="A4758" s="2459" t="s">
        <v>1669</v>
      </c>
      <c r="B4758" s="2459" t="s">
        <v>1665</v>
      </c>
      <c r="C4758" s="2459" t="s">
        <v>1670</v>
      </c>
      <c r="D4758" s="2460" t="s">
        <v>1671</v>
      </c>
      <c r="E4758" s="2461" t="s">
        <v>1573</v>
      </c>
      <c r="F4758" s="2461" t="s">
        <v>1614</v>
      </c>
      <c r="G4758" s="2461" t="s">
        <v>1418</v>
      </c>
      <c r="H4758" s="2461" t="s">
        <v>1452</v>
      </c>
      <c r="I4758" s="2462">
        <v>1.3477229834683533E-5</v>
      </c>
      <c r="J4758" s="2462">
        <v>0.11519531564098313</v>
      </c>
    </row>
    <row r="4759" spans="1:10" outlineLevel="2">
      <c r="A4759" s="2459" t="s">
        <v>1669</v>
      </c>
      <c r="B4759" s="2459" t="s">
        <v>1665</v>
      </c>
      <c r="C4759" s="2459" t="s">
        <v>1670</v>
      </c>
      <c r="D4759" s="2460" t="s">
        <v>1671</v>
      </c>
      <c r="E4759" s="2461" t="s">
        <v>1573</v>
      </c>
      <c r="F4759" s="2461" t="s">
        <v>1615</v>
      </c>
      <c r="G4759" s="2461" t="s">
        <v>1418</v>
      </c>
      <c r="H4759" s="2461" t="s">
        <v>1452</v>
      </c>
      <c r="I4759" s="2462">
        <v>8.1524114494793534E-2</v>
      </c>
      <c r="J4759" s="2462">
        <v>4783.1608283073983</v>
      </c>
    </row>
    <row r="4760" spans="1:10" outlineLevel="2">
      <c r="A4760" s="2459" t="s">
        <v>1669</v>
      </c>
      <c r="B4760" s="2459" t="s">
        <v>1665</v>
      </c>
      <c r="C4760" s="2459" t="s">
        <v>1670</v>
      </c>
      <c r="D4760" s="2460" t="s">
        <v>1671</v>
      </c>
      <c r="E4760" s="2461" t="s">
        <v>1573</v>
      </c>
      <c r="F4760" s="2461" t="s">
        <v>1616</v>
      </c>
      <c r="G4760" s="2461" t="s">
        <v>1418</v>
      </c>
      <c r="H4760" s="2461" t="s">
        <v>1452</v>
      </c>
      <c r="I4760" s="2462">
        <v>3.8910639162765969E-3</v>
      </c>
      <c r="J4760" s="2462">
        <v>428.85118043297587</v>
      </c>
    </row>
    <row r="4761" spans="1:10" outlineLevel="2">
      <c r="A4761" s="2459" t="s">
        <v>1669</v>
      </c>
      <c r="B4761" s="2459" t="s">
        <v>1665</v>
      </c>
      <c r="C4761" s="2459" t="s">
        <v>1670</v>
      </c>
      <c r="D4761" s="2460" t="s">
        <v>1671</v>
      </c>
      <c r="E4761" s="2461" t="s">
        <v>1573</v>
      </c>
      <c r="F4761" s="2461" t="s">
        <v>1617</v>
      </c>
      <c r="G4761" s="2461" t="s">
        <v>1418</v>
      </c>
      <c r="H4761" s="2461" t="s">
        <v>1452</v>
      </c>
      <c r="I4761" s="2462">
        <v>3.0907000527163966E-5</v>
      </c>
      <c r="J4761" s="2462">
        <v>2.3737218424844451</v>
      </c>
    </row>
    <row r="4762" spans="1:10" outlineLevel="2">
      <c r="A4762" s="2459" t="s">
        <v>1669</v>
      </c>
      <c r="B4762" s="2459" t="s">
        <v>1665</v>
      </c>
      <c r="C4762" s="2459" t="s">
        <v>1670</v>
      </c>
      <c r="D4762" s="2460" t="s">
        <v>1671</v>
      </c>
      <c r="E4762" s="2461" t="s">
        <v>1573</v>
      </c>
      <c r="F4762" s="2461" t="s">
        <v>1618</v>
      </c>
      <c r="G4762" s="2461" t="s">
        <v>1418</v>
      </c>
      <c r="H4762" s="2461" t="s">
        <v>1452</v>
      </c>
      <c r="I4762" s="2462">
        <v>6.0248768656712998E-6</v>
      </c>
      <c r="J4762" s="2462">
        <v>0.49864633267047831</v>
      </c>
    </row>
    <row r="4763" spans="1:10" outlineLevel="2">
      <c r="A4763" s="2459" t="s">
        <v>1669</v>
      </c>
      <c r="B4763" s="2459" t="s">
        <v>1665</v>
      </c>
      <c r="C4763" s="2459" t="s">
        <v>1670</v>
      </c>
      <c r="D4763" s="2460" t="s">
        <v>1671</v>
      </c>
      <c r="E4763" s="2461" t="s">
        <v>1573</v>
      </c>
      <c r="F4763" s="2461" t="s">
        <v>1619</v>
      </c>
      <c r="G4763" s="2461" t="s">
        <v>1418</v>
      </c>
      <c r="H4763" s="2461" t="s">
        <v>1452</v>
      </c>
      <c r="I4763" s="2462">
        <v>3.955326084133576E-4</v>
      </c>
      <c r="J4763" s="2462">
        <v>36.368450869515456</v>
      </c>
    </row>
    <row r="4764" spans="1:10" outlineLevel="2">
      <c r="A4764" s="2459" t="s">
        <v>1669</v>
      </c>
      <c r="B4764" s="2459" t="s">
        <v>1665</v>
      </c>
      <c r="C4764" s="2459" t="s">
        <v>1670</v>
      </c>
      <c r="D4764" s="2460" t="s">
        <v>1671</v>
      </c>
      <c r="E4764" s="2461" t="s">
        <v>1573</v>
      </c>
      <c r="F4764" s="2461" t="s">
        <v>1620</v>
      </c>
      <c r="G4764" s="2461" t="s">
        <v>1418</v>
      </c>
      <c r="H4764" s="2461" t="s">
        <v>1452</v>
      </c>
      <c r="I4764" s="2462">
        <v>8.3625707707781002E-7</v>
      </c>
      <c r="J4764" s="2462">
        <v>0.1006202910063847</v>
      </c>
    </row>
    <row r="4765" spans="1:10" outlineLevel="2">
      <c r="A4765" s="2459" t="s">
        <v>1669</v>
      </c>
      <c r="B4765" s="2459" t="s">
        <v>1665</v>
      </c>
      <c r="C4765" s="2459" t="s">
        <v>1670</v>
      </c>
      <c r="D4765" s="2460" t="s">
        <v>1671</v>
      </c>
      <c r="E4765" s="2461" t="s">
        <v>1573</v>
      </c>
      <c r="F4765" s="2461" t="s">
        <v>1621</v>
      </c>
      <c r="G4765" s="2461" t="s">
        <v>1418</v>
      </c>
      <c r="H4765" s="2461" t="s">
        <v>1452</v>
      </c>
      <c r="I4765" s="2462">
        <v>3.560041611873755E-4</v>
      </c>
      <c r="J4765" s="2462">
        <v>33.627442831272241</v>
      </c>
    </row>
    <row r="4766" spans="1:10" outlineLevel="2">
      <c r="A4766" s="2459" t="s">
        <v>1669</v>
      </c>
      <c r="B4766" s="2459" t="s">
        <v>1665</v>
      </c>
      <c r="C4766" s="2459" t="s">
        <v>1670</v>
      </c>
      <c r="D4766" s="2460" t="s">
        <v>1671</v>
      </c>
      <c r="E4766" s="2461" t="s">
        <v>1573</v>
      </c>
      <c r="F4766" s="2461" t="s">
        <v>1622</v>
      </c>
      <c r="G4766" s="2461" t="s">
        <v>1418</v>
      </c>
      <c r="H4766" s="2461" t="s">
        <v>1452</v>
      </c>
      <c r="I4766" s="2462">
        <v>1.0525895024406883E-3</v>
      </c>
      <c r="J4766" s="2462">
        <v>93.579639666346992</v>
      </c>
    </row>
    <row r="4767" spans="1:10" outlineLevel="2">
      <c r="A4767" s="2459" t="s">
        <v>1669</v>
      </c>
      <c r="B4767" s="2459" t="s">
        <v>1665</v>
      </c>
      <c r="C4767" s="2459" t="s">
        <v>1670</v>
      </c>
      <c r="D4767" s="2460" t="s">
        <v>1671</v>
      </c>
      <c r="E4767" s="2461" t="s">
        <v>1573</v>
      </c>
      <c r="F4767" s="2461" t="s">
        <v>1623</v>
      </c>
      <c r="G4767" s="2461" t="s">
        <v>1418</v>
      </c>
      <c r="H4767" s="2461" t="s">
        <v>1452</v>
      </c>
      <c r="I4767" s="2462">
        <v>1.5963765750196914E-3</v>
      </c>
      <c r="J4767" s="2462">
        <v>69.002970194766249</v>
      </c>
    </row>
    <row r="4768" spans="1:10" outlineLevel="2">
      <c r="A4768" s="2459" t="s">
        <v>1669</v>
      </c>
      <c r="B4768" s="2459" t="s">
        <v>1665</v>
      </c>
      <c r="C4768" s="2459" t="s">
        <v>1670</v>
      </c>
      <c r="D4768" s="2460" t="s">
        <v>1671</v>
      </c>
      <c r="E4768" s="2461" t="s">
        <v>1573</v>
      </c>
      <c r="F4768" s="2461" t="s">
        <v>1624</v>
      </c>
      <c r="G4768" s="2461" t="s">
        <v>1421</v>
      </c>
      <c r="H4768" s="2461" t="s">
        <v>1454</v>
      </c>
      <c r="I4768" s="2462">
        <v>1.4739711520175388E-2</v>
      </c>
      <c r="J4768" s="2462">
        <v>538.98647418034079</v>
      </c>
    </row>
    <row r="4769" spans="1:10" outlineLevel="2">
      <c r="A4769" s="2459" t="s">
        <v>1669</v>
      </c>
      <c r="B4769" s="2459" t="s">
        <v>1665</v>
      </c>
      <c r="C4769" s="2459" t="s">
        <v>1670</v>
      </c>
      <c r="D4769" s="2460" t="s">
        <v>1671</v>
      </c>
      <c r="E4769" s="2461" t="s">
        <v>1573</v>
      </c>
      <c r="F4769" s="2461" t="s">
        <v>1625</v>
      </c>
      <c r="G4769" s="2461" t="s">
        <v>1421</v>
      </c>
      <c r="H4769" s="2461" t="s">
        <v>1454</v>
      </c>
      <c r="I4769" s="2462">
        <v>3.4760760007102936E-3</v>
      </c>
      <c r="J4769" s="2462">
        <v>127.21062651772867</v>
      </c>
    </row>
    <row r="4770" spans="1:10" outlineLevel="2">
      <c r="A4770" s="2459" t="s">
        <v>1669</v>
      </c>
      <c r="B4770" s="2459" t="s">
        <v>1665</v>
      </c>
      <c r="C4770" s="2459" t="s">
        <v>1670</v>
      </c>
      <c r="D4770" s="2460" t="s">
        <v>1671</v>
      </c>
      <c r="E4770" s="2461" t="s">
        <v>1573</v>
      </c>
      <c r="F4770" s="2461" t="s">
        <v>1626</v>
      </c>
      <c r="G4770" s="2461" t="s">
        <v>1421</v>
      </c>
      <c r="H4770" s="2461" t="s">
        <v>1454</v>
      </c>
      <c r="I4770" s="2462">
        <v>9.7558834114409403E-3</v>
      </c>
      <c r="J4770" s="2462">
        <v>352.93043301911996</v>
      </c>
    </row>
    <row r="4771" spans="1:10" outlineLevel="2">
      <c r="A4771" s="2459" t="s">
        <v>1669</v>
      </c>
      <c r="B4771" s="2459" t="s">
        <v>1665</v>
      </c>
      <c r="C4771" s="2459" t="s">
        <v>1670</v>
      </c>
      <c r="D4771" s="2460" t="s">
        <v>1671</v>
      </c>
      <c r="E4771" s="2461" t="s">
        <v>1573</v>
      </c>
      <c r="F4771" s="2461" t="s">
        <v>1627</v>
      </c>
      <c r="G4771" s="2461" t="s">
        <v>1421</v>
      </c>
      <c r="H4771" s="2461" t="s">
        <v>1454</v>
      </c>
      <c r="I4771" s="2462">
        <v>8.2380318650560232E-3</v>
      </c>
      <c r="J4771" s="2462">
        <v>179.19352417768408</v>
      </c>
    </row>
    <row r="4772" spans="1:10" outlineLevel="2">
      <c r="A4772" s="2459" t="s">
        <v>1669</v>
      </c>
      <c r="B4772" s="2459" t="s">
        <v>1665</v>
      </c>
      <c r="C4772" s="2459" t="s">
        <v>1670</v>
      </c>
      <c r="D4772" s="2460" t="s">
        <v>1671</v>
      </c>
      <c r="E4772" s="2461" t="s">
        <v>1573</v>
      </c>
      <c r="F4772" s="2461" t="s">
        <v>1628</v>
      </c>
      <c r="G4772" s="2461" t="s">
        <v>1421</v>
      </c>
      <c r="H4772" s="2461" t="s">
        <v>1454</v>
      </c>
      <c r="I4772" s="2462">
        <v>4.0979587294208354E-4</v>
      </c>
      <c r="J4772" s="2462">
        <v>17.233922032383756</v>
      </c>
    </row>
    <row r="4773" spans="1:10" outlineLevel="2">
      <c r="A4773" s="2459" t="s">
        <v>1669</v>
      </c>
      <c r="B4773" s="2459" t="s">
        <v>1665</v>
      </c>
      <c r="C4773" s="2459" t="s">
        <v>1670</v>
      </c>
      <c r="D4773" s="2460" t="s">
        <v>1671</v>
      </c>
      <c r="E4773" s="2461" t="s">
        <v>1573</v>
      </c>
      <c r="F4773" s="2461" t="s">
        <v>1629</v>
      </c>
      <c r="G4773" s="2461" t="s">
        <v>1421</v>
      </c>
      <c r="H4773" s="2461" t="s">
        <v>1454</v>
      </c>
      <c r="I4773" s="2462">
        <v>4.7408711670241172E-4</v>
      </c>
      <c r="J4773" s="2462">
        <v>15.253402361198809</v>
      </c>
    </row>
    <row r="4774" spans="1:10" outlineLevel="2">
      <c r="A4774" s="2459" t="s">
        <v>1669</v>
      </c>
      <c r="B4774" s="2459" t="s">
        <v>1665</v>
      </c>
      <c r="C4774" s="2459" t="s">
        <v>1670</v>
      </c>
      <c r="D4774" s="2460" t="s">
        <v>1671</v>
      </c>
      <c r="E4774" s="2461" t="s">
        <v>1573</v>
      </c>
      <c r="F4774" s="2461" t="s">
        <v>1630</v>
      </c>
      <c r="G4774" s="2461" t="s">
        <v>1459</v>
      </c>
      <c r="H4774" s="2461" t="s">
        <v>1460</v>
      </c>
      <c r="I4774" s="2462">
        <v>1.3325417867683735E-2</v>
      </c>
      <c r="J4774" s="2462">
        <v>873.31943952308393</v>
      </c>
    </row>
    <row r="4775" spans="1:10" ht="19.5" outlineLevel="2" thickBot="1">
      <c r="A4775" s="2459" t="s">
        <v>1669</v>
      </c>
      <c r="B4775" s="2463" t="s">
        <v>1665</v>
      </c>
      <c r="C4775" s="2463" t="s">
        <v>1670</v>
      </c>
      <c r="D4775" s="2464" t="s">
        <v>1671</v>
      </c>
      <c r="E4775" s="2461" t="s">
        <v>1573</v>
      </c>
      <c r="F4775" s="2461" t="s">
        <v>1633</v>
      </c>
      <c r="G4775" s="2461" t="s">
        <v>215</v>
      </c>
      <c r="H4775" s="2461" t="s">
        <v>1537</v>
      </c>
      <c r="I4775" s="2462">
        <v>6.6139955972890284E-5</v>
      </c>
      <c r="J4775" s="2462">
        <v>1.4745358107251625</v>
      </c>
    </row>
    <row r="4776" spans="1:10" outlineLevel="1">
      <c r="A4776" s="2465" t="s">
        <v>1684</v>
      </c>
      <c r="B4776" s="2466"/>
      <c r="C4776" s="2466"/>
      <c r="D4776" s="2466"/>
      <c r="E4776" s="2461">
        <f>SUBTOTAL(9,E23:E4775)</f>
        <v>0</v>
      </c>
      <c r="F4776" s="2461"/>
      <c r="G4776" s="2461"/>
      <c r="H4776" s="2461">
        <f>SUBTOTAL(9,H23:H4775)</f>
        <v>0</v>
      </c>
      <c r="I4776" s="2462"/>
      <c r="J4776" s="2462">
        <f>SUBTOTAL(9,J23:J4775)</f>
        <v>2329670.880317356</v>
      </c>
    </row>
    <row r="4777" spans="1:10" outlineLevel="1">
      <c r="E4777" s="2461" t="s">
        <v>1685</v>
      </c>
      <c r="F4777" s="2467"/>
      <c r="G4777" s="2467"/>
      <c r="H4777" s="2467"/>
      <c r="I4777" s="2467">
        <f>SUM(I23:I4775)</f>
        <v>1093.9823026530232</v>
      </c>
      <c r="J4777" s="2467">
        <f>SUM(J23:J4775)</f>
        <v>2329670.880317356</v>
      </c>
    </row>
    <row r="4778" spans="1:10" outlineLevel="1">
      <c r="A4778" s="2468" t="s">
        <v>1677</v>
      </c>
      <c r="E4778" s="2461">
        <f>SUBTOTAL(9,E23:E4777)</f>
        <v>0</v>
      </c>
      <c r="F4778" s="2467"/>
      <c r="G4778" s="2467"/>
      <c r="H4778" s="2467">
        <f>SUBTOTAL(9,H23:H4777)</f>
        <v>0</v>
      </c>
      <c r="I4778" s="2467"/>
      <c r="J4778" s="2467">
        <f>SUBTOTAL(9,J23:J4777)</f>
        <v>4659341.7606347119</v>
      </c>
    </row>
    <row r="4779" spans="1:10">
      <c r="E4779" s="2467"/>
      <c r="F4779" s="2467"/>
      <c r="G4779" s="2467"/>
      <c r="H4779" s="2467"/>
      <c r="I4779" s="2467"/>
      <c r="J4779" s="2467"/>
    </row>
    <row r="4780" spans="1:10">
      <c r="E4780" s="2461" t="s">
        <v>1407</v>
      </c>
      <c r="F4780" s="2467"/>
      <c r="G4780" s="2467"/>
      <c r="H4780" s="2467"/>
      <c r="I4780" s="2467">
        <f>SUMIF($E$23:$E$4775,E4780,$I$23:$I$4775)</f>
        <v>144.76642411887534</v>
      </c>
      <c r="J4780" s="2467">
        <f>SUMIF($E$23:$E$4775,E4780,$J$23:$J$4775)</f>
        <v>15882.54545303574</v>
      </c>
    </row>
    <row r="4781" spans="1:10">
      <c r="E4781" s="2461" t="s">
        <v>213</v>
      </c>
      <c r="F4781" s="2467"/>
      <c r="G4781" s="2467"/>
      <c r="H4781" s="2467"/>
      <c r="I4781" s="2467">
        <f t="shared" ref="I4781:I4784" si="1">SUMIF($E$23:$E$4775,E4781,$I$23:$I$4775)</f>
        <v>908.42813943085628</v>
      </c>
      <c r="J4781" s="2467">
        <f t="shared" ref="J4781:J4784" si="2">SUMIF($E$23:$E$4775,E4781,$J$23:$J$4775)</f>
        <v>1038820.1242113099</v>
      </c>
    </row>
    <row r="4782" spans="1:10">
      <c r="E4782" s="2461" t="s">
        <v>1538</v>
      </c>
      <c r="F4782" s="2467"/>
      <c r="G4782" s="2467"/>
      <c r="H4782" s="2467"/>
      <c r="I4782" s="2467">
        <f t="shared" si="1"/>
        <v>14.766107282413545</v>
      </c>
      <c r="J4782" s="2467">
        <f t="shared" si="2"/>
        <v>166851.40523870086</v>
      </c>
    </row>
    <row r="4783" spans="1:10">
      <c r="E4783" s="2461" t="s">
        <v>1400</v>
      </c>
      <c r="F4783" s="2467"/>
      <c r="G4783" s="2467"/>
      <c r="H4783" s="2467"/>
      <c r="I4783" s="2467">
        <f t="shared" si="1"/>
        <v>1.5598899438349469</v>
      </c>
      <c r="J4783" s="2467">
        <f t="shared" si="2"/>
        <v>55961.485858346525</v>
      </c>
    </row>
    <row r="4784" spans="1:10">
      <c r="E4784" s="2461" t="s">
        <v>1573</v>
      </c>
      <c r="F4784" s="2467"/>
      <c r="G4784" s="2467"/>
      <c r="H4784" s="2467"/>
      <c r="I4784" s="2467">
        <f t="shared" si="1"/>
        <v>24.461741877043224</v>
      </c>
      <c r="J4784" s="2467">
        <f t="shared" si="2"/>
        <v>1052155.3195559583</v>
      </c>
    </row>
  </sheetData>
  <sheetProtection password="CD58" sheet="1" objects="1" scenarios="1"/>
  <mergeCells count="2">
    <mergeCell ref="A2:K2"/>
    <mergeCell ref="B4:F4"/>
  </mergeCells>
  <printOptions gridLines="1"/>
  <pageMargins left="0.17" right="0.19" top="0.33" bottom="0.75" header="0.3" footer="0.3"/>
  <pageSetup orientation="landscape" r:id="rId1"/>
  <drawing r:id="rId2"/>
</worksheet>
</file>

<file path=xl/worksheets/sheet8.xml><?xml version="1.0" encoding="utf-8"?>
<worksheet xmlns="http://schemas.openxmlformats.org/spreadsheetml/2006/main" xmlns:r="http://schemas.openxmlformats.org/officeDocument/2006/relationships">
  <dimension ref="A1:AG58"/>
  <sheetViews>
    <sheetView topLeftCell="A25" zoomScaleNormal="100" workbookViewId="0">
      <selection activeCell="J43" sqref="J43"/>
    </sheetView>
  </sheetViews>
  <sheetFormatPr defaultRowHeight="11.25"/>
  <cols>
    <col min="1" max="1" width="4.33203125" style="2477" customWidth="1"/>
    <col min="2" max="2" width="27.6640625" style="2477" customWidth="1"/>
    <col min="3" max="3" width="17.6640625" style="2477" customWidth="1"/>
    <col min="4" max="4" width="14.6640625" style="2477" customWidth="1"/>
    <col min="5" max="5" width="16.33203125" style="2477" customWidth="1"/>
    <col min="6" max="6" width="13.6640625" style="2477" customWidth="1"/>
    <col min="7" max="7" width="15.6640625" style="2477" customWidth="1"/>
    <col min="8" max="8" width="19.5" style="2477" customWidth="1"/>
    <col min="9" max="9" width="13.83203125" style="2477" customWidth="1"/>
    <col min="10" max="10" width="20.1640625" style="2477" customWidth="1"/>
    <col min="11" max="11" width="14.1640625" style="2477" customWidth="1"/>
    <col min="12" max="12" width="14.33203125" style="2477" customWidth="1"/>
    <col min="13" max="13" width="17.6640625" style="2477" customWidth="1"/>
    <col min="14" max="14" width="18" style="2477" customWidth="1"/>
    <col min="15" max="15" width="4.5" style="2477" customWidth="1"/>
    <col min="16" max="16" width="10" style="2477" customWidth="1"/>
    <col min="17" max="17" width="3" style="2477" customWidth="1"/>
    <col min="18" max="18" width="14" style="2477" customWidth="1"/>
    <col min="19" max="19" width="15.6640625" style="2477" customWidth="1"/>
    <col min="20" max="20" width="3.1640625" style="2477" customWidth="1"/>
    <col min="21" max="21" width="9.33203125" style="2477"/>
    <col min="22" max="22" width="2.5" style="2477" customWidth="1"/>
    <col min="23" max="23" width="11.1640625" style="2477" customWidth="1"/>
    <col min="24" max="24" width="2.33203125" style="2477" customWidth="1"/>
    <col min="25" max="25" width="10.5" style="2477" customWidth="1"/>
    <col min="26" max="26" width="13.83203125" style="2477" customWidth="1"/>
    <col min="27" max="27" width="2.6640625" style="2477" customWidth="1"/>
    <col min="28" max="28" width="9.33203125" style="2477"/>
    <col min="29" max="29" width="1.5" style="2477" customWidth="1"/>
    <col min="30" max="30" width="9.33203125" style="2477"/>
    <col min="31" max="31" width="3.1640625" style="2477" customWidth="1"/>
    <col min="32" max="16384" width="9.33203125" style="2477"/>
  </cols>
  <sheetData>
    <row r="1" spans="1:14" s="1844" customFormat="1" ht="33">
      <c r="A1" s="230" t="s">
        <v>1693</v>
      </c>
      <c r="B1" s="231"/>
      <c r="E1" s="479"/>
    </row>
    <row r="2" spans="1:14" s="1844" customFormat="1">
      <c r="A2" s="3526"/>
      <c r="B2" s="3526"/>
      <c r="C2" s="3526"/>
      <c r="D2" s="3526"/>
      <c r="E2" s="3526"/>
      <c r="F2" s="3526"/>
      <c r="G2" s="3526"/>
      <c r="H2" s="3526"/>
      <c r="I2" s="3526"/>
      <c r="J2" s="3526"/>
      <c r="K2" s="3526"/>
    </row>
    <row r="3" spans="1:14" ht="15.75" thickBot="1">
      <c r="J3" s="2566"/>
      <c r="K3" s="2567"/>
      <c r="L3" s="2567"/>
      <c r="M3" s="2568"/>
    </row>
    <row r="4" spans="1:14" ht="21">
      <c r="B4" s="3527" t="s">
        <v>1720</v>
      </c>
      <c r="C4" s="3528"/>
      <c r="D4" s="3528"/>
      <c r="E4" s="3528"/>
      <c r="F4" s="3528"/>
      <c r="G4" s="3528"/>
      <c r="H4" s="3529"/>
      <c r="J4" s="3516" t="s">
        <v>1724</v>
      </c>
      <c r="K4" s="3517"/>
      <c r="L4" s="3517"/>
      <c r="M4" s="3518"/>
      <c r="N4" s="2657"/>
    </row>
    <row r="5" spans="1:14" ht="21">
      <c r="B5" s="2571" t="s">
        <v>1721</v>
      </c>
      <c r="C5" s="2478"/>
      <c r="D5" s="2478"/>
      <c r="E5" s="2478"/>
      <c r="F5" s="2478"/>
      <c r="G5" s="2478"/>
      <c r="H5" s="2482"/>
      <c r="J5" s="3519" t="s">
        <v>1725</v>
      </c>
      <c r="K5" s="3520"/>
      <c r="L5" s="3520"/>
      <c r="M5" s="3521"/>
      <c r="N5" s="2657"/>
    </row>
    <row r="6" spans="1:14" ht="18">
      <c r="B6" s="125"/>
      <c r="C6" s="3530" t="s">
        <v>1726</v>
      </c>
      <c r="D6" s="3531"/>
      <c r="E6" s="3531"/>
      <c r="F6" s="3531"/>
      <c r="G6" s="3531"/>
      <c r="H6" s="2572" t="s">
        <v>1727</v>
      </c>
      <c r="J6" s="2592"/>
      <c r="K6" s="1923"/>
      <c r="L6" s="1923"/>
      <c r="M6" s="2593"/>
    </row>
    <row r="7" spans="1:14" ht="15">
      <c r="B7" s="2573" t="s">
        <v>970</v>
      </c>
      <c r="C7" s="2478" t="s">
        <v>213</v>
      </c>
      <c r="D7" s="2478" t="s">
        <v>215</v>
      </c>
      <c r="E7" s="2478" t="s">
        <v>1694</v>
      </c>
      <c r="F7" s="2478" t="s">
        <v>1695</v>
      </c>
      <c r="G7" s="2478" t="s">
        <v>1722</v>
      </c>
      <c r="H7" s="2574" t="s">
        <v>1723</v>
      </c>
      <c r="J7" s="2573" t="s">
        <v>970</v>
      </c>
      <c r="K7" s="2569" t="s">
        <v>213</v>
      </c>
      <c r="L7" s="2570" t="s">
        <v>215</v>
      </c>
      <c r="M7" s="2482"/>
    </row>
    <row r="8" spans="1:14">
      <c r="B8" s="2575" t="s">
        <v>992</v>
      </c>
      <c r="C8" s="2581">
        <v>308000610328.80688</v>
      </c>
      <c r="D8" s="2581">
        <v>122747018358.39999</v>
      </c>
      <c r="E8" s="2581">
        <v>261386862.39999998</v>
      </c>
      <c r="F8" s="2581">
        <v>1692486198</v>
      </c>
      <c r="G8" s="2581">
        <v>432701501747.60693</v>
      </c>
      <c r="H8" s="2576">
        <v>0.43270150174760691</v>
      </c>
      <c r="J8" s="2573">
        <v>24001</v>
      </c>
      <c r="K8" s="2481">
        <v>4024625.7498999778</v>
      </c>
      <c r="L8" s="2481">
        <v>1566266.9579059007</v>
      </c>
      <c r="M8" s="496"/>
    </row>
    <row r="9" spans="1:14">
      <c r="B9" s="2575" t="s">
        <v>995</v>
      </c>
      <c r="C9" s="2581">
        <v>2310633384423.9053</v>
      </c>
      <c r="D9" s="2581">
        <v>587373534154</v>
      </c>
      <c r="E9" s="2581">
        <v>1021149872</v>
      </c>
      <c r="F9" s="2581">
        <v>13427825026</v>
      </c>
      <c r="G9" s="2581">
        <v>2912455893475.9053</v>
      </c>
      <c r="H9" s="2576">
        <v>2.9124558934759053</v>
      </c>
      <c r="J9" s="2573">
        <v>24003</v>
      </c>
      <c r="K9" s="2481">
        <v>30211831.7058492</v>
      </c>
      <c r="L9" s="2481">
        <v>7507403.7956752907</v>
      </c>
      <c r="M9" s="496"/>
    </row>
    <row r="10" spans="1:14">
      <c r="B10" s="2575" t="s">
        <v>1696</v>
      </c>
      <c r="C10" s="2581">
        <v>3189909768954.606</v>
      </c>
      <c r="D10" s="2581">
        <v>901693196150</v>
      </c>
      <c r="E10" s="2581">
        <v>931872990</v>
      </c>
      <c r="F10" s="2581">
        <v>18021169228</v>
      </c>
      <c r="G10" s="2581">
        <v>4110556007322.606</v>
      </c>
      <c r="H10" s="2576">
        <v>4.1105560073226064</v>
      </c>
      <c r="J10" s="2573">
        <v>24005</v>
      </c>
      <c r="K10" s="2481">
        <v>41732916.603577204</v>
      </c>
      <c r="L10" s="2481">
        <v>11523176.879963193</v>
      </c>
      <c r="M10" s="496"/>
    </row>
    <row r="11" spans="1:14">
      <c r="B11" s="2575" t="s">
        <v>1004</v>
      </c>
      <c r="C11" s="2581">
        <v>281480510940.0614</v>
      </c>
      <c r="D11" s="2581">
        <v>52110213741.390625</v>
      </c>
      <c r="E11" s="2581">
        <v>125760116.49218851</v>
      </c>
      <c r="F11" s="2581">
        <v>1607423365</v>
      </c>
      <c r="G11" s="2581">
        <v>335323908162.94421</v>
      </c>
      <c r="H11" s="2576">
        <v>0.33532390816294422</v>
      </c>
      <c r="J11" s="2573">
        <v>24009</v>
      </c>
      <c r="K11" s="2481">
        <v>3668145.5388240311</v>
      </c>
      <c r="L11" s="2481">
        <v>666125.53684306052</v>
      </c>
      <c r="M11" s="496"/>
    </row>
    <row r="12" spans="1:14">
      <c r="B12" s="2575" t="s">
        <v>1697</v>
      </c>
      <c r="C12" s="2581">
        <v>145259850063.36288</v>
      </c>
      <c r="D12" s="2581">
        <v>47409338731.625</v>
      </c>
      <c r="E12" s="2581">
        <v>22215655.849609401</v>
      </c>
      <c r="F12" s="2581">
        <v>753481510</v>
      </c>
      <c r="G12" s="2581">
        <v>193444885960.83749</v>
      </c>
      <c r="H12" s="2576">
        <v>0.1934448859608375</v>
      </c>
      <c r="J12" s="2573">
        <v>24011</v>
      </c>
      <c r="K12" s="2481">
        <v>1892416.8039617413</v>
      </c>
      <c r="L12" s="2481">
        <v>606201.52102202049</v>
      </c>
      <c r="M12" s="496"/>
    </row>
    <row r="13" spans="1:14">
      <c r="B13" s="2575" t="s">
        <v>1007</v>
      </c>
      <c r="C13" s="2581">
        <v>520560620101.63086</v>
      </c>
      <c r="D13" s="2581">
        <v>113378271225</v>
      </c>
      <c r="E13" s="2581">
        <v>167539934</v>
      </c>
      <c r="F13" s="2581">
        <v>3006817900</v>
      </c>
      <c r="G13" s="2581">
        <v>637113249160.63086</v>
      </c>
      <c r="H13" s="2576">
        <v>0.63711324916063083</v>
      </c>
      <c r="J13" s="2573">
        <v>24013</v>
      </c>
      <c r="K13" s="2481">
        <v>6777297.6520936666</v>
      </c>
      <c r="L13" s="2481">
        <v>1449291.4402562417</v>
      </c>
      <c r="M13" s="496"/>
    </row>
    <row r="14" spans="1:14">
      <c r="B14" s="2575" t="s">
        <v>1010</v>
      </c>
      <c r="C14" s="2581">
        <v>455752498317.04785</v>
      </c>
      <c r="D14" s="2581">
        <v>235577119168.99902</v>
      </c>
      <c r="E14" s="2581">
        <v>437006934.80468798</v>
      </c>
      <c r="F14" s="2581">
        <v>2531632977</v>
      </c>
      <c r="G14" s="2581">
        <v>694298257397.85156</v>
      </c>
      <c r="H14" s="2576">
        <v>0.69429825739785156</v>
      </c>
      <c r="J14" s="2573">
        <v>24015</v>
      </c>
      <c r="K14" s="2481">
        <v>5960204.3599246712</v>
      </c>
      <c r="L14" s="2481">
        <v>3007734.0485862512</v>
      </c>
      <c r="M14" s="496"/>
    </row>
    <row r="15" spans="1:14">
      <c r="B15" s="2575" t="s">
        <v>1012</v>
      </c>
      <c r="C15" s="2581">
        <v>487874554062.20239</v>
      </c>
      <c r="D15" s="2581">
        <v>103255949117</v>
      </c>
      <c r="E15" s="2581">
        <v>123811505</v>
      </c>
      <c r="F15" s="2581">
        <v>2608431041</v>
      </c>
      <c r="G15" s="2581">
        <v>593862745725.20239</v>
      </c>
      <c r="H15" s="2576">
        <v>0.59386274572520237</v>
      </c>
      <c r="J15" s="2573">
        <v>24017</v>
      </c>
      <c r="K15" s="2481">
        <v>6362541.7291770391</v>
      </c>
      <c r="L15" s="2481">
        <v>1320009.3593211155</v>
      </c>
      <c r="M15" s="496"/>
    </row>
    <row r="16" spans="1:14">
      <c r="B16" s="2575" t="s">
        <v>1698</v>
      </c>
      <c r="C16" s="2581">
        <v>135056223290.78943</v>
      </c>
      <c r="D16" s="2581">
        <v>38385800667.902344</v>
      </c>
      <c r="E16" s="2581">
        <v>209591468</v>
      </c>
      <c r="F16" s="2581">
        <v>676566300</v>
      </c>
      <c r="G16" s="2581">
        <v>174328181726.69177</v>
      </c>
      <c r="H16" s="2576">
        <v>0.17432818172669176</v>
      </c>
      <c r="J16" s="2573">
        <v>24019</v>
      </c>
      <c r="K16" s="2481">
        <v>1761361.4320852866</v>
      </c>
      <c r="L16" s="2481">
        <v>490818.59431088087</v>
      </c>
      <c r="M16" s="496"/>
    </row>
    <row r="17" spans="2:13">
      <c r="B17" s="2575" t="s">
        <v>1018</v>
      </c>
      <c r="C17" s="2581">
        <v>1209064405591.2637</v>
      </c>
      <c r="D17" s="2581">
        <v>324125385257.6875</v>
      </c>
      <c r="E17" s="2581">
        <v>506871146</v>
      </c>
      <c r="F17" s="2581">
        <v>6883555998</v>
      </c>
      <c r="G17" s="2581">
        <v>1540580217992.9512</v>
      </c>
      <c r="H17" s="2576">
        <v>1.5405802179929511</v>
      </c>
      <c r="J17" s="2573">
        <v>24021</v>
      </c>
      <c r="K17" s="2481">
        <v>15820734.776840761</v>
      </c>
      <c r="L17" s="2481">
        <v>4142039.4084790405</v>
      </c>
      <c r="M17" s="496"/>
    </row>
    <row r="18" spans="2:13">
      <c r="B18" s="2575" t="s">
        <v>1020</v>
      </c>
      <c r="C18" s="2581">
        <v>179261611149.90283</v>
      </c>
      <c r="D18" s="2581">
        <v>91080304388.205078</v>
      </c>
      <c r="E18" s="2581">
        <v>163034263.20312399</v>
      </c>
      <c r="F18" s="2581">
        <v>1164097733.2998047</v>
      </c>
      <c r="G18" s="2581">
        <v>271669047534.61084</v>
      </c>
      <c r="H18" s="2576">
        <v>0.27166904753461085</v>
      </c>
      <c r="J18" s="2573">
        <v>24023</v>
      </c>
      <c r="K18" s="2481">
        <v>2346589.3192598992</v>
      </c>
      <c r="L18" s="2481">
        <v>1161059.5143297252</v>
      </c>
      <c r="M18" s="496"/>
    </row>
    <row r="19" spans="2:13">
      <c r="B19" s="2575" t="s">
        <v>1023</v>
      </c>
      <c r="C19" s="2581">
        <v>950935023801.16699</v>
      </c>
      <c r="D19" s="2581">
        <v>246234168812.60156</v>
      </c>
      <c r="E19" s="2581">
        <v>601612649</v>
      </c>
      <c r="F19" s="2581">
        <v>5559784913</v>
      </c>
      <c r="G19" s="2581">
        <v>1203330590175.7686</v>
      </c>
      <c r="H19" s="2576">
        <v>1.2033305901757685</v>
      </c>
      <c r="J19" s="2573">
        <v>24025</v>
      </c>
      <c r="K19" s="2481">
        <v>12426907.206013415</v>
      </c>
      <c r="L19" s="2481">
        <v>3146844.4545620647</v>
      </c>
      <c r="M19" s="496"/>
    </row>
    <row r="20" spans="2:13">
      <c r="B20" s="2575" t="s">
        <v>1025</v>
      </c>
      <c r="C20" s="2581">
        <v>1569754118773.6157</v>
      </c>
      <c r="D20" s="2581">
        <v>445846361343</v>
      </c>
      <c r="E20" s="2581">
        <v>970676550</v>
      </c>
      <c r="F20" s="2581">
        <v>9246061824</v>
      </c>
      <c r="G20" s="2581">
        <v>2025817218490.6157</v>
      </c>
      <c r="H20" s="2576">
        <v>2.0258172184906158</v>
      </c>
      <c r="J20" s="2573">
        <v>24027</v>
      </c>
      <c r="K20" s="2481">
        <v>20574375.437307827</v>
      </c>
      <c r="L20" s="2481">
        <v>5695656.8063449822</v>
      </c>
      <c r="M20" s="496"/>
    </row>
    <row r="21" spans="2:13">
      <c r="B21" s="2575" t="s">
        <v>1027</v>
      </c>
      <c r="C21" s="2581">
        <v>75082008860.507324</v>
      </c>
      <c r="D21" s="2581">
        <v>26468562156.37207</v>
      </c>
      <c r="E21" s="2581">
        <v>74091279.501953006</v>
      </c>
      <c r="F21" s="2581">
        <v>394143744.1015625</v>
      </c>
      <c r="G21" s="2581">
        <v>102018806040.48291</v>
      </c>
      <c r="H21" s="2576">
        <v>0.10201880604048291</v>
      </c>
      <c r="J21" s="2573">
        <v>24029</v>
      </c>
      <c r="K21" s="2481">
        <v>978422.74624681706</v>
      </c>
      <c r="L21" s="2481">
        <v>338448.30209949741</v>
      </c>
      <c r="M21" s="496"/>
    </row>
    <row r="22" spans="2:13">
      <c r="B22" s="2575" t="s">
        <v>392</v>
      </c>
      <c r="C22" s="2581">
        <v>2972400895786.0869</v>
      </c>
      <c r="D22" s="2581">
        <v>708429587230</v>
      </c>
      <c r="E22" s="2581">
        <v>3299517844</v>
      </c>
      <c r="F22" s="2581">
        <v>16632161134</v>
      </c>
      <c r="G22" s="2581">
        <v>3700762161994.0869</v>
      </c>
      <c r="H22" s="2576">
        <v>3.7007621619940867</v>
      </c>
      <c r="J22" s="2573">
        <v>24031</v>
      </c>
      <c r="K22" s="2481">
        <v>38845896.836231336</v>
      </c>
      <c r="L22" s="2481">
        <v>9055712.8835702203</v>
      </c>
      <c r="M22" s="496"/>
    </row>
    <row r="23" spans="2:13">
      <c r="B23" s="2575" t="s">
        <v>1699</v>
      </c>
      <c r="C23" s="2581">
        <v>3565622814685.4043</v>
      </c>
      <c r="D23" s="2581">
        <v>851768226026</v>
      </c>
      <c r="E23" s="2581">
        <v>2090488332</v>
      </c>
      <c r="F23" s="2581">
        <v>17618499440</v>
      </c>
      <c r="G23" s="2581">
        <v>4437100028483.4043</v>
      </c>
      <c r="H23" s="2576">
        <v>4.4371000284834041</v>
      </c>
      <c r="J23" s="2573">
        <v>24033</v>
      </c>
      <c r="K23" s="2481">
        <v>46651563.157646984</v>
      </c>
      <c r="L23" s="2481">
        <v>10890180.796447774</v>
      </c>
      <c r="M23" s="496"/>
    </row>
    <row r="24" spans="2:13">
      <c r="B24" s="2575" t="s">
        <v>1700</v>
      </c>
      <c r="C24" s="2581">
        <v>321539451321.09192</v>
      </c>
      <c r="D24" s="2581">
        <v>131287130684.10937</v>
      </c>
      <c r="E24" s="2581">
        <v>167344819.40039003</v>
      </c>
      <c r="F24" s="2581">
        <v>1838679845</v>
      </c>
      <c r="G24" s="2581">
        <v>454832606669.60168</v>
      </c>
      <c r="H24" s="2576">
        <v>0.45483260666960168</v>
      </c>
      <c r="J24" s="2573">
        <v>24035</v>
      </c>
      <c r="K24" s="2481">
        <v>4210243.2461693725</v>
      </c>
      <c r="L24" s="2481">
        <v>1678915.4794893537</v>
      </c>
      <c r="M24" s="496"/>
    </row>
    <row r="25" spans="2:13">
      <c r="B25" s="2575" t="s">
        <v>1701</v>
      </c>
      <c r="C25" s="2581">
        <v>350738546497.98938</v>
      </c>
      <c r="D25" s="2581">
        <v>95167493076.529297</v>
      </c>
      <c r="E25" s="2581">
        <v>142718739.60156101</v>
      </c>
      <c r="F25" s="2581">
        <v>1902348368</v>
      </c>
      <c r="G25" s="2581">
        <v>447951106682.12024</v>
      </c>
      <c r="H25" s="2576">
        <v>0.44795110668212024</v>
      </c>
      <c r="J25" s="2573">
        <v>24037</v>
      </c>
      <c r="K25" s="2481">
        <v>4567804.7166428966</v>
      </c>
      <c r="L25" s="2481">
        <v>1216705.283043996</v>
      </c>
      <c r="M25" s="496"/>
    </row>
    <row r="26" spans="2:13">
      <c r="B26" s="2575" t="s">
        <v>1034</v>
      </c>
      <c r="C26" s="2581">
        <v>98095230608.930359</v>
      </c>
      <c r="D26" s="2581">
        <v>27852637523.021484</v>
      </c>
      <c r="E26" s="2581">
        <v>19301969.022461001</v>
      </c>
      <c r="F26" s="2581">
        <v>493159721.6953125</v>
      </c>
      <c r="G26" s="2581">
        <v>126460329822.66962</v>
      </c>
      <c r="H26" s="2576">
        <v>0.12646032982266961</v>
      </c>
      <c r="J26" s="2573">
        <v>24039</v>
      </c>
      <c r="K26" s="2481">
        <v>1279456.0292922987</v>
      </c>
      <c r="L26" s="2481">
        <v>356167.81581948756</v>
      </c>
      <c r="M26" s="496"/>
    </row>
    <row r="27" spans="2:13">
      <c r="B27" s="2575" t="s">
        <v>1037</v>
      </c>
      <c r="C27" s="2581">
        <v>227129228256.84567</v>
      </c>
      <c r="D27" s="2581">
        <v>66918860087.958008</v>
      </c>
      <c r="E27" s="2581">
        <v>52176175.84960939</v>
      </c>
      <c r="F27" s="2581">
        <v>1274722747</v>
      </c>
      <c r="G27" s="2581">
        <v>295374987267.65332</v>
      </c>
      <c r="H27" s="2576">
        <v>0.29537498726765332</v>
      </c>
      <c r="J27" s="2573">
        <v>24041</v>
      </c>
      <c r="K27" s="2481">
        <v>2971022.6824704097</v>
      </c>
      <c r="L27" s="2481">
        <v>855673.38774120004</v>
      </c>
      <c r="M27" s="496"/>
    </row>
    <row r="28" spans="2:13">
      <c r="B28" s="2575" t="s">
        <v>1039</v>
      </c>
      <c r="C28" s="2581">
        <v>755019167713.14258</v>
      </c>
      <c r="D28" s="2581">
        <v>390303894069</v>
      </c>
      <c r="E28" s="2581">
        <v>380486251.10156298</v>
      </c>
      <c r="F28" s="2581">
        <v>3858115692</v>
      </c>
      <c r="G28" s="2581">
        <v>1149561663725.2441</v>
      </c>
      <c r="H28" s="2576">
        <v>1.1495616637252442</v>
      </c>
      <c r="J28" s="2573">
        <v>24043</v>
      </c>
      <c r="K28" s="2481">
        <v>9872925.8988738898</v>
      </c>
      <c r="L28" s="2481">
        <v>4981358.1722214194</v>
      </c>
      <c r="M28" s="496"/>
    </row>
    <row r="29" spans="2:13">
      <c r="B29" s="2575" t="s">
        <v>1042</v>
      </c>
      <c r="C29" s="2581">
        <v>379140857087.21313</v>
      </c>
      <c r="D29" s="2581">
        <v>99549539521</v>
      </c>
      <c r="E29" s="2581">
        <v>412890465</v>
      </c>
      <c r="F29" s="2581">
        <v>1986664460</v>
      </c>
      <c r="G29" s="2581">
        <v>481089951533.21313</v>
      </c>
      <c r="H29" s="2576">
        <v>0.48108995153321316</v>
      </c>
      <c r="J29" s="2573">
        <v>24045</v>
      </c>
      <c r="K29" s="2481">
        <v>4948193.4443784198</v>
      </c>
      <c r="L29" s="2481">
        <v>1272800.3046044128</v>
      </c>
      <c r="M29" s="496"/>
    </row>
    <row r="30" spans="2:13">
      <c r="B30" s="2575" t="s">
        <v>1044</v>
      </c>
      <c r="C30" s="2581">
        <v>304289121728.12396</v>
      </c>
      <c r="D30" s="2581">
        <v>88071801377.699219</v>
      </c>
      <c r="E30" s="2581">
        <v>576077238</v>
      </c>
      <c r="F30" s="2581">
        <v>1703330535</v>
      </c>
      <c r="G30" s="2581">
        <v>394640330878.82318</v>
      </c>
      <c r="H30" s="2576">
        <v>0.39464033087882316</v>
      </c>
      <c r="J30" s="2573">
        <v>24047</v>
      </c>
      <c r="K30" s="2481">
        <v>3978874.1254408248</v>
      </c>
      <c r="L30" s="2481">
        <v>1126155.4336079489</v>
      </c>
      <c r="M30" s="496"/>
    </row>
    <row r="31" spans="2:13">
      <c r="B31" s="2575" t="s">
        <v>1000</v>
      </c>
      <c r="C31" s="2581">
        <v>1408505840074.0625</v>
      </c>
      <c r="D31" s="2581">
        <v>361589616214.01123</v>
      </c>
      <c r="E31" s="2581">
        <v>3398767093.8906398</v>
      </c>
      <c r="F31" s="2581">
        <v>6895404454.8007784</v>
      </c>
      <c r="G31" s="2581">
        <v>1780389627836.7651</v>
      </c>
      <c r="H31" s="2576">
        <v>1.7803896278367652</v>
      </c>
      <c r="J31" s="2573">
        <v>24510</v>
      </c>
      <c r="K31" s="2481">
        <v>18426373.839391377</v>
      </c>
      <c r="L31" s="2481">
        <v>4622419.6664459063</v>
      </c>
      <c r="M31" s="496"/>
    </row>
    <row r="32" spans="2:13" ht="15">
      <c r="B32" s="2579" t="s">
        <v>1702</v>
      </c>
      <c r="C32" s="2582">
        <v>22201106342417.762</v>
      </c>
      <c r="D32" s="2582">
        <v>6156624009081.5117</v>
      </c>
      <c r="E32" s="2582">
        <v>16156390154.117788</v>
      </c>
      <c r="F32" s="2582">
        <v>121776564154.89746</v>
      </c>
      <c r="G32" s="2582">
        <v>28495663305808.289</v>
      </c>
      <c r="H32" s="2580">
        <v>28.495663305808289</v>
      </c>
      <c r="J32" s="2583" t="s">
        <v>1702</v>
      </c>
      <c r="K32" s="2584">
        <v>290290725.03759927</v>
      </c>
      <c r="L32" s="2584">
        <v>78677165.842691004</v>
      </c>
      <c r="M32" s="496"/>
    </row>
    <row r="33" spans="2:33" ht="11.25" customHeight="1">
      <c r="B33" s="125"/>
      <c r="C33" s="1924"/>
      <c r="D33" s="1924"/>
      <c r="E33" s="1924"/>
      <c r="F33" s="1924"/>
      <c r="G33" s="1924"/>
      <c r="H33" s="496"/>
      <c r="J33" s="2585"/>
      <c r="K33" s="2586"/>
      <c r="L33" s="2587"/>
      <c r="M33" s="496"/>
    </row>
    <row r="34" spans="2:33" ht="11.25" customHeight="1">
      <c r="B34" s="2577" t="s">
        <v>1703</v>
      </c>
      <c r="C34" s="2483">
        <f>C32/1000000000000</f>
        <v>22.201106342417763</v>
      </c>
      <c r="D34" s="2483">
        <f>D32/1000000000000</f>
        <v>6.1566240090815114</v>
      </c>
      <c r="E34" s="2483">
        <f>E32/1000000000000</f>
        <v>1.6156390154117788E-2</v>
      </c>
      <c r="F34" s="2483">
        <f>F32/1000000000000</f>
        <v>0.12177656415489746</v>
      </c>
      <c r="G34" s="2483">
        <f>G32/1000000000000</f>
        <v>28.495663305808289</v>
      </c>
      <c r="H34" s="2578"/>
      <c r="J34" s="125" t="s">
        <v>1728</v>
      </c>
      <c r="K34" s="2481">
        <v>120452</v>
      </c>
      <c r="L34" s="2481">
        <v>137381</v>
      </c>
      <c r="M34" s="2482" t="s">
        <v>133</v>
      </c>
    </row>
    <row r="35" spans="2:33" ht="12" customHeight="1" thickBot="1">
      <c r="B35" s="1431"/>
      <c r="C35" s="498"/>
      <c r="D35" s="498"/>
      <c r="E35" s="498"/>
      <c r="F35" s="498"/>
      <c r="G35" s="498"/>
      <c r="H35" s="1215"/>
      <c r="J35" s="2585"/>
      <c r="K35" s="2586"/>
      <c r="L35" s="2587"/>
      <c r="M35" s="496"/>
    </row>
    <row r="36" spans="2:33">
      <c r="J36" s="2583" t="s">
        <v>1702</v>
      </c>
      <c r="K36" s="2594">
        <f>(+K32*1000000)/K34</f>
        <v>2410011664.7095876</v>
      </c>
      <c r="L36" s="2594">
        <f>(+L32*1000000)/L34</f>
        <v>572693209.70651686</v>
      </c>
      <c r="M36" s="2591" t="s">
        <v>349</v>
      </c>
    </row>
    <row r="37" spans="2:33" ht="12" thickBot="1">
      <c r="J37" s="2588"/>
      <c r="K37" s="2589"/>
      <c r="L37" s="2589"/>
      <c r="M37" s="2590"/>
    </row>
    <row r="39" spans="2:33" ht="15">
      <c r="B39" s="2486" t="s">
        <v>132</v>
      </c>
      <c r="C39" s="411"/>
      <c r="D39" s="411"/>
    </row>
    <row r="40" spans="2:33" ht="15">
      <c r="B40" s="2487" t="s">
        <v>213</v>
      </c>
      <c r="C40" s="2488">
        <f>K34</f>
        <v>120452</v>
      </c>
      <c r="D40" s="2083" t="s">
        <v>133</v>
      </c>
      <c r="E40" s="411"/>
    </row>
    <row r="41" spans="2:33" ht="15">
      <c r="B41" s="2487" t="s">
        <v>215</v>
      </c>
      <c r="C41" s="2488">
        <f>L34</f>
        <v>137381</v>
      </c>
      <c r="D41" s="2083" t="s">
        <v>133</v>
      </c>
      <c r="E41" s="411"/>
    </row>
    <row r="46" spans="2:33" ht="12" thickBot="1"/>
    <row r="47" spans="2:33" ht="21.75" thickTop="1">
      <c r="B47" s="2595" t="s">
        <v>953</v>
      </c>
      <c r="C47" s="2596"/>
      <c r="D47" s="2597"/>
      <c r="E47" s="2598"/>
      <c r="F47" s="2597"/>
      <c r="G47" s="2599"/>
      <c r="H47" s="2600"/>
      <c r="I47" s="2601"/>
      <c r="J47" s="2600"/>
      <c r="K47" s="2602"/>
      <c r="L47" s="2603"/>
      <c r="M47" s="2602"/>
      <c r="N47" s="2604"/>
      <c r="O47" s="2604"/>
      <c r="P47" s="2605"/>
      <c r="Q47" s="2604"/>
      <c r="R47" s="2606"/>
      <c r="S47" s="4"/>
      <c r="T47" s="4"/>
      <c r="U47" s="4"/>
      <c r="V47" s="4"/>
      <c r="W47" s="4"/>
      <c r="X47" s="5"/>
      <c r="Y47" s="4"/>
      <c r="Z47" s="4"/>
      <c r="AA47" s="4"/>
      <c r="AB47" s="4"/>
      <c r="AC47" s="4"/>
      <c r="AD47" s="4"/>
      <c r="AE47" s="5"/>
      <c r="AF47" s="5"/>
      <c r="AG47" s="4"/>
    </row>
    <row r="48" spans="2:33">
      <c r="B48" s="2480"/>
      <c r="C48" s="1924"/>
      <c r="D48" s="1924"/>
      <c r="E48" s="1924"/>
      <c r="F48" s="1924"/>
      <c r="G48" s="1924"/>
      <c r="H48" s="1924"/>
      <c r="I48" s="1924"/>
      <c r="J48" s="1924"/>
      <c r="K48" s="1924"/>
      <c r="L48" s="1924"/>
      <c r="M48" s="1924"/>
      <c r="N48" s="1924"/>
      <c r="O48" s="1924"/>
      <c r="P48" s="2544"/>
      <c r="Q48" s="1924"/>
      <c r="R48" s="2479"/>
      <c r="S48" s="4"/>
      <c r="T48" s="4"/>
      <c r="U48" s="4"/>
      <c r="V48" s="4"/>
      <c r="W48" s="4"/>
      <c r="X48" s="5"/>
      <c r="Y48" s="4"/>
      <c r="Z48" s="4"/>
      <c r="AA48" s="4"/>
      <c r="AB48" s="4"/>
      <c r="AC48" s="4"/>
      <c r="AD48" s="4"/>
      <c r="AE48" s="5"/>
      <c r="AF48" s="5"/>
      <c r="AG48" s="4"/>
    </row>
    <row r="49" spans="2:33" ht="21">
      <c r="B49" s="2660" t="s">
        <v>1372</v>
      </c>
      <c r="C49" s="2661"/>
      <c r="D49" s="2662"/>
      <c r="E49" s="2662"/>
      <c r="F49" s="2661"/>
      <c r="G49" s="2661"/>
      <c r="H49" s="2661"/>
      <c r="I49" s="2661"/>
      <c r="J49" s="2661"/>
      <c r="K49" s="2661"/>
      <c r="L49" s="2663"/>
      <c r="M49" s="2663"/>
      <c r="N49" s="2663"/>
      <c r="O49" s="2663"/>
      <c r="P49" s="2663"/>
      <c r="Q49" s="2663"/>
      <c r="R49" s="2664"/>
      <c r="S49" s="4"/>
      <c r="T49" s="4"/>
      <c r="U49" s="4"/>
      <c r="V49" s="4"/>
      <c r="W49" s="4"/>
      <c r="X49" s="5"/>
      <c r="Y49" s="4"/>
      <c r="Z49" s="4"/>
      <c r="AA49" s="4"/>
      <c r="AB49" s="4"/>
      <c r="AC49" s="4"/>
      <c r="AD49" s="4"/>
      <c r="AE49" s="5"/>
      <c r="AF49" s="5"/>
      <c r="AG49" s="4"/>
    </row>
    <row r="50" spans="2:33">
      <c r="B50" s="2480"/>
      <c r="C50" s="1924"/>
      <c r="D50" s="1924"/>
      <c r="E50" s="1924"/>
      <c r="F50" s="1924"/>
      <c r="G50" s="1924"/>
      <c r="H50" s="1924"/>
      <c r="I50" s="1924"/>
      <c r="J50" s="1924"/>
      <c r="K50" s="1924"/>
      <c r="L50" s="1924"/>
      <c r="M50" s="1924"/>
      <c r="N50" s="1924"/>
      <c r="O50" s="1924"/>
      <c r="P50" s="2544"/>
      <c r="Q50" s="1924"/>
      <c r="R50" s="2479"/>
      <c r="S50" s="4"/>
      <c r="T50" s="4"/>
      <c r="U50" s="4"/>
      <c r="V50" s="4"/>
      <c r="W50" s="4"/>
      <c r="X50" s="5"/>
      <c r="Y50" s="4"/>
      <c r="Z50" s="4"/>
      <c r="AA50" s="4"/>
      <c r="AB50" s="4"/>
      <c r="AC50" s="4"/>
      <c r="AD50" s="4"/>
      <c r="AE50" s="5"/>
      <c r="AF50" s="5"/>
      <c r="AG50" s="4"/>
    </row>
    <row r="51" spans="2:33" ht="13.5" thickBot="1">
      <c r="B51" s="2624"/>
      <c r="C51" s="187"/>
      <c r="D51" s="187"/>
      <c r="E51" s="2625"/>
      <c r="F51" s="2626"/>
      <c r="G51" s="2626"/>
      <c r="H51" s="2625"/>
      <c r="I51" s="2625"/>
      <c r="J51" s="2625"/>
      <c r="K51" s="2625"/>
      <c r="L51" s="2546"/>
      <c r="M51" s="2652"/>
      <c r="N51" s="2625"/>
      <c r="O51" s="2625"/>
      <c r="P51" s="2625"/>
      <c r="Q51" s="187"/>
      <c r="R51" s="2613"/>
      <c r="S51" s="4"/>
      <c r="T51" s="4"/>
      <c r="U51" s="4"/>
      <c r="V51" s="4"/>
      <c r="W51" s="4"/>
      <c r="X51" s="5"/>
      <c r="Y51" s="4"/>
      <c r="Z51" s="4"/>
      <c r="AA51" s="4"/>
      <c r="AB51" s="4"/>
      <c r="AC51" s="4"/>
      <c r="AD51" s="4"/>
      <c r="AE51" s="5"/>
      <c r="AF51" s="2491"/>
      <c r="AG51" s="4"/>
    </row>
    <row r="52" spans="2:33" ht="12.75">
      <c r="B52" s="2636"/>
      <c r="C52" s="2628" t="s">
        <v>106</v>
      </c>
      <c r="D52" s="3522" t="s">
        <v>951</v>
      </c>
      <c r="E52" s="3523"/>
      <c r="F52" s="3523"/>
      <c r="G52" s="3523"/>
      <c r="H52" s="3523"/>
      <c r="I52" s="3523"/>
      <c r="J52" s="3523"/>
      <c r="K52" s="3525"/>
      <c r="L52" s="2619"/>
      <c r="M52" s="3522" t="s">
        <v>952</v>
      </c>
      <c r="N52" s="3523"/>
      <c r="O52" s="3523"/>
      <c r="P52" s="3523"/>
      <c r="Q52" s="3523"/>
      <c r="R52" s="3524"/>
      <c r="S52" s="4"/>
      <c r="T52" s="4"/>
      <c r="U52" s="4"/>
      <c r="V52" s="4"/>
      <c r="W52" s="4"/>
      <c r="X52" s="5"/>
      <c r="Y52" s="4"/>
      <c r="Z52" s="4"/>
      <c r="AA52" s="4"/>
      <c r="AB52" s="4"/>
      <c r="AC52" s="4"/>
      <c r="AD52" s="4"/>
      <c r="AE52" s="436"/>
      <c r="AF52" s="2491"/>
      <c r="AG52" s="235"/>
    </row>
    <row r="53" spans="2:33" ht="25.5" customHeight="1" thickBot="1">
      <c r="B53" s="2646" t="s">
        <v>1120</v>
      </c>
      <c r="C53" s="2647" t="s">
        <v>134</v>
      </c>
      <c r="D53" s="2648"/>
      <c r="E53" s="2649" t="s">
        <v>699</v>
      </c>
      <c r="F53" s="2649" t="s">
        <v>700</v>
      </c>
      <c r="G53" s="2649" t="s">
        <v>954</v>
      </c>
      <c r="H53" s="2650"/>
      <c r="I53" s="2649" t="s">
        <v>702</v>
      </c>
      <c r="J53" s="2650"/>
      <c r="K53" s="2651" t="s">
        <v>1704</v>
      </c>
      <c r="L53" s="2620"/>
      <c r="M53" s="2649" t="s">
        <v>703</v>
      </c>
      <c r="N53" s="2649" t="s">
        <v>704</v>
      </c>
      <c r="O53" s="2650"/>
      <c r="P53" s="2649" t="s">
        <v>1705</v>
      </c>
      <c r="Q53" s="2650"/>
      <c r="R53" s="2658" t="s">
        <v>1706</v>
      </c>
      <c r="S53" s="4"/>
      <c r="T53" s="4"/>
      <c r="U53" s="4"/>
      <c r="V53" s="4"/>
      <c r="W53" s="4"/>
      <c r="X53" s="5"/>
      <c r="Y53" s="4"/>
      <c r="Z53" s="4"/>
      <c r="AA53" s="4"/>
      <c r="AB53" s="4"/>
      <c r="AC53" s="4"/>
      <c r="AD53" s="4"/>
      <c r="AE53" s="436"/>
      <c r="AF53" s="2492"/>
      <c r="AG53" s="235"/>
    </row>
    <row r="54" spans="2:33" ht="15.75" customHeight="1">
      <c r="B54" s="2638" t="s">
        <v>949</v>
      </c>
      <c r="C54" s="2639">
        <f>L36</f>
        <v>572693209.70651686</v>
      </c>
      <c r="D54" s="2640"/>
      <c r="E54" s="2641">
        <v>3.1920000000000002</v>
      </c>
      <c r="F54" s="2642">
        <v>4.0000000000000002E-4</v>
      </c>
      <c r="G54" s="2643">
        <f>(C54*E54*F54)/1000000000</f>
        <v>7.3121469015328077E-4</v>
      </c>
      <c r="H54" s="2644" t="s">
        <v>966</v>
      </c>
      <c r="I54" s="2645">
        <f>G54*310*12/44*1000</f>
        <v>61.820878349322825</v>
      </c>
      <c r="J54" s="2644" t="s">
        <v>966</v>
      </c>
      <c r="K54" s="3382">
        <f>(I54*310)/1000000</f>
        <v>1.9164472288290074E-2</v>
      </c>
      <c r="L54" s="2621"/>
      <c r="M54" s="2653">
        <v>2.3E-3</v>
      </c>
      <c r="N54" s="2654">
        <f>C54*E54*M54/1000000000</f>
        <v>4.2044844683813637E-3</v>
      </c>
      <c r="O54" s="2655" t="s">
        <v>966</v>
      </c>
      <c r="P54" s="2656">
        <f>N54*1000</f>
        <v>4.2044844683813638</v>
      </c>
      <c r="Q54" s="2655" t="s">
        <v>966</v>
      </c>
      <c r="R54" s="3379">
        <f>(P54*21)/1000000</f>
        <v>8.8294173836008636E-5</v>
      </c>
      <c r="S54" s="4"/>
      <c r="T54" s="4"/>
      <c r="U54" s="4"/>
      <c r="V54" s="4"/>
      <c r="W54" s="4"/>
      <c r="X54" s="5"/>
      <c r="Y54" s="4"/>
      <c r="Z54" s="4"/>
      <c r="AA54" s="4"/>
      <c r="AB54" s="4"/>
      <c r="AC54" s="4"/>
      <c r="AD54" s="4"/>
      <c r="AE54" s="436"/>
      <c r="AF54" s="2494"/>
      <c r="AG54" s="235"/>
    </row>
    <row r="55" spans="2:33" ht="13.5" thickBot="1">
      <c r="B55" s="2495" t="s">
        <v>948</v>
      </c>
      <c r="C55" s="2608">
        <f>K36</f>
        <v>2410011664.7095876</v>
      </c>
      <c r="D55" s="2553"/>
      <c r="E55" s="2535">
        <v>2.8008999999999999</v>
      </c>
      <c r="F55" s="2607">
        <v>4.0000000000000002E-4</v>
      </c>
      <c r="G55" s="2529">
        <f>(C55*E55*F55)/1000000000</f>
        <v>2.7000806686740338E-3</v>
      </c>
      <c r="H55" s="2530" t="s">
        <v>966</v>
      </c>
      <c r="I55" s="2531">
        <f>G55*310*(12/44)*1000</f>
        <v>228.27954744244101</v>
      </c>
      <c r="J55" s="2530" t="s">
        <v>966</v>
      </c>
      <c r="K55" s="3381">
        <f>(I55*310)/1000000</f>
        <v>7.0766659707156704E-2</v>
      </c>
      <c r="L55" s="2622"/>
      <c r="M55" s="2610">
        <v>4.4999999999999998E-2</v>
      </c>
      <c r="N55" s="2611">
        <f>C55*E55*M55/1000000000</f>
        <v>0.30375907522582879</v>
      </c>
      <c r="O55" s="2612" t="s">
        <v>966</v>
      </c>
      <c r="P55" s="2609">
        <f>N55*1000</f>
        <v>303.75907522582878</v>
      </c>
      <c r="Q55" s="2612" t="s">
        <v>966</v>
      </c>
      <c r="R55" s="3380">
        <f>(P55*21)/1000000</f>
        <v>6.3789405797424039E-3</v>
      </c>
      <c r="S55" s="4"/>
      <c r="T55" s="4"/>
      <c r="U55" s="4"/>
      <c r="V55" s="4"/>
      <c r="W55" s="4"/>
      <c r="X55" s="5"/>
      <c r="Y55" s="4"/>
      <c r="Z55" s="4"/>
      <c r="AA55" s="4"/>
      <c r="AB55" s="4"/>
      <c r="AC55" s="4"/>
      <c r="AD55" s="4"/>
      <c r="AE55" s="436"/>
      <c r="AF55" s="2494"/>
      <c r="AG55" s="235"/>
    </row>
    <row r="56" spans="2:33" ht="12.75" customHeight="1" thickBot="1">
      <c r="B56" s="2637"/>
      <c r="C56" s="2629"/>
      <c r="D56" s="2630"/>
      <c r="E56" s="2631"/>
      <c r="F56" s="2631"/>
      <c r="G56" s="2632" t="s">
        <v>1704</v>
      </c>
      <c r="H56" s="2633"/>
      <c r="I56" s="2634"/>
      <c r="J56" s="2633"/>
      <c r="K56" s="2635">
        <f>(K54+K55)</f>
        <v>8.9931131995446778E-2</v>
      </c>
      <c r="L56" s="2623"/>
      <c r="M56" s="2617"/>
      <c r="N56" s="2615"/>
      <c r="O56" s="2616"/>
      <c r="P56" s="2618"/>
      <c r="Q56" s="2616"/>
      <c r="R56" s="2659">
        <f>SUM(R54:R55)</f>
        <v>6.4672347535784129E-3</v>
      </c>
      <c r="S56" s="4"/>
      <c r="T56" s="4"/>
      <c r="U56" s="4"/>
      <c r="V56" s="4"/>
      <c r="W56" s="4"/>
      <c r="X56" s="5"/>
      <c r="Y56" s="4"/>
      <c r="Z56" s="4"/>
      <c r="AA56" s="4"/>
      <c r="AB56" s="4"/>
      <c r="AC56" s="4"/>
      <c r="AD56" s="4"/>
      <c r="AE56" s="436"/>
      <c r="AF56" s="2494"/>
      <c r="AG56" s="235"/>
    </row>
    <row r="57" spans="2:33" ht="12" thickBot="1">
      <c r="B57" s="2484"/>
      <c r="C57" s="114"/>
      <c r="D57" s="114"/>
      <c r="E57" s="114"/>
      <c r="F57" s="114"/>
      <c r="G57" s="114"/>
      <c r="H57" s="114"/>
      <c r="I57" s="114"/>
      <c r="J57" s="114"/>
      <c r="K57" s="114"/>
      <c r="L57" s="114"/>
      <c r="M57" s="114"/>
      <c r="N57" s="114"/>
      <c r="O57" s="114"/>
      <c r="P57" s="114"/>
      <c r="Q57" s="114"/>
      <c r="R57" s="2485"/>
    </row>
    <row r="58" spans="2:33" ht="12" thickTop="1"/>
  </sheetData>
  <sheetProtection password="CD58" sheet="1" objects="1" scenarios="1"/>
  <mergeCells count="7">
    <mergeCell ref="J4:M4"/>
    <mergeCell ref="J5:M5"/>
    <mergeCell ref="M52:R52"/>
    <mergeCell ref="D52:K52"/>
    <mergeCell ref="A2:K2"/>
    <mergeCell ref="B4:H4"/>
    <mergeCell ref="C6:G6"/>
  </mergeCells>
  <printOptions gridLines="1"/>
  <pageMargins left="0.38" right="0.7" top="0.23" bottom="0.32" header="0.3" footer="0.3"/>
  <pageSetup paperSize="5" scale="80" orientation="landscape" r:id="rId1"/>
  <drawing r:id="rId2"/>
</worksheet>
</file>

<file path=xl/worksheets/sheet9.xml><?xml version="1.0" encoding="utf-8"?>
<worksheet xmlns="http://schemas.openxmlformats.org/spreadsheetml/2006/main" xmlns:r="http://schemas.openxmlformats.org/officeDocument/2006/relationships">
  <dimension ref="A1:AH61"/>
  <sheetViews>
    <sheetView zoomScale="86" zoomScaleNormal="86" workbookViewId="0">
      <selection activeCell="O13" sqref="O13"/>
    </sheetView>
  </sheetViews>
  <sheetFormatPr defaultRowHeight="11.25"/>
  <cols>
    <col min="1" max="1" width="1.83203125" style="2477" customWidth="1"/>
    <col min="2" max="2" width="58.33203125" style="2477" customWidth="1"/>
    <col min="3" max="3" width="24.6640625" style="2477" customWidth="1"/>
    <col min="4" max="4" width="4" style="2477" customWidth="1"/>
    <col min="5" max="5" width="30.83203125" style="2477" customWidth="1"/>
    <col min="6" max="6" width="2.6640625" style="2477" customWidth="1"/>
    <col min="7" max="7" width="20" style="2477" bestFit="1" customWidth="1"/>
    <col min="8" max="8" width="2.6640625" style="2477" customWidth="1"/>
    <col min="9" max="9" width="18.5" style="2477" bestFit="1" customWidth="1"/>
    <col min="10" max="10" width="2.1640625" style="2477" customWidth="1"/>
    <col min="11" max="11" width="26.1640625" style="2477" customWidth="1"/>
    <col min="12" max="12" width="2.1640625" style="2477" customWidth="1"/>
    <col min="13" max="13" width="19.33203125" style="2477" customWidth="1"/>
    <col min="14" max="14" width="2.1640625" style="2477" customWidth="1"/>
    <col min="15" max="15" width="17.83203125" style="2477" customWidth="1"/>
    <col min="16" max="16" width="2.33203125" style="2477" customWidth="1"/>
    <col min="17" max="17" width="16" style="2477" customWidth="1"/>
    <col min="18" max="18" width="13.83203125" style="2477" customWidth="1"/>
    <col min="19" max="19" width="18" style="2477" customWidth="1"/>
    <col min="20" max="20" width="18.83203125" style="2477" customWidth="1"/>
    <col min="21" max="21" width="2.1640625" style="2477" customWidth="1"/>
    <col min="22" max="22" width="10.1640625" style="2477" customWidth="1"/>
    <col min="23" max="23" width="2.5" style="2477" customWidth="1"/>
    <col min="24" max="24" width="15.1640625" style="2477" customWidth="1"/>
    <col min="25" max="25" width="2.6640625" style="2477" customWidth="1"/>
    <col min="26" max="26" width="14.83203125" style="2477" bestFit="1" customWidth="1"/>
    <col min="27" max="27" width="15.5" style="2477" customWidth="1"/>
    <col min="28" max="28" width="2.6640625" style="2477" customWidth="1"/>
    <col min="29" max="29" width="12.33203125" style="2477" customWidth="1"/>
    <col min="30" max="30" width="1.5" style="2477" customWidth="1"/>
    <col min="31" max="31" width="16.5" style="2477" customWidth="1"/>
    <col min="32" max="32" width="1.5" style="2477" customWidth="1"/>
    <col min="33" max="16384" width="9.33203125" style="2477"/>
  </cols>
  <sheetData>
    <row r="1" spans="1:13" s="1844" customFormat="1" ht="33">
      <c r="A1" s="230" t="s">
        <v>1707</v>
      </c>
      <c r="B1" s="231"/>
      <c r="E1" s="479"/>
    </row>
    <row r="2" spans="1:13" s="1844" customFormat="1" ht="12" thickBot="1">
      <c r="A2" s="3526"/>
      <c r="B2" s="3526"/>
      <c r="C2" s="3526"/>
      <c r="D2" s="3526"/>
      <c r="E2" s="3526"/>
      <c r="F2" s="3526"/>
      <c r="G2" s="3526"/>
      <c r="H2" s="3526"/>
      <c r="I2" s="3526"/>
      <c r="J2" s="3526"/>
      <c r="K2" s="3526"/>
    </row>
    <row r="3" spans="1:13" ht="21">
      <c r="B3" s="2496" t="s">
        <v>128</v>
      </c>
      <c r="C3" s="2497"/>
      <c r="D3" s="2497"/>
      <c r="E3" s="2497"/>
      <c r="F3" s="2497"/>
      <c r="G3" s="1379"/>
      <c r="I3" s="3280"/>
      <c r="J3" s="3280"/>
      <c r="K3" s="3280"/>
    </row>
    <row r="4" spans="1:13" ht="18.75">
      <c r="B4" s="2498" t="s">
        <v>1371</v>
      </c>
      <c r="C4" s="2499" t="s">
        <v>173</v>
      </c>
      <c r="D4" s="4"/>
      <c r="E4" s="2499" t="s">
        <v>1071</v>
      </c>
      <c r="F4" s="4"/>
      <c r="G4" s="2500" t="s">
        <v>110</v>
      </c>
    </row>
    <row r="5" spans="1:13">
      <c r="B5" s="1117" t="s">
        <v>129</v>
      </c>
      <c r="C5" s="2501">
        <v>39</v>
      </c>
      <c r="D5" s="4"/>
      <c r="E5" s="2501">
        <f t="shared" ref="E5:E10" si="0">C5*42*1000</f>
        <v>1638000</v>
      </c>
      <c r="F5" s="4"/>
      <c r="G5" s="2502">
        <v>196</v>
      </c>
      <c r="I5" s="21"/>
    </row>
    <row r="6" spans="1:13">
      <c r="B6" s="1117" t="s">
        <v>1708</v>
      </c>
      <c r="C6" s="2667">
        <v>1655</v>
      </c>
      <c r="D6" s="2668"/>
      <c r="E6" s="2667">
        <f>C6*42*1000</f>
        <v>69510000</v>
      </c>
      <c r="F6" s="2668"/>
      <c r="G6" s="2669">
        <v>9381</v>
      </c>
      <c r="I6" s="2667"/>
      <c r="K6" s="2503"/>
    </row>
    <row r="7" spans="1:13">
      <c r="B7" s="2703" t="s">
        <v>130</v>
      </c>
      <c r="C7" s="2504">
        <v>352</v>
      </c>
      <c r="D7" s="4"/>
      <c r="E7" s="2504">
        <f t="shared" si="0"/>
        <v>14784000</v>
      </c>
      <c r="F7" s="4"/>
      <c r="G7" s="2505">
        <v>2135</v>
      </c>
      <c r="I7" s="21"/>
    </row>
    <row r="8" spans="1:13" ht="12.75">
      <c r="B8" s="2707" t="s">
        <v>135</v>
      </c>
      <c r="C8" s="2501">
        <f>E8/(42*1000)</f>
        <v>387.74866666666668</v>
      </c>
      <c r="D8" s="1923"/>
      <c r="E8" s="2501">
        <v>16285444</v>
      </c>
      <c r="F8" s="1923"/>
      <c r="G8" s="2502"/>
      <c r="I8" s="21"/>
    </row>
    <row r="9" spans="1:13" ht="12.75">
      <c r="B9" s="2708" t="s">
        <v>1709</v>
      </c>
      <c r="C9" s="2501">
        <f>E9/(42*1000)</f>
        <v>85.333333333333329</v>
      </c>
      <c r="D9" s="1923"/>
      <c r="E9" s="2501">
        <v>3584000</v>
      </c>
      <c r="F9" s="1923"/>
      <c r="G9" s="2502"/>
      <c r="I9" s="21"/>
    </row>
    <row r="10" spans="1:13" ht="12" thickBot="1">
      <c r="B10" s="2704" t="s">
        <v>1729</v>
      </c>
      <c r="C10" s="2705">
        <v>58</v>
      </c>
      <c r="D10" s="7"/>
      <c r="E10" s="2705">
        <f t="shared" si="0"/>
        <v>2436000</v>
      </c>
      <c r="F10" s="7"/>
      <c r="G10" s="2706">
        <v>363</v>
      </c>
      <c r="I10" s="21"/>
    </row>
    <row r="11" spans="1:13">
      <c r="E11" s="52"/>
    </row>
    <row r="12" spans="1:13" s="411" customFormat="1" ht="15.75" thickBot="1">
      <c r="A12" s="2335"/>
      <c r="B12" s="2506" t="s">
        <v>132</v>
      </c>
      <c r="E12" s="2477"/>
      <c r="J12" s="442"/>
    </row>
    <row r="13" spans="1:13" s="411" customFormat="1" ht="15">
      <c r="A13" s="2335"/>
      <c r="B13" s="2507" t="s">
        <v>213</v>
      </c>
      <c r="C13" s="2508">
        <v>120452</v>
      </c>
      <c r="D13" s="2509" t="s">
        <v>133</v>
      </c>
      <c r="E13" s="2510"/>
      <c r="J13" s="442"/>
    </row>
    <row r="14" spans="1:13" s="411" customFormat="1" ht="15.75" thickBot="1">
      <c r="A14" s="2335"/>
      <c r="B14" s="2511" t="s">
        <v>215</v>
      </c>
      <c r="C14" s="2512">
        <v>137381</v>
      </c>
      <c r="D14" s="2513" t="s">
        <v>133</v>
      </c>
      <c r="E14" s="2514"/>
      <c r="J14" s="442"/>
    </row>
    <row r="15" spans="1:13" s="411" customFormat="1" ht="15">
      <c r="A15" s="404"/>
      <c r="B15" s="404"/>
      <c r="C15" s="404"/>
      <c r="D15" s="3532"/>
      <c r="E15" s="3533"/>
      <c r="F15" s="404"/>
      <c r="G15" s="404"/>
      <c r="H15" s="404"/>
      <c r="I15" s="404"/>
      <c r="J15" s="901"/>
      <c r="K15" s="404"/>
      <c r="L15" s="404"/>
      <c r="M15" s="404"/>
    </row>
    <row r="16" spans="1:13" s="411" customFormat="1" ht="15.75" thickBot="1">
      <c r="A16" s="404"/>
      <c r="B16" s="404"/>
      <c r="C16" s="404"/>
      <c r="D16" s="900"/>
      <c r="E16" s="892"/>
      <c r="F16" s="404"/>
      <c r="G16" s="404"/>
      <c r="H16" s="404"/>
      <c r="I16" s="404"/>
      <c r="J16" s="901"/>
      <c r="K16" s="404"/>
      <c r="L16" s="404"/>
      <c r="M16" s="404"/>
    </row>
    <row r="17" spans="2:34" s="411" customFormat="1" ht="21.75" thickTop="1">
      <c r="B17" s="902" t="s">
        <v>953</v>
      </c>
      <c r="C17" s="903"/>
      <c r="D17" s="903"/>
      <c r="E17" s="903"/>
      <c r="F17" s="903"/>
      <c r="G17" s="903"/>
      <c r="H17" s="903"/>
      <c r="I17" s="903"/>
      <c r="J17" s="865"/>
      <c r="K17" s="865"/>
      <c r="L17" s="865"/>
      <c r="M17" s="903"/>
      <c r="N17" s="903"/>
      <c r="O17" s="903"/>
      <c r="P17" s="2515"/>
      <c r="Q17" s="903"/>
      <c r="R17" s="903"/>
      <c r="S17" s="903"/>
      <c r="T17" s="903"/>
      <c r="U17" s="903"/>
      <c r="V17" s="903"/>
      <c r="W17" s="903"/>
      <c r="X17" s="903"/>
      <c r="Y17" s="2515"/>
      <c r="Z17" s="903"/>
      <c r="AA17" s="903"/>
      <c r="AB17" s="903"/>
      <c r="AC17" s="903"/>
      <c r="AD17" s="903"/>
      <c r="AE17" s="903"/>
      <c r="AF17" s="904"/>
    </row>
    <row r="18" spans="2:34" ht="21.75" thickBot="1">
      <c r="B18" s="905" t="s">
        <v>1718</v>
      </c>
      <c r="C18" s="2489"/>
      <c r="D18" s="906"/>
      <c r="E18" s="906"/>
      <c r="F18" s="2489"/>
      <c r="G18" s="2489"/>
      <c r="H18" s="2489"/>
      <c r="I18" s="2489"/>
      <c r="J18" s="2489"/>
      <c r="K18" s="2489"/>
      <c r="L18" s="2489"/>
      <c r="M18" s="2489"/>
      <c r="N18" s="2489"/>
      <c r="O18" s="2489"/>
      <c r="P18" s="901"/>
      <c r="Q18" s="404"/>
      <c r="R18" s="404"/>
      <c r="S18" s="404"/>
      <c r="T18" s="4"/>
      <c r="U18" s="4"/>
      <c r="V18" s="4"/>
      <c r="W18" s="4"/>
      <c r="X18" s="4"/>
      <c r="Y18" s="5"/>
      <c r="Z18" s="4"/>
      <c r="AA18" s="4"/>
      <c r="AB18" s="4"/>
      <c r="AC18" s="4"/>
      <c r="AD18" s="4"/>
      <c r="AE18" s="4"/>
      <c r="AF18" s="899"/>
    </row>
    <row r="19" spans="2:34" ht="14.25" thickTop="1" thickBot="1">
      <c r="B19" s="907"/>
      <c r="C19" s="4"/>
      <c r="D19" s="4"/>
      <c r="E19" s="2490"/>
      <c r="F19" s="908"/>
      <c r="G19" s="908"/>
      <c r="H19" s="2490"/>
      <c r="I19" s="2490"/>
      <c r="J19" s="2490"/>
      <c r="K19" s="2516"/>
      <c r="L19" s="2517"/>
      <c r="M19" s="911" t="s">
        <v>950</v>
      </c>
      <c r="N19" s="2517"/>
      <c r="O19" s="2518"/>
      <c r="P19" s="2490"/>
      <c r="Q19" s="2516"/>
      <c r="R19" s="2517"/>
      <c r="S19" s="2517"/>
      <c r="T19" s="911" t="s">
        <v>951</v>
      </c>
      <c r="U19" s="912"/>
      <c r="V19" s="912"/>
      <c r="W19" s="912"/>
      <c r="X19" s="913"/>
      <c r="Y19" s="5"/>
      <c r="Z19" s="914"/>
      <c r="AA19" s="915" t="s">
        <v>952</v>
      </c>
      <c r="AB19" s="911"/>
      <c r="AC19" s="911"/>
      <c r="AD19" s="911"/>
      <c r="AE19" s="913"/>
      <c r="AF19" s="899"/>
    </row>
    <row r="20" spans="2:34" s="234" customFormat="1" ht="12.75">
      <c r="B20" s="2743"/>
      <c r="C20" s="2744" t="s">
        <v>106</v>
      </c>
      <c r="D20" s="2745"/>
      <c r="E20" s="2744" t="s">
        <v>106</v>
      </c>
      <c r="F20" s="2744"/>
      <c r="G20" s="2744" t="s">
        <v>107</v>
      </c>
      <c r="H20" s="2746"/>
      <c r="I20" s="2744" t="s">
        <v>152</v>
      </c>
      <c r="J20" s="2755"/>
      <c r="K20" s="2757" t="s">
        <v>108</v>
      </c>
      <c r="L20" s="2746"/>
      <c r="M20" s="2747" t="s">
        <v>108</v>
      </c>
      <c r="N20" s="2746"/>
      <c r="O20" s="2758" t="s">
        <v>108</v>
      </c>
      <c r="P20" s="2740"/>
      <c r="Q20" s="2761"/>
      <c r="R20" s="2746"/>
      <c r="S20" s="2746"/>
      <c r="T20" s="2745"/>
      <c r="U20" s="2745"/>
      <c r="V20" s="2745"/>
      <c r="W20" s="2745"/>
      <c r="X20" s="2748"/>
      <c r="Y20" s="2739"/>
      <c r="Z20" s="2763"/>
      <c r="AA20" s="2745"/>
      <c r="AB20" s="2745"/>
      <c r="AC20" s="2745"/>
      <c r="AD20" s="2745"/>
      <c r="AE20" s="2748"/>
      <c r="AF20" s="456"/>
    </row>
    <row r="21" spans="2:34" s="234" customFormat="1" ht="24" thickBot="1">
      <c r="B21" s="2749" t="s">
        <v>1120</v>
      </c>
      <c r="C21" s="2750" t="s">
        <v>134</v>
      </c>
      <c r="D21" s="2751"/>
      <c r="E21" s="2750" t="s">
        <v>110</v>
      </c>
      <c r="F21" s="2752"/>
      <c r="G21" s="2750" t="s">
        <v>153</v>
      </c>
      <c r="H21" s="2752"/>
      <c r="I21" s="2750" t="s">
        <v>154</v>
      </c>
      <c r="J21" s="2756"/>
      <c r="K21" s="2759" t="s">
        <v>155</v>
      </c>
      <c r="L21" s="2750"/>
      <c r="M21" s="2750" t="s">
        <v>1072</v>
      </c>
      <c r="N21" s="2752"/>
      <c r="O21" s="2760" t="s">
        <v>404</v>
      </c>
      <c r="P21" s="2741"/>
      <c r="Q21" s="2762" t="s">
        <v>698</v>
      </c>
      <c r="R21" s="2753" t="s">
        <v>699</v>
      </c>
      <c r="S21" s="2753" t="s">
        <v>700</v>
      </c>
      <c r="T21" s="2753" t="s">
        <v>701</v>
      </c>
      <c r="U21" s="2751"/>
      <c r="V21" s="2753" t="s">
        <v>1710</v>
      </c>
      <c r="W21" s="2751"/>
      <c r="X21" s="2754" t="s">
        <v>1704</v>
      </c>
      <c r="Y21" s="2742"/>
      <c r="Z21" s="2762" t="s">
        <v>703</v>
      </c>
      <c r="AA21" s="2753" t="s">
        <v>704</v>
      </c>
      <c r="AB21" s="2751"/>
      <c r="AC21" s="2753" t="s">
        <v>1705</v>
      </c>
      <c r="AD21" s="2751"/>
      <c r="AE21" s="2754" t="s">
        <v>1706</v>
      </c>
      <c r="AF21" s="456"/>
    </row>
    <row r="22" spans="2:34" s="234" customFormat="1" ht="12.75">
      <c r="B22" s="2636" t="s">
        <v>896</v>
      </c>
      <c r="C22" s="2709">
        <f>E5</f>
        <v>1638000</v>
      </c>
      <c r="D22" s="2710"/>
      <c r="E22" s="2711">
        <f>G5</f>
        <v>196</v>
      </c>
      <c r="F22" s="2712" t="s">
        <v>965</v>
      </c>
      <c r="G22" s="2713">
        <v>41.57</v>
      </c>
      <c r="H22" s="2712" t="s">
        <v>965</v>
      </c>
      <c r="I22" s="2714">
        <v>1</v>
      </c>
      <c r="J22" s="2726" t="s">
        <v>966</v>
      </c>
      <c r="K22" s="2728">
        <f>E22*1000*G22*I22/2000</f>
        <v>4073.86</v>
      </c>
      <c r="L22" s="2522" t="s">
        <v>966</v>
      </c>
      <c r="M22" s="2716">
        <f>K22*0.90718/1000000</f>
        <v>3.6957243148000004E-3</v>
      </c>
      <c r="N22" s="2522" t="s">
        <v>966</v>
      </c>
      <c r="O22" s="2729">
        <f>M22*44/12</f>
        <v>1.3550989154266668E-2</v>
      </c>
      <c r="P22" s="2730"/>
      <c r="Q22" s="2732">
        <v>22.257999999999999</v>
      </c>
      <c r="R22" s="2710"/>
      <c r="S22" s="2717">
        <v>0.04</v>
      </c>
      <c r="T22" s="2521">
        <f>E22*1000*Q22*S22/1000000000</f>
        <v>1.7450272000000001E-4</v>
      </c>
      <c r="U22" s="2522" t="s">
        <v>966</v>
      </c>
      <c r="V22" s="3078">
        <f>T22*1000</f>
        <v>0.17450272</v>
      </c>
      <c r="W22" s="2522" t="s">
        <v>966</v>
      </c>
      <c r="X22" s="2523">
        <f>(V22*310)/1000000</f>
        <v>5.4095843199999999E-5</v>
      </c>
      <c r="Y22" s="2736"/>
      <c r="Z22" s="2738">
        <v>2.64</v>
      </c>
      <c r="AA22" s="2718">
        <f>E22*1000*Q22*Z22/1000000000</f>
        <v>1.1517179520000002E-2</v>
      </c>
      <c r="AB22" s="2522" t="s">
        <v>966</v>
      </c>
      <c r="AC22" s="2719">
        <f>AA22*1000</f>
        <v>11.517179520000003</v>
      </c>
      <c r="AD22" s="2522" t="s">
        <v>966</v>
      </c>
      <c r="AE22" s="2720">
        <f>AC22*21/1000000</f>
        <v>2.4186076992000006E-4</v>
      </c>
      <c r="AF22" s="456"/>
    </row>
    <row r="23" spans="2:34" s="234" customFormat="1" ht="12.75">
      <c r="B23" s="2495" t="s">
        <v>898</v>
      </c>
      <c r="C23" s="2559">
        <f>E6</f>
        <v>69510000</v>
      </c>
      <c r="D23" s="2553"/>
      <c r="E23" s="2524">
        <f>G6</f>
        <v>9381</v>
      </c>
      <c r="F23" s="2556" t="s">
        <v>965</v>
      </c>
      <c r="G23" s="2525">
        <v>43.431818181818173</v>
      </c>
      <c r="H23" s="2556" t="s">
        <v>965</v>
      </c>
      <c r="I23" s="2526">
        <v>1</v>
      </c>
      <c r="J23" s="2727" t="s">
        <v>966</v>
      </c>
      <c r="K23" s="444">
        <f>E23*1000*G23*I23/2000</f>
        <v>203716.94318181812</v>
      </c>
      <c r="L23" s="2530" t="s">
        <v>966</v>
      </c>
      <c r="M23" s="2527">
        <f>K23*0.90718/1000000</f>
        <v>0.18480793651568175</v>
      </c>
      <c r="N23" s="2530" t="s">
        <v>966</v>
      </c>
      <c r="O23" s="445">
        <f>M23*44/12</f>
        <v>0.6776291005574997</v>
      </c>
      <c r="P23" s="2731"/>
      <c r="Q23" s="2528">
        <v>22.24</v>
      </c>
      <c r="R23" s="2553"/>
      <c r="S23" s="2721">
        <v>0.1</v>
      </c>
      <c r="T23" s="2529">
        <f>E23*1000*Q23*S23/1000000000</f>
        <v>2.0863343999999999E-2</v>
      </c>
      <c r="U23" s="2530" t="s">
        <v>966</v>
      </c>
      <c r="V23" s="3079">
        <f>T23*1000</f>
        <v>20.863343999999998</v>
      </c>
      <c r="W23" s="2530" t="s">
        <v>966</v>
      </c>
      <c r="X23" s="2532">
        <f>(V23*310)/1000000</f>
        <v>6.4676366399999997E-3</v>
      </c>
      <c r="Y23" s="2737"/>
      <c r="Z23" s="2493">
        <v>8.7000000000000008E-2</v>
      </c>
      <c r="AA23" s="2557">
        <f>E23*1000*Q23*Z23/1000000000</f>
        <v>1.8151109280000001E-2</v>
      </c>
      <c r="AB23" s="2530" t="s">
        <v>966</v>
      </c>
      <c r="AC23" s="2558">
        <f>AA23*1000</f>
        <v>18.15110928</v>
      </c>
      <c r="AD23" s="2530" t="s">
        <v>966</v>
      </c>
      <c r="AE23" s="2722">
        <f>AC23*21/1000000</f>
        <v>3.8117329488000003E-4</v>
      </c>
      <c r="AF23" s="456"/>
    </row>
    <row r="24" spans="2:34" s="234" customFormat="1" ht="12.75">
      <c r="B24" s="2495" t="s">
        <v>135</v>
      </c>
      <c r="C24" s="2555">
        <f>E8</f>
        <v>16285444</v>
      </c>
      <c r="D24" s="2553"/>
      <c r="E24" s="2524">
        <f>C24*$C$14/1000000000</f>
        <v>2237.3105821640002</v>
      </c>
      <c r="F24" s="2556" t="s">
        <v>965</v>
      </c>
      <c r="G24" s="2533">
        <v>44.47</v>
      </c>
      <c r="H24" s="2556" t="s">
        <v>965</v>
      </c>
      <c r="I24" s="2526">
        <v>1</v>
      </c>
      <c r="J24" s="2727" t="s">
        <v>966</v>
      </c>
      <c r="K24" s="444">
        <f>E24*1000*G24*I24/2000</f>
        <v>49746.600794416547</v>
      </c>
      <c r="L24" s="2530" t="s">
        <v>966</v>
      </c>
      <c r="M24" s="2527">
        <f>K24*0.90718/1000000</f>
        <v>4.5129121308678806E-2</v>
      </c>
      <c r="N24" s="2530" t="s">
        <v>966</v>
      </c>
      <c r="O24" s="445">
        <f>M24*44/12</f>
        <v>0.16547344479848894</v>
      </c>
      <c r="P24" s="2731"/>
      <c r="Q24" s="2733"/>
      <c r="R24" s="2534">
        <v>3.1920000000000002</v>
      </c>
      <c r="S24" s="2535">
        <v>0.08</v>
      </c>
      <c r="T24" s="2529">
        <f>C24*R24*S24/1000000000</f>
        <v>4.1586509798399998E-3</v>
      </c>
      <c r="U24" s="2530" t="s">
        <v>966</v>
      </c>
      <c r="V24" s="3079">
        <f>T24*1000</f>
        <v>4.15865097984</v>
      </c>
      <c r="W24" s="2530" t="s">
        <v>966</v>
      </c>
      <c r="X24" s="2734">
        <f>(V24*310)/1000000</f>
        <v>1.2891818037503999E-3</v>
      </c>
      <c r="Y24" s="2737"/>
      <c r="Z24" s="2493">
        <v>0.25</v>
      </c>
      <c r="AA24" s="2557">
        <f>C24*R24*Z24/1000000000</f>
        <v>1.2995784312E-2</v>
      </c>
      <c r="AB24" s="2530" t="s">
        <v>966</v>
      </c>
      <c r="AC24" s="2558">
        <f>AA24*1000</f>
        <v>12.995784312</v>
      </c>
      <c r="AD24" s="2530" t="s">
        <v>966</v>
      </c>
      <c r="AE24" s="2722">
        <f>(AC24*21)/1000000</f>
        <v>2.7291147055199996E-4</v>
      </c>
      <c r="AF24" s="235"/>
      <c r="AG24" s="2536"/>
      <c r="AH24" s="235"/>
    </row>
    <row r="25" spans="2:34" s="234" customFormat="1" ht="12.75">
      <c r="B25" s="2495"/>
      <c r="C25" s="2553"/>
      <c r="D25" s="2553"/>
      <c r="E25" s="2723"/>
      <c r="F25" s="2556"/>
      <c r="G25" s="2724"/>
      <c r="H25" s="2556"/>
      <c r="I25" s="2725"/>
      <c r="J25" s="2727"/>
      <c r="K25" s="444"/>
      <c r="L25" s="2530"/>
      <c r="M25" s="2527"/>
      <c r="N25" s="2530"/>
      <c r="O25" s="2537">
        <f>SUM(O22:O24)</f>
        <v>0.85665353451025528</v>
      </c>
      <c r="P25" s="2731"/>
      <c r="Q25" s="2735"/>
      <c r="R25" s="2554"/>
      <c r="S25" s="2554"/>
      <c r="T25" s="2553"/>
      <c r="U25" s="2553"/>
      <c r="V25" s="3080"/>
      <c r="W25" s="2553"/>
      <c r="X25" s="2806">
        <f>SUM(X22:X24)</f>
        <v>7.8109142869503996E-3</v>
      </c>
      <c r="Y25" s="2737"/>
      <c r="Z25" s="2733"/>
      <c r="AA25" s="2553"/>
      <c r="AB25" s="2553"/>
      <c r="AC25" s="2561"/>
      <c r="AD25" s="2553"/>
      <c r="AE25" s="2806">
        <f>SUM(AE22:AE24)</f>
        <v>8.9594553535200002E-4</v>
      </c>
      <c r="AF25" s="456"/>
    </row>
    <row r="26" spans="2:34" s="234" customFormat="1" ht="13.5" thickBot="1">
      <c r="B26" s="898"/>
      <c r="C26" s="909"/>
      <c r="D26" s="235"/>
      <c r="E26" s="443"/>
      <c r="F26" s="443"/>
      <c r="G26" s="443"/>
      <c r="H26" s="443"/>
      <c r="I26" s="443"/>
      <c r="J26" s="443"/>
      <c r="K26" s="447"/>
      <c r="L26" s="448"/>
      <c r="M26" s="449"/>
      <c r="N26" s="450"/>
      <c r="O26" s="478"/>
      <c r="P26" s="438"/>
      <c r="Q26" s="451"/>
      <c r="R26" s="452"/>
      <c r="S26" s="452"/>
      <c r="T26" s="453"/>
      <c r="U26" s="453"/>
      <c r="V26" s="3081"/>
      <c r="W26" s="453"/>
      <c r="X26" s="454"/>
      <c r="Y26" s="436"/>
      <c r="Z26" s="455"/>
      <c r="AA26" s="453"/>
      <c r="AB26" s="453"/>
      <c r="AC26" s="453"/>
      <c r="AD26" s="453"/>
      <c r="AE26" s="454"/>
      <c r="AF26" s="456"/>
    </row>
    <row r="27" spans="2:34" ht="12.75" thickTop="1" thickBot="1">
      <c r="B27" s="866"/>
      <c r="C27" s="549"/>
      <c r="D27" s="549"/>
      <c r="E27" s="549"/>
      <c r="F27" s="549"/>
      <c r="G27" s="549"/>
      <c r="H27" s="549"/>
      <c r="I27" s="549"/>
      <c r="J27" s="549"/>
      <c r="K27" s="549"/>
      <c r="L27" s="549"/>
      <c r="M27" s="549"/>
      <c r="N27" s="549"/>
      <c r="O27" s="549"/>
      <c r="P27" s="2538"/>
      <c r="Q27" s="549"/>
      <c r="R27" s="549"/>
      <c r="S27" s="549"/>
      <c r="T27" s="549"/>
      <c r="U27" s="549"/>
      <c r="V27" s="3082"/>
      <c r="W27" s="549"/>
      <c r="X27" s="549"/>
      <c r="Y27" s="2538"/>
      <c r="Z27" s="549"/>
      <c r="AA27" s="549"/>
      <c r="AB27" s="549"/>
      <c r="AC27" s="549"/>
      <c r="AD27" s="549"/>
      <c r="AE27" s="549"/>
      <c r="AF27" s="867"/>
    </row>
    <row r="28" spans="2:34" ht="12.75" thickTop="1" thickBot="1">
      <c r="B28" s="128"/>
      <c r="C28" s="128"/>
      <c r="D28" s="128"/>
      <c r="E28" s="128"/>
      <c r="F28" s="128"/>
      <c r="G28" s="128"/>
      <c r="H28" s="128"/>
      <c r="M28" s="128"/>
      <c r="N28" s="128"/>
      <c r="O28" s="128"/>
      <c r="P28" s="128"/>
      <c r="Q28" s="128"/>
      <c r="R28" s="128"/>
      <c r="S28" s="128"/>
      <c r="V28" s="2883"/>
    </row>
    <row r="29" spans="2:34" ht="21.75" thickBot="1">
      <c r="B29" s="2539" t="s">
        <v>953</v>
      </c>
      <c r="C29" s="2509"/>
      <c r="D29" s="2509"/>
      <c r="E29" s="2509"/>
      <c r="F29" s="2509"/>
      <c r="G29" s="2509"/>
      <c r="H29" s="2509"/>
      <c r="I29" s="2509"/>
      <c r="J29" s="491"/>
      <c r="K29" s="491"/>
      <c r="L29" s="491"/>
      <c r="M29" s="2509"/>
      <c r="N29" s="2509"/>
      <c r="O29" s="2509"/>
      <c r="P29" s="2540"/>
      <c r="Q29" s="2764"/>
      <c r="R29" s="2764"/>
      <c r="S29" s="2764"/>
      <c r="T29" s="2764"/>
      <c r="U29" s="2764"/>
      <c r="V29" s="3083"/>
      <c r="W29" s="2764"/>
      <c r="X29" s="2764"/>
      <c r="Y29" s="2540"/>
      <c r="Z29" s="2764"/>
      <c r="AA29" s="2764"/>
      <c r="AB29" s="2764"/>
      <c r="AC29" s="2764"/>
      <c r="AD29" s="2764"/>
      <c r="AE29" s="2764"/>
      <c r="AF29" s="492"/>
    </row>
    <row r="30" spans="2:34" ht="21.75" thickBot="1">
      <c r="B30" s="2541" t="s">
        <v>1719</v>
      </c>
      <c r="C30" s="2542"/>
      <c r="D30" s="2543"/>
      <c r="E30" s="2543"/>
      <c r="F30" s="2542"/>
      <c r="G30" s="2542"/>
      <c r="H30" s="2542"/>
      <c r="I30" s="2542"/>
      <c r="J30" s="2542"/>
      <c r="K30" s="2791"/>
      <c r="L30" s="2791"/>
      <c r="M30" s="2791"/>
      <c r="N30" s="2791"/>
      <c r="O30" s="2791"/>
      <c r="P30" s="2777"/>
      <c r="Q30" s="2781"/>
      <c r="R30" s="2782"/>
      <c r="S30" s="2782"/>
      <c r="T30" s="2766"/>
      <c r="U30" s="2766"/>
      <c r="V30" s="3084"/>
      <c r="W30" s="2766"/>
      <c r="X30" s="2767"/>
      <c r="Y30" s="2779"/>
      <c r="Z30" s="2765"/>
      <c r="AA30" s="2766"/>
      <c r="AB30" s="2766"/>
      <c r="AC30" s="2766"/>
      <c r="AD30" s="2766"/>
      <c r="AE30" s="2767"/>
      <c r="AF30" s="2593"/>
    </row>
    <row r="31" spans="2:34" ht="12.75">
      <c r="B31" s="2545"/>
      <c r="C31" s="1924"/>
      <c r="D31" s="1924"/>
      <c r="E31" s="2546"/>
      <c r="F31" s="2547"/>
      <c r="G31" s="2547"/>
      <c r="H31" s="2546"/>
      <c r="I31" s="2546"/>
      <c r="J31" s="2778"/>
      <c r="K31" s="2792"/>
      <c r="L31" s="2793"/>
      <c r="M31" s="2794" t="s">
        <v>950</v>
      </c>
      <c r="N31" s="2793"/>
      <c r="O31" s="2795"/>
      <c r="P31" s="2790"/>
      <c r="Q31" s="2783"/>
      <c r="R31" s="2548"/>
      <c r="S31" s="2548"/>
      <c r="T31" s="2549" t="s">
        <v>951</v>
      </c>
      <c r="U31" s="2550"/>
      <c r="V31" s="3085"/>
      <c r="W31" s="2550"/>
      <c r="X31" s="2769"/>
      <c r="Y31" s="2779"/>
      <c r="Z31" s="2768"/>
      <c r="AA31" s="2551" t="s">
        <v>952</v>
      </c>
      <c r="AB31" s="2549"/>
      <c r="AC31" s="2549"/>
      <c r="AD31" s="2549"/>
      <c r="AE31" s="2769"/>
      <c r="AF31" s="2593"/>
    </row>
    <row r="32" spans="2:34" ht="12.75">
      <c r="B32" s="2830"/>
      <c r="C32" s="2809" t="s">
        <v>106</v>
      </c>
      <c r="D32" s="2831"/>
      <c r="E32" s="2809" t="s">
        <v>106</v>
      </c>
      <c r="F32" s="2809"/>
      <c r="G32" s="2809" t="s">
        <v>107</v>
      </c>
      <c r="H32" s="2810"/>
      <c r="I32" s="2809" t="s">
        <v>152</v>
      </c>
      <c r="J32" s="2789"/>
      <c r="K32" s="2840" t="s">
        <v>108</v>
      </c>
      <c r="L32" s="2810"/>
      <c r="M32" s="2811" t="s">
        <v>108</v>
      </c>
      <c r="N32" s="2810"/>
      <c r="O32" s="2841" t="s">
        <v>108</v>
      </c>
      <c r="P32" s="2731"/>
      <c r="Q32" s="2843"/>
      <c r="R32" s="2810"/>
      <c r="S32" s="2810"/>
      <c r="T32" s="2831"/>
      <c r="U32" s="2831"/>
      <c r="V32" s="3086"/>
      <c r="W32" s="2831"/>
      <c r="X32" s="2844"/>
      <c r="Y32" s="2737"/>
      <c r="Z32" s="2770"/>
      <c r="AA32" s="2553"/>
      <c r="AB32" s="2553"/>
      <c r="AC32" s="2553"/>
      <c r="AD32" s="2553"/>
      <c r="AE32" s="2771"/>
      <c r="AF32" s="2593"/>
    </row>
    <row r="33" spans="2:32" ht="24" thickBot="1">
      <c r="B33" s="2836" t="s">
        <v>1120</v>
      </c>
      <c r="C33" s="2837" t="s">
        <v>134</v>
      </c>
      <c r="D33" s="2838"/>
      <c r="E33" s="2837" t="s">
        <v>110</v>
      </c>
      <c r="F33" s="2839"/>
      <c r="G33" s="2837" t="s">
        <v>153</v>
      </c>
      <c r="H33" s="2839"/>
      <c r="I33" s="2837" t="s">
        <v>154</v>
      </c>
      <c r="J33" s="2789"/>
      <c r="K33" s="2842" t="s">
        <v>155</v>
      </c>
      <c r="L33" s="2809"/>
      <c r="M33" s="2809" t="s">
        <v>1072</v>
      </c>
      <c r="N33" s="2810"/>
      <c r="O33" s="2841" t="s">
        <v>404</v>
      </c>
      <c r="P33" s="2731"/>
      <c r="Q33" s="2845" t="s">
        <v>698</v>
      </c>
      <c r="R33" s="2846" t="s">
        <v>699</v>
      </c>
      <c r="S33" s="2846" t="s">
        <v>700</v>
      </c>
      <c r="T33" s="2846" t="s">
        <v>701</v>
      </c>
      <c r="U33" s="2831"/>
      <c r="V33" s="3087" t="s">
        <v>1710</v>
      </c>
      <c r="W33" s="2831"/>
      <c r="X33" s="2847" t="s">
        <v>1704</v>
      </c>
      <c r="Y33" s="2780"/>
      <c r="Z33" s="2845" t="s">
        <v>703</v>
      </c>
      <c r="AA33" s="2846" t="s">
        <v>704</v>
      </c>
      <c r="AB33" s="2831"/>
      <c r="AC33" s="2846" t="s">
        <v>1705</v>
      </c>
      <c r="AD33" s="2831"/>
      <c r="AE33" s="2847" t="s">
        <v>1706</v>
      </c>
      <c r="AF33" s="2593"/>
    </row>
    <row r="34" spans="2:32" ht="12.75">
      <c r="B34" s="2832" t="s">
        <v>1711</v>
      </c>
      <c r="C34" s="2833">
        <f>E9</f>
        <v>3584000</v>
      </c>
      <c r="D34" s="2614"/>
      <c r="E34" s="2519">
        <f>C34*$C$14/1000000000</f>
        <v>492.37350400000003</v>
      </c>
      <c r="F34" s="2834" t="s">
        <v>965</v>
      </c>
      <c r="G34" s="2835">
        <v>44.47</v>
      </c>
      <c r="H34" s="2834" t="s">
        <v>965</v>
      </c>
      <c r="I34" s="2520">
        <v>1</v>
      </c>
      <c r="J34" s="2727" t="s">
        <v>966</v>
      </c>
      <c r="K34" s="2796">
        <f>E34*1000*G34*I34/2000</f>
        <v>10947.924861439998</v>
      </c>
      <c r="L34" s="2530" t="s">
        <v>966</v>
      </c>
      <c r="M34" s="2527">
        <f>K34*0.90718/1000000</f>
        <v>9.9317384758011371E-3</v>
      </c>
      <c r="N34" s="2530" t="s">
        <v>966</v>
      </c>
      <c r="O34" s="2797">
        <f>M34*44/12</f>
        <v>3.6416374411270831E-2</v>
      </c>
      <c r="P34" s="2731"/>
      <c r="Q34" s="2770"/>
      <c r="R34" s="2534">
        <v>3.1920000000000002</v>
      </c>
      <c r="S34" s="2535">
        <v>0.08</v>
      </c>
      <c r="T34" s="2529">
        <f>C34*R34*S34/1000000000</f>
        <v>9.1521023999999998E-4</v>
      </c>
      <c r="U34" s="2530" t="s">
        <v>966</v>
      </c>
      <c r="V34" s="3079">
        <f>T34*1000</f>
        <v>0.91521023999999995</v>
      </c>
      <c r="W34" s="2530" t="s">
        <v>966</v>
      </c>
      <c r="X34" s="2785">
        <f>(V34*310)/1000000</f>
        <v>2.8371517439999995E-4</v>
      </c>
      <c r="Y34" s="2737"/>
      <c r="Z34" s="2772">
        <v>0.25</v>
      </c>
      <c r="AA34" s="2557">
        <f>C34*R34*Z34/1000000000</f>
        <v>2.8600320000000002E-3</v>
      </c>
      <c r="AB34" s="2530" t="s">
        <v>966</v>
      </c>
      <c r="AC34" s="2558">
        <f>AA34*1000</f>
        <v>2.8600320000000004</v>
      </c>
      <c r="AD34" s="2530" t="s">
        <v>966</v>
      </c>
      <c r="AE34" s="2773">
        <f>(AC34*21)/1000000</f>
        <v>6.0060672000000009E-5</v>
      </c>
      <c r="AF34" s="2593"/>
    </row>
    <row r="35" spans="2:32" ht="12.75">
      <c r="B35" s="2552" t="s">
        <v>1712</v>
      </c>
      <c r="C35" s="2559">
        <f>E10</f>
        <v>2436000</v>
      </c>
      <c r="D35" s="2553"/>
      <c r="E35" s="2524">
        <f>G10</f>
        <v>363</v>
      </c>
      <c r="F35" s="2556" t="s">
        <v>965</v>
      </c>
      <c r="G35" s="2560">
        <v>45.15</v>
      </c>
      <c r="H35" s="2556" t="s">
        <v>965</v>
      </c>
      <c r="I35" s="2526">
        <v>1</v>
      </c>
      <c r="J35" s="2727" t="s">
        <v>966</v>
      </c>
      <c r="K35" s="2796">
        <f>E35*1000*G35*I35/2000</f>
        <v>8194.7250000000004</v>
      </c>
      <c r="L35" s="2530" t="s">
        <v>966</v>
      </c>
      <c r="M35" s="2527">
        <f>K35*0.90718/1000000</f>
        <v>7.4340906254999999E-3</v>
      </c>
      <c r="N35" s="2530" t="s">
        <v>966</v>
      </c>
      <c r="O35" s="2797">
        <f>M35*44/12</f>
        <v>2.7258332293499998E-2</v>
      </c>
      <c r="P35" s="2731"/>
      <c r="Q35" s="2784"/>
      <c r="R35" s="2534">
        <v>3.5750000000000002</v>
      </c>
      <c r="S35" s="2535">
        <v>0.08</v>
      </c>
      <c r="T35" s="2529">
        <f>C35*R35*S35/1000000000</f>
        <v>6.9669600000000001E-4</v>
      </c>
      <c r="U35" s="2530" t="s">
        <v>966</v>
      </c>
      <c r="V35" s="3079">
        <f>T35*1000</f>
        <v>0.69669599999999998</v>
      </c>
      <c r="W35" s="2530" t="s">
        <v>966</v>
      </c>
      <c r="X35" s="2786">
        <f>(V35*310)/1000000</f>
        <v>2.1597576E-4</v>
      </c>
      <c r="Y35" s="2737"/>
      <c r="Z35" s="2772">
        <v>0.23</v>
      </c>
      <c r="AA35" s="2557">
        <f>C35*R35*Z35/1000000000</f>
        <v>2.0030009999999999E-3</v>
      </c>
      <c r="AB35" s="2530" t="s">
        <v>966</v>
      </c>
      <c r="AC35" s="2558">
        <f>AA35*1000</f>
        <v>2.0030009999999998</v>
      </c>
      <c r="AD35" s="2530" t="s">
        <v>966</v>
      </c>
      <c r="AE35" s="2773">
        <f>(AC35*21)/1000000</f>
        <v>4.2063020999999998E-5</v>
      </c>
      <c r="AF35" s="2593"/>
    </row>
    <row r="36" spans="2:32" ht="12.75">
      <c r="B36" s="2552"/>
      <c r="C36" s="2553"/>
      <c r="D36" s="2553"/>
      <c r="E36" s="2723"/>
      <c r="F36" s="2556"/>
      <c r="G36" s="2724"/>
      <c r="H36" s="2556"/>
      <c r="I36" s="2725"/>
      <c r="J36" s="2727"/>
      <c r="K36" s="2796"/>
      <c r="L36" s="2530"/>
      <c r="M36" s="2527"/>
      <c r="N36" s="2530"/>
      <c r="O36" s="2798">
        <f>SUM(O34:O35)</f>
        <v>6.3674706704770823E-2</v>
      </c>
      <c r="P36" s="2731"/>
      <c r="Q36" s="2784"/>
      <c r="R36" s="2554"/>
      <c r="S36" s="2554"/>
      <c r="T36" s="2553"/>
      <c r="U36" s="2553"/>
      <c r="V36" s="2561"/>
      <c r="W36" s="2553"/>
      <c r="X36" s="2807">
        <f>(X34+X35)</f>
        <v>4.9969093439999998E-4</v>
      </c>
      <c r="Y36" s="2737"/>
      <c r="Z36" s="2770"/>
      <c r="AA36" s="2553"/>
      <c r="AB36" s="2553"/>
      <c r="AC36" s="2561"/>
      <c r="AD36" s="2553"/>
      <c r="AE36" s="2807">
        <f>(AE34+AE35)</f>
        <v>1.0212369300000001E-4</v>
      </c>
      <c r="AF36" s="2593"/>
    </row>
    <row r="37" spans="2:32" ht="13.5" thickBot="1">
      <c r="B37" s="2562"/>
      <c r="C37" s="2555"/>
      <c r="D37" s="2553"/>
      <c r="E37" s="2554"/>
      <c r="F37" s="2554"/>
      <c r="G37" s="2554"/>
      <c r="H37" s="2554"/>
      <c r="I37" s="2554"/>
      <c r="J37" s="2789"/>
      <c r="K37" s="2799"/>
      <c r="L37" s="2800"/>
      <c r="M37" s="2801"/>
      <c r="N37" s="2802"/>
      <c r="O37" s="2803"/>
      <c r="P37" s="2731"/>
      <c r="Q37" s="2787"/>
      <c r="R37" s="2788"/>
      <c r="S37" s="2788"/>
      <c r="T37" s="2775"/>
      <c r="U37" s="2775"/>
      <c r="V37" s="2775"/>
      <c r="W37" s="2775"/>
      <c r="X37" s="2776"/>
      <c r="Y37" s="2737"/>
      <c r="Z37" s="2774"/>
      <c r="AA37" s="2775"/>
      <c r="AB37" s="2775"/>
      <c r="AC37" s="2775"/>
      <c r="AD37" s="2775"/>
      <c r="AE37" s="2776"/>
      <c r="AF37" s="2593"/>
    </row>
    <row r="38" spans="2:32">
      <c r="B38" s="1227"/>
      <c r="C38" s="4"/>
      <c r="D38" s="4"/>
      <c r="E38" s="4"/>
      <c r="F38" s="4"/>
      <c r="G38" s="4"/>
      <c r="H38" s="4"/>
      <c r="I38" s="2808"/>
      <c r="J38" s="2808"/>
      <c r="K38" s="4"/>
      <c r="L38" s="4"/>
      <c r="M38" s="4"/>
      <c r="N38" s="4"/>
      <c r="O38" s="4"/>
      <c r="P38" s="4"/>
      <c r="Q38" s="4"/>
      <c r="R38" s="4"/>
      <c r="S38" s="4"/>
      <c r="T38" s="4"/>
      <c r="U38" s="4"/>
      <c r="V38" s="4"/>
      <c r="W38" s="4"/>
      <c r="X38" s="4"/>
      <c r="Y38" s="2808"/>
      <c r="Z38" s="4"/>
      <c r="AA38" s="4"/>
      <c r="AB38" s="4"/>
      <c r="AC38" s="4"/>
      <c r="AD38" s="4"/>
      <c r="AE38" s="4"/>
      <c r="AF38" s="2593"/>
    </row>
    <row r="39" spans="2:32" ht="12" thickBot="1">
      <c r="B39" s="2804"/>
      <c r="C39" s="2805"/>
      <c r="D39" s="2805"/>
      <c r="E39" s="2805"/>
      <c r="F39" s="2805"/>
      <c r="G39" s="2805"/>
      <c r="H39" s="2805"/>
      <c r="I39" s="7"/>
      <c r="J39" s="7"/>
      <c r="K39" s="7"/>
      <c r="L39" s="7"/>
      <c r="M39" s="2805"/>
      <c r="N39" s="2805"/>
      <c r="O39" s="2805"/>
      <c r="P39" s="2805"/>
      <c r="Q39" s="2805"/>
      <c r="R39" s="2805"/>
      <c r="S39" s="2805"/>
      <c r="T39" s="7"/>
      <c r="U39" s="7"/>
      <c r="V39" s="7"/>
      <c r="W39" s="7"/>
      <c r="X39" s="7"/>
      <c r="Y39" s="7"/>
      <c r="Z39" s="7"/>
      <c r="AA39" s="7"/>
      <c r="AB39" s="7"/>
      <c r="AC39" s="7"/>
      <c r="AD39" s="7"/>
      <c r="AE39" s="7"/>
      <c r="AF39" s="8"/>
    </row>
    <row r="40" spans="2:32">
      <c r="B40" s="128"/>
      <c r="C40" s="128"/>
      <c r="D40" s="128"/>
      <c r="E40" s="128"/>
      <c r="F40" s="128"/>
      <c r="G40" s="128"/>
      <c r="H40" s="128"/>
      <c r="M40" s="2477">
        <v>171972210</v>
      </c>
      <c r="N40" s="128"/>
      <c r="O40" s="2477">
        <f>(M40*0.907184)/(1000000)</f>
        <v>156.01043735664001</v>
      </c>
      <c r="P40" s="128"/>
      <c r="Q40" s="128"/>
      <c r="R40" s="128"/>
      <c r="S40" s="128"/>
    </row>
    <row r="41" spans="2:32" ht="12" thickBot="1">
      <c r="B41" s="128"/>
      <c r="C41" s="128"/>
      <c r="D41" s="128"/>
      <c r="E41" s="128"/>
      <c r="F41" s="128"/>
      <c r="G41" s="128"/>
      <c r="H41" s="128"/>
      <c r="I41" s="14"/>
      <c r="M41" s="128"/>
      <c r="N41" s="128"/>
      <c r="O41" s="128"/>
      <c r="P41" s="128"/>
      <c r="Q41" s="128"/>
      <c r="R41" s="128"/>
      <c r="S41" s="128"/>
    </row>
    <row r="42" spans="2:32" s="234" customFormat="1" ht="13.5" thickTop="1">
      <c r="B42" s="2848"/>
      <c r="C42" s="2849"/>
      <c r="D42" s="2849"/>
      <c r="E42" s="2850" t="s">
        <v>956</v>
      </c>
      <c r="F42" s="2849"/>
      <c r="G42" s="2849"/>
      <c r="H42" s="2849"/>
      <c r="I42" s="2850" t="s">
        <v>957</v>
      </c>
      <c r="J42" s="2851"/>
      <c r="K42" s="2849"/>
      <c r="L42" s="2852"/>
      <c r="M42" s="2849"/>
      <c r="N42" s="2851"/>
      <c r="O42" s="2853"/>
      <c r="P42" s="2853"/>
      <c r="Q42" s="2853"/>
      <c r="R42" s="2853"/>
      <c r="S42" s="2854"/>
      <c r="T42" s="457"/>
    </row>
    <row r="43" spans="2:32" s="234" customFormat="1" ht="12.75">
      <c r="B43" s="2855"/>
      <c r="C43" s="2856" t="s">
        <v>106</v>
      </c>
      <c r="D43" s="2857"/>
      <c r="E43" s="2856" t="s">
        <v>106</v>
      </c>
      <c r="F43" s="2857"/>
      <c r="G43" s="2857"/>
      <c r="H43" s="2857"/>
      <c r="I43" s="2856" t="s">
        <v>106</v>
      </c>
      <c r="J43" s="2857"/>
      <c r="K43" s="2856" t="s">
        <v>107</v>
      </c>
      <c r="L43" s="2857"/>
      <c r="M43" s="2856" t="s">
        <v>152</v>
      </c>
      <c r="N43" s="2857"/>
      <c r="O43" s="2858" t="s">
        <v>108</v>
      </c>
      <c r="P43" s="2857"/>
      <c r="Q43" s="2858" t="s">
        <v>108</v>
      </c>
      <c r="R43" s="2857"/>
      <c r="S43" s="2859" t="s">
        <v>108</v>
      </c>
      <c r="T43" s="457"/>
    </row>
    <row r="44" spans="2:32" s="234" customFormat="1" ht="15" thickBot="1">
      <c r="B44" s="2855"/>
      <c r="C44" s="2856" t="s">
        <v>110</v>
      </c>
      <c r="D44" s="2857"/>
      <c r="E44" s="2856" t="s">
        <v>110</v>
      </c>
      <c r="F44" s="2857"/>
      <c r="G44" s="2856" t="s">
        <v>958</v>
      </c>
      <c r="H44" s="2857"/>
      <c r="I44" s="2856" t="s">
        <v>110</v>
      </c>
      <c r="J44" s="2857"/>
      <c r="K44" s="2856" t="s">
        <v>153</v>
      </c>
      <c r="L44" s="2857"/>
      <c r="M44" s="2856" t="s">
        <v>154</v>
      </c>
      <c r="N44" s="2857"/>
      <c r="O44" s="2856" t="s">
        <v>155</v>
      </c>
      <c r="P44" s="2856"/>
      <c r="Q44" s="2856" t="s">
        <v>1072</v>
      </c>
      <c r="R44" s="2857"/>
      <c r="S44" s="2859" t="s">
        <v>404</v>
      </c>
      <c r="T44" s="457"/>
    </row>
    <row r="45" spans="2:32" s="234" customFormat="1" ht="12.75">
      <c r="B45" s="2860" t="s">
        <v>902</v>
      </c>
      <c r="C45" s="2711">
        <f>G7</f>
        <v>2135</v>
      </c>
      <c r="D45" s="2522" t="s">
        <v>1073</v>
      </c>
      <c r="E45" s="2711">
        <v>1427</v>
      </c>
      <c r="F45" s="2712" t="s">
        <v>965</v>
      </c>
      <c r="G45" s="2861">
        <v>9.2393732597307904E-2</v>
      </c>
      <c r="H45" s="2712" t="s">
        <v>1074</v>
      </c>
      <c r="I45" s="2715">
        <f>C45-(E45*G45)</f>
        <v>2003.1541435836416</v>
      </c>
      <c r="J45" s="2712" t="s">
        <v>965</v>
      </c>
      <c r="K45" s="2862">
        <v>44.53</v>
      </c>
      <c r="L45" s="2712" t="s">
        <v>965</v>
      </c>
      <c r="M45" s="2714">
        <v>1</v>
      </c>
      <c r="N45" s="2522" t="s">
        <v>966</v>
      </c>
      <c r="O45" s="2715">
        <f>I45*1000*K45*M45/2000</f>
        <v>44600.227006889785</v>
      </c>
      <c r="P45" s="2522" t="s">
        <v>966</v>
      </c>
      <c r="Q45" s="2716">
        <f>O45*0.90718/1000000</f>
        <v>4.0460433936110277E-2</v>
      </c>
      <c r="R45" s="2863" t="s">
        <v>966</v>
      </c>
      <c r="S45" s="2864">
        <f>Q45*44/12</f>
        <v>0.14835492443240436</v>
      </c>
      <c r="T45" s="457"/>
    </row>
    <row r="46" spans="2:32" s="234" customFormat="1" ht="13.5" thickBot="1">
      <c r="B46" s="2627"/>
      <c r="C46" s="2812"/>
      <c r="D46" s="2813"/>
      <c r="E46" s="2812"/>
      <c r="F46" s="2814"/>
      <c r="G46" s="2815"/>
      <c r="H46" s="2814"/>
      <c r="I46" s="2816"/>
      <c r="J46" s="2814"/>
      <c r="K46" s="2817"/>
      <c r="L46" s="2814"/>
      <c r="M46" s="2818"/>
      <c r="N46" s="2813"/>
      <c r="O46" s="2816"/>
      <c r="P46" s="2813"/>
      <c r="Q46" s="2819"/>
      <c r="R46" s="2820"/>
      <c r="S46" s="2821"/>
      <c r="T46" s="457"/>
    </row>
    <row r="47" spans="2:32" s="234" customFormat="1" ht="13.5" thickTop="1">
      <c r="B47" s="437"/>
      <c r="C47" s="446"/>
      <c r="D47" s="440"/>
      <c r="E47" s="446"/>
      <c r="F47" s="439"/>
      <c r="G47" s="893"/>
      <c r="H47" s="439"/>
      <c r="I47" s="894"/>
      <c r="J47" s="439"/>
      <c r="K47" s="895"/>
      <c r="L47" s="439"/>
      <c r="M47" s="896"/>
      <c r="N47" s="440"/>
      <c r="O47" s="894"/>
      <c r="P47" s="440"/>
      <c r="Q47" s="897"/>
      <c r="R47" s="441"/>
      <c r="S47" s="897"/>
    </row>
    <row r="48" spans="2:32">
      <c r="B48" s="128"/>
      <c r="C48" s="128"/>
      <c r="D48" s="128"/>
      <c r="E48" s="128"/>
      <c r="F48" s="128"/>
      <c r="G48" s="128"/>
      <c r="H48" s="128"/>
      <c r="I48" s="14"/>
      <c r="M48" s="128"/>
      <c r="N48" s="128"/>
      <c r="O48" s="128"/>
      <c r="P48" s="128"/>
      <c r="Q48" s="128"/>
      <c r="R48" s="128"/>
      <c r="S48" s="128"/>
    </row>
    <row r="49" spans="2:24" ht="12" thickBot="1">
      <c r="B49" s="128"/>
      <c r="C49" s="128"/>
      <c r="D49" s="128"/>
      <c r="E49" s="128"/>
      <c r="F49" s="128"/>
      <c r="G49" s="128"/>
      <c r="H49" s="128"/>
      <c r="I49" s="14"/>
      <c r="M49" s="128"/>
      <c r="N49" s="128"/>
      <c r="O49" s="128"/>
      <c r="P49" s="128"/>
      <c r="Q49" s="128"/>
      <c r="R49" s="128"/>
      <c r="S49" s="128"/>
    </row>
    <row r="50" spans="2:24" ht="14.25" thickTop="1" thickBot="1">
      <c r="B50" s="2876"/>
      <c r="C50" s="2866" t="s">
        <v>108</v>
      </c>
      <c r="D50" s="2865"/>
      <c r="E50" s="2865" t="s">
        <v>108</v>
      </c>
      <c r="F50" s="2866"/>
      <c r="G50" s="2865" t="s">
        <v>108</v>
      </c>
      <c r="H50" s="2867"/>
      <c r="I50" s="2865" t="s">
        <v>108</v>
      </c>
      <c r="J50" s="2563"/>
      <c r="K50" s="4"/>
    </row>
    <row r="51" spans="2:24" ht="15" thickTop="1">
      <c r="B51" s="2876"/>
      <c r="C51" s="2866" t="s">
        <v>1713</v>
      </c>
      <c r="D51" s="2865"/>
      <c r="E51" s="2865" t="s">
        <v>1714</v>
      </c>
      <c r="F51" s="2866"/>
      <c r="G51" s="2865" t="s">
        <v>1715</v>
      </c>
      <c r="H51" s="2867"/>
      <c r="I51" s="2865" t="s">
        <v>1716</v>
      </c>
      <c r="J51" s="2563"/>
      <c r="K51" s="4"/>
    </row>
    <row r="52" spans="2:24" ht="15" thickBot="1">
      <c r="B52" s="2877" t="s">
        <v>1120</v>
      </c>
      <c r="C52" s="2869" t="s">
        <v>404</v>
      </c>
      <c r="D52" s="2868"/>
      <c r="E52" s="2868" t="s">
        <v>404</v>
      </c>
      <c r="F52" s="2869"/>
      <c r="G52" s="2868" t="s">
        <v>404</v>
      </c>
      <c r="H52" s="2870"/>
      <c r="I52" s="2868" t="s">
        <v>404</v>
      </c>
      <c r="J52" s="2563"/>
      <c r="K52" s="4"/>
    </row>
    <row r="53" spans="2:24" ht="12.75">
      <c r="B53" s="2878" t="s">
        <v>896</v>
      </c>
      <c r="C53" s="2874">
        <f>O22</f>
        <v>1.3550989154266668E-2</v>
      </c>
      <c r="D53" s="2871"/>
      <c r="E53" s="2822">
        <f>AE22</f>
        <v>2.4186076992000006E-4</v>
      </c>
      <c r="F53" s="2824"/>
      <c r="G53" s="2822">
        <f>X22</f>
        <v>5.4095843199999999E-5</v>
      </c>
      <c r="H53" s="2823"/>
      <c r="I53" s="2822">
        <f>SUM(C53:H53)</f>
        <v>1.3846945767386667E-2</v>
      </c>
      <c r="J53" s="2564"/>
      <c r="K53" s="4"/>
      <c r="X53" s="2883"/>
    </row>
    <row r="54" spans="2:24" ht="12.75">
      <c r="B54" s="2879" t="s">
        <v>898</v>
      </c>
      <c r="C54" s="2874">
        <f>O23</f>
        <v>0.6776291005574997</v>
      </c>
      <c r="D54" s="2871"/>
      <c r="E54" s="2822">
        <f>AE23</f>
        <v>3.8117329488000003E-4</v>
      </c>
      <c r="F54" s="2824"/>
      <c r="G54" s="2822">
        <f>X23</f>
        <v>6.4676366399999997E-3</v>
      </c>
      <c r="H54" s="2823"/>
      <c r="I54" s="2822">
        <f>SUM(C54:H54)</f>
        <v>0.68447791049237972</v>
      </c>
      <c r="J54" s="2564"/>
      <c r="K54" s="4"/>
    </row>
    <row r="55" spans="2:24" ht="12.75">
      <c r="B55" s="2880" t="s">
        <v>1717</v>
      </c>
      <c r="C55" s="2874">
        <f>O24</f>
        <v>0.16547344479848894</v>
      </c>
      <c r="D55" s="2871"/>
      <c r="E55" s="2822">
        <f>AE24</f>
        <v>2.7291147055199996E-4</v>
      </c>
      <c r="F55" s="2824"/>
      <c r="G55" s="2822">
        <f>X24</f>
        <v>1.2891818037503999E-3</v>
      </c>
      <c r="H55" s="2823"/>
      <c r="I55" s="2822">
        <f>SUM(C55:H55)</f>
        <v>0.16703553807279134</v>
      </c>
      <c r="J55" s="2564"/>
      <c r="K55" s="4"/>
    </row>
    <row r="56" spans="2:24" ht="12.75">
      <c r="B56" s="2878" t="s">
        <v>1711</v>
      </c>
      <c r="C56" s="2874">
        <f>O34</f>
        <v>3.6416374411270831E-2</v>
      </c>
      <c r="D56" s="2871"/>
      <c r="E56" s="2822">
        <f>AE34</f>
        <v>6.0060672000000009E-5</v>
      </c>
      <c r="F56" s="2824"/>
      <c r="G56" s="2822">
        <f>X34</f>
        <v>2.8371517439999995E-4</v>
      </c>
      <c r="H56" s="2823"/>
      <c r="I56" s="2822"/>
      <c r="J56" s="2564"/>
      <c r="K56" s="4"/>
    </row>
    <row r="57" spans="2:24" ht="12.75">
      <c r="B57" s="2879" t="s">
        <v>1712</v>
      </c>
      <c r="C57" s="2874">
        <f>O35</f>
        <v>2.7258332293499998E-2</v>
      </c>
      <c r="D57" s="2871"/>
      <c r="E57" s="2822">
        <f>AE35</f>
        <v>4.2063020999999998E-5</v>
      </c>
      <c r="F57" s="2824"/>
      <c r="G57" s="2822">
        <f>X35</f>
        <v>2.1597576E-4</v>
      </c>
      <c r="H57" s="2823"/>
      <c r="I57" s="2822">
        <f>SUM(C57:H57)</f>
        <v>2.7516371074499998E-2</v>
      </c>
      <c r="J57" s="2564"/>
      <c r="K57" s="4"/>
      <c r="M57" s="910"/>
    </row>
    <row r="58" spans="2:24" ht="12.75">
      <c r="B58" s="2881" t="s">
        <v>902</v>
      </c>
      <c r="C58" s="2874">
        <f>S45</f>
        <v>0.14835492443240436</v>
      </c>
      <c r="D58" s="2871"/>
      <c r="E58" s="2822">
        <v>0</v>
      </c>
      <c r="F58" s="2824"/>
      <c r="G58" s="2822">
        <v>0</v>
      </c>
      <c r="H58" s="2823"/>
      <c r="I58" s="2822">
        <v>0</v>
      </c>
      <c r="J58" s="2564"/>
      <c r="K58" s="4"/>
    </row>
    <row r="59" spans="2:24" ht="12.75">
      <c r="B59" s="2872"/>
      <c r="C59" s="4"/>
      <c r="D59" s="2872"/>
      <c r="E59" s="2872"/>
      <c r="F59" s="4"/>
      <c r="G59" s="2872"/>
      <c r="H59" s="4"/>
      <c r="I59" s="2872"/>
      <c r="J59" s="2564"/>
      <c r="K59" s="4"/>
    </row>
    <row r="60" spans="2:24" ht="13.5" thickBot="1">
      <c r="B60" s="2882" t="s">
        <v>190</v>
      </c>
      <c r="C60" s="2875">
        <f>SUM(C53:C58)</f>
        <v>1.0686831656474305</v>
      </c>
      <c r="D60" s="2873"/>
      <c r="E60" s="2825">
        <f>SUM(E53:E58)</f>
        <v>9.9806922835200015E-4</v>
      </c>
      <c r="F60" s="2826"/>
      <c r="G60" s="2827">
        <f>SUM(G53:G58)</f>
        <v>8.3106052213504002E-3</v>
      </c>
      <c r="H60" s="2828"/>
      <c r="I60" s="2829">
        <f>SUM(I53:I58)</f>
        <v>0.89287676540705774</v>
      </c>
      <c r="J60" s="2565"/>
      <c r="K60" s="4"/>
    </row>
    <row r="61" spans="2:24" ht="12" thickTop="1"/>
  </sheetData>
  <sheetProtection password="CD58" sheet="1" objects="1" scenarios="1"/>
  <mergeCells count="2">
    <mergeCell ref="A2:K2"/>
    <mergeCell ref="D15:E15"/>
  </mergeCells>
  <printOptions gridLines="1"/>
  <pageMargins left="0.16" right="0.18" top="0.32" bottom="0.26" header="0.3" footer="0.3"/>
  <pageSetup paperSize="5" scale="70" orientation="landscape" r:id="rId1"/>
  <colBreaks count="1" manualBreakCount="1">
    <brk id="32" max="1048575"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D5E6D3471F7F04449211EBF97CCD3EEF" ma:contentTypeVersion="11" ma:contentTypeDescription="Create a new document." ma:contentTypeScope="" ma:versionID="1fa121f0f7dadc83016221ac4c0a73d5">
  <xsd:schema xmlns:xsd="http://www.w3.org/2001/XMLSchema" xmlns:xs="http://www.w3.org/2001/XMLSchema" xmlns:p="http://schemas.microsoft.com/office/2006/metadata/properties" xmlns:ns1="http://schemas.microsoft.com/sharepoint/v3" targetNamespace="http://schemas.microsoft.com/office/2006/metadata/properties" ma:root="true" ma:fieldsID="0f1c3a5fe40b69cf375f6490498fc6a7"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4" nillable="true" ma:displayName="Scheduling Start Date" ma:description="" ma:internalName="PublishingStartDate">
      <xsd:simpleType>
        <xsd:restriction base="dms:Unknown"/>
      </xsd:simpleType>
    </xsd:element>
    <xsd:element name="PublishingExpirationDate" ma:index="5" nillable="true" ma:displayName="Scheduling End Date" ma:description=""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6"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EACD9D-CA1F-4912-A775-5DEBFDABDBCA}"/>
</file>

<file path=customXml/itemProps2.xml><?xml version="1.0" encoding="utf-8"?>
<ds:datastoreItem xmlns:ds="http://schemas.openxmlformats.org/officeDocument/2006/customXml" ds:itemID="{2FEE49C6-9546-416B-AF95-E37D32785D82}"/>
</file>

<file path=customXml/itemProps3.xml><?xml version="1.0" encoding="utf-8"?>
<ds:datastoreItem xmlns:ds="http://schemas.openxmlformats.org/officeDocument/2006/customXml" ds:itemID="{2E097DCB-D414-44D8-B4CE-105432FA4D7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6</vt:i4>
      </vt:variant>
    </vt:vector>
  </HeadingPairs>
  <TitlesOfParts>
    <vt:vector size="31" baseType="lpstr">
      <vt:lpstr>Summ GHG Rpt Expanded</vt:lpstr>
      <vt:lpstr>EGU_By_Fuel_Type</vt:lpstr>
      <vt:lpstr>Severstal</vt:lpstr>
      <vt:lpstr>Luke</vt:lpstr>
      <vt:lpstr>EGU Details</vt:lpstr>
      <vt:lpstr>Imported Electricity </vt:lpstr>
      <vt:lpstr>Non_Road_Transportation</vt:lpstr>
      <vt:lpstr>On_Road_Transportation</vt:lpstr>
      <vt:lpstr>Others_Transportation</vt:lpstr>
      <vt:lpstr>Residential</vt:lpstr>
      <vt:lpstr>Commercial</vt:lpstr>
      <vt:lpstr>Industrial</vt:lpstr>
      <vt:lpstr>LimeT&amp;DSodaODS</vt:lpstr>
      <vt:lpstr>Cement</vt:lpstr>
      <vt:lpstr>Ammonia &amp; Urea Consumption</vt:lpstr>
      <vt:lpstr>Iron And Steel</vt:lpstr>
      <vt:lpstr>Landfills</vt:lpstr>
      <vt:lpstr>LFGTE</vt:lpstr>
      <vt:lpstr>Incinerators</vt:lpstr>
      <vt:lpstr>OpenBurn</vt:lpstr>
      <vt:lpstr>Natural Gas and Oil</vt:lpstr>
      <vt:lpstr>Mining</vt:lpstr>
      <vt:lpstr>Wastewater</vt:lpstr>
      <vt:lpstr>Agricultural</vt:lpstr>
      <vt:lpstr>Land Use</vt:lpstr>
      <vt:lpstr>'EGU Details'!Print_Area</vt:lpstr>
      <vt:lpstr>'Iron And Steel'!Print_Area</vt:lpstr>
      <vt:lpstr>'Land Use'!Print_Area</vt:lpstr>
      <vt:lpstr>On_Road_Transportation!Print_Area</vt:lpstr>
      <vt:lpstr>'Summ GHG Rpt Expanded'!Print_Area</vt:lpstr>
      <vt:lpstr>'EGU Details'!Print_Titles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Maryland 2017 Periodic GHG Emissions Inventory (Microsoft Excel file)</dc:title>
  <dc:creator>Roger Thunell</dc:creator>
  <cp:lastModifiedBy>sal</cp:lastModifiedBy>
  <cp:lastPrinted>2020-01-02T16:17:50Z</cp:lastPrinted>
  <dcterms:created xsi:type="dcterms:W3CDTF">2006-08-20T19:40:13Z</dcterms:created>
  <dcterms:modified xsi:type="dcterms:W3CDTF">2020-02-24T16:54:30Z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0x010100D5E6D3471F7F04449211EBF97CCD3EEF</vt:lpwstr>
  </property>
</Properties>
</file>